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asterlist" sheetId="1" r:id="rId5"/>
    <sheet state="hidden" name="iPhones" sheetId="2" r:id="rId6"/>
    <sheet state="visible" name="Systems&amp;BackGlass" sheetId="3" r:id="rId7"/>
    <sheet state="visible" name="Systems_Trends" sheetId="4" r:id="rId8"/>
    <sheet state="visible" name="BackGlass_Trends" sheetId="5" r:id="rId9"/>
    <sheet state="visible" name="Systems&amp;BackGlass by Month" sheetId="6" r:id="rId10"/>
    <sheet state="visible" name="Forecasting for July" sheetId="7" r:id="rId11"/>
  </sheets>
  <definedNames/>
  <calcPr/>
</workbook>
</file>

<file path=xl/sharedStrings.xml><?xml version="1.0" encoding="utf-8"?>
<sst xmlns="http://schemas.openxmlformats.org/spreadsheetml/2006/main" count="76165" uniqueCount="28792">
  <si>
    <t>iPhones Parts Usage Report</t>
  </si>
  <si>
    <t>Custom reports - GSX KBB / KGBs Used</t>
  </si>
  <si>
    <t>Order id</t>
  </si>
  <si>
    <t>Month</t>
  </si>
  <si>
    <t>Location Name</t>
  </si>
  <si>
    <t>GSX Repair Number</t>
  </si>
  <si>
    <t>GSX Repair Strategy</t>
  </si>
  <si>
    <t>Current GSX Status</t>
  </si>
  <si>
    <t>Repair Closed Date</t>
  </si>
  <si>
    <t>Product Code</t>
  </si>
  <si>
    <t>Product Description</t>
  </si>
  <si>
    <t>Product KGB</t>
  </si>
  <si>
    <t>Product KBB</t>
  </si>
  <si>
    <t>Site Name</t>
  </si>
  <si>
    <t>MOBILECARE - GLORIETTA 5</t>
  </si>
  <si>
    <t>G712090089</t>
  </si>
  <si>
    <t>CIN</t>
  </si>
  <si>
    <t>SPCM</t>
  </si>
  <si>
    <t>ZP661-28885</t>
  </si>
  <si>
    <t>Silver, iPad 10th generation, 64GB, Wi-Fi, ITP</t>
  </si>
  <si>
    <t>K0MY6JLF4N</t>
  </si>
  <si>
    <t>DHGJ0NJ504</t>
  </si>
  <si>
    <t>G709596193</t>
  </si>
  <si>
    <t>Part Number</t>
  </si>
  <si>
    <t>Part Description</t>
  </si>
  <si>
    <t>Z661-43102</t>
  </si>
  <si>
    <t>AirPods 4, Right, CI/AR, CN, INT</t>
  </si>
  <si>
    <t>GN1HQB0837M0000B32</t>
  </si>
  <si>
    <t>G708611607</t>
  </si>
  <si>
    <t>661-36918</t>
  </si>
  <si>
    <t>Battery, iPhone 15 Pro Max</t>
  </si>
  <si>
    <t>FG9HP7003DJ00006TT</t>
  </si>
  <si>
    <t>F5DGYK0033K00006TU</t>
  </si>
  <si>
    <t>G690356932</t>
  </si>
  <si>
    <t>661-56050</t>
  </si>
  <si>
    <t>Display, iPhone 17 Pro Max</t>
  </si>
  <si>
    <t>GH3HPY00KQV0000MUZ</t>
  </si>
  <si>
    <t>GH3HKU01FNB0000MUZ</t>
  </si>
  <si>
    <t>G705425629</t>
  </si>
  <si>
    <t>661-40169</t>
  </si>
  <si>
    <t>Logic Board, 8-core CPU, 8-core GPU, 8 GB, 256 GB</t>
  </si>
  <si>
    <t>C02HNC000010000FJV</t>
  </si>
  <si>
    <t>C02H8C00CKD0000FJV</t>
  </si>
  <si>
    <t>661-40218</t>
  </si>
  <si>
    <t>Display, Silver</t>
  </si>
  <si>
    <t>GMG5454001X1J87AP</t>
  </si>
  <si>
    <t>F0Y427601VK1J87AV</t>
  </si>
  <si>
    <t>G704607819</t>
  </si>
  <si>
    <t>SCOM</t>
  </si>
  <si>
    <t>Z661-35418</t>
  </si>
  <si>
    <t>AirPods Pro 2nd gen USB-C, Case, CI/AR, INT</t>
  </si>
  <si>
    <t>M4C0WVDJK4</t>
  </si>
  <si>
    <t>L29P2GM2JD</t>
  </si>
  <si>
    <t>G702154797</t>
  </si>
  <si>
    <t>661-16806</t>
  </si>
  <si>
    <t>Display Assembly, Space Gray</t>
  </si>
  <si>
    <t>GMG544700XQNR89B1</t>
  </si>
  <si>
    <t>GMG337402FBNR8DBP</t>
  </si>
  <si>
    <t>G701291855</t>
  </si>
  <si>
    <t>661-21991</t>
  </si>
  <si>
    <t>Battery, iPhone 13</t>
  </si>
  <si>
    <t>F8Y5506CF3B18FKBW</t>
  </si>
  <si>
    <t>FG914160ZF518FN58</t>
  </si>
  <si>
    <t>G700065245</t>
  </si>
  <si>
    <t>ZA661-41635</t>
  </si>
  <si>
    <t>SVC,APPLE PENCIL PRO-ITS</t>
  </si>
  <si>
    <t>G1CMQ944TG</t>
  </si>
  <si>
    <t>FNV7QW2V3R</t>
  </si>
  <si>
    <t>G698996943</t>
  </si>
  <si>
    <t>GX02</t>
  </si>
  <si>
    <t>661-40219</t>
  </si>
  <si>
    <t>Display, Starlight</t>
  </si>
  <si>
    <t>GMG545302701J88A0</t>
  </si>
  <si>
    <t>F0Y436400CB1J88AQ</t>
  </si>
  <si>
    <t>G698172583</t>
  </si>
  <si>
    <t>661-18428</t>
  </si>
  <si>
    <t>Battery, iPhone 12 Pro Max</t>
  </si>
  <si>
    <t>F8Y5437C5CKQ4C2BR</t>
  </si>
  <si>
    <t>F5D12721167Q4C0AW</t>
  </si>
  <si>
    <t>G698169993</t>
  </si>
  <si>
    <t>F8Y5426C80S18FKBS</t>
  </si>
  <si>
    <t>FG921742Z6318FMA1</t>
  </si>
  <si>
    <t>G698141519</t>
  </si>
  <si>
    <t>FG9HNL005ZF00006TT</t>
  </si>
  <si>
    <t>F5DH0C01RVZ00006TU</t>
  </si>
  <si>
    <t>G698137575</t>
  </si>
  <si>
    <t>PP661-22985</t>
  </si>
  <si>
    <t>Midnight, 256 GB, iPhone 13, ROW, CI/AR, Philippines</t>
  </si>
  <si>
    <t>CQY92FWQY4</t>
  </si>
  <si>
    <t>P7F65CFQF3</t>
  </si>
  <si>
    <t>G698052277</t>
  </si>
  <si>
    <t>661-22309</t>
  </si>
  <si>
    <t>Display, iPhone 13 Pro Max</t>
  </si>
  <si>
    <t>G9P5347MN81PQCLAG</t>
  </si>
  <si>
    <t>G9N2204MJA7PQCLA0</t>
  </si>
  <si>
    <t>G682024744</t>
  </si>
  <si>
    <t>F8Y5434C8VG18FKBG</t>
  </si>
  <si>
    <t>FG922840PVB18FMA4</t>
  </si>
  <si>
    <t>G698043391</t>
  </si>
  <si>
    <t>661-36913</t>
  </si>
  <si>
    <t>Natural Titanium, Millimeter Wave, Back Glass, iPhone 15 Pro Max</t>
  </si>
  <si>
    <t>DRCHH5000J6000023W</t>
  </si>
  <si>
    <t>DRCGX6004RJ000023W</t>
  </si>
  <si>
    <t>G698035737</t>
  </si>
  <si>
    <t>661-43188</t>
  </si>
  <si>
    <t>AirPods Max USB-C, Set, Starlight</t>
  </si>
  <si>
    <t>MF37G9NKCX</t>
  </si>
  <si>
    <t>LRWN9PKQVK</t>
  </si>
  <si>
    <t>G697996535</t>
  </si>
  <si>
    <t>661-17920</t>
  </si>
  <si>
    <t>Battery, iPhone 12 and 12 Pro</t>
  </si>
  <si>
    <t>F8Y5431C3THQ687BV</t>
  </si>
  <si>
    <t>F8Y043603F2Q6872H</t>
  </si>
  <si>
    <t>G681849442</t>
  </si>
  <si>
    <t>ZP661-50267</t>
  </si>
  <si>
    <t>iPad Air 11-inch (M3) Wi-Fi, 256GB, Blue, CI/AR, CN</t>
  </si>
  <si>
    <t>H04GNW60KG</t>
  </si>
  <si>
    <t>KW6HF371FX</t>
  </si>
  <si>
    <t>G697967359</t>
  </si>
  <si>
    <t>661-40220</t>
  </si>
  <si>
    <t>Display, Midnight</t>
  </si>
  <si>
    <t>F0Y543301481J87AP</t>
  </si>
  <si>
    <t>FP1502608WD25YVAK</t>
  </si>
  <si>
    <t>G697960181</t>
  </si>
  <si>
    <t>PP661-22980</t>
  </si>
  <si>
    <t>Midnight, 128 GB, iPhone 13, ROW, CI/AR, Philippines</t>
  </si>
  <si>
    <t>M19FDWP4DF</t>
  </si>
  <si>
    <t>JHX4PWPGXP</t>
  </si>
  <si>
    <t>G697959791</t>
  </si>
  <si>
    <t>G9P5306MB5PPQCLAT</t>
  </si>
  <si>
    <t>G9Q2013Y1HMPQCLAF</t>
  </si>
  <si>
    <t>G697943193</t>
  </si>
  <si>
    <t>Z661-11410</t>
  </si>
  <si>
    <t>Apple Pencil 2nd gen-INT</t>
  </si>
  <si>
    <t>H97QX3M7JKM9</t>
  </si>
  <si>
    <t>J78PFAN6JKM9</t>
  </si>
  <si>
    <t>G697720863</t>
  </si>
  <si>
    <t>PP661-22981</t>
  </si>
  <si>
    <t>Starlight, 128 GB, iPhone 13, ROW, CI/AR, Philippines</t>
  </si>
  <si>
    <t>MY6F4T7XFW</t>
  </si>
  <si>
    <t>Y1F1WWV061</t>
  </si>
  <si>
    <t>G697587595</t>
  </si>
  <si>
    <t>J3D92GPCJ7</t>
  </si>
  <si>
    <t>M1W317GWT7</t>
  </si>
  <si>
    <t>G697508641</t>
  </si>
  <si>
    <t>F8Y5387C1GU18FKBZ</t>
  </si>
  <si>
    <t>F8Y219704QC18FLA0</t>
  </si>
  <si>
    <t>G697465319</t>
  </si>
  <si>
    <t>ZP661-50269</t>
  </si>
  <si>
    <t>iPad Air 11-inch (M3) Wi-Fi, 256GB, Purple, CI/AR, CN</t>
  </si>
  <si>
    <t>K23GW64FQJ</t>
  </si>
  <si>
    <t>HTV0G22RJ6</t>
  </si>
  <si>
    <t>G697457987</t>
  </si>
  <si>
    <t>661-30373</t>
  </si>
  <si>
    <t>Battery, iPhone 14</t>
  </si>
  <si>
    <t>F8Y5513C2PX231LB6</t>
  </si>
  <si>
    <t>FG923921X4A22XP6Y</t>
  </si>
  <si>
    <t>G697447521</t>
  </si>
  <si>
    <t>ZP661-50227</t>
  </si>
  <si>
    <t>iPad (A16) Wi-Fi, 128GB, Blue, CI/AR, CN</t>
  </si>
  <si>
    <t>M74QT7XYHR</t>
  </si>
  <si>
    <t>KV2JX1PG24</t>
  </si>
  <si>
    <t>G697402159</t>
  </si>
  <si>
    <t>PP661-22986</t>
  </si>
  <si>
    <t>Starlight, 256 GB, iPhone 13, ROW, CI/AR, Philippines</t>
  </si>
  <si>
    <t>G1V49XLM9T</t>
  </si>
  <si>
    <t>MH4RK4XYL2</t>
  </si>
  <si>
    <t>G697395003</t>
  </si>
  <si>
    <t>G9P5385M55LPQCLAD</t>
  </si>
  <si>
    <t>G9P2055P8CKPQCLA5</t>
  </si>
  <si>
    <t>G697393471</t>
  </si>
  <si>
    <t>ZP661-50226</t>
  </si>
  <si>
    <t>iPad (A16) Wi-Fi, 128GB, Silver, CI/AR, CN</t>
  </si>
  <si>
    <t>LCXHL705CF</t>
  </si>
  <si>
    <t>K33RV7TJ23</t>
  </si>
  <si>
    <t>G697386733</t>
  </si>
  <si>
    <t>ZP661-28890</t>
  </si>
  <si>
    <t>Blue, iPad 10th generation, 256GB, Wi-Fi, ITP</t>
  </si>
  <si>
    <t>L7K972P7GG</t>
  </si>
  <si>
    <t>J9TJ1GF94N</t>
  </si>
  <si>
    <t>G697357777</t>
  </si>
  <si>
    <t>G9P5385MMF3PQCLAJ</t>
  </si>
  <si>
    <t>G9P2136R24TPQCLAR</t>
  </si>
  <si>
    <t>G697276543</t>
  </si>
  <si>
    <t>ZP661-50230</t>
  </si>
  <si>
    <t>iPad (A16) Wi-Fi, 256GB, Silver, CI/AR, CN</t>
  </si>
  <si>
    <t>GDX3PHPXMW</t>
  </si>
  <si>
    <t>CW0C6MC7YC</t>
  </si>
  <si>
    <t>G697268823</t>
  </si>
  <si>
    <t>M42P6DFPC2</t>
  </si>
  <si>
    <t>FK7LFY2M9X</t>
  </si>
  <si>
    <t>G697266393</t>
  </si>
  <si>
    <t>F8Y5446C4LH18FKB7</t>
  </si>
  <si>
    <t>FG915161XW118FN5Z</t>
  </si>
  <si>
    <t>G697241095</t>
  </si>
  <si>
    <t>661-13574</t>
  </si>
  <si>
    <t>Battery, iPhone 11</t>
  </si>
  <si>
    <t>F8Y5442C23LM6YNDB</t>
  </si>
  <si>
    <t>FG922230CEFM6YRCQ</t>
  </si>
  <si>
    <t>G697235111</t>
  </si>
  <si>
    <t>F8Y5431C3B6Q687BL</t>
  </si>
  <si>
    <t>F8Y04120E00Q6872V</t>
  </si>
  <si>
    <t>G681413924</t>
  </si>
  <si>
    <t>661-36952</t>
  </si>
  <si>
    <t>Logic Board, 14-core CPU, 30-core GPU, 36GB, 1TB</t>
  </si>
  <si>
    <t>C023415003625FRA9</t>
  </si>
  <si>
    <t>C02409400DN25FRA9</t>
  </si>
  <si>
    <t>661-37958</t>
  </si>
  <si>
    <t>Top Case with Battery, ANSI, Space Black</t>
  </si>
  <si>
    <t>F8YHNTN025F00000E5</t>
  </si>
  <si>
    <t>F5DH2Z0001300000E6</t>
  </si>
  <si>
    <t>G696955305</t>
  </si>
  <si>
    <t>HXKC77VGCL</t>
  </si>
  <si>
    <t>Q2MTFYDT90</t>
  </si>
  <si>
    <t>G696952999</t>
  </si>
  <si>
    <t>M9VH9K74WQ</t>
  </si>
  <si>
    <t>G696952489</t>
  </si>
  <si>
    <t>F8Y5451C06818FKBW</t>
  </si>
  <si>
    <t>F8Y24211P8E18FLAE</t>
  </si>
  <si>
    <t>G696930065</t>
  </si>
  <si>
    <t>661-42726</t>
  </si>
  <si>
    <t>Display, iPhone 16 Pro</t>
  </si>
  <si>
    <t>G9PHKKT1ATJ00005DP</t>
  </si>
  <si>
    <t>GVCHB70036700005DQ</t>
  </si>
  <si>
    <t>G681102838</t>
  </si>
  <si>
    <t>661-36906</t>
  </si>
  <si>
    <t>Camera , iPhone 15 Pro Max</t>
  </si>
  <si>
    <t>DN85296AJTR1W23B8</t>
  </si>
  <si>
    <t>THA335602DK21PT64</t>
  </si>
  <si>
    <t>661-36916</t>
  </si>
  <si>
    <t>TrueDepth Camera, iPhone 15 Pro Max</t>
  </si>
  <si>
    <t>FK1HJ7000CA00001WF</t>
  </si>
  <si>
    <t>DTTGYD02DEH00000YP</t>
  </si>
  <si>
    <t>G696815897</t>
  </si>
  <si>
    <t>661-30397</t>
  </si>
  <si>
    <t>Battery, iPhone 14 Pro Max</t>
  </si>
  <si>
    <t>F8Y5453C4EW20J9BJ</t>
  </si>
  <si>
    <t>F8Y25361PX420JC28</t>
  </si>
  <si>
    <t>G696815649</t>
  </si>
  <si>
    <t>C73Q0FRXDW</t>
  </si>
  <si>
    <t>GGXT3QL9R4</t>
  </si>
  <si>
    <t>G696804775</t>
  </si>
  <si>
    <t>661-14691</t>
  </si>
  <si>
    <t>AirTag, 1PK</t>
  </si>
  <si>
    <t>HGHPT1BVP0GV</t>
  </si>
  <si>
    <t>HGGP7UN9P0GV</t>
  </si>
  <si>
    <t>G696801495</t>
  </si>
  <si>
    <t>661-30382</t>
  </si>
  <si>
    <t>Battery, iPhone 14 Pro</t>
  </si>
  <si>
    <t>F8Y5465C9G7217WB2</t>
  </si>
  <si>
    <t>F5D2427EGKA21PK7Z</t>
  </si>
  <si>
    <t>G696711929</t>
  </si>
  <si>
    <t>923-01365</t>
  </si>
  <si>
    <t>EarPods with Lightning Connector</t>
  </si>
  <si>
    <t>FGJ54171391M854A8</t>
  </si>
  <si>
    <t>G696621347</t>
  </si>
  <si>
    <t>G9P5386M0QGPQCLAY</t>
  </si>
  <si>
    <t>G9P2105MF93PQCLA9</t>
  </si>
  <si>
    <t>G696594131</t>
  </si>
  <si>
    <t>GMG544501R6NR8DB0</t>
  </si>
  <si>
    <t>FP143930038249YAS</t>
  </si>
  <si>
    <t>G696588687</t>
  </si>
  <si>
    <t>ZP661-22034</t>
  </si>
  <si>
    <t>Space Gray, 64 GB, iPad 9th Generation, Wi-Fi, ITP</t>
  </si>
  <si>
    <t>LNP70FW6QN</t>
  </si>
  <si>
    <t>WHLQNVFNMP</t>
  </si>
  <si>
    <t>G680716180</t>
  </si>
  <si>
    <t>G9PHKKG2VF100005DP</t>
  </si>
  <si>
    <t>GVCHH100XKU00005DQ</t>
  </si>
  <si>
    <t>G696305213</t>
  </si>
  <si>
    <t>F8Y5443C4VP20J9BH</t>
  </si>
  <si>
    <t>F5D25247DYP20J89U</t>
  </si>
  <si>
    <t>G696284135</t>
  </si>
  <si>
    <t>661-42727</t>
  </si>
  <si>
    <t>TrueDepth Camera, iPhone 16 Pro</t>
  </si>
  <si>
    <t>J9KHFS00VJC0000FD3</t>
  </si>
  <si>
    <t>FNJHADK0ESQ0000882</t>
  </si>
  <si>
    <t>661-42728</t>
  </si>
  <si>
    <t>Camera, iPhone 16 Pro</t>
  </si>
  <si>
    <t>F0WHHG00KNA0000488</t>
  </si>
  <si>
    <t>DN8HAG02N0100005KQ</t>
  </si>
  <si>
    <t>G695977039</t>
  </si>
  <si>
    <t>661-25799</t>
  </si>
  <si>
    <t>GMG533700QX1J88AR</t>
  </si>
  <si>
    <t>G695885433</t>
  </si>
  <si>
    <t>ZP661-25136</t>
  </si>
  <si>
    <t>Starlight, 64 GB, iPad Air 5th generation, Wi-Fi, ITP</t>
  </si>
  <si>
    <t>H0KKW31XH2</t>
  </si>
  <si>
    <t>JF3G7NLXD0</t>
  </si>
  <si>
    <t>G695556817</t>
  </si>
  <si>
    <t>ZP661-50228</t>
  </si>
  <si>
    <t>iPad (A16) Wi-Fi, 128GB, Yellow, CI/AR, CN</t>
  </si>
  <si>
    <t>JN7QPNHR7H</t>
  </si>
  <si>
    <t>G695548917</t>
  </si>
  <si>
    <t>HT2CQQTCF6</t>
  </si>
  <si>
    <t>V7G7WLHF6T</t>
  </si>
  <si>
    <t>G695530425</t>
  </si>
  <si>
    <t>661-25623</t>
  </si>
  <si>
    <t>Logic Board, M2, 8-Core CPU, 8-core GPU, 8 GB, 256 GB</t>
  </si>
  <si>
    <t>C02312403KM0W98AU</t>
  </si>
  <si>
    <t>C02319203GL0W9CAF</t>
  </si>
  <si>
    <t>G695524981</t>
  </si>
  <si>
    <t>Monthly Trend for 2026</t>
  </si>
  <si>
    <t>ZP661-28887</t>
  </si>
  <si>
    <t>Yellow, iPad 10th generation, 64GB, Wi-Fi, ITP</t>
  </si>
  <si>
    <t>LQ93F9QG09</t>
  </si>
  <si>
    <t>G695469563</t>
  </si>
  <si>
    <t>Monthly Trend for 2026 - Mid System</t>
  </si>
  <si>
    <t>K9Q37W7GX1</t>
  </si>
  <si>
    <t>DG3H360369</t>
  </si>
  <si>
    <t>Monthly Trend for 2026 - Rear System</t>
  </si>
  <si>
    <t>G695360625</t>
  </si>
  <si>
    <t>JHYYF1WW15</t>
  </si>
  <si>
    <t>G679690956</t>
  </si>
  <si>
    <t>661-25627</t>
  </si>
  <si>
    <t>Logic Board, M2, 8-Core CPU, 8-core GPU, 16 GB, 256 GB</t>
  </si>
  <si>
    <t>FV943360G3V0W9GHM</t>
  </si>
  <si>
    <t>FV951440EKM0W9FL7</t>
  </si>
  <si>
    <t>G695052473</t>
  </si>
  <si>
    <t>ZP661-42973</t>
  </si>
  <si>
    <t>Purple, 128GB, iPad mini, Wi-Fi, CI/AR, ITP</t>
  </si>
  <si>
    <t>H0W7JX7FHJ</t>
  </si>
  <si>
    <t>G2519NX237</t>
  </si>
  <si>
    <t>G693985755</t>
  </si>
  <si>
    <t>ZP661-40053</t>
  </si>
  <si>
    <t>Blue, iPad Air 11-inch (M2), 128GB, Wi-Fi, ITP</t>
  </si>
  <si>
    <t>LDXVT7M59K</t>
  </si>
  <si>
    <t>G688563451</t>
  </si>
  <si>
    <t>Quantity</t>
  </si>
  <si>
    <t>923-10996</t>
  </si>
  <si>
    <t>Top Speaker, iPhone 16 Plus, non MMwave</t>
  </si>
  <si>
    <t>F4KH9400PRY0000HKF</t>
  </si>
  <si>
    <t>DTVH8Z618M40000CZS</t>
  </si>
  <si>
    <t>MOBILECARE - DAVAO</t>
  </si>
  <si>
    <t>G711991881</t>
  </si>
  <si>
    <t>TA661-36896</t>
  </si>
  <si>
    <t>Natural, iPhone 15 Pro Max, 256GB, ROW, CI/AR, Taiwan</t>
  </si>
  <si>
    <t>M4T1Q4XHTF</t>
  </si>
  <si>
    <t>G710655533</t>
  </si>
  <si>
    <t>661-21996</t>
  </si>
  <si>
    <t>Battery, iPhone 13 Pro</t>
  </si>
  <si>
    <t>F8Y5516CM0N13RHCT</t>
  </si>
  <si>
    <t>F8Y2203132S13RFBP</t>
  </si>
  <si>
    <t>G709583221</t>
  </si>
  <si>
    <t>TA661-36693</t>
  </si>
  <si>
    <t>iPhone 15, Yellow, 128GB, Logic Board Assy Mid System, ROW</t>
  </si>
  <si>
    <t>KPQJFJ1WQX</t>
  </si>
  <si>
    <t>G707136679</t>
  </si>
  <si>
    <t>ZP661-43552</t>
  </si>
  <si>
    <t>Watch Series 10 GPS, 46mm, Aluminum, Jet Black, CI/AR, CN, ITP</t>
  </si>
  <si>
    <t>HQN7LXL2GN</t>
  </si>
  <si>
    <t>G705834143</t>
  </si>
  <si>
    <t>661-44797</t>
  </si>
  <si>
    <t>Display, iPhone 16</t>
  </si>
  <si>
    <t>G9QHQHY08TQ00004Y7</t>
  </si>
  <si>
    <t>G9QHCJG1X3R00004Y7</t>
  </si>
  <si>
    <t>G703959871</t>
  </si>
  <si>
    <t>ZP661-50266</t>
  </si>
  <si>
    <t>iPad Air 11-inch (M3) Wi-Fi, 256GB, Space Gray, CI/AR, CN</t>
  </si>
  <si>
    <t>JN9Y9KRXP3</t>
  </si>
  <si>
    <t>G702557063</t>
  </si>
  <si>
    <t>ZP661-50229</t>
  </si>
  <si>
    <t>iPad (A16) Wi-Fi, 128GB, Pink, CI/AR, CN</t>
  </si>
  <si>
    <t>JP4V955CF7</t>
  </si>
  <si>
    <t>G701436319</t>
  </si>
  <si>
    <t>661-21988</t>
  </si>
  <si>
    <t>Display, iPhone 13</t>
  </si>
  <si>
    <t>G9Q5172CEGLPR5QAM</t>
  </si>
  <si>
    <t>GVH52041RRAPR5PAS</t>
  </si>
  <si>
    <t>G699456043</t>
  </si>
  <si>
    <t>ZP661-50262</t>
  </si>
  <si>
    <t>iPad Air 11-inch (M3) Wi-Fi, 128GB, Space Gray, CI/AR, CN</t>
  </si>
  <si>
    <t>DL7PL23LX7</t>
  </si>
  <si>
    <t>G699139889</t>
  </si>
  <si>
    <t>ZP661-28892</t>
  </si>
  <si>
    <t>Pink, iPad 10th generation, 256GB, Wi-Fi, ITP</t>
  </si>
  <si>
    <t>C60L9J6N40</t>
  </si>
  <si>
    <t>G698162547</t>
  </si>
  <si>
    <t>TA661-43605</t>
  </si>
  <si>
    <t>128GB, Black, ROW, iPhone 16, Logic Board Assy Mid System</t>
  </si>
  <si>
    <t>M2HCFY21QL</t>
  </si>
  <si>
    <t>G698161189</t>
  </si>
  <si>
    <t>G9PHK6F2YGT00005DP</t>
  </si>
  <si>
    <t>G9NHCPG1X6500005DP</t>
  </si>
  <si>
    <t>G698050771</t>
  </si>
  <si>
    <t>661-44955</t>
  </si>
  <si>
    <t>Display, iPhone 16 Pro Max</t>
  </si>
  <si>
    <t>G9PHFBK3HT300005DR</t>
  </si>
  <si>
    <t>GVCHAU03VUB00005DS</t>
  </si>
  <si>
    <t>G698035501</t>
  </si>
  <si>
    <t>PP661-23455</t>
  </si>
  <si>
    <t>iPhone 13, Starlight, 128GB, Logic Board Assy Rear System, ROW</t>
  </si>
  <si>
    <t>JK07HD70N1</t>
  </si>
  <si>
    <t>G698030757</t>
  </si>
  <si>
    <t>DWVW773HYT</t>
  </si>
  <si>
    <t>G698021029</t>
  </si>
  <si>
    <t>ZP661-43624</t>
  </si>
  <si>
    <t>Watch Series 10 GPS, 46mm, Aluminum, Jet Black, CI/AR, VN, ITP</t>
  </si>
  <si>
    <t>CC25W4P4LF</t>
  </si>
  <si>
    <t>G697967763</t>
  </si>
  <si>
    <t>661-50106</t>
  </si>
  <si>
    <t>Display, Sky Blue</t>
  </si>
  <si>
    <t>GMGHLE002LV0000GVK</t>
  </si>
  <si>
    <t>F0YHE80018X0000GVL</t>
  </si>
  <si>
    <t>G697753715</t>
  </si>
  <si>
    <t>GPFQX2MK0P</t>
  </si>
  <si>
    <t>G697750021</t>
  </si>
  <si>
    <t>G9PHJPT0LRP00005DP</t>
  </si>
  <si>
    <t>GVCHAJ00PUV00005DQ</t>
  </si>
  <si>
    <t>G697726219</t>
  </si>
  <si>
    <t>ZP661-50231</t>
  </si>
  <si>
    <t>iPad (A16) Wi-Fi, 256GB, Blue, CI/AR, CN</t>
  </si>
  <si>
    <t>L99K4W6H93</t>
  </si>
  <si>
    <t>G697718641</t>
  </si>
  <si>
    <t>TA661-43610</t>
  </si>
  <si>
    <t>256GB, Black, ROW, iPhone 16, Logic Board Assy Mid System</t>
  </si>
  <si>
    <t>J54D661QH7</t>
  </si>
  <si>
    <t>G697627975</t>
  </si>
  <si>
    <t>661-56066</t>
  </si>
  <si>
    <t>Front Camera, iPhone 17</t>
  </si>
  <si>
    <t>DNPHLB00PEZ0001BHN</t>
  </si>
  <si>
    <t>GMHHJ002MN10000M4H</t>
  </si>
  <si>
    <t>G697403345</t>
  </si>
  <si>
    <t>661-40647</t>
  </si>
  <si>
    <t>Display, Midnight, AS</t>
  </si>
  <si>
    <t>GMG5277009M1J87A2</t>
  </si>
  <si>
    <t>F0Y515602121J87AX</t>
  </si>
  <si>
    <t>G697390553</t>
  </si>
  <si>
    <t>Z661-43090</t>
  </si>
  <si>
    <t>AirPods 4, Case, CI/AR, CN, INT</t>
  </si>
  <si>
    <t>H0X4X4X0W7</t>
  </si>
  <si>
    <t>G697384803</t>
  </si>
  <si>
    <t>FN7XRQF964</t>
  </si>
  <si>
    <t>G697380997</t>
  </si>
  <si>
    <t>MWW7320LXJ</t>
  </si>
  <si>
    <t>G697372271</t>
  </si>
  <si>
    <t>PP661-23454</t>
  </si>
  <si>
    <t>iPhone 13, Midnight, 128GB, Logic Board Assy Rear System, ROW</t>
  </si>
  <si>
    <t>KPQ6W6Y2R0</t>
  </si>
  <si>
    <t>G697355255</t>
  </si>
  <si>
    <t>661-35875</t>
  </si>
  <si>
    <t>GHQ438701361R7TBA</t>
  </si>
  <si>
    <t>GHQ349500581R7TB4</t>
  </si>
  <si>
    <t>G697355153</t>
  </si>
  <si>
    <t>HM36GHW92D</t>
  </si>
  <si>
    <t>G697288285</t>
  </si>
  <si>
    <t>C02326300DC0W9DA7</t>
  </si>
  <si>
    <t>FV945150C3B0W9GL5</t>
  </si>
  <si>
    <t>G697281115</t>
  </si>
  <si>
    <t>C49D91CQJD</t>
  </si>
  <si>
    <t>G697277287</t>
  </si>
  <si>
    <t>G9PHJRS0C3200005DR</t>
  </si>
  <si>
    <t>GH3HAW00GG900005DS</t>
  </si>
  <si>
    <t>G697249245</t>
  </si>
  <si>
    <t>661-50047</t>
  </si>
  <si>
    <t>Logic Board, M4, 10-core CPU, 8-core GPU, 16 GB, 256 GB</t>
  </si>
  <si>
    <t>C02HD80003M0000KL3</t>
  </si>
  <si>
    <t>C02HHZ00AGN0000P0R</t>
  </si>
  <si>
    <t>G697241853</t>
  </si>
  <si>
    <t>L6T27MW0VV</t>
  </si>
  <si>
    <t>G697235267</t>
  </si>
  <si>
    <t>F8Y5437CJMU20J9BM</t>
  </si>
  <si>
    <t>F8Y25361AGU20JC28</t>
  </si>
  <si>
    <t>G697234839</t>
  </si>
  <si>
    <t>F8Y5437CJMV20J9BL</t>
  </si>
  <si>
    <t>F8Y246703FT20J92G</t>
  </si>
  <si>
    <t>G697105019</t>
  </si>
  <si>
    <t>TA661-55208</t>
  </si>
  <si>
    <t>Deep Blue, 256GB, iPhone 17 Pro Max, ROW, CI/AR, Taiwan</t>
  </si>
  <si>
    <t>GG6Q56JX2C</t>
  </si>
  <si>
    <t>G696856041</t>
  </si>
  <si>
    <t>C022346013K0W9GAX</t>
  </si>
  <si>
    <t>FV9516405570W9FLY</t>
  </si>
  <si>
    <t>G696855747</t>
  </si>
  <si>
    <t>LMC29MWFHH</t>
  </si>
  <si>
    <t>G696843711</t>
  </si>
  <si>
    <t>C02229501KE0W9GA9</t>
  </si>
  <si>
    <t>FV951530CAW0W9FLR</t>
  </si>
  <si>
    <t>G696833193</t>
  </si>
  <si>
    <t>K2CLJWX422</t>
  </si>
  <si>
    <t>G696804061</t>
  </si>
  <si>
    <t>K5CFX042LN</t>
  </si>
  <si>
    <t>G696754317</t>
  </si>
  <si>
    <t>F8Y5246C4QJ18FKBW</t>
  </si>
  <si>
    <t>F8Y21021KY818FLAU</t>
  </si>
  <si>
    <t>G696715683</t>
  </si>
  <si>
    <t>PP661-28868</t>
  </si>
  <si>
    <t>iPhone 14, Midnight, 128GB, Logic Board Assy Mid System, ROW</t>
  </si>
  <si>
    <t>X160197RH3</t>
  </si>
  <si>
    <t>G696640985</t>
  </si>
  <si>
    <t>FKH941QV67</t>
  </si>
  <si>
    <t>G696626507</t>
  </si>
  <si>
    <t>TA661-55149</t>
  </si>
  <si>
    <t>Silver, 256GB, iPhone 17 Pro, ROW, CI/AR, Taiwan</t>
  </si>
  <si>
    <t>V30VXR63HP</t>
  </si>
  <si>
    <t>G696625707</t>
  </si>
  <si>
    <t>K179NVYMFM</t>
  </si>
  <si>
    <t>G696613609</t>
  </si>
  <si>
    <t>TA661-55209</t>
  </si>
  <si>
    <t>Silver, 512GB, iPhone 17 Pro Max, ROW, CI/AR, Taiwan</t>
  </si>
  <si>
    <t>HXP6WWCJ7G</t>
  </si>
  <si>
    <t>G696603239</t>
  </si>
  <si>
    <t>CP4FG97DW0</t>
  </si>
  <si>
    <t>G696601385</t>
  </si>
  <si>
    <t>661-44956</t>
  </si>
  <si>
    <t>TrueDepth Camera, iPhone 16 Pro Max</t>
  </si>
  <si>
    <t>GMHHGX02FET0000BXF</t>
  </si>
  <si>
    <t>FNJHB5V0GZG0000BXF</t>
  </si>
  <si>
    <t>G696587725</t>
  </si>
  <si>
    <t>MHJKPWNRLY</t>
  </si>
  <si>
    <t>G696501375</t>
  </si>
  <si>
    <t>TA661-45321</t>
  </si>
  <si>
    <t>256GB, Black Titanium, ROW, iPhone 16 Pro Max, Logic Board Assy Mid Syst</t>
  </si>
  <si>
    <t>LW17TK2LC4</t>
  </si>
  <si>
    <t>G696480713</t>
  </si>
  <si>
    <t>GMHHGS00YV00000BXF</t>
  </si>
  <si>
    <t>FNJH9XC00NL0000BXF</t>
  </si>
  <si>
    <t>661-44957</t>
  </si>
  <si>
    <t>Camera, iPhone 16 Pro Max</t>
  </si>
  <si>
    <t>DN8HEP08DRT00006S2</t>
  </si>
  <si>
    <t>F0WH9P001TX000064R</t>
  </si>
  <si>
    <t>G696475987</t>
  </si>
  <si>
    <t>TA661-43609</t>
  </si>
  <si>
    <t>128GB, Teal, ROW, iPhone 16, Logic Board Assy Mid System</t>
  </si>
  <si>
    <t>J3C34XKK7V</t>
  </si>
  <si>
    <t>G696463927</t>
  </si>
  <si>
    <t>C16QP42FW0</t>
  </si>
  <si>
    <t>G696461869</t>
  </si>
  <si>
    <t>TA661-55153</t>
  </si>
  <si>
    <t>Cosmic Orange, 512GB, iPhone 17 Pro, ROW, CI/AR, Taiwan</t>
  </si>
  <si>
    <t>YKWHMFMV4X</t>
  </si>
  <si>
    <t>G696332347</t>
  </si>
  <si>
    <t>ZP661-50525</t>
  </si>
  <si>
    <t>Apple Watch Series 11, GPS, ROW, 46mm, Aluminum, Space Gray, CI/AR, CN</t>
  </si>
  <si>
    <t>J219F2K9QH</t>
  </si>
  <si>
    <t>G696328737</t>
  </si>
  <si>
    <t>G9PHJVS1T4W00005DR</t>
  </si>
  <si>
    <t>GVCHAK04LFN00005DS</t>
  </si>
  <si>
    <t>G696291831</t>
  </si>
  <si>
    <t>HN9V00WHJG</t>
  </si>
  <si>
    <t>G696212615</t>
  </si>
  <si>
    <t>K6FGQH6GQF</t>
  </si>
  <si>
    <t>G696210939</t>
  </si>
  <si>
    <t>TA661-36694</t>
  </si>
  <si>
    <t>iPhone 15, Blue, 128GB, Logic Board Assy Mid System, ROW</t>
  </si>
  <si>
    <t>HNWK2JW6VH</t>
  </si>
  <si>
    <t>661-36841</t>
  </si>
  <si>
    <t>Blue, Back Glass, iPhone 15</t>
  </si>
  <si>
    <t>J0MHMT000PX00006SS</t>
  </si>
  <si>
    <t>DRCGZ7004U000006SS</t>
  </si>
  <si>
    <t>G696098063</t>
  </si>
  <si>
    <t>G9P5254C42YPR5QAX</t>
  </si>
  <si>
    <t>GVH50761CPZPR5PA1</t>
  </si>
  <si>
    <t>G696060249</t>
  </si>
  <si>
    <t>L7NPJ6H6V7</t>
  </si>
  <si>
    <t>G695998189</t>
  </si>
  <si>
    <t>L2Q32TPYGD</t>
  </si>
  <si>
    <t>G695887705</t>
  </si>
  <si>
    <t>G0NHK1003GW0000HKZ</t>
  </si>
  <si>
    <t>GMHH9R01UE90000BXF</t>
  </si>
  <si>
    <t>G695856701</t>
  </si>
  <si>
    <t>TA661-36466</t>
  </si>
  <si>
    <t>15 Plus, Black, 128GB, Logic Board Assy Mid System, ROW</t>
  </si>
  <si>
    <t>L0QM2QV2TC</t>
  </si>
  <si>
    <t>G695846431</t>
  </si>
  <si>
    <t>661-42962</t>
  </si>
  <si>
    <t>Logic Board, 10-Core CPU, 10-Core GPU, 24GB, 512GB</t>
  </si>
  <si>
    <t>H41HGL000JQ0000Q2R</t>
  </si>
  <si>
    <t>C02HDF000SW0000Q2Q</t>
  </si>
  <si>
    <t>G695787857</t>
  </si>
  <si>
    <t>G9PHKKG2JSX00005DP</t>
  </si>
  <si>
    <t>GVCHBF00R9400005DQ</t>
  </si>
  <si>
    <t>G695780665</t>
  </si>
  <si>
    <t>TA661-36471</t>
  </si>
  <si>
    <t>15 Plus, Black, 256GB, Logic Board Assy Mid System, ROW</t>
  </si>
  <si>
    <t>JY35VYWNVK</t>
  </si>
  <si>
    <t>G695775645</t>
  </si>
  <si>
    <t>TA661-55099</t>
  </si>
  <si>
    <t>Cloud White, 256GB, iPhone Air, ROW, Taiwan, CI/AR</t>
  </si>
  <si>
    <t>KYC4JW17XM</t>
  </si>
  <si>
    <t>G695756173</t>
  </si>
  <si>
    <t>G9PHK7S15RR00005DR</t>
  </si>
  <si>
    <t>GH3HGL00D2200005DS</t>
  </si>
  <si>
    <t>G695752365</t>
  </si>
  <si>
    <t>TA661-36472</t>
  </si>
  <si>
    <t>15 Plus, Pink, 256GB, Logic Board Assy Mid System, ROW</t>
  </si>
  <si>
    <t>JWQGWXPQ33</t>
  </si>
  <si>
    <t>G695733123</t>
  </si>
  <si>
    <t>J0VVHC43CP</t>
  </si>
  <si>
    <t>G695727717</t>
  </si>
  <si>
    <t>ZP661-42982</t>
  </si>
  <si>
    <t>Space Gray, 128GB, iPad mini, Cellular, CI/AR, ITP</t>
  </si>
  <si>
    <t>KC2J32VNV2</t>
  </si>
  <si>
    <t>G695720045</t>
  </si>
  <si>
    <t>ZP661-42970</t>
  </si>
  <si>
    <t>Space Gray, 128GB, iPad mini, Wi-Fi, CI/AR, ITP</t>
  </si>
  <si>
    <t>GV2Y35HYCP</t>
  </si>
  <si>
    <t>G695662935</t>
  </si>
  <si>
    <t>GVH53740HJ7PR5PA5</t>
  </si>
  <si>
    <t>G9Q5087F5PPPR5QAQ</t>
  </si>
  <si>
    <t>G695657183</t>
  </si>
  <si>
    <t>ZP661-50265</t>
  </si>
  <si>
    <t>iPad Air 11-inch (M3) Wi-Fi, 128GB, Purple, CI/AR, CN</t>
  </si>
  <si>
    <t>CFVD2H3WDM</t>
  </si>
  <si>
    <t>G680099630</t>
  </si>
  <si>
    <t>GPF3PQ3K0W</t>
  </si>
  <si>
    <t>G695527743</t>
  </si>
  <si>
    <t>TA661-55210</t>
  </si>
  <si>
    <t>Cosmic Orange, 512GB, iPhone 17 Pro Max, ROW, CI/AR, Taiwan</t>
  </si>
  <si>
    <t>HNP967XM7D</t>
  </si>
  <si>
    <t>G679966526</t>
  </si>
  <si>
    <t>C326T4WVVR</t>
  </si>
  <si>
    <t>G695509845</t>
  </si>
  <si>
    <t>661-27559</t>
  </si>
  <si>
    <t>Logic Board, M1, 8-core CPU, 7-core GPU, 8GB, 256GB</t>
  </si>
  <si>
    <t>HXK507409NS1N08GP</t>
  </si>
  <si>
    <t>HXK446301C01N08FR</t>
  </si>
  <si>
    <t>G695395073</t>
  </si>
  <si>
    <t>MX14H6904X</t>
  </si>
  <si>
    <t>G695355159</t>
  </si>
  <si>
    <t>LQ9N4XWVL7</t>
  </si>
  <si>
    <t>G679675720</t>
  </si>
  <si>
    <t>LMWDGMVFV2</t>
  </si>
  <si>
    <t>G695295105</t>
  </si>
  <si>
    <t>G72M9LKXCH</t>
  </si>
  <si>
    <t>G695282235</t>
  </si>
  <si>
    <t>TA661-45323</t>
  </si>
  <si>
    <t>256GB, Desert Titanium, ROW, iPhone 16 Pro Max, Logic Board Assy Mid Sys</t>
  </si>
  <si>
    <t>LNX7X3DGWF</t>
  </si>
  <si>
    <t>G695235195</t>
  </si>
  <si>
    <t>Z661-54202</t>
  </si>
  <si>
    <t>AirPods Pro 3, Case, CI/AR, VN, INT</t>
  </si>
  <si>
    <t>JWK1W0LQLW</t>
  </si>
  <si>
    <t>G695234407</t>
  </si>
  <si>
    <t>PA661-22279</t>
  </si>
  <si>
    <t>Sage Gray, Beats Fit Pro, Left, PAC, CI/AR</t>
  </si>
  <si>
    <t>H2CQC07U1JG8</t>
  </si>
  <si>
    <t>H2CPL1YX1JG8</t>
  </si>
  <si>
    <t>PA661-22280</t>
  </si>
  <si>
    <t>Sage Gray, Beats Fit Pro, Right, PAC, CI/AR</t>
  </si>
  <si>
    <t>H2CQP0991JG7</t>
  </si>
  <si>
    <t>H2DPLOFE1JG7</t>
  </si>
  <si>
    <t>G695185041</t>
  </si>
  <si>
    <t>ZP661-40055</t>
  </si>
  <si>
    <t>Purple, iPad Air 11-inch (M2), 128GB, Wi-Fi, ITP</t>
  </si>
  <si>
    <t>HYPP9XWHW4</t>
  </si>
  <si>
    <t>G695183713</t>
  </si>
  <si>
    <t>PP661-28879</t>
  </si>
  <si>
    <t>iPhone 14, Starlight, 512GB, Logic Board Assy Mid System, ROW</t>
  </si>
  <si>
    <t>LF4L1JJJQV</t>
  </si>
  <si>
    <t>G695182425</t>
  </si>
  <si>
    <t>GMGHLF002KM0000GVL</t>
  </si>
  <si>
    <t>FP1HD500E4E0000G29</t>
  </si>
  <si>
    <t>G695182055</t>
  </si>
  <si>
    <t>ZP661-28891</t>
  </si>
  <si>
    <t>Yellow, iPad 10th generation, 256GB, Wi-Fi, ITP</t>
  </si>
  <si>
    <t>CP2QD4H6VV</t>
  </si>
  <si>
    <t>G695174333</t>
  </si>
  <si>
    <t>TA661-45001</t>
  </si>
  <si>
    <t>256GB, Desert Titanium, ROW, iPhone 16 Pro, Logic Board Assy Mid System</t>
  </si>
  <si>
    <t>FW0H0766KL</t>
  </si>
  <si>
    <t>G695172401</t>
  </si>
  <si>
    <t>K21XL2004X</t>
  </si>
  <si>
    <t>G695167881</t>
  </si>
  <si>
    <t>F46HFM6WHM</t>
  </si>
  <si>
    <t>G695160089</t>
  </si>
  <si>
    <t>ZP661-50264</t>
  </si>
  <si>
    <t>iPad Air 11-inch (M3) Wi-Fi, 128GB, Starlight, CI/AR, CN</t>
  </si>
  <si>
    <t>GGFW0L4XQX</t>
  </si>
  <si>
    <t>G695154387</t>
  </si>
  <si>
    <t>LP2FF20XJ3</t>
  </si>
  <si>
    <t>G695044755</t>
  </si>
  <si>
    <t>HXK41150HTW1WP0DP</t>
  </si>
  <si>
    <t>HXK5065024H1N08GT</t>
  </si>
  <si>
    <t>G695035201</t>
  </si>
  <si>
    <t>K9JFVTJC9X</t>
  </si>
  <si>
    <t>G694991239</t>
  </si>
  <si>
    <t>KPV63VD914</t>
  </si>
  <si>
    <t>G694924929</t>
  </si>
  <si>
    <t>K2Y75D77D1</t>
  </si>
  <si>
    <t>G694915727</t>
  </si>
  <si>
    <t>D4K57LK737</t>
  </si>
  <si>
    <t>G694661577</t>
  </si>
  <si>
    <t>FNWLHJG7JQ</t>
  </si>
  <si>
    <t>G694661521</t>
  </si>
  <si>
    <t>FV95162033U0W9FLM</t>
  </si>
  <si>
    <t>FV951530A1N0W9FLU</t>
  </si>
  <si>
    <t>G694475593</t>
  </si>
  <si>
    <t>ZP661-50233</t>
  </si>
  <si>
    <t>iPad (A16) Wi-Fi, 256GB, Pink, CI/AR, CN</t>
  </si>
  <si>
    <t>MK627DGP9Q</t>
  </si>
  <si>
    <t>G694343253</t>
  </si>
  <si>
    <t>J9264Q4DYT</t>
  </si>
  <si>
    <t>G694327969</t>
  </si>
  <si>
    <t>J97CQ79XPM</t>
  </si>
  <si>
    <t>G694290323</t>
  </si>
  <si>
    <t>F1WWVMR41F</t>
  </si>
  <si>
    <t>G694284513</t>
  </si>
  <si>
    <t>FV4FRHL65P</t>
  </si>
  <si>
    <t>G694105143</t>
  </si>
  <si>
    <t>RFPU</t>
  </si>
  <si>
    <t>H5WNCVWYWW</t>
  </si>
  <si>
    <t>G694094707</t>
  </si>
  <si>
    <t>TA661-36894</t>
  </si>
  <si>
    <t>Black, iPhone 15 Pro Max, 256GB, ROW, CI/AR, Taiwan</t>
  </si>
  <si>
    <t>L0VVCX2THF</t>
  </si>
  <si>
    <t>G694018073</t>
  </si>
  <si>
    <t>M9VKJJN7VT</t>
  </si>
  <si>
    <t>G693534801</t>
  </si>
  <si>
    <t>G239QJKXG9</t>
  </si>
  <si>
    <t>G693519581</t>
  </si>
  <si>
    <t>LJY1WVG3MX</t>
  </si>
  <si>
    <t>G693514781</t>
  </si>
  <si>
    <t>PP661-29663</t>
  </si>
  <si>
    <t>14 Plus, Midnight, 256GB, Logic Board Assy Mid System, ROW</t>
  </si>
  <si>
    <t>DW97FHM4Y6</t>
  </si>
  <si>
    <t>G693514743</t>
  </si>
  <si>
    <t>TA661-43608</t>
  </si>
  <si>
    <t>128GB, Ultramarine, ROW, iPhone 16, Logic Board Assy Mid System</t>
  </si>
  <si>
    <t>HVCV99GT29</t>
  </si>
  <si>
    <t>G693436253</t>
  </si>
  <si>
    <t>PP661-28871</t>
  </si>
  <si>
    <t>iPhone 14, Blue, 128GB, Logic Board Assy Mid System, ROW</t>
  </si>
  <si>
    <t>KJ720Q7H92</t>
  </si>
  <si>
    <t>G693305073</t>
  </si>
  <si>
    <t>GM7G2DJPFQ</t>
  </si>
  <si>
    <t>G693280385</t>
  </si>
  <si>
    <t>661-08952</t>
  </si>
  <si>
    <t>Space Gray, Magic Keyboard with Numeric Keypad, ANSI, English</t>
  </si>
  <si>
    <t>F0T5317RFLZHTCYBA</t>
  </si>
  <si>
    <t>F0T4357RH91JKP0FN</t>
  </si>
  <si>
    <t>G693268847</t>
  </si>
  <si>
    <t>ZP661-50314</t>
  </si>
  <si>
    <t>iPad Air 13-inch (M3) Wi-Fi, 256GB, Space Gray, CI/AR, CN</t>
  </si>
  <si>
    <t>FCX4G7QDQ3</t>
  </si>
  <si>
    <t>G692750639</t>
  </si>
  <si>
    <t>F9H5WCN61J</t>
  </si>
  <si>
    <t>G692071761</t>
  </si>
  <si>
    <t>661-17058</t>
  </si>
  <si>
    <t>Logic Board , M1, 8-core, 8GB, 512GB</t>
  </si>
  <si>
    <t>FV912730A10Q8LQDJ</t>
  </si>
  <si>
    <t>C021494011MQ8LQA1</t>
  </si>
  <si>
    <t>G691921791</t>
  </si>
  <si>
    <t>GWMX4K4G5J</t>
  </si>
  <si>
    <t>KH33LW170D</t>
  </si>
  <si>
    <t>G691825531</t>
  </si>
  <si>
    <t>FV951440EVW0W9FL2</t>
  </si>
  <si>
    <t>FV95293018C0W9FLD</t>
  </si>
  <si>
    <t>G690816207</t>
  </si>
  <si>
    <t>HGQ0NLVXL1</t>
  </si>
  <si>
    <t>D3JHNXH9PY</t>
  </si>
  <si>
    <t>G690352449</t>
  </si>
  <si>
    <t>661-38811</t>
  </si>
  <si>
    <t>Logic Board, 8C CPU, 8C GPU, 16GB, 256GB, MBA, VN</t>
  </si>
  <si>
    <t>FV951440ECE0W9FL1</t>
  </si>
  <si>
    <t>661-26207</t>
  </si>
  <si>
    <t>Touch ID, Midnight</t>
  </si>
  <si>
    <t>F5853260R0Y1JLQAGC</t>
  </si>
  <si>
    <t>G690142071</t>
  </si>
  <si>
    <t>661-42845</t>
  </si>
  <si>
    <t>Camera, iPhone 16 Plus</t>
  </si>
  <si>
    <t>GCFHKV0H09500005LU</t>
  </si>
  <si>
    <t>DNMH9U00PYJ00005LS</t>
  </si>
  <si>
    <t>TA661-45232</t>
  </si>
  <si>
    <t>128GB, White, ROW, iPhone 16 Plus, Logic Board Assy Mid System</t>
  </si>
  <si>
    <t>KHKD7MDWQ5</t>
  </si>
  <si>
    <t>HG64H44RXP</t>
  </si>
  <si>
    <t>G690139635</t>
  </si>
  <si>
    <t>LVPF1QW9QT</t>
  </si>
  <si>
    <t>GQ4W3459TT</t>
  </si>
  <si>
    <t>G689797115</t>
  </si>
  <si>
    <t>H0FMJGWQQ2</t>
  </si>
  <si>
    <t>DD4W451XKV</t>
  </si>
  <si>
    <t>G689416355</t>
  </si>
  <si>
    <t>GKQ2GHG237</t>
  </si>
  <si>
    <t>H2XGG4CVFP</t>
  </si>
  <si>
    <t>MOBILECARE - SM MARIKINA</t>
  </si>
  <si>
    <t>G715232243</t>
  </si>
  <si>
    <t>F8Y6176C3FH18FKBE</t>
  </si>
  <si>
    <t>FG922431ULV18FMAJ</t>
  </si>
  <si>
    <t>G710532855</t>
  </si>
  <si>
    <t>923-13285</t>
  </si>
  <si>
    <t>Green, Case, iPhone 17 Pro Max, Techwoven</t>
  </si>
  <si>
    <t>N/A</t>
  </si>
  <si>
    <t>G709148525</t>
  </si>
  <si>
    <t>F8Y6122C15V217WB2</t>
  </si>
  <si>
    <t>F8Y30322FS6217W7X</t>
  </si>
  <si>
    <t>G708305529</t>
  </si>
  <si>
    <t>F8Y6053C7XN18FKB1</t>
  </si>
  <si>
    <t>FG932930QFK18FMAY</t>
  </si>
  <si>
    <t>G690265396</t>
  </si>
  <si>
    <t>Z661-43115</t>
  </si>
  <si>
    <t>AirPods 4 w/ ANC, Left, CI/AR, CN, INT</t>
  </si>
  <si>
    <t>GX1HPZ04SYW0000B2Z</t>
  </si>
  <si>
    <t>G706297845</t>
  </si>
  <si>
    <t>LY7MW40G6X</t>
  </si>
  <si>
    <t>G706141169</t>
  </si>
  <si>
    <t>G9PHJEK09D300005DR</t>
  </si>
  <si>
    <t>GH3HFP00KB300005DS</t>
  </si>
  <si>
    <t>G704903857</t>
  </si>
  <si>
    <t>661-44798</t>
  </si>
  <si>
    <t>TrueDepth Camera, iPhone 16</t>
  </si>
  <si>
    <t>DNPHJF01ZF10000FER</t>
  </si>
  <si>
    <t>GMHHAC039XZ00006SX</t>
  </si>
  <si>
    <t>G704590713</t>
  </si>
  <si>
    <t>661-35694</t>
  </si>
  <si>
    <t>Battery, iPhone 15 Pro</t>
  </si>
  <si>
    <t>F8YHN5C0FU900006TP</t>
  </si>
  <si>
    <t>F8YGZK31FH300006TR</t>
  </si>
  <si>
    <t>G686488040</t>
  </si>
  <si>
    <t>F8Y5456C5U018FKBW</t>
  </si>
  <si>
    <t>FG9215542YV18FMAV</t>
  </si>
  <si>
    <t>G702325293</t>
  </si>
  <si>
    <t>H3JKT93V5V</t>
  </si>
  <si>
    <t>JPKQPXF6DQ</t>
  </si>
  <si>
    <t>G702040077</t>
  </si>
  <si>
    <t>F8Y5522C78M20J9BH</t>
  </si>
  <si>
    <t>F8Y24041D3L20JC2W</t>
  </si>
  <si>
    <t>G701563611</t>
  </si>
  <si>
    <t>G9PHJSS0JDC00005DR</t>
  </si>
  <si>
    <t>GVCHAK03DZQ00005DS</t>
  </si>
  <si>
    <t>G701185695</t>
  </si>
  <si>
    <t>661-50105</t>
  </si>
  <si>
    <t>GMGHLJ000ZJ0000GVL</t>
  </si>
  <si>
    <t>GMGHN00006A0000GVK</t>
  </si>
  <si>
    <t>G683916514</t>
  </si>
  <si>
    <t>661-41794</t>
  </si>
  <si>
    <t>Display, Space Black</t>
  </si>
  <si>
    <t>FMXHMH002LW00006J3</t>
  </si>
  <si>
    <t>FMXHFC004FE00006J3</t>
  </si>
  <si>
    <t>G698164145</t>
  </si>
  <si>
    <t>G9PHK6T0AW200005DP</t>
  </si>
  <si>
    <t>GVCHG20009900005DQ</t>
  </si>
  <si>
    <t>G698150307</t>
  </si>
  <si>
    <t>F8Y5246C4YX18FKBT</t>
  </si>
  <si>
    <t>FG932730EWF18FMA7</t>
  </si>
  <si>
    <t>G698121751</t>
  </si>
  <si>
    <t>GMG5413034M1J87A0</t>
  </si>
  <si>
    <t>GMG4484040C1J88A0</t>
  </si>
  <si>
    <t>G698109265</t>
  </si>
  <si>
    <t>F8Y5447C4UXQ687B2</t>
  </si>
  <si>
    <t>F8Y04533BJMQ68723</t>
  </si>
  <si>
    <t>G698056549</t>
  </si>
  <si>
    <t>GMG5412031L1J87AB</t>
  </si>
  <si>
    <t>FP15415032525YTAG</t>
  </si>
  <si>
    <t>G698052597</t>
  </si>
  <si>
    <t>661-22294</t>
  </si>
  <si>
    <t>Battery, iPhone 13 Pro Max</t>
  </si>
  <si>
    <t>F8Y5451C20S13XCBS</t>
  </si>
  <si>
    <t>F8Y14960N6E13XC86</t>
  </si>
  <si>
    <t>Most Used Parts in All Sites</t>
  </si>
  <si>
    <t>G682019648</t>
  </si>
  <si>
    <t>661-26778</t>
  </si>
  <si>
    <t>Power Adapter, Dual USB-C, 35W, Compact</t>
  </si>
  <si>
    <t>F165212076L0J9VA9</t>
  </si>
  <si>
    <t>HVY45220YH27HDAU</t>
  </si>
  <si>
    <t>Top Sites with Most Used Parts</t>
  </si>
  <si>
    <t>G698019801</t>
  </si>
  <si>
    <t>F8Y5483C6G2Q4C2BJ</t>
  </si>
  <si>
    <t>F5D0425DR73Q4C09M</t>
  </si>
  <si>
    <t>Sites with Most Used MID SYSTEM</t>
  </si>
  <si>
    <t>661-18466</t>
  </si>
  <si>
    <t>Display, iPhone 12 Pro Max</t>
  </si>
  <si>
    <t>G9Q5244B57UMRY1A6</t>
  </si>
  <si>
    <t>G9N0396NJAGMRY1AW</t>
  </si>
  <si>
    <t>Sites with Most Used REAR SYSTEM</t>
  </si>
  <si>
    <t>G698019305</t>
  </si>
  <si>
    <t>Sites with Most Used BACK GLASS</t>
  </si>
  <si>
    <t>661-22374</t>
  </si>
  <si>
    <t>Battery, iPhone 13 mini</t>
  </si>
  <si>
    <t>F8Y5395CK0F14LWCG</t>
  </si>
  <si>
    <t>F8Y21320CU614LW8U</t>
  </si>
  <si>
    <t>G697999933</t>
  </si>
  <si>
    <t>661-21993</t>
  </si>
  <si>
    <t>Display, iPhone 13 Pro</t>
  </si>
  <si>
    <t>G9P5352LGHWPQCKA6</t>
  </si>
  <si>
    <t>G9P2167ZKGFPQCKAK</t>
  </si>
  <si>
    <t>G697943745</t>
  </si>
  <si>
    <t>H9M4DHV4VD</t>
  </si>
  <si>
    <t>Site Description</t>
  </si>
  <si>
    <t>G697769929</t>
  </si>
  <si>
    <t>Total Quantity</t>
  </si>
  <si>
    <t>661-30366</t>
  </si>
  <si>
    <t>Display, iPhone 14</t>
  </si>
  <si>
    <t>G9Q5442VK141502AK</t>
  </si>
  <si>
    <t>GVC307318H01503AM</t>
  </si>
  <si>
    <t>G697761821</t>
  </si>
  <si>
    <t>G9P5347M2CVPQCLAW</t>
  </si>
  <si>
    <t>G9P2242NNB6PQCLAE</t>
  </si>
  <si>
    <t>All</t>
  </si>
  <si>
    <t>G681792278</t>
  </si>
  <si>
    <t>D2TNXK32X5</t>
  </si>
  <si>
    <t>Site</t>
  </si>
  <si>
    <t>G697710807</t>
  </si>
  <si>
    <t>G9Q5434XLNY1502AQ</t>
  </si>
  <si>
    <t>GVC4353018N1503A2</t>
  </si>
  <si>
    <t>G697596455</t>
  </si>
  <si>
    <t>ZP661-39830</t>
  </si>
  <si>
    <t>Blue, iPad Air 13-inch (M2), 256GB, Wi-Fi, ITP</t>
  </si>
  <si>
    <t>LQN37GWHDW</t>
  </si>
  <si>
    <t>DR2HKW0VQR</t>
  </si>
  <si>
    <t>G681597824</t>
  </si>
  <si>
    <t>G9P5351M9EJPQCLAX</t>
  </si>
  <si>
    <t>G9N2253V973PQCLAJ</t>
  </si>
  <si>
    <t>G697467523</t>
  </si>
  <si>
    <t>F8Y5474C8BK18FKBM</t>
  </si>
  <si>
    <t>FG922141ANJ18FMAF</t>
  </si>
  <si>
    <t>G697404433</t>
  </si>
  <si>
    <t>661-26150</t>
  </si>
  <si>
    <t>Battery</t>
  </si>
  <si>
    <t>F8Y5391N01L10X2C0</t>
  </si>
  <si>
    <t>F5D343301FV10DLB0</t>
  </si>
  <si>
    <t>G697397525</t>
  </si>
  <si>
    <t>ZP661-42976</t>
  </si>
  <si>
    <t>Starlight, 256GB, iPad mini, Wi-Fi, CI/AR, ITP</t>
  </si>
  <si>
    <t>JWGK9FQ6M1</t>
  </si>
  <si>
    <t>H1F21G3YD7</t>
  </si>
  <si>
    <t>G697391967</t>
  </si>
  <si>
    <t>G9P5377CFFRPR5QAC</t>
  </si>
  <si>
    <t>G9Q5181CM4LPR5QAE</t>
  </si>
  <si>
    <t>G681519978</t>
  </si>
  <si>
    <t>C02HDX009ZY0000P0S</t>
  </si>
  <si>
    <t>C02HGP002H40000P0R</t>
  </si>
  <si>
    <t>661-50104</t>
  </si>
  <si>
    <t>GMGHLG00BCA0000GVL</t>
  </si>
  <si>
    <t>FP1HFL006FF0000G2A</t>
  </si>
  <si>
    <t>G697386541</t>
  </si>
  <si>
    <t>F8Y5446C47A18FKBK</t>
  </si>
  <si>
    <t>F8Y324507JX18FLA9</t>
  </si>
  <si>
    <t>G697380985</t>
  </si>
  <si>
    <t>HN6WW162VC</t>
  </si>
  <si>
    <t>G697379393</t>
  </si>
  <si>
    <t>F8Y5465CAB2217WBM</t>
  </si>
  <si>
    <t>F8Y24331Q9L217W7S</t>
  </si>
  <si>
    <t>G697280287</t>
  </si>
  <si>
    <t>G9PHKYT2RLT00005DP</t>
  </si>
  <si>
    <t>G9PHBDE1LGQ00005DP</t>
  </si>
  <si>
    <t>G697262403</t>
  </si>
  <si>
    <t>G9P5385M2L2PQCLAP</t>
  </si>
  <si>
    <t>G9L1487E85UPQCLA1</t>
  </si>
  <si>
    <t>G697253995</t>
  </si>
  <si>
    <t>FJDF7THWV7</t>
  </si>
  <si>
    <t>G697234461</t>
  </si>
  <si>
    <t>F9GFPT2Y2F</t>
  </si>
  <si>
    <t>JMVHDJJ9TV</t>
  </si>
  <si>
    <t>G697209707</t>
  </si>
  <si>
    <t>G9PHJ3U0BXZ00005DR</t>
  </si>
  <si>
    <t>GH3HD20032D00005DS</t>
  </si>
  <si>
    <t>G697162923</t>
  </si>
  <si>
    <t>F8Y5437CJN120J9BB</t>
  </si>
  <si>
    <t>F5D32177ZQT20J8AR</t>
  </si>
  <si>
    <t>G697111499</t>
  </si>
  <si>
    <t>KF2J77CF7Y</t>
  </si>
  <si>
    <t>YQCDH7TT6D</t>
  </si>
  <si>
    <t>G696924355</t>
  </si>
  <si>
    <t>G9P5385MG3VPQCLAZ</t>
  </si>
  <si>
    <t>G9P2141NG7SPQCLAE</t>
  </si>
  <si>
    <t>G696826703</t>
  </si>
  <si>
    <t>F8Y5437CJN820J9B4</t>
  </si>
  <si>
    <t>F8Y24372G9820J929</t>
  </si>
  <si>
    <t>G696750801</t>
  </si>
  <si>
    <t>G9P5133MJFSPQCLAH</t>
  </si>
  <si>
    <t>G9N2142MB38PQCLAJ</t>
  </si>
  <si>
    <t>G696748703</t>
  </si>
  <si>
    <t>KY2VX2LF14</t>
  </si>
  <si>
    <t>G696607285</t>
  </si>
  <si>
    <t>HYXRFPMYJP</t>
  </si>
  <si>
    <t>G696603009</t>
  </si>
  <si>
    <t>DNPHMJ00FZF0000FER</t>
  </si>
  <si>
    <t>GMHHG000SC000006SX</t>
  </si>
  <si>
    <t>G696530789</t>
  </si>
  <si>
    <t>661-44799</t>
  </si>
  <si>
    <t>Camera, iPhone 16</t>
  </si>
  <si>
    <t>DNMHFZ00LZM000048L</t>
  </si>
  <si>
    <t>GCFHBT009CE00005LT</t>
  </si>
  <si>
    <t>G696505839</t>
  </si>
  <si>
    <t>FK1HAY0032U00001WF</t>
  </si>
  <si>
    <t>GMH34652LRT203RAA</t>
  </si>
  <si>
    <t>661-36915</t>
  </si>
  <si>
    <t>Display, iPhone 15 Pro Max</t>
  </si>
  <si>
    <t>G9P5272QLKU1PHRAT</t>
  </si>
  <si>
    <t>GVC33974B431PHTA7</t>
  </si>
  <si>
    <t>G696281375</t>
  </si>
  <si>
    <t>FV930240B241WP0DE</t>
  </si>
  <si>
    <t>HXK447205Q51N08FC</t>
  </si>
  <si>
    <t>G696125361</t>
  </si>
  <si>
    <t>G9P5277CBF7PR5QA1</t>
  </si>
  <si>
    <t>GVH50511SS5PR5PAH</t>
  </si>
  <si>
    <t>G696112649</t>
  </si>
  <si>
    <t>G9P5346MJNYPQCLAG</t>
  </si>
  <si>
    <t>G9N233625R0PQCLAL</t>
  </si>
  <si>
    <t>G696090409</t>
  </si>
  <si>
    <t>LMQVW0CF6R</t>
  </si>
  <si>
    <t>G695844135</t>
  </si>
  <si>
    <t>661-27685</t>
  </si>
  <si>
    <t>Logic Board, 10-core CPU, 16-core GPU, 16GB, 512GB</t>
  </si>
  <si>
    <t>C023194003V1TY4AK</t>
  </si>
  <si>
    <t>C0225140DBG1TY4AJ</t>
  </si>
  <si>
    <t>G695768847</t>
  </si>
  <si>
    <t>GMG534100RT1J88AV</t>
  </si>
  <si>
    <t>F0Y4415006S1J88A6</t>
  </si>
  <si>
    <t>G695730791</t>
  </si>
  <si>
    <t>F8Y5446C4KB18FKBG</t>
  </si>
  <si>
    <t>FG932820KGA18FMAD</t>
  </si>
  <si>
    <t>G695661841</t>
  </si>
  <si>
    <t>C475RVYC5X</t>
  </si>
  <si>
    <t>G695554787</t>
  </si>
  <si>
    <t>661-35885</t>
  </si>
  <si>
    <t>Battery, iPhone 15</t>
  </si>
  <si>
    <t>F8YHM8C06R800006TW</t>
  </si>
  <si>
    <t>F8YGZW20SS700006TY</t>
  </si>
  <si>
    <t>G695478387</t>
  </si>
  <si>
    <t>661-21255</t>
  </si>
  <si>
    <t>Logic Board, 8-Core CPU, 14-Core GPU, 16GB Memory, 512GB SSD</t>
  </si>
  <si>
    <t>C022043063D170GAH</t>
  </si>
  <si>
    <t>G695378979</t>
  </si>
  <si>
    <t>HR21DY03CC</t>
  </si>
  <si>
    <t>G695284349</t>
  </si>
  <si>
    <t>D2R73N7F5H</t>
  </si>
  <si>
    <t>L9TV0G4QC0</t>
  </si>
  <si>
    <t>G695060077</t>
  </si>
  <si>
    <t>MDXFX9YD06</t>
  </si>
  <si>
    <t>G694907551</t>
  </si>
  <si>
    <t>PP661-22982</t>
  </si>
  <si>
    <t>Pink, 128 GB, iPhone 13, ROW, CI/AR, Philippines</t>
  </si>
  <si>
    <t>KVQVF6W1YD</t>
  </si>
  <si>
    <t>G694089443</t>
  </si>
  <si>
    <t>G9P5273QK0P1PHRAM</t>
  </si>
  <si>
    <t>G9P5211QKFH1PHRA2</t>
  </si>
  <si>
    <t>CP9CP7JXLG</t>
  </si>
  <si>
    <t>G689759433</t>
  </si>
  <si>
    <t>SACM</t>
  </si>
  <si>
    <t>J334442091G0W9GLH</t>
  </si>
  <si>
    <t>FV943960D840W9GHG</t>
  </si>
  <si>
    <t>MOBILECARE - NEWPOINT MALL</t>
  </si>
  <si>
    <t>G715331973</t>
  </si>
  <si>
    <t>F8Y6183C66618FKBF</t>
  </si>
  <si>
    <t>FG9138402QU18FM49</t>
  </si>
  <si>
    <t>G714821277</t>
  </si>
  <si>
    <t>F8Y6141C42YQ4C2BC</t>
  </si>
  <si>
    <t>F8Y10473BBKQ4C290</t>
  </si>
  <si>
    <t>G713866307</t>
  </si>
  <si>
    <t>F8Y6167C55K18FKB8</t>
  </si>
  <si>
    <t>FG941960T1018FMBE</t>
  </si>
  <si>
    <t>G711852485</t>
  </si>
  <si>
    <t>661-16086</t>
  </si>
  <si>
    <t>D865123N08XPJYRBC</t>
  </si>
  <si>
    <t>D861365A40SPJYRA4</t>
  </si>
  <si>
    <t>G693556754</t>
  </si>
  <si>
    <t>PP661-28869</t>
  </si>
  <si>
    <t>iPhone 14, Starlight, 128GB, Logic Board Assy Mid System, ROW</t>
  </si>
  <si>
    <t>C6DMY74J2P</t>
  </si>
  <si>
    <t>DN91D2FDQ9</t>
  </si>
  <si>
    <t>G709991317</t>
  </si>
  <si>
    <t>G9NHFDP2VRR00005DR</t>
  </si>
  <si>
    <t>GVCHB801SLV00005DS</t>
  </si>
  <si>
    <t>G710388281</t>
  </si>
  <si>
    <t>TA661-45263</t>
  </si>
  <si>
    <t>256GB, Desert Titanium, ROW, iPhone 16 Pro Max, CI/AR</t>
  </si>
  <si>
    <t>HGWJ6775Y4</t>
  </si>
  <si>
    <t>GHFLYXM1V2</t>
  </si>
  <si>
    <t>G708719803</t>
  </si>
  <si>
    <t>G9P5332QM951PHRAN</t>
  </si>
  <si>
    <t>G9Q3402JLK61PHRAP</t>
  </si>
  <si>
    <t>G689413874</t>
  </si>
  <si>
    <t>G9Q5182P0JQPR5QAP</t>
  </si>
  <si>
    <t>G9Q5033F2G2PR5QAL</t>
  </si>
  <si>
    <t>G706966501</t>
  </si>
  <si>
    <t>G0NHCX00CQ80000HKZ</t>
  </si>
  <si>
    <t>FNJH7RF11QJ0000BXF</t>
  </si>
  <si>
    <t>G706950751</t>
  </si>
  <si>
    <t>FXVJH7VV0N</t>
  </si>
  <si>
    <t>DG2N3W4646</t>
  </si>
  <si>
    <t>G704774211</t>
  </si>
  <si>
    <t>RLSD</t>
  </si>
  <si>
    <t>G9P5323MJ3GPQCLAW</t>
  </si>
  <si>
    <t>G9P2252R123PQCLAK</t>
  </si>
  <si>
    <t>G704281431</t>
  </si>
  <si>
    <t>GVH51662F45PR5PAE</t>
  </si>
  <si>
    <t>GVH523418FSPR5PAE</t>
  </si>
  <si>
    <t>G702619257</t>
  </si>
  <si>
    <t>661-50129</t>
  </si>
  <si>
    <t>GMGHM1000900000HX1</t>
  </si>
  <si>
    <t>F0YHG60024R0000HX2</t>
  </si>
  <si>
    <t>G702558029</t>
  </si>
  <si>
    <t>Z661-55956</t>
  </si>
  <si>
    <t>Logic Board, 256GB, iPhone 17 Pro Max, ROW</t>
  </si>
  <si>
    <t>GGF9Y1C2PL</t>
  </si>
  <si>
    <t>FYKGVYLFY3</t>
  </si>
  <si>
    <t>G701077179</t>
  </si>
  <si>
    <t>GQ2HP72RYY</t>
  </si>
  <si>
    <t>D6V9M7R2LH</t>
  </si>
  <si>
    <t>G699761441</t>
  </si>
  <si>
    <t>661-23878</t>
  </si>
  <si>
    <t>TrueDepth Camera, iPhone 13</t>
  </si>
  <si>
    <t>J9Q54250TBJ0GKWAW</t>
  </si>
  <si>
    <t>FNJ5305PYQDQ274A5</t>
  </si>
  <si>
    <t>G683109186</t>
  </si>
  <si>
    <t>HGK9L6Y6M4</t>
  </si>
  <si>
    <t>MG9D12061W</t>
  </si>
  <si>
    <t>G699385447</t>
  </si>
  <si>
    <t>HGHPT28WP0GV</t>
  </si>
  <si>
    <t>HGPQ31SNP0GV</t>
  </si>
  <si>
    <t>G698271445</t>
  </si>
  <si>
    <t>CQFXFL6N0Y</t>
  </si>
  <si>
    <t>H92NY6GH33</t>
  </si>
  <si>
    <t>G698170865</t>
  </si>
  <si>
    <t>F8Y5445C7NZ18FKBH</t>
  </si>
  <si>
    <t>FG9232500ES18FMA5</t>
  </si>
  <si>
    <t>G698163951</t>
  </si>
  <si>
    <t>661-25797</t>
  </si>
  <si>
    <t>Display, Space Gray</t>
  </si>
  <si>
    <t>GMG533601GL1J88AS</t>
  </si>
  <si>
    <t>FP1448301WB25YTAE</t>
  </si>
  <si>
    <t>G698122939</t>
  </si>
  <si>
    <t>DNMHG702EUB000048L</t>
  </si>
  <si>
    <t>DNMHA0048ML000048L</t>
  </si>
  <si>
    <t>G698114183</t>
  </si>
  <si>
    <t>MC7QV9H4K4</t>
  </si>
  <si>
    <t>CHGTJV2MM6</t>
  </si>
  <si>
    <t>G682021082</t>
  </si>
  <si>
    <t>G9PHK4F11BV00005DP</t>
  </si>
  <si>
    <t>GVCHAU014JE00005DQ</t>
  </si>
  <si>
    <t>G698041753</t>
  </si>
  <si>
    <t>F8Y5434C07813RHC4</t>
  </si>
  <si>
    <t>F5D13831PV413RK9L</t>
  </si>
  <si>
    <t>G698040581</t>
  </si>
  <si>
    <t>G9P5306MLNMPQCLA3</t>
  </si>
  <si>
    <t>G9P2191Q9E4PQCLA1</t>
  </si>
  <si>
    <t>G698035831</t>
  </si>
  <si>
    <t>M4XW7Y0GM6</t>
  </si>
  <si>
    <t>G698026533</t>
  </si>
  <si>
    <t>661-30393</t>
  </si>
  <si>
    <t>Camera, iPhone 14 Plus</t>
  </si>
  <si>
    <t>DNL522303AY1986B7</t>
  </si>
  <si>
    <t>DNL40820T721986BA</t>
  </si>
  <si>
    <t>G698025485</t>
  </si>
  <si>
    <t>FV931671H1G1N0ND1</t>
  </si>
  <si>
    <t>HXK446300JL1N08FN</t>
  </si>
  <si>
    <t>G698018717</t>
  </si>
  <si>
    <t>DNL52220P3V1986BC</t>
  </si>
  <si>
    <t>DNL4492176C1986BD</t>
  </si>
  <si>
    <t>G698008707</t>
  </si>
  <si>
    <t>GVCHK703GCR0000MUZ</t>
  </si>
  <si>
    <t>GVCHM4045JR0000MUZ</t>
  </si>
  <si>
    <t>G681993482</t>
  </si>
  <si>
    <t>G0NHK200RUR0000HKZ</t>
  </si>
  <si>
    <t>FNJHB3V05FG0000BXF</t>
  </si>
  <si>
    <t>G697976809</t>
  </si>
  <si>
    <t>C9GP94X23G</t>
  </si>
  <si>
    <t>MC2KL4470D</t>
  </si>
  <si>
    <t>G697974651</t>
  </si>
  <si>
    <t>G9PHKYF05TJ00005DP</t>
  </si>
  <si>
    <t>GVCHAF04U9L00005DQ</t>
  </si>
  <si>
    <t>G697964923</t>
  </si>
  <si>
    <t>PP661-28614</t>
  </si>
  <si>
    <t>Starlight, iPhone 14, 128GB, ROW, CI/AR, Philippines</t>
  </si>
  <si>
    <t>LWXC0YG9YQ</t>
  </si>
  <si>
    <t>C30GPW6735</t>
  </si>
  <si>
    <t>G697955579</t>
  </si>
  <si>
    <t>D7WP4TG9ND</t>
  </si>
  <si>
    <t>CM6WVJ6467</t>
  </si>
  <si>
    <t>G697952607</t>
  </si>
  <si>
    <t>F2Y5T632PG</t>
  </si>
  <si>
    <t>KLJ1937NH7</t>
  </si>
  <si>
    <t>G697948169</t>
  </si>
  <si>
    <t>CH9YWNX75Q</t>
  </si>
  <si>
    <t>F2YH4DYYW0</t>
  </si>
  <si>
    <t>HQ0X7CGQ61</t>
  </si>
  <si>
    <t>661-32232</t>
  </si>
  <si>
    <t>Rear Camera, iPhone 13/mini, MICN</t>
  </si>
  <si>
    <t>GCF4512077SQ59TBZ</t>
  </si>
  <si>
    <t>DNL44020BEBQ7172W</t>
  </si>
  <si>
    <t>G697943373</t>
  </si>
  <si>
    <t>ZP661-22036</t>
  </si>
  <si>
    <t>Space Gray, 256 GB, iPad 9th Generation, Wi-Fi, ITP</t>
  </si>
  <si>
    <t>K72XD2T6L9</t>
  </si>
  <si>
    <t>T9HK6RVWP7</t>
  </si>
  <si>
    <t>G697927121</t>
  </si>
  <si>
    <t>TA661-36467</t>
  </si>
  <si>
    <t>15 Plus, Pink, 128GB, Logic Board Assy Mid System, ROW</t>
  </si>
  <si>
    <t>FJY2QX9HFK</t>
  </si>
  <si>
    <t>LD63QGN7HP</t>
  </si>
  <si>
    <t>G697919363</t>
  </si>
  <si>
    <t>F1YV6G2CD6</t>
  </si>
  <si>
    <t>JVK2YQFP9F</t>
  </si>
  <si>
    <t>G697776499</t>
  </si>
  <si>
    <t>661-36980</t>
  </si>
  <si>
    <t>Logic Board, 12-core CPU, 18-core GPU, 36GB, 512GB</t>
  </si>
  <si>
    <t>FV9H8L00US50000H6C</t>
  </si>
  <si>
    <t>FV9H590072C0000H6C</t>
  </si>
  <si>
    <t>G697754223</t>
  </si>
  <si>
    <t>F8Y5403C1UB13XCB5</t>
  </si>
  <si>
    <t>F8Y14820XL413X88A</t>
  </si>
  <si>
    <t>G697743345</t>
  </si>
  <si>
    <t>F8Y5403C1UJ13XCBY</t>
  </si>
  <si>
    <t>F5D13778BAM13X998</t>
  </si>
  <si>
    <t>G697727021</t>
  </si>
  <si>
    <t>G9P5382CHMNPR5QAX</t>
  </si>
  <si>
    <t>GVH51260WS9PR5PAF</t>
  </si>
  <si>
    <t>G697721889</t>
  </si>
  <si>
    <t>K06KPHF9N0</t>
  </si>
  <si>
    <t>LTWVWL4DV7</t>
  </si>
  <si>
    <t>G697716903</t>
  </si>
  <si>
    <t>G9P5265LGAFPQCKA3</t>
  </si>
  <si>
    <t>G9N2103YCMZPQCKAK</t>
  </si>
  <si>
    <t>G697711547</t>
  </si>
  <si>
    <t>H6HXWM0W4C</t>
  </si>
  <si>
    <t>MY39GG7PC7</t>
  </si>
  <si>
    <t>G697632607</t>
  </si>
  <si>
    <t>G9P5352M8S5PQCLA8</t>
  </si>
  <si>
    <t>G9N2167MPMSPQCLAR</t>
  </si>
  <si>
    <t>G697630281</t>
  </si>
  <si>
    <t>L94J7L02JY</t>
  </si>
  <si>
    <t>C76PRW5J02</t>
  </si>
  <si>
    <t>G697627053</t>
  </si>
  <si>
    <t>G9PHJUS1EDJ00005DR</t>
  </si>
  <si>
    <t>GH3HC002H9D00005DS</t>
  </si>
  <si>
    <t>G697622351</t>
  </si>
  <si>
    <t>K10W6J9LPM</t>
  </si>
  <si>
    <t>K7554YKCFP</t>
  </si>
  <si>
    <t>G697610873</t>
  </si>
  <si>
    <t>661-41796</t>
  </si>
  <si>
    <t>Logic Board, 12-core CPU, 16-core GPU, 24GB, 1TB</t>
  </si>
  <si>
    <t>FV9HGB000050000HEU</t>
  </si>
  <si>
    <t>J4FHK80001L0000HF1</t>
  </si>
  <si>
    <t>G697599309</t>
  </si>
  <si>
    <t>G9Q5434W2L51502AA</t>
  </si>
  <si>
    <t>GVC44740LAG1503A9</t>
  </si>
  <si>
    <t>G697584029</t>
  </si>
  <si>
    <t>DNL52920J921986A8</t>
  </si>
  <si>
    <t>DNL33751G1K1986BK</t>
  </si>
  <si>
    <t>G697576959</t>
  </si>
  <si>
    <t>DMG44V3F2J</t>
  </si>
  <si>
    <t>JF659N20D9</t>
  </si>
  <si>
    <t>G697571907</t>
  </si>
  <si>
    <t>TA661-36695</t>
  </si>
  <si>
    <t>iPhone 15, Green, 128GB, Logic Board Assy Mid System, ROW</t>
  </si>
  <si>
    <t>LV374PGVF6</t>
  </si>
  <si>
    <t>CWRQ6DKG2N</t>
  </si>
  <si>
    <t>G697510587</t>
  </si>
  <si>
    <t>PA661-18537</t>
  </si>
  <si>
    <t>Power Adapter with Ethernet, 143W, Yellow, APAC</t>
  </si>
  <si>
    <t>C4H436402D42DG9A9</t>
  </si>
  <si>
    <t>C4H134203QZ02KMBQ</t>
  </si>
  <si>
    <t>G697510439</t>
  </si>
  <si>
    <t>FV9237100L01WP0A6</t>
  </si>
  <si>
    <t>HXK341703UK1WP0D9</t>
  </si>
  <si>
    <t>G697508773</t>
  </si>
  <si>
    <t>JJ1WVW4G6X</t>
  </si>
  <si>
    <t>HK62Q7704K</t>
  </si>
  <si>
    <t>G681603512</t>
  </si>
  <si>
    <t>C4RJWM2XQC</t>
  </si>
  <si>
    <t>M2VWV6MTGR</t>
  </si>
  <si>
    <t>G681602308</t>
  </si>
  <si>
    <t>TA661-43500</t>
  </si>
  <si>
    <t>128GB, Pink, ROW, iPhone 16, CI/AR</t>
  </si>
  <si>
    <t>CP2X54YD2Y</t>
  </si>
  <si>
    <t>L3HC4XNVWG</t>
  </si>
  <si>
    <t>G681600792</t>
  </si>
  <si>
    <t>TA661-43504</t>
  </si>
  <si>
    <t>256GB, White, ROW, iPhone 16, CI/AR</t>
  </si>
  <si>
    <t>HGMV7FMW0F</t>
  </si>
  <si>
    <t>KCFGWFH19W</t>
  </si>
  <si>
    <t>G681594766</t>
  </si>
  <si>
    <t>DN2KH2619C</t>
  </si>
  <si>
    <t>JVJ373M70W</t>
  </si>
  <si>
    <t>G697494015</t>
  </si>
  <si>
    <t>G5QX1272YF</t>
  </si>
  <si>
    <t>J1YN9FCJHL</t>
  </si>
  <si>
    <t>G697489017</t>
  </si>
  <si>
    <t>GVH533704NAPR5PAC</t>
  </si>
  <si>
    <t>GVH45153NEDPR5PAF</t>
  </si>
  <si>
    <t>G697482077</t>
  </si>
  <si>
    <t>G9P5353L1LSPQCKAF</t>
  </si>
  <si>
    <t>G9P2034VP3EPQCKAC</t>
  </si>
  <si>
    <t>G697475603</t>
  </si>
  <si>
    <t>H64KK62TXM</t>
  </si>
  <si>
    <t>KXJW7X96N4</t>
  </si>
  <si>
    <t>G697472291</t>
  </si>
  <si>
    <t>TA661-36692</t>
  </si>
  <si>
    <t>iPhone 15, Pink, 128GB, Logic Board Assy Mid System, ROW</t>
  </si>
  <si>
    <t>D2R99624W1</t>
  </si>
  <si>
    <t>KWN12Q3HYQ</t>
  </si>
  <si>
    <t>G697467475</t>
  </si>
  <si>
    <t>661-36848</t>
  </si>
  <si>
    <t>EarPods, USB-C</t>
  </si>
  <si>
    <t>SJL4HP677V0</t>
  </si>
  <si>
    <t>HD4N0GMHKL</t>
  </si>
  <si>
    <t>G697456899</t>
  </si>
  <si>
    <t>GMG536502F0NR89B0</t>
  </si>
  <si>
    <t>FP1524402L9249XAK</t>
  </si>
  <si>
    <t>G697399635</t>
  </si>
  <si>
    <t>661-37008</t>
  </si>
  <si>
    <t>Logic Board, 16-core CPU, 40-core GPU, 128GB, 8TB</t>
  </si>
  <si>
    <t>FV95453004C23NPB3</t>
  </si>
  <si>
    <t>FV9348408S623NPA2</t>
  </si>
  <si>
    <t>661-38683</t>
  </si>
  <si>
    <t>FMX5454021A278XAC</t>
  </si>
  <si>
    <t>DCN3481009T278WAC</t>
  </si>
  <si>
    <t>661-38764</t>
  </si>
  <si>
    <t>Top Case with Battery, Space Black, ANSI</t>
  </si>
  <si>
    <t>F8YHMFN00E500000E9</t>
  </si>
  <si>
    <t>F8YH0Y0066U00000E7</t>
  </si>
  <si>
    <t>G697397211</t>
  </si>
  <si>
    <t>F8Y5473C16V13RHC8</t>
  </si>
  <si>
    <t>F8Y216302FS13RHB3</t>
  </si>
  <si>
    <t>G697387157</t>
  </si>
  <si>
    <t>F8Y5447C2PN18FKBU</t>
  </si>
  <si>
    <t>FG91491062218FM4U</t>
  </si>
  <si>
    <t>G697375915</t>
  </si>
  <si>
    <t>661-41645</t>
  </si>
  <si>
    <t>English, ANSI, Black, Magic Keyboard for iPad Pro 11-inch (M4)</t>
  </si>
  <si>
    <t>TQYRVHXKGG</t>
  </si>
  <si>
    <t>GX5YXG197T</t>
  </si>
  <si>
    <t>G697287101</t>
  </si>
  <si>
    <t>F8Y5391N01E10X2C6</t>
  </si>
  <si>
    <t>F8Y5284G03Y10X2C1</t>
  </si>
  <si>
    <t>G697285999</t>
  </si>
  <si>
    <t>661-42843</t>
  </si>
  <si>
    <t>Display, iPhone 16 Plus</t>
  </si>
  <si>
    <t>G9QHL8T0R5700004Y9</t>
  </si>
  <si>
    <t>G9QHB2Q41FK00004Y9</t>
  </si>
  <si>
    <t>G697282049</t>
  </si>
  <si>
    <t>FV93177125N1WP1D7</t>
  </si>
  <si>
    <t>FV932340HDZ1WP1D8</t>
  </si>
  <si>
    <t>G697280171</t>
  </si>
  <si>
    <t>G9P5271QFRD1PHRAW</t>
  </si>
  <si>
    <t>GVC40852E161PHTAM</t>
  </si>
  <si>
    <t>G697279355</t>
  </si>
  <si>
    <t>GVCHJ701QJ60000MUZ</t>
  </si>
  <si>
    <t>G9NHLEM7D9T0000MUY</t>
  </si>
  <si>
    <t>G697278163</t>
  </si>
  <si>
    <t>ZP661-29105</t>
  </si>
  <si>
    <t>Space Gray, iPad Pro 12.9-inch 6th gen, 256GB, Wi-Fi, ITP</t>
  </si>
  <si>
    <t>D6J0W4KW1M</t>
  </si>
  <si>
    <t>CXDXXDWX5Q</t>
  </si>
  <si>
    <t>G697277559</t>
  </si>
  <si>
    <t>G9PHJBK0C6200005DR</t>
  </si>
  <si>
    <t>GH3H9J02PFG00005DS</t>
  </si>
  <si>
    <t>G697273431</t>
  </si>
  <si>
    <t>J29J9G9QHK</t>
  </si>
  <si>
    <t>DLWVPVW2X9</t>
  </si>
  <si>
    <t>G697269299</t>
  </si>
  <si>
    <t>TA661-44999</t>
  </si>
  <si>
    <t>256GB, Black Titanium, ROW, iPhone 16 Pro, Logic Board Assy Mid System</t>
  </si>
  <si>
    <t>GK7LHF4JTH</t>
  </si>
  <si>
    <t>GGN0H74XD1</t>
  </si>
  <si>
    <t>G697266757</t>
  </si>
  <si>
    <t>G194WJQYD3</t>
  </si>
  <si>
    <t>H4M670F29C</t>
  </si>
  <si>
    <t>G697254791</t>
  </si>
  <si>
    <t>LXJJYFF9YJ</t>
  </si>
  <si>
    <t>KN946F9N1W</t>
  </si>
  <si>
    <t>G697240871</t>
  </si>
  <si>
    <t>ZP661-28888</t>
  </si>
  <si>
    <t>Pink, iPad 10th generation, 64GB, Wi-Fi, ITP</t>
  </si>
  <si>
    <t>LH6DXJYF7C</t>
  </si>
  <si>
    <t>CF49VH462X</t>
  </si>
  <si>
    <t>G697239481</t>
  </si>
  <si>
    <t>YNXKVYTX5N</t>
  </si>
  <si>
    <t>XNVP73R771</t>
  </si>
  <si>
    <t>G697237717</t>
  </si>
  <si>
    <t>F8Y5446C45W18FKB5</t>
  </si>
  <si>
    <t>F8Y222504H418FLAH</t>
  </si>
  <si>
    <t>G697231183</t>
  </si>
  <si>
    <t>TA661-43611</t>
  </si>
  <si>
    <t>256GB, White, ROW, iPhone 16, Logic Board Assy Mid System</t>
  </si>
  <si>
    <t>LPF4M6LD73</t>
  </si>
  <si>
    <t>C7CY4306RN</t>
  </si>
  <si>
    <t>G697225151</t>
  </si>
  <si>
    <t>LXTR9X3LXK</t>
  </si>
  <si>
    <t>DM073XYX1T</t>
  </si>
  <si>
    <t>G697218233</t>
  </si>
  <si>
    <t>VMWF3VJP9F</t>
  </si>
  <si>
    <t>W60P9XT0Y7</t>
  </si>
  <si>
    <t>G697164859</t>
  </si>
  <si>
    <t>JYWT143MHC</t>
  </si>
  <si>
    <t>HYVXXMJHYR</t>
  </si>
  <si>
    <t>G697161861</t>
  </si>
  <si>
    <t>F8Y5445CCUQ18FKB3</t>
  </si>
  <si>
    <t>F8Y2451083R18FLAT</t>
  </si>
  <si>
    <t>G697161741</t>
  </si>
  <si>
    <t>G9P5375CL7EPR5QAA</t>
  </si>
  <si>
    <t>GVH43311EASPR5PAU</t>
  </si>
  <si>
    <t>G697159581</t>
  </si>
  <si>
    <t>G9PHHZS0SMD00005DR</t>
  </si>
  <si>
    <t>G9PHAYK3L7N00005DR</t>
  </si>
  <si>
    <t>G697144631</t>
  </si>
  <si>
    <t>F8Y5306C1C414LWC1</t>
  </si>
  <si>
    <t>F8Y14540HUG14LW85</t>
  </si>
  <si>
    <t>661-22311</t>
  </si>
  <si>
    <t>Display, iPhone 13 mini</t>
  </si>
  <si>
    <t>GVC32110QTNQ2PHAV</t>
  </si>
  <si>
    <t>G9Q1433E8QPPRRDAZ</t>
  </si>
  <si>
    <t>G697140383</t>
  </si>
  <si>
    <t>F8Y5445CCUH18FKBA</t>
  </si>
  <si>
    <t>FG9328513FQ18FMAC</t>
  </si>
  <si>
    <t>G697132103</t>
  </si>
  <si>
    <t>F8Y5434C6UW13RHCF</t>
  </si>
  <si>
    <t>F5D140767CD13RJ9F</t>
  </si>
  <si>
    <t>G697114155</t>
  </si>
  <si>
    <t>F8Y5417C4VMQ4C2BD</t>
  </si>
  <si>
    <t>F8Y24360FBHQ4C2A1</t>
  </si>
  <si>
    <t>G697105819</t>
  </si>
  <si>
    <t>G9PHJRS1RTP00005DR</t>
  </si>
  <si>
    <t>GVCH9J01P4300005DS</t>
  </si>
  <si>
    <t>G696929483</t>
  </si>
  <si>
    <t>TA661-43607</t>
  </si>
  <si>
    <t>128GB, Pink, ROW, iPhone 16, Logic Board Assy Mid System</t>
  </si>
  <si>
    <t>MKHGTDT4TT</t>
  </si>
  <si>
    <t>GGJQ34J23H</t>
  </si>
  <si>
    <t>G696868059</t>
  </si>
  <si>
    <t>PP661-29664</t>
  </si>
  <si>
    <t>14 Plus, Starlight, 256GB, Logic Board Assy Mid System, ROW</t>
  </si>
  <si>
    <t>D92NJQ6G22</t>
  </si>
  <si>
    <t>DW3V3X2F74</t>
  </si>
  <si>
    <t>G696865967</t>
  </si>
  <si>
    <t>F8Y5451C1FB18FKBZ</t>
  </si>
  <si>
    <t>FG914753GJE18FM4K</t>
  </si>
  <si>
    <t>G696864661</t>
  </si>
  <si>
    <t>G9Q5433VGHZ1502AF</t>
  </si>
  <si>
    <t>GVC43970GS61503A1</t>
  </si>
  <si>
    <t>G696811369</t>
  </si>
  <si>
    <t>H64HXHHY3F</t>
  </si>
  <si>
    <t>K6JX6YXLJ2</t>
  </si>
  <si>
    <t>G696804957</t>
  </si>
  <si>
    <t>Z661-56015</t>
  </si>
  <si>
    <t>Logic Board, 256GB, iPhone 17, ROW</t>
  </si>
  <si>
    <t>C6HH6X5733</t>
  </si>
  <si>
    <t>L9R95XWDGG</t>
  </si>
  <si>
    <t>661-56067</t>
  </si>
  <si>
    <t>Camera, iPhone 17</t>
  </si>
  <si>
    <t>DNMHJN03Q5X0000QTE</t>
  </si>
  <si>
    <t>DNMHMA01NYM0000QTE</t>
  </si>
  <si>
    <t>G696740385</t>
  </si>
  <si>
    <t>G5VYHX502T</t>
  </si>
  <si>
    <t>DNJM24F7GV</t>
  </si>
  <si>
    <t>G696736925</t>
  </si>
  <si>
    <t>H7L77P19R1</t>
  </si>
  <si>
    <t>LVM9JVVW6N</t>
  </si>
  <si>
    <t>G696728943</t>
  </si>
  <si>
    <t>HTWJWHM36Q</t>
  </si>
  <si>
    <t>FWMVP730F6</t>
  </si>
  <si>
    <t>G696643621</t>
  </si>
  <si>
    <t>DN8HF7087FS00006S2</t>
  </si>
  <si>
    <t>F0WHBN016Z4000064R</t>
  </si>
  <si>
    <t>G696642017</t>
  </si>
  <si>
    <t>G9PHJCK040B00005DR</t>
  </si>
  <si>
    <t>G9PH7QT13EB00005DR</t>
  </si>
  <si>
    <t>G696639729</t>
  </si>
  <si>
    <t>TA661-45235</t>
  </si>
  <si>
    <t>128GB, Teal, ROW, iPhone 16 Plus, Logic Board Assy Mid System</t>
  </si>
  <si>
    <t>FWK2W6VJM9</t>
  </si>
  <si>
    <t>M62NQL9M9R</t>
  </si>
  <si>
    <t>G696629709</t>
  </si>
  <si>
    <t>F0YHKT001WC00006J1</t>
  </si>
  <si>
    <t>F0YHE5001GF00006J1</t>
  </si>
  <si>
    <t>G696610391</t>
  </si>
  <si>
    <t>K4D4Y9YG32</t>
  </si>
  <si>
    <t>P3QTDXJF7Y</t>
  </si>
  <si>
    <t>661-37213</t>
  </si>
  <si>
    <t>Display, iPhone 15 Plus</t>
  </si>
  <si>
    <t>G9Q5321S99X1PHMA9</t>
  </si>
  <si>
    <t>G9Q5262SKE51PHMAY</t>
  </si>
  <si>
    <t>G696584459</t>
  </si>
  <si>
    <t>G9P5385MAELPQCLAF</t>
  </si>
  <si>
    <t>G9N1504RLJ4PQCLAZ</t>
  </si>
  <si>
    <t>G696577681</t>
  </si>
  <si>
    <t>G9P5352LBC8PQCKAE</t>
  </si>
  <si>
    <t>G9P2056J39JPQCKA1</t>
  </si>
  <si>
    <t>G696484861</t>
  </si>
  <si>
    <t>TA661-44059</t>
  </si>
  <si>
    <t>256GB, Teal, ROW, iPhone 16 Plus, CI/AR</t>
  </si>
  <si>
    <t>HXL7C5W2RC</t>
  </si>
  <si>
    <t>LQV21XY31P</t>
  </si>
  <si>
    <t>G696393491</t>
  </si>
  <si>
    <t>F8Y5452CAFD18FKBM</t>
  </si>
  <si>
    <t>FG932850ULX18FMA2</t>
  </si>
  <si>
    <t>G696298047</t>
  </si>
  <si>
    <t>TA661-45233</t>
  </si>
  <si>
    <t>128GB, Pink, ROW, iPhone 16 Plus, Logic Board Assy Mid System</t>
  </si>
  <si>
    <t>GP64C4R49M</t>
  </si>
  <si>
    <t>DFM4GXCLPH</t>
  </si>
  <si>
    <t>G696215333</t>
  </si>
  <si>
    <t>TA661-45267</t>
  </si>
  <si>
    <t>512GB, Desert Titanium, ROW, iPhone 16 Pro Max, CI/AR</t>
  </si>
  <si>
    <t>HTVVF0J2CH</t>
  </si>
  <si>
    <t>HTCYD9166D</t>
  </si>
  <si>
    <t>G696212971</t>
  </si>
  <si>
    <t>GH3HLJ01ULR0000MUZ</t>
  </si>
  <si>
    <t>G9NHJGQ0GNL0000MUY</t>
  </si>
  <si>
    <t>G696118945</t>
  </si>
  <si>
    <t>661-16819</t>
  </si>
  <si>
    <t>Logic Board, M1, 8-core CPU, 8-core GPU, 8GB, 512GB</t>
  </si>
  <si>
    <t>C02211501WCQ1PKAH</t>
  </si>
  <si>
    <t>FV921130PS1Q1PKKY</t>
  </si>
  <si>
    <t>G696117959</t>
  </si>
  <si>
    <t>661-30390</t>
  </si>
  <si>
    <t>Display, iPhone 14 Plus</t>
  </si>
  <si>
    <t>G9P5046BGA81C9FAZ</t>
  </si>
  <si>
    <t>G9P3494B8941C9FA3</t>
  </si>
  <si>
    <t>G696115911</t>
  </si>
  <si>
    <t>ZP661-43549</t>
  </si>
  <si>
    <t>Watch Series 10 GPS, 42mm, Aluminum, Jet Black, CI/AR, CN, ITP</t>
  </si>
  <si>
    <t>K0XVVCX9V5</t>
  </si>
  <si>
    <t>HKJY2FWFQK</t>
  </si>
  <si>
    <t>G696103391</t>
  </si>
  <si>
    <t>ZP661-50268</t>
  </si>
  <si>
    <t>iPad Air 11-inch (M3) Wi-Fi, 256GB, Starlight, CI/AR, CN</t>
  </si>
  <si>
    <t>DQG4YTQJMC</t>
  </si>
  <si>
    <t>GLW36T3CQX</t>
  </si>
  <si>
    <t>G696100951</t>
  </si>
  <si>
    <t>G9P5323MHPBPQCLAA</t>
  </si>
  <si>
    <t>G9N2241VA58PQCLAP</t>
  </si>
  <si>
    <t>G696094529</t>
  </si>
  <si>
    <t>G9PHK1S260W00005DR</t>
  </si>
  <si>
    <t>G9PH96S0MH800005DR</t>
  </si>
  <si>
    <t>G696088117</t>
  </si>
  <si>
    <t>PP661-29263</t>
  </si>
  <si>
    <t>Space Gray, iPad Pro 12.9-inch 6th gen, 2TB, Cellular, Philippines</t>
  </si>
  <si>
    <t>G63DFY0Y6X</t>
  </si>
  <si>
    <t>MQWT52QV4Q</t>
  </si>
  <si>
    <t>G696081069</t>
  </si>
  <si>
    <t>ZP661-40054</t>
  </si>
  <si>
    <t>Starlight, iPad Air 11-inch (M2), 128GB, Wi-Fi, ITP</t>
  </si>
  <si>
    <t>LFL6VN96T1</t>
  </si>
  <si>
    <t>H39VGY0QPK</t>
  </si>
  <si>
    <t>G696076607</t>
  </si>
  <si>
    <t>FD20GC2PJ1</t>
  </si>
  <si>
    <t>HJ6RKD7N6G</t>
  </si>
  <si>
    <t>G696006535</t>
  </si>
  <si>
    <t>661-35699</t>
  </si>
  <si>
    <t>Display, iPhone 15 Pro</t>
  </si>
  <si>
    <t>G9P5342R30L1PHPAE</t>
  </si>
  <si>
    <t>GVC41240B9S1PHQA7</t>
  </si>
  <si>
    <t>G696006001</t>
  </si>
  <si>
    <t>ZP661-50263</t>
  </si>
  <si>
    <t>iPad Air 11-inch (M3) Wi-Fi, 128GB, Blue, CI/AR, CN</t>
  </si>
  <si>
    <t>H4YHQ0VCVD</t>
  </si>
  <si>
    <t>F6JC297GQP</t>
  </si>
  <si>
    <t>G696005319</t>
  </si>
  <si>
    <t>F8Y5456C98K217WBG</t>
  </si>
  <si>
    <t>F8Y30230B67217W70</t>
  </si>
  <si>
    <t>G696003021</t>
  </si>
  <si>
    <t>F8Y5446CEXL18FKBV</t>
  </si>
  <si>
    <t>FG9141412DP18FM4W</t>
  </si>
  <si>
    <t>G696000717</t>
  </si>
  <si>
    <t>L65GWPMQ6C</t>
  </si>
  <si>
    <t>KTH02N074H</t>
  </si>
  <si>
    <t>G695996683</t>
  </si>
  <si>
    <t>G2HF2JRWL0</t>
  </si>
  <si>
    <t>MY7TWJ4746</t>
  </si>
  <si>
    <t>G695978685</t>
  </si>
  <si>
    <t>KQ6CV7XNCC</t>
  </si>
  <si>
    <t>HN9F9FWHFX</t>
  </si>
  <si>
    <t>G695894271</t>
  </si>
  <si>
    <t>Z661-43096</t>
  </si>
  <si>
    <t>AirPods 4 w/ ANC, Case, CI/AR, CN, INT</t>
  </si>
  <si>
    <t>J00JHK69GM</t>
  </si>
  <si>
    <t>L123CWMKT2</t>
  </si>
  <si>
    <t>C4C43R6RC4</t>
  </si>
  <si>
    <t>G695891095</t>
  </si>
  <si>
    <t>F8Y5446CCK118FKBJ</t>
  </si>
  <si>
    <t>FG923950YEM18FMAR</t>
  </si>
  <si>
    <t>G695886581</t>
  </si>
  <si>
    <t>F8Y5446C3QA18FKB3</t>
  </si>
  <si>
    <t>F8Y32140B1Y18FLAX</t>
  </si>
  <si>
    <t>G695886093</t>
  </si>
  <si>
    <t>HNV9HXYKQ0</t>
  </si>
  <si>
    <t>G2QCY7GLCY</t>
  </si>
  <si>
    <t>G695883835</t>
  </si>
  <si>
    <t>GFW0C7VHRY</t>
  </si>
  <si>
    <t>FMJ66XWQ9H</t>
  </si>
  <si>
    <t>G695861523</t>
  </si>
  <si>
    <t>F8Y5391N0R710X2C9</t>
  </si>
  <si>
    <t>F5D4266083E10DLCU</t>
  </si>
  <si>
    <t>C023366022W0W98AM</t>
  </si>
  <si>
    <t>FV942960SJX0W9CHK</t>
  </si>
  <si>
    <t>G695782187</t>
  </si>
  <si>
    <t>FMX9K64926</t>
  </si>
  <si>
    <t>DJ5H2HN9R0</t>
  </si>
  <si>
    <t>G695757543</t>
  </si>
  <si>
    <t>661-29898</t>
  </si>
  <si>
    <t>Watch SE 2nd gen, 40mm, GPS, Aluminum, Silver, TH</t>
  </si>
  <si>
    <t>JCW7K9HRY3</t>
  </si>
  <si>
    <t>KJ20NWXGR4</t>
  </si>
  <si>
    <t>G695665987</t>
  </si>
  <si>
    <t>G3WKYQ5569</t>
  </si>
  <si>
    <t>FJVFPR67KT</t>
  </si>
  <si>
    <t>G695664245</t>
  </si>
  <si>
    <t>ZA661-45775</t>
  </si>
  <si>
    <t>White, Magic Mouse, USB-C, ITS</t>
  </si>
  <si>
    <t>CC2HK100Q5A000054X</t>
  </si>
  <si>
    <t>J84HKH00NWB0000539</t>
  </si>
  <si>
    <t>G695662281</t>
  </si>
  <si>
    <t>C6LV4YWN6Q</t>
  </si>
  <si>
    <t>DVFPX64QVD</t>
  </si>
  <si>
    <t>G680099444</t>
  </si>
  <si>
    <t>LW9VRF6P7P</t>
  </si>
  <si>
    <t>HXD9NQQ6TL</t>
  </si>
  <si>
    <t>G695646185</t>
  </si>
  <si>
    <t>FGV37N6FHP</t>
  </si>
  <si>
    <t>CM2WFYVPDP</t>
  </si>
  <si>
    <t>G695622911</t>
  </si>
  <si>
    <t>DYDWWCVV0J</t>
  </si>
  <si>
    <t>T94R5V4494</t>
  </si>
  <si>
    <t>G695621997</t>
  </si>
  <si>
    <t>GMG5343011X1J87AT</t>
  </si>
  <si>
    <t>F0Y418701XA1J88AU</t>
  </si>
  <si>
    <t>G679831888</t>
  </si>
  <si>
    <t>ZP661-39826</t>
  </si>
  <si>
    <t>Blue, iPad Air 13-inch (M2), 128GB, Wi-Fi, ITP</t>
  </si>
  <si>
    <t>MQYD67MQG6</t>
  </si>
  <si>
    <t>MPQNWD44HG</t>
  </si>
  <si>
    <t>G679822852</t>
  </si>
  <si>
    <t>TA661-43606</t>
  </si>
  <si>
    <t>128GB, White, ROW, iPhone 16, Logic Board Assy Mid System</t>
  </si>
  <si>
    <t>JQ93VWXVR9</t>
  </si>
  <si>
    <t>K4V32JK6HG</t>
  </si>
  <si>
    <t>G695474421</t>
  </si>
  <si>
    <t>C47NGK0WR9</t>
  </si>
  <si>
    <t>KF9R9C34J0</t>
  </si>
  <si>
    <t>G679694842</t>
  </si>
  <si>
    <t>C2RR790MWG</t>
  </si>
  <si>
    <t>KWN9YM2FQR</t>
  </si>
  <si>
    <t>G695288147</t>
  </si>
  <si>
    <t>TA661-36691</t>
  </si>
  <si>
    <t>iPhone 15, Black, 128GB, Logic Board Assy Mid System, ROW</t>
  </si>
  <si>
    <t>KY0DM4HQ0R</t>
  </si>
  <si>
    <t>L6RDC92JJP</t>
  </si>
  <si>
    <t>G695254799</t>
  </si>
  <si>
    <t>DV4RJ61XGN</t>
  </si>
  <si>
    <t>JMV6WQ17KL</t>
  </si>
  <si>
    <t>G695184099</t>
  </si>
  <si>
    <t>GWLQ45FPT7</t>
  </si>
  <si>
    <t>K9LVTJRXKJ</t>
  </si>
  <si>
    <t>G695183159</t>
  </si>
  <si>
    <t>ZP661-28889</t>
  </si>
  <si>
    <t>Silver, iPad 10th generation, 256GB, Wi-Fi, ITP</t>
  </si>
  <si>
    <t>HPJHH7X2TT</t>
  </si>
  <si>
    <t>F004TNP49D</t>
  </si>
  <si>
    <t>G695063563</t>
  </si>
  <si>
    <t>HGHPT472P0GV</t>
  </si>
  <si>
    <t>HGJP7YCSP0GV</t>
  </si>
  <si>
    <t>G695062453</t>
  </si>
  <si>
    <t>MQ6JNR7NK9</t>
  </si>
  <si>
    <t>D2NTVY703D</t>
  </si>
  <si>
    <t>G695053113</t>
  </si>
  <si>
    <t>C0MFJK6WDX</t>
  </si>
  <si>
    <t>GPKW4R2DG7</t>
  </si>
  <si>
    <t>G695047603</t>
  </si>
  <si>
    <t>PP661-25570</t>
  </si>
  <si>
    <t>Green, 256 GB, iPhone 13, ROW, CI/AR, Philippines</t>
  </si>
  <si>
    <t>HTHQYYNWDP</t>
  </si>
  <si>
    <t>CTVMKX9XR7</t>
  </si>
  <si>
    <t>G695041091</t>
  </si>
  <si>
    <t>FV3XMRXLPJ</t>
  </si>
  <si>
    <t>GC452J72Y6</t>
  </si>
  <si>
    <t>G697402193</t>
  </si>
  <si>
    <t>MPN4JQR7WP</t>
  </si>
  <si>
    <t>G695017035</t>
  </si>
  <si>
    <t>PP661-22983</t>
  </si>
  <si>
    <t>Red, 128 GB, iPhone 13, ROW, CI/AR, Philippines</t>
  </si>
  <si>
    <t>F34W2NKC7N</t>
  </si>
  <si>
    <t>JXMHP92YV0</t>
  </si>
  <si>
    <t>G694922499</t>
  </si>
  <si>
    <t>PA661-22261</t>
  </si>
  <si>
    <t>Beats White, Beats Fit Pro, Left, PAC, CI/AR</t>
  </si>
  <si>
    <t>H2CQC1731JG3</t>
  </si>
  <si>
    <t>H2CNM0TY1JG3</t>
  </si>
  <si>
    <t>G694806383</t>
  </si>
  <si>
    <t>JHGXK6WMWV</t>
  </si>
  <si>
    <t>D44PW9HL44</t>
  </si>
  <si>
    <t>G694520299</t>
  </si>
  <si>
    <t>M1QKL9XX35</t>
  </si>
  <si>
    <t>WND9RH0XYM</t>
  </si>
  <si>
    <t>G678897516</t>
  </si>
  <si>
    <t>ZP661-50249</t>
  </si>
  <si>
    <t>iPad (A16) Wi-Fi + Cellular, ROW, 512GB, Pink, CI/AR, CN</t>
  </si>
  <si>
    <t>J524J3DYQX</t>
  </si>
  <si>
    <t>F25F9DPXT0</t>
  </si>
  <si>
    <t>G694440539</t>
  </si>
  <si>
    <t>MWJLKPW5PQ</t>
  </si>
  <si>
    <t>GXWCV616KY</t>
  </si>
  <si>
    <t>G694311723</t>
  </si>
  <si>
    <t>F4M4LR75GQ</t>
  </si>
  <si>
    <t>V729FNHQ6X</t>
  </si>
  <si>
    <t>G694298573</t>
  </si>
  <si>
    <t>TA661-49947</t>
  </si>
  <si>
    <t>White, 128GB, iPhone 16e, ROW, CI/AR</t>
  </si>
  <si>
    <t>D042HLQRXK</t>
  </si>
  <si>
    <t>D2T6R54X5P</t>
  </si>
  <si>
    <t>G694197425</t>
  </si>
  <si>
    <t>DQ7P09D3Y7</t>
  </si>
  <si>
    <t>G502W9HWM6</t>
  </si>
  <si>
    <t>G694115017</t>
  </si>
  <si>
    <t>HP9D39TDQX</t>
  </si>
  <si>
    <t>F2M3W2PVTK</t>
  </si>
  <si>
    <t>G693738271</t>
  </si>
  <si>
    <t>FP15271039225YTAL</t>
  </si>
  <si>
    <t>F0Y504700231J87AY</t>
  </si>
  <si>
    <t>G693646171</t>
  </si>
  <si>
    <t>CCXV4TKHWY</t>
  </si>
  <si>
    <t>G14FHN2TV2</t>
  </si>
  <si>
    <t>G693609753</t>
  </si>
  <si>
    <t>HYW1674XLT</t>
  </si>
  <si>
    <t>CJDYFXFHKW</t>
  </si>
  <si>
    <t>G690612795</t>
  </si>
  <si>
    <t>MGFHH4532H</t>
  </si>
  <si>
    <t>GXY6NLX975</t>
  </si>
  <si>
    <t>G690576851</t>
  </si>
  <si>
    <t>H96JW09LW7</t>
  </si>
  <si>
    <t>F36TJR2WNQ</t>
  </si>
  <si>
    <t>G690213965</t>
  </si>
  <si>
    <t>M4TL2TXXFY</t>
  </si>
  <si>
    <t>CXNHMX4306</t>
  </si>
  <si>
    <t>G690200309</t>
  </si>
  <si>
    <t>HGQ4W6Q2FC</t>
  </si>
  <si>
    <t>KXJYRXHFPN</t>
  </si>
  <si>
    <t>G690139297</t>
  </si>
  <si>
    <t>K575G2R4LJ</t>
  </si>
  <si>
    <t>FPQNJ124WK</t>
  </si>
  <si>
    <t>MOBILECARE - APP THE ANNEX</t>
  </si>
  <si>
    <t>G714938143</t>
  </si>
  <si>
    <t>661-59609</t>
  </si>
  <si>
    <t>GMGHRP004W00000Y57</t>
  </si>
  <si>
    <t>FP1HP50003M0000Y58</t>
  </si>
  <si>
    <t>G713747245</t>
  </si>
  <si>
    <t>F8Y6146CFBG14LWCZ</t>
  </si>
  <si>
    <t>F5D1385GUGG14LX9X</t>
  </si>
  <si>
    <t>G712557831</t>
  </si>
  <si>
    <t>HFNM69P2HX</t>
  </si>
  <si>
    <t>G710454387</t>
  </si>
  <si>
    <t>661-49426</t>
  </si>
  <si>
    <t>TrueDepth Camera, iPhone 16e</t>
  </si>
  <si>
    <t>F17HNY00XXD0000NBH</t>
  </si>
  <si>
    <t>GMHHBW00YMJ0000C1D</t>
  </si>
  <si>
    <t>G710101891</t>
  </si>
  <si>
    <t>661-18533</t>
  </si>
  <si>
    <t>Power Supply, 370W</t>
  </si>
  <si>
    <t>C04302300V70G54B8</t>
  </si>
  <si>
    <t>661-18525</t>
  </si>
  <si>
    <t>Logic Board, 20-core CPU, 48-core GPU, 128GB</t>
  </si>
  <si>
    <t>C075487002P1KNYAQ</t>
  </si>
  <si>
    <t>G709534689</t>
  </si>
  <si>
    <t>661-16808</t>
  </si>
  <si>
    <t>Display Assembly, Gold, MBA (M1, 2020)</t>
  </si>
  <si>
    <t>GMG549200BXNR8DB6</t>
  </si>
  <si>
    <t>GMG143103JDNR89A4</t>
  </si>
  <si>
    <t>G708365117</t>
  </si>
  <si>
    <t>F8Y5501C5B8Q4C2BK</t>
  </si>
  <si>
    <t>OLDSERIALNUMBER</t>
  </si>
  <si>
    <t>G689523770</t>
  </si>
  <si>
    <t>Z661-55957</t>
  </si>
  <si>
    <t>Logic Board, 512GB, iPhone 17 Pro Max, ROW</t>
  </si>
  <si>
    <t>D936DH7C23</t>
  </si>
  <si>
    <t>G702721471</t>
  </si>
  <si>
    <t>G9P4193MHFFPQCLAE</t>
  </si>
  <si>
    <t>G9N2222M2NQPQCLAT</t>
  </si>
  <si>
    <t>G700715005</t>
  </si>
  <si>
    <t>GMGHLH004SJ0000GVL</t>
  </si>
  <si>
    <t>FP1HFZ001580000G2A</t>
  </si>
  <si>
    <t>G699462419</t>
  </si>
  <si>
    <t>661-40186</t>
  </si>
  <si>
    <t>Logic Board, 8-core CPU, 10-core GPU, 16 GB, 512 GB</t>
  </si>
  <si>
    <t>C02HGQ0000H00005A3</t>
  </si>
  <si>
    <t>C02HK90002H0000F6W</t>
  </si>
  <si>
    <t>G698134711</t>
  </si>
  <si>
    <t>F8Y5445CFUR18FKBZ</t>
  </si>
  <si>
    <t>FG920760MAQ18FM43</t>
  </si>
  <si>
    <t>G682004476</t>
  </si>
  <si>
    <t>G9P5433BHCW1502AK</t>
  </si>
  <si>
    <t>GVC42620EDL1503A9</t>
  </si>
  <si>
    <t>G697616605</t>
  </si>
  <si>
    <t>MR7CK9Q16C</t>
  </si>
  <si>
    <t>K0M0DY4Q12</t>
  </si>
  <si>
    <t>G697492293</t>
  </si>
  <si>
    <t>F8Y5371C0MFQ4C2B2</t>
  </si>
  <si>
    <t>F8Y04341MPCQ4C296</t>
  </si>
  <si>
    <t>G697468759</t>
  </si>
  <si>
    <t>F8Y5445C7CU18FKBJ</t>
  </si>
  <si>
    <t>F8Y225306B818FKAP</t>
  </si>
  <si>
    <t>G697463947</t>
  </si>
  <si>
    <t>G9PHJZS0CPN00005DR</t>
  </si>
  <si>
    <t>GH3H8X0331K00005DS</t>
  </si>
  <si>
    <t>G697395029</t>
  </si>
  <si>
    <t>ZP661-27889</t>
  </si>
  <si>
    <t>Apple TV 4K 3rd generation, Wi-Fi, ITP</t>
  </si>
  <si>
    <t>CT7XV954JD</t>
  </si>
  <si>
    <t>DFVQG20VTH</t>
  </si>
  <si>
    <t>G697369627</t>
  </si>
  <si>
    <t>HL6LL2X1PX</t>
  </si>
  <si>
    <t>QT7JH39Q41</t>
  </si>
  <si>
    <t>G697285263</t>
  </si>
  <si>
    <t>C02HCC0044W0000F6W</t>
  </si>
  <si>
    <t>G697127705</t>
  </si>
  <si>
    <t>LR4KG0XLW2</t>
  </si>
  <si>
    <t>KXCPWYG049</t>
  </si>
  <si>
    <t>G696740169</t>
  </si>
  <si>
    <t>PA661-39905</t>
  </si>
  <si>
    <t>Beats Solo 4, Matte Black, CI/AR, CN</t>
  </si>
  <si>
    <t>GFY2Y9XXF5</t>
  </si>
  <si>
    <t>LWG0F4TCYY</t>
  </si>
  <si>
    <t>G696612119</t>
  </si>
  <si>
    <t>F8Y5456C1BY217WB2</t>
  </si>
  <si>
    <t>F5D32371JPS21PKAV</t>
  </si>
  <si>
    <t>G695981343</t>
  </si>
  <si>
    <t>GMG544501VENR8DBE</t>
  </si>
  <si>
    <t>FP1323403VP249XAL</t>
  </si>
  <si>
    <t>G695658147</t>
  </si>
  <si>
    <t>F036Y9PJYJ</t>
  </si>
  <si>
    <t>G695644151</t>
  </si>
  <si>
    <t>ZA661-36836</t>
  </si>
  <si>
    <t>Apple Pencil (USB-C)</t>
  </si>
  <si>
    <t>HF6HJWTV4T</t>
  </si>
  <si>
    <t>J9FGMHYR7N</t>
  </si>
  <si>
    <t>G675748842</t>
  </si>
  <si>
    <t>PA661-32566</t>
  </si>
  <si>
    <t>SVC,STUDIO BUDS(VN)LEFT,RED,CI/AR</t>
  </si>
  <si>
    <t>HNYNQ1GJ17F8</t>
  </si>
  <si>
    <t>HNYK9FYL17F8</t>
  </si>
  <si>
    <t>HNYNP0A517F8</t>
  </si>
  <si>
    <t>PA661-32585</t>
  </si>
  <si>
    <t>SVC,STUDIO BUDS(VN)CHRGNG CASE,RED,CI/AR</t>
  </si>
  <si>
    <t>HNYPR01V0RP4</t>
  </si>
  <si>
    <t>HNYK871R0RP4</t>
  </si>
  <si>
    <t>HNYQ72RX17F8</t>
  </si>
  <si>
    <t>MOBILECARE - THE PODIUM</t>
  </si>
  <si>
    <t>G713632045</t>
  </si>
  <si>
    <t>661-42513</t>
  </si>
  <si>
    <t>Top Case, Silver, ANSI, MBP (14-in, M4, 2024)</t>
  </si>
  <si>
    <t>F8YHGLN02UG00000E5</t>
  </si>
  <si>
    <t>F5DHCG0011A00000E6</t>
  </si>
  <si>
    <t>G713039055</t>
  </si>
  <si>
    <t>G9P4467MDDMPQCLAL</t>
  </si>
  <si>
    <t>G9P2125N79ZPQCLAC</t>
  </si>
  <si>
    <t>G711457829</t>
  </si>
  <si>
    <t>C02HMG001J90000P0S</t>
  </si>
  <si>
    <t>C02HHZ002L30000P0R</t>
  </si>
  <si>
    <t>G710204959</t>
  </si>
  <si>
    <t>Z661-43114</t>
  </si>
  <si>
    <t>AirPods 4 w/ ANC, Right, CI/AR, CN, INT</t>
  </si>
  <si>
    <t>GX1HS30NT6A0000B31</t>
  </si>
  <si>
    <t>GX1HC10Z64Z0000B31</t>
  </si>
  <si>
    <t>G709078387</t>
  </si>
  <si>
    <t>F8Y6037C2ND20J9BG</t>
  </si>
  <si>
    <t>F5D240751W120J79B</t>
  </si>
  <si>
    <t>G706473019</t>
  </si>
  <si>
    <t>F8Y5486C5VB217WBQ</t>
  </si>
  <si>
    <t>F8Y23640QK5217W75</t>
  </si>
  <si>
    <t>G705930839</t>
  </si>
  <si>
    <t>F3VJYQVV2C</t>
  </si>
  <si>
    <t>G687957422</t>
  </si>
  <si>
    <t>661-37953</t>
  </si>
  <si>
    <t>FP1415101WB216QAB</t>
  </si>
  <si>
    <t>FP1417503E0216RAP</t>
  </si>
  <si>
    <t>FP1411703X6216RAG</t>
  </si>
  <si>
    <t>G702938283</t>
  </si>
  <si>
    <t>661-50130</t>
  </si>
  <si>
    <t>GMGHMN000CQ0000HX1</t>
  </si>
  <si>
    <t>F0YHD8000SF0000HX2</t>
  </si>
  <si>
    <t>G701700851</t>
  </si>
  <si>
    <t>PP661-22989</t>
  </si>
  <si>
    <t>Blue, 256 GB, iPhone 13, ROW, CI/AR, Philippines</t>
  </si>
  <si>
    <t>JXFFMGMQJD</t>
  </si>
  <si>
    <t>FTGD79H7JX</t>
  </si>
  <si>
    <t>G699902497</t>
  </si>
  <si>
    <t>LV1FQXDQV9</t>
  </si>
  <si>
    <t>J145H3FJ9L</t>
  </si>
  <si>
    <t>G698174325</t>
  </si>
  <si>
    <t>F8Y5451C2VT18FKB8</t>
  </si>
  <si>
    <t>F8Y14771A5E18FKAK</t>
  </si>
  <si>
    <t>G698153039</t>
  </si>
  <si>
    <t>F8Y5431C0HLQ687BR</t>
  </si>
  <si>
    <t>FG911010064Q6893K</t>
  </si>
  <si>
    <t>G698145245</t>
  </si>
  <si>
    <t>F8Y5356C4UAM6YND6</t>
  </si>
  <si>
    <t>F8Y41270LGNM6YNDV</t>
  </si>
  <si>
    <t>G682019208</t>
  </si>
  <si>
    <t>661-17548</t>
  </si>
  <si>
    <t>FMX432607SPNTJHA4</t>
  </si>
  <si>
    <t>F0Y246703NMNTJGA9</t>
  </si>
  <si>
    <t>G697991237</t>
  </si>
  <si>
    <t>F8Y5433C0FFM6YNDJ</t>
  </si>
  <si>
    <t>G697972793</t>
  </si>
  <si>
    <t>G9P5362MF6CPQCLAH</t>
  </si>
  <si>
    <t>G9N1492JJ6GPQCLAN</t>
  </si>
  <si>
    <t>661-22293</t>
  </si>
  <si>
    <t>Camera, iPhone 13 Pro and 13 Pro Max</t>
  </si>
  <si>
    <t>DN85235AMW8Q1NMDA</t>
  </si>
  <si>
    <t>DN81505H481Q1NMDV</t>
  </si>
  <si>
    <t>G9P5306M8C7PQCLAR</t>
  </si>
  <si>
    <t>G697964621</t>
  </si>
  <si>
    <t>G9PHKYF0GD200005DP</t>
  </si>
  <si>
    <t>GVCHE801UV900005DQ</t>
  </si>
  <si>
    <t>J9KHMB006V90000FD3</t>
  </si>
  <si>
    <t>GMHHDU020TE0000882</t>
  </si>
  <si>
    <t>G697944509</t>
  </si>
  <si>
    <t>D865164N01NPJYRBV</t>
  </si>
  <si>
    <t>D861343A7GHPJYRA4</t>
  </si>
  <si>
    <t>G697915301</t>
  </si>
  <si>
    <t>F8Y5457C5SJ20J9BP</t>
  </si>
  <si>
    <t>F5D23537CB220J895</t>
  </si>
  <si>
    <t>G697781533</t>
  </si>
  <si>
    <t>GCFH8H078ZX00005LU</t>
  </si>
  <si>
    <t>DNMHAY00KZD00005LS</t>
  </si>
  <si>
    <t>G697776879</t>
  </si>
  <si>
    <t>FG9HNR0036300006TT</t>
  </si>
  <si>
    <t>FG9GYX005QH00006TT</t>
  </si>
  <si>
    <t>G697770133</t>
  </si>
  <si>
    <t>661-43187</t>
  </si>
  <si>
    <t>AirPods Max USB-C, Set, Midnight</t>
  </si>
  <si>
    <t>C52R7XLYP7</t>
  </si>
  <si>
    <t>D5694XPF9Y</t>
  </si>
  <si>
    <t>G697770085</t>
  </si>
  <si>
    <t>G9P5353L4PCPQCKAH</t>
  </si>
  <si>
    <t>G9P2143K5NAPQCKA4</t>
  </si>
  <si>
    <t>G697636555</t>
  </si>
  <si>
    <t>FHL917C6MQ</t>
  </si>
  <si>
    <t>LFWH1QHKK4</t>
  </si>
  <si>
    <t>G697632599</t>
  </si>
  <si>
    <t>H2N20GQDHX</t>
  </si>
  <si>
    <t>L9T1Q2Y6X7</t>
  </si>
  <si>
    <t>G697631727</t>
  </si>
  <si>
    <t>F8Y5446C40J18FKBY</t>
  </si>
  <si>
    <t>F8Y14810KFV18FKA5</t>
  </si>
  <si>
    <t>G697631163</t>
  </si>
  <si>
    <t>F8Y5374C96C13RHCH</t>
  </si>
  <si>
    <t>F8Y13340UF113RH9H</t>
  </si>
  <si>
    <t>G697590905</t>
  </si>
  <si>
    <t>GVCHJE02XBN0000MUZ</t>
  </si>
  <si>
    <t>GVCHKH00ZAB0000MUZ</t>
  </si>
  <si>
    <t>GH3HJN011L10000MUZ</t>
  </si>
  <si>
    <t>GVCHM60131A0000MUZ</t>
  </si>
  <si>
    <t>G697510185</t>
  </si>
  <si>
    <t>PP661-22987</t>
  </si>
  <si>
    <t>Pink, 256 GB, iPhone 13, ROW, CI/AR, Philippines</t>
  </si>
  <si>
    <t>DH6HHYHPV4</t>
  </si>
  <si>
    <t>C6QTTVTHKV</t>
  </si>
  <si>
    <t>G697459953</t>
  </si>
  <si>
    <t>ZP661-50315</t>
  </si>
  <si>
    <t>iPad Air 13-inch (M3) Wi-Fi, 256GB, Blue, CI/AR, CN</t>
  </si>
  <si>
    <t>CQPM2L50QX</t>
  </si>
  <si>
    <t>JKY7395WDK</t>
  </si>
  <si>
    <t>G697397669</t>
  </si>
  <si>
    <t>F8Y5445C7GD18FKBM</t>
  </si>
  <si>
    <t>F8Y23931C1118FLA3</t>
  </si>
  <si>
    <t>G697396749</t>
  </si>
  <si>
    <t>661-36706</t>
  </si>
  <si>
    <t>Display, iPhone 15</t>
  </si>
  <si>
    <t>G9Q5355U06E21KHA8</t>
  </si>
  <si>
    <t>G9Q5231X80L21KHAE</t>
  </si>
  <si>
    <t>G697390577</t>
  </si>
  <si>
    <t>F8Y5366C6Z114LWCL</t>
  </si>
  <si>
    <t>F8Y209400U714LW8L</t>
  </si>
  <si>
    <t>G697381989</t>
  </si>
  <si>
    <t>G9P5265LDQ6PQCKA7</t>
  </si>
  <si>
    <t>G9P2075K3DUPQCKA5</t>
  </si>
  <si>
    <t>G697342269</t>
  </si>
  <si>
    <t>F8Y5316C5ZYM6YNDE</t>
  </si>
  <si>
    <t>F8Y94621R6VM6YP72</t>
  </si>
  <si>
    <t>G697271283</t>
  </si>
  <si>
    <t>F8Y5282CKFYM6YND4</t>
  </si>
  <si>
    <t>F8Y23140MCGM6YNBU</t>
  </si>
  <si>
    <t>G697268267</t>
  </si>
  <si>
    <t>F8Y5446C1E718FKB4</t>
  </si>
  <si>
    <t>FG9142231SJ18FM4Q</t>
  </si>
  <si>
    <t>G697268089</t>
  </si>
  <si>
    <t>661-30394</t>
  </si>
  <si>
    <t>Battery, iPhone 14 Plus</t>
  </si>
  <si>
    <t>F8Y5457C61S237KB7</t>
  </si>
  <si>
    <t>FQ12334BFJ9237L1Y</t>
  </si>
  <si>
    <t>G697242325</t>
  </si>
  <si>
    <t>F8Y5445C8MY18FKBL</t>
  </si>
  <si>
    <t>F8Y23822EB918FLAY</t>
  </si>
  <si>
    <t>G697239247</t>
  </si>
  <si>
    <t>F8Y5437CJMR20J9BQ</t>
  </si>
  <si>
    <t>F8Y24261R0T20J92F</t>
  </si>
  <si>
    <t>G697154559</t>
  </si>
  <si>
    <t>G9P5115LJJQPQCKAJ</t>
  </si>
  <si>
    <t>G9P2101K4N2PQCKAT</t>
  </si>
  <si>
    <t>F8Y5365C7SV13RHCC</t>
  </si>
  <si>
    <t>F5D20439S9213RJ90</t>
  </si>
  <si>
    <t>G697148783</t>
  </si>
  <si>
    <t>G9P5385MD4LPQCLA8</t>
  </si>
  <si>
    <t>G9Q1393UK9WPQCLA0</t>
  </si>
  <si>
    <t>G697128471</t>
  </si>
  <si>
    <t>MOBILECARE - NAGA</t>
  </si>
  <si>
    <t>F0Y543300K61J87AF</t>
  </si>
  <si>
    <t>GMG4394090W1J87AA</t>
  </si>
  <si>
    <t>G697120523</t>
  </si>
  <si>
    <t>G9P5275QP7T1PHRAQ</t>
  </si>
  <si>
    <t>G9P3486U5B41PHRA7</t>
  </si>
  <si>
    <t>G697120447</t>
  </si>
  <si>
    <t>GMG5445004JNR89BN</t>
  </si>
  <si>
    <t>FP1334700P6249YAG</t>
  </si>
  <si>
    <t>G697119095</t>
  </si>
  <si>
    <t>ZP661-39192</t>
  </si>
  <si>
    <t>Space Black, iPad Pro 11-inch (M4), 256GB, Wi-Fi, ITP</t>
  </si>
  <si>
    <t>CQHYX3Q1XX</t>
  </si>
  <si>
    <t>NV9FT96KHG</t>
  </si>
  <si>
    <t>G697116731</t>
  </si>
  <si>
    <t>FG9HLF005T200006TT</t>
  </si>
  <si>
    <t>FG9GYF009RA00006TV</t>
  </si>
  <si>
    <t>G696936957</t>
  </si>
  <si>
    <t>G9P5385M3BRPQCLAS</t>
  </si>
  <si>
    <t>G9N2135PERUPQCLAR</t>
  </si>
  <si>
    <t>F8Y5441C2RN13XCBS</t>
  </si>
  <si>
    <t>F8Y21831TPW13XC85</t>
  </si>
  <si>
    <t>G9P5384MC13PQCLA2</t>
  </si>
  <si>
    <t>G9P5386MD8LPQCLAV</t>
  </si>
  <si>
    <t>G696870397</t>
  </si>
  <si>
    <t>661-27531</t>
  </si>
  <si>
    <t>Silver, Top Case with Battery, ANSI</t>
  </si>
  <si>
    <t>F5D5245N1TQKGGJF9</t>
  </si>
  <si>
    <t>D862086A003L3L2ET</t>
  </si>
  <si>
    <t>G696858189</t>
  </si>
  <si>
    <t>J56D40W06G</t>
  </si>
  <si>
    <t>G696753901</t>
  </si>
  <si>
    <t>G9PHK8G1YLV00005DP</t>
  </si>
  <si>
    <t>GVCHE9001ML00005DQ</t>
  </si>
  <si>
    <t>G696751827</t>
  </si>
  <si>
    <t>G9P5384MMPHPQCLAF</t>
  </si>
  <si>
    <t>DN85076A4F5Q1NMDW</t>
  </si>
  <si>
    <t>DN82105FS23Q1NMDW</t>
  </si>
  <si>
    <t>G9P5351M7LBPQCLAN</t>
  </si>
  <si>
    <t>G9N2155244LPQCLAT</t>
  </si>
  <si>
    <t>G696731185</t>
  </si>
  <si>
    <t>GMG534301241J87AH</t>
  </si>
  <si>
    <t>FP15106030K25YVAB</t>
  </si>
  <si>
    <t>G696632847</t>
  </si>
  <si>
    <t>F8Y5356CCAP13RHCV</t>
  </si>
  <si>
    <t>F8Y151202YJ13RFBB</t>
  </si>
  <si>
    <t>G696625919</t>
  </si>
  <si>
    <t>G9P5362MCS2PQCLA4</t>
  </si>
  <si>
    <t>G9P2293NKRCPQCLAM</t>
  </si>
  <si>
    <t>G696577929</t>
  </si>
  <si>
    <t>F8YHN2C02FT00006TW</t>
  </si>
  <si>
    <t>F8YGZZ274Q800006TY</t>
  </si>
  <si>
    <t>G696514747</t>
  </si>
  <si>
    <t>MW6VRQ403V</t>
  </si>
  <si>
    <t>G696507077</t>
  </si>
  <si>
    <t>G9PHKHF2QVC00005DP</t>
  </si>
  <si>
    <t>GVCHA201QGK00005DQ</t>
  </si>
  <si>
    <t>G696499143</t>
  </si>
  <si>
    <t>F8Y5421C6Z318FKBR</t>
  </si>
  <si>
    <t>FG9144401BJ18FN5Y</t>
  </si>
  <si>
    <t>G696398359</t>
  </si>
  <si>
    <t>CR92Y02XKK</t>
  </si>
  <si>
    <t>LL49J339NL</t>
  </si>
  <si>
    <t>G696348943</t>
  </si>
  <si>
    <t>ZP661-25135</t>
  </si>
  <si>
    <t>Blue, 64 GB, iPad Air 5th generation, Wi-Fi, ITP</t>
  </si>
  <si>
    <t>FPW0XTL565</t>
  </si>
  <si>
    <t>DTWLP2XQM6</t>
  </si>
  <si>
    <t>G696212203</t>
  </si>
  <si>
    <t>ZP661-28975</t>
  </si>
  <si>
    <t>Space Gray, iPad Pro 11-inch 4th gen, 256GB, Wi-Fi, ITP</t>
  </si>
  <si>
    <t>DH0KH9P7MV</t>
  </si>
  <si>
    <t>G696207521</t>
  </si>
  <si>
    <t>GMGHLH007ZM0000GVL</t>
  </si>
  <si>
    <t>Desert Titanium, Back Glass, iPhone 16 Pro Max</t>
  </si>
  <si>
    <t>FP1HDS00ABG0000G2A</t>
  </si>
  <si>
    <t>G696192923</t>
  </si>
  <si>
    <t>G9NHGVL2KNJ00004Y9</t>
  </si>
  <si>
    <t>G9QHF7L1A6S00004Y9</t>
  </si>
  <si>
    <t>G696122815</t>
  </si>
  <si>
    <t>ZP661-39825</t>
  </si>
  <si>
    <t>Space Gray, iPad Air 13-inch (M2), 128GB, Wi-Fi, ITP</t>
  </si>
  <si>
    <t>DQ54V45XF1</t>
  </si>
  <si>
    <t>G696110673</t>
  </si>
  <si>
    <t>FG9HLF005SG00006TT</t>
  </si>
  <si>
    <t>FG9GYZ00F0R00006TV</t>
  </si>
  <si>
    <t>G696003975</t>
  </si>
  <si>
    <t>PA661-39907</t>
  </si>
  <si>
    <t>Beats Solo 4, Slate Blue, CI/AR, CN</t>
  </si>
  <si>
    <t>G3DQ2WFQ0M</t>
  </si>
  <si>
    <t>G695951487</t>
  </si>
  <si>
    <t>PP661-22984</t>
  </si>
  <si>
    <t>Blue, 128 GB, iPhone 13, ROW, CI/AR, Philippines</t>
  </si>
  <si>
    <t>KPH7K7F6T3</t>
  </si>
  <si>
    <t>J6PD9466MX</t>
  </si>
  <si>
    <t>G695907953</t>
  </si>
  <si>
    <t>FV9516200QN0W9FL1</t>
  </si>
  <si>
    <t>FV9529301WS0W9FL1</t>
  </si>
  <si>
    <t>G695871709</t>
  </si>
  <si>
    <t>C023102003X1TY4AC</t>
  </si>
  <si>
    <t>FV9314306881VHYBJ</t>
  </si>
  <si>
    <t>661-32210</t>
  </si>
  <si>
    <t>Top Case with Battery, Space Gray, ANSI</t>
  </si>
  <si>
    <t>F8Y5165N0RUQ1LTB4</t>
  </si>
  <si>
    <t>F8Y3075H55VQ1LTAC</t>
  </si>
  <si>
    <t>G695796785</t>
  </si>
  <si>
    <t>ZP661-50311</t>
  </si>
  <si>
    <t>iPad Air 13-inch (M3) Wi-Fi, 128GB, Blue, CI/AR, CN</t>
  </si>
  <si>
    <t>H3F2QFV3MY</t>
  </si>
  <si>
    <t>G695774023</t>
  </si>
  <si>
    <t>661-14098</t>
  </si>
  <si>
    <t>Display, iPhone 11</t>
  </si>
  <si>
    <t>DKH5443F0NU04FPAC</t>
  </si>
  <si>
    <t>F7C4133C15UKV27AQ</t>
  </si>
  <si>
    <t>DKH5144G1G704FPAF</t>
  </si>
  <si>
    <t>DKH5144G1G704FPA</t>
  </si>
  <si>
    <t>PP661-13326</t>
  </si>
  <si>
    <t>128GB, Green, ROW, iPhone 11, CI/AR-PPN</t>
  </si>
  <si>
    <t>J9LQ500BN73K</t>
  </si>
  <si>
    <t>C8PC929YN73K</t>
  </si>
  <si>
    <t>G695613833</t>
  </si>
  <si>
    <t>661-41771</t>
  </si>
  <si>
    <t>Logic Board, 12-core CPU, 16-core GPU, 24GB, 512GB</t>
  </si>
  <si>
    <t>FV9HKW0000R0000HES</t>
  </si>
  <si>
    <t>FV9HCE00ADB0000HER</t>
  </si>
  <si>
    <t>G695611855</t>
  </si>
  <si>
    <t>L9WY72WFQ4</t>
  </si>
  <si>
    <t>G695182111</t>
  </si>
  <si>
    <t>FD99K7K4ML</t>
  </si>
  <si>
    <t>FDQ3LVHHH2</t>
  </si>
  <si>
    <t>G695070451</t>
  </si>
  <si>
    <t>GN7YQXQQ6H</t>
  </si>
  <si>
    <t>JTGH1629TJ</t>
  </si>
  <si>
    <t>G694520523</t>
  </si>
  <si>
    <t>661-16571</t>
  </si>
  <si>
    <t>Display, Blue</t>
  </si>
  <si>
    <t>GHQ603701FS2FT7A4</t>
  </si>
  <si>
    <t>GHQ206702VT167TAF</t>
  </si>
  <si>
    <t>G694257785</t>
  </si>
  <si>
    <t>ZP661-39236</t>
  </si>
  <si>
    <t>Space Black, iPad Pro 11-inch (M4), 1TB, Cellular, ITP</t>
  </si>
  <si>
    <t>H42XW9YPMT</t>
  </si>
  <si>
    <t>G691239631</t>
  </si>
  <si>
    <t>GHQ5435001C2FT7AU</t>
  </si>
  <si>
    <t>GHQ603701CX2FT7A8</t>
  </si>
  <si>
    <t>GHQ115700PL167T5U</t>
  </si>
  <si>
    <t>MOBILECARE - FESTIVE WALK ILOILO</t>
  </si>
  <si>
    <t>G714313283</t>
  </si>
  <si>
    <t>CRBR</t>
  </si>
  <si>
    <t>F8Y5347C8XCQ4C2B4</t>
  </si>
  <si>
    <t>F8Y120703DXQ4C299</t>
  </si>
  <si>
    <t>G713271747</t>
  </si>
  <si>
    <t>GVH51661X99PR5PAG</t>
  </si>
  <si>
    <t>GVH51661XBTPR5PAS</t>
  </si>
  <si>
    <t>G9Q5135PC98PR5QAY</t>
  </si>
  <si>
    <t>G712893627</t>
  </si>
  <si>
    <t>Display, Sky Blue, MBA (13-in, M4, 2025)</t>
  </si>
  <si>
    <t>F0YHMQ001990000GVL</t>
  </si>
  <si>
    <t>GMGHKR0000A0000GVK</t>
  </si>
  <si>
    <t>G692599458</t>
  </si>
  <si>
    <t>C3JM4GR6RX</t>
  </si>
  <si>
    <t>H3J0LG6F2D</t>
  </si>
  <si>
    <t>G705728281</t>
  </si>
  <si>
    <t>GMGHLE006N00000GVL</t>
  </si>
  <si>
    <t>GMGHM6002RH0000GVL</t>
  </si>
  <si>
    <t>G705418859</t>
  </si>
  <si>
    <t>H4JW99Q5JT</t>
  </si>
  <si>
    <t>G704774241</t>
  </si>
  <si>
    <t>TA661-42901</t>
  </si>
  <si>
    <t>256GB, Black Titanium, ROW, iPhone 16 Pro, CI/AR</t>
  </si>
  <si>
    <t>M0717DQ4CR</t>
  </si>
  <si>
    <t>GY0J2HCJW9</t>
  </si>
  <si>
    <t>G703865185</t>
  </si>
  <si>
    <t>F8Y5474C3NZ18FKBD</t>
  </si>
  <si>
    <t>F8Y31970HNP18FLAD</t>
  </si>
  <si>
    <t>G702689259</t>
  </si>
  <si>
    <t>MR705VQ9YQ</t>
  </si>
  <si>
    <t>DHWV7T3QGW</t>
  </si>
  <si>
    <t>G683123740</t>
  </si>
  <si>
    <t>G162QHX6XF</t>
  </si>
  <si>
    <t>GGQ6LN4X92</t>
  </si>
  <si>
    <t>G698179025</t>
  </si>
  <si>
    <t>ZP661-40057</t>
  </si>
  <si>
    <t>Blue, iPad Air 11-inch (M2), 256GB, Wi-Fi, ITP</t>
  </si>
  <si>
    <t>CQ174WM32C</t>
  </si>
  <si>
    <t>M0DJ7PP9YP</t>
  </si>
  <si>
    <t>G698128977</t>
  </si>
  <si>
    <t>JKWNW7K167</t>
  </si>
  <si>
    <t>HJ0H6QP12R</t>
  </si>
  <si>
    <t>G698052757</t>
  </si>
  <si>
    <t>K46FHQ2641</t>
  </si>
  <si>
    <t>JWW3P44LNH</t>
  </si>
  <si>
    <t>G682021404</t>
  </si>
  <si>
    <t>ZP661-50316</t>
  </si>
  <si>
    <t>iPad Air 13-inch (M3) Wi-Fi, 256GB, Starlight, CI/AR, CN</t>
  </si>
  <si>
    <t>DKLWG6KG93</t>
  </si>
  <si>
    <t>GYNRY0HJ02</t>
  </si>
  <si>
    <t>G698040811</t>
  </si>
  <si>
    <t>ZP661-39831</t>
  </si>
  <si>
    <t>Starlight, iPad Air 13-inch (M2), 256GB, Wi-Fi, ITP</t>
  </si>
  <si>
    <t>K901CQ2RXH</t>
  </si>
  <si>
    <t>DMGKFV947H</t>
  </si>
  <si>
    <t>G698039531</t>
  </si>
  <si>
    <t>KQHJ91YVCY</t>
  </si>
  <si>
    <t>GYVKT662D2</t>
  </si>
  <si>
    <t>G698036669</t>
  </si>
  <si>
    <t>ZP661-25134</t>
  </si>
  <si>
    <t>Pink, 64 GB, iPad Air 5th generation, Wi-Fi, ITP</t>
  </si>
  <si>
    <t>M63MXJGHGH</t>
  </si>
  <si>
    <t>F006DJTJ75</t>
  </si>
  <si>
    <t>G698009361</t>
  </si>
  <si>
    <t>MDX3H6J5T0</t>
  </si>
  <si>
    <t>K699T1WM97</t>
  </si>
  <si>
    <t>G697903435</t>
  </si>
  <si>
    <t>ZP661-38965</t>
  </si>
  <si>
    <t>Space Black, iPad Pro 13-inch (M4), 256GB, Wi-Fi, ITP</t>
  </si>
  <si>
    <t>G7GVCG201G</t>
  </si>
  <si>
    <t>M6F0040GWF</t>
  </si>
  <si>
    <t>G697730521</t>
  </si>
  <si>
    <t>L2XRDWLD6R</t>
  </si>
  <si>
    <t>GF07C7D7Q4</t>
  </si>
  <si>
    <t>G697719413</t>
  </si>
  <si>
    <t>C02305400K40W9GAY</t>
  </si>
  <si>
    <t>FV951540HJ60W9FLK</t>
  </si>
  <si>
    <t>G697710073</t>
  </si>
  <si>
    <t>CR24312Y3Y</t>
  </si>
  <si>
    <t>HJ6N5077KG</t>
  </si>
  <si>
    <t>G697616691</t>
  </si>
  <si>
    <t>GVCHJS02BEE0000MUZ</t>
  </si>
  <si>
    <t>G9NHJTY1UCZ0000MUY</t>
  </si>
  <si>
    <t>G697611485</t>
  </si>
  <si>
    <t>G9P5376CHLTPR5QAU</t>
  </si>
  <si>
    <t>GVH44320GDCPR5PAY</t>
  </si>
  <si>
    <t>G697603979</t>
  </si>
  <si>
    <t>YKG160523K</t>
  </si>
  <si>
    <t>X6CRHG4DPF</t>
  </si>
  <si>
    <t>G697588877</t>
  </si>
  <si>
    <t>661-30370</t>
  </si>
  <si>
    <t>Camera, iPhone 14</t>
  </si>
  <si>
    <t>DNL53810D2Z17RRC0</t>
  </si>
  <si>
    <t>DNL5294070X17RRC9</t>
  </si>
  <si>
    <t>G697507823</t>
  </si>
  <si>
    <t>G9P5385M2PAPQCLA6</t>
  </si>
  <si>
    <t>G9N2141NKRRPQCLAT</t>
  </si>
  <si>
    <t>G697487559</t>
  </si>
  <si>
    <t>GVH53360N14PR5PAW</t>
  </si>
  <si>
    <t>G9Q5156PEPCPR5QAB</t>
  </si>
  <si>
    <t>G697478311</t>
  </si>
  <si>
    <t>661-16295</t>
  </si>
  <si>
    <t>Power Adapter, USB-C, 30W</t>
  </si>
  <si>
    <t>C4H506407GPLV74A6</t>
  </si>
  <si>
    <t>C4H53220691PY18AV</t>
  </si>
  <si>
    <t>G697447891</t>
  </si>
  <si>
    <t>M2K97D0GF7</t>
  </si>
  <si>
    <t>DQXGK33L06</t>
  </si>
  <si>
    <t>G697386711</t>
  </si>
  <si>
    <t>F8Y5421C6ZL18FKB8</t>
  </si>
  <si>
    <t>FG934560FFK18FMAE</t>
  </si>
  <si>
    <t>G697287877</t>
  </si>
  <si>
    <t>JWVCY2237L</t>
  </si>
  <si>
    <t>J6KV91YY91</t>
  </si>
  <si>
    <t>G697285573</t>
  </si>
  <si>
    <t>GVH53350M1LPR5PAG</t>
  </si>
  <si>
    <t>GVH43971F4MPR5PAS</t>
  </si>
  <si>
    <t>G697275425</t>
  </si>
  <si>
    <t>F8Y5251C310Q687BJ</t>
  </si>
  <si>
    <t>F8Y10210CKXQ68829</t>
  </si>
  <si>
    <t>G697271721</t>
  </si>
  <si>
    <t>ZP661-43551</t>
  </si>
  <si>
    <t>Watch Series 10 GPS, 46mm, Aluminum, Silver, CI/AR, CN, ITP</t>
  </si>
  <si>
    <t>M7J77YCHX1</t>
  </si>
  <si>
    <t>HFJK04H26P</t>
  </si>
  <si>
    <t>G697264901</t>
  </si>
  <si>
    <t>FXYPJF2Y03</t>
  </si>
  <si>
    <t>DQ6CKG9HK0</t>
  </si>
  <si>
    <t>G697158043</t>
  </si>
  <si>
    <t>G9P5382CGK9PR5QAH</t>
  </si>
  <si>
    <t>G9Q5177FNNGPR5QAK</t>
  </si>
  <si>
    <t>G697142047</t>
  </si>
  <si>
    <t>MWX7JTWHLW</t>
  </si>
  <si>
    <t>M254QX23DQ</t>
  </si>
  <si>
    <t>G697135399</t>
  </si>
  <si>
    <t>GYN903R60Q</t>
  </si>
  <si>
    <t>GKY39W7PHF</t>
  </si>
  <si>
    <t>G697121037</t>
  </si>
  <si>
    <t>G9QHJ2R31TW00004Y7</t>
  </si>
  <si>
    <t>J5VHCE00NYQ00004Y8</t>
  </si>
  <si>
    <t>G696865877</t>
  </si>
  <si>
    <t>J9RP7069P7</t>
  </si>
  <si>
    <t>MC7GT7YF9N</t>
  </si>
  <si>
    <t>G696863567</t>
  </si>
  <si>
    <t>D6FQVHQNJ6</t>
  </si>
  <si>
    <t>KQT6MGQD00</t>
  </si>
  <si>
    <t>G696845761</t>
  </si>
  <si>
    <t>FV17GWXKX6</t>
  </si>
  <si>
    <t>F1W6KQW2CP</t>
  </si>
  <si>
    <t>G696818761</t>
  </si>
  <si>
    <t>TY4VWQWYGX</t>
  </si>
  <si>
    <t>V25R43P2N9</t>
  </si>
  <si>
    <t>G696814049</t>
  </si>
  <si>
    <t>GVMQDWQK5V</t>
  </si>
  <si>
    <t>GQPX7QKGLH</t>
  </si>
  <si>
    <t>G696811325</t>
  </si>
  <si>
    <t>GVH53350ERTPR5PAC</t>
  </si>
  <si>
    <t>G9Q5206F651PR5QAL</t>
  </si>
  <si>
    <t>G696752495</t>
  </si>
  <si>
    <t>661-13624</t>
  </si>
  <si>
    <t>Battery, iPhone 11 Pro Max</t>
  </si>
  <si>
    <t>F8Y1253009CMD2CAF</t>
  </si>
  <si>
    <t>F5D93678HZ3MD287N</t>
  </si>
  <si>
    <t>G696702161</t>
  </si>
  <si>
    <t>JYJ192FF4V</t>
  </si>
  <si>
    <t>FDWRYW9HJ7</t>
  </si>
  <si>
    <t>G696629735</t>
  </si>
  <si>
    <t>H2LF9G7FV6</t>
  </si>
  <si>
    <t>G6F9LFV4M4</t>
  </si>
  <si>
    <t>G696625047</t>
  </si>
  <si>
    <t>G9P5275QDEQ1PHRAG</t>
  </si>
  <si>
    <t>GH341040CRX1PHTA1</t>
  </si>
  <si>
    <t>G696601339</t>
  </si>
  <si>
    <t>J6W36RR633</t>
  </si>
  <si>
    <t>KF9PH4N17X</t>
  </si>
  <si>
    <t>G696589009</t>
  </si>
  <si>
    <t>G9Q5432XARG15Z2A9</t>
  </si>
  <si>
    <t>GVC448404P91503AQ</t>
  </si>
  <si>
    <t>G696481137</t>
  </si>
  <si>
    <t>GCF54310G7KQ59TBQ</t>
  </si>
  <si>
    <t>GCF45030HCDQ59TBP</t>
  </si>
  <si>
    <t>G696465377</t>
  </si>
  <si>
    <t>VGYKCQ3GHL</t>
  </si>
  <si>
    <t>M7FFY0F4DV</t>
  </si>
  <si>
    <t>G696314875</t>
  </si>
  <si>
    <t>TA661-36700</t>
  </si>
  <si>
    <t>iPhone 15, Green, 256GB, Logic Board Assy Mid System, ROW</t>
  </si>
  <si>
    <t>MG6JP203HQ</t>
  </si>
  <si>
    <t>LDD7WYG615</t>
  </si>
  <si>
    <t>G696314307</t>
  </si>
  <si>
    <t>MQMR2RKW2X</t>
  </si>
  <si>
    <t>KQ2XXQ6694</t>
  </si>
  <si>
    <t>G696279217</t>
  </si>
  <si>
    <t>MH9Q3J12HJ</t>
  </si>
  <si>
    <t>HY6FWC2YWN</t>
  </si>
  <si>
    <t>G696197733</t>
  </si>
  <si>
    <t>ZP661-40052</t>
  </si>
  <si>
    <t>Space Gray, iPad Air 11-inch (M2), 128GB, Wi-Fi, ITP</t>
  </si>
  <si>
    <t>DXQTJWQCQP</t>
  </si>
  <si>
    <t>D06Y2F4V30</t>
  </si>
  <si>
    <t>G696175471</t>
  </si>
  <si>
    <t>HXK34430L0R1WP0DX</t>
  </si>
  <si>
    <t>HXK435606CN1N08FZ</t>
  </si>
  <si>
    <t>G696079591</t>
  </si>
  <si>
    <t>661-51897</t>
  </si>
  <si>
    <t>Logic Board, 10-core CPU, 10-core GPU, 16GB, 512GB, VN</t>
  </si>
  <si>
    <t>J33HNP000F00000PC8</t>
  </si>
  <si>
    <t>FV9HHB002MA00003P0</t>
  </si>
  <si>
    <t>G695956977</t>
  </si>
  <si>
    <t>M27HFKHG96</t>
  </si>
  <si>
    <t>L0R46WVP2P</t>
  </si>
  <si>
    <t>G695895937</t>
  </si>
  <si>
    <t>F8Y5447C2QT18FKBL</t>
  </si>
  <si>
    <t>FG92244058G18FMAQ</t>
  </si>
  <si>
    <t>G695846613</t>
  </si>
  <si>
    <t>GVH5212184QPR5PAP</t>
  </si>
  <si>
    <t>GVH44752SVZPR5PA0</t>
  </si>
  <si>
    <t>G695792447</t>
  </si>
  <si>
    <t>K7XXKQMHFD</t>
  </si>
  <si>
    <t>LR4MVYPXTD</t>
  </si>
  <si>
    <t>G695789657</t>
  </si>
  <si>
    <t>FXFGFT461D</t>
  </si>
  <si>
    <t>L9PHQ9LLQ6</t>
  </si>
  <si>
    <t>G695785271</t>
  </si>
  <si>
    <t>LD6G0FT4PM</t>
  </si>
  <si>
    <t>G493T02X5D</t>
  </si>
  <si>
    <t>G695779933</t>
  </si>
  <si>
    <t>GXH542YTY0</t>
  </si>
  <si>
    <t>CQQJ4Y3NWG</t>
  </si>
  <si>
    <t>G695776179</t>
  </si>
  <si>
    <t>CN9XL9QHYV</t>
  </si>
  <si>
    <t>FNVV6QTYX3</t>
  </si>
  <si>
    <t>G695749413</t>
  </si>
  <si>
    <t>GK7J69T2VR</t>
  </si>
  <si>
    <t>LR7PR7YCM7</t>
  </si>
  <si>
    <t>G680201864</t>
  </si>
  <si>
    <t>HM6T95Q6DT</t>
  </si>
  <si>
    <t>CRXCPJF4WG</t>
  </si>
  <si>
    <t>G695724631</t>
  </si>
  <si>
    <t>J5D2LVT01W</t>
  </si>
  <si>
    <t>JJGWHXP6N0</t>
  </si>
  <si>
    <t>G680101168</t>
  </si>
  <si>
    <t>M02KGMXXGC</t>
  </si>
  <si>
    <t>MPQXN12W96</t>
  </si>
  <si>
    <t>G695646485</t>
  </si>
  <si>
    <t>KX9VNPH75P</t>
  </si>
  <si>
    <t>H5QH65WWMD</t>
  </si>
  <si>
    <t>G695629131</t>
  </si>
  <si>
    <t>HK3HC4V9P2</t>
  </si>
  <si>
    <t>H270N96PL7</t>
  </si>
  <si>
    <t>G695614489</t>
  </si>
  <si>
    <t>TA661-36291</t>
  </si>
  <si>
    <t>Black, iPhone 15, 256GB, ROW, CI/AR, Taiwan</t>
  </si>
  <si>
    <t>LV2FQ50XCF</t>
  </si>
  <si>
    <t>D4M5W46J3C</t>
  </si>
  <si>
    <t>G695546649</t>
  </si>
  <si>
    <t>DV02KX242R</t>
  </si>
  <si>
    <t>KQJWLR175N</t>
  </si>
  <si>
    <t>G679980162</t>
  </si>
  <si>
    <t>HPJFVNX52H</t>
  </si>
  <si>
    <t>P3QN37YJ5C</t>
  </si>
  <si>
    <t>G679979674</t>
  </si>
  <si>
    <t>K32D2XTNWP</t>
  </si>
  <si>
    <t>CHGYFC9K3W</t>
  </si>
  <si>
    <t>G679967912</t>
  </si>
  <si>
    <t>TA661-36696</t>
  </si>
  <si>
    <t>iPhone 15, Black, 256GB, Logic Board Assy Mid System, ROW</t>
  </si>
  <si>
    <t>C25QNHC93J</t>
  </si>
  <si>
    <t>MPQHD2J0QQ</t>
  </si>
  <si>
    <t>G679819786</t>
  </si>
  <si>
    <t>F61Q67RDWF</t>
  </si>
  <si>
    <t>HNX2QTT25X</t>
  </si>
  <si>
    <t>G695513127</t>
  </si>
  <si>
    <t>K00CP2W3KD</t>
  </si>
  <si>
    <t>CQWC4Q60HY</t>
  </si>
  <si>
    <t>G695354977</t>
  </si>
  <si>
    <t>FMQPN9CHH0</t>
  </si>
  <si>
    <t>DVTV32K4LQ</t>
  </si>
  <si>
    <t>G679706390</t>
  </si>
  <si>
    <t>TK61CPHQWQ</t>
  </si>
  <si>
    <t>TG4PQN6117</t>
  </si>
  <si>
    <t>G695281593</t>
  </si>
  <si>
    <t>TA661-37199</t>
  </si>
  <si>
    <t>15 Pro Max, Black, 512GB, Logic Board Assy Mid System, ROW</t>
  </si>
  <si>
    <t>H7G3GMHQPL</t>
  </si>
  <si>
    <t>KQ34TD4J30</t>
  </si>
  <si>
    <t>G695224607</t>
  </si>
  <si>
    <t>ZP661-39835</t>
  </si>
  <si>
    <t>Starlight, iPad Air 13-inch (M2), 512GB, Wi-Fi, ITP</t>
  </si>
  <si>
    <t>J393VYKQMJ</t>
  </si>
  <si>
    <t>GR9JQL47GM</t>
  </si>
  <si>
    <t>MOBILECARE - LIMA ESTATE</t>
  </si>
  <si>
    <t>G695177475</t>
  </si>
  <si>
    <t>FY656XVR77</t>
  </si>
  <si>
    <t>JRWKL6XJXD</t>
  </si>
  <si>
    <t>G695141193</t>
  </si>
  <si>
    <t>FVQTDC2XP5</t>
  </si>
  <si>
    <t>KFL6G23Q7N</t>
  </si>
  <si>
    <t>G695033869</t>
  </si>
  <si>
    <t>GL2343YWMJ</t>
  </si>
  <si>
    <t>FKW5G6WXVN</t>
  </si>
  <si>
    <t>G694999039</t>
  </si>
  <si>
    <t>C9QQQW7546</t>
  </si>
  <si>
    <t>FH7JPD72RC</t>
  </si>
  <si>
    <t>G694940397</t>
  </si>
  <si>
    <t>KYH27R0QYN</t>
  </si>
  <si>
    <t>DQHQ4VT0WK</t>
  </si>
  <si>
    <t>G679290286</t>
  </si>
  <si>
    <t>iPhone 13, Red, 512GB, Logic Board Assy Rear System, ROW</t>
  </si>
  <si>
    <t>FQJW5FPVQG</t>
  </si>
  <si>
    <t>G7Y3F0GFQ6</t>
  </si>
  <si>
    <t>G694897427</t>
  </si>
  <si>
    <t>ZP661-42972</t>
  </si>
  <si>
    <t>Starlight, 128GB, iPad mini, Wi-Fi, CI/AR, ITP</t>
  </si>
  <si>
    <t>JWPPX9300C</t>
  </si>
  <si>
    <t>MNWPD2XD62</t>
  </si>
  <si>
    <t>G694894611</t>
  </si>
  <si>
    <t>F8Y5417C9ZF18FKB7</t>
  </si>
  <si>
    <t>FG932570N8E18FMA0</t>
  </si>
  <si>
    <t>G694886093</t>
  </si>
  <si>
    <t>FF4PQV79WF</t>
  </si>
  <si>
    <t>CNVH2WPF3C</t>
  </si>
  <si>
    <t>GVH53340ST6PR5PAG</t>
  </si>
  <si>
    <t>GVH44933890PR5PA2</t>
  </si>
  <si>
    <t>G694720973</t>
  </si>
  <si>
    <t>FM624KP2D3</t>
  </si>
  <si>
    <t>GD720022WH</t>
  </si>
  <si>
    <t>G694713001</t>
  </si>
  <si>
    <t>KNH0F67HJY</t>
  </si>
  <si>
    <t>NVW7LK9YQT</t>
  </si>
  <si>
    <t>G694331629</t>
  </si>
  <si>
    <t>ZP661-28886</t>
  </si>
  <si>
    <t>Blue, iPad 10th generation, 64GB, Wi-Fi, ITP</t>
  </si>
  <si>
    <t>J0HG9NWLGF</t>
  </si>
  <si>
    <t>H2NCWJX3L9</t>
  </si>
  <si>
    <t>G693851937</t>
  </si>
  <si>
    <t>MOBILECARE - CEBU</t>
  </si>
  <si>
    <t>HKXVRWY205</t>
  </si>
  <si>
    <t>F9CR2T933C</t>
  </si>
  <si>
    <t>K5Q6YCQ3N4</t>
  </si>
  <si>
    <t>G692833265</t>
  </si>
  <si>
    <t>GDQ76M0XNL</t>
  </si>
  <si>
    <t>J7CC27MVNM</t>
  </si>
  <si>
    <t>G691510431</t>
  </si>
  <si>
    <t>TA661-36697</t>
  </si>
  <si>
    <t>iPhone 15, Pink, 256GB, Logic Board Assy Mid System, ROW</t>
  </si>
  <si>
    <t>RKVP2K0CGF</t>
  </si>
  <si>
    <t>D5WFMF2R4W</t>
  </si>
  <si>
    <t>JQMTCNVGP6</t>
  </si>
  <si>
    <t>MOBILECARE - APP MALL OF ASIA</t>
  </si>
  <si>
    <t>G714878999</t>
  </si>
  <si>
    <t>661-41792</t>
  </si>
  <si>
    <t>Display, Silver, MBP (14-in, M4 Pro/Max, 2024)</t>
  </si>
  <si>
    <t>FMXHRN0046U00006J3</t>
  </si>
  <si>
    <t>FMXHE2005N300006J3</t>
  </si>
  <si>
    <t>G712672813</t>
  </si>
  <si>
    <t>F8Y6155C0BZM6YND4</t>
  </si>
  <si>
    <t>FG9342603TTM6YRC8</t>
  </si>
  <si>
    <t>G711850523</t>
  </si>
  <si>
    <t>F8Y6126C6ET18FKBK</t>
  </si>
  <si>
    <t>FG930320DW718FNAW</t>
  </si>
  <si>
    <t>G692978740</t>
  </si>
  <si>
    <t>661-44954</t>
  </si>
  <si>
    <t>Battery, iPhone 16 Pro Max</t>
  </si>
  <si>
    <t>F8YHLQH04YP0000UMJ</t>
  </si>
  <si>
    <t>F5DH8T00ZAF0000UMG</t>
  </si>
  <si>
    <t>G710799159</t>
  </si>
  <si>
    <t>GVH517628YXPR5PAA</t>
  </si>
  <si>
    <t>GVH51050W7SPR5PAU</t>
  </si>
  <si>
    <t>G710589689</t>
  </si>
  <si>
    <t>G16XGNX6FT</t>
  </si>
  <si>
    <t>HHJQTVWLGW</t>
  </si>
  <si>
    <t>G704486325</t>
  </si>
  <si>
    <t>LN6NX2G2FQ</t>
  </si>
  <si>
    <t>H2NXV23Y45</t>
  </si>
  <si>
    <t>G698185109</t>
  </si>
  <si>
    <t>661-56052</t>
  </si>
  <si>
    <t>Camera, iPhone 17 Pro Max</t>
  </si>
  <si>
    <t>DN8HKJ07Y470000JS5</t>
  </si>
  <si>
    <t>DN8HKN07WR00000RYQ</t>
  </si>
  <si>
    <t>G681995306</t>
  </si>
  <si>
    <t>Z661-16848</t>
  </si>
  <si>
    <t>AirPods 2, Right, CI/AR, INT</t>
  </si>
  <si>
    <t>H17QC0R2JJNW</t>
  </si>
  <si>
    <t>G697920465</t>
  </si>
  <si>
    <t>G9P5384MKETPQCLA0</t>
  </si>
  <si>
    <t>G9Q1471XE4FPQCLAZ</t>
  </si>
  <si>
    <t>G697593117</t>
  </si>
  <si>
    <t>F8Y5447C8EMQ687BG</t>
  </si>
  <si>
    <t>FG910120SBRQ6893N</t>
  </si>
  <si>
    <t>G697591945</t>
  </si>
  <si>
    <t>F8YHN2C03LZ00006TW</t>
  </si>
  <si>
    <t>FG9GZ400C9D00006TZ</t>
  </si>
  <si>
    <t>G681595846</t>
  </si>
  <si>
    <t>G9P5351M5D0PQCLAN</t>
  </si>
  <si>
    <t>F8Y14961GYW13XC8H</t>
  </si>
  <si>
    <t>G697486127</t>
  </si>
  <si>
    <t>F0YHL10012S00006J1</t>
  </si>
  <si>
    <t>FP1HAQ006TV0000FQX</t>
  </si>
  <si>
    <t>G697484157</t>
  </si>
  <si>
    <t>GMGHLH004G60000GVL</t>
  </si>
  <si>
    <t>GMGHHV004WP0000GVL</t>
  </si>
  <si>
    <t>G697473837</t>
  </si>
  <si>
    <t>G9P5306MF50PQCLAC</t>
  </si>
  <si>
    <t>G9N1486MK5ZPQCLAX</t>
  </si>
  <si>
    <t>F8Y5451C2YM13XCB3</t>
  </si>
  <si>
    <t>F8Y1504176J13XC88</t>
  </si>
  <si>
    <t>G697375593</t>
  </si>
  <si>
    <t>G9PHK3S06XQ00005DR</t>
  </si>
  <si>
    <t>GH3H9100W0900005DS</t>
  </si>
  <si>
    <t>G697268605</t>
  </si>
  <si>
    <t>FNQ7WV024L</t>
  </si>
  <si>
    <t>CJGHHGQFKH</t>
  </si>
  <si>
    <t>G697261743</t>
  </si>
  <si>
    <t>H2J7HTVMXG</t>
  </si>
  <si>
    <t>DV6C7XY4VQ</t>
  </si>
  <si>
    <t>G697141691</t>
  </si>
  <si>
    <t>HXPP4R4W5P</t>
  </si>
  <si>
    <t>KHH2Y5C9L5</t>
  </si>
  <si>
    <t>G697140157</t>
  </si>
  <si>
    <t>K1QK7Q6XNF</t>
  </si>
  <si>
    <t>GKWWQ07XJ2</t>
  </si>
  <si>
    <t>G696804465</t>
  </si>
  <si>
    <t>DW14245G9H</t>
  </si>
  <si>
    <t>JH90XLP29M</t>
  </si>
  <si>
    <t>G696749507</t>
  </si>
  <si>
    <t>HW6KK2W9T9</t>
  </si>
  <si>
    <t>F7RVKQQT3K</t>
  </si>
  <si>
    <t>G696736863</t>
  </si>
  <si>
    <t>F8Y5441C1T213XCB7</t>
  </si>
  <si>
    <t>F8Y148416X713XC8Q</t>
  </si>
  <si>
    <t>G696715733</t>
  </si>
  <si>
    <t>FP15316001N25YTA5</t>
  </si>
  <si>
    <t>GMG243602V31J88AB</t>
  </si>
  <si>
    <t>G696634937</t>
  </si>
  <si>
    <t>F8Y5391N0MS10X2C2</t>
  </si>
  <si>
    <t>F8Y235209SL10X2A8</t>
  </si>
  <si>
    <t>G696618697</t>
  </si>
  <si>
    <t>DNL5222036H1986B1</t>
  </si>
  <si>
    <t>DNL4025076R1986BR</t>
  </si>
  <si>
    <t>G696528531</t>
  </si>
  <si>
    <t>661-37006</t>
  </si>
  <si>
    <t>Logic Board, 16-core CPU, 40-core GPU, 128GB, 2TB</t>
  </si>
  <si>
    <t>FV95272005223NKBB</t>
  </si>
  <si>
    <t>FV9439402FQ23NKAN</t>
  </si>
  <si>
    <t>FMX544408A4278XAN</t>
  </si>
  <si>
    <t>F0Y438401T7278VAX</t>
  </si>
  <si>
    <t>G696400787</t>
  </si>
  <si>
    <t>M3H6595XVG</t>
  </si>
  <si>
    <t>J33XRGH30Q</t>
  </si>
  <si>
    <t>G696328841</t>
  </si>
  <si>
    <t>661-41835</t>
  </si>
  <si>
    <t>FV9HLN0001T0000NTY</t>
  </si>
  <si>
    <t>FV9HDJ003000000NTY</t>
  </si>
  <si>
    <t>661-50210</t>
  </si>
  <si>
    <t>F8YHG6N00LD0000FWL</t>
  </si>
  <si>
    <t>F5DHCL000UZ0000FWH</t>
  </si>
  <si>
    <t>661-41795</t>
  </si>
  <si>
    <t>Display, Nano-texture, Space Black</t>
  </si>
  <si>
    <t>FMXHLR001SX00006V3</t>
  </si>
  <si>
    <t>FMXHB70026700006V3</t>
  </si>
  <si>
    <t>FV9HGZ0000Y0000NTY</t>
  </si>
  <si>
    <t>G695642775</t>
  </si>
  <si>
    <t>F8Y5446CCXK18FKBY</t>
  </si>
  <si>
    <t>FG922150JSN18FMAT</t>
  </si>
  <si>
    <t>G695409651</t>
  </si>
  <si>
    <t>TA661-36174</t>
  </si>
  <si>
    <t>15 Pro, Natural, 256GB, Logic Board Assy Mid System, ROW</t>
  </si>
  <si>
    <t>H1717LRLWQ</t>
  </si>
  <si>
    <t>FXJ6J6JJ4R</t>
  </si>
  <si>
    <t>661-35702</t>
  </si>
  <si>
    <t>Natural Titanium, Back Glass, iPhone 15 Pro</t>
  </si>
  <si>
    <t>DRCHLH0024A0000AY2</t>
  </si>
  <si>
    <t>DRCH2P00BSU0000AY2</t>
  </si>
  <si>
    <t>G695187143</t>
  </si>
  <si>
    <t>FV9527200MJ23NPBB</t>
  </si>
  <si>
    <t>FV9431404QF23NPAN</t>
  </si>
  <si>
    <t>FMX534400Z3278XAX</t>
  </si>
  <si>
    <t>FMX428701E2278YA8</t>
  </si>
  <si>
    <t>G695165235</t>
  </si>
  <si>
    <t>KH2033759C</t>
  </si>
  <si>
    <t>NC94N6RGQF</t>
  </si>
  <si>
    <t>G694414943</t>
  </si>
  <si>
    <t>FN7P0XYJN9</t>
  </si>
  <si>
    <t>GQDR6KY9NM</t>
  </si>
  <si>
    <t>G691715491</t>
  </si>
  <si>
    <t>661-36974</t>
  </si>
  <si>
    <t>Logic Board, 16-core CPU, 40-core GPU, 128GB, 4TB</t>
  </si>
  <si>
    <t>C023484000C25HQAM</t>
  </si>
  <si>
    <t>C024313001Y25HQAJ</t>
  </si>
  <si>
    <t>661-37952</t>
  </si>
  <si>
    <t>F0Y415601S82525AJ</t>
  </si>
  <si>
    <t>FP14174017S216RAM</t>
  </si>
  <si>
    <t>G694515936</t>
  </si>
  <si>
    <t>G9PHLWT2QS300005DP</t>
  </si>
  <si>
    <t>GVCHGT00X9W00005DQ</t>
  </si>
  <si>
    <t>G710012551</t>
  </si>
  <si>
    <t>PP661-28873</t>
  </si>
  <si>
    <t>iPhone 14, Midnight, 256GB, Logic Board Assy Mid System, ROW</t>
  </si>
  <si>
    <t>G6WHHWWG9Y</t>
  </si>
  <si>
    <t>KYC0XR4QXV</t>
  </si>
  <si>
    <t>G707700545</t>
  </si>
  <si>
    <t>F7C4202D4U3KV27AH</t>
  </si>
  <si>
    <t>F7C4135D0D4KV27AL</t>
  </si>
  <si>
    <t>F7C4212D1RGKV27AD</t>
  </si>
  <si>
    <t>PP661-13316</t>
  </si>
  <si>
    <t>64GB, White, ROW, iPhone 11, CI/AR-PPN</t>
  </si>
  <si>
    <t>J9LPK02GN736</t>
  </si>
  <si>
    <t>DX3MKGQEN736</t>
  </si>
  <si>
    <t>G703762497</t>
  </si>
  <si>
    <t>F8YHMZH028U0000UMJ</t>
  </si>
  <si>
    <t>F5DHEC01RS20000UMH</t>
  </si>
  <si>
    <t>G686776320</t>
  </si>
  <si>
    <t>K4G6HX9CWD</t>
  </si>
  <si>
    <t>GN4WW3F0H6</t>
  </si>
  <si>
    <t>G703502655</t>
  </si>
  <si>
    <t>LLP6KGQ4FL</t>
  </si>
  <si>
    <t>DYR7412335</t>
  </si>
  <si>
    <t>G702819629</t>
  </si>
  <si>
    <t>LTFN654MH4</t>
  </si>
  <si>
    <t>LWPQXT6VJT</t>
  </si>
  <si>
    <t>G702630195</t>
  </si>
  <si>
    <t>FV9501202YG0W9GLW</t>
  </si>
  <si>
    <t>FV9536400R70W9FL9</t>
  </si>
  <si>
    <t>G702621601</t>
  </si>
  <si>
    <t>GXHKJ29RDC</t>
  </si>
  <si>
    <t>GYX373V6Y7</t>
  </si>
  <si>
    <t>G701315227</t>
  </si>
  <si>
    <t>MMX0D976N9</t>
  </si>
  <si>
    <t>DKVH9NN71D</t>
  </si>
  <si>
    <t>G700819891</t>
  </si>
  <si>
    <t>Z661-55942</t>
  </si>
  <si>
    <t>Logic Board, 256GB, A3523, ROW, iPhone 17 Pro</t>
  </si>
  <si>
    <t>F4HWL5QQXL</t>
  </si>
  <si>
    <t>G2CHML01TBC0000X77</t>
  </si>
  <si>
    <t>G700570011</t>
  </si>
  <si>
    <t>D364PQQLF2</t>
  </si>
  <si>
    <t>F2HTP9CDXW</t>
  </si>
  <si>
    <t>G698158625</t>
  </si>
  <si>
    <t>G9P5264L57NPQCKAH</t>
  </si>
  <si>
    <t>G9P2271H4EXPQCKA6</t>
  </si>
  <si>
    <t>G698124109</t>
  </si>
  <si>
    <t>GVCHKK01TGH0000MUZ</t>
  </si>
  <si>
    <t>GH3HMD01M4N0000MUZ</t>
  </si>
  <si>
    <t>G698105143</t>
  </si>
  <si>
    <t>G4MWJJ2V51</t>
  </si>
  <si>
    <t>MNPR2QR03X</t>
  </si>
  <si>
    <t>G698036023</t>
  </si>
  <si>
    <t>CWGVQ0D4G3</t>
  </si>
  <si>
    <t>L9V7P7YCF9</t>
  </si>
  <si>
    <t>G698018995</t>
  </si>
  <si>
    <t>F8Y5447C50Q18FKBQ</t>
  </si>
  <si>
    <t>FG915220QAA18FM4X</t>
  </si>
  <si>
    <t>G698005001</t>
  </si>
  <si>
    <t>TA661-44055</t>
  </si>
  <si>
    <t>256GB, Black, ROW, iPhone 16 Plus, CI/AR</t>
  </si>
  <si>
    <t>DW0HF2LYXP</t>
  </si>
  <si>
    <t>K3H799DCJC</t>
  </si>
  <si>
    <t>G697999843</t>
  </si>
  <si>
    <t>L30RF762N3</t>
  </si>
  <si>
    <t>D5V2K4H545</t>
  </si>
  <si>
    <t>G697982103</t>
  </si>
  <si>
    <t>GMG545100PTNR8DBM</t>
  </si>
  <si>
    <t>FP1438500YR249YAR</t>
  </si>
  <si>
    <t>G697922713</t>
  </si>
  <si>
    <t>C077MCPYQG</t>
  </si>
  <si>
    <t>J999D4RWF7</t>
  </si>
  <si>
    <t>G697771047</t>
  </si>
  <si>
    <t>MHGQT627TY</t>
  </si>
  <si>
    <t>FY4GNWC60T</t>
  </si>
  <si>
    <t>G697761871</t>
  </si>
  <si>
    <t>TA661-42899</t>
  </si>
  <si>
    <t>128GB, Desert Titanium, ROW, iPhone 16 Pro, CI/AR</t>
  </si>
  <si>
    <t>LQ5D27370H</t>
  </si>
  <si>
    <t>GY1JTPGFHQ</t>
  </si>
  <si>
    <t>G697759713</t>
  </si>
  <si>
    <t>CKJVX2NC65</t>
  </si>
  <si>
    <t>GWC7NJ9D7Y</t>
  </si>
  <si>
    <t>G697756707</t>
  </si>
  <si>
    <t>TA661-43498</t>
  </si>
  <si>
    <t>128GB, Black, ROW, iPhone 16, CI/AR</t>
  </si>
  <si>
    <t>K26JWWLVM0</t>
  </si>
  <si>
    <t>FYV9RL99K5</t>
  </si>
  <si>
    <t>G697744471</t>
  </si>
  <si>
    <t>661-35634</t>
  </si>
  <si>
    <t>Watch Ultra 2 Cellular, 49mm, Titanium, CI/AR, CN, ROW</t>
  </si>
  <si>
    <t>HC59HYF27W</t>
  </si>
  <si>
    <t>L29J52T67N</t>
  </si>
  <si>
    <t>G697734441</t>
  </si>
  <si>
    <t>661-15741</t>
  </si>
  <si>
    <t>Battery, iPhone SE 2nd gen</t>
  </si>
  <si>
    <t>FG95383013DN2YLBH</t>
  </si>
  <si>
    <t>F5D02360DGFN2YN46</t>
  </si>
  <si>
    <t>G697712975</t>
  </si>
  <si>
    <t>TA661-42908</t>
  </si>
  <si>
    <t>512GB, Natural Titanium, ROW, iPhone 16 Pro, CI/AR</t>
  </si>
  <si>
    <t>MK7R9G9L12</t>
  </si>
  <si>
    <t>HM955WK6MM</t>
  </si>
  <si>
    <t>G697712107</t>
  </si>
  <si>
    <t>K57HQCC74M</t>
  </si>
  <si>
    <t>K02FW676YX</t>
  </si>
  <si>
    <t>G697706353</t>
  </si>
  <si>
    <t>MDWJR04C5W</t>
  </si>
  <si>
    <t>L5QHQCF4LM</t>
  </si>
  <si>
    <t>G697590647</t>
  </si>
  <si>
    <t>G9PHK2S0U7K00005DR</t>
  </si>
  <si>
    <t>G9PHC8J12C200005DR</t>
  </si>
  <si>
    <t>G697579133</t>
  </si>
  <si>
    <t>G9Q5394U86K21KHAJ</t>
  </si>
  <si>
    <t>G9Q5274VACN21KHAZ</t>
  </si>
  <si>
    <t>G697563755</t>
  </si>
  <si>
    <t>KVTD7R12HH</t>
  </si>
  <si>
    <t>MJJW3QVQK3</t>
  </si>
  <si>
    <t>G681599256</t>
  </si>
  <si>
    <t>ZP661-50235</t>
  </si>
  <si>
    <t>iPad (A16) Wi-Fi, 512GB, Blue, CI/AR, CN</t>
  </si>
  <si>
    <t>FYV74004NF</t>
  </si>
  <si>
    <t>KPX1RX77CJ</t>
  </si>
  <si>
    <t>G681596122</t>
  </si>
  <si>
    <t>ML7J761HJ2</t>
  </si>
  <si>
    <t>M1WHFKGFCF</t>
  </si>
  <si>
    <t>G697463463</t>
  </si>
  <si>
    <t>GVCHJK02ABA0000MUZ</t>
  </si>
  <si>
    <t>GH3HKL006DU0000MUZ</t>
  </si>
  <si>
    <t>G697451751</t>
  </si>
  <si>
    <t>J33HNP0000P0000PC8</t>
  </si>
  <si>
    <t>FV9HDB00SLV0000PC8</t>
  </si>
  <si>
    <t>G697272957</t>
  </si>
  <si>
    <t>F8Y5374C85E13RHCK</t>
  </si>
  <si>
    <t>F5D20443V6R13RK9Z</t>
  </si>
  <si>
    <t>G697220603</t>
  </si>
  <si>
    <t>F8YHN0C0MWA00006TP</t>
  </si>
  <si>
    <t>F8YGZJ0070000006TP</t>
  </si>
  <si>
    <t>G697114369</t>
  </si>
  <si>
    <t>LC4X9922L7</t>
  </si>
  <si>
    <t>F0WHCVG72Y</t>
  </si>
  <si>
    <t>G697096457</t>
  </si>
  <si>
    <t>G9P5347M97HPQCLAG</t>
  </si>
  <si>
    <t>G9Q1377X7ATPQCLA5</t>
  </si>
  <si>
    <t>F8Y5433C42M13XCBT</t>
  </si>
  <si>
    <t>F5D13934TKG13X99E</t>
  </si>
  <si>
    <t>G696826607</t>
  </si>
  <si>
    <t>TA661-45261</t>
  </si>
  <si>
    <t>256GB, Black Titanium, ROW, iPhone 16 Pro Max, CI/AR</t>
  </si>
  <si>
    <t>M9GYL9W9PD</t>
  </si>
  <si>
    <t>HK3HG6YD6P</t>
  </si>
  <si>
    <t>G696739251</t>
  </si>
  <si>
    <t>F8Y5437C3GUQ4C2B6</t>
  </si>
  <si>
    <t>F5D0526A1L2Q4C09E</t>
  </si>
  <si>
    <t>G696735495</t>
  </si>
  <si>
    <t>F8Y5431C40AQ687BE</t>
  </si>
  <si>
    <t>FG910262CGSQ68C34</t>
  </si>
  <si>
    <t>G696707555</t>
  </si>
  <si>
    <t>F8Y5316C4V7M6YNDJ</t>
  </si>
  <si>
    <t>FG9051206MYM6YRB2</t>
  </si>
  <si>
    <t>G696684553</t>
  </si>
  <si>
    <t>VWPC2PJ6NF</t>
  </si>
  <si>
    <t>F9RDQ1V4TD</t>
  </si>
  <si>
    <t>G696684505</t>
  </si>
  <si>
    <t>GVH53330E7DPR5PAE</t>
  </si>
  <si>
    <t>GVH43631FECPR5PAJ</t>
  </si>
  <si>
    <t>G696585535</t>
  </si>
  <si>
    <t>JGTX1J4HN2</t>
  </si>
  <si>
    <t>JCYN24W47L</t>
  </si>
  <si>
    <t>G696503183</t>
  </si>
  <si>
    <t>GXH7L92Q2R</t>
  </si>
  <si>
    <t>MM2C5X2V24</t>
  </si>
  <si>
    <t>G696459103</t>
  </si>
  <si>
    <t>DJJY6Y24GJ</t>
  </si>
  <si>
    <t>K10GNPQ22M</t>
  </si>
  <si>
    <t>G696378757</t>
  </si>
  <si>
    <t>KGKX4Y103G</t>
  </si>
  <si>
    <t>DC936Q52H2</t>
  </si>
  <si>
    <t>G696372629</t>
  </si>
  <si>
    <t>TA661-36289</t>
  </si>
  <si>
    <t>Blue, iPhone 15, 128GB, ROW, CI/AR, Taiwan</t>
  </si>
  <si>
    <t>KQTDC9L3XT</t>
  </si>
  <si>
    <t>H54XLF7QXJ</t>
  </si>
  <si>
    <t>G696356061</t>
  </si>
  <si>
    <t>F8Y5441C40S13XCBT</t>
  </si>
  <si>
    <t>F5D1526AY4L13XD9A</t>
  </si>
  <si>
    <t>G696352907</t>
  </si>
  <si>
    <t>D865456N1H0PJYRB0</t>
  </si>
  <si>
    <t>F5D44652RGPPJYVCA</t>
  </si>
  <si>
    <t>G696343303</t>
  </si>
  <si>
    <t>M70M4DLC4V</t>
  </si>
  <si>
    <t>MKHX7QK670</t>
  </si>
  <si>
    <t>G696341233</t>
  </si>
  <si>
    <t>G9P5376CFHHPR5QAF</t>
  </si>
  <si>
    <t>GVH42610D26PR5PA0</t>
  </si>
  <si>
    <t>G696293155</t>
  </si>
  <si>
    <t>F8Y5446CK7918FKB5</t>
  </si>
  <si>
    <t>FG9231207BZ18FMA6</t>
  </si>
  <si>
    <t>G696274891</t>
  </si>
  <si>
    <t>J6H5QH2LQV</t>
  </si>
  <si>
    <t>F06XY40VXJ</t>
  </si>
  <si>
    <t>G696182103</t>
  </si>
  <si>
    <t>KQ9XH7JLK7</t>
  </si>
  <si>
    <t>M2165FXK0F</t>
  </si>
  <si>
    <t>G696168155</t>
  </si>
  <si>
    <t>F8Y5456C1FJ217WB4</t>
  </si>
  <si>
    <t>F5D25263QPN21PK70</t>
  </si>
  <si>
    <t>G696117767</t>
  </si>
  <si>
    <t>C4YD9GW7D6</t>
  </si>
  <si>
    <t>HNFN4M7W9D</t>
  </si>
  <si>
    <t>G696113517</t>
  </si>
  <si>
    <t>G9PHJXS0JWE00005DR</t>
  </si>
  <si>
    <t>GH3HEG01MQD00005DS</t>
  </si>
  <si>
    <t>G696105769</t>
  </si>
  <si>
    <t>G9P5295C182PR5QAZ</t>
  </si>
  <si>
    <t>GVH44930XGXPR5PA4</t>
  </si>
  <si>
    <t>G696087273</t>
  </si>
  <si>
    <t>GMG5445023BNR8DBS</t>
  </si>
  <si>
    <t>GMG409501E1NR89B0</t>
  </si>
  <si>
    <t>G696071755</t>
  </si>
  <si>
    <t>PP661-13315</t>
  </si>
  <si>
    <t>64GB, Black, ROW, iPhone 11, CI/AR-PPN</t>
  </si>
  <si>
    <t>J9LQN0YEN735</t>
  </si>
  <si>
    <t>FFWMK57SN735</t>
  </si>
  <si>
    <t>G696070735</t>
  </si>
  <si>
    <t>G9Q5433XHMR1502A4</t>
  </si>
  <si>
    <t>GVC435402M31503AE</t>
  </si>
  <si>
    <t>G696060927</t>
  </si>
  <si>
    <t>ZP661-39282</t>
  </si>
  <si>
    <t>Space Black, iPad Pro 13-inch (M4), 512GB, Cellular, ITP</t>
  </si>
  <si>
    <t>GCRWG026KN</t>
  </si>
  <si>
    <t>HV23TYC9DK</t>
  </si>
  <si>
    <t>G680380584</t>
  </si>
  <si>
    <t>GMGHLD00A450000GVL</t>
  </si>
  <si>
    <t>F0YHCY001TZ0000GVK</t>
  </si>
  <si>
    <t>G695625421</t>
  </si>
  <si>
    <t>HPD60X4HLW</t>
  </si>
  <si>
    <t>GMC4VFV9X9</t>
  </si>
  <si>
    <t>G695548829</t>
  </si>
  <si>
    <t>J9YM947NY7</t>
  </si>
  <si>
    <t>FV6GH26K5J</t>
  </si>
  <si>
    <t>G679986068</t>
  </si>
  <si>
    <t>TA661-36903</t>
  </si>
  <si>
    <t>White, iPhone 15 Pro Max, 1TB, ROW, CI/AR, Taiwan</t>
  </si>
  <si>
    <t>LX7H6C229V</t>
  </si>
  <si>
    <t>KQTWW2MTGH</t>
  </si>
  <si>
    <t>G695503403</t>
  </si>
  <si>
    <t>PP661-13223</t>
  </si>
  <si>
    <t>512GB, Gold, ROW, iPhone 11 Pro, CI/AR-PP</t>
  </si>
  <si>
    <t>H09MD009N6YF</t>
  </si>
  <si>
    <t>H08K3024N6Y0</t>
  </si>
  <si>
    <t>G695468483</t>
  </si>
  <si>
    <t>GD46QCT9P6</t>
  </si>
  <si>
    <t>KCGFQYN93G</t>
  </si>
  <si>
    <t>G695385625</t>
  </si>
  <si>
    <t>FV9433202MG0W9GHY</t>
  </si>
  <si>
    <t>FV945060F8R0W9GL9</t>
  </si>
  <si>
    <t>G695368273</t>
  </si>
  <si>
    <t>JXP9JCM4JM</t>
  </si>
  <si>
    <t>FDW9JX44G1</t>
  </si>
  <si>
    <t>G695349781</t>
  </si>
  <si>
    <t>KPHX6XPJX7</t>
  </si>
  <si>
    <t>F743YY0393</t>
  </si>
  <si>
    <t>G679707982</t>
  </si>
  <si>
    <t>FR7DF2QN9R</t>
  </si>
  <si>
    <t>J9YJNFVJ7H</t>
  </si>
  <si>
    <t>G695345825</t>
  </si>
  <si>
    <t>DL2RD7Q13C</t>
  </si>
  <si>
    <t>CVW59J66RN</t>
  </si>
  <si>
    <t>G679701858</t>
  </si>
  <si>
    <t>PP661-10913</t>
  </si>
  <si>
    <t>128GB, White, ROW, iPhone XR, CI/AR-PPN</t>
  </si>
  <si>
    <t>J9LQJ002KXK8</t>
  </si>
  <si>
    <t>GQTP400WKXK8</t>
  </si>
  <si>
    <t>G679698956</t>
  </si>
  <si>
    <t>TA661-43507</t>
  </si>
  <si>
    <t>256GB, Teal, ROW, iPhone 16, CI/AR</t>
  </si>
  <si>
    <t>NMP9J9WQ9T</t>
  </si>
  <si>
    <t>MK2T91WH7N</t>
  </si>
  <si>
    <t>G679697948</t>
  </si>
  <si>
    <t>TA661-36287</t>
  </si>
  <si>
    <t>Pink, iPhone 15, 128GB, ROW, CI/AR, Taiwan</t>
  </si>
  <si>
    <t>L45DDFWFNK</t>
  </si>
  <si>
    <t>F6DQ0T59JH</t>
  </si>
  <si>
    <t>G679696388</t>
  </si>
  <si>
    <t>F9CK0J40HJ</t>
  </si>
  <si>
    <t>M9VX79W3T1</t>
  </si>
  <si>
    <t>G695288853</t>
  </si>
  <si>
    <t>TA661-35558</t>
  </si>
  <si>
    <t>Natural, iPhone 15 Pro, 256GB, ROW, CI/AR, Taiwan</t>
  </si>
  <si>
    <t>PL9FR4K454</t>
  </si>
  <si>
    <t>HD7PVVJJWK</t>
  </si>
  <si>
    <t>G695281691</t>
  </si>
  <si>
    <t>G9P5352M11HPQCLAA</t>
  </si>
  <si>
    <t>G9P1416Q50VPQCLA7</t>
  </si>
  <si>
    <t>F8Y5442C36Y13XCB3</t>
  </si>
  <si>
    <t>F5D14141BBL13XD99</t>
  </si>
  <si>
    <t>G695259959</t>
  </si>
  <si>
    <t>FGQ6KL4H3D</t>
  </si>
  <si>
    <t>LH76F9JYT7</t>
  </si>
  <si>
    <t>G695133685</t>
  </si>
  <si>
    <t>TA661-35491</t>
  </si>
  <si>
    <t>Pink, iPhone 15 Plus, 128GB, ROW, CI/AR, Taiwan</t>
  </si>
  <si>
    <t>HVH9K2RYW7</t>
  </si>
  <si>
    <t>X94LRX0YQG</t>
  </si>
  <si>
    <t>G695123091</t>
  </si>
  <si>
    <t>M9XYQ9F7Y5</t>
  </si>
  <si>
    <t>F93QWQ23YR</t>
  </si>
  <si>
    <t>G694887455</t>
  </si>
  <si>
    <t>L9JC7RWDH0</t>
  </si>
  <si>
    <t>HKXVKTQHQY</t>
  </si>
  <si>
    <t>G694821743</t>
  </si>
  <si>
    <t>KVGVY6MG4F</t>
  </si>
  <si>
    <t>JQ0NK96YPC</t>
  </si>
  <si>
    <t>G694797327</t>
  </si>
  <si>
    <t>F0JKJWY4LF</t>
  </si>
  <si>
    <t>G322LN42LJ</t>
  </si>
  <si>
    <t>G694778745</t>
  </si>
  <si>
    <t>DXMH4LTD49</t>
  </si>
  <si>
    <t>K7L2G060D3</t>
  </si>
  <si>
    <t>G694525097</t>
  </si>
  <si>
    <t>ZP661-25133</t>
  </si>
  <si>
    <t>Space Gray, 64 GB, iPad Air 5th generation, Wi-Fi, ITP</t>
  </si>
  <si>
    <t>FN97RHC0HP</t>
  </si>
  <si>
    <t>F9WPW6M6C3</t>
  </si>
  <si>
    <t>G694507661</t>
  </si>
  <si>
    <t>FVNTJ2KPM6</t>
  </si>
  <si>
    <t>F0K46XXFLF</t>
  </si>
  <si>
    <t>G694503889</t>
  </si>
  <si>
    <t>H0CV2X4JR7</t>
  </si>
  <si>
    <t>D16YDVQ2QQ</t>
  </si>
  <si>
    <t>G694479755</t>
  </si>
  <si>
    <t>JX17XJJW19</t>
  </si>
  <si>
    <t>CN49KJ9KW9</t>
  </si>
  <si>
    <t>G694244965</t>
  </si>
  <si>
    <t>K24WR9H5W0</t>
  </si>
  <si>
    <t>JLWQ9Q643N</t>
  </si>
  <si>
    <t>G693840127</t>
  </si>
  <si>
    <t>661-34899</t>
  </si>
  <si>
    <t>Logic Board, 8-core CPU, 10-core GPU, 8GB, 512GB</t>
  </si>
  <si>
    <t>C024045002V1RH5AC</t>
  </si>
  <si>
    <t>G692848483</t>
  </si>
  <si>
    <t>C022401001B0W9GAU</t>
  </si>
  <si>
    <t>FV943350DU30W9GHA</t>
  </si>
  <si>
    <t>FV9517404AL0W9FL2</t>
  </si>
  <si>
    <t>GMG541301FS1J88AX</t>
  </si>
  <si>
    <t>GMG4324021B1J87AL</t>
  </si>
  <si>
    <t>G692212353</t>
  </si>
  <si>
    <t>ZP661-40064</t>
  </si>
  <si>
    <t>Space Gray, iPad Air 11-inch (M2), 1TB, Wi-Fi, ITP</t>
  </si>
  <si>
    <t>JRV0X3YYKP</t>
  </si>
  <si>
    <t>MPQJ0324TQ</t>
  </si>
  <si>
    <t>K4WT75VJ46</t>
  </si>
  <si>
    <t>G692039621</t>
  </si>
  <si>
    <t>DLWV12CMHJ</t>
  </si>
  <si>
    <t>JHH56HVXYT</t>
  </si>
  <si>
    <t>KCQX04VF0Q</t>
  </si>
  <si>
    <t>MOBILECARE - APP FESTIVAL MALL</t>
  </si>
  <si>
    <t>G713466635</t>
  </si>
  <si>
    <t>661-03275</t>
  </si>
  <si>
    <t>Apple Pencil 1st generation</t>
  </si>
  <si>
    <t>HKGRK33AGWTJ</t>
  </si>
  <si>
    <t>HKHFW47DGWTJ</t>
  </si>
  <si>
    <t>G713395381</t>
  </si>
  <si>
    <t>F8Y13211GS414LW73</t>
  </si>
  <si>
    <t>G713295365</t>
  </si>
  <si>
    <t>F8Y5124C99Q18FKB5</t>
  </si>
  <si>
    <t>F8Y229416LF18FLA6</t>
  </si>
  <si>
    <t>G712241861</t>
  </si>
  <si>
    <t>FG921761PYY18FMA7</t>
  </si>
  <si>
    <t>G710662073</t>
  </si>
  <si>
    <t>Display, Space Black, MBP (14-in, M3 Pro/Max, 2023)</t>
  </si>
  <si>
    <t>F0Y5523009H2526AX</t>
  </si>
  <si>
    <t>FMX4361041823YLAT</t>
  </si>
  <si>
    <t>G710586571</t>
  </si>
  <si>
    <t>Display, Starlight, MBA (M2, 2022)</t>
  </si>
  <si>
    <t>F0Y5414011T1J88AH</t>
  </si>
  <si>
    <t>FP1542201YR25YVA8</t>
  </si>
  <si>
    <t>661-26216</t>
  </si>
  <si>
    <t>Lid Angle Sensor, MBA (M2, 2022)</t>
  </si>
  <si>
    <t>CR1539205Y41LD7A1</t>
  </si>
  <si>
    <t>G709723195</t>
  </si>
  <si>
    <t>661-56125</t>
  </si>
  <si>
    <t>Display, iPhone 17 Pro</t>
  </si>
  <si>
    <t>G9QHPZN12HZ0000L4B</t>
  </si>
  <si>
    <t>G9NHLYK17ZL0000L4B</t>
  </si>
  <si>
    <t>G709067983</t>
  </si>
  <si>
    <t>923-08170</t>
  </si>
  <si>
    <t>AirPods Pro 2, Ear Tips, Small</t>
  </si>
  <si>
    <t>GXD547303S</t>
  </si>
  <si>
    <t>G690482760</t>
  </si>
  <si>
    <t>F8Y6066C3RGM6YNDY</t>
  </si>
  <si>
    <t>F8Y24970PS0M6YNB6</t>
  </si>
  <si>
    <t>G706942101</t>
  </si>
  <si>
    <t>F8Y5507C1EJ18FKB3</t>
  </si>
  <si>
    <t>FG94176055C18FMBJ</t>
  </si>
  <si>
    <t>G703639933</t>
  </si>
  <si>
    <t>661-40225</t>
  </si>
  <si>
    <t>F8Y5482N00Z13QFCW</t>
  </si>
  <si>
    <t>F5D4071001910DLCH</t>
  </si>
  <si>
    <t>G702534207</t>
  </si>
  <si>
    <t>F8Y5455C13213XCB4</t>
  </si>
  <si>
    <t>F5D2314DMH113XDAT</t>
  </si>
  <si>
    <t>G702108001</t>
  </si>
  <si>
    <t>GVH51660V4QPR5PAM</t>
  </si>
  <si>
    <t>GVH51060FS4PR5PA7</t>
  </si>
  <si>
    <t>G701149109</t>
  </si>
  <si>
    <t>F8Y5507C03M18FKB0</t>
  </si>
  <si>
    <t>F8Y15032CCC18FKAK</t>
  </si>
  <si>
    <t>G700493105</t>
  </si>
  <si>
    <t>GVCHNC01V820000MUZ</t>
  </si>
  <si>
    <t>GH3HJG005M60000MUZ</t>
  </si>
  <si>
    <t>G700437899</t>
  </si>
  <si>
    <t>661-32187</t>
  </si>
  <si>
    <t>FMX5336005K278XAY</t>
  </si>
  <si>
    <t>F0Y301500XEPP61AU</t>
  </si>
  <si>
    <t>661-23648</t>
  </si>
  <si>
    <t>Lid Angle Sensor</t>
  </si>
  <si>
    <t>C4753953VTEPXWKAP</t>
  </si>
  <si>
    <t>G683140050</t>
  </si>
  <si>
    <t>F8Y5437C41JQ4C2BS</t>
  </si>
  <si>
    <t>F5D0364EQ6JQ4C09X</t>
  </si>
  <si>
    <t>G682734152</t>
  </si>
  <si>
    <t>G9Q5433WGQ61502AJ</t>
  </si>
  <si>
    <t>GVC429402GB1503AA</t>
  </si>
  <si>
    <t>G698400431</t>
  </si>
  <si>
    <t>G9PHKRY79HW0000L4B</t>
  </si>
  <si>
    <t>G9NHM4S43AJ0000L4B</t>
  </si>
  <si>
    <t>G698186545</t>
  </si>
  <si>
    <t>G9P5385MHE4PQCLAQ</t>
  </si>
  <si>
    <t>G9P5185M62NPQCLAM</t>
  </si>
  <si>
    <t>G698051971</t>
  </si>
  <si>
    <t>D865317N192PJYRB0</t>
  </si>
  <si>
    <t>D861277A87VPJYRA6</t>
  </si>
  <si>
    <t>G682026556</t>
  </si>
  <si>
    <t>F0YHL4000KN00006J1</t>
  </si>
  <si>
    <t>FP1HDA002P00000FQX</t>
  </si>
  <si>
    <t>F8YHG4N06970000FWL</t>
  </si>
  <si>
    <t>F8YHBU002JE0000FWL</t>
  </si>
  <si>
    <t>G698049833</t>
  </si>
  <si>
    <t>GHQ6037014L2FT7A9</t>
  </si>
  <si>
    <t>GHQ252200K7167TAB</t>
  </si>
  <si>
    <t>G682024312</t>
  </si>
  <si>
    <t>F8Y5441C2MY13XCBU</t>
  </si>
  <si>
    <t>F5D23033LYS13X9AW</t>
  </si>
  <si>
    <t>G698005695</t>
  </si>
  <si>
    <t>FMX544507BF278XA8</t>
  </si>
  <si>
    <t>FMX416300AZ278YA1</t>
  </si>
  <si>
    <t>G697941295</t>
  </si>
  <si>
    <t>ZP661-28932</t>
  </si>
  <si>
    <t>Pink, iPad 10th generation, 256GB, Cellular, ITP</t>
  </si>
  <si>
    <t>F77LT9JLQ1</t>
  </si>
  <si>
    <t>QGQQ62L6H5</t>
  </si>
  <si>
    <t>G697634757</t>
  </si>
  <si>
    <t>661-16831</t>
  </si>
  <si>
    <t>Space Gray, Top Case with Keyboard, ANSI</t>
  </si>
  <si>
    <t>FPW5296L0VXQ1GQBQ</t>
  </si>
  <si>
    <t>G697634387</t>
  </si>
  <si>
    <t>661-42844</t>
  </si>
  <si>
    <t>TrueDepth Camera, iPhone 16 Plus</t>
  </si>
  <si>
    <t>J9PHL800KBH0000HK9</t>
  </si>
  <si>
    <t>FNJHARE08L900007BV</t>
  </si>
  <si>
    <t>G697629855</t>
  </si>
  <si>
    <t>661-50049</t>
  </si>
  <si>
    <t>Logic Board, M4, 10-core CPU, 10-core GPU, 16 GB, 512 GB</t>
  </si>
  <si>
    <t>C02HF40002U0000PNB</t>
  </si>
  <si>
    <t>J33HKD00WEJ0000PNB</t>
  </si>
  <si>
    <t>661-50108</t>
  </si>
  <si>
    <t>Touch ID Board, Midnight, Sky Blue</t>
  </si>
  <si>
    <t>F5853861BSG2DP8AAD</t>
  </si>
  <si>
    <t>G697505743</t>
  </si>
  <si>
    <t>F8Y5371C2YMQ4C2BV</t>
  </si>
  <si>
    <t>F5D04525ZQEQ4C093</t>
  </si>
  <si>
    <t>661-23799</t>
  </si>
  <si>
    <t>TrueDepth Camera, iPhone 12 Pro Max</t>
  </si>
  <si>
    <t>FK15106015P0LYPA3</t>
  </si>
  <si>
    <t>FNJ0322MZAVMRXC39</t>
  </si>
  <si>
    <t>G697503917</t>
  </si>
  <si>
    <t>GMG544600A3NR89BJ</t>
  </si>
  <si>
    <t>GMG35150257NR89B8</t>
  </si>
  <si>
    <t>G697501661</t>
  </si>
  <si>
    <t>661-26202</t>
  </si>
  <si>
    <t>Trackpad, Space Gray</t>
  </si>
  <si>
    <t>F0T449110F518G9A1</t>
  </si>
  <si>
    <t>G681602994</t>
  </si>
  <si>
    <t>F8Y5464C0GD217WB6</t>
  </si>
  <si>
    <t>F8Y23560T36217W7G</t>
  </si>
  <si>
    <t>G697491337</t>
  </si>
  <si>
    <t>661-43677</t>
  </si>
  <si>
    <t>Power Supply, 155W</t>
  </si>
  <si>
    <t>C06HHY0KE0U00009JP</t>
  </si>
  <si>
    <t>C06HEY07QL400009JP</t>
  </si>
  <si>
    <t>661-43632</t>
  </si>
  <si>
    <t>Logic Board, 10-Core CPU, 10-Core GPU, 16GB, 1G</t>
  </si>
  <si>
    <t>C07HK3000Z10000GYA</t>
  </si>
  <si>
    <t>C07HF5003H70000GYA</t>
  </si>
  <si>
    <t>G697488805</t>
  </si>
  <si>
    <t>D3WHHWY0CF</t>
  </si>
  <si>
    <t>FPP9FWRHCQ</t>
  </si>
  <si>
    <t>G697472913</t>
  </si>
  <si>
    <t>L6NLCQ7G33</t>
  </si>
  <si>
    <t>DH7126FWY4</t>
  </si>
  <si>
    <t>G697469399</t>
  </si>
  <si>
    <t>Z661-35399</t>
  </si>
  <si>
    <t>AirPods Pro 2nd gen USB-C, Left, CI/AR, INT</t>
  </si>
  <si>
    <t>J21QQ16426JY</t>
  </si>
  <si>
    <t>Z661-35400</t>
  </si>
  <si>
    <t>AirPods Pro 2nd gen USB-C, Right, CI/AR, INT</t>
  </si>
  <si>
    <t>HY7QG0ZT26K0</t>
  </si>
  <si>
    <t>G697388837</t>
  </si>
  <si>
    <t>661-41789</t>
  </si>
  <si>
    <t>Logic Board, 14-core CPU, 20-core GPU, 24GB, 1TB</t>
  </si>
  <si>
    <t>FV9HM90006U0000HG2</t>
  </si>
  <si>
    <t>FV9HAZ00FS20000HG2</t>
  </si>
  <si>
    <t>661-42650</t>
  </si>
  <si>
    <t>Touch ID Board</t>
  </si>
  <si>
    <t>F585412062T2CK9AHG</t>
  </si>
  <si>
    <t>G697379297</t>
  </si>
  <si>
    <t>HC6KTCJYT7</t>
  </si>
  <si>
    <t>GC2FWWM3KH</t>
  </si>
  <si>
    <t>G697355897</t>
  </si>
  <si>
    <t>C06HHY0KEWD00009JP</t>
  </si>
  <si>
    <t>GPV506439LL00009JM</t>
  </si>
  <si>
    <t>661-43634</t>
  </si>
  <si>
    <t>Logic Board, 10-Core CPU, 10-Core GPU, 24GB, 1G</t>
  </si>
  <si>
    <t>C07HJ9000XE0000PGM</t>
  </si>
  <si>
    <t>C07HE60022E0000PGM</t>
  </si>
  <si>
    <t>G697289083</t>
  </si>
  <si>
    <t>TA661-35559</t>
  </si>
  <si>
    <t>Blue, iPhone 15 Pro, 256GB, ROW, CI/AR, Taiwan</t>
  </si>
  <si>
    <t>MRQFTJ4C0Y</t>
  </si>
  <si>
    <t>RD4RMYF9GD</t>
  </si>
  <si>
    <t>G697267901</t>
  </si>
  <si>
    <t>G9P5384M11DPQCLA3</t>
  </si>
  <si>
    <t>G9N2045T6JMPQCLAD</t>
  </si>
  <si>
    <t>G697262245</t>
  </si>
  <si>
    <t>J21QQ3ND26JY</t>
  </si>
  <si>
    <t>G697240001</t>
  </si>
  <si>
    <t>Z661-40230</t>
  </si>
  <si>
    <t>Top Case with Keyboard, Midnight, ISO, English International</t>
  </si>
  <si>
    <t>FKSHJZ0006M0000F8D</t>
  </si>
  <si>
    <t>G681097074</t>
  </si>
  <si>
    <t>661-40258</t>
  </si>
  <si>
    <t>GMGHD20004300000CQ</t>
  </si>
  <si>
    <t>GMGHC5000R700000CP</t>
  </si>
  <si>
    <t>G696870845</t>
  </si>
  <si>
    <t>M3X9TY7N4M</t>
  </si>
  <si>
    <t>HY7963TWR2</t>
  </si>
  <si>
    <t>G696863573</t>
  </si>
  <si>
    <t>GMG541300KR1J87AN</t>
  </si>
  <si>
    <t>GMG5293014K1J87AG</t>
  </si>
  <si>
    <t>CR1539206281LD7AJ</t>
  </si>
  <si>
    <t>G681082210</t>
  </si>
  <si>
    <t>G9P5185M67VPQCLAZ</t>
  </si>
  <si>
    <t>G9P2485M1N6PQCLAN</t>
  </si>
  <si>
    <t>G681079432</t>
  </si>
  <si>
    <t>PA661-18536</t>
  </si>
  <si>
    <t>Power Adapter with Ethernet, 143W, Silver, APAC</t>
  </si>
  <si>
    <t>C4H2444017LQ427B7</t>
  </si>
  <si>
    <t>G696825707</t>
  </si>
  <si>
    <t>GQCTVJ92JJ</t>
  </si>
  <si>
    <t>G696815969</t>
  </si>
  <si>
    <t>GVH53370CNGPR5PAY</t>
  </si>
  <si>
    <t>GVH50821H7TPR5PAH</t>
  </si>
  <si>
    <t>G696750457</t>
  </si>
  <si>
    <t>K7YK92297D</t>
  </si>
  <si>
    <t>YKVXYDY3GH</t>
  </si>
  <si>
    <t>G680977270</t>
  </si>
  <si>
    <t>F8Y5426C6BZ14LWCX</t>
  </si>
  <si>
    <t>G696728219</t>
  </si>
  <si>
    <t>661-50132</t>
  </si>
  <si>
    <t>GMGHML0045D0000HX1</t>
  </si>
  <si>
    <t>GMGHJM002R50000HX2</t>
  </si>
  <si>
    <t>G696713005</t>
  </si>
  <si>
    <t>G9P5385MM6UPQCLAL</t>
  </si>
  <si>
    <t>G9P2275NL3GPQCLAJ</t>
  </si>
  <si>
    <t>G696710147</t>
  </si>
  <si>
    <t>661-17939</t>
  </si>
  <si>
    <t>Battery, iPhone 12 mini</t>
  </si>
  <si>
    <t>F8Y5336C1UG02JNBN</t>
  </si>
  <si>
    <t>F8Y24970K9F02JNAN</t>
  </si>
  <si>
    <t>G696709581</t>
  </si>
  <si>
    <t>F8Y5442C0KMQ4C2B9</t>
  </si>
  <si>
    <t>F8Y2493068VQ4C2AS</t>
  </si>
  <si>
    <t>G696461445</t>
  </si>
  <si>
    <t>F8Y5447C5RG18FKBR</t>
  </si>
  <si>
    <t>F8Y340516D518FLAQ</t>
  </si>
  <si>
    <t>G696456911</t>
  </si>
  <si>
    <t>J9PHLA002VA0000HK9</t>
  </si>
  <si>
    <t>FNJHF5E0P5200007BV</t>
  </si>
  <si>
    <t>G696398301</t>
  </si>
  <si>
    <t>G0NHFQ014R20000HKZ</t>
  </si>
  <si>
    <t>FNJHAMF07FK0000BXF</t>
  </si>
  <si>
    <t>G696397327</t>
  </si>
  <si>
    <t>Z661-25440</t>
  </si>
  <si>
    <t>AirPods 3, Left, CI/AR, INT</t>
  </si>
  <si>
    <t>GN3PL0Y4035</t>
  </si>
  <si>
    <t>G696395097</t>
  </si>
  <si>
    <t>JC7TJNPCQM</t>
  </si>
  <si>
    <t>JR2HTW21YH</t>
  </si>
  <si>
    <t>G696394211</t>
  </si>
  <si>
    <t>G9P5385M4JXPQCLAY</t>
  </si>
  <si>
    <t>G9P5351M34MPQCLAW</t>
  </si>
  <si>
    <t>G696382061</t>
  </si>
  <si>
    <t>KM0DG2QKKH</t>
  </si>
  <si>
    <t>G696378163</t>
  </si>
  <si>
    <t>C06HHY0KDQ700009JP</t>
  </si>
  <si>
    <t>GPV524402MX00009JM</t>
  </si>
  <si>
    <t>C07HK3000GM0000GYA</t>
  </si>
  <si>
    <t>C07HJ8002KH0000GYD</t>
  </si>
  <si>
    <t>G696347077</t>
  </si>
  <si>
    <t>HKHPKBWPGWTJ</t>
  </si>
  <si>
    <t>HKGN3DQFGWTJ</t>
  </si>
  <si>
    <t>G696318429</t>
  </si>
  <si>
    <t>G9P5252CP1GPR5QAZ</t>
  </si>
  <si>
    <t>G9Q4511FD42PR5QAH</t>
  </si>
  <si>
    <t>G696190803</t>
  </si>
  <si>
    <t>F8Y5446C57C18FKBG</t>
  </si>
  <si>
    <t>F8Y32470CP718FLAB</t>
  </si>
  <si>
    <t>G696183123</t>
  </si>
  <si>
    <t>J22QQCPM26K0</t>
  </si>
  <si>
    <t>G696075305</t>
  </si>
  <si>
    <t>G9P5265RP891PHPA7</t>
  </si>
  <si>
    <t>G9N3453JM9Z1PHPAD</t>
  </si>
  <si>
    <t>G696071707</t>
  </si>
  <si>
    <t>661-30401</t>
  </si>
  <si>
    <t>Display, iPhone 14 Pro Max</t>
  </si>
  <si>
    <t>G9P5263N07M14YDAG</t>
  </si>
  <si>
    <t>G9N3042N16214YDAK</t>
  </si>
  <si>
    <t>G696065875</t>
  </si>
  <si>
    <t>661-42286</t>
  </si>
  <si>
    <t>Logic Board, 14-core CPU, 32-core GPU, 36GB, 1TB</t>
  </si>
  <si>
    <t>FV9HN90002R0000NMD</t>
  </si>
  <si>
    <t>FV9HAL0097S0000EEW</t>
  </si>
  <si>
    <t>661-42325</t>
  </si>
  <si>
    <t>FMXHMD000Z300006GW</t>
  </si>
  <si>
    <t>FMXH9B006ZV00006GW</t>
  </si>
  <si>
    <t>661-38831</t>
  </si>
  <si>
    <t>GQ4528509T02533AR</t>
  </si>
  <si>
    <t>G696058827</t>
  </si>
  <si>
    <t>661-16569</t>
  </si>
  <si>
    <t>Display, Green</t>
  </si>
  <si>
    <t>GHQ5465009J2FT6AQ</t>
  </si>
  <si>
    <t>GHQ228600NF167RAB</t>
  </si>
  <si>
    <t>G696002241</t>
  </si>
  <si>
    <t>923-11768</t>
  </si>
  <si>
    <t>USB-C Charge Cable, Woven, 1m, 60W, White</t>
  </si>
  <si>
    <t>FGJ5443RR1U2DP5A5</t>
  </si>
  <si>
    <t>G695997055</t>
  </si>
  <si>
    <t>KW0R7WDHVV</t>
  </si>
  <si>
    <t>CWY17NT4P1</t>
  </si>
  <si>
    <t>G695996279</t>
  </si>
  <si>
    <t>ZA661-45770</t>
  </si>
  <si>
    <t>Green, Magic Mouse, USB-C, ITS</t>
  </si>
  <si>
    <t>CC2HK20005A000054S</t>
  </si>
  <si>
    <t>CC2H9D016TA000054S</t>
  </si>
  <si>
    <t>G695960587</t>
  </si>
  <si>
    <t>GMG534300FJ1J87AZ</t>
  </si>
  <si>
    <t>GMG412702A11J88A1</t>
  </si>
  <si>
    <t>CR15392059L1LD7AL</t>
  </si>
  <si>
    <t>G680387342</t>
  </si>
  <si>
    <t>661-40173</t>
  </si>
  <si>
    <t>Logic Board, 8-core CPU, 8-core GPU, 16 GB, 256 GB</t>
  </si>
  <si>
    <t>C02HC5002S10000FAQ</t>
  </si>
  <si>
    <t>HXKHAR000T60000598</t>
  </si>
  <si>
    <t>661-40223</t>
  </si>
  <si>
    <t>Touch ID Board, Midnight</t>
  </si>
  <si>
    <t>F5853060RNY1JLQAHC</t>
  </si>
  <si>
    <t>G695907977</t>
  </si>
  <si>
    <t>J22QR0NY26K0</t>
  </si>
  <si>
    <t>HY7QD36126JY</t>
  </si>
  <si>
    <t>G695900423</t>
  </si>
  <si>
    <t>GN1HKJ1NZPF0000B32</t>
  </si>
  <si>
    <t>G680309638</t>
  </si>
  <si>
    <t>PA661-53139</t>
  </si>
  <si>
    <t>Powerbeats Fit, Left, Jet Black, CI/AR</t>
  </si>
  <si>
    <t>H2CHLG004EC00013H8</t>
  </si>
  <si>
    <t>H2CHJC002C900013H8</t>
  </si>
  <si>
    <t>PA661-53140</t>
  </si>
  <si>
    <t>Powerbeats Fit, Right, Jet Black, CI/AR</t>
  </si>
  <si>
    <t>H2CHLH0019U00013H7</t>
  </si>
  <si>
    <t>H2CHJA002VY00013H7</t>
  </si>
  <si>
    <t>G695875169</t>
  </si>
  <si>
    <t>661-36973</t>
  </si>
  <si>
    <t>C024153002125HMA5</t>
  </si>
  <si>
    <t>C024282001Q25HMAA</t>
  </si>
  <si>
    <t>661-38768</t>
  </si>
  <si>
    <t>F5854551YSX1K8WAGC</t>
  </si>
  <si>
    <t>F0Y415401EN2525A8</t>
  </si>
  <si>
    <t>FP14174044B216RA8</t>
  </si>
  <si>
    <t>661-38735</t>
  </si>
  <si>
    <t>Trackpad, Space Black</t>
  </si>
  <si>
    <t>FM7HMT0CZ6G00003ME</t>
  </si>
  <si>
    <t>G695866453</t>
  </si>
  <si>
    <t>DMXFX76TPG</t>
  </si>
  <si>
    <t>CQ4F4NWHFX</t>
  </si>
  <si>
    <t>G695794781</t>
  </si>
  <si>
    <t>HQPYHQJH1F</t>
  </si>
  <si>
    <t>F96X2F52KY</t>
  </si>
  <si>
    <t>G695742233</t>
  </si>
  <si>
    <t>F8Y5446CG2G18FKBG</t>
  </si>
  <si>
    <t>F8Y139518XH18FKA5</t>
  </si>
  <si>
    <t>G680203016</t>
  </si>
  <si>
    <t>F0Y4225000J2525AU</t>
  </si>
  <si>
    <t>FMX426507UU23YLAN</t>
  </si>
  <si>
    <t>G695662989</t>
  </si>
  <si>
    <t>661-51898</t>
  </si>
  <si>
    <t>Logic Board, 10-core CPU, 10-core GPU, 16GB, 1TB, VN</t>
  </si>
  <si>
    <t>FV9HF500RZC00003T3</t>
  </si>
  <si>
    <t>661-42518</t>
  </si>
  <si>
    <t>F8YHGJN064000000E5</t>
  </si>
  <si>
    <t>F8YHE1G0C0G00000E5</t>
  </si>
  <si>
    <t>G695662613</t>
  </si>
  <si>
    <t>F8Y5437C49JQ4C2B2</t>
  </si>
  <si>
    <t>F5D12255QW4Q492AD</t>
  </si>
  <si>
    <t>G680102286</t>
  </si>
  <si>
    <t>F8Y5426C12TQ687BS</t>
  </si>
  <si>
    <t>F8Y103229Y8Q6872M</t>
  </si>
  <si>
    <t>G680100720</t>
  </si>
  <si>
    <t>LH6MXKTW4C</t>
  </si>
  <si>
    <t>JDXKVN9WGF</t>
  </si>
  <si>
    <t>G695646757</t>
  </si>
  <si>
    <t>Z661-29952</t>
  </si>
  <si>
    <t>AirPods Pro 2, Right, CI/AR, INT</t>
  </si>
  <si>
    <t>GFJP3MET18JP</t>
  </si>
  <si>
    <t>G679980754</t>
  </si>
  <si>
    <t>PA661-49987</t>
  </si>
  <si>
    <t>Powerbeats Pro 2, Left, Electric Orange, VN, PAC</t>
  </si>
  <si>
    <t>H2CHM1001PV0000XFU</t>
  </si>
  <si>
    <t>H2CHCL000L80000XFU</t>
  </si>
  <si>
    <t>G679487706</t>
  </si>
  <si>
    <t>F8Y5431C10BQ687BG</t>
  </si>
  <si>
    <t>FG9049500P2Q6893</t>
  </si>
  <si>
    <t>G679487580</t>
  </si>
  <si>
    <t>661-27537</t>
  </si>
  <si>
    <t>Cable, USB-C to MagSafe 3, 2m, Midnight</t>
  </si>
  <si>
    <t>FTL522504LL2FH9A1</t>
  </si>
  <si>
    <t>G694937239</t>
  </si>
  <si>
    <t>FWD2GDK7DY</t>
  </si>
  <si>
    <t>G2W09KYPK6</t>
  </si>
  <si>
    <t>G694831349</t>
  </si>
  <si>
    <t>GCF518100A8Q59TBW</t>
  </si>
  <si>
    <t>DNL44862B7AQ7172J</t>
  </si>
  <si>
    <t>G694810073</t>
  </si>
  <si>
    <t>FMX43260EN6NTJJAR</t>
  </si>
  <si>
    <t>F0Y3165015WNTJFAN</t>
  </si>
  <si>
    <t>G694696775</t>
  </si>
  <si>
    <t>HY7QF0HP26K0</t>
  </si>
  <si>
    <t>G679036432</t>
  </si>
  <si>
    <t>GJX9LT177C</t>
  </si>
  <si>
    <t>MWK6LFQWGP</t>
  </si>
  <si>
    <t>G694481651</t>
  </si>
  <si>
    <t>661-51905</t>
  </si>
  <si>
    <t>Logic Board, 10-core CPU, 10-core GPU, 32GB, 2TB, VN</t>
  </si>
  <si>
    <t>J33HM9000TA0000PD0</t>
  </si>
  <si>
    <t>J33HEX004D400003SW</t>
  </si>
  <si>
    <t>661-42544</t>
  </si>
  <si>
    <t>F58529100PV2FHLABG</t>
  </si>
  <si>
    <t>F0YHLQ002AD00006J1</t>
  </si>
  <si>
    <t>FP1HEV006VT0000FQX</t>
  </si>
  <si>
    <t>661-38779</t>
  </si>
  <si>
    <t>GQ4543208PW2501A1</t>
  </si>
  <si>
    <t>J33HM9000UB0000PD0</t>
  </si>
  <si>
    <t>FMXHMF003CA00006J3</t>
  </si>
  <si>
    <t>J33HM9000U60000PD0</t>
  </si>
  <si>
    <t>G693385251</t>
  </si>
  <si>
    <t>PA661-42150</t>
  </si>
  <si>
    <t>Beats Solo Buds, Left, Grey, CI/AR, PAC</t>
  </si>
  <si>
    <t>HNYHLV001L50000JTA</t>
  </si>
  <si>
    <t>HNYHJ1003KJ0000JTA</t>
  </si>
  <si>
    <t>G693323893</t>
  </si>
  <si>
    <t>GN1HKJ1P3K70000B32</t>
  </si>
  <si>
    <t>G693306253</t>
  </si>
  <si>
    <t>F0YHL4000NQ00006J1</t>
  </si>
  <si>
    <t>F0YHG10020U00006J1</t>
  </si>
  <si>
    <t>923-10492</t>
  </si>
  <si>
    <t>Bottom Case, Silver</t>
  </si>
  <si>
    <t>FKSH8M0029C0000EZT</t>
  </si>
  <si>
    <t>G693282043</t>
  </si>
  <si>
    <t>661-27530</t>
  </si>
  <si>
    <t>Space Gray, Top Case with Battery, ANSI</t>
  </si>
  <si>
    <t>F5D5247N1MCKGGJF3</t>
  </si>
  <si>
    <t>D86226760U9L3L2EL</t>
  </si>
  <si>
    <t>661-25671</t>
  </si>
  <si>
    <t>Logic Board, 8-core CPU, 10-core GPU, 8GB, 256GB</t>
  </si>
  <si>
    <t>FV922240KMN1D0X75</t>
  </si>
  <si>
    <t>FV923350FWZ1D0XAR</t>
  </si>
  <si>
    <t>G692523647</t>
  </si>
  <si>
    <t>661-37007</t>
  </si>
  <si>
    <t>FV9434507X323NLA3</t>
  </si>
  <si>
    <t>FV94394031623NLAC</t>
  </si>
  <si>
    <t>661-38769</t>
  </si>
  <si>
    <t>F5854211VDU1K8XAHC</t>
  </si>
  <si>
    <t>FMX521506HV278YAM</t>
  </si>
  <si>
    <t>F0Y438301L2278WAP</t>
  </si>
  <si>
    <t>GQ452850MN02533AU</t>
  </si>
  <si>
    <t>G677192166</t>
  </si>
  <si>
    <t>661-42319</t>
  </si>
  <si>
    <t>FV9HM80000H0000NNL</t>
  </si>
  <si>
    <t>FV9HCW001LP0000NNL</t>
  </si>
  <si>
    <t>661-42824</t>
  </si>
  <si>
    <t>Top Case with Battery, Silver, ANSI</t>
  </si>
  <si>
    <t>F8YHF4N06080000FWQ</t>
  </si>
  <si>
    <t>F8YHCD004440000FWR</t>
  </si>
  <si>
    <t>661-42323</t>
  </si>
  <si>
    <t>FMXHME0019500006GW</t>
  </si>
  <si>
    <t>F0YHBM002QQ00006GT</t>
  </si>
  <si>
    <t>GQ4528406J72533AF</t>
  </si>
  <si>
    <t>661-46489</t>
  </si>
  <si>
    <t>Logic Board, 16-core CPU, 40-core GPU, 128GB, 8TB, VN</t>
  </si>
  <si>
    <t>J4FHGP0001B0000NNL</t>
  </si>
  <si>
    <t>C02HEP000090000NNL</t>
  </si>
  <si>
    <t>G676771934</t>
  </si>
  <si>
    <t>F8Y5377C4WT18FKBS</t>
  </si>
  <si>
    <t>FG914971HLF18FM49</t>
  </si>
  <si>
    <t>MOBILECARE - S'MAISON</t>
  </si>
  <si>
    <t>G714402529</t>
  </si>
  <si>
    <t>F8Y6157C16FQ687BG</t>
  </si>
  <si>
    <t>FG9048422KEQ68933</t>
  </si>
  <si>
    <t>G714218175</t>
  </si>
  <si>
    <t>FG9HSE00B7600006TT</t>
  </si>
  <si>
    <t>F5DH0J00B1A00006TS</t>
  </si>
  <si>
    <t>G713713123</t>
  </si>
  <si>
    <t>G9P5255N6QV14YDAL</t>
  </si>
  <si>
    <t>G9N2434UH9F14YDAX</t>
  </si>
  <si>
    <t>G713538063</t>
  </si>
  <si>
    <t>661-44400</t>
  </si>
  <si>
    <t>Watch Ultra 2 Cellular, 49mm, Titanium, Black, CI/AR, CN, ROW</t>
  </si>
  <si>
    <t>GWFPF6WXJ7</t>
  </si>
  <si>
    <t>DV947KQWMN</t>
  </si>
  <si>
    <t>G712263943</t>
  </si>
  <si>
    <t>J79W5RWKGJ</t>
  </si>
  <si>
    <t>DJ26V57XQ7</t>
  </si>
  <si>
    <t>G712009511</t>
  </si>
  <si>
    <t>MFHHWLDXWT</t>
  </si>
  <si>
    <t>HYC56545HH</t>
  </si>
  <si>
    <t>G710082629</t>
  </si>
  <si>
    <t>GH3HPQ00D990000MUZ</t>
  </si>
  <si>
    <t>GH3HMZ015EN0000MUZ</t>
  </si>
  <si>
    <t>G708685811</t>
  </si>
  <si>
    <t>FN4V51W6WN</t>
  </si>
  <si>
    <t>HX3234V60Y</t>
  </si>
  <si>
    <t>G705825727</t>
  </si>
  <si>
    <t>F8Y5527C7GPQ687BE</t>
  </si>
  <si>
    <t>FG9210209QKQ68CAF</t>
  </si>
  <si>
    <t>G704335075</t>
  </si>
  <si>
    <t>GMGHMK001ZW0000GVL</t>
  </si>
  <si>
    <t>FP1HLR0085Y0000G2A</t>
  </si>
  <si>
    <t>G704225509</t>
  </si>
  <si>
    <t>F8Y5375CCKC02JNBX</t>
  </si>
  <si>
    <t>F8Y0473FHB502JN78</t>
  </si>
  <si>
    <t>G703107593</t>
  </si>
  <si>
    <t>HL4VXJKQQQ</t>
  </si>
  <si>
    <t>GDKFJQQJXF</t>
  </si>
  <si>
    <t>G702712857</t>
  </si>
  <si>
    <t>CXW4D0639H</t>
  </si>
  <si>
    <t>GPVQX7NJFW</t>
  </si>
  <si>
    <t>G702560759</t>
  </si>
  <si>
    <t>G9P5162LH5APQCKAS</t>
  </si>
  <si>
    <t>G9N2084Z419PQCKAG</t>
  </si>
  <si>
    <t>G701681797</t>
  </si>
  <si>
    <t>F8Y5473C3QN18FKBK</t>
  </si>
  <si>
    <t>FG932120BTW18FMAP</t>
  </si>
  <si>
    <t>G701577703</t>
  </si>
  <si>
    <t>HXK3303006X1WP0D6</t>
  </si>
  <si>
    <t>HXK447303C11N08FK</t>
  </si>
  <si>
    <t>G700493417</t>
  </si>
  <si>
    <t>F8Y5426C2Q1Q687BK</t>
  </si>
  <si>
    <t>FG9211504K5Q68CA9</t>
  </si>
  <si>
    <t>G699857883</t>
  </si>
  <si>
    <t>661-35708</t>
  </si>
  <si>
    <t>Top Case with Battery, ANSI, Space Gray</t>
  </si>
  <si>
    <t>F8Y5497N03AQ1LTB6</t>
  </si>
  <si>
    <t>F8Y3412H2QLQ1LTAJ</t>
  </si>
  <si>
    <t>G682428696</t>
  </si>
  <si>
    <t>FXW0TYG7WJ</t>
  </si>
  <si>
    <t>D5J6L2073H</t>
  </si>
  <si>
    <t>G698154745</t>
  </si>
  <si>
    <t>ZP661-50282</t>
  </si>
  <si>
    <t>iPad Air 11-inch (M3) Wi-Fi + Cellular, ROW, 256GB, Space Gray, CI/AR, C</t>
  </si>
  <si>
    <t>M4T3QXK37P</t>
  </si>
  <si>
    <t>DRWXWP77WG</t>
  </si>
  <si>
    <t>G698004497</t>
  </si>
  <si>
    <t>G9PHF6J130Q00005DR</t>
  </si>
  <si>
    <t>GH3HB201XT200005DS</t>
  </si>
  <si>
    <t>G681869708</t>
  </si>
  <si>
    <t>F8Y5447C77HQ687B8</t>
  </si>
  <si>
    <t>F8Y12053CK6Q687A2</t>
  </si>
  <si>
    <t>G681869518</t>
  </si>
  <si>
    <t>F8Y5447C77MQ687B4</t>
  </si>
  <si>
    <t>FG904144CMLQ6893W</t>
  </si>
  <si>
    <t>G697981139</t>
  </si>
  <si>
    <t>G9P5384MDP8PQCLAY</t>
  </si>
  <si>
    <t>G9N1414PA0YPQCLA5</t>
  </si>
  <si>
    <t>G697976933</t>
  </si>
  <si>
    <t>661-16565</t>
  </si>
  <si>
    <t>GHQ603702DJ2FT4AL</t>
  </si>
  <si>
    <t>GHQ152706AC167NAW</t>
  </si>
  <si>
    <t>G697976717</t>
  </si>
  <si>
    <t>G9P5183N11514YDAA</t>
  </si>
  <si>
    <t>GH330710E0C14YFAX</t>
  </si>
  <si>
    <t>G697969127</t>
  </si>
  <si>
    <t>TA661-55206</t>
  </si>
  <si>
    <t>Silver, 256GB, iPhone 17 Pro Max, ROW, CI/AR, Taiwan</t>
  </si>
  <si>
    <t>KP7LJQXPJX</t>
  </si>
  <si>
    <t>JPVTHCYF3Y</t>
  </si>
  <si>
    <t>G697956529</t>
  </si>
  <si>
    <t>G9P5385M2GXPQCLA6</t>
  </si>
  <si>
    <t>G9N2336240YPQCLAW</t>
  </si>
  <si>
    <t>G697949675</t>
  </si>
  <si>
    <t>FV9537704LP0W9FLY</t>
  </si>
  <si>
    <t>FV9517703YU0W9GLT</t>
  </si>
  <si>
    <t>G697945187</t>
  </si>
  <si>
    <t>J3MP3WKV3N</t>
  </si>
  <si>
    <t>D4YR7129T9</t>
  </si>
  <si>
    <t>G697929325</t>
  </si>
  <si>
    <t>F8Y5377C1K718FKBE</t>
  </si>
  <si>
    <t>FG932530U6618FMAC</t>
  </si>
  <si>
    <t>G697929013</t>
  </si>
  <si>
    <t>661-42931</t>
  </si>
  <si>
    <t>GHQHJW0015E0000EN8</t>
  </si>
  <si>
    <t>GHQHAF002EJ0000EN8</t>
  </si>
  <si>
    <t>G697927593</t>
  </si>
  <si>
    <t>F8YHLBH000S0000UMJ</t>
  </si>
  <si>
    <t>F8YHCQH0RTG0000UMJ</t>
  </si>
  <si>
    <t>G697761925</t>
  </si>
  <si>
    <t>JYD0WX4T6V</t>
  </si>
  <si>
    <t>L9P6JJ97MH</t>
  </si>
  <si>
    <t>G697721435</t>
  </si>
  <si>
    <t>H2CQV0801JG8</t>
  </si>
  <si>
    <t>H2CPK0042JG8</t>
  </si>
  <si>
    <t>H2CQW0891JG7S</t>
  </si>
  <si>
    <t>H2CPK13N1JG7</t>
  </si>
  <si>
    <t>G697619087</t>
  </si>
  <si>
    <t>F8Y5433C196M6YNDA</t>
  </si>
  <si>
    <t>F8Y103608U0M6YNB7</t>
  </si>
  <si>
    <t>G697507923</t>
  </si>
  <si>
    <t>PP661-26022</t>
  </si>
  <si>
    <t>Starlight, 256 GB, iPad Air 5th generation, Cellular, Philippines</t>
  </si>
  <si>
    <t>CM43HCVQ0Q</t>
  </si>
  <si>
    <t>D6P6XJW4N6</t>
  </si>
  <si>
    <t>G681600880</t>
  </si>
  <si>
    <t>661-35828</t>
  </si>
  <si>
    <t>Camera, iPhone 15</t>
  </si>
  <si>
    <t>DNM53050MG21QDC7D</t>
  </si>
  <si>
    <t>DNM52811V3S1QDC7Y</t>
  </si>
  <si>
    <t>G697474873</t>
  </si>
  <si>
    <t>F8Y5455C8VB13XCBC</t>
  </si>
  <si>
    <t>F8Y13430L9P13X88D</t>
  </si>
  <si>
    <t>G697469389</t>
  </si>
  <si>
    <t>J9KHL4004SN0000FD3</t>
  </si>
  <si>
    <t>G697461301</t>
  </si>
  <si>
    <t>CKHQL5JTW7</t>
  </si>
  <si>
    <t>C52FN60KG2</t>
  </si>
  <si>
    <t>G697378065</t>
  </si>
  <si>
    <t>661-56065</t>
  </si>
  <si>
    <t>Display, iPhone 17</t>
  </si>
  <si>
    <t>GVCHMH02EP60000U6M</t>
  </si>
  <si>
    <t>GVCHKZ01Z5L0000U6M</t>
  </si>
  <si>
    <t>G697355721</t>
  </si>
  <si>
    <t>CW49YHCRGW</t>
  </si>
  <si>
    <t>J9CH95WRM7</t>
  </si>
  <si>
    <t>G697351535</t>
  </si>
  <si>
    <t>F8Y5453C43520J9B8</t>
  </si>
  <si>
    <t>F8Y24361XCD20J92J</t>
  </si>
  <si>
    <t>G697348587</t>
  </si>
  <si>
    <t>F8Y5473C17T13RHC7</t>
  </si>
  <si>
    <t>F8Y22120YEE13RFB5</t>
  </si>
  <si>
    <t>G697290519</t>
  </si>
  <si>
    <t>D865165N02LPJYRBT</t>
  </si>
  <si>
    <t>F5D42042EVRPJYVB4</t>
  </si>
  <si>
    <t>G697288445</t>
  </si>
  <si>
    <t>ZP661-22037</t>
  </si>
  <si>
    <t>Silver, 256 GB, iPad 9th Generation, Wi-Fi, ITP</t>
  </si>
  <si>
    <t>J6QTT4YCHX</t>
  </si>
  <si>
    <t>HWG9WYYKVF</t>
  </si>
  <si>
    <t>G697278537</t>
  </si>
  <si>
    <t>ZP661-42971</t>
  </si>
  <si>
    <t>Blue, 128GB, iPad mini, Wi-Fi, CI/AR, ITP</t>
  </si>
  <si>
    <t>F57G2R2T16</t>
  </si>
  <si>
    <t>G697277863</t>
  </si>
  <si>
    <t>FM9LY4C4ML</t>
  </si>
  <si>
    <t>M2N4T67GVG</t>
  </si>
  <si>
    <t>G697261747</t>
  </si>
  <si>
    <t>F8Y5445C7Y318FKBH</t>
  </si>
  <si>
    <t>FG951530H0T18FNBB</t>
  </si>
  <si>
    <t>G697166905</t>
  </si>
  <si>
    <t>F8Y5435C13318FKBB</t>
  </si>
  <si>
    <t>FG93463005V18FMAF</t>
  </si>
  <si>
    <t>G697105379</t>
  </si>
  <si>
    <t>F8Y5415C054Q4C2B6</t>
  </si>
  <si>
    <t>F5D04539WAJQ4C09X</t>
  </si>
  <si>
    <t>G697105225</t>
  </si>
  <si>
    <t>FP15292002P25YTAG</t>
  </si>
  <si>
    <t>F0Y4377007M1J87AQ</t>
  </si>
  <si>
    <t>G696945395</t>
  </si>
  <si>
    <t>G9P5352LL3MPQCKAK</t>
  </si>
  <si>
    <t>G9P2205K1RBPQCKA7</t>
  </si>
  <si>
    <t>G696944217</t>
  </si>
  <si>
    <t>FV951540F7R0W9FL1</t>
  </si>
  <si>
    <t>J3353050EWD0W9GPU</t>
  </si>
  <si>
    <t>G696908527</t>
  </si>
  <si>
    <t>F8Y5435C12B18FKB6</t>
  </si>
  <si>
    <t>F8Y32450DMZ18FLAS</t>
  </si>
  <si>
    <t>G696859573</t>
  </si>
  <si>
    <t>JRH60HP9GR</t>
  </si>
  <si>
    <t>D16VVKQDXV</t>
  </si>
  <si>
    <t>G696856781</t>
  </si>
  <si>
    <t>F8YHN0C0Q8P00006TP</t>
  </si>
  <si>
    <t>F8YH0N30DJQ00006TR</t>
  </si>
  <si>
    <t>G696817047</t>
  </si>
  <si>
    <t>G9P5306MF0ZPQCLAU</t>
  </si>
  <si>
    <t>G9N22932GDQPQCLA7</t>
  </si>
  <si>
    <t>G696645615</t>
  </si>
  <si>
    <t>G9P5386M8KXPQCLAQ</t>
  </si>
  <si>
    <t>G9N2073NJS3PQCLA3</t>
  </si>
  <si>
    <t>G696639849</t>
  </si>
  <si>
    <t>FXX9L1664M</t>
  </si>
  <si>
    <t>M7VQQCTJGP</t>
  </si>
  <si>
    <t>G696632535</t>
  </si>
  <si>
    <t>L9XNVTP9H7</t>
  </si>
  <si>
    <t>FKQMWGY2TV</t>
  </si>
  <si>
    <t>G696632075</t>
  </si>
  <si>
    <t>G9PHKNT2PH000005DP</t>
  </si>
  <si>
    <t>GVCHEB00ZRD00005DQ</t>
  </si>
  <si>
    <t>G696610517</t>
  </si>
  <si>
    <t>F8Y5437C5JMQ4C2B5</t>
  </si>
  <si>
    <t>F5D042187V3Q4C09S</t>
  </si>
  <si>
    <t>G696570431</t>
  </si>
  <si>
    <t>G9P5255N0D214YDAJ</t>
  </si>
  <si>
    <t>GH324310FDT14YFAM</t>
  </si>
  <si>
    <t>G696532113</t>
  </si>
  <si>
    <t>G06R7R9C40</t>
  </si>
  <si>
    <t>MHWJ5Y4HX6</t>
  </si>
  <si>
    <t>G696484317</t>
  </si>
  <si>
    <t>G9P5385MPCSPQCLA2</t>
  </si>
  <si>
    <t>G9P2074S1HKPQCLAH</t>
  </si>
  <si>
    <t>G696476239</t>
  </si>
  <si>
    <t>F8Y5445C62518FKB4</t>
  </si>
  <si>
    <t>FG914633AJ218FM48</t>
  </si>
  <si>
    <t>G680797344</t>
  </si>
  <si>
    <t>CQ4GH33713</t>
  </si>
  <si>
    <t>KMX926MH3H</t>
  </si>
  <si>
    <t>G680797302</t>
  </si>
  <si>
    <t>661-32209</t>
  </si>
  <si>
    <t>F0Y4164008S2525AL</t>
  </si>
  <si>
    <t>DCN252403T3PP5DAB</t>
  </si>
  <si>
    <t>G696465581</t>
  </si>
  <si>
    <t>G9PHK1G2KAA00005DP</t>
  </si>
  <si>
    <t>GVCH9403K9600005DQ</t>
  </si>
  <si>
    <t>G680796832</t>
  </si>
  <si>
    <t>DNL52220G581986B0</t>
  </si>
  <si>
    <t>DNL40261G131986BF</t>
  </si>
  <si>
    <t>661-30391</t>
  </si>
  <si>
    <t>TrueDepth Camera, iPhone 14 Plus</t>
  </si>
  <si>
    <t>FG4251605TP1M7C1G</t>
  </si>
  <si>
    <t>GMH33770G151GM15E</t>
  </si>
  <si>
    <t>G696457353</t>
  </si>
  <si>
    <t>FVQM2XVTV0</t>
  </si>
  <si>
    <t>G3046VNJWP</t>
  </si>
  <si>
    <t>G696211561</t>
  </si>
  <si>
    <t>F8Y5362N0GA10X2C7</t>
  </si>
  <si>
    <t>F5D44131VVG10DLC8</t>
  </si>
  <si>
    <t>G696209701</t>
  </si>
  <si>
    <t>F8Y5434C4H813RHC4</t>
  </si>
  <si>
    <t>F5D14143FXN13RJ9J</t>
  </si>
  <si>
    <t>G696202787</t>
  </si>
  <si>
    <t>GCFHLQ0QXDB00005LU</t>
  </si>
  <si>
    <t>DNMHHN01FJB000048L</t>
  </si>
  <si>
    <t>G696195431</t>
  </si>
  <si>
    <t>661-50065</t>
  </si>
  <si>
    <t>C02HMR000GN0000PQB</t>
  </si>
  <si>
    <t>C02HH7003R80000PQC</t>
  </si>
  <si>
    <t>G680623206</t>
  </si>
  <si>
    <t>HJN709V4X0</t>
  </si>
  <si>
    <t>G696128189</t>
  </si>
  <si>
    <t>Z661-54194</t>
  </si>
  <si>
    <t>AirPods Pro 3, Right, CI/AR, VN, INT</t>
  </si>
  <si>
    <t>G696081283</t>
  </si>
  <si>
    <t>661-36922</t>
  </si>
  <si>
    <t>Logic Board, 11-core CPU, 14-core GPU, 18GB, 512GB</t>
  </si>
  <si>
    <t>C02411602VX23YJAX</t>
  </si>
  <si>
    <t>C02H0N001960000H9F</t>
  </si>
  <si>
    <t>G696010451</t>
  </si>
  <si>
    <t>FG9HM6000NS00006TT</t>
  </si>
  <si>
    <t>F5DGX700H0U00006TU</t>
  </si>
  <si>
    <t>G696010369</t>
  </si>
  <si>
    <t>DNL519505B91986B3</t>
  </si>
  <si>
    <t>DNL430202AR1986BQ</t>
  </si>
  <si>
    <t>G695997947</t>
  </si>
  <si>
    <t>MRW2FC399J</t>
  </si>
  <si>
    <t>J4FVK3K3K0</t>
  </si>
  <si>
    <t>G680397690</t>
  </si>
  <si>
    <t>D3KQG9XCDJ</t>
  </si>
  <si>
    <t>GRXW31G6VQ</t>
  </si>
  <si>
    <t>G695969975</t>
  </si>
  <si>
    <t>G9P5384M1FXPQCLAB</t>
  </si>
  <si>
    <t>G695962735</t>
  </si>
  <si>
    <t>G9M2R2NR6K</t>
  </si>
  <si>
    <t>HK6L54WF92</t>
  </si>
  <si>
    <t>G680385448</t>
  </si>
  <si>
    <t>F8Y5446CDMH18FKBV</t>
  </si>
  <si>
    <t>FG92307126M18FMAZ</t>
  </si>
  <si>
    <t>G695865079</t>
  </si>
  <si>
    <t>L063PXQK7V</t>
  </si>
  <si>
    <t>TYJ5T7NT9G</t>
  </si>
  <si>
    <t>G680222852</t>
  </si>
  <si>
    <t>GMG533400N31J88AU</t>
  </si>
  <si>
    <t>GMG541300UL1J87A0</t>
  </si>
  <si>
    <t>GMG5167003K1J87AS</t>
  </si>
  <si>
    <t>G695794675</t>
  </si>
  <si>
    <t>C4WTR7MFWT</t>
  </si>
  <si>
    <t>JMHKKGVYLF</t>
  </si>
  <si>
    <t>G695792237</t>
  </si>
  <si>
    <t>F8Y5443C2SC20J9B5</t>
  </si>
  <si>
    <t>F5D320428DC20J8AH</t>
  </si>
  <si>
    <t>G695671103</t>
  </si>
  <si>
    <t>D77Q4HM9WC</t>
  </si>
  <si>
    <t>TW5J71122D</t>
  </si>
  <si>
    <t>G695546049</t>
  </si>
  <si>
    <t>GX01</t>
  </si>
  <si>
    <t>FV95307007P23NLBY</t>
  </si>
  <si>
    <t>FV9438604SL23NLAR</t>
  </si>
  <si>
    <t>G695545127</t>
  </si>
  <si>
    <t>FG9HM6000NA00006TT</t>
  </si>
  <si>
    <t>F5DGYV016F700006TU</t>
  </si>
  <si>
    <t>G695542657</t>
  </si>
  <si>
    <t>F8Y5452C41S18FKBN</t>
  </si>
  <si>
    <t>F8Y139128WF18FKAB</t>
  </si>
  <si>
    <t>G695517729</t>
  </si>
  <si>
    <t>661-34304</t>
  </si>
  <si>
    <t>Logic Board, M2, 8-core CPU, 10-core GPU, 8 GB, 256 GB</t>
  </si>
  <si>
    <t>FV932030WC12306A1</t>
  </si>
  <si>
    <t>FV932052XSB2306A8</t>
  </si>
  <si>
    <t>G695303113</t>
  </si>
  <si>
    <t>HFKX532LY5</t>
  </si>
  <si>
    <t>HMHF142HVK</t>
  </si>
  <si>
    <t>G695286415</t>
  </si>
  <si>
    <t>LW9D6V9X9V</t>
  </si>
  <si>
    <t>JQ9K3392YY</t>
  </si>
  <si>
    <t>G679562564</t>
  </si>
  <si>
    <t>PP661-28217</t>
  </si>
  <si>
    <t>Space Black, iPhone 14 Pro, 512GB, ROW, CI/AR, Philippines</t>
  </si>
  <si>
    <t>CRGFW332P5</t>
  </si>
  <si>
    <t>C6XD44945G</t>
  </si>
  <si>
    <t>G695274095</t>
  </si>
  <si>
    <t>ZP661-40061</t>
  </si>
  <si>
    <t>Blue, iPad Air 11-inch (M2), 512GB, Wi-Fi, ITP</t>
  </si>
  <si>
    <t>KGGH63FK29</t>
  </si>
  <si>
    <t>H23WWCY33X</t>
  </si>
  <si>
    <t>G695242479</t>
  </si>
  <si>
    <t>HX92Y2D4MK</t>
  </si>
  <si>
    <t>FPQWCGPXF7</t>
  </si>
  <si>
    <t>G695018295</t>
  </si>
  <si>
    <t>GQ799M2YQX</t>
  </si>
  <si>
    <t>LHXQT9H93F</t>
  </si>
  <si>
    <t>G694721189</t>
  </si>
  <si>
    <t>Z661-35413</t>
  </si>
  <si>
    <t>DR90TD7LVH</t>
  </si>
  <si>
    <t>M63JYKPX6W</t>
  </si>
  <si>
    <t>G693754387</t>
  </si>
  <si>
    <t>JFW9MY9597</t>
  </si>
  <si>
    <t>CV926KV0HY</t>
  </si>
  <si>
    <t>G693664521</t>
  </si>
  <si>
    <t>LXD97C97DJ</t>
  </si>
  <si>
    <t>KX9L0J1W32</t>
  </si>
  <si>
    <t>G676977444</t>
  </si>
  <si>
    <t>661-21972</t>
  </si>
  <si>
    <t>F8Y5392N12CQ1LTBC</t>
  </si>
  <si>
    <t>F8Y136208EPQ1LT6S</t>
  </si>
  <si>
    <t>C022276016C170GA0</t>
  </si>
  <si>
    <t>C02140604ZT170H1H</t>
  </si>
  <si>
    <t>G713754251</t>
  </si>
  <si>
    <t>C02HDV0076V0000P0S</t>
  </si>
  <si>
    <t>2HK900N0H0000P0R</t>
  </si>
  <si>
    <t>G705128291</t>
  </si>
  <si>
    <t>F8YHN5C0C7S00006TP</t>
  </si>
  <si>
    <t>F5DH1W0040300006TQ</t>
  </si>
  <si>
    <t>G703130131</t>
  </si>
  <si>
    <t>JLCDWNQ71K</t>
  </si>
  <si>
    <t>K2VC9P7Y6D</t>
  </si>
  <si>
    <t>G701048883</t>
  </si>
  <si>
    <t>661-36829</t>
  </si>
  <si>
    <t>TrueDepth Camera, iPhone 15</t>
  </si>
  <si>
    <t>DTTHLS01E1G000004D</t>
  </si>
  <si>
    <t>DTTHJU030B0000004D</t>
  </si>
  <si>
    <t>FNJHJ4B08N7000004D</t>
  </si>
  <si>
    <t>G698110775</t>
  </si>
  <si>
    <t>ZP661-25146</t>
  </si>
  <si>
    <t>Starlight, 256 GB, iPad Air 5th generation, Wi-Fi, ITP</t>
  </si>
  <si>
    <t>HFP4R195H0</t>
  </si>
  <si>
    <t>HHC71FP6CY</t>
  </si>
  <si>
    <t>G698001403</t>
  </si>
  <si>
    <t>J996PG925Y</t>
  </si>
  <si>
    <t>G681996460</t>
  </si>
  <si>
    <t>GMG527400LX1J88AV</t>
  </si>
  <si>
    <t>FP14525012125YVAK</t>
  </si>
  <si>
    <t>G697771947</t>
  </si>
  <si>
    <t>GD2Q5QL4KG</t>
  </si>
  <si>
    <t>MKGX49THV2</t>
  </si>
  <si>
    <t>G697611009</t>
  </si>
  <si>
    <t>FLW6F9J1QY</t>
  </si>
  <si>
    <t>MQ1WT09M4Y</t>
  </si>
  <si>
    <t>G697447391</t>
  </si>
  <si>
    <t>F8Y5456C1QC20J9B6</t>
  </si>
  <si>
    <t>F8Y301503Z620JC2Y</t>
  </si>
  <si>
    <t>G697397499</t>
  </si>
  <si>
    <t>661-55240</t>
  </si>
  <si>
    <t>Display, iPhone Air</t>
  </si>
  <si>
    <t>GVCHJW0206L0000HU9</t>
  </si>
  <si>
    <t>G9QHJTK0Z920000HU8</t>
  </si>
  <si>
    <t>G697382991</t>
  </si>
  <si>
    <t>K210Y6QW4H</t>
  </si>
  <si>
    <t>GXVTRJC3WQ</t>
  </si>
  <si>
    <t>G697346679</t>
  </si>
  <si>
    <t>L774N256XF</t>
  </si>
  <si>
    <t>F6JQDJ77J1</t>
  </si>
  <si>
    <t>G697344385</t>
  </si>
  <si>
    <t>QTWXWYY2K3</t>
  </si>
  <si>
    <t>WR0GP2D95Y</t>
  </si>
  <si>
    <t>G697284273</t>
  </si>
  <si>
    <t>JC9FTHC02N</t>
  </si>
  <si>
    <t>K4Y7L3XFHJ</t>
  </si>
  <si>
    <t>G697259259</t>
  </si>
  <si>
    <t>G9P5385MJ49PQCLAE</t>
  </si>
  <si>
    <t>G9P3333MLA1PQCLAR</t>
  </si>
  <si>
    <t>G9P5386M0PYPQCLAK</t>
  </si>
  <si>
    <t>G9P5362MPNUPQCLAD</t>
  </si>
  <si>
    <t>G697106853</t>
  </si>
  <si>
    <t>GMG5364026SNR89B2</t>
  </si>
  <si>
    <t>FP1343707DR249YAN</t>
  </si>
  <si>
    <t>G697104575</t>
  </si>
  <si>
    <t>V2QLH26NXX</t>
  </si>
  <si>
    <t>JY26DLX6NC</t>
  </si>
  <si>
    <t>G697092415</t>
  </si>
  <si>
    <t>661-36842</t>
  </si>
  <si>
    <t>Green, Back Glass, iPhone 15</t>
  </si>
  <si>
    <t>DRCHKK0001900006ST</t>
  </si>
  <si>
    <t>DRCHGS007SX00006ST</t>
  </si>
  <si>
    <t>G696860131</t>
  </si>
  <si>
    <t>K3JWYRYW4W</t>
  </si>
  <si>
    <t>DX0H6D6KWK</t>
  </si>
  <si>
    <t>G696690207</t>
  </si>
  <si>
    <t>F8YHN0C0C8J00006TP</t>
  </si>
  <si>
    <t>F5DH0H00JBZ00006TQ</t>
  </si>
  <si>
    <t>G696685707</t>
  </si>
  <si>
    <t>F8Y5435C046Q4C2B1</t>
  </si>
  <si>
    <t>F5D0433EJQPQ4C09M</t>
  </si>
  <si>
    <t>G696644633</t>
  </si>
  <si>
    <t>JVPGKG1VFQ</t>
  </si>
  <si>
    <t>RFXXMP3F9C</t>
  </si>
  <si>
    <t>G696626801</t>
  </si>
  <si>
    <t>L4F6QCF9DG</t>
  </si>
  <si>
    <t>DR9HL7QK0X</t>
  </si>
  <si>
    <t>G696615931</t>
  </si>
  <si>
    <t>GVCHK0035RE0000MUZ</t>
  </si>
  <si>
    <t>GH3HL401WY80000MUZ</t>
  </si>
  <si>
    <t>G696599139</t>
  </si>
  <si>
    <t>GVH533508B7PR5PAC</t>
  </si>
  <si>
    <t>GVH43830LPYPR5PAX</t>
  </si>
  <si>
    <t>G696505003</t>
  </si>
  <si>
    <t>XKH4NT9FY2</t>
  </si>
  <si>
    <t>CWN3TXXNTQ</t>
  </si>
  <si>
    <t>G696446875</t>
  </si>
  <si>
    <t>661-43189</t>
  </si>
  <si>
    <t>AirPods Max USB-C, Set, Blue</t>
  </si>
  <si>
    <t>F7W2YGPQ44</t>
  </si>
  <si>
    <t>HM4XJ0XDRJ</t>
  </si>
  <si>
    <t>G696306817</t>
  </si>
  <si>
    <t>MTGG9DQ1WC</t>
  </si>
  <si>
    <t>H2D0XV40GY</t>
  </si>
  <si>
    <t>G696216285</t>
  </si>
  <si>
    <t>FP15272031G25YTAV</t>
  </si>
  <si>
    <t>GMG449301ET1J87AD</t>
  </si>
  <si>
    <t>G696174475</t>
  </si>
  <si>
    <t>XCQF924YJC</t>
  </si>
  <si>
    <t>DDX9F7YR09</t>
  </si>
  <si>
    <t>G696057095</t>
  </si>
  <si>
    <t>LP0WFQXHCF</t>
  </si>
  <si>
    <t>L1JWXD2116</t>
  </si>
  <si>
    <t>G695797067</t>
  </si>
  <si>
    <t>LCF95TGGHR</t>
  </si>
  <si>
    <t>LH46VVNVNT</t>
  </si>
  <si>
    <t>G695791941</t>
  </si>
  <si>
    <t>GVH53530NWHPR5PAV</t>
  </si>
  <si>
    <t>GVH444718H4PR5PAR</t>
  </si>
  <si>
    <t>G695764245</t>
  </si>
  <si>
    <t>TA661-45002</t>
  </si>
  <si>
    <t>256GB, Natural Titanium, ROW, iPhone 16 Pro, Logic Board Assy Mid System</t>
  </si>
  <si>
    <t>HTH7TMX54K</t>
  </si>
  <si>
    <t>CV2G4N9YVY</t>
  </si>
  <si>
    <t>G695715441</t>
  </si>
  <si>
    <t>F0Y415301C12525A2</t>
  </si>
  <si>
    <t>DCN425200SB2526AU</t>
  </si>
  <si>
    <t>G695555867</t>
  </si>
  <si>
    <t>GVH53360JWJPR5PA1</t>
  </si>
  <si>
    <t>GVH45011ZYJPR5PAS</t>
  </si>
  <si>
    <t>G695554723</t>
  </si>
  <si>
    <t>G9P5243QDA51PHRAQ</t>
  </si>
  <si>
    <t>G9N3445U7JW1PHRA6</t>
  </si>
  <si>
    <t>G679972730</t>
  </si>
  <si>
    <t>JN63YG4WNC</t>
  </si>
  <si>
    <t>JX95QGJWWN</t>
  </si>
  <si>
    <t>G679823394</t>
  </si>
  <si>
    <t>H2GFX973MW</t>
  </si>
  <si>
    <t>DN9PR7Y959</t>
  </si>
  <si>
    <t>G695483385</t>
  </si>
  <si>
    <t>GHV6T34414</t>
  </si>
  <si>
    <t>DRX72N0WMF</t>
  </si>
  <si>
    <t>G695028049</t>
  </si>
  <si>
    <t>PP661-23467</t>
  </si>
  <si>
    <t>GCPJG9P075</t>
  </si>
  <si>
    <t>QHNQKHH9GC</t>
  </si>
  <si>
    <t>G695022529</t>
  </si>
  <si>
    <t>JW66CN2KC6</t>
  </si>
  <si>
    <t>G694933331</t>
  </si>
  <si>
    <t>H4J46TMWYK</t>
  </si>
  <si>
    <t>G4KX0LHG9K</t>
  </si>
  <si>
    <t>G694503991</t>
  </si>
  <si>
    <t>QH9JG4QVXK</t>
  </si>
  <si>
    <t>P6KHRPG64H</t>
  </si>
  <si>
    <t>G694259681</t>
  </si>
  <si>
    <t>JFDKF09N2D</t>
  </si>
  <si>
    <t>HM7KTH2G00</t>
  </si>
  <si>
    <t>JTV4CPXK3K</t>
  </si>
  <si>
    <t>G693492663</t>
  </si>
  <si>
    <t>KNWYPR6W9P</t>
  </si>
  <si>
    <t>KNH2VL7WQ3</t>
  </si>
  <si>
    <t>G693420093</t>
  </si>
  <si>
    <t>HQ9R634F6V</t>
  </si>
  <si>
    <t>LPV2HX1NPM</t>
  </si>
  <si>
    <t>G693405085</t>
  </si>
  <si>
    <t>XQ20KXDCXG</t>
  </si>
  <si>
    <t>FQYQPYQ2WD</t>
  </si>
  <si>
    <t>G693323451</t>
  </si>
  <si>
    <t>ZP661-39827</t>
  </si>
  <si>
    <t>Starlight, iPad Air 13-inch (M2), 128GB, Wi-Fi, ITP</t>
  </si>
  <si>
    <t>KD9NGKV2X3</t>
  </si>
  <si>
    <t>L2GV3K617L</t>
  </si>
  <si>
    <t>G693290925</t>
  </si>
  <si>
    <t>MQ212NJ3J0</t>
  </si>
  <si>
    <t>FWF4L7609X</t>
  </si>
  <si>
    <t>G693278481</t>
  </si>
  <si>
    <t>JQY0JGV14R</t>
  </si>
  <si>
    <t>DVX566L1JT</t>
  </si>
  <si>
    <t>MOBILECARE - APP GREENBELT 3</t>
  </si>
  <si>
    <t>G692584984</t>
  </si>
  <si>
    <t>DC4H2WQXXL</t>
  </si>
  <si>
    <t>KMT2GKLJDW</t>
  </si>
  <si>
    <t>G710418277</t>
  </si>
  <si>
    <t>F8Y6066C6EG13XCBH</t>
  </si>
  <si>
    <t>F8Y139720FW13XC8D</t>
  </si>
  <si>
    <t>G710232019</t>
  </si>
  <si>
    <t>GN1HS20NJP20000B32</t>
  </si>
  <si>
    <t>G710073807</t>
  </si>
  <si>
    <t>Display, Midnight, MBA (13-in, M4, 2025)</t>
  </si>
  <si>
    <t>F0YHM90007W0000GVK</t>
  </si>
  <si>
    <t>FP1HMD001DY0000G29</t>
  </si>
  <si>
    <t>G708509273</t>
  </si>
  <si>
    <t>G9PHJGS0YNT00005DR</t>
  </si>
  <si>
    <t>GH3HDA01Q1C00005DS</t>
  </si>
  <si>
    <t>G704095333</t>
  </si>
  <si>
    <t>661-37207</t>
  </si>
  <si>
    <t>Battery, iPhone 15 Plus</t>
  </si>
  <si>
    <t>F8YHNVC03LG00006U0</t>
  </si>
  <si>
    <t>F8YGYU10G1400006U2</t>
  </si>
  <si>
    <t>G703325837</t>
  </si>
  <si>
    <t>ZP661-28974</t>
  </si>
  <si>
    <t>Silver, iPad Pro 11-inch 4th gen, 128GB, Wi-Fi, ITP</t>
  </si>
  <si>
    <t>D92XM2CV52</t>
  </si>
  <si>
    <t>Q0Q3Q2Y4Y6</t>
  </si>
  <si>
    <t>G703236579</t>
  </si>
  <si>
    <t>D865386N18APJYRB9</t>
  </si>
  <si>
    <t>F5D13164JGHPJYVAD</t>
  </si>
  <si>
    <t>G698041647</t>
  </si>
  <si>
    <t>F0YHL10013R00006J1</t>
  </si>
  <si>
    <t>FP1HFM005J70000FQX</t>
  </si>
  <si>
    <t>G697721869</t>
  </si>
  <si>
    <t>GVCHJ00071G0000MUZ</t>
  </si>
  <si>
    <t>G9PHLHV5WE50000MUY</t>
  </si>
  <si>
    <t>G697623673</t>
  </si>
  <si>
    <t>C7PFJPKXCD</t>
  </si>
  <si>
    <t>CFJ71JWVMQ</t>
  </si>
  <si>
    <t>G697152931</t>
  </si>
  <si>
    <t>FT76KGPK2Y</t>
  </si>
  <si>
    <t>DD2Y7L42T0</t>
  </si>
  <si>
    <t>G696852559</t>
  </si>
  <si>
    <t>F8Y5451C0DL18FKBX</t>
  </si>
  <si>
    <t>FG92124068U18FM42</t>
  </si>
  <si>
    <t>G696844891</t>
  </si>
  <si>
    <t>F8Y5457C1N6237KB3</t>
  </si>
  <si>
    <t>F8Y239205FQ211P3D</t>
  </si>
  <si>
    <t>F8Y5457C07R237KBW</t>
  </si>
  <si>
    <t>PP661-29662</t>
  </si>
  <si>
    <t>14 Plus, Purple, 128GB, Logic Board Assy Mid System, ROW</t>
  </si>
  <si>
    <t>KJJ2JK6DC1</t>
  </si>
  <si>
    <t>MWV6G77WXF</t>
  </si>
  <si>
    <t>G696462611</t>
  </si>
  <si>
    <t>GVCHJK017GA0000MUZ</t>
  </si>
  <si>
    <t>G9PHMKE9JVW0000MUY</t>
  </si>
  <si>
    <t>G696343187</t>
  </si>
  <si>
    <t>F8Y5437CHSC20J9BP</t>
  </si>
  <si>
    <t>F8Y23810ZP420J92L</t>
  </si>
  <si>
    <t>G696303979</t>
  </si>
  <si>
    <t>C70XJQ3CYY</t>
  </si>
  <si>
    <t>CY6N7D1P9V</t>
  </si>
  <si>
    <t>G696219353</t>
  </si>
  <si>
    <t>661-43191</t>
  </si>
  <si>
    <t>AirPods Max USB-C, Set, Purple</t>
  </si>
  <si>
    <t>K6XMXM7Q9W</t>
  </si>
  <si>
    <t>HHKW2RHVXG</t>
  </si>
  <si>
    <t>G696193377</t>
  </si>
  <si>
    <t>J37Q0GPJH9</t>
  </si>
  <si>
    <t>GQQJ3244RV</t>
  </si>
  <si>
    <t>G695772417</t>
  </si>
  <si>
    <t>ZP661-39829</t>
  </si>
  <si>
    <t>Space Gray, iPad Air 13-inch (M2), 256GB, Wi-Fi, ITP</t>
  </si>
  <si>
    <t>F2H33WP9CJ</t>
  </si>
  <si>
    <t>DMPWPWK21F</t>
  </si>
  <si>
    <t>G695468985</t>
  </si>
  <si>
    <t>G744G0WYFM</t>
  </si>
  <si>
    <t>GYQH6QTK6X</t>
  </si>
  <si>
    <t>G695060005</t>
  </si>
  <si>
    <t>FV9HK1000FH0000HG2</t>
  </si>
  <si>
    <t>FV9HBU00FJM0000HG2</t>
  </si>
  <si>
    <t>G678287836</t>
  </si>
  <si>
    <t>C07HK60003V0000GYA</t>
  </si>
  <si>
    <t>C07HCM001VH0000GYA</t>
  </si>
  <si>
    <t>C06HJP0MG4J00009JP</t>
  </si>
  <si>
    <t>GPV449702AF00009JM</t>
  </si>
  <si>
    <t>G693498943</t>
  </si>
  <si>
    <t>661-42294</t>
  </si>
  <si>
    <t>Logic Board, 14-core CPU, 20-core GPU, 48GB, 4TB</t>
  </si>
  <si>
    <t>FV9HN90002K0000KA3</t>
  </si>
  <si>
    <t>FV9HB200EWD0000KA3</t>
  </si>
  <si>
    <t>661-46471</t>
  </si>
  <si>
    <t>Logic Board, 14-core CPU, 20-core GPU, 48GB, 4TB, VN</t>
  </si>
  <si>
    <t>J4FHME0000S0000HJ2</t>
  </si>
  <si>
    <t>G694531920</t>
  </si>
  <si>
    <t>F8YHRTD02WU00006TP</t>
  </si>
  <si>
    <t>F8YGZP307XU00006TR</t>
  </si>
  <si>
    <t>G9P5441QHDH1PHPA1</t>
  </si>
  <si>
    <t>G9N3404JMEZ1PHPAC</t>
  </si>
  <si>
    <t>G712921827</t>
  </si>
  <si>
    <t>HWH1XDJH2R</t>
  </si>
  <si>
    <t>M64T4PYWNP</t>
  </si>
  <si>
    <t>G712591393</t>
  </si>
  <si>
    <t>F8YHRTD03TT00006TP</t>
  </si>
  <si>
    <t>F8YGZK00VEK00006TP</t>
  </si>
  <si>
    <t>G711461941</t>
  </si>
  <si>
    <t>F8Y6126C1QA20J9BH</t>
  </si>
  <si>
    <t>F5D245588CS20J89A</t>
  </si>
  <si>
    <t>G710969179</t>
  </si>
  <si>
    <t>L7129WCXKF</t>
  </si>
  <si>
    <t>C3HMQ2QYCC</t>
  </si>
  <si>
    <t>G710587867</t>
  </si>
  <si>
    <t>JNM9Y20QGK</t>
  </si>
  <si>
    <t>J93RT63391</t>
  </si>
  <si>
    <t>G706303177</t>
  </si>
  <si>
    <t>FV9544500SD0W9FL4</t>
  </si>
  <si>
    <t>J33529204AY0W9GPN</t>
  </si>
  <si>
    <t>G703899515</t>
  </si>
  <si>
    <t>F6X4MX6TF3</t>
  </si>
  <si>
    <t>DCPVYV9NQ2</t>
  </si>
  <si>
    <t>G702625607</t>
  </si>
  <si>
    <t>G9Q5155PP27PR5QA3</t>
  </si>
  <si>
    <t>GVH50931UTDPR5PAQ</t>
  </si>
  <si>
    <t>G701871473</t>
  </si>
  <si>
    <t>F94MR9TYJT</t>
  </si>
  <si>
    <t>GN2J7754DF</t>
  </si>
  <si>
    <t>G701868211</t>
  </si>
  <si>
    <t>J9PHGN00JRG0000HK9</t>
  </si>
  <si>
    <t>GMHHA5008HK00007BV</t>
  </si>
  <si>
    <t>G701803455</t>
  </si>
  <si>
    <t>G9P5351MLBYPQCLAF</t>
  </si>
  <si>
    <t>G9P2291MMB6PQCLA4</t>
  </si>
  <si>
    <t>G701382889</t>
  </si>
  <si>
    <t>G9NHEML2SN600004Y9</t>
  </si>
  <si>
    <t>G9QHF9Q0XEN00004Y9</t>
  </si>
  <si>
    <t>J9PHL500FP10000HK9</t>
  </si>
  <si>
    <t>GMHHDH005N200007BV</t>
  </si>
  <si>
    <t>G700978035</t>
  </si>
  <si>
    <t>1L529XK9VWR</t>
  </si>
  <si>
    <t>F3QG3R7PXM</t>
  </si>
  <si>
    <t>G698188205</t>
  </si>
  <si>
    <t>F8Y5445CJ9E18FKBW</t>
  </si>
  <si>
    <t>FG9232200TM18FMA8</t>
  </si>
  <si>
    <t>G698183775</t>
  </si>
  <si>
    <t>FV931260PW61N0ND2</t>
  </si>
  <si>
    <t>HXK507601AJ1N08G5</t>
  </si>
  <si>
    <t>G698183505</t>
  </si>
  <si>
    <t>MW0W9FY2HM</t>
  </si>
  <si>
    <t>L9RKJKDGMH</t>
  </si>
  <si>
    <t>G698177315</t>
  </si>
  <si>
    <t>F8Y5445CJ9Q18FKBL</t>
  </si>
  <si>
    <t>FG914751BC018FM4U</t>
  </si>
  <si>
    <t>G698162533</t>
  </si>
  <si>
    <t>F5D5173N282KGGJFD</t>
  </si>
  <si>
    <t>D86221561CFL3L2EA</t>
  </si>
  <si>
    <t>G698160409</t>
  </si>
  <si>
    <t>Display Assembly, Gold</t>
  </si>
  <si>
    <t>GMG545102F9NR89BX</t>
  </si>
  <si>
    <t>FP1124309V4P3WVAG</t>
  </si>
  <si>
    <t>G698158155</t>
  </si>
  <si>
    <t>FHL09WJN6V</t>
  </si>
  <si>
    <t>L2VWTG7269</t>
  </si>
  <si>
    <t>G698150487</t>
  </si>
  <si>
    <t>F5945W6Q54</t>
  </si>
  <si>
    <t>G069YF7MX6</t>
  </si>
  <si>
    <t>G682118970</t>
  </si>
  <si>
    <t>661-42723</t>
  </si>
  <si>
    <t>White Titanium, Back Glass, iPhone 16 Pro</t>
  </si>
  <si>
    <t>HKYHLL003W20000TXE</t>
  </si>
  <si>
    <t>HKYHA7012WH0000TXE</t>
  </si>
  <si>
    <t>G682022252</t>
  </si>
  <si>
    <t>TV06FKP3F7</t>
  </si>
  <si>
    <t>FXQVXMPGDP</t>
  </si>
  <si>
    <t>G698028475</t>
  </si>
  <si>
    <t>661-29900</t>
  </si>
  <si>
    <t>Watch SE 2nd gen, 44mm, GPS, Aluminum, Midnight, TH</t>
  </si>
  <si>
    <t>CJG9LR65F6</t>
  </si>
  <si>
    <t>J1X6WMXCL6</t>
  </si>
  <si>
    <t>G682001116</t>
  </si>
  <si>
    <t>PP661-28616</t>
  </si>
  <si>
    <t>Blue, iPhone 14, 128GB, ROW, CI/AR, Philippines</t>
  </si>
  <si>
    <t>K25WH44N03</t>
  </si>
  <si>
    <t>H46D17HQ0T</t>
  </si>
  <si>
    <t>G697950359</t>
  </si>
  <si>
    <t>GL93W216C0</t>
  </si>
  <si>
    <t>DH7N544DMK</t>
  </si>
  <si>
    <t>G697941935</t>
  </si>
  <si>
    <t>G4FVNWD0WR</t>
  </si>
  <si>
    <t>J7VG0VFJPH</t>
  </si>
  <si>
    <t>G697771841</t>
  </si>
  <si>
    <t>H29390QD3N</t>
  </si>
  <si>
    <t>FV07R4LF2R</t>
  </si>
  <si>
    <t>G681794326</t>
  </si>
  <si>
    <t>GMG541302GM1J88AY</t>
  </si>
  <si>
    <t>F0Y5116008Q1J87A2</t>
  </si>
  <si>
    <t>G681794172</t>
  </si>
  <si>
    <t>661-40217</t>
  </si>
  <si>
    <t>GMG545302B81J88AE</t>
  </si>
  <si>
    <t>GMG425502XN1J88AB</t>
  </si>
  <si>
    <t>G697708037</t>
  </si>
  <si>
    <t>H4VC26QWRM</t>
  </si>
  <si>
    <t>HKF7TLWGHX</t>
  </si>
  <si>
    <t>G697610089</t>
  </si>
  <si>
    <t>F8Y5442CAAEM6YNDN</t>
  </si>
  <si>
    <t>F8Y137516TEM6YNBF</t>
  </si>
  <si>
    <t>G697609399</t>
  </si>
  <si>
    <t>F8Y5447C4EK13XCBL</t>
  </si>
  <si>
    <t>F5D1527BTMP13XD9R</t>
  </si>
  <si>
    <t>G697606537</t>
  </si>
  <si>
    <t>G07Y3493DC</t>
  </si>
  <si>
    <t>L6GFWCQJ0J</t>
  </si>
  <si>
    <t>G697594807</t>
  </si>
  <si>
    <t>G9P5351MLHJPQCLAB</t>
  </si>
  <si>
    <t>G9P2133MANEPQCLAR</t>
  </si>
  <si>
    <t>G697575855</t>
  </si>
  <si>
    <t>KYT9J6YV2W</t>
  </si>
  <si>
    <t>M2GX19F959</t>
  </si>
  <si>
    <t>G697504221</t>
  </si>
  <si>
    <t>F8Y5445C6NN18FKBV</t>
  </si>
  <si>
    <t>F8Y146114SE18FLA4</t>
  </si>
  <si>
    <t>G697503609</t>
  </si>
  <si>
    <t>F8Y5447C7V7Q687BL</t>
  </si>
  <si>
    <t>F8Y03532S2EQ6882C</t>
  </si>
  <si>
    <t>G681595558</t>
  </si>
  <si>
    <t>DQYH9RQ6H6</t>
  </si>
  <si>
    <t>CYF9DY04VQ</t>
  </si>
  <si>
    <t>G697487827</t>
  </si>
  <si>
    <t>ZP661-50288</t>
  </si>
  <si>
    <t>iPad Air 11-inch (M3) Wi-Fi + Cellular, ROW, 512GB, Starlight, CI/AR, CN</t>
  </si>
  <si>
    <t>DD65Q6RY0X</t>
  </si>
  <si>
    <t>CCXLW4HL7N</t>
  </si>
  <si>
    <t>G697484435</t>
  </si>
  <si>
    <t>F8Y5445C7D018FKB9</t>
  </si>
  <si>
    <t>FG9143316NC18FM45</t>
  </si>
  <si>
    <t>G697482369</t>
  </si>
  <si>
    <t>923-11081</t>
  </si>
  <si>
    <t>Bottom Speaker, iPhone 16 Pro Max</t>
  </si>
  <si>
    <t>DTVHK282A6M0000CZ8</t>
  </si>
  <si>
    <t>DTVH8L82FA80000CZ8</t>
  </si>
  <si>
    <t>DTVHK68229T0000CZ8</t>
  </si>
  <si>
    <t>TA661-45271</t>
  </si>
  <si>
    <t>1TB, Desert Titanium, ROW, iPhone 16 Pro Max, CI/AR</t>
  </si>
  <si>
    <t>DGQK46W0YG</t>
  </si>
  <si>
    <t>CWJ47M1W4K</t>
  </si>
  <si>
    <t>G697450345</t>
  </si>
  <si>
    <t>F8Y5451C08X13XCBZ</t>
  </si>
  <si>
    <t>F8Y218501HZ13XC8D</t>
  </si>
  <si>
    <t>G697449569</t>
  </si>
  <si>
    <t>KR6CM9JVK9</t>
  </si>
  <si>
    <t>H1W7T9772L</t>
  </si>
  <si>
    <t>G697400075</t>
  </si>
  <si>
    <t>GVCHJX01RD20000MUZ</t>
  </si>
  <si>
    <t>GH3HK300DM20000MUZ</t>
  </si>
  <si>
    <t>G697389987</t>
  </si>
  <si>
    <t>JXX34591PY</t>
  </si>
  <si>
    <t>H2P9LJWGH6</t>
  </si>
  <si>
    <t>G697382229</t>
  </si>
  <si>
    <t>KN9C1K44C5</t>
  </si>
  <si>
    <t>CNVKJGXWG6</t>
  </si>
  <si>
    <t>G697361583</t>
  </si>
  <si>
    <t>LPXW99HVVT</t>
  </si>
  <si>
    <t>DX72L2X140</t>
  </si>
  <si>
    <t>G697357333</t>
  </si>
  <si>
    <t>J470QWM226</t>
  </si>
  <si>
    <t>CDJJGWTN20</t>
  </si>
  <si>
    <t>G697352367</t>
  </si>
  <si>
    <t>LNF62C6462</t>
  </si>
  <si>
    <t>MP67CYR2D0</t>
  </si>
  <si>
    <t>G697273065</t>
  </si>
  <si>
    <t>BEGR</t>
  </si>
  <si>
    <t>DNL51451PAA17RRBZ</t>
  </si>
  <si>
    <t>DNL352635AT17RRB1</t>
  </si>
  <si>
    <t>DNL5377105W17RRC1</t>
  </si>
  <si>
    <t>G697258339</t>
  </si>
  <si>
    <t>F8Y5465C9BA217WBE</t>
  </si>
  <si>
    <t>F5D234307BT21PK7N</t>
  </si>
  <si>
    <t>923-08123</t>
  </si>
  <si>
    <t>Bottom Speaker, iPhone 14 Pro</t>
  </si>
  <si>
    <t>CTH32414DBM1G3DAN</t>
  </si>
  <si>
    <t>DTV231421CS1G3G62</t>
  </si>
  <si>
    <t>G697225087</t>
  </si>
  <si>
    <t>DG9QR0W249</t>
  </si>
  <si>
    <t>KMXMRQLVPH</t>
  </si>
  <si>
    <t>G697159389</t>
  </si>
  <si>
    <t>LMHXC1FP07</t>
  </si>
  <si>
    <t>H3X713QXDX</t>
  </si>
  <si>
    <t>G697158731</t>
  </si>
  <si>
    <t>GMG541302ZN1J87AF</t>
  </si>
  <si>
    <t>FP1248501TH1J8CAW</t>
  </si>
  <si>
    <t>G697155361</t>
  </si>
  <si>
    <t>F8Y5445CCQ418FKB1</t>
  </si>
  <si>
    <t>FG921541TMJ18FMAQ</t>
  </si>
  <si>
    <t>G697125643</t>
  </si>
  <si>
    <t>661-35703</t>
  </si>
  <si>
    <t>Blue Titanium, Back Glass, iPhone 15 Pro</t>
  </si>
  <si>
    <t>DRCHC0000K30000AY3</t>
  </si>
  <si>
    <t>HKYGXS00NKT0000AY3</t>
  </si>
  <si>
    <t>G697116613</t>
  </si>
  <si>
    <t>KHWWH9TD7Y</t>
  </si>
  <si>
    <t>J24J3C2GKF</t>
  </si>
  <si>
    <t>G697110519</t>
  </si>
  <si>
    <t>HD2LXKJ621</t>
  </si>
  <si>
    <t>DHGW74XGX7</t>
  </si>
  <si>
    <t>G680972320</t>
  </si>
  <si>
    <t>M7YY612FXW</t>
  </si>
  <si>
    <t>K3R774KY3Q</t>
  </si>
  <si>
    <t>G696936827</t>
  </si>
  <si>
    <t>JH659KF7C5</t>
  </si>
  <si>
    <t>HTC63267N5</t>
  </si>
  <si>
    <t>G696936483</t>
  </si>
  <si>
    <t>CR6M665WV1</t>
  </si>
  <si>
    <t>F5X776XVNX</t>
  </si>
  <si>
    <t>G696849321</t>
  </si>
  <si>
    <t>G9P5186MCNTPQCLAH</t>
  </si>
  <si>
    <t>G9N2061ME1GPQCLA9</t>
  </si>
  <si>
    <t>G696840851</t>
  </si>
  <si>
    <t>661-28007</t>
  </si>
  <si>
    <t>Graphite Stainless, Watch Series 8, 45mm, Cellular ROW</t>
  </si>
  <si>
    <t>CVXCV41DX2</t>
  </si>
  <si>
    <t>J6MLHDHK91</t>
  </si>
  <si>
    <t>G696833773</t>
  </si>
  <si>
    <t>F8Y5445CCUB18FKBG</t>
  </si>
  <si>
    <t>F8Y32530ADW18FLAM</t>
  </si>
  <si>
    <t>G696809189</t>
  </si>
  <si>
    <t>H92DJVF0VH</t>
  </si>
  <si>
    <t>MG93NQ057Y</t>
  </si>
  <si>
    <t>G681078046</t>
  </si>
  <si>
    <t>HQR9TYQ0R6</t>
  </si>
  <si>
    <t>GP6C4126VH</t>
  </si>
  <si>
    <t>G696744133</t>
  </si>
  <si>
    <t>MPXTHQ095R</t>
  </si>
  <si>
    <t>L4QJCPJVVN</t>
  </si>
  <si>
    <t>G696737787</t>
  </si>
  <si>
    <t>F8Y5451C1G618FKB1</t>
  </si>
  <si>
    <t>F8Y40840JAN18FLBG</t>
  </si>
  <si>
    <t>G696727951</t>
  </si>
  <si>
    <t>D0HFC7F6VR</t>
  </si>
  <si>
    <t>DDGG23P6KF</t>
  </si>
  <si>
    <t>G696721363</t>
  </si>
  <si>
    <t>JTXXMYV0VY</t>
  </si>
  <si>
    <t>FHJC562216</t>
  </si>
  <si>
    <t>G696717661</t>
  </si>
  <si>
    <t>FQDP422JHJ</t>
  </si>
  <si>
    <t>H476WFC412</t>
  </si>
  <si>
    <t>G696701171</t>
  </si>
  <si>
    <t>FG2F0443X6</t>
  </si>
  <si>
    <t>KGRT6Y3LTQ</t>
  </si>
  <si>
    <t>G696695389</t>
  </si>
  <si>
    <t>F8Y5433C005M6YND5</t>
  </si>
  <si>
    <t>F8Y9387V55SM6YN73</t>
  </si>
  <si>
    <t>G696694375</t>
  </si>
  <si>
    <t>GW73314Q4W</t>
  </si>
  <si>
    <t>L2WV9T6W17</t>
  </si>
  <si>
    <t>G680896314</t>
  </si>
  <si>
    <t>G2R9WY7G03</t>
  </si>
  <si>
    <t>C79PRXRQRH</t>
  </si>
  <si>
    <t>G696613033</t>
  </si>
  <si>
    <t>G9P5374CLE4PR5QA0</t>
  </si>
  <si>
    <t>GVH44361Z3FPR5PA1</t>
  </si>
  <si>
    <t>G696511909</t>
  </si>
  <si>
    <t>F0YHL20017100006J1</t>
  </si>
  <si>
    <t>FMXHEH004KT00006J3</t>
  </si>
  <si>
    <t>G696493643</t>
  </si>
  <si>
    <t>L2FDQFF2T5</t>
  </si>
  <si>
    <t>MYHWXL2VXL</t>
  </si>
  <si>
    <t>G696485633</t>
  </si>
  <si>
    <t>F8Y5452C9WR18FKBZ</t>
  </si>
  <si>
    <t>FG93272006R18FMAG</t>
  </si>
  <si>
    <t>G696478771</t>
  </si>
  <si>
    <t>CWN7T3MP47</t>
  </si>
  <si>
    <t>MVXMH4FY79</t>
  </si>
  <si>
    <t>G696476985</t>
  </si>
  <si>
    <t>FJVVHFJ6N6</t>
  </si>
  <si>
    <t>DW3K42C99F</t>
  </si>
  <si>
    <t>G696465421</t>
  </si>
  <si>
    <t>H417Q1YX3M</t>
  </si>
  <si>
    <t>CYX7DQHQ69</t>
  </si>
  <si>
    <t>G696454981</t>
  </si>
  <si>
    <t>FMXHJU001LA00006J3</t>
  </si>
  <si>
    <t>F0YHE20013600006J1</t>
  </si>
  <si>
    <t>G696449515</t>
  </si>
  <si>
    <t>D2WW0XNPMQ</t>
  </si>
  <si>
    <t>C7LVHP4NL2</t>
  </si>
  <si>
    <t>G696344917</t>
  </si>
  <si>
    <t>F8Y5433C0FDM6YNDL</t>
  </si>
  <si>
    <t>FG923960H8XM6YRCW</t>
  </si>
  <si>
    <t>G696342823</t>
  </si>
  <si>
    <t>F8Y5447C5R718FKB0</t>
  </si>
  <si>
    <t>FG934660B2618FMAZ</t>
  </si>
  <si>
    <t>G696337429</t>
  </si>
  <si>
    <t>G9P5347MNLBPQCLA4</t>
  </si>
  <si>
    <t>G9N1502U745PQCLAC</t>
  </si>
  <si>
    <t>G696309507</t>
  </si>
  <si>
    <t>JKJ9W66M0V</t>
  </si>
  <si>
    <t>MXJ7XFM6X9</t>
  </si>
  <si>
    <t>G680694288</t>
  </si>
  <si>
    <t>M06W2C9W5N</t>
  </si>
  <si>
    <t>MD7GT9NFVT</t>
  </si>
  <si>
    <t>G696215377</t>
  </si>
  <si>
    <t>KPQ70R4KJT</t>
  </si>
  <si>
    <t>GPYK7HV2LV</t>
  </si>
  <si>
    <t>G696198397</t>
  </si>
  <si>
    <t>J4G377FGQX</t>
  </si>
  <si>
    <t>DNJM23J295</t>
  </si>
  <si>
    <t>G696170305</t>
  </si>
  <si>
    <t>MJW3V4V5JT</t>
  </si>
  <si>
    <t>FNR2P6450Q</t>
  </si>
  <si>
    <t>G696096621</t>
  </si>
  <si>
    <t>TA661-43612</t>
  </si>
  <si>
    <t>256GB, Pink, ROW, iPhone 16, Logic Board Assy Mid System</t>
  </si>
  <si>
    <t>L74TJNF6RP</t>
  </si>
  <si>
    <t>LXYPX4GMW4</t>
  </si>
  <si>
    <t>G696064067</t>
  </si>
  <si>
    <t>PP661-28613</t>
  </si>
  <si>
    <t>Midnight, iPhone 14, 128GB, ROW, CI/AR, Philippines</t>
  </si>
  <si>
    <t>GX9N0T1WR1</t>
  </si>
  <si>
    <t>V16CCXJ2NV</t>
  </si>
  <si>
    <t>G696060469</t>
  </si>
  <si>
    <t>V0HW9V4KQ4</t>
  </si>
  <si>
    <t>DLPGP92GDK</t>
  </si>
  <si>
    <t>G696000965</t>
  </si>
  <si>
    <t>L2177W9DYY</t>
  </si>
  <si>
    <t>FW9F7VDGD9</t>
  </si>
  <si>
    <t>G680401178</t>
  </si>
  <si>
    <t>F8YHMZC0ED500006TP</t>
  </si>
  <si>
    <t>F8YGZK31CQ400006TR</t>
  </si>
  <si>
    <t>G695872101</t>
  </si>
  <si>
    <t>J2P6K2NPPH</t>
  </si>
  <si>
    <t>LD2HPJW97R</t>
  </si>
  <si>
    <t>G695767161</t>
  </si>
  <si>
    <t>F2XT7JW5QQ</t>
  </si>
  <si>
    <t>DL2TP6CG7P</t>
  </si>
  <si>
    <t>G695760955</t>
  </si>
  <si>
    <t>DM63PG35VV</t>
  </si>
  <si>
    <t>HGQ9RPQ3N6</t>
  </si>
  <si>
    <t>G695720599</t>
  </si>
  <si>
    <t>HJWQ29CT7J</t>
  </si>
  <si>
    <t>FX9XKW67G6</t>
  </si>
  <si>
    <t>G695661757</t>
  </si>
  <si>
    <t>MK6N2NQ2KD</t>
  </si>
  <si>
    <t>D7YT6NMPX6</t>
  </si>
  <si>
    <t>G695547935</t>
  </si>
  <si>
    <t>661-36838</t>
  </si>
  <si>
    <t>Black, Back Glass, iPhone 15</t>
  </si>
  <si>
    <t>J0MHMB000DJ00006SP</t>
  </si>
  <si>
    <t>J0MHDZ00QWP00006SP</t>
  </si>
  <si>
    <t>G679972762</t>
  </si>
  <si>
    <t>GCFHKK0D59100005LU</t>
  </si>
  <si>
    <t>DNMHAG01T8400005LS</t>
  </si>
  <si>
    <t>TA661-45238</t>
  </si>
  <si>
    <t>256GB, Pink, ROW, iPhone 16 Plus, Logic Board Assy Mid System</t>
  </si>
  <si>
    <t>J1QMYF2565</t>
  </si>
  <si>
    <t>DPWJD464PT</t>
  </si>
  <si>
    <t>G695497969</t>
  </si>
  <si>
    <t>MP679YFGFQ</t>
  </si>
  <si>
    <t>HNJ9Q6HYGV</t>
  </si>
  <si>
    <t>G695371603</t>
  </si>
  <si>
    <t>ZP661-50286</t>
  </si>
  <si>
    <t>iPad Air 11-inch (M3) Wi-Fi + Cellular, ROW, 512GB, Space Gray, CI/AR, C</t>
  </si>
  <si>
    <t>CN90YFJHXC</t>
  </si>
  <si>
    <t>M79FVDJ4X4</t>
  </si>
  <si>
    <t>G695293719</t>
  </si>
  <si>
    <t>C9JD6QWN3P</t>
  </si>
  <si>
    <t>LWF1VJ02JD</t>
  </si>
  <si>
    <t>G695261443</t>
  </si>
  <si>
    <t>AWTP</t>
  </si>
  <si>
    <t>TA661-37195</t>
  </si>
  <si>
    <t>15 Pro Max, Black, 256GB, Logic Board Assy Mid System, ROW</t>
  </si>
  <si>
    <t>J9K3PCJG91</t>
  </si>
  <si>
    <t>K2XW32JFWK</t>
  </si>
  <si>
    <t>DN85247A56F1W232Z</t>
  </si>
  <si>
    <t>G5Y41532X8R21PTAT</t>
  </si>
  <si>
    <t>G695178193</t>
  </si>
  <si>
    <t>J9NJ9L42V2</t>
  </si>
  <si>
    <t>L7H7L96JDW</t>
  </si>
  <si>
    <t>G695172095</t>
  </si>
  <si>
    <t>FV94332004H25HMAT</t>
  </si>
  <si>
    <t>C024143003225HMA4</t>
  </si>
  <si>
    <t>F0Y415700KM2525AS</t>
  </si>
  <si>
    <t>FMX43750QAU23YMAL</t>
  </si>
  <si>
    <t>G695154969</t>
  </si>
  <si>
    <t>K50W5TLY2X</t>
  </si>
  <si>
    <t>D21C2JFWH2</t>
  </si>
  <si>
    <t>G695122979</t>
  </si>
  <si>
    <t>CP4KK22PG9</t>
  </si>
  <si>
    <t>M2972YRVJY</t>
  </si>
  <si>
    <t>G695050199</t>
  </si>
  <si>
    <t>KGY62PYN4V</t>
  </si>
  <si>
    <t>G63XGLVQL5</t>
  </si>
  <si>
    <t>G694994709</t>
  </si>
  <si>
    <t>G1H7NK09HM</t>
  </si>
  <si>
    <t>LKP64QX39D</t>
  </si>
  <si>
    <t>G694939811</t>
  </si>
  <si>
    <t>TA661-55211</t>
  </si>
  <si>
    <t>Deep Blue, 512GB, iPhone 17 Pro Max, ROW, CI/AR, Taiwan</t>
  </si>
  <si>
    <t>LJHH0G6X0Q</t>
  </si>
  <si>
    <t>FCQ3H5QQLQ</t>
  </si>
  <si>
    <t>G694301405</t>
  </si>
  <si>
    <t>TA661-45236</t>
  </si>
  <si>
    <t>256GB, Black, ROW, iPhone 16 Plus, Logic Board Assy Mid System</t>
  </si>
  <si>
    <t>DDJ1XNMVT9</t>
  </si>
  <si>
    <t>F71HF000BGZ0000HK9</t>
  </si>
  <si>
    <t>GMHHDW01KVG00007BV</t>
  </si>
  <si>
    <t>G693619511</t>
  </si>
  <si>
    <t>KL9W76M63J</t>
  </si>
  <si>
    <t>LQHT29RQFF</t>
  </si>
  <si>
    <t>F46JXPJ4F1</t>
  </si>
  <si>
    <t>MOBILECARE - CAGAYAN DE ORO</t>
  </si>
  <si>
    <t>G706499581</t>
  </si>
  <si>
    <t>GCFH8J00Y5D00005LU</t>
  </si>
  <si>
    <t>GCFHKA0BTJH00005LU</t>
  </si>
  <si>
    <t>GCFHDK03H8A00005LU</t>
  </si>
  <si>
    <t>G705009387</t>
  </si>
  <si>
    <t>C02331700HF0W9DA2</t>
  </si>
  <si>
    <t>G699636533</t>
  </si>
  <si>
    <t>F5V7F34HDF</t>
  </si>
  <si>
    <t>G698468205</t>
  </si>
  <si>
    <t>G9PHKAF1BJ200005DP</t>
  </si>
  <si>
    <t>G698119415</t>
  </si>
  <si>
    <t>G9PHK5T06FU00005DP</t>
  </si>
  <si>
    <t>GVCHGT01R0J00005DQ</t>
  </si>
  <si>
    <t>G698013679</t>
  </si>
  <si>
    <t>661-42725</t>
  </si>
  <si>
    <t>Natural Titanium, Back Glass, iPhone 16 Pro</t>
  </si>
  <si>
    <t>HKYHKJ0009R0000TXG</t>
  </si>
  <si>
    <t>DRCH8W004LV0000TXG</t>
  </si>
  <si>
    <t>G682004086</t>
  </si>
  <si>
    <t>CVXMMC7PPX</t>
  </si>
  <si>
    <t>G697964809</t>
  </si>
  <si>
    <t>G9Q5383U1Q221KHAS</t>
  </si>
  <si>
    <t>G9Q5191M3GQ21KHAE</t>
  </si>
  <si>
    <t>G697954397</t>
  </si>
  <si>
    <t>GVH53730KX0PR5PA6</t>
  </si>
  <si>
    <t>GVH53250JY0PR5PAH</t>
  </si>
  <si>
    <t>G9P5382CJN5PR5QAA</t>
  </si>
  <si>
    <t>G697933423</t>
  </si>
  <si>
    <t>GMGHLD008T60000GVK</t>
  </si>
  <si>
    <t>FP1HLR000YX0000G29</t>
  </si>
  <si>
    <t>G697358565</t>
  </si>
  <si>
    <t>D5724NQMCW</t>
  </si>
  <si>
    <t>G697344553</t>
  </si>
  <si>
    <t>GV3N022HPX</t>
  </si>
  <si>
    <t>JPG47FNQKN</t>
  </si>
  <si>
    <t>G697145789</t>
  </si>
  <si>
    <t>D54F3349MR</t>
  </si>
  <si>
    <t>G697100671</t>
  </si>
  <si>
    <t>FNJHGZ80TUX0000882</t>
  </si>
  <si>
    <t>FNJHA4D162V0000882</t>
  </si>
  <si>
    <t>G696731427</t>
  </si>
  <si>
    <t>PP661-28874</t>
  </si>
  <si>
    <t>iPhone 14, Starlight, 256GB, Logic Board Assy Mid System, ROW</t>
  </si>
  <si>
    <t>CW6L7KY96N</t>
  </si>
  <si>
    <t>G696707419</t>
  </si>
  <si>
    <t>G9QHKLT0BUV00004Y9</t>
  </si>
  <si>
    <t>G696478191</t>
  </si>
  <si>
    <t>ZP661-39832</t>
  </si>
  <si>
    <t>Purple, iPad Air 13-inch (M2), 256GB, Wi-Fi, ITP</t>
  </si>
  <si>
    <t>LGQ3JPQ9LW</t>
  </si>
  <si>
    <t>G696333959</t>
  </si>
  <si>
    <t>J9KHJ600VYM0000FD3</t>
  </si>
  <si>
    <t>G696285839</t>
  </si>
  <si>
    <t>TA661-45325</t>
  </si>
  <si>
    <t>512GB, Black Titanium, ROW, iPhone 16 Pro Max, Logic Board Assy Mid Syst</t>
  </si>
  <si>
    <t>M75CX7FFMF</t>
  </si>
  <si>
    <t>CL6WHW2MGC</t>
  </si>
  <si>
    <t>G696272465</t>
  </si>
  <si>
    <t>DXF3PTQH2R</t>
  </si>
  <si>
    <t>K4FVG791XT</t>
  </si>
  <si>
    <t>G696271309</t>
  </si>
  <si>
    <t>G9Q5353UJ8721KHAT</t>
  </si>
  <si>
    <t>GVH524718U71PHLAP</t>
  </si>
  <si>
    <t>G696175693</t>
  </si>
  <si>
    <t>G9P5273QGFK1PHRAH</t>
  </si>
  <si>
    <t>G9N3453YMK51PHRA1</t>
  </si>
  <si>
    <t>G695995647</t>
  </si>
  <si>
    <t>FP1523202DE25YTA8</t>
  </si>
  <si>
    <t>FP1527200C225YTAD</t>
  </si>
  <si>
    <t>GMG426403KF1J87AJ</t>
  </si>
  <si>
    <t>FV951540FAN0W9FLV</t>
  </si>
  <si>
    <t>FV9434200JX0W9GHR</t>
  </si>
  <si>
    <t>G695985261</t>
  </si>
  <si>
    <t>J9024DWL2R</t>
  </si>
  <si>
    <t>KXT37P4V5J</t>
  </si>
  <si>
    <t>G695752909</t>
  </si>
  <si>
    <t>G9Q5353UKME21KHAE</t>
  </si>
  <si>
    <t>G9N4202YKS921KHAE</t>
  </si>
  <si>
    <t>G695745705</t>
  </si>
  <si>
    <t>J5QP9DMXTT</t>
  </si>
  <si>
    <t>LK6K0DM6JF</t>
  </si>
  <si>
    <t>G695629043</t>
  </si>
  <si>
    <t>ZP661-50313</t>
  </si>
  <si>
    <t>iPad Air 13-inch (M3) Wi-Fi, 128GB, Purple, CI/AR, CN</t>
  </si>
  <si>
    <t>GFPNFCC945</t>
  </si>
  <si>
    <t>G679958300</t>
  </si>
  <si>
    <t>JJ9QPQ33TK</t>
  </si>
  <si>
    <t>G695278485</t>
  </si>
  <si>
    <t>G9NHKNU5BZS0000L4B</t>
  </si>
  <si>
    <t>G695243537</t>
  </si>
  <si>
    <t>HQLM49Q7KJ</t>
  </si>
  <si>
    <t>G695160009</t>
  </si>
  <si>
    <t>TA661-45000</t>
  </si>
  <si>
    <t>256GB, White Titanium, ROW, iPhone 16 Pro, Logic Board Assy Mid System</t>
  </si>
  <si>
    <t>D3Q7GX4C07</t>
  </si>
  <si>
    <t>JG34HPDCQP</t>
  </si>
  <si>
    <t>G695159513</t>
  </si>
  <si>
    <t>661-51901</t>
  </si>
  <si>
    <t>Logic Board, 10-core CPU, 10-core GPU, 24GB, 1TB, VN</t>
  </si>
  <si>
    <t>J33HKN008ZR0000PC4</t>
  </si>
  <si>
    <t>FV9HDM00ATM0000PCN</t>
  </si>
  <si>
    <t>G695114275</t>
  </si>
  <si>
    <t>H97QM8P8JKM9</t>
  </si>
  <si>
    <t>G695109669</t>
  </si>
  <si>
    <t>D865456N1Y2PJYRBM</t>
  </si>
  <si>
    <t>D864133A0T9PJYRBD</t>
  </si>
  <si>
    <t>G694895659</t>
  </si>
  <si>
    <t>M4H62GQFQR</t>
  </si>
  <si>
    <t>G694821663</t>
  </si>
  <si>
    <t>D99L9V36HD</t>
  </si>
  <si>
    <t>H17C2TGM7M</t>
  </si>
  <si>
    <t>G694684299</t>
  </si>
  <si>
    <t>DQ60JXTNX3</t>
  </si>
  <si>
    <t>G694086311</t>
  </si>
  <si>
    <t>ZP661-50270</t>
  </si>
  <si>
    <t>iPad Air 11-inch (M3) Wi-Fi, 512GB, Space Gray, CI/AR, CN</t>
  </si>
  <si>
    <t>G91LPJ7XP6</t>
  </si>
  <si>
    <t>MOBILECARE - VERTIS NORTH</t>
  </si>
  <si>
    <t>G714963495</t>
  </si>
  <si>
    <t>F8YHNVC060Z00006U0</t>
  </si>
  <si>
    <t>F8YGY7007QX00006U0</t>
  </si>
  <si>
    <t>G714440775</t>
  </si>
  <si>
    <t>DNMH8001709000048L</t>
  </si>
  <si>
    <t>GCFHM60HQ7V00005LT</t>
  </si>
  <si>
    <t>G713751939</t>
  </si>
  <si>
    <t>FG9HRE001M100006TT</t>
  </si>
  <si>
    <t>F5DGYC00LXZ00006TU</t>
  </si>
  <si>
    <t>G712476623</t>
  </si>
  <si>
    <t>F8Y6162C4K518FKBL</t>
  </si>
  <si>
    <t>FG913060L6F18FN3E</t>
  </si>
  <si>
    <t>G693919660</t>
  </si>
  <si>
    <t>GVH516705RJPR5PAM</t>
  </si>
  <si>
    <t>GVH52360T57PR5PAB</t>
  </si>
  <si>
    <t>G711987609</t>
  </si>
  <si>
    <t>661-53077</t>
  </si>
  <si>
    <t>Display, Standard, Silver, MBP (14-in, M5)</t>
  </si>
  <si>
    <t>F0YHRG002M30000UJX</t>
  </si>
  <si>
    <t>FP1HPS0030A0000UJW</t>
  </si>
  <si>
    <t>G711876615</t>
  </si>
  <si>
    <t>H6GN02K525</t>
  </si>
  <si>
    <t>JKCJ33LWVP</t>
  </si>
  <si>
    <t>G693352408</t>
  </si>
  <si>
    <t>JY4K2NH34L</t>
  </si>
  <si>
    <t>F32P40KXT7</t>
  </si>
  <si>
    <t>G711439829</t>
  </si>
  <si>
    <t>661-37216</t>
  </si>
  <si>
    <t>Camera , iPhone 15 Plus</t>
  </si>
  <si>
    <t>DNM41330JCG23381E</t>
  </si>
  <si>
    <t>DNM34950U4Q233810</t>
  </si>
  <si>
    <t>G711104991</t>
  </si>
  <si>
    <t>F8Y6066C6AQ13XCBM</t>
  </si>
  <si>
    <t>F8Y22210KB713XC8S</t>
  </si>
  <si>
    <t>G710959113</t>
  </si>
  <si>
    <t>G9P5183N87G14YDA8</t>
  </si>
  <si>
    <t>GH324831VXQ14YFA4</t>
  </si>
  <si>
    <t>F8Y6126C1ME20J9BN</t>
  </si>
  <si>
    <t>F5D24770U9J20J89P</t>
  </si>
  <si>
    <t>G710879599</t>
  </si>
  <si>
    <t>FV9529400800W9FLR</t>
  </si>
  <si>
    <t>FV9530200VN0W9FL2</t>
  </si>
  <si>
    <t>G710661993</t>
  </si>
  <si>
    <t>F8YHRND08KU00006TP</t>
  </si>
  <si>
    <t>F5DGZ100MQR00006TQ</t>
  </si>
  <si>
    <t>G710200357</t>
  </si>
  <si>
    <t>F8Y6056CNSD18FKB7</t>
  </si>
  <si>
    <t>F8Y23550LKZ18FLAQ</t>
  </si>
  <si>
    <t>G710069595</t>
  </si>
  <si>
    <t>G9PHHZS044W00005DR</t>
  </si>
  <si>
    <t>G9PHA8U249U00005DR</t>
  </si>
  <si>
    <t>G709999295</t>
  </si>
  <si>
    <t>F8Y6056CCA118FKB9</t>
  </si>
  <si>
    <t>FG915171T8Q18FM4F</t>
  </si>
  <si>
    <t>G709753319</t>
  </si>
  <si>
    <t>F8Y6024C4NWQ4C2BS</t>
  </si>
  <si>
    <t>F5D05041464Q4C09J</t>
  </si>
  <si>
    <t>G9Q5254BA3YMRY1A6</t>
  </si>
  <si>
    <t>G9Q0513WM83MRY1AB</t>
  </si>
  <si>
    <t>G709659973</t>
  </si>
  <si>
    <t>LV60R3D74G</t>
  </si>
  <si>
    <t>H2FV7DW30H</t>
  </si>
  <si>
    <t>G709611445</t>
  </si>
  <si>
    <t>JF70VCF9YY</t>
  </si>
  <si>
    <t>LTFWMTXXW6</t>
  </si>
  <si>
    <t>G709376055</t>
  </si>
  <si>
    <t>Display, Silver, MBP (14-in, M3 Pro/Max, 2023)</t>
  </si>
  <si>
    <t>FP14182010B216RAN</t>
  </si>
  <si>
    <t>FP14151045K216RA6</t>
  </si>
  <si>
    <t>G708585017</t>
  </si>
  <si>
    <t>F8Y5455C7KR13XCBV</t>
  </si>
  <si>
    <t>F5D1493BQ3G13XD95</t>
  </si>
  <si>
    <t>G708393671</t>
  </si>
  <si>
    <t>F8Y6062C0VZ18FKB1</t>
  </si>
  <si>
    <t>FG92515062W18FNAX</t>
  </si>
  <si>
    <t>G690482112</t>
  </si>
  <si>
    <t>F8Y6056CLP818FKBP</t>
  </si>
  <si>
    <t>F8Y13610AKB18FKAT</t>
  </si>
  <si>
    <t>G706738835</t>
  </si>
  <si>
    <t>F8Y5445N16413QFCF</t>
  </si>
  <si>
    <t>F5D34570G1410DLB8</t>
  </si>
  <si>
    <t>G706015333</t>
  </si>
  <si>
    <t>F8Y5507C8B518FKBJ</t>
  </si>
  <si>
    <t>F8Y13870MK818FKA7</t>
  </si>
  <si>
    <t>G686886338</t>
  </si>
  <si>
    <t>PA661-46769</t>
  </si>
  <si>
    <t>Power Adapter with Ethernet, 143W, Pink, PAC</t>
  </si>
  <si>
    <t>C4H445300PV2D62AW</t>
  </si>
  <si>
    <t>G698525703</t>
  </si>
  <si>
    <t>F8Y5284C648M6YND4</t>
  </si>
  <si>
    <t>FG912510604M6YRBE</t>
  </si>
  <si>
    <t>G698314693</t>
  </si>
  <si>
    <t>MN2NL47WW9</t>
  </si>
  <si>
    <t>DC24Q63YXN</t>
  </si>
  <si>
    <t>G698187617</t>
  </si>
  <si>
    <t>JRW6W04T72</t>
  </si>
  <si>
    <t>J90G59W9M0</t>
  </si>
  <si>
    <t>G698187489</t>
  </si>
  <si>
    <t>F954ML6H97</t>
  </si>
  <si>
    <t>FHNWVW2CYJ</t>
  </si>
  <si>
    <t>G698177175</t>
  </si>
  <si>
    <t>F8Y5451C1A718FKBJ</t>
  </si>
  <si>
    <t>FG914971BS118FM4B</t>
  </si>
  <si>
    <t>G698154039</t>
  </si>
  <si>
    <t>FT6VQ7JDQT</t>
  </si>
  <si>
    <t>C59YDYJD4J</t>
  </si>
  <si>
    <t>G698133813</t>
  </si>
  <si>
    <t>GMG54920049NR89BK</t>
  </si>
  <si>
    <t>FP1501600EW249YAS</t>
  </si>
  <si>
    <t>G698127379</t>
  </si>
  <si>
    <t>ZP661-40851</t>
  </si>
  <si>
    <t>Blue, iPad Air 11-inch (M2), 128GB, Cellular, ITP</t>
  </si>
  <si>
    <t>G32KNXT322</t>
  </si>
  <si>
    <t>G698124065</t>
  </si>
  <si>
    <t>G9PHFAU1YYF00005DR</t>
  </si>
  <si>
    <t>GVCHC200G3R00005DS</t>
  </si>
  <si>
    <t>G698054041</t>
  </si>
  <si>
    <t>661-50052</t>
  </si>
  <si>
    <t>Logic Board, M4, 10-core CPU, 10-core GPU, 24 GB, 256 GB</t>
  </si>
  <si>
    <t>C02HEE000FF0000P9H</t>
  </si>
  <si>
    <t>C02HHD000BG0000P9H</t>
  </si>
  <si>
    <t>G698050803</t>
  </si>
  <si>
    <t>C4639Q17VJ</t>
  </si>
  <si>
    <t>HGQJJWTKQP</t>
  </si>
  <si>
    <t>G698049313</t>
  </si>
  <si>
    <t>M9KF9LCD2N</t>
  </si>
  <si>
    <t>CPWR0YQJXD</t>
  </si>
  <si>
    <t>G698039045</t>
  </si>
  <si>
    <t>G9Q5196SM671PHMA6</t>
  </si>
  <si>
    <t>G9Q4295P5P21PHMAN</t>
  </si>
  <si>
    <t>G9Q5231SGEH1PHMAZ</t>
  </si>
  <si>
    <t>G698017069</t>
  </si>
  <si>
    <t>FQW4XTY4H4</t>
  </si>
  <si>
    <t>G698013451</t>
  </si>
  <si>
    <t>G9P5297C7DNPR5QAQ</t>
  </si>
  <si>
    <t>GVH44870AUQPR5PAV</t>
  </si>
  <si>
    <t>G698005453</t>
  </si>
  <si>
    <t>F8Y5417C46XQ4C2B4</t>
  </si>
  <si>
    <t>F5D042512Q2Q49293</t>
  </si>
  <si>
    <t>G681995510</t>
  </si>
  <si>
    <t>G9NHK721KQB00004Y7</t>
  </si>
  <si>
    <t>G9QH9RV4KEV00004Y7</t>
  </si>
  <si>
    <t>G697933631</t>
  </si>
  <si>
    <t>GMG541302841J87A6</t>
  </si>
  <si>
    <t>FP1228103M11J89A3</t>
  </si>
  <si>
    <t>G697774139</t>
  </si>
  <si>
    <t>F8Y5434C6V913RHCZ</t>
  </si>
  <si>
    <t>F5D20754U8W13RK9A</t>
  </si>
  <si>
    <t>G697773405</t>
  </si>
  <si>
    <t>FG9HNR0091M00006TT</t>
  </si>
  <si>
    <t>F5DH0801XVE00006TU</t>
  </si>
  <si>
    <t>G697772421</t>
  </si>
  <si>
    <t>F8Y5445CCTV18FKB1</t>
  </si>
  <si>
    <t>F8Y138628DL18FKAM</t>
  </si>
  <si>
    <t>G697744539</t>
  </si>
  <si>
    <t>KQH7RN7GH6</t>
  </si>
  <si>
    <t>G697738853</t>
  </si>
  <si>
    <t>LX4RDWHJY6</t>
  </si>
  <si>
    <t>G697634177</t>
  </si>
  <si>
    <t>G9PHGLS0M3D00005DR</t>
  </si>
  <si>
    <t>GH3HDE021S600005DS</t>
  </si>
  <si>
    <t>G697633433</t>
  </si>
  <si>
    <t>ZP661-50310</t>
  </si>
  <si>
    <t>iPad Air 13-inch (M3) Wi-Fi, 128GB, Space Gray, CI/AR, CN</t>
  </si>
  <si>
    <t>D4GMV3R4T5</t>
  </si>
  <si>
    <t>D7QG1XC41N</t>
  </si>
  <si>
    <t>G697583905</t>
  </si>
  <si>
    <t>F8Y5447C31N18FKBR</t>
  </si>
  <si>
    <t>F8Y14840JER18FKAA</t>
  </si>
  <si>
    <t>G697579177</t>
  </si>
  <si>
    <t>F8Y5371C3U4Q4C2BP</t>
  </si>
  <si>
    <t>F5D05160AFWQ4C09R</t>
  </si>
  <si>
    <t>G697578989</t>
  </si>
  <si>
    <t>F8Y5452CA4418FKBV</t>
  </si>
  <si>
    <t>FG9141502ZA18FM4K</t>
  </si>
  <si>
    <t>G697575633</t>
  </si>
  <si>
    <t>HWYMH2QQDK</t>
  </si>
  <si>
    <t>G697572589</t>
  </si>
  <si>
    <t>F0WHJU025JG0000JS7</t>
  </si>
  <si>
    <t>DN8HN00BEJP0000RYQ</t>
  </si>
  <si>
    <t>G697572509</t>
  </si>
  <si>
    <t>F8Y5041C2DBM6YNDV</t>
  </si>
  <si>
    <t>FG910960EDZM6YRBR</t>
  </si>
  <si>
    <t>G697571867</t>
  </si>
  <si>
    <t>F8Y5456C1X820J9BP</t>
  </si>
  <si>
    <t>F8Y237603K420JC2P</t>
  </si>
  <si>
    <t>G697571229</t>
  </si>
  <si>
    <t>F8Y5447C7WBQ687BD</t>
  </si>
  <si>
    <t>F8Y04644UBQQ6872X</t>
  </si>
  <si>
    <t>G697510287</t>
  </si>
  <si>
    <t>G9P5347MMHCPQCLAD</t>
  </si>
  <si>
    <t>G9Q2313Y0G5PQCLAY</t>
  </si>
  <si>
    <t>G681603428</t>
  </si>
  <si>
    <t>F8Y5464C4DN217WB2</t>
  </si>
  <si>
    <t>F8Y24412LLV217W7J</t>
  </si>
  <si>
    <t>G681603300</t>
  </si>
  <si>
    <t>PP661-25569</t>
  </si>
  <si>
    <t>Green, 128 GB, iPhone 13, ROW, CI/AR, Philippines</t>
  </si>
  <si>
    <t>LY6GH6P43W</t>
  </si>
  <si>
    <t>YJK7V5Q6NH</t>
  </si>
  <si>
    <t>G697494657</t>
  </si>
  <si>
    <t>DN8HK308QMC0000JS5</t>
  </si>
  <si>
    <t>DN8HMK01CG50000RYQ</t>
  </si>
  <si>
    <t>G697491373</t>
  </si>
  <si>
    <t>F8Y5387C95113XCBF</t>
  </si>
  <si>
    <t>F8Y13761CFQ13XC8H</t>
  </si>
  <si>
    <t>G697486065</t>
  </si>
  <si>
    <t>F8Y5431C6SUQ687BJ</t>
  </si>
  <si>
    <t>FG91264018NQ689AK</t>
  </si>
  <si>
    <t>G697482885</t>
  </si>
  <si>
    <t>ZP661-25147</t>
  </si>
  <si>
    <t>Purple, 256 GB, iPad Air 5th generation, Wi-Fi, ITP</t>
  </si>
  <si>
    <t>LF24YF4YXY</t>
  </si>
  <si>
    <t>G697479635</t>
  </si>
  <si>
    <t>GMG544501RLNR89BQ</t>
  </si>
  <si>
    <t>FP1437600W5249XAL</t>
  </si>
  <si>
    <t>G697476987</t>
  </si>
  <si>
    <t>F8Y5367C2WK13RHCD</t>
  </si>
  <si>
    <t>F5D21650U9B13RKA3</t>
  </si>
  <si>
    <t>G697476687</t>
  </si>
  <si>
    <t>F8YHMFC0SPY00006TP</t>
  </si>
  <si>
    <t>F8YH1902VKR00006TP</t>
  </si>
  <si>
    <t>G697476357</t>
  </si>
  <si>
    <t>F8Y5464C0GH217WB2</t>
  </si>
  <si>
    <t>F5D23149BNJ21PK79</t>
  </si>
  <si>
    <t>G697474429</t>
  </si>
  <si>
    <t>GMG5445008BNR89BH</t>
  </si>
  <si>
    <t>FP11071025GP3WVAA</t>
  </si>
  <si>
    <t>G697452977</t>
  </si>
  <si>
    <t>661-41639</t>
  </si>
  <si>
    <t>English, ANSI, White, Magic Keyboard for iPad Pro 13-inch (M4)</t>
  </si>
  <si>
    <t>VY67CGFWDW</t>
  </si>
  <si>
    <t>D1202NGCX9</t>
  </si>
  <si>
    <t>G697402073</t>
  </si>
  <si>
    <t>DNL5223079E1986BQ</t>
  </si>
  <si>
    <t>DNL3286077E1986BF</t>
  </si>
  <si>
    <t>G681520030</t>
  </si>
  <si>
    <t>661-36909</t>
  </si>
  <si>
    <t>Natural Titanium, Back Glass, iPhone 15 Pro Max</t>
  </si>
  <si>
    <t>DRCHM3003ZA000023W</t>
  </si>
  <si>
    <t>DR8H0B000XM000023W</t>
  </si>
  <si>
    <t>G697372937</t>
  </si>
  <si>
    <t>M57M235M00</t>
  </si>
  <si>
    <t>FJ0W34RXYQ</t>
  </si>
  <si>
    <t>G697365841</t>
  </si>
  <si>
    <t>K27HH2K9R5</t>
  </si>
  <si>
    <t>G697363155</t>
  </si>
  <si>
    <t>F8Y5273CZ9B02JNBA</t>
  </si>
  <si>
    <t>F8Y051346KP02JN7T</t>
  </si>
  <si>
    <t>G697358075</t>
  </si>
  <si>
    <t>661-56051</t>
  </si>
  <si>
    <t>Front Camera, iPhone 17 Pro Max</t>
  </si>
  <si>
    <t>FNJHMGV0D6B0000QTV</t>
  </si>
  <si>
    <t>DTTHL001LQ50000QTV</t>
  </si>
  <si>
    <t>G697283869</t>
  </si>
  <si>
    <t>C02HL2000HE0000P11</t>
  </si>
  <si>
    <t>J33HGX016GX0000PNL</t>
  </si>
  <si>
    <t>G697280115</t>
  </si>
  <si>
    <t>HN6JY61FJJ</t>
  </si>
  <si>
    <t>LVJ6GDXJ0L</t>
  </si>
  <si>
    <t>G697278281</t>
  </si>
  <si>
    <t>F8Y5431C32TQ687BS</t>
  </si>
  <si>
    <t>F8Y102732Z1Q6872T</t>
  </si>
  <si>
    <t>G697262773</t>
  </si>
  <si>
    <t>G9P5352M641PQCLAC</t>
  </si>
  <si>
    <t>G9N2077NCCSPQCLAQ</t>
  </si>
  <si>
    <t>G697238303</t>
  </si>
  <si>
    <t>F8Y5225C5PU02JNBS</t>
  </si>
  <si>
    <t>G697157795</t>
  </si>
  <si>
    <t>L4Y49KM67P</t>
  </si>
  <si>
    <t>G697152653</t>
  </si>
  <si>
    <t>GMGHJW0008T0000HX1</t>
  </si>
  <si>
    <t>FP1HEQ003XD0000HX0</t>
  </si>
  <si>
    <t>G681304392</t>
  </si>
  <si>
    <t>J0MHMA000E000006SP</t>
  </si>
  <si>
    <t>DRCH4800G0D00006SP</t>
  </si>
  <si>
    <t>F8YHM9C004F00006TW</t>
  </si>
  <si>
    <t>FG9H4Z00D9H00006TZ</t>
  </si>
  <si>
    <t>G697147735</t>
  </si>
  <si>
    <t>TA661-35563</t>
  </si>
  <si>
    <t>Blue, iPhone 15 Pro, 512GB, ROW, CI/AR, Taiwan</t>
  </si>
  <si>
    <t>J25QJJYDH9</t>
  </si>
  <si>
    <t>GXTYYD2DLP</t>
  </si>
  <si>
    <t>G697126321</t>
  </si>
  <si>
    <t>FV9433203EX0W9GH3</t>
  </si>
  <si>
    <t>FV95372002R0W9FLR</t>
  </si>
  <si>
    <t>G697123065</t>
  </si>
  <si>
    <t>F8Y5447C37D18FKBG</t>
  </si>
  <si>
    <t>FG94123070F18FNBB</t>
  </si>
  <si>
    <t>G697117267</t>
  </si>
  <si>
    <t>G12G0QY610</t>
  </si>
  <si>
    <t>G696961261</t>
  </si>
  <si>
    <t>DYXK4KY0T7</t>
  </si>
  <si>
    <t>G696870427</t>
  </si>
  <si>
    <t>GVCHJM017DD0000MUZ</t>
  </si>
  <si>
    <t>GH3HJZ00LC10000MUZ</t>
  </si>
  <si>
    <t>G696860843</t>
  </si>
  <si>
    <t>LYQWMJ7T6H</t>
  </si>
  <si>
    <t>G696833787</t>
  </si>
  <si>
    <t>HHQ492TVG3</t>
  </si>
  <si>
    <t>G696821961</t>
  </si>
  <si>
    <t>F8Y5286C0GP13RHCF</t>
  </si>
  <si>
    <t>F5D1464KNYM13RJ9E</t>
  </si>
  <si>
    <t>G696808727</t>
  </si>
  <si>
    <t>G9PHKDT1YQL00005DP</t>
  </si>
  <si>
    <t>GVCHEE00YW300005DQ</t>
  </si>
  <si>
    <t>G696752851</t>
  </si>
  <si>
    <t>G9PHKJG1T9H00005DP</t>
  </si>
  <si>
    <t>GVCH9R0552F00005DQ</t>
  </si>
  <si>
    <t>G696737543</t>
  </si>
  <si>
    <t>923-08211</t>
  </si>
  <si>
    <t>Top Speaker, iPhone 14</t>
  </si>
  <si>
    <t>CTH44711RL11JJJAE</t>
  </si>
  <si>
    <t>CTH243623RU1JJJ6G</t>
  </si>
  <si>
    <t>F8Y5384A759217XB2</t>
  </si>
  <si>
    <t>F8Y24270GQJ231L7K</t>
  </si>
  <si>
    <t>G696733041</t>
  </si>
  <si>
    <t>G9P5342R56T1PHPAM</t>
  </si>
  <si>
    <t>G9P3455TH4H1PHPAJ</t>
  </si>
  <si>
    <t>G696639211</t>
  </si>
  <si>
    <t>G9P5242CE9LPR5QAH</t>
  </si>
  <si>
    <t>GVH44930HKDPR5PAT</t>
  </si>
  <si>
    <t>G696638907</t>
  </si>
  <si>
    <t>KQDQMW6PT4</t>
  </si>
  <si>
    <t>D2TQXGXN69</t>
  </si>
  <si>
    <t>G696637727</t>
  </si>
  <si>
    <t>F2VJPD6T2G</t>
  </si>
  <si>
    <t>D44JY9J7CR</t>
  </si>
  <si>
    <t>G696629579</t>
  </si>
  <si>
    <t>FMXHMD000VL00006GW</t>
  </si>
  <si>
    <t>F0YHAT0045H00006GT</t>
  </si>
  <si>
    <t>G696625377</t>
  </si>
  <si>
    <t>G9PHL1T04XS00005DP</t>
  </si>
  <si>
    <t>GVCHG0003WU00005DQ</t>
  </si>
  <si>
    <t>G696527853</t>
  </si>
  <si>
    <t>K46DRD26GN</t>
  </si>
  <si>
    <t>MHF24XGQ4G</t>
  </si>
  <si>
    <t>G696521945</t>
  </si>
  <si>
    <t>PA661-32564</t>
  </si>
  <si>
    <t>SVC,STUDIO BUDS(VN)LEFT,BLACK,CI/AR</t>
  </si>
  <si>
    <t>HNYR208617F4</t>
  </si>
  <si>
    <t>FL6GJ4P117F4</t>
  </si>
  <si>
    <t>PA661-32567</t>
  </si>
  <si>
    <t>SVC,STUDIO BUDS(VN)RIGHT,BLACK,CI/AR</t>
  </si>
  <si>
    <t>HNXNGC7717F5</t>
  </si>
  <si>
    <t>FL6GKP8K17F5</t>
  </si>
  <si>
    <t>G696479105</t>
  </si>
  <si>
    <t>K54P46567R</t>
  </si>
  <si>
    <t>DVFW79J2WK</t>
  </si>
  <si>
    <t>G696388853</t>
  </si>
  <si>
    <t>F9Y5306C4H914LWCC</t>
  </si>
  <si>
    <t>F8Y13830SBR14LW8X</t>
  </si>
  <si>
    <t>G696375159</t>
  </si>
  <si>
    <t>C02245600Z00W9GAR</t>
  </si>
  <si>
    <t>FV951830BAV0W9GLH</t>
  </si>
  <si>
    <t>G696373295</t>
  </si>
  <si>
    <t>J33HNG0003300003P0</t>
  </si>
  <si>
    <t>FV9HKN0043Z0000PC8</t>
  </si>
  <si>
    <t>G696331925</t>
  </si>
  <si>
    <t>FP1527402F625YVAU</t>
  </si>
  <si>
    <t>FP14024010L25YVAC</t>
  </si>
  <si>
    <t>G696214635</t>
  </si>
  <si>
    <t>G9Q5375UCH221KHA3</t>
  </si>
  <si>
    <t>GVH416210P91PHLAD</t>
  </si>
  <si>
    <t>G696209181</t>
  </si>
  <si>
    <t>DJ09X9TF97</t>
  </si>
  <si>
    <t>MWXH2YM951</t>
  </si>
  <si>
    <t>G696182693</t>
  </si>
  <si>
    <t>M26FV6M2TR</t>
  </si>
  <si>
    <t>F74CXRLXCH</t>
  </si>
  <si>
    <t>G696173061</t>
  </si>
  <si>
    <t>FG9HNR008DQ00006TT</t>
  </si>
  <si>
    <t>FG9GYG0076500006TV</t>
  </si>
  <si>
    <t>G696121547</t>
  </si>
  <si>
    <t>CQYG4TGWF6</t>
  </si>
  <si>
    <t>F9KG537LLK</t>
  </si>
  <si>
    <t>G696072695</t>
  </si>
  <si>
    <t>G9Q5435X8111502AT</t>
  </si>
  <si>
    <t>GVC230114391503AD</t>
  </si>
  <si>
    <t>G696066505</t>
  </si>
  <si>
    <t>ZP661-40059</t>
  </si>
  <si>
    <t>Purple, iPad Air 11-inch (M2), 256GB, Wi-Fi, ITP</t>
  </si>
  <si>
    <t>KLWQ239CMW</t>
  </si>
  <si>
    <t>FYHK9DPQJ4</t>
  </si>
  <si>
    <t>G696000419</t>
  </si>
  <si>
    <t>HX4X52X2TC</t>
  </si>
  <si>
    <t>M4Y79NNXKN</t>
  </si>
  <si>
    <t>G695971085</t>
  </si>
  <si>
    <t>HC4JF7Q6LK</t>
  </si>
  <si>
    <t>G4KJH0TX1F</t>
  </si>
  <si>
    <t>G695962783</t>
  </si>
  <si>
    <t>JP73DGJWNV</t>
  </si>
  <si>
    <t>G695796977</t>
  </si>
  <si>
    <t>J6RGXDQ30Y</t>
  </si>
  <si>
    <t>G695749829</t>
  </si>
  <si>
    <t>DNP7Y99MC4</t>
  </si>
  <si>
    <t>KG2WT2V0V4</t>
  </si>
  <si>
    <t>G695666397</t>
  </si>
  <si>
    <t>HV9140VWM0</t>
  </si>
  <si>
    <t>G695557269</t>
  </si>
  <si>
    <t>JL4PMQYKG9</t>
  </si>
  <si>
    <t>G695555483</t>
  </si>
  <si>
    <t>G47G9TYQFQ</t>
  </si>
  <si>
    <t>G695520115</t>
  </si>
  <si>
    <t>GMGHLK001NK0000GVK</t>
  </si>
  <si>
    <t>GMGHFP003JM0000GVK</t>
  </si>
  <si>
    <t>G695501593</t>
  </si>
  <si>
    <t>L2G2M7H74G</t>
  </si>
  <si>
    <t>G679699296</t>
  </si>
  <si>
    <t>GPH2X07FXP</t>
  </si>
  <si>
    <t>G679699066</t>
  </si>
  <si>
    <t>FV95267059K0W9FL4</t>
  </si>
  <si>
    <t>FV9517403UF0W9FLN</t>
  </si>
  <si>
    <t>G695295127</t>
  </si>
  <si>
    <t>M2NPM6W0XR</t>
  </si>
  <si>
    <t>G695257041</t>
  </si>
  <si>
    <t>ZP661-29107</t>
  </si>
  <si>
    <t>Space Gray, iPad Pro 12.9-inch 6th gen, 512GB, Wi-Fi, ITP</t>
  </si>
  <si>
    <t>CW0Y00233H</t>
  </si>
  <si>
    <t>G695054817</t>
  </si>
  <si>
    <t>M7X360VWW5</t>
  </si>
  <si>
    <t>G694938311</t>
  </si>
  <si>
    <t>L70PX2NVG6</t>
  </si>
  <si>
    <t>G694930829</t>
  </si>
  <si>
    <t>PP661-13322</t>
  </si>
  <si>
    <t>128GB, White, ROW, iPhone 11, CI/AR-PPN</t>
  </si>
  <si>
    <t>J9LPQ09RN73F</t>
  </si>
  <si>
    <t>G694893715</t>
  </si>
  <si>
    <t>K2WCQ2WJNR</t>
  </si>
  <si>
    <t>G694719413</t>
  </si>
  <si>
    <t>661-50103</t>
  </si>
  <si>
    <t>GMGHLG002C30000GVK</t>
  </si>
  <si>
    <t>FP1HG4005BM0000G29</t>
  </si>
  <si>
    <t>C02HMM000BT0000P12</t>
  </si>
  <si>
    <t>C02HGU0053Y0000PNB</t>
  </si>
  <si>
    <t>G694500299</t>
  </si>
  <si>
    <t>DKYXK9MP4J</t>
  </si>
  <si>
    <t>G694284115</t>
  </si>
  <si>
    <t>TA661-45264</t>
  </si>
  <si>
    <t>256GB, Natural Titanium, ROW, iPhone 16 Pro Max, CI/AR</t>
  </si>
  <si>
    <t>FYVHNXXQJR</t>
  </si>
  <si>
    <t>MOBILECARE - LA UNION</t>
  </si>
  <si>
    <t>G713815071</t>
  </si>
  <si>
    <t>J3160V7K4D</t>
  </si>
  <si>
    <t>DHF9MTXJNW</t>
  </si>
  <si>
    <t>G712255065</t>
  </si>
  <si>
    <t>ZP923-13786</t>
  </si>
  <si>
    <t>Cosmic Orange, Enclosure, iPhone 17 Pro Max, ROW</t>
  </si>
  <si>
    <t>F18HNZ00V2B00014XQ</t>
  </si>
  <si>
    <t>JGFT7WQNP9</t>
  </si>
  <si>
    <t>661-56054</t>
  </si>
  <si>
    <t>Cosmic Orange, Back Glass, iPhone 17 Pro Max</t>
  </si>
  <si>
    <t>G0LHN5003W900016WS</t>
  </si>
  <si>
    <t>G711666811</t>
  </si>
  <si>
    <t>LY0631K2K7</t>
  </si>
  <si>
    <t>K1759P5X6L</t>
  </si>
  <si>
    <t>G702528797</t>
  </si>
  <si>
    <t>661-35705</t>
  </si>
  <si>
    <t>F0Y415501062526AW</t>
  </si>
  <si>
    <t>DCN315502XLPP5DA8</t>
  </si>
  <si>
    <t>Z661-35709</t>
  </si>
  <si>
    <t>Top Case with Battery, Silver, ISO, English International</t>
  </si>
  <si>
    <t>F8Y3425N1TQQ1LTAK</t>
  </si>
  <si>
    <t>F8Y3305H7Z5Q1LTA2</t>
  </si>
  <si>
    <t>661-35709</t>
  </si>
  <si>
    <t>Top Case with Battery, ANSI, Silver</t>
  </si>
  <si>
    <t>F8Y5497N0UFQ1LTBU</t>
  </si>
  <si>
    <t>G702105887</t>
  </si>
  <si>
    <t>H0XJVQ2JYC</t>
  </si>
  <si>
    <t>HTH9QC6K20</t>
  </si>
  <si>
    <t>G701665891</t>
  </si>
  <si>
    <t>MHQQQL4VH3</t>
  </si>
  <si>
    <t>H0XQGM7XLL</t>
  </si>
  <si>
    <t>G698172759</t>
  </si>
  <si>
    <t>F8Y5375C46P02JNBZ</t>
  </si>
  <si>
    <t>F8Y0423E30602JN74</t>
  </si>
  <si>
    <t>661-17940</t>
  </si>
  <si>
    <t>Display, iPhone 12 mini</t>
  </si>
  <si>
    <t>G9Q5171BA29LQHJAU</t>
  </si>
  <si>
    <t>G9N0402F197LQHJA6</t>
  </si>
  <si>
    <t>G698137439</t>
  </si>
  <si>
    <t>D9QDQW9QC7</t>
  </si>
  <si>
    <t>GJWMNQJ57L</t>
  </si>
  <si>
    <t>G698013673</t>
  </si>
  <si>
    <t>FN60PFC6XX</t>
  </si>
  <si>
    <t>H7RLX2G203</t>
  </si>
  <si>
    <t>G698001433</t>
  </si>
  <si>
    <t>H6R9W7DX2J</t>
  </si>
  <si>
    <t>CP23P9VP22</t>
  </si>
  <si>
    <t>G697913707</t>
  </si>
  <si>
    <t>GXKWGJ6XV5</t>
  </si>
  <si>
    <t>GV14QYJMY9</t>
  </si>
  <si>
    <t>G697891765</t>
  </si>
  <si>
    <t>MD6V6Y9VW5</t>
  </si>
  <si>
    <t>GQPC4DN7F5</t>
  </si>
  <si>
    <t>G697767505</t>
  </si>
  <si>
    <t>T77PF97N3J</t>
  </si>
  <si>
    <t>C1F2TN26LC</t>
  </si>
  <si>
    <t>G697756773</t>
  </si>
  <si>
    <t>F8Y5391N0XR10X2C7</t>
  </si>
  <si>
    <t>F5D44922GUD10DLDY</t>
  </si>
  <si>
    <t>G697727175</t>
  </si>
  <si>
    <t>FYG2CV4Q31</t>
  </si>
  <si>
    <t>HHHH77M93L</t>
  </si>
  <si>
    <t>G697610067</t>
  </si>
  <si>
    <t>661-50110</t>
  </si>
  <si>
    <t>F8YHNDN06BU0000G42</t>
  </si>
  <si>
    <t>F5DHDJ003DJ0000G45</t>
  </si>
  <si>
    <t>G697596921</t>
  </si>
  <si>
    <t>MNP6XTHJYN</t>
  </si>
  <si>
    <t>G40D413P9Q</t>
  </si>
  <si>
    <t>G697578913</t>
  </si>
  <si>
    <t>LGXF7JNH2L</t>
  </si>
  <si>
    <t>GN76N72J4K</t>
  </si>
  <si>
    <t>G697569393</t>
  </si>
  <si>
    <t>GG33LJ63LX</t>
  </si>
  <si>
    <t>F492JJ46GL</t>
  </si>
  <si>
    <t>G697501621</t>
  </si>
  <si>
    <t>D0Q0Y3MK6K</t>
  </si>
  <si>
    <t>J56HN500CNA00019MT</t>
  </si>
  <si>
    <t>G697476535</t>
  </si>
  <si>
    <t>G9PHKYT0QXB00005DP</t>
  </si>
  <si>
    <t>GVCH7R01VXN00005DQ</t>
  </si>
  <si>
    <t>G697450939</t>
  </si>
  <si>
    <t>JNXR29JTF3</t>
  </si>
  <si>
    <t>D796R6XJJ3</t>
  </si>
  <si>
    <t>G697360987</t>
  </si>
  <si>
    <t>ZP661-39194</t>
  </si>
  <si>
    <t>Space Black, iPad Pro 11-inch (M4), 512GB, Wi-Fi, ITP</t>
  </si>
  <si>
    <t>K6H45QYN60</t>
  </si>
  <si>
    <t>LJ4FH3K99G</t>
  </si>
  <si>
    <t>G697341959</t>
  </si>
  <si>
    <t>G0NHKH0018S0000HKZ</t>
  </si>
  <si>
    <t>FNJHD8H1KUU0000BXF</t>
  </si>
  <si>
    <t>G697266963</t>
  </si>
  <si>
    <t>G0NHKJ00F9R0000HKZ</t>
  </si>
  <si>
    <t>FNJHB7B0Y1X0000BXF</t>
  </si>
  <si>
    <t>G696937697</t>
  </si>
  <si>
    <t>FFQW2G435H</t>
  </si>
  <si>
    <t>J6XW7WXPP9</t>
  </si>
  <si>
    <t>G696827885</t>
  </si>
  <si>
    <t>H237PD7LJH</t>
  </si>
  <si>
    <t>HYY3WDD6JN</t>
  </si>
  <si>
    <t>G696820853</t>
  </si>
  <si>
    <t>G72FNJ00LH</t>
  </si>
  <si>
    <t>GJGM9JX0FR</t>
  </si>
  <si>
    <t>G696738473</t>
  </si>
  <si>
    <t>MX671Y60CJ</t>
  </si>
  <si>
    <t>LM219QH9PV</t>
  </si>
  <si>
    <t>G696632065</t>
  </si>
  <si>
    <t>G9PHKLF207M00005DP</t>
  </si>
  <si>
    <t>GVCHAQ03LL500005DQ</t>
  </si>
  <si>
    <t>G696495351</t>
  </si>
  <si>
    <t>661-44796</t>
  </si>
  <si>
    <t>Battery, iPhone 16</t>
  </si>
  <si>
    <t>FG9HLZ007DD0000R3T</t>
  </si>
  <si>
    <t>FG9HEB00E150000R3T</t>
  </si>
  <si>
    <t>G696384967</t>
  </si>
  <si>
    <t>GTCGX2WKD6</t>
  </si>
  <si>
    <t>HGMHWFM7F9</t>
  </si>
  <si>
    <t>G696377879</t>
  </si>
  <si>
    <t>GCJXJFQ99H</t>
  </si>
  <si>
    <t>HC90TH74WT</t>
  </si>
  <si>
    <t>G696365167</t>
  </si>
  <si>
    <t>D9RKXYGPK7</t>
  </si>
  <si>
    <t>H2MCQK2Q6V</t>
  </si>
  <si>
    <t>G696340807</t>
  </si>
  <si>
    <t>FV923971Q741WP1BY</t>
  </si>
  <si>
    <t>HXK442301TG1N08FA</t>
  </si>
  <si>
    <t>G696296881</t>
  </si>
  <si>
    <t>GCFH8A005TS00005LU</t>
  </si>
  <si>
    <t>GCFH98098M5000049L</t>
  </si>
  <si>
    <t>G696099181</t>
  </si>
  <si>
    <t>F8Y5446C1EB18FKB0</t>
  </si>
  <si>
    <t>FG922140QB318FMAJ</t>
  </si>
  <si>
    <t>G696081029</t>
  </si>
  <si>
    <t>H9M45QHXH3</t>
  </si>
  <si>
    <t>GCYK7HWR4Q</t>
  </si>
  <si>
    <t>G695879097</t>
  </si>
  <si>
    <t>J9H7RY229Y</t>
  </si>
  <si>
    <t>MDJ7PQ7T1D</t>
  </si>
  <si>
    <t>G695834829</t>
  </si>
  <si>
    <t>K1VFC6XP7V</t>
  </si>
  <si>
    <t>DWPM9QT0XF</t>
  </si>
  <si>
    <t>G695722669</t>
  </si>
  <si>
    <t>KTFGFVMWFR</t>
  </si>
  <si>
    <t>JH1XTXQ0CC</t>
  </si>
  <si>
    <t>H6W6PXL7G1</t>
  </si>
  <si>
    <t>G695662981</t>
  </si>
  <si>
    <t>G2V4T930GH</t>
  </si>
  <si>
    <t>DJK03MYG5V</t>
  </si>
  <si>
    <t>G695659771</t>
  </si>
  <si>
    <t>ZP661-42977</t>
  </si>
  <si>
    <t>Purple, 256GB, iPad mini, Wi-Fi, CI/AR, ITP</t>
  </si>
  <si>
    <t>L17H7QHQ06</t>
  </si>
  <si>
    <t>F7R06G16PM</t>
  </si>
  <si>
    <t>G680099824</t>
  </si>
  <si>
    <t>DNM537624H31QDC7Y</t>
  </si>
  <si>
    <t>DNM53243KZ71QDC1X</t>
  </si>
  <si>
    <t>DN83436CR941MCN52</t>
  </si>
  <si>
    <t>G695504125</t>
  </si>
  <si>
    <t>DJNYWRCXPX</t>
  </si>
  <si>
    <t>Q04QKPJQW7</t>
  </si>
  <si>
    <t>G695250525</t>
  </si>
  <si>
    <t>MC27L4QMXQ</t>
  </si>
  <si>
    <t>XHKGVGPC6J</t>
  </si>
  <si>
    <t>LT20J3DG75</t>
  </si>
  <si>
    <t>G695162237</t>
  </si>
  <si>
    <t>KXQ4YPYHKF</t>
  </si>
  <si>
    <t>DD4M7MDJJV</t>
  </si>
  <si>
    <t>G695046293</t>
  </si>
  <si>
    <t>FKY2M5GFCG</t>
  </si>
  <si>
    <t>H409CQQ3KD</t>
  </si>
  <si>
    <t>G694932737</t>
  </si>
  <si>
    <t>C02226303F70W9CA7</t>
  </si>
  <si>
    <t>C022313040U0W9CAA</t>
  </si>
  <si>
    <t>G694816895</t>
  </si>
  <si>
    <t>CK9FPFD906</t>
  </si>
  <si>
    <t>X6JJDXVYMH</t>
  </si>
  <si>
    <t>G694776985</t>
  </si>
  <si>
    <t>FV95296004T0W9FL8</t>
  </si>
  <si>
    <t>FV951530CT00W9FL4</t>
  </si>
  <si>
    <t>MOBILECARE - APP MAGNOLIA</t>
  </si>
  <si>
    <t>G694763232</t>
  </si>
  <si>
    <t>F8YHN1C12TE00006TW</t>
  </si>
  <si>
    <t>FG9GWK0094800006TZ</t>
  </si>
  <si>
    <t>G701280855</t>
  </si>
  <si>
    <t>CWT232M2P3</t>
  </si>
  <si>
    <t>K17LTDXC1W</t>
  </si>
  <si>
    <t>G700486593</t>
  </si>
  <si>
    <t>G9P5224LD3MPQCKA0</t>
  </si>
  <si>
    <t>G9N2236WGDBPQCKAL</t>
  </si>
  <si>
    <t>G698156495</t>
  </si>
  <si>
    <t>G9P5386M3JSPQCLA3</t>
  </si>
  <si>
    <t>G9P2105PPKYPQCLA4</t>
  </si>
  <si>
    <t>G681603032</t>
  </si>
  <si>
    <t>G9P5267Q0521PHRAB</t>
  </si>
  <si>
    <t>G9P3433Q9P51PHRAW</t>
  </si>
  <si>
    <t>G681593686</t>
  </si>
  <si>
    <t>F8Y5466C5Y420J9BH</t>
  </si>
  <si>
    <t>F5D23625T3L20J890</t>
  </si>
  <si>
    <t>G681592636</t>
  </si>
  <si>
    <t>GMG54450006NR89AF</t>
  </si>
  <si>
    <t>GMG130607EUNR8DAY</t>
  </si>
  <si>
    <t>G697488087</t>
  </si>
  <si>
    <t>F8Y5514C1EF231LBF</t>
  </si>
  <si>
    <t>F8Y24740Q9D217X7N</t>
  </si>
  <si>
    <t>G697444009</t>
  </si>
  <si>
    <t>G9P5356LMJ0PQCKAQ</t>
  </si>
  <si>
    <t>G9P2053WLM1PQCKA0</t>
  </si>
  <si>
    <t>G696829281</t>
  </si>
  <si>
    <t>FYJTG6YXHM</t>
  </si>
  <si>
    <t>HF562Y6X6X</t>
  </si>
  <si>
    <t>G696742629</t>
  </si>
  <si>
    <t>F8Y5433C70GM6YNDM</t>
  </si>
  <si>
    <t>F8Y13970NM0M6YNBS</t>
  </si>
  <si>
    <t>G696641139</t>
  </si>
  <si>
    <t>G9NHKFU05J40000L4B</t>
  </si>
  <si>
    <t>G9NHM9J37T30000L4B</t>
  </si>
  <si>
    <t>G696641097</t>
  </si>
  <si>
    <t>G9PHKFG0RY200005DP</t>
  </si>
  <si>
    <t>G9PHCPV3HVD00005DP</t>
  </si>
  <si>
    <t>661-49557</t>
  </si>
  <si>
    <t>Desert, Back Glass, iPhone 16 Pro</t>
  </si>
  <si>
    <t>HKYHKL001510000TXF</t>
  </si>
  <si>
    <t>DRCHE1006T70000TXF</t>
  </si>
  <si>
    <t>G696604803</t>
  </si>
  <si>
    <t>G9P5385MKH1PQCLAG</t>
  </si>
  <si>
    <t>G9N21522HH0PQCLAY</t>
  </si>
  <si>
    <t>G696531665</t>
  </si>
  <si>
    <t>G9NHGYL26W400004Y9</t>
  </si>
  <si>
    <t>G9QH9ZK5DHF00004Y9</t>
  </si>
  <si>
    <t>G696397909</t>
  </si>
  <si>
    <t>J9KHJX00GXR0000FD3</t>
  </si>
  <si>
    <t>FNJH9KK003R0000882</t>
  </si>
  <si>
    <t>G696395927</t>
  </si>
  <si>
    <t>F8Y5441C3FJ13XCBR</t>
  </si>
  <si>
    <t>F5D1465HET513XD9B</t>
  </si>
  <si>
    <t>G696122229</t>
  </si>
  <si>
    <t>F8Y5431C32NQ687BX</t>
  </si>
  <si>
    <t>FG905252FCPQ6893J</t>
  </si>
  <si>
    <t>G680393480</t>
  </si>
  <si>
    <t>661-30398</t>
  </si>
  <si>
    <t>Camera, iPhone 14 Pro Max</t>
  </si>
  <si>
    <t>DN85262AHRK1CDK1Z</t>
  </si>
  <si>
    <t>GCF2432E8QQ1CY03L</t>
  </si>
  <si>
    <t>F8Y5441C07F20J9BV</t>
  </si>
  <si>
    <t>F5D2424G17R20J89K</t>
  </si>
  <si>
    <t>G695530843</t>
  </si>
  <si>
    <t>C2QLYVV97Q</t>
  </si>
  <si>
    <t>DD70G4G14G</t>
  </si>
  <si>
    <t>G695061293</t>
  </si>
  <si>
    <t>C023476000L23NKA6</t>
  </si>
  <si>
    <t>FV9440701P623NKA6</t>
  </si>
  <si>
    <t>FMX534400SD278XA8</t>
  </si>
  <si>
    <t>FMX43810JDT278YA8</t>
  </si>
  <si>
    <t>G694909903</t>
  </si>
  <si>
    <t>FV94344063023NKAR</t>
  </si>
  <si>
    <t>FV9440701RM23NKAK</t>
  </si>
  <si>
    <t>FMX534303P8278XAL</t>
  </si>
  <si>
    <t>F0Y439501JH278VAA</t>
  </si>
  <si>
    <t>MOBILECARE - NORTHEAST SQUARE</t>
  </si>
  <si>
    <t>G701889639</t>
  </si>
  <si>
    <t>F8Y306307ZPM6YNBS</t>
  </si>
  <si>
    <t>FG99441CQJCM6YQ8M</t>
  </si>
  <si>
    <t>G700224481</t>
  </si>
  <si>
    <t>ZP661-25143</t>
  </si>
  <si>
    <t>Space Gray, 256 GB, iPad Air 5th generation, Wi-Fi, ITP</t>
  </si>
  <si>
    <t>KT2D9600J7</t>
  </si>
  <si>
    <t>MX6794JFC7</t>
  </si>
  <si>
    <t>G700164741</t>
  </si>
  <si>
    <t>J2VV9N3XM7</t>
  </si>
  <si>
    <t>CNFYPM4XL7</t>
  </si>
  <si>
    <t>G699582141</t>
  </si>
  <si>
    <t>F0Y5431011E1J87AU</t>
  </si>
  <si>
    <t>FP15381014N25YVAB</t>
  </si>
  <si>
    <t>G699109877</t>
  </si>
  <si>
    <t>661-25890</t>
  </si>
  <si>
    <t>Battery, iPhone SE 3rd generation</t>
  </si>
  <si>
    <t>F5D5426055E1KLFB0</t>
  </si>
  <si>
    <t>F5D2117B9NS1KLF8R</t>
  </si>
  <si>
    <t>G698187663</t>
  </si>
  <si>
    <t>GMG5413010E1J87AM</t>
  </si>
  <si>
    <t>FP1527402L725YVAC</t>
  </si>
  <si>
    <t>G682023792</t>
  </si>
  <si>
    <t>KD4X1TJL29</t>
  </si>
  <si>
    <t>KV4C72XH44</t>
  </si>
  <si>
    <t>G698019457</t>
  </si>
  <si>
    <t>K4M0XHFM4Q</t>
  </si>
  <si>
    <t>LN2Q0TCY9X</t>
  </si>
  <si>
    <t>G697932853</t>
  </si>
  <si>
    <t>F8Y5391N0WL10X2CF</t>
  </si>
  <si>
    <t>F8Y34320D9S10X2BE</t>
  </si>
  <si>
    <t>G697757405</t>
  </si>
  <si>
    <t>F8Y5135C22TMD2CB7</t>
  </si>
  <si>
    <t>F5D944742HLMD287H</t>
  </si>
  <si>
    <t>G697749793</t>
  </si>
  <si>
    <t>G9P5351MD3UPQCLAG</t>
  </si>
  <si>
    <t>G9P1503UD90PQCLAU</t>
  </si>
  <si>
    <t>F8Y5496C3F213XCBM</t>
  </si>
  <si>
    <t>F8Y149517U313XC8Y</t>
  </si>
  <si>
    <t>G697714453</t>
  </si>
  <si>
    <t>F8Y5396CAS718FKBD</t>
  </si>
  <si>
    <t>F8Y2417198V18FLAA</t>
  </si>
  <si>
    <t>G697619773</t>
  </si>
  <si>
    <t>L3DY66WQK2</t>
  </si>
  <si>
    <t>CHYXM57C29</t>
  </si>
  <si>
    <t>G697598935</t>
  </si>
  <si>
    <t>HGGJWXG2N7</t>
  </si>
  <si>
    <t>F7GKWXCN7L</t>
  </si>
  <si>
    <t>G697588231</t>
  </si>
  <si>
    <t>F8Y5321C2G813RHCG</t>
  </si>
  <si>
    <t>F5D1314008K13RJ8G</t>
  </si>
  <si>
    <t>G681603336</t>
  </si>
  <si>
    <t>F8Y5451C08N13XCB8</t>
  </si>
  <si>
    <t>F5D1405DXDF13XD9N</t>
  </si>
  <si>
    <t>G697451799</t>
  </si>
  <si>
    <t>G9P5351M8MGPQCLAD</t>
  </si>
  <si>
    <t>G9N2047L8DGPQCLAG</t>
  </si>
  <si>
    <t>F8Y5255C39Z13XCBP</t>
  </si>
  <si>
    <t>F8Y2036139W13X88L</t>
  </si>
  <si>
    <t>G697375039</t>
  </si>
  <si>
    <t>G9Q5443W9701502AB</t>
  </si>
  <si>
    <t>GVC439302SV1503AW</t>
  </si>
  <si>
    <t>G697260441</t>
  </si>
  <si>
    <t>Display, Standard, Silver</t>
  </si>
  <si>
    <t>F0YHM20002G0000UJX</t>
  </si>
  <si>
    <t>FP1HK6001RY0000UJW</t>
  </si>
  <si>
    <t>G697258277</t>
  </si>
  <si>
    <t>F8Y5387C0Y513XCB7</t>
  </si>
  <si>
    <t>F5D1493CT5V13XD9E</t>
  </si>
  <si>
    <t>G696951931</t>
  </si>
  <si>
    <t>G9P5351MB8LPQCLAB</t>
  </si>
  <si>
    <t>G9N1476T1AVPQCLAP</t>
  </si>
  <si>
    <t>G696943805</t>
  </si>
  <si>
    <t>LKQDG6D09J</t>
  </si>
  <si>
    <t>DW39927GFY</t>
  </si>
  <si>
    <t>G696837565</t>
  </si>
  <si>
    <t>GMGHLG00C4P0000GVL</t>
  </si>
  <si>
    <t>FP1HK000A7P0000G2A</t>
  </si>
  <si>
    <t>G696833093</t>
  </si>
  <si>
    <t>HCV2Q5MJYW</t>
  </si>
  <si>
    <t>H9HFVFKW2N</t>
  </si>
  <si>
    <t>G696820439</t>
  </si>
  <si>
    <t>KPXL6704D2</t>
  </si>
  <si>
    <t>G696747811</t>
  </si>
  <si>
    <t>KJD6632KTH</t>
  </si>
  <si>
    <t>G696734211</t>
  </si>
  <si>
    <t>GXY4643V61</t>
  </si>
  <si>
    <t>JLGP664DY6</t>
  </si>
  <si>
    <t>G696725521</t>
  </si>
  <si>
    <t>F0WHE40155R000064R</t>
  </si>
  <si>
    <t>F0WHAY01RYZ000064R</t>
  </si>
  <si>
    <t>G696503057</t>
  </si>
  <si>
    <t>GMGGT50007B00000CQ</t>
  </si>
  <si>
    <t>FP1HCR0033L00000CM</t>
  </si>
  <si>
    <t>G680708174</t>
  </si>
  <si>
    <t>KQ776XJGM2</t>
  </si>
  <si>
    <t>DW3C99YVYJ</t>
  </si>
  <si>
    <t>G696367047</t>
  </si>
  <si>
    <t>HPHFW034W5</t>
  </si>
  <si>
    <t>HDXDY6WRF7</t>
  </si>
  <si>
    <t>G696112171</t>
  </si>
  <si>
    <t>MV7JWN2T44</t>
  </si>
  <si>
    <t>D26435J7J3</t>
  </si>
  <si>
    <t>G695996057</t>
  </si>
  <si>
    <t>GMG5343013M1J87AX</t>
  </si>
  <si>
    <t>FP15286007325YTAL</t>
  </si>
  <si>
    <t>G695984897</t>
  </si>
  <si>
    <t>G9P5434B4BQ1502A6</t>
  </si>
  <si>
    <t>GVC449305981503AW</t>
  </si>
  <si>
    <t>G695744963</t>
  </si>
  <si>
    <t>K9F7KM9WG4</t>
  </si>
  <si>
    <t>H2WH2X0DHD</t>
  </si>
  <si>
    <t>G695009359</t>
  </si>
  <si>
    <t>FV9HN9000310000NMD</t>
  </si>
  <si>
    <t>FV9HAR0057N0000EEW</t>
  </si>
  <si>
    <t>MOBILECARE - APP MEGAMALL</t>
  </si>
  <si>
    <t>G715005471</t>
  </si>
  <si>
    <t>KFPCJ7139K</t>
  </si>
  <si>
    <t>M39K7V93W7</t>
  </si>
  <si>
    <t>G693561750</t>
  </si>
  <si>
    <t>G9P5185MEBKPQCLAP</t>
  </si>
  <si>
    <t>G9P2154M0DHPQCLAJ</t>
  </si>
  <si>
    <t>G709043627</t>
  </si>
  <si>
    <t>661-50131</t>
  </si>
  <si>
    <t>Display, Midnight, MBA (15-in, M4, 2025)</t>
  </si>
  <si>
    <t>GMGHML003EA0000HX1</t>
  </si>
  <si>
    <t>GMGHFG000EN0000HX1</t>
  </si>
  <si>
    <t>GMGHML003F90000HX1</t>
  </si>
  <si>
    <t>GMGHMM000210000HX1</t>
  </si>
  <si>
    <t>661-50064</t>
  </si>
  <si>
    <t>Logic Board, M4, 10-core CPU, 10-core GPU, 16 GB, 256 GB</t>
  </si>
  <si>
    <t>C02HJF0034P0000MSX</t>
  </si>
  <si>
    <t>C02HGW001EK0000PFF</t>
  </si>
  <si>
    <t>G690358382</t>
  </si>
  <si>
    <t>F8Y6056C9KF18FKB5</t>
  </si>
  <si>
    <t>FG920551QF818FM45</t>
  </si>
  <si>
    <t>G704861799</t>
  </si>
  <si>
    <t>ZP661-50281</t>
  </si>
  <si>
    <t>iPad Air 11-inch (M3) Wi-Fi + Cellular, ROW, 128GB, Purple, CI/AR, CN</t>
  </si>
  <si>
    <t>FMM632XC7Q</t>
  </si>
  <si>
    <t>F520Q55V9N</t>
  </si>
  <si>
    <t>G702730521</t>
  </si>
  <si>
    <t>CYJ32L094T</t>
  </si>
  <si>
    <t>CWYRWG7GFW</t>
  </si>
  <si>
    <t>G702032119</t>
  </si>
  <si>
    <t>F8Y5455C6D313XCB2</t>
  </si>
  <si>
    <t>F8Y13430Z2013X88A</t>
  </si>
  <si>
    <t>G698050365</t>
  </si>
  <si>
    <t>923-11083</t>
  </si>
  <si>
    <t>Top Speaker, iPhone 16 Pro Max,non mmWave</t>
  </si>
  <si>
    <t>DXYHFQ8134P0000CZC</t>
  </si>
  <si>
    <t>CTHHG785R2U0000CZA</t>
  </si>
  <si>
    <t>G697751591</t>
  </si>
  <si>
    <t>ZP661-29103</t>
  </si>
  <si>
    <t>Space Gray, iPad Pro 12.9-inch 6th gen, 128GB, Wi-Fi, ITP</t>
  </si>
  <si>
    <t>GF2WWF92TN</t>
  </si>
  <si>
    <t>GVM6242PXM</t>
  </si>
  <si>
    <t>G681735052</t>
  </si>
  <si>
    <t>F0Y5432023D1J87AM</t>
  </si>
  <si>
    <t>GMG429300FF1J88AQ</t>
  </si>
  <si>
    <t>G697613105</t>
  </si>
  <si>
    <t>FV9HLN0000U0000HER</t>
  </si>
  <si>
    <t>FV9HAU00XTD0000HER</t>
  </si>
  <si>
    <t>G697592211</t>
  </si>
  <si>
    <t>F0YHMB001260000GVK</t>
  </si>
  <si>
    <t>FP1HF30045G0000G29</t>
  </si>
  <si>
    <t>G697393647</t>
  </si>
  <si>
    <t>GMGHMP0021C0000HX1</t>
  </si>
  <si>
    <t>FP1HD10031X0000HWZ</t>
  </si>
  <si>
    <t>G697266345</t>
  </si>
  <si>
    <t>661-15736</t>
  </si>
  <si>
    <t>F5D5245N18EKGGJF8</t>
  </si>
  <si>
    <t>F5D009565Z8KGGJA0</t>
  </si>
  <si>
    <t>G697219585</t>
  </si>
  <si>
    <t>F8Y5426C4SZ14LWCN</t>
  </si>
  <si>
    <t>F8Y13411Z0B14LW7H</t>
  </si>
  <si>
    <t>G697169609</t>
  </si>
  <si>
    <t>PA661-26379</t>
  </si>
  <si>
    <t>SVC,BEATS FLEX(VN),SMOKE GRAY-PAC</t>
  </si>
  <si>
    <t>HNXQJ10WQ1HL</t>
  </si>
  <si>
    <t>HNXQD08PQ1HL</t>
  </si>
  <si>
    <t>G696624389</t>
  </si>
  <si>
    <t>D4JQ77D4XD</t>
  </si>
  <si>
    <t>K73N0WD4Y1</t>
  </si>
  <si>
    <t>G696595747</t>
  </si>
  <si>
    <t>DX344060B7W0GKWAE</t>
  </si>
  <si>
    <t>GMH52871QDSQ189A2</t>
  </si>
  <si>
    <t>G696521019</t>
  </si>
  <si>
    <t>Z661-16863</t>
  </si>
  <si>
    <t>AirPods 2, Case, with Battery, CI/AR, INT</t>
  </si>
  <si>
    <t>H17QG0VPLX2Y</t>
  </si>
  <si>
    <t>GN1MX4X4LX2Y</t>
  </si>
  <si>
    <t>G680714526</t>
  </si>
  <si>
    <t>PA661-34649</t>
  </si>
  <si>
    <t>Beats Studio Buds +, Black/Gold , Left, CI/AR, PAC</t>
  </si>
  <si>
    <t>D2QK7FWC9Y</t>
  </si>
  <si>
    <t>G695864675</t>
  </si>
  <si>
    <t>MP70VY2JJT</t>
  </si>
  <si>
    <t>JVH6YXMWXK</t>
  </si>
  <si>
    <t>G680202810</t>
  </si>
  <si>
    <t>661-27752</t>
  </si>
  <si>
    <t>Logic Board, 12-core CPU, 19-core GPU, 32GB, 2TB</t>
  </si>
  <si>
    <t>C023243003N1V8PAQ</t>
  </si>
  <si>
    <t>C023124002M1V8PA0</t>
  </si>
  <si>
    <t>G695375263</t>
  </si>
  <si>
    <t>HGHPT28LP0GV</t>
  </si>
  <si>
    <t>HGRQ3KSPP0GV</t>
  </si>
  <si>
    <t>G695070027</t>
  </si>
  <si>
    <t>661-43190</t>
  </si>
  <si>
    <t>AirPods Max USB-C, Set, Orange</t>
  </si>
  <si>
    <t>FJ4PRYCXY0</t>
  </si>
  <si>
    <t>MHNVNYHK2L</t>
  </si>
  <si>
    <t>MOBILECARE - APP BONIFACIO HIGH STREET</t>
  </si>
  <si>
    <t>G698322345</t>
  </si>
  <si>
    <t>FV95213010P0W9FLG</t>
  </si>
  <si>
    <t>FV9519303NP0W9GLS</t>
  </si>
  <si>
    <t>G697920555</t>
  </si>
  <si>
    <t>DN8HJS09QGQ00002MW</t>
  </si>
  <si>
    <t>F0WHBP00MF700005KR</t>
  </si>
  <si>
    <t>G9PHK4F2AJY00005DP</t>
  </si>
  <si>
    <t>GVCHB9038UL00005DQ</t>
  </si>
  <si>
    <t>G697782895</t>
  </si>
  <si>
    <t>G9Q5441XN2V1502AH</t>
  </si>
  <si>
    <t>G9Q3082U5LK1502AW</t>
  </si>
  <si>
    <t>G681593382</t>
  </si>
  <si>
    <t>GVCHMH0175U0000U6M</t>
  </si>
  <si>
    <t>GVCHLQ00S1D0000U6M</t>
  </si>
  <si>
    <t>DNPHL900SJD0001BHN</t>
  </si>
  <si>
    <t>GMHHK701UDY0000M4H</t>
  </si>
  <si>
    <t>G696950667</t>
  </si>
  <si>
    <t>FV9347405RG23NKA5</t>
  </si>
  <si>
    <t>FV9438501CY23NKAS</t>
  </si>
  <si>
    <t>FMX5443082D278XA4</t>
  </si>
  <si>
    <t>F0Y438301MN278WA0</t>
  </si>
  <si>
    <t>FMX5445018Z278XA5</t>
  </si>
  <si>
    <t>G681187204</t>
  </si>
  <si>
    <t>GMG541302YN1J88AH</t>
  </si>
  <si>
    <t>GMG3337017W1J87AF</t>
  </si>
  <si>
    <t>FV942960SZY0W9CH7</t>
  </si>
  <si>
    <t>C02336402SZ0W9CAC</t>
  </si>
  <si>
    <t>F8Y5391N0KK10X2CF</t>
  </si>
  <si>
    <t>F5D335408Z813QGBQ</t>
  </si>
  <si>
    <t>FV9428201HR0W9CHS</t>
  </si>
  <si>
    <t>G696600739</t>
  </si>
  <si>
    <t>J33HNG0003D00003P0</t>
  </si>
  <si>
    <t>FV9HDB00T7P0000PC8</t>
  </si>
  <si>
    <t>G696350827</t>
  </si>
  <si>
    <t>G9P5352LJL6PQCKAK</t>
  </si>
  <si>
    <t>G9N2127ZMC4PQCKAK</t>
  </si>
  <si>
    <t>G696319761</t>
  </si>
  <si>
    <t>FV95152000M23NPBA</t>
  </si>
  <si>
    <t>FV9438604Q823NPA6</t>
  </si>
  <si>
    <t>F5854211UHD1K8XAHC</t>
  </si>
  <si>
    <t>FMX544507KD278XAL</t>
  </si>
  <si>
    <t>F0Y4381005R278VAF</t>
  </si>
  <si>
    <t>G696306397</t>
  </si>
  <si>
    <t>C024016003925HMA4</t>
  </si>
  <si>
    <t>C024282000J25HMAK</t>
  </si>
  <si>
    <t>F5854551YXP1K8WAGC</t>
  </si>
  <si>
    <t>F0Y415301LF2525AY</t>
  </si>
  <si>
    <t>FMX42670FX423YLAT</t>
  </si>
  <si>
    <t>G696204523</t>
  </si>
  <si>
    <t>GVCHK7037RA0000MUZ</t>
  </si>
  <si>
    <t>G9NHMBY5SWL0000MUY</t>
  </si>
  <si>
    <t>G695907895</t>
  </si>
  <si>
    <t>CL41FPY44J</t>
  </si>
  <si>
    <t>LXNFVFJFPV</t>
  </si>
  <si>
    <t>G695889723</t>
  </si>
  <si>
    <t>Z661-54192</t>
  </si>
  <si>
    <t>AirPods Pro 3, Left, CI/AR, VN, INT</t>
  </si>
  <si>
    <t>GMPHMJ0SM1S0000UHZ</t>
  </si>
  <si>
    <t>G695878473</t>
  </si>
  <si>
    <t>FG9HLF001ZN00006TT</t>
  </si>
  <si>
    <t>FG9H060035B00006TV</t>
  </si>
  <si>
    <t>G695652915</t>
  </si>
  <si>
    <t>L0F9RXTLD9</t>
  </si>
  <si>
    <t>C2VQF72RC4</t>
  </si>
  <si>
    <t>G695482931</t>
  </si>
  <si>
    <t>GX1HMG226TJ0000B31</t>
  </si>
  <si>
    <t>GX1HM925JKP0000B2Z</t>
  </si>
  <si>
    <t>G695070715</t>
  </si>
  <si>
    <t>KVHCVPH2PT</t>
  </si>
  <si>
    <t>HXGQ19TLXC</t>
  </si>
  <si>
    <t>MOBILECARE - ZAMBOANGA</t>
  </si>
  <si>
    <t>G712688095</t>
  </si>
  <si>
    <t>KW3MPMJ7CX</t>
  </si>
  <si>
    <t>DV92NLJXWC</t>
  </si>
  <si>
    <t>G707818463</t>
  </si>
  <si>
    <t>661-44960</t>
  </si>
  <si>
    <t>DRCHLC002NL0000U64</t>
  </si>
  <si>
    <t>J0MH9J009VB0000U64</t>
  </si>
  <si>
    <t>G706616011</t>
  </si>
  <si>
    <t>J9CDH5GWL4</t>
  </si>
  <si>
    <t>GQ7FQVXF6T</t>
  </si>
  <si>
    <t>G698137061</t>
  </si>
  <si>
    <t>CDQQFC7M2H</t>
  </si>
  <si>
    <t>CVFR7F6DL4</t>
  </si>
  <si>
    <t>G698027995</t>
  </si>
  <si>
    <t>FK1HKA00DWG00001A2</t>
  </si>
  <si>
    <t>G697959921</t>
  </si>
  <si>
    <t>FV951350CDU0W9FLN</t>
  </si>
  <si>
    <t>FV951370PBX0W9DLE</t>
  </si>
  <si>
    <t>G697925541</t>
  </si>
  <si>
    <t>H264MJ6YKY</t>
  </si>
  <si>
    <t>G697734121</t>
  </si>
  <si>
    <t>MY4TY7KYHN</t>
  </si>
  <si>
    <t>FGFXHFMYWT</t>
  </si>
  <si>
    <t>G697607869</t>
  </si>
  <si>
    <t>G9P5154LP5JPQCKAD</t>
  </si>
  <si>
    <t>G9P2232H8Q4PQCKAA</t>
  </si>
  <si>
    <t>G681603404</t>
  </si>
  <si>
    <t>FV931740H441WP1DK</t>
  </si>
  <si>
    <t>HXK4493053H1N08FN</t>
  </si>
  <si>
    <t>G697276625</t>
  </si>
  <si>
    <t>TA661-37198</t>
  </si>
  <si>
    <t>15 Pro Max, Blue, 256GB, Logic Board Assy Mid System, ROW</t>
  </si>
  <si>
    <t>L39PC4NKV7</t>
  </si>
  <si>
    <t>JX6F4NJKGW</t>
  </si>
  <si>
    <t>G697221963</t>
  </si>
  <si>
    <t>J9KHK6001BU0000FD3</t>
  </si>
  <si>
    <t>FNJH9HL0FMH0000882</t>
  </si>
  <si>
    <t>G697138209</t>
  </si>
  <si>
    <t>JK65Y6TH76</t>
  </si>
  <si>
    <t>LWTJQRY6JP</t>
  </si>
  <si>
    <t>G696933119</t>
  </si>
  <si>
    <t>JTPHXHDQ0X</t>
  </si>
  <si>
    <t>MXTX2D26FK</t>
  </si>
  <si>
    <t>G696820097</t>
  </si>
  <si>
    <t>H6K61024FQ</t>
  </si>
  <si>
    <t>KTX5Q9Q0QL</t>
  </si>
  <si>
    <t>G696718769</t>
  </si>
  <si>
    <t>G9P5187RC1L1PHPAM</t>
  </si>
  <si>
    <t>G9N3502KDAA1PHPAK</t>
  </si>
  <si>
    <t>G696480469</t>
  </si>
  <si>
    <t>H14MQ921GC</t>
  </si>
  <si>
    <t>HQCDXXDD7H</t>
  </si>
  <si>
    <t>G696465837</t>
  </si>
  <si>
    <t>FMX43230DAANTJHAU</t>
  </si>
  <si>
    <t>F0Y31640168NTJGA7</t>
  </si>
  <si>
    <t>G696290029</t>
  </si>
  <si>
    <t>F6QMF40GHG</t>
  </si>
  <si>
    <t>D45DJHYVY4</t>
  </si>
  <si>
    <t>G696270865</t>
  </si>
  <si>
    <t>JX7RDFJ0Y0</t>
  </si>
  <si>
    <t>DQKFXV43TG</t>
  </si>
  <si>
    <t>G696165243</t>
  </si>
  <si>
    <t>LGXLPKTF90</t>
  </si>
  <si>
    <t>HYW5J7H0F7</t>
  </si>
  <si>
    <t>FHK3XC66H2</t>
  </si>
  <si>
    <t>G695946693</t>
  </si>
  <si>
    <t>ZP661-45348</t>
  </si>
  <si>
    <t>Watch Series 10, 46mm, Aluminum, Black, CI/AR, CN, ROW, ITP</t>
  </si>
  <si>
    <t>JN2CT9YY45</t>
  </si>
  <si>
    <t>LDFY7L6PL4</t>
  </si>
  <si>
    <t>G695870727</t>
  </si>
  <si>
    <t>KVHW9R9624</t>
  </si>
  <si>
    <t>L90HXRQFQ1</t>
  </si>
  <si>
    <t>G695715009</t>
  </si>
  <si>
    <t>661-29901</t>
  </si>
  <si>
    <t>Watch SE 2nd gen, 44mm, GPS, Aluminum, Silver, TH</t>
  </si>
  <si>
    <t>JXQ34V634N</t>
  </si>
  <si>
    <t>FG77CT73LT</t>
  </si>
  <si>
    <t>G695646683</t>
  </si>
  <si>
    <t>HMH49Q9Q02</t>
  </si>
  <si>
    <t>H37J9PN6NC</t>
  </si>
  <si>
    <t>G695643527</t>
  </si>
  <si>
    <t>HDWXXDQ7L5</t>
  </si>
  <si>
    <t>DW9G565412</t>
  </si>
  <si>
    <t>G695553509</t>
  </si>
  <si>
    <t>M69J50721Y</t>
  </si>
  <si>
    <t>FC9NJQ2QKY</t>
  </si>
  <si>
    <t>G695295259</t>
  </si>
  <si>
    <t>KNX4997KC6</t>
  </si>
  <si>
    <t>C269YVNH7Y</t>
  </si>
  <si>
    <t>MOBILECARE - EEST</t>
  </si>
  <si>
    <t>G698858375</t>
  </si>
  <si>
    <t>F0YHL2003T600006J1</t>
  </si>
  <si>
    <t>FP1HFE004L40000FQX</t>
  </si>
  <si>
    <t>G681838236</t>
  </si>
  <si>
    <t>F0Y543301B81J87A2</t>
  </si>
  <si>
    <t>FP1415102H325YTA6</t>
  </si>
  <si>
    <t>G696381397</t>
  </si>
  <si>
    <t>GMG5276006X1J87A2</t>
  </si>
  <si>
    <t>FP15071025E25YTAP</t>
  </si>
  <si>
    <t>G696357681</t>
  </si>
  <si>
    <t>PA661-46778</t>
  </si>
  <si>
    <t>Power Adapter, 143W, Silver, PAC</t>
  </si>
  <si>
    <t>C4H4443018K2DDWA4</t>
  </si>
  <si>
    <t>C4H428200D72DGJAW</t>
  </si>
  <si>
    <t>G696049653</t>
  </si>
  <si>
    <t>F0Y415600WD2525A2</t>
  </si>
  <si>
    <t>DCN408300EF2526AJ</t>
  </si>
  <si>
    <t>G695910349</t>
  </si>
  <si>
    <t>GMG534100AM1J88AC</t>
  </si>
  <si>
    <t>F0Y5076011Q1J87A5</t>
  </si>
  <si>
    <t>G695638429</t>
  </si>
  <si>
    <t>FV9522200J90W9FL9</t>
  </si>
  <si>
    <t>FV9516202J50W9FL0</t>
  </si>
  <si>
    <t>G695495779</t>
  </si>
  <si>
    <t>FP1527300BP25YTAU</t>
  </si>
  <si>
    <t>FP15092028725YVAC</t>
  </si>
  <si>
    <t>G695365515</t>
  </si>
  <si>
    <t>FV9HKW0003H0000HES</t>
  </si>
  <si>
    <t>FV9HCE009KM0000HER</t>
  </si>
  <si>
    <t>MOBILECARE - APP POWER PLANT MALL</t>
  </si>
  <si>
    <t>G705457843</t>
  </si>
  <si>
    <t>FMX5343066Y278YA9</t>
  </si>
  <si>
    <t>F0Y1462017SPP609D</t>
  </si>
  <si>
    <t>G698032215</t>
  </si>
  <si>
    <t>FK1HKA00BTS00001A2</t>
  </si>
  <si>
    <t>DTTGXV01DJ0000004D</t>
  </si>
  <si>
    <t>G681994524</t>
  </si>
  <si>
    <t>DN8HJX05QCU0000JS5</t>
  </si>
  <si>
    <t>DN8HMK00SGB0000RYQ</t>
  </si>
  <si>
    <t>G681860014</t>
  </si>
  <si>
    <t>G7WQV0H366</t>
  </si>
  <si>
    <t>CP7VV9KCRH</t>
  </si>
  <si>
    <t>G697946317</t>
  </si>
  <si>
    <t>F8Y5457C6J2237KBE</t>
  </si>
  <si>
    <t>FQ132151F5D22HQA6</t>
  </si>
  <si>
    <t>G681794418</t>
  </si>
  <si>
    <t>661-34706</t>
  </si>
  <si>
    <t>D865433N5ZT1LP9C0</t>
  </si>
  <si>
    <t>F5D3087362K1LPF6Q</t>
  </si>
  <si>
    <t>G697632073</t>
  </si>
  <si>
    <t>G9Q5244E61W1502AH</t>
  </si>
  <si>
    <t>GVC41612PVQ1503AC</t>
  </si>
  <si>
    <t>G697590743</t>
  </si>
  <si>
    <t>F8YHMFC0SPJ00006TP</t>
  </si>
  <si>
    <t>F5DGZV012C800006TQ</t>
  </si>
  <si>
    <t>G681715646</t>
  </si>
  <si>
    <t>GMG545301DW1J88AM</t>
  </si>
  <si>
    <t>GMG402205MM1J88AK</t>
  </si>
  <si>
    <t>G697483995</t>
  </si>
  <si>
    <t>F8Y5456C1QN20J9BW</t>
  </si>
  <si>
    <t>F8Y30141N8P20JC21</t>
  </si>
  <si>
    <t>G681190264</t>
  </si>
  <si>
    <t>DNL522304D11986BU</t>
  </si>
  <si>
    <t>DNL4054053R1986BU</t>
  </si>
  <si>
    <t>G680961066</t>
  </si>
  <si>
    <t>F8Y5451C1F718FKB3</t>
  </si>
  <si>
    <t>FG914142XR018FM4K</t>
  </si>
  <si>
    <t>G696639981</t>
  </si>
  <si>
    <t>G0NHK1005960000HKZ</t>
  </si>
  <si>
    <t>GMHHB002KUT0000BXF</t>
  </si>
  <si>
    <t>G696499335</t>
  </si>
  <si>
    <t>GMGHLD00A4M0000GVL</t>
  </si>
  <si>
    <t>FP1HEG002X30000G29</t>
  </si>
  <si>
    <t>G680796948</t>
  </si>
  <si>
    <t>F34NG93YYQ</t>
  </si>
  <si>
    <t>CTGQFWKWPC</t>
  </si>
  <si>
    <t>G680716766</t>
  </si>
  <si>
    <t>GVCHJF03GAT0000MUZ</t>
  </si>
  <si>
    <t>G9NHLJL2PK10000MUY</t>
  </si>
  <si>
    <t>G696213809</t>
  </si>
  <si>
    <t>F8Y5451C0EZ13XCBD</t>
  </si>
  <si>
    <t>F5D13257RSN13XD8Y</t>
  </si>
  <si>
    <t>G680622958</t>
  </si>
  <si>
    <t>G9P5351M0C1PQCLAV</t>
  </si>
  <si>
    <t>G9N1503UL3FPQCLAR</t>
  </si>
  <si>
    <t>G696193493</t>
  </si>
  <si>
    <t>F8Y5372C0NZ13RHCT</t>
  </si>
  <si>
    <t>F8Y145714YU13RFBE</t>
  </si>
  <si>
    <t>G680107888</t>
  </si>
  <si>
    <t>661-41810</t>
  </si>
  <si>
    <t>FV9HM90001H0000K95</t>
  </si>
  <si>
    <t>661-41793</t>
  </si>
  <si>
    <t>Display, Nano-texture, Silver</t>
  </si>
  <si>
    <t>FMXHKF000AB00006V3</t>
  </si>
  <si>
    <t>FV9HM90001K0000K95</t>
  </si>
  <si>
    <t>FMXHKF000TM00006V3</t>
  </si>
  <si>
    <t>G680094434</t>
  </si>
  <si>
    <t>M7GJ06F333</t>
  </si>
  <si>
    <t>KKWQVVFXCT</t>
  </si>
  <si>
    <t>MOBILECARE - APP TRINOMA</t>
  </si>
  <si>
    <t>G710218817</t>
  </si>
  <si>
    <t>F8Y6054CQ2818FKBG</t>
  </si>
  <si>
    <t>FG923950UX418FMAV</t>
  </si>
  <si>
    <t>G710115259</t>
  </si>
  <si>
    <t>G9PHFDU2XR300005DR</t>
  </si>
  <si>
    <t>GH3HEL00SFB00005DS</t>
  </si>
  <si>
    <t>G690483306</t>
  </si>
  <si>
    <t>Display, Green, iMac (24-in, 2024)</t>
  </si>
  <si>
    <t>GHQHKW000230000EN8</t>
  </si>
  <si>
    <t>GHQHDY000EH0000EN8</t>
  </si>
  <si>
    <t>G707405505</t>
  </si>
  <si>
    <t>J22R4E9C26K0</t>
  </si>
  <si>
    <t>G701664213</t>
  </si>
  <si>
    <t>GMG5413005X1J87AQ</t>
  </si>
  <si>
    <t>F0Y515601MA1J88AX</t>
  </si>
  <si>
    <t>G701435829</t>
  </si>
  <si>
    <t>CQ1YPWY2XG</t>
  </si>
  <si>
    <t>CQP71W9YM4</t>
  </si>
  <si>
    <t>G698198755</t>
  </si>
  <si>
    <t>DN8HJ3049BV00006S2</t>
  </si>
  <si>
    <t>DN8HBD0HE8100006S2</t>
  </si>
  <si>
    <t>G698174523</t>
  </si>
  <si>
    <t>J9KHK400BQ60000FD3</t>
  </si>
  <si>
    <t>FNJHA1L1AKQ0000882</t>
  </si>
  <si>
    <t>G698165249</t>
  </si>
  <si>
    <t>F8Y5433CD60M6YNDD</t>
  </si>
  <si>
    <t>FG901250F0YM6YRBL</t>
  </si>
  <si>
    <t>G698163363</t>
  </si>
  <si>
    <t>F8Y5462C5WM217WBM</t>
  </si>
  <si>
    <t>F5D247314D621PK7T</t>
  </si>
  <si>
    <t>G698039377</t>
  </si>
  <si>
    <t>PA661-21979</t>
  </si>
  <si>
    <t>Beats Black, Beats Fit Pro, Left, PAC, CI/AR</t>
  </si>
  <si>
    <t>H2CQP0GX1JG2</t>
  </si>
  <si>
    <t>H2CPJ20C1JG2</t>
  </si>
  <si>
    <t>PA661-21980</t>
  </si>
  <si>
    <t>Beats Black, Beats Fit Pro, Right, PAC, CI/AR</t>
  </si>
  <si>
    <t>H2CQW0GJ1JG1</t>
  </si>
  <si>
    <t>H2CPJ2BT1JG1</t>
  </si>
  <si>
    <t>G698034561</t>
  </si>
  <si>
    <t>GMGHLC003DS0000GVL</t>
  </si>
  <si>
    <t>FP1HHE006SM0000G2A</t>
  </si>
  <si>
    <t>G698006165</t>
  </si>
  <si>
    <t>G62Q70QPMW</t>
  </si>
  <si>
    <t>K9KFP14XLN</t>
  </si>
  <si>
    <t>G697776871</t>
  </si>
  <si>
    <t>MGGK9KW2R7</t>
  </si>
  <si>
    <t>M1V7WQXK9M</t>
  </si>
  <si>
    <t>G697632723</t>
  </si>
  <si>
    <t>D41565TLYN</t>
  </si>
  <si>
    <t>LKQDC96KR6</t>
  </si>
  <si>
    <t>G697620793</t>
  </si>
  <si>
    <t>GVCHJL02FZD0000MUZ</t>
  </si>
  <si>
    <t>GVCHKU0301U0000MUZ</t>
  </si>
  <si>
    <t>DN8HJW0C19R0000JS5</t>
  </si>
  <si>
    <t>DNMHKZ00BNZ0000RYP</t>
  </si>
  <si>
    <t>G697570291</t>
  </si>
  <si>
    <t>F8YHG4N01600000FWL</t>
  </si>
  <si>
    <t>F5DH9A000W00000FWH</t>
  </si>
  <si>
    <t>G697510613</t>
  </si>
  <si>
    <t>F8Y5433C7S518FKB4</t>
  </si>
  <si>
    <t>FG932920SEK18FMA0</t>
  </si>
  <si>
    <t>G697491043</t>
  </si>
  <si>
    <t>F8Y5475C4B413RHCD</t>
  </si>
  <si>
    <t>F5D14947VGG13RK9J</t>
  </si>
  <si>
    <t>G697486119</t>
  </si>
  <si>
    <t>GH340460LMW1PHTAT</t>
  </si>
  <si>
    <t>G9P5251Q0FW1PHRAW</t>
  </si>
  <si>
    <t>G697473319</t>
  </si>
  <si>
    <t>F0Y543301DN1J87AG</t>
  </si>
  <si>
    <t>FP1502700LL25YVAF</t>
  </si>
  <si>
    <t>G697468659</t>
  </si>
  <si>
    <t>FG9HLF005T400006TT</t>
  </si>
  <si>
    <t>F5DGY8004Z000006TU</t>
  </si>
  <si>
    <t>G697444869</t>
  </si>
  <si>
    <t>D6K4D171CW</t>
  </si>
  <si>
    <t>JYLQQFW1DJ</t>
  </si>
  <si>
    <t>G697345421</t>
  </si>
  <si>
    <t>G9PHKZF0GMP00005DP</t>
  </si>
  <si>
    <t>G9PHBRV232600005DP</t>
  </si>
  <si>
    <t>G697230735</t>
  </si>
  <si>
    <t>F8Y5326N4KL10X2CS</t>
  </si>
  <si>
    <t>F5D418116GU10DLC8</t>
  </si>
  <si>
    <t>G697167685</t>
  </si>
  <si>
    <t>661-27744</t>
  </si>
  <si>
    <t>Logic Board, 12-core CPU, 38-core GPU, 96GB, 8TB</t>
  </si>
  <si>
    <t>C02519400061PRWAA</t>
  </si>
  <si>
    <t>FV93332005W1PRWBX</t>
  </si>
  <si>
    <t>C025485000Z1PRWAG</t>
  </si>
  <si>
    <t>661-32207</t>
  </si>
  <si>
    <t>F0Y416401PA2525AQ</t>
  </si>
  <si>
    <t>FMX334501KSPP5CA3</t>
  </si>
  <si>
    <t>G697165995</t>
  </si>
  <si>
    <t>661-36975</t>
  </si>
  <si>
    <t>FV9HH10004F00002W8</t>
  </si>
  <si>
    <t>FV9HJ20004E00002W8</t>
  </si>
  <si>
    <t>C02H030003X00002W8</t>
  </si>
  <si>
    <t>F0Y415601SP2525A3</t>
  </si>
  <si>
    <t>FMX33610N11PP5CAR</t>
  </si>
  <si>
    <t>G697138965</t>
  </si>
  <si>
    <t>G9P5375CFKVPR5QAY</t>
  </si>
  <si>
    <t>GVH52151YKYPR5PAB</t>
  </si>
  <si>
    <t>G696751173</t>
  </si>
  <si>
    <t>F8Y5391N10D10X2C9</t>
  </si>
  <si>
    <t>F8Y5045G84M10X2CE</t>
  </si>
  <si>
    <t>G696748343</t>
  </si>
  <si>
    <t>F8Y5434C70Q13RHC2</t>
  </si>
  <si>
    <t>F5D138297V313RK9E</t>
  </si>
  <si>
    <t>G696747617</t>
  </si>
  <si>
    <t>G9PHJUS1G8F00005DR</t>
  </si>
  <si>
    <t>GH3HBR01QDR00005DS</t>
  </si>
  <si>
    <t>G696713561</t>
  </si>
  <si>
    <t>G9P5306M8ERPQCLA1</t>
  </si>
  <si>
    <t>G9P2205ME3BPQCLAK</t>
  </si>
  <si>
    <t>G696642221</t>
  </si>
  <si>
    <t>HFFM3WL497</t>
  </si>
  <si>
    <t>PQWPPXWFLW</t>
  </si>
  <si>
    <t>G696636367</t>
  </si>
  <si>
    <t>G9P5375CGPKPR5QAV</t>
  </si>
  <si>
    <t>GVH51670SX3PR5PAX</t>
  </si>
  <si>
    <t>G696093705</t>
  </si>
  <si>
    <t>GFGHNA10W5G0000UHZ</t>
  </si>
  <si>
    <t>G695885361</t>
  </si>
  <si>
    <t>923-09577</t>
  </si>
  <si>
    <t>Bottom Speaker, iPhone 15</t>
  </si>
  <si>
    <t>CTHGY638E1Z00000DR</t>
  </si>
  <si>
    <t>CTHGZ018PKR00000DR</t>
  </si>
  <si>
    <t>F8YHM8C050Z00006TW</t>
  </si>
  <si>
    <t>FG9GZG00REK00006TZ</t>
  </si>
  <si>
    <t>G695738203</t>
  </si>
  <si>
    <t>GGY6TNP62G</t>
  </si>
  <si>
    <t>QG70C2V760</t>
  </si>
  <si>
    <t>MOBILECARE - APP SM LANANG</t>
  </si>
  <si>
    <t>G710202721</t>
  </si>
  <si>
    <t>CY5JTHC572</t>
  </si>
  <si>
    <t>G690483110</t>
  </si>
  <si>
    <t>G9PHLUT0RP100005DP</t>
  </si>
  <si>
    <t>GVCHEM02HHY00005DQ</t>
  </si>
  <si>
    <t>G710986759</t>
  </si>
  <si>
    <t>661-53075</t>
  </si>
  <si>
    <t>Display, Standard, Space Black, MBP (14-in, M5)</t>
  </si>
  <si>
    <t>F0YHRM0023X0000UJX</t>
  </si>
  <si>
    <t>FP1HL3003P50000UJW</t>
  </si>
  <si>
    <t>G711244857</t>
  </si>
  <si>
    <t>CD9360MMPC</t>
  </si>
  <si>
    <t>G710181309</t>
  </si>
  <si>
    <t>GP4MP2W41R</t>
  </si>
  <si>
    <t>G712260235</t>
  </si>
  <si>
    <t>DNM34653CMJ1QDC73</t>
  </si>
  <si>
    <t>DNM603100Y11QDC3U</t>
  </si>
  <si>
    <t>G712232903</t>
  </si>
  <si>
    <t>HJ429XNKQX</t>
  </si>
  <si>
    <t>G708961777</t>
  </si>
  <si>
    <t>KXC90162F3</t>
  </si>
  <si>
    <t>LGFX207Q90</t>
  </si>
  <si>
    <t>G710072507</t>
  </si>
  <si>
    <t>GH3HRB01QM10000MUZ</t>
  </si>
  <si>
    <t>G9NHNDM5CAL0000MUY</t>
  </si>
  <si>
    <t>G711776837</t>
  </si>
  <si>
    <t>C72HH9K79H</t>
  </si>
  <si>
    <t>G714392027</t>
  </si>
  <si>
    <t>ZP661-53459</t>
  </si>
  <si>
    <t>Apple Watch SE 3, GPS, ROW, 40mm, Aluminum, Starlight, CI/AR, TH</t>
  </si>
  <si>
    <t>L79GP7KGXD</t>
  </si>
  <si>
    <t>G714405011</t>
  </si>
  <si>
    <t>MGWW2MWYV2</t>
  </si>
  <si>
    <t>G712253055</t>
  </si>
  <si>
    <t>MHF7PXD7GF</t>
  </si>
  <si>
    <t>G710217781</t>
  </si>
  <si>
    <t>LYPG656V5R</t>
  </si>
  <si>
    <t>G702219779</t>
  </si>
  <si>
    <t>F8Y5474C3PB18FKBY</t>
  </si>
  <si>
    <t>F8Y22670KW418FLAH</t>
  </si>
  <si>
    <t>G701900651</t>
  </si>
  <si>
    <t>ZP661-27891</t>
  </si>
  <si>
    <t>Apple TV 4K 3rd generation, Wi-Fi and Ethernet, ITP</t>
  </si>
  <si>
    <t>JLC2N7M9JR</t>
  </si>
  <si>
    <t>KMWRP72WJ6</t>
  </si>
  <si>
    <t>G715061059</t>
  </si>
  <si>
    <t>GMGHLD00A9L0000GVL</t>
  </si>
  <si>
    <t>FP1HLR003MW0000G2A</t>
  </si>
  <si>
    <t>G714332869</t>
  </si>
  <si>
    <t>HNXQJ00PQ1HL</t>
  </si>
  <si>
    <t>HNXQR1T2Q1HL</t>
  </si>
  <si>
    <t>G712115397</t>
  </si>
  <si>
    <t>F9DQQGVLHD</t>
  </si>
  <si>
    <t>LQ16JX2HPV</t>
  </si>
  <si>
    <t>G709666647</t>
  </si>
  <si>
    <t>KYTGFDGW0N</t>
  </si>
  <si>
    <t>DPGX5MQ7HT</t>
  </si>
  <si>
    <t>G709209991</t>
  </si>
  <si>
    <t>HHFJC79PXP</t>
  </si>
  <si>
    <t>DWR0WW6C3R</t>
  </si>
  <si>
    <t>G708258027</t>
  </si>
  <si>
    <t>F8Y5455C90L13XCBM</t>
  </si>
  <si>
    <t>F5D1383F10A13X995</t>
  </si>
  <si>
    <t>G707647965</t>
  </si>
  <si>
    <t>F0YHL7000BX0000UJX</t>
  </si>
  <si>
    <t>F0YHN0004DV0000UJX</t>
  </si>
  <si>
    <t>G706320977</t>
  </si>
  <si>
    <t>F8Y5425C7M418FKBM</t>
  </si>
  <si>
    <t>F8Y140103UT18FLA7</t>
  </si>
  <si>
    <t>G715625435</t>
  </si>
  <si>
    <t>F0YHRN000980000UJX</t>
  </si>
  <si>
    <t>F0YHN4000C20000UJX</t>
  </si>
  <si>
    <t>G714974011</t>
  </si>
  <si>
    <t>F8Y6173C4SP18FKBB</t>
  </si>
  <si>
    <t>FG941420DLK18FMB5</t>
  </si>
  <si>
    <t>G712674563</t>
  </si>
  <si>
    <t>F8Y6154C3ZN18FKBX</t>
  </si>
  <si>
    <t>FG933750T9518FMAW</t>
  </si>
  <si>
    <t>G693072502</t>
  </si>
  <si>
    <t>GH3HPP01EY90000MUZ</t>
  </si>
  <si>
    <t>GH3HMF00DML0000MUZ</t>
  </si>
  <si>
    <t>G712447635</t>
  </si>
  <si>
    <t>G9Q5176W87K1502AJ</t>
  </si>
  <si>
    <t>GVH51920RLF1501A2</t>
  </si>
  <si>
    <t>G703643269</t>
  </si>
  <si>
    <t>LPJFP71F3C</t>
  </si>
  <si>
    <t>Q4X9PW2JK4</t>
  </si>
  <si>
    <t>G700724087</t>
  </si>
  <si>
    <t>GMG545100MLNR89B4</t>
  </si>
  <si>
    <t>FP1303305BK249YAA</t>
  </si>
  <si>
    <t>G699346831</t>
  </si>
  <si>
    <t>G9P5352MH9WPQCLAR</t>
  </si>
  <si>
    <t>G9N22332HH2PQCLA0</t>
  </si>
  <si>
    <t>G716114215</t>
  </si>
  <si>
    <t>G9QHRGM2ETU0000L4B</t>
  </si>
  <si>
    <t>G9PHLPP8BQJ0000L4B</t>
  </si>
  <si>
    <t>G714055309</t>
  </si>
  <si>
    <t>G9PHKBS2E2300005DR</t>
  </si>
  <si>
    <t>GH3HAF00P4A00005DS</t>
  </si>
  <si>
    <t>G712598019</t>
  </si>
  <si>
    <t>Display Assembly, Space Gray, MBA (M1, 2020)</t>
  </si>
  <si>
    <t>GMG6147016UNR8DBZ</t>
  </si>
  <si>
    <t>FP1502102PF249YAE</t>
  </si>
  <si>
    <t>G710762353</t>
  </si>
  <si>
    <t>G9Q5181ECS71502AK</t>
  </si>
  <si>
    <t>G9Q5371WK761502AP</t>
  </si>
  <si>
    <t>G709158675</t>
  </si>
  <si>
    <t>F8Y6056CC1F18FKBN</t>
  </si>
  <si>
    <t>F8Y2267074R18FLAJ</t>
  </si>
  <si>
    <t>G706042703</t>
  </si>
  <si>
    <t>G0NHPR02W6F0000YJ1</t>
  </si>
  <si>
    <t>DTTHLR00A3L0000QTV</t>
  </si>
  <si>
    <t>F0WHJM01YLS0000JS7</t>
  </si>
  <si>
    <t>DNMHKP004SD0000RYP</t>
  </si>
  <si>
    <t>G701493511</t>
  </si>
  <si>
    <t>J9KHMB004FX0000FD3</t>
  </si>
  <si>
    <t>GMHH7P00YLW0000882</t>
  </si>
  <si>
    <t>G701283493</t>
  </si>
  <si>
    <t>F8Y5442C2D5M6YNDW</t>
  </si>
  <si>
    <t>F8Y117200VGM6YNBM</t>
  </si>
  <si>
    <t>G700164625</t>
  </si>
  <si>
    <t>661-23803</t>
  </si>
  <si>
    <t>TrueDepth Camera, iPhone 13 Pro Max</t>
  </si>
  <si>
    <t>FK1350402HD0N78A0</t>
  </si>
  <si>
    <t>DTT13211ZP9Q6T14N</t>
  </si>
  <si>
    <t>F8Y5496C4RU13XCBY</t>
  </si>
  <si>
    <t>F5D1362A6FQ13X99X</t>
  </si>
  <si>
    <t>G715666141</t>
  </si>
  <si>
    <t>ZP923-13785</t>
  </si>
  <si>
    <t>Silver, Enclosure, iPhone 17 Pro Max, ROW</t>
  </si>
  <si>
    <t>F18HSG003NC00014QY</t>
  </si>
  <si>
    <t>F18HQ100X5300014QY</t>
  </si>
  <si>
    <t>G714998815</t>
  </si>
  <si>
    <t>F8Y6066C3MH13XCBY</t>
  </si>
  <si>
    <t>F8Y219215FM13XC8Q</t>
  </si>
  <si>
    <t>G694532152</t>
  </si>
  <si>
    <t>C27V51W0KD</t>
  </si>
  <si>
    <t>JX2XX4LPJF</t>
  </si>
  <si>
    <t>G711244285</t>
  </si>
  <si>
    <t>F8Y6056CC1J18FKBK</t>
  </si>
  <si>
    <t>F8Y41350B6718FLBV</t>
  </si>
  <si>
    <t>G691491954</t>
  </si>
  <si>
    <t>J9KHNS004CF0000FD3</t>
  </si>
  <si>
    <t>GMHHEW00GXL0000882</t>
  </si>
  <si>
    <t>G708850913</t>
  </si>
  <si>
    <t>G9PHL8T25YM00005DP</t>
  </si>
  <si>
    <t>GVCHFX0165S00005DQ</t>
  </si>
  <si>
    <t>F0WHJC00BWX0000488</t>
  </si>
  <si>
    <t>F0WHH700BTU00005KR</t>
  </si>
  <si>
    <t>G706960251</t>
  </si>
  <si>
    <t>G9PHJ1U0SGE00005DR</t>
  </si>
  <si>
    <t>GH3HDG00YK200005DS</t>
  </si>
  <si>
    <t>G706798473</t>
  </si>
  <si>
    <t>F0WHCJ00P4E000064R</t>
  </si>
  <si>
    <t>F0WHAX00UDC000064R</t>
  </si>
  <si>
    <t>G705257481</t>
  </si>
  <si>
    <t>KXCY27KGMY</t>
  </si>
  <si>
    <t>LP412KP2GQ</t>
  </si>
  <si>
    <t>G700466893</t>
  </si>
  <si>
    <t>G9QHK9Y1KJM00004Y7</t>
  </si>
  <si>
    <t>G9QH9DC4ZVX00004Y7</t>
  </si>
  <si>
    <t>G683219764</t>
  </si>
  <si>
    <t>PA661-26377</t>
  </si>
  <si>
    <t>SVC,BEATS FLEX(VN),BEATS BLACK-PAC</t>
  </si>
  <si>
    <t>HNXQ908HQ1HJ</t>
  </si>
  <si>
    <t>HNXNK5LYQ1HJ</t>
  </si>
  <si>
    <t>G699130935</t>
  </si>
  <si>
    <t>PA661-22271</t>
  </si>
  <si>
    <t>Stone Purple, Beats Fit Pro, Right, PAC, CI/AR</t>
  </si>
  <si>
    <t>H2DQC03E1JG5</t>
  </si>
  <si>
    <t>H2CPC0KW1JG5</t>
  </si>
  <si>
    <t>G712138469</t>
  </si>
  <si>
    <t>K3QGYW762K</t>
  </si>
  <si>
    <t>JNWW375YGR</t>
  </si>
  <si>
    <t>G711134827</t>
  </si>
  <si>
    <t>JRKWV6KJJL</t>
  </si>
  <si>
    <t>J9Y5T0J757</t>
  </si>
  <si>
    <t>G709670653</t>
  </si>
  <si>
    <t>FV9529201VQ0W9FL7</t>
  </si>
  <si>
    <t>FV9514307QZ0W9FLN</t>
  </si>
  <si>
    <t>G710851135</t>
  </si>
  <si>
    <t>Display, Space Gray, MBP (14-in, 2023)</t>
  </si>
  <si>
    <t>F0Y611701W02526AJ</t>
  </si>
  <si>
    <t>FMX24841Y5APP5CAJ</t>
  </si>
  <si>
    <t>G709993775</t>
  </si>
  <si>
    <t>DT9XJHFVC4</t>
  </si>
  <si>
    <t>DQ6D7C2J4T</t>
  </si>
  <si>
    <t>G708283323</t>
  </si>
  <si>
    <t>G9NHF8Q1AB500005DR</t>
  </si>
  <si>
    <t>GVCHBE00SNE00005DS</t>
  </si>
  <si>
    <t>G707013965</t>
  </si>
  <si>
    <t>K9WFTFJK6C</t>
  </si>
  <si>
    <t>GM209PQ755</t>
  </si>
  <si>
    <t>G705843387</t>
  </si>
  <si>
    <t>G9PHL8T0RC900005DP</t>
  </si>
  <si>
    <t>GVCHCX00HMJ00005DQ</t>
  </si>
  <si>
    <t>G705609991</t>
  </si>
  <si>
    <t>F8Y5501C0NH13XCBK</t>
  </si>
  <si>
    <t>F8Y20440LDX13X88S</t>
  </si>
  <si>
    <t>G705455745</t>
  </si>
  <si>
    <t>G9P5097MNBVPQCLA1</t>
  </si>
  <si>
    <t>G9N2126U1FYPQCLAH</t>
  </si>
  <si>
    <t>F8Y5455C90M13XCBL</t>
  </si>
  <si>
    <t>F5D21421V4913XDAD</t>
  </si>
  <si>
    <t>G703520499</t>
  </si>
  <si>
    <t>DNMHG6037MX000048L</t>
  </si>
  <si>
    <t>GCFHFP04GS000005LT</t>
  </si>
  <si>
    <t>G702928445</t>
  </si>
  <si>
    <t>FMXHNL000V700006J3</t>
  </si>
  <si>
    <t>FP1HGT005FT0000FQX</t>
  </si>
  <si>
    <t>G713743441</t>
  </si>
  <si>
    <t>FG9614504CDN2YLBW</t>
  </si>
  <si>
    <t>F5D0254AF3NN2YN42</t>
  </si>
  <si>
    <t>G707238405</t>
  </si>
  <si>
    <t>DRCHLB005D00000U64</t>
  </si>
  <si>
    <t>J0MHCZ002Q00000U64</t>
  </si>
  <si>
    <t>G0NHCW0163F0000HKZ</t>
  </si>
  <si>
    <t>GMHHBV004ZP0000BXF</t>
  </si>
  <si>
    <t>DN8HLZ08EGC00006S2</t>
  </si>
  <si>
    <t>DN8HCZ0CY7X00006S2</t>
  </si>
  <si>
    <t>G704242117</t>
  </si>
  <si>
    <t>F8Y5474C0AX18FKBL</t>
  </si>
  <si>
    <t>FG93233064V18FMAP</t>
  </si>
  <si>
    <t>G700949925</t>
  </si>
  <si>
    <t>661-34902</t>
  </si>
  <si>
    <t>Logic Board, 8-core CPU, 10-core GPU, 16GB, 512GB</t>
  </si>
  <si>
    <t>C02412601VT1RJGAQ</t>
  </si>
  <si>
    <t>C02352501871RJGA5</t>
  </si>
  <si>
    <t>G715452195</t>
  </si>
  <si>
    <t>C06HN70UKD500009JP</t>
  </si>
  <si>
    <t>GPVHKW0001800009JM</t>
  </si>
  <si>
    <t>G713138423</t>
  </si>
  <si>
    <t>661-17549</t>
  </si>
  <si>
    <t>Display Assembly, Silver, MBP (13-in, 2020)</t>
  </si>
  <si>
    <t>FMX548301G1NTJHA9</t>
  </si>
  <si>
    <t>FMX23031Q1FNTJJAD</t>
  </si>
  <si>
    <t>G711122667</t>
  </si>
  <si>
    <t>Display, Starlight, MBA (15-in, M4, 2025)</t>
  </si>
  <si>
    <t>GMGHMP0040D0000HX1</t>
  </si>
  <si>
    <t>F0YHC10003L0000HX1</t>
  </si>
  <si>
    <t>G708388183</t>
  </si>
  <si>
    <t>G9P5363M0FJPQCLAY</t>
  </si>
  <si>
    <t>G9P2287N8S5PQCLA1</t>
  </si>
  <si>
    <t>G702719755</t>
  </si>
  <si>
    <t>F8Y5452C6AG18FKB3</t>
  </si>
  <si>
    <t>FG914141S8N18FM4N</t>
  </si>
  <si>
    <t>G715341615</t>
  </si>
  <si>
    <t>F8Y6165C3JU13XCBW</t>
  </si>
  <si>
    <t>F5D22338CL313X9A6</t>
  </si>
  <si>
    <t>G713422051</t>
  </si>
  <si>
    <t>F8Y5472CD1EQ687BK</t>
  </si>
  <si>
    <t>FG911550ZPHQ68935</t>
  </si>
  <si>
    <t>661-17922</t>
  </si>
  <si>
    <t>Camera, iPhone 12 Pro</t>
  </si>
  <si>
    <t>GCF24117QGBMFGVB1</t>
  </si>
  <si>
    <t>GCF11529KEDMFGVBX</t>
  </si>
  <si>
    <t>G713419531</t>
  </si>
  <si>
    <t>LXF6VVTWP0</t>
  </si>
  <si>
    <t>HX5Q23R47Q</t>
  </si>
  <si>
    <t>G713300171</t>
  </si>
  <si>
    <t>F8Y6163C0UV18FKB6</t>
  </si>
  <si>
    <t>F8Y4177092918FLBT</t>
  </si>
  <si>
    <t>GVH51640SSVPR5PAP</t>
  </si>
  <si>
    <t>G9Q4182BFAKPR5QA8</t>
  </si>
  <si>
    <t>G713288123</t>
  </si>
  <si>
    <t>GH3HRU005K90000MUZ</t>
  </si>
  <si>
    <t>G9PHLNE0PP20000MUY</t>
  </si>
  <si>
    <t>G706139809</t>
  </si>
  <si>
    <t>C02HBE000110000KXD</t>
  </si>
  <si>
    <t>C02HJD004F40000PNB</t>
  </si>
  <si>
    <t>G713836717</t>
  </si>
  <si>
    <t>661-42933</t>
  </si>
  <si>
    <t>Display, Pink, iMac (24-in, 2024)</t>
  </si>
  <si>
    <t>GHQHNB000QN0001A6Z</t>
  </si>
  <si>
    <t>GHQHNB000W60001A6Z</t>
  </si>
  <si>
    <t>ZA661-45772</t>
  </si>
  <si>
    <t>Pink, Magic Mouse, USB-C, ITS</t>
  </si>
  <si>
    <t>CC2HJ90005A000054U</t>
  </si>
  <si>
    <t>MISSINGITEM</t>
  </si>
  <si>
    <t>G713300055</t>
  </si>
  <si>
    <t>F8Y6153C0NF20J9BD</t>
  </si>
  <si>
    <t>F8Y31560WG520JCAK</t>
  </si>
  <si>
    <t>G694650340</t>
  </si>
  <si>
    <t>PP661-29409</t>
  </si>
  <si>
    <t>Starlight, iPhone 14 Plus, 256GB, ROW, CI/AR, Philippines</t>
  </si>
  <si>
    <t>G4WHKHXT6Y</t>
  </si>
  <si>
    <t>MY4D9TX546</t>
  </si>
  <si>
    <t>G699338725</t>
  </si>
  <si>
    <t>G9P5351M664PQCLA4</t>
  </si>
  <si>
    <t>G9P2174PG0HPQCLAV</t>
  </si>
  <si>
    <t>G699247575</t>
  </si>
  <si>
    <t>GMG545300FZ1J88AD</t>
  </si>
  <si>
    <t>FP1522201RP25YVAZ</t>
  </si>
  <si>
    <t>G713097671</t>
  </si>
  <si>
    <t>661-35590</t>
  </si>
  <si>
    <t>Midnight Aluminum, Apple Watch Series 9, 45mm, GPS, CI/AR</t>
  </si>
  <si>
    <t>J71646FWTM</t>
  </si>
  <si>
    <t>G692602014</t>
  </si>
  <si>
    <t>Top Case, Space Black, ANSI, MBP (14-in, M4, 2024)</t>
  </si>
  <si>
    <t>F8YHPYN010L00000E5</t>
  </si>
  <si>
    <t>F5DHGR000U400000EB</t>
  </si>
  <si>
    <t>G710554237</t>
  </si>
  <si>
    <t>661-46465</t>
  </si>
  <si>
    <t>Logic Board, 16-core CPU, 40-core GPU, 48GB, 1TB, VN</t>
  </si>
  <si>
    <t>J4FHH70007V0000NMX</t>
  </si>
  <si>
    <t>FV9HDY002KQ0000EFC</t>
  </si>
  <si>
    <t>G708591087</t>
  </si>
  <si>
    <t>F8Y6056CM9R18FKBD</t>
  </si>
  <si>
    <t>F8Y4113032A18FLBL</t>
  </si>
  <si>
    <t>G708523505</t>
  </si>
  <si>
    <t>HY8HPE03UZY0000UHY</t>
  </si>
  <si>
    <t>G708214119</t>
  </si>
  <si>
    <t>C02329201EQ0W9CAJ</t>
  </si>
  <si>
    <t>C02309700JD0W98AK</t>
  </si>
  <si>
    <t>G707489701</t>
  </si>
  <si>
    <t>F8Y6051C2AGM6YNDT</t>
  </si>
  <si>
    <t>FG9942118KMM6YR8V</t>
  </si>
  <si>
    <t>G689532228</t>
  </si>
  <si>
    <t>Z661-43103</t>
  </si>
  <si>
    <t>AirPods 4, Left, CI/AR, CN, INT</t>
  </si>
  <si>
    <t>GN1HPM0153F0000B30</t>
  </si>
  <si>
    <t>G689087762</t>
  </si>
  <si>
    <t>F0Y552400PQ2526AF</t>
  </si>
  <si>
    <t>DCN4103006D2525A0</t>
  </si>
  <si>
    <t>G704023047</t>
  </si>
  <si>
    <t>661-49431</t>
  </si>
  <si>
    <t>Display, iPhone 16e</t>
  </si>
  <si>
    <t>G9P5384B5DU1502AF</t>
  </si>
  <si>
    <t>GVH50350THT1501AD</t>
  </si>
  <si>
    <t>G700023347</t>
  </si>
  <si>
    <t>FV9439407ZT0W9CHY</t>
  </si>
  <si>
    <t>C022435015A0W9CA7</t>
  </si>
  <si>
    <t>G713657255</t>
  </si>
  <si>
    <t>F8Y6167C20N18FKBP</t>
  </si>
  <si>
    <t>F8Y253102RL18FKAC</t>
  </si>
  <si>
    <t>G9P5472C8RMPR5QAX</t>
  </si>
  <si>
    <t>GVC25211L6RPR5RAB</t>
  </si>
  <si>
    <t>G712139059</t>
  </si>
  <si>
    <t>CJWR2VHPX1</t>
  </si>
  <si>
    <t>F672Y47165</t>
  </si>
  <si>
    <t>G711464321</t>
  </si>
  <si>
    <t>DNL51950G6M1986BV</t>
  </si>
  <si>
    <t>DNL40240T5N1986BC</t>
  </si>
  <si>
    <t>G709961785</t>
  </si>
  <si>
    <t>ZP661-50273</t>
  </si>
  <si>
    <t>iPad Air 11-inch (M3) Wi-Fi, 512GB, Purple, CI/AR, CN</t>
  </si>
  <si>
    <t>LQ7X1JXHK6</t>
  </si>
  <si>
    <t>K7KXFF40TY</t>
  </si>
  <si>
    <t>G709590411</t>
  </si>
  <si>
    <t>C02HKZ002Z80000P0R</t>
  </si>
  <si>
    <t>C02HFF003RU0000P0R</t>
  </si>
  <si>
    <t>G707178213</t>
  </si>
  <si>
    <t>G9P5507MEA3PQCKAT</t>
  </si>
  <si>
    <t>G9P2257HF6FPQCKA1</t>
  </si>
  <si>
    <t>G705845441</t>
  </si>
  <si>
    <t>GHQ439300V41R7TB4</t>
  </si>
  <si>
    <t>GHQ345601BJ1R7TBL</t>
  </si>
  <si>
    <t>G705140607</t>
  </si>
  <si>
    <t>PA661-39906</t>
  </si>
  <si>
    <t>Beats Solo 4, Cloud Pink, CI/AR, CN</t>
  </si>
  <si>
    <t>G69VQPXG43</t>
  </si>
  <si>
    <t>D57XGHQL0D</t>
  </si>
  <si>
    <t>G699632937</t>
  </si>
  <si>
    <t>661-42823</t>
  </si>
  <si>
    <t>F8YHF4N04690000FWQ</t>
  </si>
  <si>
    <t>F5DHKA000XP0000FWP</t>
  </si>
  <si>
    <t>G683270636</t>
  </si>
  <si>
    <t>GHQ603701352FT7AT</t>
  </si>
  <si>
    <t>GHQ15170165167TAJ</t>
  </si>
  <si>
    <t>G699093011</t>
  </si>
  <si>
    <t>DNM430604B71QDC6B</t>
  </si>
  <si>
    <t>DNM50911JTM1QDC1T</t>
  </si>
  <si>
    <t>G698933771</t>
  </si>
  <si>
    <t>FV9HNH0000Y0000HG2</t>
  </si>
  <si>
    <t>FV9HGA001QP0000HG2</t>
  </si>
  <si>
    <t>661-50211</t>
  </si>
  <si>
    <t>F8YHG4N01950000FWL</t>
  </si>
  <si>
    <t>F5DHG7004QY0000FWJ</t>
  </si>
  <si>
    <t>FV9HGS001G30000HG2</t>
  </si>
  <si>
    <t>G698931309</t>
  </si>
  <si>
    <t>F8Y5514C2EU231LB1</t>
  </si>
  <si>
    <t>FG923730NDQ22XP68</t>
  </si>
  <si>
    <t>G713091801</t>
  </si>
  <si>
    <t>F8Y6155C2P418FKBB</t>
  </si>
  <si>
    <t>F8Y4113057918FLB4</t>
  </si>
  <si>
    <t>G712931047</t>
  </si>
  <si>
    <t>M703HT623F</t>
  </si>
  <si>
    <t>L07WQJ4X7N</t>
  </si>
  <si>
    <t>G710471955</t>
  </si>
  <si>
    <t>G33F65RV2K</t>
  </si>
  <si>
    <t>HCV2G6K1VR</t>
  </si>
  <si>
    <t>G709760427</t>
  </si>
  <si>
    <t>JJ27H6LL25</t>
  </si>
  <si>
    <t>F23JQ2HMF7</t>
  </si>
  <si>
    <t>G708630293</t>
  </si>
  <si>
    <t>923-13581</t>
  </si>
  <si>
    <t>Top Speaker, iPhone 17 Pro Max</t>
  </si>
  <si>
    <t>CTHHJM61S760000UV3</t>
  </si>
  <si>
    <t>CTHHKP6212F0000UV3</t>
  </si>
  <si>
    <t>G703237629</t>
  </si>
  <si>
    <t>F8Y6011C30Q20J9BE</t>
  </si>
  <si>
    <t>F5D3214046J20J8A5</t>
  </si>
  <si>
    <t>G712480909</t>
  </si>
  <si>
    <t>C4N4M7V5W4</t>
  </si>
  <si>
    <t>JXR9VLF94R</t>
  </si>
  <si>
    <t>G711977417</t>
  </si>
  <si>
    <t>G9P5322QB9E1PHRAS</t>
  </si>
  <si>
    <t>G9Q3396HF3B1PHRAA</t>
  </si>
  <si>
    <t>G710513777</t>
  </si>
  <si>
    <t>GN3HS20KY7S0000B31</t>
  </si>
  <si>
    <t>GN3HJWOPQNV0000B31</t>
  </si>
  <si>
    <t>G709275273</t>
  </si>
  <si>
    <t>F8Y6054CEZ318FKB6</t>
  </si>
  <si>
    <t>FG941760WAJ18FMB6</t>
  </si>
  <si>
    <t>G700163501</t>
  </si>
  <si>
    <t>FMXHMD000LV00006GW</t>
  </si>
  <si>
    <t>FMXHCF008YU00006GW</t>
  </si>
  <si>
    <t>G712778385</t>
  </si>
  <si>
    <t>G9QHNWT031G00004Y9</t>
  </si>
  <si>
    <t>G9QHF0Q448P00004Y9</t>
  </si>
  <si>
    <t>G709538367</t>
  </si>
  <si>
    <t>F5CX9G3YRP</t>
  </si>
  <si>
    <t>MGD46PM99Y</t>
  </si>
  <si>
    <t>G704479487</t>
  </si>
  <si>
    <t>FQRWXXQ257</t>
  </si>
  <si>
    <t>JH915732FL</t>
  </si>
  <si>
    <t>G702633491</t>
  </si>
  <si>
    <t>F8Y5506CDBX18FKBN</t>
  </si>
  <si>
    <t>F8Y244115JQ18FLAL</t>
  </si>
  <si>
    <t>G713741693</t>
  </si>
  <si>
    <t>661-13569</t>
  </si>
  <si>
    <t>Battery, iPhone 11 Pro</t>
  </si>
  <si>
    <t>F5D53860994LTDMBV</t>
  </si>
  <si>
    <t>F5D00410ZRELTDM8R</t>
  </si>
  <si>
    <t>G712932385</t>
  </si>
  <si>
    <t>JXKJPQR06H</t>
  </si>
  <si>
    <t>HFH60X79PD</t>
  </si>
  <si>
    <t>G712703421</t>
  </si>
  <si>
    <t>CFFK4CP7FG</t>
  </si>
  <si>
    <t>J5CHML019870000YEC</t>
  </si>
  <si>
    <t>G692803278</t>
  </si>
  <si>
    <t>Display, Midnight, MBA (M2, 2022), AS</t>
  </si>
  <si>
    <t>F0Y543101ZJ1J87AW</t>
  </si>
  <si>
    <t>FP1507501BV25YVAK</t>
  </si>
  <si>
    <t>G692592856</t>
  </si>
  <si>
    <t>LV9LX6HHPV</t>
  </si>
  <si>
    <t>F0WR4NF25D</t>
  </si>
  <si>
    <t>G707395741</t>
  </si>
  <si>
    <t>GX1HPZ04UAB0000B2Z</t>
  </si>
  <si>
    <t>G705087239</t>
  </si>
  <si>
    <t>PA661-32583</t>
  </si>
  <si>
    <t>SVC,STUDIO BUDS(VN)CASE,BLACK,CI/AR</t>
  </si>
  <si>
    <t>HNYPR05W0RP2</t>
  </si>
  <si>
    <t>FL7GXXHE0RP2</t>
  </si>
  <si>
    <t>HNYR20AF17F4</t>
  </si>
  <si>
    <t>FTJGXKBR17F4</t>
  </si>
  <si>
    <t>G702535441</t>
  </si>
  <si>
    <t>G9P5163L5GAPQCKA4</t>
  </si>
  <si>
    <t>G9N2167Y1Q9PQCKAP</t>
  </si>
  <si>
    <t>G700063049</t>
  </si>
  <si>
    <t>661-16545</t>
  </si>
  <si>
    <t>Logic Board, 8-core CPU, 8-core GPU, 8GB, 512GB</t>
  </si>
  <si>
    <t>C02230401CKPXDCA8</t>
  </si>
  <si>
    <t>C02143303XZPXDCAX</t>
  </si>
  <si>
    <t>G699641513</t>
  </si>
  <si>
    <t>F8Y5456C2CCQ4C2BW</t>
  </si>
  <si>
    <t>F8Y12640K08Q4C2A3</t>
  </si>
  <si>
    <t>G715407531</t>
  </si>
  <si>
    <t>Display, Midnight, MBA (15-in, M3, 2024)</t>
  </si>
  <si>
    <t>FP1HHE001V100000CN</t>
  </si>
  <si>
    <t>GMGH330018X00000CQ</t>
  </si>
  <si>
    <t>G714194015</t>
  </si>
  <si>
    <t>F8Y6152CCXY20J9BS</t>
  </si>
  <si>
    <t>F8Y24530BWA20J92M</t>
  </si>
  <si>
    <t>G713089795</t>
  </si>
  <si>
    <t>F18HQA0019Y00014QY</t>
  </si>
  <si>
    <t>FM7HM000XPE00014QY</t>
  </si>
  <si>
    <t>G709894253</t>
  </si>
  <si>
    <t>ZP661-58346</t>
  </si>
  <si>
    <t>AirTag (2nd Gen), 1 Pack, CN</t>
  </si>
  <si>
    <t>CKQRYMXWJP</t>
  </si>
  <si>
    <t>LYJ22CXDFP</t>
  </si>
  <si>
    <t>G708854019</t>
  </si>
  <si>
    <t>LTQN4JN2NH</t>
  </si>
  <si>
    <t>K7JQ6V19V9</t>
  </si>
  <si>
    <t>G708633425</t>
  </si>
  <si>
    <t>DL0Y7D93D2</t>
  </si>
  <si>
    <t>GYJPFM6FPF</t>
  </si>
  <si>
    <t>G698303527</t>
  </si>
  <si>
    <t>661-34705</t>
  </si>
  <si>
    <t>GMGGT30003400000CQ</t>
  </si>
  <si>
    <t>F0YGUG0005000000CP</t>
  </si>
  <si>
    <t>G713816869</t>
  </si>
  <si>
    <t>F8Y6167C1JU18FKBY</t>
  </si>
  <si>
    <t>G705934997</t>
  </si>
  <si>
    <t>HNXQC1ZTQ1HJ</t>
  </si>
  <si>
    <t>G705014191</t>
  </si>
  <si>
    <t>G9Q5181W62B1502AB</t>
  </si>
  <si>
    <t>GVC43820JXT1503A5</t>
  </si>
  <si>
    <t>G686885760</t>
  </si>
  <si>
    <t>F8Y5473C32B18FKBU</t>
  </si>
  <si>
    <t>F8Y21021GF818FLAE</t>
  </si>
  <si>
    <t>G713089777</t>
  </si>
  <si>
    <t>HWMY9CJ7W3</t>
  </si>
  <si>
    <t>HX7W6D3C9D</t>
  </si>
  <si>
    <t>G712479571</t>
  </si>
  <si>
    <t>G9Q5493VFPY1502AF</t>
  </si>
  <si>
    <t>GVC44350JHS1503AR</t>
  </si>
  <si>
    <t>G711561905</t>
  </si>
  <si>
    <t>H7N3TPW26M</t>
  </si>
  <si>
    <t>CL745VW44T</t>
  </si>
  <si>
    <t>G711239825</t>
  </si>
  <si>
    <t>HQ60Y9663Q</t>
  </si>
  <si>
    <t>GCTFMVNH9D</t>
  </si>
  <si>
    <t>G710858801</t>
  </si>
  <si>
    <t>FV951830EB90W9GLX</t>
  </si>
  <si>
    <t>FV951270S5X0W9FLW</t>
  </si>
  <si>
    <t>G701560103</t>
  </si>
  <si>
    <t>JP9G32NHT2</t>
  </si>
  <si>
    <t>JRPCVG9LXY</t>
  </si>
  <si>
    <t>G699494103</t>
  </si>
  <si>
    <t>J21QQFGG26JY</t>
  </si>
  <si>
    <t>G714774877</t>
  </si>
  <si>
    <t>F8Y6146N0K913QFC5</t>
  </si>
  <si>
    <t>F5D31470UK210DLAM</t>
  </si>
  <si>
    <t>G714640355</t>
  </si>
  <si>
    <t>G9PHLUT0BC500005DP</t>
  </si>
  <si>
    <t>GVCHGJ01WNV00005DQ</t>
  </si>
  <si>
    <t>G711780155</t>
  </si>
  <si>
    <t>D865123N044PJYRBH</t>
  </si>
  <si>
    <t>D863317A36MPJYRAZ</t>
  </si>
  <si>
    <t>G710983479</t>
  </si>
  <si>
    <t>ZP661-55311</t>
  </si>
  <si>
    <t>Silver, Wi-Fi, 1TB, iPad Pro 11-inch (M5), CI/AR, CN</t>
  </si>
  <si>
    <t>D9697WW6Y5</t>
  </si>
  <si>
    <t>KWY9XQ1CMF</t>
  </si>
  <si>
    <t>G710097471</t>
  </si>
  <si>
    <t>F8Y6061CCH818FKBH</t>
  </si>
  <si>
    <t>FG93291022718FMA5</t>
  </si>
  <si>
    <t>G690022136</t>
  </si>
  <si>
    <t>GJX9096RMG</t>
  </si>
  <si>
    <t>H7F4DJNVG3</t>
  </si>
  <si>
    <t>G704989789</t>
  </si>
  <si>
    <t>G9P5163LDPJPQCKA1</t>
  </si>
  <si>
    <t>G9P2085XM8EPQCKAB</t>
  </si>
  <si>
    <t>G699273275</t>
  </si>
  <si>
    <t>F8Y5444C9KC18FKBC</t>
  </si>
  <si>
    <t>F8Y41740R0A18FLBK</t>
  </si>
  <si>
    <t>G712420423</t>
  </si>
  <si>
    <t>ZP661-50326</t>
  </si>
  <si>
    <t>iPad Air 13-inch (M3) Wi-Fi + Cellular, ROW, 128GB, Space Gray, CI/AR, V</t>
  </si>
  <si>
    <t>HVHFYXHDJN</t>
  </si>
  <si>
    <t>L0426G303X</t>
  </si>
  <si>
    <t>G710660219</t>
  </si>
  <si>
    <t>F8Y6024C4ZXQ4C2BS</t>
  </si>
  <si>
    <t>F5D11432YVRQ4929W</t>
  </si>
  <si>
    <t>G708519377</t>
  </si>
  <si>
    <t>ZP661-42975</t>
  </si>
  <si>
    <t>Blue, 256GB, iPad mini, Wi-Fi, CI/AR, ITP</t>
  </si>
  <si>
    <t>LD14HH259D</t>
  </si>
  <si>
    <t>GKL2D4DL6M</t>
  </si>
  <si>
    <t>G708486387</t>
  </si>
  <si>
    <t>K3D9LX7NGC</t>
  </si>
  <si>
    <t>JWXWWM57L0</t>
  </si>
  <si>
    <t>G700989729</t>
  </si>
  <si>
    <t>D865433N6871LP9CS</t>
  </si>
  <si>
    <t>D865207A19Y1LPDC8</t>
  </si>
  <si>
    <t>G699005703</t>
  </si>
  <si>
    <t>FK1HKL00HV800001A2</t>
  </si>
  <si>
    <t>DTTHAD005BT000004D</t>
  </si>
  <si>
    <t>G709665879</t>
  </si>
  <si>
    <t>G0FW61V4WH</t>
  </si>
  <si>
    <t>FY7JM9509W</t>
  </si>
  <si>
    <t>G707488755</t>
  </si>
  <si>
    <t>G9PHJWS10YD00005DR</t>
  </si>
  <si>
    <t>GH3H9K01YYV00005DS</t>
  </si>
  <si>
    <t>G705604603</t>
  </si>
  <si>
    <t>H2CQV05C1JG8</t>
  </si>
  <si>
    <t>H2CPK1GK1JG8</t>
  </si>
  <si>
    <t>G702388153</t>
  </si>
  <si>
    <t>F0YHM9003Q70000GVK</t>
  </si>
  <si>
    <t>GMGHFX00AEB0000GVK</t>
  </si>
  <si>
    <t>F0YHMB002M50000GVK</t>
  </si>
  <si>
    <t>G699377589</t>
  </si>
  <si>
    <t>J21QQ51K26JY</t>
  </si>
  <si>
    <t>G715742323</t>
  </si>
  <si>
    <t>F8Y6147N3B713QFCT</t>
  </si>
  <si>
    <t>F8Y4196085B10X2CM</t>
  </si>
  <si>
    <t>G715644953</t>
  </si>
  <si>
    <t>F0YHRV003TS0000UJX</t>
  </si>
  <si>
    <t>FP1HPH003M70000UJW</t>
  </si>
  <si>
    <t>G710328831</t>
  </si>
  <si>
    <t>D9WVVK4QGG</t>
  </si>
  <si>
    <t>HL72FYFW2L</t>
  </si>
  <si>
    <t>G709319465</t>
  </si>
  <si>
    <t>C5P6G732PD</t>
  </si>
  <si>
    <t>K10Y416R5V</t>
  </si>
  <si>
    <t>G708799961</t>
  </si>
  <si>
    <t>CX6MH7F171</t>
  </si>
  <si>
    <t>LYJRWKD2MM</t>
  </si>
  <si>
    <t>G708604109</t>
  </si>
  <si>
    <t>F8Y6053CC8U18FKBR</t>
  </si>
  <si>
    <t>FG931240AQZ18FNAR</t>
  </si>
  <si>
    <t>G707628357</t>
  </si>
  <si>
    <t>F8Y6062N1A713QFCY</t>
  </si>
  <si>
    <t>F5D42660AYH10DLC4</t>
  </si>
  <si>
    <t>G707490533</t>
  </si>
  <si>
    <t>F8Y6066C6D413XCBY</t>
  </si>
  <si>
    <t>F5D140345GE13XD91</t>
  </si>
  <si>
    <t>G707051441</t>
  </si>
  <si>
    <t>G9P5154L0NXPQCKA6</t>
  </si>
  <si>
    <t>G9P2305L53UPQCKAE</t>
  </si>
  <si>
    <t>G707136923</t>
  </si>
  <si>
    <t>F8Y5503C1YZ13RHCE</t>
  </si>
  <si>
    <t>F5D23110P0X13RKAY</t>
  </si>
  <si>
    <t>G703896155</t>
  </si>
  <si>
    <t>HNXQJ0SCQ1HJ</t>
  </si>
  <si>
    <t>HNXPVEDZQ1HJ</t>
  </si>
  <si>
    <t>G698469311</t>
  </si>
  <si>
    <t>DNL5377108F17RRC7</t>
  </si>
  <si>
    <t>DNL4424071A17RRBJ</t>
  </si>
  <si>
    <t>G715750397</t>
  </si>
  <si>
    <t>GH3HCN010H800005DS</t>
  </si>
  <si>
    <t>GH3HD100FTF00005DS</t>
  </si>
  <si>
    <t>G712026311</t>
  </si>
  <si>
    <t>GN3HGV0EVEP0000B2Z</t>
  </si>
  <si>
    <t>G711314291</t>
  </si>
  <si>
    <t>F8Y6056CCPQ18FKBF</t>
  </si>
  <si>
    <t>FG941350Q3T18FMB3</t>
  </si>
  <si>
    <t>G708390653</t>
  </si>
  <si>
    <t>LPLV7WM0P6</t>
  </si>
  <si>
    <t>M2QH39Q027</t>
  </si>
  <si>
    <t>G689541756</t>
  </si>
  <si>
    <t>FV9HJ20004J00002W8</t>
  </si>
  <si>
    <t>C02H0H0002700002W8</t>
  </si>
  <si>
    <t>F0Y552400SZ2526AX</t>
  </si>
  <si>
    <t>FMX339200GYPP5FAS</t>
  </si>
  <si>
    <t>G702536889</t>
  </si>
  <si>
    <t>Display, Standard, Space Black</t>
  </si>
  <si>
    <t>F0YHMP001XH0000UJX</t>
  </si>
  <si>
    <t>F0YHLH007170000UJX</t>
  </si>
  <si>
    <t>661-53099</t>
  </si>
  <si>
    <t>Logic Board, 10-core CPU, 10-core GPU, 16 GB, 512 GB, VN</t>
  </si>
  <si>
    <t>J33HPQ0064G0000VLG</t>
  </si>
  <si>
    <t>FV9HML002RR0000Z5C</t>
  </si>
  <si>
    <t>G702526777</t>
  </si>
  <si>
    <t>F8Y5506CNHG18FKBA</t>
  </si>
  <si>
    <t>FG9417301Y318FMBM</t>
  </si>
  <si>
    <t>G701700809</t>
  </si>
  <si>
    <t>FV95163013L0W9FLW</t>
  </si>
  <si>
    <t>FV951060DRC0W9FL9</t>
  </si>
  <si>
    <t>GMG527602DW1J88AD</t>
  </si>
  <si>
    <t>FP1507501B825YVA6</t>
  </si>
  <si>
    <t>G715606175</t>
  </si>
  <si>
    <t>F8Y6183C0ER18FKBC</t>
  </si>
  <si>
    <t>F8Y241308QW18FLA3</t>
  </si>
  <si>
    <t>G695583512</t>
  </si>
  <si>
    <t>GMGHML004Q40000HX1</t>
  </si>
  <si>
    <t>FP1HFA001250000HWZ</t>
  </si>
  <si>
    <t>GMGHMM0008V0000HX1</t>
  </si>
  <si>
    <t>G713860715</t>
  </si>
  <si>
    <t>DN8HKA0ERZL0000JS5</t>
  </si>
  <si>
    <t>DN8HQP04CFF0000RYQ</t>
  </si>
  <si>
    <t>G712028621</t>
  </si>
  <si>
    <t>F0KCGFX74K</t>
  </si>
  <si>
    <t>CTX4XVQW9M</t>
  </si>
  <si>
    <t>G711905585</t>
  </si>
  <si>
    <t>661-17555</t>
  </si>
  <si>
    <t>Power Adapter, USB-C, 20W</t>
  </si>
  <si>
    <t>C4H242207GJPF4FCT</t>
  </si>
  <si>
    <t>G710400791</t>
  </si>
  <si>
    <t>CFJ4RYQQQF</t>
  </si>
  <si>
    <t>DPF0W6P372</t>
  </si>
  <si>
    <t>G709319113</t>
  </si>
  <si>
    <t>G9P5265QBF91PHRAZ</t>
  </si>
  <si>
    <t>GH334732XU51PHTA7</t>
  </si>
  <si>
    <t>G704770529</t>
  </si>
  <si>
    <t>F7LVR6FYP1</t>
  </si>
  <si>
    <t>F416WGWHY4</t>
  </si>
  <si>
    <t>G701850669</t>
  </si>
  <si>
    <t>F8Y5507CGAG18FKB2</t>
  </si>
  <si>
    <t>FG915110TP418FM4Z</t>
  </si>
  <si>
    <t>G711908139</t>
  </si>
  <si>
    <t>GH3HRB007MX0000MUZ</t>
  </si>
  <si>
    <t>GH3HMZ01BAP0000MUZ</t>
  </si>
  <si>
    <t>G0NHQV01FQK0000YJ1</t>
  </si>
  <si>
    <t>FNJHMJL0CRZ0000QSK</t>
  </si>
  <si>
    <t>G711651979</t>
  </si>
  <si>
    <t>G9P5255N3BC14YDAB</t>
  </si>
  <si>
    <t>G9N2426LF2Z14YDAT</t>
  </si>
  <si>
    <t>F8Y6126C3G620J9B9</t>
  </si>
  <si>
    <t>F8Y24551ENF20JC2V</t>
  </si>
  <si>
    <t>G711350149</t>
  </si>
  <si>
    <t>DNL52230C6Y1986BA</t>
  </si>
  <si>
    <t>DNL34010J4N1986BY</t>
  </si>
  <si>
    <t>G710879823</t>
  </si>
  <si>
    <t>F0WHJA004S80000488</t>
  </si>
  <si>
    <t>DN8HCG0B4BJ00005KQ</t>
  </si>
  <si>
    <t>G707415547</t>
  </si>
  <si>
    <t>G9NHF5P0PA200005DR</t>
  </si>
  <si>
    <t>GVCHDY00Z8J00005DS</t>
  </si>
  <si>
    <t>G706922139</t>
  </si>
  <si>
    <t>D865507N0DZPJYRBT</t>
  </si>
  <si>
    <t>D862433A6SBPJYRAE</t>
  </si>
  <si>
    <t>G703905515</t>
  </si>
  <si>
    <t>J9KHMT008UY0000FD3</t>
  </si>
  <si>
    <t>GMHHB40005D0000882</t>
  </si>
  <si>
    <t>G702242165</t>
  </si>
  <si>
    <t>GMG5335003U1J88AR</t>
  </si>
  <si>
    <t>F0Y510700Y41J88AK</t>
  </si>
  <si>
    <t>G716018485</t>
  </si>
  <si>
    <t>661-04570</t>
  </si>
  <si>
    <t>50-watt-hour Battery</t>
  </si>
  <si>
    <t>D866042A0KXF90KHP</t>
  </si>
  <si>
    <t>C01724705FCF90MF1</t>
  </si>
  <si>
    <t>G695975474</t>
  </si>
  <si>
    <t>923-12003</t>
  </si>
  <si>
    <t>Speaker, iPhone 16e/iPhone 17e</t>
  </si>
  <si>
    <t>DTVHD6180P80000JR6</t>
  </si>
  <si>
    <t>DTVHDX28QS00000JR6</t>
  </si>
  <si>
    <t>G713809603</t>
  </si>
  <si>
    <t>Display Assembly, Space Gray, MBP (13-in, 2020)</t>
  </si>
  <si>
    <t>FMX6122002RNTJHAD</t>
  </si>
  <si>
    <t>FMX22850KS0NTJJA4</t>
  </si>
  <si>
    <t>G713309303</t>
  </si>
  <si>
    <t>D6XD44N0VD</t>
  </si>
  <si>
    <t>KGV27XJW4N</t>
  </si>
  <si>
    <t>G712027721</t>
  </si>
  <si>
    <t>661-51052</t>
  </si>
  <si>
    <t>Cable, USB-C to MagSafe 3, 2m, Sky Blue</t>
  </si>
  <si>
    <t>FTL609700QK2FH8A5</t>
  </si>
  <si>
    <t>G711781037</t>
  </si>
  <si>
    <t>LXVQNJ5YVF</t>
  </si>
  <si>
    <t>LPFVX52C91</t>
  </si>
  <si>
    <t>G711744311</t>
  </si>
  <si>
    <t>F8Y6063C6FF13RHCU</t>
  </si>
  <si>
    <t>F5D2035AEM613RK93</t>
  </si>
  <si>
    <t>G709630637</t>
  </si>
  <si>
    <t>F8Y6101C19013XCB7</t>
  </si>
  <si>
    <t>F5D1333B2T113X98W</t>
  </si>
  <si>
    <t>G707423055</t>
  </si>
  <si>
    <t>J21QW2AF26JY</t>
  </si>
  <si>
    <t>G700094579</t>
  </si>
  <si>
    <t>D865315A06KF90KHC</t>
  </si>
  <si>
    <t>D867165004GF90JF5</t>
  </si>
  <si>
    <t>G711242853</t>
  </si>
  <si>
    <t>H97R912XJKM9</t>
  </si>
  <si>
    <t>H97N1DEKJKM9</t>
  </si>
  <si>
    <t>G710854873</t>
  </si>
  <si>
    <t>JW2PYXRF2V</t>
  </si>
  <si>
    <t>FC6CD7954K</t>
  </si>
  <si>
    <t>G688631096</t>
  </si>
  <si>
    <t>HXK42960HYT1N08DL</t>
  </si>
  <si>
    <t>HXK507308721N08GS</t>
  </si>
  <si>
    <t>G715229635</t>
  </si>
  <si>
    <t>F8Y6167C4D820J9B2</t>
  </si>
  <si>
    <t>F8Y243503Q920JC2F</t>
  </si>
  <si>
    <t>G714539159</t>
  </si>
  <si>
    <t>HTW1921X2T</t>
  </si>
  <si>
    <t>HQNJXFQGWR</t>
  </si>
  <si>
    <t>G713832215</t>
  </si>
  <si>
    <t>F8Y6167C5NX18FKBD</t>
  </si>
  <si>
    <t>FG941960BPC18FMBL</t>
  </si>
  <si>
    <t>G713742781</t>
  </si>
  <si>
    <t>Display, Silver, MBP (14-in, M3, 2023)</t>
  </si>
  <si>
    <t>F0Y611601BU2526AE</t>
  </si>
  <si>
    <t>FP1417402F9216RAD</t>
  </si>
  <si>
    <t>G712139983</t>
  </si>
  <si>
    <t>F8Y6157C47R18FKB0</t>
  </si>
  <si>
    <t>FG932460CPG18FMA1</t>
  </si>
  <si>
    <t>G692979100</t>
  </si>
  <si>
    <t>G9PHLXT0U1900005DP</t>
  </si>
  <si>
    <t>GVCHH2006RE00005DQ</t>
  </si>
  <si>
    <t>G692607264</t>
  </si>
  <si>
    <t>GN2HD202N8A0000B2Z</t>
  </si>
  <si>
    <t>G710555647</t>
  </si>
  <si>
    <t>K7YQP3757H</t>
  </si>
  <si>
    <t>JJ4K6N26FX</t>
  </si>
  <si>
    <t>G707390907</t>
  </si>
  <si>
    <t>Z661-55846</t>
  </si>
  <si>
    <t>Logic Board, 256GB, iPhone Air, ROW</t>
  </si>
  <si>
    <t>FPFJ4720XM</t>
  </si>
  <si>
    <t>JH721J9CVP</t>
  </si>
  <si>
    <t>G685255676</t>
  </si>
  <si>
    <t>FMXHMF0011Q00006J3</t>
  </si>
  <si>
    <t>FMXHAN0045U00006J3</t>
  </si>
  <si>
    <t>G701418865</t>
  </si>
  <si>
    <t>GVH51652E9NPR5PAJ</t>
  </si>
  <si>
    <t>GVH510305HYPR5PAK</t>
  </si>
  <si>
    <t>G715795583</t>
  </si>
  <si>
    <t>F8Y6136C17YM6YNDM</t>
  </si>
  <si>
    <t>F8Y31930HPGM6YNB9</t>
  </si>
  <si>
    <t>G716302075</t>
  </si>
  <si>
    <t>F8Y6173C1BT18FKBM</t>
  </si>
  <si>
    <t>FG93475006118FMA1</t>
  </si>
  <si>
    <t>G716093309</t>
  </si>
  <si>
    <t>F8Y6171C2WT18FKBZ</t>
  </si>
  <si>
    <t>FG9319301A718FNAE</t>
  </si>
  <si>
    <t>G715319177</t>
  </si>
  <si>
    <t>F8Y6166C3JJQ687B7</t>
  </si>
  <si>
    <t>FG90435405KQ68C3D</t>
  </si>
  <si>
    <t>G714859193</t>
  </si>
  <si>
    <t>DNMHQM044M70000QTE</t>
  </si>
  <si>
    <t>GCFHPU0M5BB0000QT9</t>
  </si>
  <si>
    <t>G713752771</t>
  </si>
  <si>
    <t>923-13580</t>
  </si>
  <si>
    <t>Speaker, pSIM, iPhone 17 Pro Max</t>
  </si>
  <si>
    <t>DTVHRQ8508B0000UV1</t>
  </si>
  <si>
    <t>CTHHQA62PHD0000UUZ</t>
  </si>
  <si>
    <t>G713618001</t>
  </si>
  <si>
    <t>F8Y6167C4SM18FKBC</t>
  </si>
  <si>
    <t>FG932740J4M18FMA6</t>
  </si>
  <si>
    <t>G713510137</t>
  </si>
  <si>
    <t>C27R6W2CGX</t>
  </si>
  <si>
    <t>ML6J7RQ9D4</t>
  </si>
  <si>
    <t>G712458893</t>
  </si>
  <si>
    <t>J2JYWR363J</t>
  </si>
  <si>
    <t>KVWKQ259JK</t>
  </si>
  <si>
    <t>G712328417</t>
  </si>
  <si>
    <t>DN8HJX03LD10000JS5</t>
  </si>
  <si>
    <t>FNJHPKM1LKZ0000KDF</t>
  </si>
  <si>
    <t>G711996555</t>
  </si>
  <si>
    <t>GVH428521ZHPR5PAU</t>
  </si>
  <si>
    <t>GVH51211XWPPR5PAQ</t>
  </si>
  <si>
    <t>G708729213</t>
  </si>
  <si>
    <t>KR7GN7WC5J</t>
  </si>
  <si>
    <t>CC4KWLJ7FD</t>
  </si>
  <si>
    <t>G706513955</t>
  </si>
  <si>
    <t>C94559K2CH</t>
  </si>
  <si>
    <t>GX76YVJXF9</t>
  </si>
  <si>
    <t>G704888009</t>
  </si>
  <si>
    <t>C07HJD001YL0000GYD</t>
  </si>
  <si>
    <t>C07HLR000EX0000GYA</t>
  </si>
  <si>
    <t>G703525427</t>
  </si>
  <si>
    <t>F8Y5501C75ZQ4C2BA</t>
  </si>
  <si>
    <t>F5D0521C8DAQ4C09K</t>
  </si>
  <si>
    <t>G702998687</t>
  </si>
  <si>
    <t>F8Y5254C8HJ13RHCL</t>
  </si>
  <si>
    <t>F8Y204509FE13RFBF</t>
  </si>
  <si>
    <t>G701874133</t>
  </si>
  <si>
    <t>F6D43GX4J1</t>
  </si>
  <si>
    <t>DC70KT6CMF</t>
  </si>
  <si>
    <t>G700012297</t>
  </si>
  <si>
    <t>G9PHL1T1H5700005DP</t>
  </si>
  <si>
    <t>GVCHA0010ZG00005DQ</t>
  </si>
  <si>
    <t>G698270313</t>
  </si>
  <si>
    <t>661-16810</t>
  </si>
  <si>
    <t>FV94512000Z1TNXGZ</t>
  </si>
  <si>
    <t>FV915041SAPQ2DVGD</t>
  </si>
  <si>
    <t>G714192967</t>
  </si>
  <si>
    <t>G0NHSN02TUW0000YJ1</t>
  </si>
  <si>
    <t>FNJHPLS1S2C0000QTV</t>
  </si>
  <si>
    <t>G694305992</t>
  </si>
  <si>
    <t>F8Y6162C5JJ18FKB9</t>
  </si>
  <si>
    <t>F8Y32650DVC18FLAH</t>
  </si>
  <si>
    <t>G712653049</t>
  </si>
  <si>
    <t>F8Y6153C6JQ20J9BA</t>
  </si>
  <si>
    <t>F5D31967Z0L20J8AE</t>
  </si>
  <si>
    <t>G712366085</t>
  </si>
  <si>
    <t>F8Y6143C4LS18FKB5</t>
  </si>
  <si>
    <t>FG942230AXV18FMB3</t>
  </si>
  <si>
    <t>G709148997</t>
  </si>
  <si>
    <t>F8Y5224CPG314LWCZ</t>
  </si>
  <si>
    <t>F8Y1494188214LW85</t>
  </si>
  <si>
    <t>G706961295</t>
  </si>
  <si>
    <t>G9PHHWS179M00005DR</t>
  </si>
  <si>
    <t>GH3HCL02ASF00005DS</t>
  </si>
  <si>
    <t>G706451223</t>
  </si>
  <si>
    <t>661-50053</t>
  </si>
  <si>
    <t>Logic Board, M4, 10-core CPU, 10-core GPU, 24 GB, 512 GB</t>
  </si>
  <si>
    <t>C02HKD0008S0000P9J</t>
  </si>
  <si>
    <t>C02HDJ001GF0000P9K</t>
  </si>
  <si>
    <t>G705977189</t>
  </si>
  <si>
    <t>F8Y5275C18913XCBC</t>
  </si>
  <si>
    <t>F5D21045P6613XD9H</t>
  </si>
  <si>
    <t>G704944519</t>
  </si>
  <si>
    <t>G9P5154L7KDPQCKAS</t>
  </si>
  <si>
    <t>G9N2132YCRVPQCKA3</t>
  </si>
  <si>
    <t>G703611265</t>
  </si>
  <si>
    <t>G9P5262MGDBPQCLAX</t>
  </si>
  <si>
    <t>G9P2243MBSAPQCLAC</t>
  </si>
  <si>
    <t>G702626151</t>
  </si>
  <si>
    <t>F0YHMQ0032Q0000GVL</t>
  </si>
  <si>
    <t>GMGHNR003WZ0000GVL</t>
  </si>
  <si>
    <t>G702530649</t>
  </si>
  <si>
    <t>G9PHLJT2QSY00005DP</t>
  </si>
  <si>
    <t>GVCHFT00PBD00005DQ</t>
  </si>
  <si>
    <t>G700485963</t>
  </si>
  <si>
    <t>F8Y5474C4HU18FKBY</t>
  </si>
  <si>
    <t>G700106989</t>
  </si>
  <si>
    <t>F0Y415301EB2526AK</t>
  </si>
  <si>
    <t>DCN3033010PPP59AA</t>
  </si>
  <si>
    <t>G700106735</t>
  </si>
  <si>
    <t>F8Y5496C4MQ13XCBE</t>
  </si>
  <si>
    <t>F5D2034BSQG13XD9S</t>
  </si>
  <si>
    <t>G699870921</t>
  </si>
  <si>
    <t>DJKF4QQK23</t>
  </si>
  <si>
    <t>FVMQVW5Q7R</t>
  </si>
  <si>
    <t>G713415797</t>
  </si>
  <si>
    <t>F093VY7QXY</t>
  </si>
  <si>
    <t>J5GWWP36C3</t>
  </si>
  <si>
    <t>G693786102</t>
  </si>
  <si>
    <t>GH3HRF01Y400000MUZ</t>
  </si>
  <si>
    <t>GH3HKS006400000MUZ</t>
  </si>
  <si>
    <t>G709394717</t>
  </si>
  <si>
    <t>F8Y6121C71X217WB7</t>
  </si>
  <si>
    <t>F5D243137SF21PK7J</t>
  </si>
  <si>
    <t>G708938037</t>
  </si>
  <si>
    <t>F8Y5501C1NVQ4C2B3</t>
  </si>
  <si>
    <t>F5D0417E4NHQ4C09F</t>
  </si>
  <si>
    <t>G708249549</t>
  </si>
  <si>
    <t>F8Y5442C3L5M6YND8</t>
  </si>
  <si>
    <t>F8Y9451V49CM6YN7L</t>
  </si>
  <si>
    <t>G707296281</t>
  </si>
  <si>
    <t>F8Y5375C79902JNB1</t>
  </si>
  <si>
    <t>F5D04435EX002JK7S</t>
  </si>
  <si>
    <t>G705793383</t>
  </si>
  <si>
    <t>F8Y5356C3PSM6YND6</t>
  </si>
  <si>
    <t>FG995160E2ZM6YR8U</t>
  </si>
  <si>
    <t>G704225063</t>
  </si>
  <si>
    <t>F8Y5493C31G217WB3</t>
  </si>
  <si>
    <t>F8Y3025099Z217W7Z</t>
  </si>
  <si>
    <t>G702480265</t>
  </si>
  <si>
    <t>F8Y5456C6Q718FKB0</t>
  </si>
  <si>
    <t>G702085417</t>
  </si>
  <si>
    <t>F8Y5505C02518FKBM</t>
  </si>
  <si>
    <t>FG94192022G18FMBQ</t>
  </si>
  <si>
    <t>G701158975</t>
  </si>
  <si>
    <t>F8Y5474C7BH18FKBQ</t>
  </si>
  <si>
    <t>F8Y32440RX618FLAC</t>
  </si>
  <si>
    <t>G700841473</t>
  </si>
  <si>
    <t>G9PHF9J1AQD00005DR</t>
  </si>
  <si>
    <t>GH3HDB01UKE00005DS</t>
  </si>
  <si>
    <t>G696002336</t>
  </si>
  <si>
    <t>F8Y6163C11618FKB7</t>
  </si>
  <si>
    <t>FG932630U2N18FMA5</t>
  </si>
  <si>
    <t>GVH5166260CPR5PAU</t>
  </si>
  <si>
    <t>G9Q3163B4QPPR5QAF</t>
  </si>
  <si>
    <t>G714425849</t>
  </si>
  <si>
    <t>G9P5204NMJZ14YDA1</t>
  </si>
  <si>
    <t>G9N3025LK6714YDA5</t>
  </si>
  <si>
    <t>G711904281</t>
  </si>
  <si>
    <t>FV9430203010W9CHL</t>
  </si>
  <si>
    <t>C02333503FE0W9CA3</t>
  </si>
  <si>
    <t>G710577329</t>
  </si>
  <si>
    <t>G460D7RRQ4</t>
  </si>
  <si>
    <t>GPJQC9R473</t>
  </si>
  <si>
    <t>G710017249</t>
  </si>
  <si>
    <t>F0WHNK00SC50000JS7</t>
  </si>
  <si>
    <t>G709642267</t>
  </si>
  <si>
    <t>F8Y6056C5XL18FKB2</t>
  </si>
  <si>
    <t>F8Y22621NG818FLAL</t>
  </si>
  <si>
    <t>G691503884</t>
  </si>
  <si>
    <t>F8Y5372C5DP14LWCS</t>
  </si>
  <si>
    <t>F8Y5266C1SS14LWCN</t>
  </si>
  <si>
    <t>G709290981</t>
  </si>
  <si>
    <t>923-11007</t>
  </si>
  <si>
    <t>AirPods Max USB-C, Case, Midnight</t>
  </si>
  <si>
    <t>GKNHNS005XN0000K57</t>
  </si>
  <si>
    <t>G708699491</t>
  </si>
  <si>
    <t>F8YHN0C16U300006TW</t>
  </si>
  <si>
    <t>FG9GZ40183V00006TZ</t>
  </si>
  <si>
    <t>G708683189</t>
  </si>
  <si>
    <t>DN8HM90KCS400006S2</t>
  </si>
  <si>
    <t>DN8HEV01BVW00006S2</t>
  </si>
  <si>
    <t>G708076551</t>
  </si>
  <si>
    <t>F5D53140XG3LTDMBA</t>
  </si>
  <si>
    <t>F5D940731B6LTDM85</t>
  </si>
  <si>
    <t>G707409477</t>
  </si>
  <si>
    <t>G9P5025M941PQCLAJ</t>
  </si>
  <si>
    <t>G9N2134Q3CKPQCLAE</t>
  </si>
  <si>
    <t>G706331881</t>
  </si>
  <si>
    <t>DQ72VFX7WM</t>
  </si>
  <si>
    <t>G4NF3GPHCQ</t>
  </si>
  <si>
    <t>G705614903</t>
  </si>
  <si>
    <t>K1VXJLQ9D1</t>
  </si>
  <si>
    <t>JP6C24L4MK</t>
  </si>
  <si>
    <t>G705073101</t>
  </si>
  <si>
    <t>HGGJFP6CJR</t>
  </si>
  <si>
    <t>FV4TV07NLW</t>
  </si>
  <si>
    <t>G705001865</t>
  </si>
  <si>
    <t>ZP661-39195</t>
  </si>
  <si>
    <t>Silver, iPad Pro 11-inch (M4), 512GB, Wi-Fi, ITP</t>
  </si>
  <si>
    <t>K6DWWY96VT</t>
  </si>
  <si>
    <t>KWN45JY1WM</t>
  </si>
  <si>
    <t>G704624933</t>
  </si>
  <si>
    <t>G9P5222M8JJPQCLAV</t>
  </si>
  <si>
    <t>G9N2044TMMZPQCLAC</t>
  </si>
  <si>
    <t>G702795001</t>
  </si>
  <si>
    <t>JXP90F6CQH</t>
  </si>
  <si>
    <t>D1PQ7JY6PH</t>
  </si>
  <si>
    <t>G702027449</t>
  </si>
  <si>
    <t>G9P5272R19B1PHPAQ</t>
  </si>
  <si>
    <t>GVC33631S871PHQA1</t>
  </si>
  <si>
    <t>G701645993</t>
  </si>
  <si>
    <t>G9PHJCK00Y300005DR</t>
  </si>
  <si>
    <t>G698809085</t>
  </si>
  <si>
    <t>F8Y5512C2E6231LBR</t>
  </si>
  <si>
    <t>FG930842CVF22WL69</t>
  </si>
  <si>
    <t>G698679747</t>
  </si>
  <si>
    <t>D57XHXY6MM</t>
  </si>
  <si>
    <t>G3G60FMK97</t>
  </si>
  <si>
    <t>G698667595</t>
  </si>
  <si>
    <t>G9P5384M5LHPQCLA6</t>
  </si>
  <si>
    <t>G9P2316M4DPPQCLAG</t>
  </si>
  <si>
    <t>G713818217</t>
  </si>
  <si>
    <t>F8Y5135C2FJMD2CBB</t>
  </si>
  <si>
    <t>F5D021640T2MD28A3</t>
  </si>
  <si>
    <t>G713142597</t>
  </si>
  <si>
    <t>D166HXJ33L</t>
  </si>
  <si>
    <t>G712662163</t>
  </si>
  <si>
    <t>F8Y6153C6JM20J9BD</t>
  </si>
  <si>
    <t>F5D23440SS620J89Z</t>
  </si>
  <si>
    <t>G692580858</t>
  </si>
  <si>
    <t>F8YHN4C0CQZ00006TP</t>
  </si>
  <si>
    <t>F8YGZU04YM600006TP</t>
  </si>
  <si>
    <t>G692579086</t>
  </si>
  <si>
    <t>CKXRP752QN</t>
  </si>
  <si>
    <t>MR767461QH</t>
  </si>
  <si>
    <t>G710591019</t>
  </si>
  <si>
    <t>JRG4WMNWHK</t>
  </si>
  <si>
    <t>KDW93WD719</t>
  </si>
  <si>
    <t>G709426527</t>
  </si>
  <si>
    <t>F8Y6056C5X818FKBE</t>
  </si>
  <si>
    <t>FG9314309Z918FNAJ</t>
  </si>
  <si>
    <t>G707175625</t>
  </si>
  <si>
    <t>Z661-55943</t>
  </si>
  <si>
    <t>Logic Board, 512GB, A3523, ROW, iPhone 17 Pro</t>
  </si>
  <si>
    <t>DKM2V2P7LL</t>
  </si>
  <si>
    <t>M4LHWJD92W</t>
  </si>
  <si>
    <t>G705144213</t>
  </si>
  <si>
    <t>M5W4NDWNXM</t>
  </si>
  <si>
    <t>GYVPYT03YQ</t>
  </si>
  <si>
    <t>G702916419</t>
  </si>
  <si>
    <t>F8Y6031C0B8237KBE</t>
  </si>
  <si>
    <t>FQ132131BHT22HQAW</t>
  </si>
  <si>
    <t>G701578235</t>
  </si>
  <si>
    <t>F8Y5473C1DR18FKBH</t>
  </si>
  <si>
    <t>FG9319307JC18FMAE</t>
  </si>
  <si>
    <t>G701064757</t>
  </si>
  <si>
    <t>G9PHLCT0YNE00005DP</t>
  </si>
  <si>
    <t>GVCHDT00WJ400005DQ</t>
  </si>
  <si>
    <t>G700801175</t>
  </si>
  <si>
    <t>LQKPM7Q629</t>
  </si>
  <si>
    <t>FCM6Y1VCWV</t>
  </si>
  <si>
    <t>G683221044</t>
  </si>
  <si>
    <t>ZP661-40062</t>
  </si>
  <si>
    <t>Starlight, iPad Air 11-inch (M2), 512GB, Wi-Fi, ITP</t>
  </si>
  <si>
    <t>JY75490V2P</t>
  </si>
  <si>
    <t>MYW31V6YJ6</t>
  </si>
  <si>
    <t>G698838819</t>
  </si>
  <si>
    <t>GMG545101DYNR89BF</t>
  </si>
  <si>
    <t>FP124940HNE249YAJ</t>
  </si>
  <si>
    <t>G698466599</t>
  </si>
  <si>
    <t>F0YHL2000MW00006J1</t>
  </si>
  <si>
    <t>FP1HAZ00BK70000FQX</t>
  </si>
  <si>
    <t>G708628777</t>
  </si>
  <si>
    <t>KHQCWWL3HF</t>
  </si>
  <si>
    <t>GF7J7LP66L</t>
  </si>
  <si>
    <t>G707156595</t>
  </si>
  <si>
    <t>G9QHQDY0Z8500004Y7</t>
  </si>
  <si>
    <t>J5VHMD00PG900004Y8</t>
  </si>
  <si>
    <t>G706338301</t>
  </si>
  <si>
    <t>F18HPJ00BUU00014XQ</t>
  </si>
  <si>
    <t>F18HL10005900014XQ</t>
  </si>
  <si>
    <t>F630XK3630</t>
  </si>
  <si>
    <t>GN9V279KHW</t>
  </si>
  <si>
    <t>G705323279</t>
  </si>
  <si>
    <t>G9PHJXS0M5500005DR</t>
  </si>
  <si>
    <t>GH3HBN01HHS00005DS</t>
  </si>
  <si>
    <t>G703898115</t>
  </si>
  <si>
    <t>DNL5223035C1986B8</t>
  </si>
  <si>
    <t>GQ423570GP018VC4A</t>
  </si>
  <si>
    <t>G702485337</t>
  </si>
  <si>
    <t>F8Y5456C56G18FKBC</t>
  </si>
  <si>
    <t>F8Y138627AS18FKAR</t>
  </si>
  <si>
    <t>G702447905</t>
  </si>
  <si>
    <t>G0NHKX001DC0000YJ1</t>
  </si>
  <si>
    <t>DTTHK5023MF0000QTV</t>
  </si>
  <si>
    <t>G700389663</t>
  </si>
  <si>
    <t>G9P5295NPGC14YDAY</t>
  </si>
  <si>
    <t>G9N2507N0GV14YDA2</t>
  </si>
  <si>
    <t>G683111512</t>
  </si>
  <si>
    <t>G9P5351ML22PQCLA4</t>
  </si>
  <si>
    <t>G9P2253QHKXPQCLAU</t>
  </si>
  <si>
    <t>G714217561</t>
  </si>
  <si>
    <t>F8Y6171C2X918FKBE</t>
  </si>
  <si>
    <t>FG941440BNF18FMB3</t>
  </si>
  <si>
    <t>G711638113</t>
  </si>
  <si>
    <t>F8Y5516CLNA13RHC8</t>
  </si>
  <si>
    <t>F8Y208311J413RFBB</t>
  </si>
  <si>
    <t>G692563636</t>
  </si>
  <si>
    <t>F8Y6117C5QC217WBQ</t>
  </si>
  <si>
    <t>F5D25358VL521PK74</t>
  </si>
  <si>
    <t>G709373297</t>
  </si>
  <si>
    <t>FHKXLV1FPG</t>
  </si>
  <si>
    <t>L6JVWJ6FQ3</t>
  </si>
  <si>
    <t>G708146799</t>
  </si>
  <si>
    <t>F8Y5527C8HVQ687B4</t>
  </si>
  <si>
    <t>F8Y31970HL3Q688A5</t>
  </si>
  <si>
    <t>G689625076</t>
  </si>
  <si>
    <t>F0Y541301W51J88AM</t>
  </si>
  <si>
    <t>F0Y428602GU1J87AM</t>
  </si>
  <si>
    <t>G704634895</t>
  </si>
  <si>
    <t>F8Y5527C1MFQ687BD</t>
  </si>
  <si>
    <t>RX07815R8SLI168</t>
  </si>
  <si>
    <t>G703227095</t>
  </si>
  <si>
    <t>G9P5385MHQUPQCLA4</t>
  </si>
  <si>
    <t>G9N2104Q720PQCLA0</t>
  </si>
  <si>
    <t>G702995967</t>
  </si>
  <si>
    <t>F8Y5462C17Q20J9BC</t>
  </si>
  <si>
    <t>F5D32048G0W20J8AC</t>
  </si>
  <si>
    <t>G702626063</t>
  </si>
  <si>
    <t>DH3D21N9VL</t>
  </si>
  <si>
    <t>LQ7JNWKH7D</t>
  </si>
  <si>
    <t>G701814771</t>
  </si>
  <si>
    <t>F8Y5507CJHU18FKB1</t>
  </si>
  <si>
    <t>FG914640CFB18FM4E</t>
  </si>
  <si>
    <t>G701429041</t>
  </si>
  <si>
    <t>JXT9702636</t>
  </si>
  <si>
    <t>K770QF47NY</t>
  </si>
  <si>
    <t>G700499041</t>
  </si>
  <si>
    <t>F8Y5426C4UQQ687BG</t>
  </si>
  <si>
    <t>FG904165QT5Q6893A</t>
  </si>
  <si>
    <t>G700496027</t>
  </si>
  <si>
    <t>FG95384008GN2YLBZ</t>
  </si>
  <si>
    <t>F5D0243AV74N2YN4Y</t>
  </si>
  <si>
    <t>G682831182</t>
  </si>
  <si>
    <t>661-18504</t>
  </si>
  <si>
    <t>Display, iPhone 12 Pro</t>
  </si>
  <si>
    <t>G9P0406F5E6LQHKAG</t>
  </si>
  <si>
    <t>G9P1046W1DULQHKAD</t>
  </si>
  <si>
    <t>G698981033</t>
  </si>
  <si>
    <t>G9P5164N29M14YDA8</t>
  </si>
  <si>
    <t>G9N2505JKRP14YDAA</t>
  </si>
  <si>
    <t>G698659973</t>
  </si>
  <si>
    <t>G9P5386M747PQCLAS</t>
  </si>
  <si>
    <t>G9P2266M3NGPQCLAH</t>
  </si>
  <si>
    <t>G713936715</t>
  </si>
  <si>
    <t>DTVGWX198T600000DP</t>
  </si>
  <si>
    <t>G694391308</t>
  </si>
  <si>
    <t>F0Y541600M51J88AC</t>
  </si>
  <si>
    <t>GMG527400FT1J88AE</t>
  </si>
  <si>
    <t>G711749795</t>
  </si>
  <si>
    <t>F8Y5442C08BM6YND7</t>
  </si>
  <si>
    <t>FG993631XATM6YR8E</t>
  </si>
  <si>
    <t>G692595306</t>
  </si>
  <si>
    <t>F8Y5196C0JTMD2CBA</t>
  </si>
  <si>
    <t>F8Y02960HE3MD2CAE</t>
  </si>
  <si>
    <t>G709888873</t>
  </si>
  <si>
    <t>F8Y6121C4YZ217WBH</t>
  </si>
  <si>
    <t>F5D24226UNX21PK7L</t>
  </si>
  <si>
    <t>G706966925</t>
  </si>
  <si>
    <t>F8Y6053CAFK18FKBF</t>
  </si>
  <si>
    <t>FG914170GJ018FN5L</t>
  </si>
  <si>
    <t>G706863779</t>
  </si>
  <si>
    <t>H97R4337JKM9</t>
  </si>
  <si>
    <t>H98MHE3TJKM9</t>
  </si>
  <si>
    <t>G706832127</t>
  </si>
  <si>
    <t>F8Y5516C1TE13RHC8</t>
  </si>
  <si>
    <t>F5D21139CAX13RJ9Q</t>
  </si>
  <si>
    <t>G706744593</t>
  </si>
  <si>
    <t>K767QPGVY4</t>
  </si>
  <si>
    <t>M4KRXPG6DD</t>
  </si>
  <si>
    <t>G705809459</t>
  </si>
  <si>
    <t>F8YHN4C0MUK00006TP</t>
  </si>
  <si>
    <t>F5DGZ400A7X00006TQ</t>
  </si>
  <si>
    <t>G705247803</t>
  </si>
  <si>
    <t>661-34900</t>
  </si>
  <si>
    <t>Logic Board, 8-core CPU, 10-core GPU, 8GB, 1TB</t>
  </si>
  <si>
    <t>C025202004Z2CR9AU</t>
  </si>
  <si>
    <t>FV9325400JN1RHG4G</t>
  </si>
  <si>
    <t>F8Y5497N078Q1LTBW</t>
  </si>
  <si>
    <t>F8Y3304H4X0Q1LTAH</t>
  </si>
  <si>
    <t>G700992887</t>
  </si>
  <si>
    <t>FMXHMJ0004V00006J3</t>
  </si>
  <si>
    <t>F0YHJZ0044V00006J1</t>
  </si>
  <si>
    <t>G700685565</t>
  </si>
  <si>
    <t>FK3P4KWM0W</t>
  </si>
  <si>
    <t>JJH00MQ0YQ</t>
  </si>
  <si>
    <t>G700252377</t>
  </si>
  <si>
    <t>DC79N9RK22</t>
  </si>
  <si>
    <t>CF526WTKHY</t>
  </si>
  <si>
    <t>G699357931</t>
  </si>
  <si>
    <t>J6T9R42C9K</t>
  </si>
  <si>
    <t>L9PKG4P2PH</t>
  </si>
  <si>
    <t>G682716166</t>
  </si>
  <si>
    <t>GMG536500UYNR89BZ</t>
  </si>
  <si>
    <t>G698324353</t>
  </si>
  <si>
    <t>K70V4GX3Q6</t>
  </si>
  <si>
    <t>HJ7VVG691C</t>
  </si>
  <si>
    <t>G715663303</t>
  </si>
  <si>
    <t>F8Y6184C5EP18FKB8</t>
  </si>
  <si>
    <t>F8Y41570NGZ18FLBN</t>
  </si>
  <si>
    <t>G713827191</t>
  </si>
  <si>
    <t>F8Y6164C00718FKB9</t>
  </si>
  <si>
    <t>FG92082118Y18FM4K</t>
  </si>
  <si>
    <t>G711904127</t>
  </si>
  <si>
    <t>G9Q5476SP3421KHA2</t>
  </si>
  <si>
    <t>G9Q5074VPHX21KHAY</t>
  </si>
  <si>
    <t>G710200001</t>
  </si>
  <si>
    <t>F8YHPDC04HH00006TW</t>
  </si>
  <si>
    <t>FG9H6G00NQM00006TZ</t>
  </si>
  <si>
    <t>G7RT601V39</t>
  </si>
  <si>
    <t>FJ7XYK9C66</t>
  </si>
  <si>
    <t>G710195103</t>
  </si>
  <si>
    <t>F8Y6096C01LQ4C2BC</t>
  </si>
  <si>
    <t>F8Y04141DSZQ4C29Q</t>
  </si>
  <si>
    <t>G708146229</t>
  </si>
  <si>
    <t>F8Y6052C97718FKBK</t>
  </si>
  <si>
    <t>FG940350GKP18FMB2</t>
  </si>
  <si>
    <t>G705710781</t>
  </si>
  <si>
    <t>F8Y5527C3PL20J9B6</t>
  </si>
  <si>
    <t>F5D2455B7BT20J795</t>
  </si>
  <si>
    <t>G688141886</t>
  </si>
  <si>
    <t>F8Y6011C4PZ20J9B3</t>
  </si>
  <si>
    <t>F8Y30260UL820JC26</t>
  </si>
  <si>
    <t>G704900637</t>
  </si>
  <si>
    <t>KQY00PY32R</t>
  </si>
  <si>
    <t>GJM6XTFVD7</t>
  </si>
  <si>
    <t>G703766923</t>
  </si>
  <si>
    <t>FNNFQVQP9T</t>
  </si>
  <si>
    <t>CP96LYPVXP</t>
  </si>
  <si>
    <t>G699325927</t>
  </si>
  <si>
    <t>G9P5364MC2ZPQCLA9</t>
  </si>
  <si>
    <t>G9N1481J71YPQCLA2</t>
  </si>
  <si>
    <t>G716154793</t>
  </si>
  <si>
    <t>F8Y6172C4ZS18FKBN</t>
  </si>
  <si>
    <t>FG940370EDA18FMBZ</t>
  </si>
  <si>
    <t>G715184593</t>
  </si>
  <si>
    <t>F8Y6173C5R518FKBX</t>
  </si>
  <si>
    <t>FG9420309A618FMBU</t>
  </si>
  <si>
    <t>G694465088</t>
  </si>
  <si>
    <t>FLY46P9FG4</t>
  </si>
  <si>
    <t>LM2D4NM4GJ</t>
  </si>
  <si>
    <t>G712651779</t>
  </si>
  <si>
    <t>F8Y5473C64Z14LWC6</t>
  </si>
  <si>
    <t>F5D13564GGD14LX9N</t>
  </si>
  <si>
    <t>G711658185</t>
  </si>
  <si>
    <t>D3WNQLX6DJ</t>
  </si>
  <si>
    <t>J2WV9RHQ5G</t>
  </si>
  <si>
    <t>G710290981</t>
  </si>
  <si>
    <t>F8Y5514CCG518FKBZ</t>
  </si>
  <si>
    <t>FG93291054T18FMAA</t>
  </si>
  <si>
    <t>G709501379</t>
  </si>
  <si>
    <t>F8Y5434C6V513RHC3</t>
  </si>
  <si>
    <t>F5D20948S2513RK94</t>
  </si>
  <si>
    <t>G709380033</t>
  </si>
  <si>
    <t>F8Y5506C8VP18FKBF</t>
  </si>
  <si>
    <t>FG940520MF818FMBM</t>
  </si>
  <si>
    <t>G708729491</t>
  </si>
  <si>
    <t>C02H770014V0000H9E</t>
  </si>
  <si>
    <t>C024144027723YJAC</t>
  </si>
  <si>
    <t>G708204367</t>
  </si>
  <si>
    <t>CTHHQR65VMU0000UUZ</t>
  </si>
  <si>
    <t>D9QH74WJHC</t>
  </si>
  <si>
    <t>JVHFHW7GHQ</t>
  </si>
  <si>
    <t>G708016761</t>
  </si>
  <si>
    <t>GH3HPU0095F0000MUZ</t>
  </si>
  <si>
    <t>G9NHM3N1D1V0000MUY</t>
  </si>
  <si>
    <t>G707737719</t>
  </si>
  <si>
    <t>F8Y6056C1KC18FKBG</t>
  </si>
  <si>
    <t>F8Y22140YG718FLAT</t>
  </si>
  <si>
    <t>G707598543</t>
  </si>
  <si>
    <t>F8Y6061CC1G18FKBP</t>
  </si>
  <si>
    <t>FG92282074M18FMAK</t>
  </si>
  <si>
    <t>G707505271</t>
  </si>
  <si>
    <t>F8Y5135C1JXMD2CBQ</t>
  </si>
  <si>
    <t>F8Y94511FA5MD2C7L</t>
  </si>
  <si>
    <t>G707373787</t>
  </si>
  <si>
    <t>FMX548500CZNTJHAN</t>
  </si>
  <si>
    <t>FMX23021QEBNTJHAE</t>
  </si>
  <si>
    <t>G705116439</t>
  </si>
  <si>
    <t>H9RCQQN625</t>
  </si>
  <si>
    <t>G39WQJRFN9</t>
  </si>
  <si>
    <t>G705080779</t>
  </si>
  <si>
    <t>HHVY14T3XY</t>
  </si>
  <si>
    <t>FLWG2Q4N4K</t>
  </si>
  <si>
    <t>G704265177</t>
  </si>
  <si>
    <t>F8Y5507CFS318FKB2</t>
  </si>
  <si>
    <t>FG922130Q3X18FMAF</t>
  </si>
  <si>
    <t>G703897951</t>
  </si>
  <si>
    <t>F8Y5425C21618FKBG</t>
  </si>
  <si>
    <t>F8Y14651YZZ18FLA0</t>
  </si>
  <si>
    <t>G686215082</t>
  </si>
  <si>
    <t>F8Y5371C4Q2Q4C2B2</t>
  </si>
  <si>
    <t>F8Y04164XJYQ4C29L</t>
  </si>
  <si>
    <t>G702484865</t>
  </si>
  <si>
    <t>923-13599</t>
  </si>
  <si>
    <t>Top Speaker, iPhone 17</t>
  </si>
  <si>
    <t>DTVHJG62C770000UVD</t>
  </si>
  <si>
    <t>DTVHLZ62PS50000UVD</t>
  </si>
  <si>
    <t>G700558623</t>
  </si>
  <si>
    <t>F8Y5506CHWZ18FKBT</t>
  </si>
  <si>
    <t>FG933550N4818FMAK</t>
  </si>
  <si>
    <t>G716666183</t>
  </si>
  <si>
    <t>F8Y6176CEQJ18FKB9</t>
  </si>
  <si>
    <t>FG9332502V218FMAD</t>
  </si>
  <si>
    <t>G715074703</t>
  </si>
  <si>
    <t>F8YHT8D06BB00006TP</t>
  </si>
  <si>
    <t>F8YGZ430YWW00006TR</t>
  </si>
  <si>
    <t>G695782616</t>
  </si>
  <si>
    <t>GMG615301GNNR89BE</t>
  </si>
  <si>
    <t>FP15025027R249XAF</t>
  </si>
  <si>
    <t>G713306273</t>
  </si>
  <si>
    <t>GCFHEN0AWZX00005LT</t>
  </si>
  <si>
    <t>GCFHGT0CRB700005LT</t>
  </si>
  <si>
    <t>G713289161</t>
  </si>
  <si>
    <t>KJPD6YR2KM</t>
  </si>
  <si>
    <t>CXN9G9H4J0</t>
  </si>
  <si>
    <t>G713195481</t>
  </si>
  <si>
    <t>GQ4QGQ6L6Q</t>
  </si>
  <si>
    <t>CF0YK07104</t>
  </si>
  <si>
    <t>G711953831</t>
  </si>
  <si>
    <t>C457QH9799</t>
  </si>
  <si>
    <t>FPQF79LWW1</t>
  </si>
  <si>
    <t>G692905864</t>
  </si>
  <si>
    <t>661-08932</t>
  </si>
  <si>
    <t>Battery, iPhone X</t>
  </si>
  <si>
    <t>F8Y5521C0LLHXRYC3</t>
  </si>
  <si>
    <t>F5D74373BVXHXRR9B</t>
  </si>
  <si>
    <t>923-01962</t>
  </si>
  <si>
    <t>Speaker, iPhone X</t>
  </si>
  <si>
    <t>CTH334730AMJ26XA4</t>
  </si>
  <si>
    <t>CTH7464JDB1J26XAF</t>
  </si>
  <si>
    <t>G707303759</t>
  </si>
  <si>
    <t>GHQ6037015X2FT7AV</t>
  </si>
  <si>
    <t>GHQ213703G2167TAJ</t>
  </si>
  <si>
    <t>G705713479</t>
  </si>
  <si>
    <t>F8Y5527C3PW20J9BW</t>
  </si>
  <si>
    <t>F8Y24370VPB20J92R</t>
  </si>
  <si>
    <t>G705455323</t>
  </si>
  <si>
    <t>ZP661-28976</t>
  </si>
  <si>
    <t>Silver, iPad Pro 11-inch 4th gen, 256GB, Wi-Fi, ITP</t>
  </si>
  <si>
    <t>LWC7LF25H1</t>
  </si>
  <si>
    <t>WG79Y24PV4</t>
  </si>
  <si>
    <t>G705112243</t>
  </si>
  <si>
    <t>G9Q5061F6JYPR5QA7</t>
  </si>
  <si>
    <t>G9Q5223P1G0PR5QA0</t>
  </si>
  <si>
    <t>G704242975</t>
  </si>
  <si>
    <t>G9P5321Q7551PHRAJ</t>
  </si>
  <si>
    <t>G9P3427VE2Q1PHRAK</t>
  </si>
  <si>
    <t>G704074701</t>
  </si>
  <si>
    <t>F8Y5502C2Z213RHC8</t>
  </si>
  <si>
    <t>G702640903</t>
  </si>
  <si>
    <t>HXK504600T91N08G7</t>
  </si>
  <si>
    <t>HXK34170L871WP0DW</t>
  </si>
  <si>
    <t>HXK445205TB1N08F3</t>
  </si>
  <si>
    <t>G700820577</t>
  </si>
  <si>
    <t>F8Y5507C26418FKB6</t>
  </si>
  <si>
    <t>FG921731R1518FMAS</t>
  </si>
  <si>
    <t>G699875655</t>
  </si>
  <si>
    <t>GMGHME006HP0000GVL</t>
  </si>
  <si>
    <t>GMGHM80019P0000GVK</t>
  </si>
  <si>
    <t>G716107669</t>
  </si>
  <si>
    <t>F8Y6183C7RE18FKBH</t>
  </si>
  <si>
    <t>FG922121LL518FMAS</t>
  </si>
  <si>
    <t>G713248091</t>
  </si>
  <si>
    <t>F8Y6132C6B8Q687BE</t>
  </si>
  <si>
    <t>F8Y15211SW6Q687AQ</t>
  </si>
  <si>
    <t>G694756244</t>
  </si>
  <si>
    <t>F8Y6096C2MQ13RHCT</t>
  </si>
  <si>
    <t>F5D2094ABK513RK9W</t>
  </si>
  <si>
    <t>G712662635</t>
  </si>
  <si>
    <t>Display, Starlight, MBA (13-in, M4, 2025)</t>
  </si>
  <si>
    <t>GMGHLJ006GK0000GVK</t>
  </si>
  <si>
    <t>F0YHFS000E90000GVK</t>
  </si>
  <si>
    <t>G711893159</t>
  </si>
  <si>
    <t>H97R912RJKM9</t>
  </si>
  <si>
    <t>H97R45DWJKM9</t>
  </si>
  <si>
    <t>G710190717</t>
  </si>
  <si>
    <t>G9Q5401UML321KHA8</t>
  </si>
  <si>
    <t>G9Q5182TNJK21KHAC</t>
  </si>
  <si>
    <t>G709379181</t>
  </si>
  <si>
    <t>G9P5024M8DQPQCLA4</t>
  </si>
  <si>
    <t>G9N2101SGQNPQCLA2</t>
  </si>
  <si>
    <t>G691008076</t>
  </si>
  <si>
    <t>F8Y6057CH5218FKBH</t>
  </si>
  <si>
    <t>F8Y21560KET18FLAD</t>
  </si>
  <si>
    <t>G708836225</t>
  </si>
  <si>
    <t>F8Y6057CE1Q18FKBA</t>
  </si>
  <si>
    <t>F8Y411406M018FLB3</t>
  </si>
  <si>
    <t>G708732499</t>
  </si>
  <si>
    <t>923-13600</t>
  </si>
  <si>
    <t>Main Microphone, iPhone 17</t>
  </si>
  <si>
    <t>DNPHQU017K60000WDC</t>
  </si>
  <si>
    <t>G708593919</t>
  </si>
  <si>
    <t>C4DWF5F7RM</t>
  </si>
  <si>
    <t>K10WM0X0QJ</t>
  </si>
  <si>
    <t>G707238407</t>
  </si>
  <si>
    <t>DMF29RMXWT</t>
  </si>
  <si>
    <t>JJY9FF7XXM</t>
  </si>
  <si>
    <t>G707159091</t>
  </si>
  <si>
    <t>F8Y5275C3WAMD2CBU</t>
  </si>
  <si>
    <t>F5D9402ZZDMMD287V</t>
  </si>
  <si>
    <t>G689310410</t>
  </si>
  <si>
    <t>GMG545400KY1J87A2</t>
  </si>
  <si>
    <t>GMG402700G31J87AK</t>
  </si>
  <si>
    <t>G704338165</t>
  </si>
  <si>
    <t>J72HX5KQGR</t>
  </si>
  <si>
    <t>DKKGQG4HFF</t>
  </si>
  <si>
    <t>G703738135</t>
  </si>
  <si>
    <t>F8Y5196C0PCMD2CBA</t>
  </si>
  <si>
    <t>F8Y4376C2BTMD2CB2</t>
  </si>
  <si>
    <t>G685733256</t>
  </si>
  <si>
    <t>DNL44810EBJ1986BS</t>
  </si>
  <si>
    <t>GMH350526KE18VC4L</t>
  </si>
  <si>
    <t>G702444681</t>
  </si>
  <si>
    <t>G9P5205N89414YDA1</t>
  </si>
  <si>
    <t>G9N2456TEHC14YDA8</t>
  </si>
  <si>
    <t>G700570737</t>
  </si>
  <si>
    <t>G9P5276QEAQ1PHRAS</t>
  </si>
  <si>
    <t>G700508471</t>
  </si>
  <si>
    <t>F8Y5506CE7818FKBN</t>
  </si>
  <si>
    <t>FG924340VA918FMA2</t>
  </si>
  <si>
    <t>G683836584</t>
  </si>
  <si>
    <t>DH4L6LVR70</t>
  </si>
  <si>
    <t>GF2V0JVW06</t>
  </si>
  <si>
    <t>G698947067</t>
  </si>
  <si>
    <t>F8Y5387C1QR18FKBC</t>
  </si>
  <si>
    <t>G682546132</t>
  </si>
  <si>
    <t>G9Q5226SPGD1PHMAN</t>
  </si>
  <si>
    <t>G9Q3463SDK11PHMAW</t>
  </si>
  <si>
    <t>G698440475</t>
  </si>
  <si>
    <t>F8Y5393C2KV18FKBP</t>
  </si>
  <si>
    <t>FG913141LE818FN3T</t>
  </si>
  <si>
    <t>G693557620</t>
  </si>
  <si>
    <t>F0Y552400N52526A3</t>
  </si>
  <si>
    <t>DCN4035017F2525AJ</t>
  </si>
  <si>
    <t>C02H8S001HA00002Y5</t>
  </si>
  <si>
    <t>C02H2W002Y30000H9E</t>
  </si>
  <si>
    <t>Top Case, ANSI, Space Black, MBP (14-in, M3 Pro/Max, 2023)</t>
  </si>
  <si>
    <t>F8YHPYN02C800000E5</t>
  </si>
  <si>
    <t>F8YH2U0048L00000E4</t>
  </si>
  <si>
    <t>G707242063</t>
  </si>
  <si>
    <t>F5D60320D8S1KLFB3</t>
  </si>
  <si>
    <t>F5D21276FT71KLF81</t>
  </si>
  <si>
    <t>G706932491</t>
  </si>
  <si>
    <t>K279HFF62N</t>
  </si>
  <si>
    <t>G9H7G75M90</t>
  </si>
  <si>
    <t>G705838297</t>
  </si>
  <si>
    <t>FXGLWLV2VH</t>
  </si>
  <si>
    <t>DJF4G1WT6H</t>
  </si>
  <si>
    <t>G705247285</t>
  </si>
  <si>
    <t>661-16573</t>
  </si>
  <si>
    <t>Display, Pink</t>
  </si>
  <si>
    <t>GHQ6036005F2FT8AC</t>
  </si>
  <si>
    <t>GHQ13020093167PAS</t>
  </si>
  <si>
    <t>G704071015</t>
  </si>
  <si>
    <t>DC9K2P7019</t>
  </si>
  <si>
    <t>W40C092GQN</t>
  </si>
  <si>
    <t>G703504311</t>
  </si>
  <si>
    <t>LJDWMWCJP9</t>
  </si>
  <si>
    <t>MW4FCQMQ6C</t>
  </si>
  <si>
    <t>G703224979</t>
  </si>
  <si>
    <t>K76KWL2YMJ</t>
  </si>
  <si>
    <t>GWCPQ077RH</t>
  </si>
  <si>
    <t>G703218849</t>
  </si>
  <si>
    <t>F5D44171DNCLTDMBX</t>
  </si>
  <si>
    <t>F5D025348LNMHYJAK</t>
  </si>
  <si>
    <t>G686219626</t>
  </si>
  <si>
    <t>C02H7N001G200002Y5</t>
  </si>
  <si>
    <t>C02H0E002UX00002Y5</t>
  </si>
  <si>
    <t>G702904909</t>
  </si>
  <si>
    <t>D716K91Q27</t>
  </si>
  <si>
    <t>FH12QP0WF2</t>
  </si>
  <si>
    <t>G702486463</t>
  </si>
  <si>
    <t>G9PHF6J01JG00005DR</t>
  </si>
  <si>
    <t>GVCHAZ00ELR00005DS</t>
  </si>
  <si>
    <t>G685635376</t>
  </si>
  <si>
    <t>GMG533500A11J88AX</t>
  </si>
  <si>
    <t>FP1526701FY25YTA5</t>
  </si>
  <si>
    <t>G702255949</t>
  </si>
  <si>
    <t>F8Y5527C385Q687BS</t>
  </si>
  <si>
    <t>FG9328407VMQ68CA4</t>
  </si>
  <si>
    <t>G700479533</t>
  </si>
  <si>
    <t>F8Y5496C1TW13XCBT</t>
  </si>
  <si>
    <t>F8Y205601N213XC84</t>
  </si>
  <si>
    <t>G699877271</t>
  </si>
  <si>
    <t>F8Y5506CF3V18FKBC</t>
  </si>
  <si>
    <t>F8Y349304XY18FLAR</t>
  </si>
  <si>
    <t>G699870395</t>
  </si>
  <si>
    <t>GMG549100V7NR89BF</t>
  </si>
  <si>
    <t>FP125140C52249XA8</t>
  </si>
  <si>
    <t>G715571463</t>
  </si>
  <si>
    <t>F8YHNVC00NU00006U0</t>
  </si>
  <si>
    <t>F8YH64102YS00006U2</t>
  </si>
  <si>
    <t>G713141423</t>
  </si>
  <si>
    <t>F8Y5473C62214LWC9</t>
  </si>
  <si>
    <t>F8Y227305KJ14LW82</t>
  </si>
  <si>
    <t>G712204433</t>
  </si>
  <si>
    <t>FMX5481046MNTJHAJ</t>
  </si>
  <si>
    <t>FMX33240YZVNTJJAQ</t>
  </si>
  <si>
    <t>G709869473</t>
  </si>
  <si>
    <t>GH3HQH0005R0000MUZ</t>
  </si>
  <si>
    <t>G9NHLQMAGA10000MUY</t>
  </si>
  <si>
    <t>G708930141</t>
  </si>
  <si>
    <t>661-10850</t>
  </si>
  <si>
    <t>Battery, iPhone XR</t>
  </si>
  <si>
    <t>F8Y6184C0A6JKGTC0</t>
  </si>
  <si>
    <t>F8Y83560SRJJKGT71</t>
  </si>
  <si>
    <t>923-02609</t>
  </si>
  <si>
    <t>Speaker, iPhone XR</t>
  </si>
  <si>
    <t>DXY4222B5DDJHYK4U</t>
  </si>
  <si>
    <t>DXY837387S5JHYK49</t>
  </si>
  <si>
    <t>G708745761</t>
  </si>
  <si>
    <t>ZP661-38967</t>
  </si>
  <si>
    <t>Space Black, iPad Pro 13-inch (M4), 512GB, Wi-Fi, ITP</t>
  </si>
  <si>
    <t>DY30HNP6KH</t>
  </si>
  <si>
    <t>FVTK990FXK</t>
  </si>
  <si>
    <t>G708036571</t>
  </si>
  <si>
    <t>C23TW66WKN</t>
  </si>
  <si>
    <t>JN4M7JQ3GQ</t>
  </si>
  <si>
    <t>G705483879</t>
  </si>
  <si>
    <t>F9NVH1615W</t>
  </si>
  <si>
    <t>FXVY3DJ7DP</t>
  </si>
  <si>
    <t>G705237475</t>
  </si>
  <si>
    <t>F8Y5527C631Q687B8</t>
  </si>
  <si>
    <t>FG90393E41TQ68935</t>
  </si>
  <si>
    <t>G704379281</t>
  </si>
  <si>
    <t>F8Y5425C20P18FKB2</t>
  </si>
  <si>
    <t>FG93197090V18FMAB</t>
  </si>
  <si>
    <t>G704231475</t>
  </si>
  <si>
    <t>DNL52230A4F1986B1</t>
  </si>
  <si>
    <t>DNL508308A01986BJ</t>
  </si>
  <si>
    <t>G702362899</t>
  </si>
  <si>
    <t>PA661-46167</t>
  </si>
  <si>
    <t>Studio Buds +, Right, Transparent, CI/AR, VN</t>
  </si>
  <si>
    <t>HNYQX0RM24G9</t>
  </si>
  <si>
    <t>FL6KNBS324G9</t>
  </si>
  <si>
    <t>G701091431</t>
  </si>
  <si>
    <t>F0YHMB000Q30000GVK</t>
  </si>
  <si>
    <t>FP1HJ90006M0000G2A</t>
  </si>
  <si>
    <t>G684384566</t>
  </si>
  <si>
    <t>TA661-36895</t>
  </si>
  <si>
    <t>White, iPhone 15 Pro Max, 256GB, ROW, CI/AR, Taiwan</t>
  </si>
  <si>
    <t>FGX4RDHXG0</t>
  </si>
  <si>
    <t>CWNQG16PXV</t>
  </si>
  <si>
    <t>G700849185</t>
  </si>
  <si>
    <t>GVCHP1007U20000U6M</t>
  </si>
  <si>
    <t>GVCHL2018HE0000U6M</t>
  </si>
  <si>
    <t>G700604545</t>
  </si>
  <si>
    <t>F8YHN0C0QFU00006TP</t>
  </si>
  <si>
    <t>F8YGXZ307XU00006TR</t>
  </si>
  <si>
    <t>G684124910</t>
  </si>
  <si>
    <t>HXK330302E51WP0D6</t>
  </si>
  <si>
    <t>HXJP7AEJ1WFV</t>
  </si>
  <si>
    <t>G700373891</t>
  </si>
  <si>
    <t>F8Y5271C58HQ687B6</t>
  </si>
  <si>
    <t>F8Y042354W4Q6882T</t>
  </si>
  <si>
    <t>G698951045</t>
  </si>
  <si>
    <t>F8Y5445CGGK18FKB6</t>
  </si>
  <si>
    <t>FG922941C0E18FMAR</t>
  </si>
  <si>
    <t>G698838649</t>
  </si>
  <si>
    <t>F8Y5444C17918FKBR</t>
  </si>
  <si>
    <t>FG92232118V18FMAH</t>
  </si>
  <si>
    <t>G713263061</t>
  </si>
  <si>
    <t>G9Q5175C65TPR5QAJ</t>
  </si>
  <si>
    <t>GVH451404BPPR5PA8</t>
  </si>
  <si>
    <t>G713035467</t>
  </si>
  <si>
    <t>DN85257A1BXQ1NMDN</t>
  </si>
  <si>
    <t>DN82077LBVVQ1NMFX</t>
  </si>
  <si>
    <t>F8Y6106C37P13RHCT</t>
  </si>
  <si>
    <t>F5D2035543Z13RK9M</t>
  </si>
  <si>
    <t>G711726617</t>
  </si>
  <si>
    <t>F8Y6056CKEJ18FKB7</t>
  </si>
  <si>
    <t>FG941940PQT18FMBS</t>
  </si>
  <si>
    <t>G710764043</t>
  </si>
  <si>
    <t>F8Y5516CE8L13RHCC</t>
  </si>
  <si>
    <t>F5D21625EPG13RKAS</t>
  </si>
  <si>
    <t>G706456733</t>
  </si>
  <si>
    <t>JH9C34C56F</t>
  </si>
  <si>
    <t>F4XGP4KXG6</t>
  </si>
  <si>
    <t>G705236823</t>
  </si>
  <si>
    <t>C07HJD000YA0000GYD</t>
  </si>
  <si>
    <t>C07HLQ000GU0000GYA</t>
  </si>
  <si>
    <t>G704836189</t>
  </si>
  <si>
    <t>G9P5046B8KJ1C9FA4</t>
  </si>
  <si>
    <t>G9P3494CMQ21C9FAC</t>
  </si>
  <si>
    <t>G704369101</t>
  </si>
  <si>
    <t>TA661-44050</t>
  </si>
  <si>
    <t>128GB, Black, ROW, iPhone 16 Plus, CI/AR</t>
  </si>
  <si>
    <t>H7KP3MT2JW</t>
  </si>
  <si>
    <t>DCQY4WR7Q6</t>
  </si>
  <si>
    <t>G704269347</t>
  </si>
  <si>
    <t>G9P5322Q0GW1PHRA0</t>
  </si>
  <si>
    <t>G9P3445VGGD1PHRAG</t>
  </si>
  <si>
    <t>G9P5341Q07R1PHRAT</t>
  </si>
  <si>
    <t>TA661-36897</t>
  </si>
  <si>
    <t>Blue, iPhone 15 Pro Max, 256GB, ROW, CI/AR, Taiwan</t>
  </si>
  <si>
    <t>DC9HL9VHVJ</t>
  </si>
  <si>
    <t>J1Y4DNJCFH</t>
  </si>
  <si>
    <t>G703893207</t>
  </si>
  <si>
    <t>F8Y5444C4RZ18FKBC</t>
  </si>
  <si>
    <t>G9Q1437AG5PPR5QA3</t>
  </si>
  <si>
    <t>G703578567</t>
  </si>
  <si>
    <t>G9PHKAG18EQ00005DP</t>
  </si>
  <si>
    <t>GVCHB300TH100005DQ</t>
  </si>
  <si>
    <t>G703521135</t>
  </si>
  <si>
    <t>F8Y5445N0ME13QFCV</t>
  </si>
  <si>
    <t>F5D424210E410DLCL</t>
  </si>
  <si>
    <t>G702806423</t>
  </si>
  <si>
    <t>F5D53250DX01KLFBY</t>
  </si>
  <si>
    <t>FQ1205454BJ1KLJ4B</t>
  </si>
  <si>
    <t>G702255679</t>
  </si>
  <si>
    <t>F8Y5503C17613RHCE</t>
  </si>
  <si>
    <t>F8Y147419AZ13RFBZ</t>
  </si>
  <si>
    <t>G701889365</t>
  </si>
  <si>
    <t>CMWR12YWPV</t>
  </si>
  <si>
    <t>GJN24N97X1</t>
  </si>
  <si>
    <t>G701372803</t>
  </si>
  <si>
    <t>F8Y5453C3LD20J9BJ</t>
  </si>
  <si>
    <t>F8Y23841RRY20JC2K</t>
  </si>
  <si>
    <t>G700930479</t>
  </si>
  <si>
    <t>F8Y5406CABZM6YND8</t>
  </si>
  <si>
    <t>F8Y22651Q96M6YNBS</t>
  </si>
  <si>
    <t>G700501489</t>
  </si>
  <si>
    <t>661-25672</t>
  </si>
  <si>
    <t>C02233500FY1D15A2</t>
  </si>
  <si>
    <t>FV923450CS91D15AG</t>
  </si>
  <si>
    <t>G700487857</t>
  </si>
  <si>
    <t>G9Q4343TCQ021KHA1</t>
  </si>
  <si>
    <t>G9Q5223UD6621KHAF</t>
  </si>
  <si>
    <t>G699370145</t>
  </si>
  <si>
    <t>GMG545102PPNR89BT</t>
  </si>
  <si>
    <t>FP1501700R4249XAK</t>
  </si>
  <si>
    <t>G715663479</t>
  </si>
  <si>
    <t>F8Y6167C53120J9B4</t>
  </si>
  <si>
    <t>F5D241651L120J795</t>
  </si>
  <si>
    <t>G713644839</t>
  </si>
  <si>
    <t>FKWG4QHQYV</t>
  </si>
  <si>
    <t>G709426697</t>
  </si>
  <si>
    <t>FK1HKG00F1X00001A2</t>
  </si>
  <si>
    <t>DTTHG301R5H000004D</t>
  </si>
  <si>
    <t>G707735937</t>
  </si>
  <si>
    <t>JY9M0JWWJC</t>
  </si>
  <si>
    <t>DDQMX96TVK</t>
  </si>
  <si>
    <t>G705617753</t>
  </si>
  <si>
    <t>C7DR2NT4TX</t>
  </si>
  <si>
    <t>MJ9JG91XG5</t>
  </si>
  <si>
    <t>G704621849</t>
  </si>
  <si>
    <t>G9PHLZT0FPS00005DP</t>
  </si>
  <si>
    <t>GVCHE800UKF00005DQ</t>
  </si>
  <si>
    <t>G686885896</t>
  </si>
  <si>
    <t>G9P5364MBRFPQCLAT</t>
  </si>
  <si>
    <t>G9N2117R7QBPQCLAG</t>
  </si>
  <si>
    <t>G700604897</t>
  </si>
  <si>
    <t>F8Y5445N24013QFCQ</t>
  </si>
  <si>
    <t>F5D424210EP10DLC1</t>
  </si>
  <si>
    <t>G699703133</t>
  </si>
  <si>
    <t>FCXC7N9663</t>
  </si>
  <si>
    <t>MY2305QGY2</t>
  </si>
  <si>
    <t>G715638005</t>
  </si>
  <si>
    <t>FK1HQQ006WU00001A2</t>
  </si>
  <si>
    <t>DTTHGW009NX000004D</t>
  </si>
  <si>
    <t>G715048421</t>
  </si>
  <si>
    <t>F8Y6173C4Z818FKB5</t>
  </si>
  <si>
    <t>G714506621</t>
  </si>
  <si>
    <t>F8YHRUD055W00006TP</t>
  </si>
  <si>
    <t>F8YGZ530UKC00006TR</t>
  </si>
  <si>
    <t>G711183381</t>
  </si>
  <si>
    <t>ZP923-13638</t>
  </si>
  <si>
    <t>Silver, Enclosure, ROW, iPhone 17 Pro</t>
  </si>
  <si>
    <t>J9KHS200CGZ0000XXK</t>
  </si>
  <si>
    <t>HGWHPN00EJC0001AWW</t>
  </si>
  <si>
    <t>G710762659</t>
  </si>
  <si>
    <t>F8Y5256CAY113XCBC</t>
  </si>
  <si>
    <t>F5D22843V2J13XDAP</t>
  </si>
  <si>
    <t>G692299516</t>
  </si>
  <si>
    <t>DNL51940FBT1986BA</t>
  </si>
  <si>
    <t>DNL40220A5F1986B4</t>
  </si>
  <si>
    <t>G708983777</t>
  </si>
  <si>
    <t>J9PHQJ00L0J0000HK9</t>
  </si>
  <si>
    <t>FNJHCBD0JNJ00007BV</t>
  </si>
  <si>
    <t>J9PHQJ00CE10000HK9</t>
  </si>
  <si>
    <t>G690475740</t>
  </si>
  <si>
    <t>G0NHNE0559H0000YJ1</t>
  </si>
  <si>
    <t>FNJHJSB165Z0000QSK</t>
  </si>
  <si>
    <t>G706704971</t>
  </si>
  <si>
    <t>923-12005</t>
  </si>
  <si>
    <t>Top Speaker, iPhone 16e/iPhone 17e</t>
  </si>
  <si>
    <t>CTHHD583N7T0000JR7</t>
  </si>
  <si>
    <t>CTHHBB82UE00000JR7</t>
  </si>
  <si>
    <t>G706026299</t>
  </si>
  <si>
    <t>G9P5262ML73PQCLAK</t>
  </si>
  <si>
    <t>G9P2215N9F7PQCLAL</t>
  </si>
  <si>
    <t>G705976639</t>
  </si>
  <si>
    <t>F8Y5506CRBU18FKBD</t>
  </si>
  <si>
    <t>F8Y13654VDX18FKAQ</t>
  </si>
  <si>
    <t>G688140002</t>
  </si>
  <si>
    <t>GVCHQ901FFS0000U6M</t>
  </si>
  <si>
    <t>G9QHN8G2G6T0000MTE</t>
  </si>
  <si>
    <t>G704103881</t>
  </si>
  <si>
    <t>F8Y5527C3J8Q687BT</t>
  </si>
  <si>
    <t>FG92454041CQ689AB</t>
  </si>
  <si>
    <t>G702820467</t>
  </si>
  <si>
    <t>DNL443201CG1986BJ</t>
  </si>
  <si>
    <t>DNL34110D2H1986BB</t>
  </si>
  <si>
    <t>G702467877</t>
  </si>
  <si>
    <t>F8Y5431C3AMQ687B8</t>
  </si>
  <si>
    <t>F8Y049572Z3Q6872T</t>
  </si>
  <si>
    <t>G702231601</t>
  </si>
  <si>
    <t>MV36C4XVQP</t>
  </si>
  <si>
    <t>K9VMQGW5HW</t>
  </si>
  <si>
    <t>G701814859</t>
  </si>
  <si>
    <t>F8Y5455C9EW13XCB3</t>
  </si>
  <si>
    <t>F8Y21410F3U13XC8U</t>
  </si>
  <si>
    <t>G683504228</t>
  </si>
  <si>
    <t>L6W2V496YK</t>
  </si>
  <si>
    <t>FDQ0R0HCX9</t>
  </si>
  <si>
    <t>G698855047</t>
  </si>
  <si>
    <t>JVQJKP462L</t>
  </si>
  <si>
    <t>JGC2KR40GP</t>
  </si>
  <si>
    <t>G698833647</t>
  </si>
  <si>
    <t>G9P5385MNQEPQCLAD</t>
  </si>
  <si>
    <t>G9Q2284YLPQPQCLAK</t>
  </si>
  <si>
    <t>G698566007</t>
  </si>
  <si>
    <t>F8Y5464C0MJ217WBL</t>
  </si>
  <si>
    <t>F5D23666EBZ21PK7G</t>
  </si>
  <si>
    <t>G694393574</t>
  </si>
  <si>
    <t>H9VT790HJR</t>
  </si>
  <si>
    <t>K206GHC44M</t>
  </si>
  <si>
    <t>G694392324</t>
  </si>
  <si>
    <t>Display, Space Black, MBP (14-in, M4 Pro/Max, 2024)</t>
  </si>
  <si>
    <t>FMXHNM001C500006J3</t>
  </si>
  <si>
    <t>F0YHFZ0001M00006J1</t>
  </si>
  <si>
    <t>G693922464</t>
  </si>
  <si>
    <t>661-35704</t>
  </si>
  <si>
    <t>Display, Space Gray, MBP (14-in, M3, 2023)</t>
  </si>
  <si>
    <t>F0Y611601QB2526AS</t>
  </si>
  <si>
    <t>FP134750180216RA9</t>
  </si>
  <si>
    <t>G709640833</t>
  </si>
  <si>
    <t>G9PHLUT2NWR00005DP</t>
  </si>
  <si>
    <t>GVCHGU0084E00005DQ</t>
  </si>
  <si>
    <t>G707271499</t>
  </si>
  <si>
    <t>F71HEZ014Q20000HK9</t>
  </si>
  <si>
    <t>FNJHBY80QWN00007BV</t>
  </si>
  <si>
    <t>G705578739</t>
  </si>
  <si>
    <t>K3H6NPW7JD</t>
  </si>
  <si>
    <t>DM6GQ162VL</t>
  </si>
  <si>
    <t>G704085597</t>
  </si>
  <si>
    <t>F377K4QXXW</t>
  </si>
  <si>
    <t>L9VYP36H5H</t>
  </si>
  <si>
    <t>G703971627</t>
  </si>
  <si>
    <t>G9PHPJD1GA00000L4B</t>
  </si>
  <si>
    <t>J5VHN3000ND0000L4C</t>
  </si>
  <si>
    <t>G703216113</t>
  </si>
  <si>
    <t>GH3HQ2017P60000MUZ</t>
  </si>
  <si>
    <t>GH3HNY02VA80000MUZ</t>
  </si>
  <si>
    <t>Z661-55958</t>
  </si>
  <si>
    <t>Logic Board, 1TB, iPhone 17 Pro Max, ROW</t>
  </si>
  <si>
    <t>F7J4M9V9V6</t>
  </si>
  <si>
    <t>GJKV6269HH</t>
  </si>
  <si>
    <t>G686191444</t>
  </si>
  <si>
    <t>F8Y5496C3M513XCB0</t>
  </si>
  <si>
    <t>F8Y13321Z4413X874</t>
  </si>
  <si>
    <t>G702714267</t>
  </si>
  <si>
    <t>G9NHFDP053P00005DR</t>
  </si>
  <si>
    <t>GH3HCC00FYC00005DS</t>
  </si>
  <si>
    <t>G700878711</t>
  </si>
  <si>
    <t>FG9HMB000XW00006TT</t>
  </si>
  <si>
    <t>FG9GZN00M9S00006TV</t>
  </si>
  <si>
    <t>G700873233</t>
  </si>
  <si>
    <t>LJY79T7WD2</t>
  </si>
  <si>
    <t>LJN0L7PQCT</t>
  </si>
  <si>
    <t>G700567345</t>
  </si>
  <si>
    <t>L0JCQ2H6LL</t>
  </si>
  <si>
    <t>GKWYYC96HP</t>
  </si>
  <si>
    <t>G700335457</t>
  </si>
  <si>
    <t>FG9HNR006Y400006TT</t>
  </si>
  <si>
    <t>F5DGZQ01LT700006TU</t>
  </si>
  <si>
    <t>G680109234</t>
  </si>
  <si>
    <t>ZP661-39972</t>
  </si>
  <si>
    <t>Space Gray, iPad Air 13-inch (M2), 128GB, Cellular, ITP</t>
  </si>
  <si>
    <t>FNWYTF9GGY</t>
  </si>
  <si>
    <t>K6DX2JV643</t>
  </si>
  <si>
    <t>G716090141</t>
  </si>
  <si>
    <t>F8Y6152CC2C20J9BX</t>
  </si>
  <si>
    <t>F8Y2374060V20JC2L</t>
  </si>
  <si>
    <t>G9P5182NPRJ14YDA6</t>
  </si>
  <si>
    <t>G9N2363WJ3114YDAF</t>
  </si>
  <si>
    <t>G715905741</t>
  </si>
  <si>
    <t>GMGHLG0028Y0000GVL</t>
  </si>
  <si>
    <t>FP1HGC009WG0000G2A</t>
  </si>
  <si>
    <t>G713036041</t>
  </si>
  <si>
    <t>Display, Pink, iMac (24-in, M1, 2021)</t>
  </si>
  <si>
    <t>GHQ615300132FT8AY</t>
  </si>
  <si>
    <t>GHQ152501QW167PAA</t>
  </si>
  <si>
    <t>G711995821</t>
  </si>
  <si>
    <t>G9QHPZY0UQB00004Y7</t>
  </si>
  <si>
    <t>J5VHBQ012NM00004Y8</t>
  </si>
  <si>
    <t>G709951849</t>
  </si>
  <si>
    <t>661-54816</t>
  </si>
  <si>
    <t>Top Case, Space Gray, ANSI, English</t>
  </si>
  <si>
    <t>C4PHGUD2LVA0000677</t>
  </si>
  <si>
    <t>G709889145</t>
  </si>
  <si>
    <t>ZP661-54820</t>
  </si>
  <si>
    <t>Space Black, Wi-Fi, 256GB, iPad Pro 13-inch (M5), CI/AR, CN</t>
  </si>
  <si>
    <t>J0V730J4H4</t>
  </si>
  <si>
    <t>D67TWF16QG</t>
  </si>
  <si>
    <t>G709542867</t>
  </si>
  <si>
    <t>661-27745</t>
  </si>
  <si>
    <t>Logic Board, 12-core CPU, 19-core GPU, 16GB, 512GB</t>
  </si>
  <si>
    <t>C02248607NV1R9LAB</t>
  </si>
  <si>
    <t>C023455000N1R9LAW</t>
  </si>
  <si>
    <t>G708102191</t>
  </si>
  <si>
    <t>GFK4NQW3HH</t>
  </si>
  <si>
    <t>L9G21FQF7L</t>
  </si>
  <si>
    <t>G708092481</t>
  </si>
  <si>
    <t>F8Y5455C01H13XCBW</t>
  </si>
  <si>
    <t>F5D1363B2TX13X99N</t>
  </si>
  <si>
    <t>G705933975</t>
  </si>
  <si>
    <t>FG9204600MD18FM4B</t>
  </si>
  <si>
    <t>G688515602</t>
  </si>
  <si>
    <t>FMXHNK000P300006J3</t>
  </si>
  <si>
    <t>FMXHER003NX00006J3</t>
  </si>
  <si>
    <t>G688244462</t>
  </si>
  <si>
    <t>C02H1W0003N0000H9E</t>
  </si>
  <si>
    <t>C02H6Y001GF0000H9E</t>
  </si>
  <si>
    <t>G688140268</t>
  </si>
  <si>
    <t>661-53103</t>
  </si>
  <si>
    <t>Logic Board, 10-core CPU, 10-core GPU, 24 GB, 1 TB, VN</t>
  </si>
  <si>
    <t>J33HNU011NJ0000Z54</t>
  </si>
  <si>
    <t>FV9HNZ001E00000Z54</t>
  </si>
  <si>
    <t>G705247459</t>
  </si>
  <si>
    <t>F8Y6053CRRR18FKBY</t>
  </si>
  <si>
    <t>F8Y24230WEJ18FLAL</t>
  </si>
  <si>
    <t>G698548133</t>
  </si>
  <si>
    <t>JH1XF294MP</t>
  </si>
  <si>
    <t>DGX4FJ060K</t>
  </si>
  <si>
    <t>G698531907</t>
  </si>
  <si>
    <t>G9QHEFQ0WZJ00004Y9</t>
  </si>
  <si>
    <t>G9QH8PQ0F7K00004Y9</t>
  </si>
  <si>
    <t>G716325537</t>
  </si>
  <si>
    <t>GH3HR501PST0000MUZ</t>
  </si>
  <si>
    <t>GVCHL60152T0000MUZ</t>
  </si>
  <si>
    <t>G712920563</t>
  </si>
  <si>
    <t>F8Y6146C3XDQ687BD</t>
  </si>
  <si>
    <t>FG903632C43Q6893P</t>
  </si>
  <si>
    <t>G712594463</t>
  </si>
  <si>
    <t>LRC97GT2HY</t>
  </si>
  <si>
    <t>M63J3N94TK</t>
  </si>
  <si>
    <t>G692720904</t>
  </si>
  <si>
    <t>F8Y6056C8T918FKBN</t>
  </si>
  <si>
    <t>F8Y3204057818FLAC</t>
  </si>
  <si>
    <t>G692724114</t>
  </si>
  <si>
    <t>GVH42341VJGPR5PAX</t>
  </si>
  <si>
    <t>G9Q3166CPBRPR5QAT</t>
  </si>
  <si>
    <t>G705112845</t>
  </si>
  <si>
    <t>GCFHHQ09SNY00005LU</t>
  </si>
  <si>
    <t>DNMHAW0178J00005LS</t>
  </si>
  <si>
    <t>G704495305</t>
  </si>
  <si>
    <t>KWJX6X26QP</t>
  </si>
  <si>
    <t>K9X4RPKWMM</t>
  </si>
  <si>
    <t>G704120139</t>
  </si>
  <si>
    <t>F8Y5506CKLG18FKB4</t>
  </si>
  <si>
    <t>F8Y411503QC18FLBJ</t>
  </si>
  <si>
    <t>G704072603</t>
  </si>
  <si>
    <t>K50YKF6VKX</t>
  </si>
  <si>
    <t>CX9775LXHT</t>
  </si>
  <si>
    <t>G703624091</t>
  </si>
  <si>
    <t>661-21266</t>
  </si>
  <si>
    <t>Logic Board, 10-Core CPU, 14-Core GPU, 16GB Memory, 1TB SSD</t>
  </si>
  <si>
    <t>C021504005G16YXAF</t>
  </si>
  <si>
    <t>C02233300VQ170HA1</t>
  </si>
  <si>
    <t>G686464050</t>
  </si>
  <si>
    <t>F8Y5445CKNT18FKBB</t>
  </si>
  <si>
    <t>FG933450HR318FMA3</t>
  </si>
  <si>
    <t>G702806769</t>
  </si>
  <si>
    <t>F8Y5172C0C1Q4C2BA</t>
  </si>
  <si>
    <t>F5D0444H7LGQ4C094</t>
  </si>
  <si>
    <t>G702248595</t>
  </si>
  <si>
    <t>FV95151025Y0W9FLG</t>
  </si>
  <si>
    <t>FV9536602YG0W9FL9</t>
  </si>
  <si>
    <t>G700235059</t>
  </si>
  <si>
    <t>G9P5263MGR0PQCLA5</t>
  </si>
  <si>
    <t>G9P2123R7C0PQCLAV</t>
  </si>
  <si>
    <t>G683268540</t>
  </si>
  <si>
    <t>KQHCQP94MY</t>
  </si>
  <si>
    <t>C19PMQ94W1</t>
  </si>
  <si>
    <t>G699269587</t>
  </si>
  <si>
    <t>J67Q3PN4WV</t>
  </si>
  <si>
    <t>HWR3QKWWM0</t>
  </si>
  <si>
    <t>G698854153</t>
  </si>
  <si>
    <t>F8Y5444C17218FKBY</t>
  </si>
  <si>
    <t>FG925261ESW18FNAC</t>
  </si>
  <si>
    <t>G713038711</t>
  </si>
  <si>
    <t>F8Y6101C0KW13XCBG</t>
  </si>
  <si>
    <t>F8Y21110U1213X88S</t>
  </si>
  <si>
    <t>G694503084</t>
  </si>
  <si>
    <t>F8YHP8C162H00006TP</t>
  </si>
  <si>
    <t>F8YH0Y343CU00006TR</t>
  </si>
  <si>
    <t>G710681247</t>
  </si>
  <si>
    <t>C4XJWWDQHP</t>
  </si>
  <si>
    <t>GFV93VX6P3</t>
  </si>
  <si>
    <t>G709581821</t>
  </si>
  <si>
    <t>GMGHKK002AM0000GVK</t>
  </si>
  <si>
    <t>GMGHF9001RV0000GVK</t>
  </si>
  <si>
    <t>G709175351</t>
  </si>
  <si>
    <t>F76L57X90D</t>
  </si>
  <si>
    <t>FWM74WC7KH</t>
  </si>
  <si>
    <t>G707392393</t>
  </si>
  <si>
    <t>GVH5165006FPR5PAL</t>
  </si>
  <si>
    <t>G9Q5151F057PR5QAB</t>
  </si>
  <si>
    <t>G706673113</t>
  </si>
  <si>
    <t>PP661-26023</t>
  </si>
  <si>
    <t>Purple, 256 GB, iPad Air 5th generation, Cellular, Philippines</t>
  </si>
  <si>
    <t>L4GPDW44XN</t>
  </si>
  <si>
    <t>D6KXL59XQ2</t>
  </si>
  <si>
    <t>G687555298</t>
  </si>
  <si>
    <t>F8Y5506CF7K18FKBA</t>
  </si>
  <si>
    <t>F8Y22640FGP18FLAD</t>
  </si>
  <si>
    <t>G704481215</t>
  </si>
  <si>
    <t>F8Y5445C7PB18FKB2</t>
  </si>
  <si>
    <t>F8Y21010QRH18FLA5</t>
  </si>
  <si>
    <t>G702722817</t>
  </si>
  <si>
    <t>F8Y5306CFSB14LWC6</t>
  </si>
  <si>
    <t>F8Y24040EDF14LW8Y</t>
  </si>
  <si>
    <t>G702546801</t>
  </si>
  <si>
    <t>HLH4VWP249</t>
  </si>
  <si>
    <t>DQ4XLRRQ4P</t>
  </si>
  <si>
    <t>ZP923-13639</t>
  </si>
  <si>
    <t>Cosmic Orange, Enclosure, ROW, iPhone 17 Pro</t>
  </si>
  <si>
    <t>J9KHP7000YR0000XXM</t>
  </si>
  <si>
    <t>HGWHN600M0L0001AWX</t>
  </si>
  <si>
    <t>G685733610</t>
  </si>
  <si>
    <t>GMG5453006U1J88AB</t>
  </si>
  <si>
    <t>FP1434708EH25YVAN</t>
  </si>
  <si>
    <t>G684025448</t>
  </si>
  <si>
    <t>F8Y5467C5VZ18FKBQ</t>
  </si>
  <si>
    <t>G714035603</t>
  </si>
  <si>
    <t>F9Y6167C4SL18FKBD</t>
  </si>
  <si>
    <t>FG915021E8T18FM4Z</t>
  </si>
  <si>
    <t>G712684243</t>
  </si>
  <si>
    <t>FV9543303Z90W9FLP</t>
  </si>
  <si>
    <t>FV9517401CR0W9FLU</t>
  </si>
  <si>
    <t>G708068935</t>
  </si>
  <si>
    <t>FG921040QEF18FM4K</t>
  </si>
  <si>
    <t>G707506155</t>
  </si>
  <si>
    <t>F8Y5356C167M6YNDA</t>
  </si>
  <si>
    <t>FG995161QNSM6YQ8X</t>
  </si>
  <si>
    <t>G706601293</t>
  </si>
  <si>
    <t>LQM9VN47ND</t>
  </si>
  <si>
    <t>GKVYHXCXMF</t>
  </si>
  <si>
    <t>G704633493</t>
  </si>
  <si>
    <t>DJ5WK2C6HJ</t>
  </si>
  <si>
    <t>FP03CDFJFM</t>
  </si>
  <si>
    <t>G701095471</t>
  </si>
  <si>
    <t>FMXHNL000QN00006J3</t>
  </si>
  <si>
    <t>G700560771</t>
  </si>
  <si>
    <t>F8Y5426C5KZQ687BZ</t>
  </si>
  <si>
    <t>FG90403PG2PQ6893T</t>
  </si>
  <si>
    <t>G699968167</t>
  </si>
  <si>
    <t>F8Y5497C4RB13RHCQ</t>
  </si>
  <si>
    <t>F8Y142602AJ13RHB1</t>
  </si>
  <si>
    <t>G683136034</t>
  </si>
  <si>
    <t>F8Y5516C2RT13XCBQ</t>
  </si>
  <si>
    <t>F5D22435J2613X9AP</t>
  </si>
  <si>
    <t>G699309075</t>
  </si>
  <si>
    <t>F4HK305WJ9</t>
  </si>
  <si>
    <t>VQ3GRK64TR</t>
  </si>
  <si>
    <t>G682546262</t>
  </si>
  <si>
    <t>G9NHFBS0XLB00005DR</t>
  </si>
  <si>
    <t>GVCHAK05G0E00005DS</t>
  </si>
  <si>
    <t>G713755247</t>
  </si>
  <si>
    <t>G0NHSQ00DRT0000YJ1</t>
  </si>
  <si>
    <t>G712929603</t>
  </si>
  <si>
    <t>LVP7NXY42T</t>
  </si>
  <si>
    <t>MWGHKH3FDF</t>
  </si>
  <si>
    <t>G712568045</t>
  </si>
  <si>
    <t>F8Y6162C4J818FKBL</t>
  </si>
  <si>
    <t>F8Y14661R4G18FLA8</t>
  </si>
  <si>
    <t>G693923778</t>
  </si>
  <si>
    <t>GXY9WNMHHF</t>
  </si>
  <si>
    <t>G9RWKYPL2L</t>
  </si>
  <si>
    <t>G712137611</t>
  </si>
  <si>
    <t>HQXLWTW9X6</t>
  </si>
  <si>
    <t>CJCJWPCVH9</t>
  </si>
  <si>
    <t>G711532311</t>
  </si>
  <si>
    <t>SCNC</t>
  </si>
  <si>
    <t>F8Y5501C0TAQ4C2B8</t>
  </si>
  <si>
    <t>F5D04459NRWQ4C09H</t>
  </si>
  <si>
    <t>G711538035</t>
  </si>
  <si>
    <t>G711135275</t>
  </si>
  <si>
    <t>Z661-24752</t>
  </si>
  <si>
    <t>AirPods Pro 1st gen, MagSafe Charging Case only, CI/AR, INT</t>
  </si>
  <si>
    <t>H7KRD0271059</t>
  </si>
  <si>
    <t>G709978715</t>
  </si>
  <si>
    <t>C9LQ1W7V36</t>
  </si>
  <si>
    <t>L7H479Q4HH</t>
  </si>
  <si>
    <t>G709665583</t>
  </si>
  <si>
    <t>F5D4512170SLTDMBR</t>
  </si>
  <si>
    <t>F5D01124NEKMHYJ8C</t>
  </si>
  <si>
    <t>G708937559</t>
  </si>
  <si>
    <t>F8Y6057CJ6A18FKB5</t>
  </si>
  <si>
    <t>F8Y22420FEU18FLAN</t>
  </si>
  <si>
    <t>G689419130</t>
  </si>
  <si>
    <t>F8Y6096C2MT13RHCQ</t>
  </si>
  <si>
    <t>F5D20456H8413RJ9H</t>
  </si>
  <si>
    <t>G708145865</t>
  </si>
  <si>
    <t>F8Y6056C5XF18FKB7</t>
  </si>
  <si>
    <t>FG922721H9118FMAE</t>
  </si>
  <si>
    <t>G707372913</t>
  </si>
  <si>
    <t>GQ5L70T0H3</t>
  </si>
  <si>
    <t>KV24P42Q90</t>
  </si>
  <si>
    <t>G705712383</t>
  </si>
  <si>
    <t>GMG549301PPNR8DBA</t>
  </si>
  <si>
    <t>FP1325702WS249XA6</t>
  </si>
  <si>
    <t>G705609245</t>
  </si>
  <si>
    <t>C6V22XMF47</t>
  </si>
  <si>
    <t>L73V2RMJQ4</t>
  </si>
  <si>
    <t>G702908367</t>
  </si>
  <si>
    <t>F18HNX00WVJ00014XQ</t>
  </si>
  <si>
    <t>DR9HNB002YJ00013S6</t>
  </si>
  <si>
    <t>HXG4DN7Y45</t>
  </si>
  <si>
    <t>F16K46GKQQ</t>
  </si>
  <si>
    <t>G702483185</t>
  </si>
  <si>
    <t>G9P5352M5EGPQCLA2</t>
  </si>
  <si>
    <t>G9N2142U4EUPQCLAK</t>
  </si>
  <si>
    <t>G702252727</t>
  </si>
  <si>
    <t>F8Y5455C74W13XCB1</t>
  </si>
  <si>
    <t>F5D1457BY2213XD9N</t>
  </si>
  <si>
    <t>G702201377</t>
  </si>
  <si>
    <t>G4WQW9LJW5</t>
  </si>
  <si>
    <t>C6JN6H7W3F</t>
  </si>
  <si>
    <t>G701644781</t>
  </si>
  <si>
    <t>J7M721NP3Q</t>
  </si>
  <si>
    <t>M9FGW46L3Q</t>
  </si>
  <si>
    <t>G701275127</t>
  </si>
  <si>
    <t>F8YHN4C0QJ800006TP</t>
  </si>
  <si>
    <t>F8YH5Q30E6V00006TR</t>
  </si>
  <si>
    <t>G700995123</t>
  </si>
  <si>
    <t>F8Y5474C75118FKBQ</t>
  </si>
  <si>
    <t>FG921460HSP18FMAJ</t>
  </si>
  <si>
    <t>G700986783</t>
  </si>
  <si>
    <t>ZP661-25144</t>
  </si>
  <si>
    <t>Pink, 256 GB, iPad Air 5th generation, Wi-Fi, ITP</t>
  </si>
  <si>
    <t>CX21Q2Y3JY</t>
  </si>
  <si>
    <t>L9N2J2R9DH</t>
  </si>
  <si>
    <t>G700866349</t>
  </si>
  <si>
    <t>PA661-22262</t>
  </si>
  <si>
    <t>Beats White, Beats Fit Pro, Right, PAC, CI/AR</t>
  </si>
  <si>
    <t>H2CQW0351JG4</t>
  </si>
  <si>
    <t>H2DP90TS1JG4</t>
  </si>
  <si>
    <t>G687245938</t>
  </si>
  <si>
    <t>H2CQV0211JG3</t>
  </si>
  <si>
    <t>H2DP909S1JG3</t>
  </si>
  <si>
    <t>G699968509</t>
  </si>
  <si>
    <t>FG9HNR006KH00006TT</t>
  </si>
  <si>
    <t>F5DH6R00P9D00006TS</t>
  </si>
  <si>
    <t>G683505188</t>
  </si>
  <si>
    <t>661-16807</t>
  </si>
  <si>
    <t>Display Assembly, Silver</t>
  </si>
  <si>
    <t>GMG549300PNNR89BG</t>
  </si>
  <si>
    <t>GMG349503UZNR89BR</t>
  </si>
  <si>
    <t>G699743599</t>
  </si>
  <si>
    <t>DQG32CDHPG</t>
  </si>
  <si>
    <t>HDXXQ9XTWP</t>
  </si>
  <si>
    <t>G715104433</t>
  </si>
  <si>
    <t>F8Y6172C24L18FKBF</t>
  </si>
  <si>
    <t>F8Y3475033T18FLAH</t>
  </si>
  <si>
    <t>G712548199</t>
  </si>
  <si>
    <t>F8Y6097C04313XCBN</t>
  </si>
  <si>
    <t>F8Y2222019D13XC89</t>
  </si>
  <si>
    <t>G709839263</t>
  </si>
  <si>
    <t>F8Y5274C0MW13XCBN</t>
  </si>
  <si>
    <t>F8Y15031L3L13XC83</t>
  </si>
  <si>
    <t>G691181900</t>
  </si>
  <si>
    <t>Display, Space Black, MBP (16-in, 2023)</t>
  </si>
  <si>
    <t>FMX544207AE278XAF</t>
  </si>
  <si>
    <t>DCN347400QQ278WA4</t>
  </si>
  <si>
    <t>G708254579</t>
  </si>
  <si>
    <t>F8Y6101C33413XCBK</t>
  </si>
  <si>
    <t>F5D1523EPHQ13XD91</t>
  </si>
  <si>
    <t>G707073155</t>
  </si>
  <si>
    <t>F8Y6056C9XZ18FKBK</t>
  </si>
  <si>
    <t>FG922130ECK18FMAA</t>
  </si>
  <si>
    <t>G706624865</t>
  </si>
  <si>
    <t>JFY1661L7Q</t>
  </si>
  <si>
    <t>GG9QHH63GK</t>
  </si>
  <si>
    <t>G686222220</t>
  </si>
  <si>
    <t>G9QHPMP1M0X0000L4B</t>
  </si>
  <si>
    <t>G9NHKLW08RM0000L4B</t>
  </si>
  <si>
    <t>G702485389</t>
  </si>
  <si>
    <t>F8Y5442C3B1M6YND5</t>
  </si>
  <si>
    <t>F8Y229201WKM6YNB</t>
  </si>
  <si>
    <t>G685241360</t>
  </si>
  <si>
    <t>F8Y5505CB8D58FKBJ</t>
  </si>
  <si>
    <t>FG9404705P118FMBJ</t>
  </si>
  <si>
    <t>G700818231</t>
  </si>
  <si>
    <t>F8Y5455C02013XCBA</t>
  </si>
  <si>
    <t>F5D1514H1GT13XD9G</t>
  </si>
  <si>
    <t>G700498785</t>
  </si>
  <si>
    <t>F8YHN4C11HQ00006TP</t>
  </si>
  <si>
    <t>F8YGYX308N000006TR</t>
  </si>
  <si>
    <t>G715866209</t>
  </si>
  <si>
    <t>F8Y6171C22Z18FKB9</t>
  </si>
  <si>
    <t>F8Y32870GHA18FLAA</t>
  </si>
  <si>
    <t>G713873367</t>
  </si>
  <si>
    <t>G9Q5181WPNY1502AF</t>
  </si>
  <si>
    <t>G9Q5342X30M1502AG</t>
  </si>
  <si>
    <t>G694502412</t>
  </si>
  <si>
    <t>F8Y6157C2Z518FKBC</t>
  </si>
  <si>
    <t>FG9413408ZU18FMBX</t>
  </si>
  <si>
    <t>G711726643</t>
  </si>
  <si>
    <t>G2WJ464HGH</t>
  </si>
  <si>
    <t>CXK6W94M04</t>
  </si>
  <si>
    <t>G709503075</t>
  </si>
  <si>
    <t>G9PHFBK3HBN00005DR</t>
  </si>
  <si>
    <t>G708717827</t>
  </si>
  <si>
    <t>F8Y6122C05H231LB7</t>
  </si>
  <si>
    <t>F8Y2505057A231L7U</t>
  </si>
  <si>
    <t>G690516484</t>
  </si>
  <si>
    <t>D865507N0A6PJYRBV</t>
  </si>
  <si>
    <t>D861122AF55PJYRAG</t>
  </si>
  <si>
    <t>G702685763</t>
  </si>
  <si>
    <t>J33HNG0000C00003T3</t>
  </si>
  <si>
    <t>FV9HDC00Z4200003T3</t>
  </si>
  <si>
    <t>G702560925</t>
  </si>
  <si>
    <t>F8Y5456C1DD18FKBY</t>
  </si>
  <si>
    <t>FG924150FVF18FMAS</t>
  </si>
  <si>
    <t>G702542129</t>
  </si>
  <si>
    <t>LN444D6RGD</t>
  </si>
  <si>
    <t>GHK73RY7WC</t>
  </si>
  <si>
    <t>G702324421</t>
  </si>
  <si>
    <t>G9PHKUT130Y00005DP</t>
  </si>
  <si>
    <t>GVCH9R02Q5400005DQ</t>
  </si>
  <si>
    <t>G701580307</t>
  </si>
  <si>
    <t>F8Y5464C862217WB5</t>
  </si>
  <si>
    <t>F8Y23952Y1R217W7F</t>
  </si>
  <si>
    <t>G701047729</t>
  </si>
  <si>
    <t>F8Y5372C56K14LWCH</t>
  </si>
  <si>
    <t>F5D13657WYS14LX94</t>
  </si>
  <si>
    <t>G684124792</t>
  </si>
  <si>
    <t>F8Y5474C8JG18FKB3</t>
  </si>
  <si>
    <t>G700348943</t>
  </si>
  <si>
    <t>G9PHJHK03TM00005DR</t>
  </si>
  <si>
    <t>G9PHHVU0DXC00005DR</t>
  </si>
  <si>
    <t>G700325649</t>
  </si>
  <si>
    <t>F8Y5485C0TS20J9BA</t>
  </si>
  <si>
    <t>F8Y237600FU20JC2E</t>
  </si>
  <si>
    <t>G700180841</t>
  </si>
  <si>
    <t>G9P5384MPDMPQCLA5</t>
  </si>
  <si>
    <t>G699254353</t>
  </si>
  <si>
    <t>G9PHP8D0HJF0000L4B</t>
  </si>
  <si>
    <t>G9NHKDW2D230000L4B</t>
  </si>
  <si>
    <t>G682724844</t>
  </si>
  <si>
    <t>F0Y416500AD2525AS</t>
  </si>
  <si>
    <t>FMX311502LTPP5FA6</t>
  </si>
  <si>
    <t>G715291245</t>
  </si>
  <si>
    <t>F8Y6183C0ZQ18FKBQ</t>
  </si>
  <si>
    <t>FG91463162618FM4U</t>
  </si>
  <si>
    <t>G715184929</t>
  </si>
  <si>
    <t>F8Y6171C1XL18FKB4</t>
  </si>
  <si>
    <t>FG9149720TB18FM46</t>
  </si>
  <si>
    <t>G714412605</t>
  </si>
  <si>
    <t>GCFHNU04RL80000QT9</t>
  </si>
  <si>
    <t>DNMHN604X8R0000QTE</t>
  </si>
  <si>
    <t>G712319091</t>
  </si>
  <si>
    <t>F5D326542QG20J8AV</t>
  </si>
  <si>
    <t>G710339035</t>
  </si>
  <si>
    <t>F8Y5514CCFZ18FKB8</t>
  </si>
  <si>
    <t>FG9413200MV18FMB8</t>
  </si>
  <si>
    <t>G690520390</t>
  </si>
  <si>
    <t>DNL53020E3E1986AA</t>
  </si>
  <si>
    <t>DNL240322A31986AD</t>
  </si>
  <si>
    <t>G690481656</t>
  </si>
  <si>
    <t>C4JY26CK9G</t>
  </si>
  <si>
    <t>G7HRW0MJGR</t>
  </si>
  <si>
    <t>G706928101</t>
  </si>
  <si>
    <t>F8Y6046C3Q5M6YNDT</t>
  </si>
  <si>
    <t>F8Y401400X0M6YNDZ</t>
  </si>
  <si>
    <t>G706045023</t>
  </si>
  <si>
    <t>G9PHFCU2NWN00005DR</t>
  </si>
  <si>
    <t>G9NHCAU2FZV00005DR</t>
  </si>
  <si>
    <t>G705713131</t>
  </si>
  <si>
    <t>TA661-37201</t>
  </si>
  <si>
    <t>15 Pro Max, Natural, 512GB, Logic Board Assy Mid System, ROW</t>
  </si>
  <si>
    <t>DKMQ4KQNV7</t>
  </si>
  <si>
    <t>DW79H76JVH</t>
  </si>
  <si>
    <t>G705711435</t>
  </si>
  <si>
    <t>F8Y5527C45XQ687B8</t>
  </si>
  <si>
    <t>FG910242EC4Q68937</t>
  </si>
  <si>
    <t>G705459939</t>
  </si>
  <si>
    <t>MYVYDJJNPN</t>
  </si>
  <si>
    <t>GR4H93Y4NX</t>
  </si>
  <si>
    <t>G704069661</t>
  </si>
  <si>
    <t>DNL52220TD41986B3</t>
  </si>
  <si>
    <t>GMH350720KK18VC4K</t>
  </si>
  <si>
    <t>G704000563</t>
  </si>
  <si>
    <t>GH3HPG01J4K0000MUZ</t>
  </si>
  <si>
    <t>G9PHM7Z27LQ0000MUY</t>
  </si>
  <si>
    <t>G702598211</t>
  </si>
  <si>
    <t>F8Y5455CAC618FKB0</t>
  </si>
  <si>
    <t>FG914972CX018FM4T</t>
  </si>
  <si>
    <t>G701739787</t>
  </si>
  <si>
    <t>DNL52220P9B1986BC</t>
  </si>
  <si>
    <t>DNL35271H931986BM</t>
  </si>
  <si>
    <t>G701275435</t>
  </si>
  <si>
    <t>FG9547601V9N2YLBA</t>
  </si>
  <si>
    <t>F5D029513MFN2YN4F</t>
  </si>
  <si>
    <t>G684515588</t>
  </si>
  <si>
    <t>GVCHN30252L0000MUZ</t>
  </si>
  <si>
    <t>GH3HLL027LD0000MUZ</t>
  </si>
  <si>
    <t>G698945111</t>
  </si>
  <si>
    <t>G9P5263NHQ214YDA1</t>
  </si>
  <si>
    <t>G9N2441MMFG14YDAV</t>
  </si>
  <si>
    <t>F8Y5467C6MB20J9B7</t>
  </si>
  <si>
    <t>F5D2424047W20J89R</t>
  </si>
  <si>
    <t>G714401905</t>
  </si>
  <si>
    <t>F8Y6157C0QTQ687BK</t>
  </si>
  <si>
    <t>FG903731E7PQ6893S</t>
  </si>
  <si>
    <t>G713969829</t>
  </si>
  <si>
    <t>F8Y6171C3K018FKBQ</t>
  </si>
  <si>
    <t>F8Y203627VT18FLAF</t>
  </si>
  <si>
    <t>G712751687</t>
  </si>
  <si>
    <t>G9PHBYS28T700005DR</t>
  </si>
  <si>
    <t>GH3HEA00N8400005DS</t>
  </si>
  <si>
    <t>G709870749</t>
  </si>
  <si>
    <t>G9PHLUT0URJ00005DP</t>
  </si>
  <si>
    <t>G9PHAKT319R00005DP</t>
  </si>
  <si>
    <t>G709770121</t>
  </si>
  <si>
    <t>G9QHPWY039P00004Y7</t>
  </si>
  <si>
    <t>J5VHM40010W00004Y8</t>
  </si>
  <si>
    <t>G708262213</t>
  </si>
  <si>
    <t>F8Y6062C1ZY18FKBP</t>
  </si>
  <si>
    <t>FG94143051218FMBJ</t>
  </si>
  <si>
    <t>G706856297</t>
  </si>
  <si>
    <t>661-56060</t>
  </si>
  <si>
    <t>Lavender, Back Glass, iPhone 17</t>
  </si>
  <si>
    <t>DRCHPY005Z20000WDN</t>
  </si>
  <si>
    <t>DRCHMQ009T50000WDN</t>
  </si>
  <si>
    <t>G705975441</t>
  </si>
  <si>
    <t>F8Y5406C86NM6YND2</t>
  </si>
  <si>
    <t>FG901072XCQM6YRB8</t>
  </si>
  <si>
    <t>G705830499</t>
  </si>
  <si>
    <t>GH3HPT000LP0000MUZ</t>
  </si>
  <si>
    <t>G9NHL2Q328X0000MUY</t>
  </si>
  <si>
    <t>G704105663</t>
  </si>
  <si>
    <t>G9P5094M4FGPQCLAP</t>
  </si>
  <si>
    <t>G9P1395UKDKPQCLAY</t>
  </si>
  <si>
    <t>G686199002</t>
  </si>
  <si>
    <t>DNMHFW01U01000048L</t>
  </si>
  <si>
    <t>DNLHG52X0AV00005LW</t>
  </si>
  <si>
    <t>G702239259</t>
  </si>
  <si>
    <t>G9QHPCR0ATH00004Y7</t>
  </si>
  <si>
    <t>G702085217</t>
  </si>
  <si>
    <t>G9P5154L53KPQCKA2</t>
  </si>
  <si>
    <t>G700563487</t>
  </si>
  <si>
    <t>G9Q5444XJ2F1502AY</t>
  </si>
  <si>
    <t>GVC42350C2X1503A5</t>
  </si>
  <si>
    <t>G700495009</t>
  </si>
  <si>
    <t>GMG545100VANR8DBL</t>
  </si>
  <si>
    <t>GMG426101ZNNR89B1</t>
  </si>
  <si>
    <t>G700074755</t>
  </si>
  <si>
    <t>F8Y5506CNCY18FKB9</t>
  </si>
  <si>
    <t>F8Y324605EC18FLA7</t>
  </si>
  <si>
    <t>G683206386</t>
  </si>
  <si>
    <t>G9P5385M1RCPQCLAZ</t>
  </si>
  <si>
    <t>G9P2277MJHFPQCLAE</t>
  </si>
  <si>
    <t>G698201499</t>
  </si>
  <si>
    <t>F8Y5433C6NFM6YNDR</t>
  </si>
  <si>
    <t>FG9209501PHM6YQCL</t>
  </si>
  <si>
    <t>G715664059</t>
  </si>
  <si>
    <t>F8Y6182C6ZB18FKBY</t>
  </si>
  <si>
    <t>FG932450L4918FMAQ</t>
  </si>
  <si>
    <t>G713948541</t>
  </si>
  <si>
    <t>F18HRE00DWM00014XQ</t>
  </si>
  <si>
    <t>F18HQT012DC00013S6</t>
  </si>
  <si>
    <t>G713031767</t>
  </si>
  <si>
    <t>F8Y6154C5PE18FKBZ</t>
  </si>
  <si>
    <t>F8Y22750H9418FLAD</t>
  </si>
  <si>
    <t>G693356960</t>
  </si>
  <si>
    <t>F8Y6054C8V718FKBL</t>
  </si>
  <si>
    <t>F8Y41640PRC18FLBF</t>
  </si>
  <si>
    <t>G711553725</t>
  </si>
  <si>
    <t>F8Y5273C3BJ02JNBT</t>
  </si>
  <si>
    <t>F8Y04820U0S02JN7J</t>
  </si>
  <si>
    <t>G709661003</t>
  </si>
  <si>
    <t>F8Y6056CLQE18FKBE</t>
  </si>
  <si>
    <t>FG9205523XL18FM4X</t>
  </si>
  <si>
    <t>G708978361</t>
  </si>
  <si>
    <t>F8Y6057CJSA18FKBD</t>
  </si>
  <si>
    <t>F8Y14662DLA18FLA9</t>
  </si>
  <si>
    <t>G706909959</t>
  </si>
  <si>
    <t>F8Y6056C1KE18FKBE</t>
  </si>
  <si>
    <t>F8Y14610MJ318FLAR</t>
  </si>
  <si>
    <t>G688033686</t>
  </si>
  <si>
    <t>FMXHNM002VY00006J3</t>
  </si>
  <si>
    <t>FP1HEQ000RN0000FQX</t>
  </si>
  <si>
    <t>G703115707</t>
  </si>
  <si>
    <t>G9QHNXT05WX00004Y9</t>
  </si>
  <si>
    <t>G9QHEUL1J9A00004Y9</t>
  </si>
  <si>
    <t>G686197974</t>
  </si>
  <si>
    <t>F5D5483N3FAKGGJFB</t>
  </si>
  <si>
    <t>F5D01249UB2KGGJBQ</t>
  </si>
  <si>
    <t>G702485485</t>
  </si>
  <si>
    <t>GH3HPS01QYJ0000MUZ</t>
  </si>
  <si>
    <t>G9NHKZL68A90000MUY</t>
  </si>
  <si>
    <t>G701582591</t>
  </si>
  <si>
    <t>J33HNP000HU0000PC8</t>
  </si>
  <si>
    <t>FV9HEB00RQ90000PC8</t>
  </si>
  <si>
    <t>G701433501</t>
  </si>
  <si>
    <t>HMQJXHD2YV</t>
  </si>
  <si>
    <t>K7L9PP9V26</t>
  </si>
  <si>
    <t>G700838631</t>
  </si>
  <si>
    <t>DRCHKN000F90000U64</t>
  </si>
  <si>
    <t>J0MHAZ00VRK0000U64</t>
  </si>
  <si>
    <t>G683273804</t>
  </si>
  <si>
    <t>G9P5352ME75PQCLAR</t>
  </si>
  <si>
    <t>G9N1431S79GPQCLAK</t>
  </si>
  <si>
    <t>G698323467</t>
  </si>
  <si>
    <t>C02HHQ000600000WZJ</t>
  </si>
  <si>
    <t>C02HJV003AF0000WZJ</t>
  </si>
  <si>
    <t>G715418687</t>
  </si>
  <si>
    <t>G9P4443MKS9PQCLAX</t>
  </si>
  <si>
    <t>G714767483</t>
  </si>
  <si>
    <t>G9PHHVU1RQP00005DR</t>
  </si>
  <si>
    <t>G9PHBAU2Y7M00005DR</t>
  </si>
  <si>
    <t>G694200266</t>
  </si>
  <si>
    <t>ZP661-38968</t>
  </si>
  <si>
    <t>Silver, iPad Pro 13-inch (M4), 512GB, Wi-Fi, ITP</t>
  </si>
  <si>
    <t>HC9L592343</t>
  </si>
  <si>
    <t>MH6HY4J9CL</t>
  </si>
  <si>
    <t>G712457515</t>
  </si>
  <si>
    <t>FG9HRK001X400006TT</t>
  </si>
  <si>
    <t>FG9GYY011U100006TT</t>
  </si>
  <si>
    <t>G712128199</t>
  </si>
  <si>
    <t>F8Y6113C67P18FKBG</t>
  </si>
  <si>
    <t>F8Y404503XR18FLBA</t>
  </si>
  <si>
    <t>G693560924</t>
  </si>
  <si>
    <t>HNXQV1MWQ1HJ</t>
  </si>
  <si>
    <t>HNXQQ32SQ1HJ</t>
  </si>
  <si>
    <t>G711105435</t>
  </si>
  <si>
    <t>F8Y6054C8U918FKBM</t>
  </si>
  <si>
    <t>FG9202502GF18FM4V</t>
  </si>
  <si>
    <t>G710228345</t>
  </si>
  <si>
    <t>DNL51950D7B1986B5</t>
  </si>
  <si>
    <t>DNL40140N7T1986B9</t>
  </si>
  <si>
    <t>G709871603</t>
  </si>
  <si>
    <t>C02HE2002K50000KL4</t>
  </si>
  <si>
    <t>J33HDU004C40000P0R</t>
  </si>
  <si>
    <t>G709868615</t>
  </si>
  <si>
    <t>GMG549300JJNR8DBX</t>
  </si>
  <si>
    <t>GMG338302LFNR8DB2</t>
  </si>
  <si>
    <t>G708796233</t>
  </si>
  <si>
    <t>JXFD9QFYGR</t>
  </si>
  <si>
    <t>L3YJGKF9P5</t>
  </si>
  <si>
    <t>G708152193</t>
  </si>
  <si>
    <t>F8Y5366CD9R14LWCT</t>
  </si>
  <si>
    <t>F5D14952K9H14LX9W</t>
  </si>
  <si>
    <t>G706910353</t>
  </si>
  <si>
    <t>D865507N0CWPJYRBZ</t>
  </si>
  <si>
    <t>D882385A4ZEBJYRAA</t>
  </si>
  <si>
    <t>G706904457</t>
  </si>
  <si>
    <t>G9NHFCQ35YR00005DR</t>
  </si>
  <si>
    <t>GVCHBZ022ZZ00005DS</t>
  </si>
  <si>
    <t>G705823877</t>
  </si>
  <si>
    <t>F8Y5425C0R518FKBF</t>
  </si>
  <si>
    <t>FG914632SNC18FM47</t>
  </si>
  <si>
    <t>G705711851</t>
  </si>
  <si>
    <t>F8Y6054CM3C18FKBC</t>
  </si>
  <si>
    <t>F8Y23751FF318FLAU</t>
  </si>
  <si>
    <t>G687556766</t>
  </si>
  <si>
    <t>G9Q6036S67021KHAQ</t>
  </si>
  <si>
    <t>GVH51770Z3G1PHLAR</t>
  </si>
  <si>
    <t>G704578213</t>
  </si>
  <si>
    <t>G9P5134M5RSPQCLAZ</t>
  </si>
  <si>
    <t>G9P2277M5LUPQCLA5</t>
  </si>
  <si>
    <t>G686571100</t>
  </si>
  <si>
    <t>TA661-37197</t>
  </si>
  <si>
    <t>15 Pro Max, Natural, 256GB, Logic Board Assy Mid System, ROW</t>
  </si>
  <si>
    <t>ML7PDF0CD2</t>
  </si>
  <si>
    <t>FTFV16HC4C</t>
  </si>
  <si>
    <t>G702619261</t>
  </si>
  <si>
    <t>G9P4193M57HPQCLAE</t>
  </si>
  <si>
    <t>G9N1495PJG1PQCLAP</t>
  </si>
  <si>
    <t>G702255159</t>
  </si>
  <si>
    <t>G9Q5182PCBCPR5QAA</t>
  </si>
  <si>
    <t>GVH50772J0NPR5PA3</t>
  </si>
  <si>
    <t>G701412179</t>
  </si>
  <si>
    <t>M5H30J96H9</t>
  </si>
  <si>
    <t>GWR6YY60LX</t>
  </si>
  <si>
    <t>G700604587</t>
  </si>
  <si>
    <t>G9PHFPK12W500005DR</t>
  </si>
  <si>
    <t>GH3HBE01WK100005DS</t>
  </si>
  <si>
    <t>G700481203</t>
  </si>
  <si>
    <t>G9P5262MJJLPQCLA5</t>
  </si>
  <si>
    <t>G9P1387SJA7PQCLAT</t>
  </si>
  <si>
    <t>G715664193</t>
  </si>
  <si>
    <t>F8Y6184C4GZ18FKBT</t>
  </si>
  <si>
    <t>FG915021GCJ18FM4U</t>
  </si>
  <si>
    <t>G714858699</t>
  </si>
  <si>
    <t>F8Y6157CBKX217WB2</t>
  </si>
  <si>
    <t>F8Y23911W8Y217W7W</t>
  </si>
  <si>
    <t>G713285633</t>
  </si>
  <si>
    <t>GMG606100SRNR89BG</t>
  </si>
  <si>
    <t>FP1437700JH249XA9</t>
  </si>
  <si>
    <t>G693562646</t>
  </si>
  <si>
    <t>F8Y6132C15B18FKB0</t>
  </si>
  <si>
    <t>FG914732Z2P18FM4C</t>
  </si>
  <si>
    <t>G709149307</t>
  </si>
  <si>
    <t>F8Y6057CH0N18FKBC</t>
  </si>
  <si>
    <t>F8Y40860EGC18FLBA</t>
  </si>
  <si>
    <t>F8Y6056CLQ118FKBT</t>
  </si>
  <si>
    <t>GPL734N799</t>
  </si>
  <si>
    <t>M5XHHY6F99</t>
  </si>
  <si>
    <t>G690489674</t>
  </si>
  <si>
    <t>F8Y6062C46K18FKBC</t>
  </si>
  <si>
    <t>FG9215603AM18FMAB</t>
  </si>
  <si>
    <t>G707647169</t>
  </si>
  <si>
    <t>FMXHNL0005G00006J3</t>
  </si>
  <si>
    <t>FP1HC6007LA0000FQX</t>
  </si>
  <si>
    <t>G707522125</t>
  </si>
  <si>
    <t>F8Y6024CAMV217WBC</t>
  </si>
  <si>
    <t>F8Y247428KM217W7V</t>
  </si>
  <si>
    <t>G706858493</t>
  </si>
  <si>
    <t>MLH6Q7L723</t>
  </si>
  <si>
    <t>LVQGYKXYXQ</t>
  </si>
  <si>
    <t>G705723033</t>
  </si>
  <si>
    <t>G9Q5173E6241502AZ</t>
  </si>
  <si>
    <t>GVC43760CDP1503A0</t>
  </si>
  <si>
    <t>G688263396</t>
  </si>
  <si>
    <t>661-36834</t>
  </si>
  <si>
    <t>Natural Titanium, Millimeter Wave, Back Glass, iPhone 15 Pro</t>
  </si>
  <si>
    <t>DRCHG8000K40000AY2</t>
  </si>
  <si>
    <t>HKYGXG00A4V0000AY2</t>
  </si>
  <si>
    <t>G704641333</t>
  </si>
  <si>
    <t>J33X366K22</t>
  </si>
  <si>
    <t>KWH4W327R7</t>
  </si>
  <si>
    <t>G687359934</t>
  </si>
  <si>
    <t>H103Q1NPQ6</t>
  </si>
  <si>
    <t>KJL6CQ7Q0K</t>
  </si>
  <si>
    <t>G702616015</t>
  </si>
  <si>
    <t>F8Y5506CDC218FKBE</t>
  </si>
  <si>
    <t>FG9327409SM18FMAH</t>
  </si>
  <si>
    <t>G702445003</t>
  </si>
  <si>
    <t>F8Y5527C615Q687BA</t>
  </si>
  <si>
    <t>F8Y104118N5Q6872N</t>
  </si>
  <si>
    <t>G701204685</t>
  </si>
  <si>
    <t>923-06234</t>
  </si>
  <si>
    <t>Top Speaker, iPhone 13</t>
  </si>
  <si>
    <t>CTH51041B330807A3</t>
  </si>
  <si>
    <t>CTH448622860807AZ</t>
  </si>
  <si>
    <t>G700558863</t>
  </si>
  <si>
    <t>M217WTYYWN</t>
  </si>
  <si>
    <t>H7YK9W5VQG</t>
  </si>
  <si>
    <t>G715663831</t>
  </si>
  <si>
    <t>F8Y6165C2GW13XCB1</t>
  </si>
  <si>
    <t>F8Y13130RW613X878</t>
  </si>
  <si>
    <t>G714863555</t>
  </si>
  <si>
    <t>F8Y6172C19G18FKB5</t>
  </si>
  <si>
    <t>G713189547</t>
  </si>
  <si>
    <t>F8Y6163C0VC18FKBL</t>
  </si>
  <si>
    <t>FG91463303718FM4Q</t>
  </si>
  <si>
    <t>G713032115</t>
  </si>
  <si>
    <t>F8Y6143C70L217WBD</t>
  </si>
  <si>
    <t>F5D245128ET21PK74</t>
  </si>
  <si>
    <t>G694523910</t>
  </si>
  <si>
    <t>D16QRPF767</t>
  </si>
  <si>
    <t>K0JQWXH3W6</t>
  </si>
  <si>
    <t>G712821051</t>
  </si>
  <si>
    <t>G9NHCAS2HB600005DR</t>
  </si>
  <si>
    <t>GH3HFK01RJQ00005DS</t>
  </si>
  <si>
    <t>G711728889</t>
  </si>
  <si>
    <t>D865123N0S8PJYRBF</t>
  </si>
  <si>
    <t>D864234N2NVPJYRB2</t>
  </si>
  <si>
    <t>G711459749</t>
  </si>
  <si>
    <t>HFY6J3Q05L</t>
  </si>
  <si>
    <t>F24K76F5JQ</t>
  </si>
  <si>
    <t>G709275967</t>
  </si>
  <si>
    <t>F8Y5514CCG618FKBY</t>
  </si>
  <si>
    <t>FG920551QDN18FM4X</t>
  </si>
  <si>
    <t>G689900524</t>
  </si>
  <si>
    <t>FMXHQ3005PW00006J3</t>
  </si>
  <si>
    <t>FP1HFR006FA0000FQX</t>
  </si>
  <si>
    <t>G705829381</t>
  </si>
  <si>
    <t>F8Y6045C76K18FKBC</t>
  </si>
  <si>
    <t>FG91465149718FM46</t>
  </si>
  <si>
    <t>G705335335</t>
  </si>
  <si>
    <t>K9MVWRXY10</t>
  </si>
  <si>
    <t>G687754708</t>
  </si>
  <si>
    <t>C02HMG001BH0000P0S</t>
  </si>
  <si>
    <t>C02HEG0044M0000P0R</t>
  </si>
  <si>
    <t>C02HLE0000C0000P0R</t>
  </si>
  <si>
    <t>G704842543</t>
  </si>
  <si>
    <t>F8Y5447C4CW13XCBF</t>
  </si>
  <si>
    <t>F8Y23130DC713XC8V</t>
  </si>
  <si>
    <t>G9P5223MNKDPQCLAG</t>
  </si>
  <si>
    <t>G9N23032G1WPQCLAV</t>
  </si>
  <si>
    <t>G703519487</t>
  </si>
  <si>
    <t>F8Y5243C4XG13RHCN</t>
  </si>
  <si>
    <t>F5D20311ML113RJ92</t>
  </si>
  <si>
    <t>G703126409</t>
  </si>
  <si>
    <t>G9Q5234T4CV21KHAG</t>
  </si>
  <si>
    <t>GVH52450L1B1PHLAR</t>
  </si>
  <si>
    <t>G686205280</t>
  </si>
  <si>
    <t>DN8HK7056QE0000JS5</t>
  </si>
  <si>
    <t>DN8HNC0AJN60000RYQ</t>
  </si>
  <si>
    <t>G0NHP6018Y60000YJ1</t>
  </si>
  <si>
    <t>FNJHMLS1NTN0000QTV</t>
  </si>
  <si>
    <t>G701442295</t>
  </si>
  <si>
    <t>F0YHMQ000XH0000GVL</t>
  </si>
  <si>
    <t>GMGHE6001JX0000GVL</t>
  </si>
  <si>
    <t>G700493089</t>
  </si>
  <si>
    <t>F8Y5435C092Q4C2BQ</t>
  </si>
  <si>
    <t>F5D04531RV0Q4C09M</t>
  </si>
  <si>
    <t>G9Q5065BK36MRY1AM</t>
  </si>
  <si>
    <t>G9N0452ZE66MRY1A4</t>
  </si>
  <si>
    <t>G700375257</t>
  </si>
  <si>
    <t>F8Y5502C2Z713RHC3</t>
  </si>
  <si>
    <t>F8Y22120Z2713RFBD</t>
  </si>
  <si>
    <t>G682571492</t>
  </si>
  <si>
    <t>F8Y5444C16Y18FKB5</t>
  </si>
  <si>
    <t>F8Y4144063K18FLBV</t>
  </si>
  <si>
    <t>G714997061</t>
  </si>
  <si>
    <t>G9P4446M20UPQCLA2</t>
  </si>
  <si>
    <t>G9Q2222YJ76PQCLA5</t>
  </si>
  <si>
    <t>G713198989</t>
  </si>
  <si>
    <t>FV9549303JF0W9GL9</t>
  </si>
  <si>
    <t>FV9537404WY0W9FLW</t>
  </si>
  <si>
    <t>G712418311</t>
  </si>
  <si>
    <t>DN8HJB04DFH0000JS5</t>
  </si>
  <si>
    <t>G709665645</t>
  </si>
  <si>
    <t>C3XT6WQPDP</t>
  </si>
  <si>
    <t>G707243505</t>
  </si>
  <si>
    <t>F8YHN4C0DH300006TP</t>
  </si>
  <si>
    <t>G701434675</t>
  </si>
  <si>
    <t>FG9HNL0016000006TT</t>
  </si>
  <si>
    <t>FG9GYJ00FBY00006TT</t>
  </si>
  <si>
    <t>G700937341</t>
  </si>
  <si>
    <t>C02HBZ003AV0000F6Y</t>
  </si>
  <si>
    <t>C02HDD005XD0000FAQ</t>
  </si>
  <si>
    <t>G700176939</t>
  </si>
  <si>
    <t>F8Y5473C0FB217WB9</t>
  </si>
  <si>
    <t>F5D25361FLR21PK7J</t>
  </si>
  <si>
    <t>G698460417</t>
  </si>
  <si>
    <t>F0YHL10019A00006J1</t>
  </si>
  <si>
    <t>F0YHBB0034K00006J1</t>
  </si>
  <si>
    <t>G715068547</t>
  </si>
  <si>
    <t>GMGHLF00AL90000GVL</t>
  </si>
  <si>
    <t>FP1HJ6009WM0000G29</t>
  </si>
  <si>
    <t>G712657611</t>
  </si>
  <si>
    <t>F8Y6126C6QV18FKBM</t>
  </si>
  <si>
    <t>FG941250HXP18FMB1</t>
  </si>
  <si>
    <t>G712335001</t>
  </si>
  <si>
    <t>G9P5162LCNZPQCKAR</t>
  </si>
  <si>
    <t>G9N2231ZHRJPQCKA6</t>
  </si>
  <si>
    <t>G711339929</t>
  </si>
  <si>
    <t>F8Y6135C14X18FKBE</t>
  </si>
  <si>
    <t>F8Y2041094N18FKA0</t>
  </si>
  <si>
    <t>G691874796</t>
  </si>
  <si>
    <t>GVCHPY02YUE0000MUZ</t>
  </si>
  <si>
    <t>G9NHNJQ24360000MUY</t>
  </si>
  <si>
    <t>G709163113</t>
  </si>
  <si>
    <t>F8Y6155C1BEM6YNDN</t>
  </si>
  <si>
    <t>F8Y24251C7JM6YNB8</t>
  </si>
  <si>
    <t>G702342573</t>
  </si>
  <si>
    <t>GVCHPX02VLN0000MUZ</t>
  </si>
  <si>
    <t>G9PHL2Z1DX50000MUY</t>
  </si>
  <si>
    <t>G712816763</t>
  </si>
  <si>
    <t>GMG615300TDNR8DBM</t>
  </si>
  <si>
    <t>FP1432100TD249XA7</t>
  </si>
  <si>
    <t>G711530553</t>
  </si>
  <si>
    <t>KJHXP4T3J2</t>
  </si>
  <si>
    <t>L4H6WWV9KC</t>
  </si>
  <si>
    <t>G710880875</t>
  </si>
  <si>
    <t>FMXHRR001YL00006J3</t>
  </si>
  <si>
    <t>F0YHH8008CX00006J1</t>
  </si>
  <si>
    <t>G689625674</t>
  </si>
  <si>
    <t>F8Y6056CALY18FKBJ</t>
  </si>
  <si>
    <t>FG923431P0E18FMAV</t>
  </si>
  <si>
    <t>G689310604</t>
  </si>
  <si>
    <t>CXFPM2Y7JH</t>
  </si>
  <si>
    <t>G705129059</t>
  </si>
  <si>
    <t>LW0X7LVXT3</t>
  </si>
  <si>
    <t>G698880941</t>
  </si>
  <si>
    <t>FV951550MPW0W9FL9</t>
  </si>
  <si>
    <t>FV951830DDB0W9GLQ</t>
  </si>
  <si>
    <t>G711557329</t>
  </si>
  <si>
    <t>FMXHRK002H400006J3</t>
  </si>
  <si>
    <t>F0YHG8003U100006J1</t>
  </si>
  <si>
    <t>Lid Angle Sensor, MBP (14-in, M3 Pro/Max, 2023)</t>
  </si>
  <si>
    <t>C47549445YH2501AK</t>
  </si>
  <si>
    <t>G709667797</t>
  </si>
  <si>
    <t>F16521302FX0J9VA9</t>
  </si>
  <si>
    <t>F16428306UE0J9VAZ</t>
  </si>
  <si>
    <t>G709043653</t>
  </si>
  <si>
    <t>F8Y6053C6YN18FKBZ</t>
  </si>
  <si>
    <t>FG932920PXX18FMA8</t>
  </si>
  <si>
    <t>G690015718</t>
  </si>
  <si>
    <t>HQ9R731WD4</t>
  </si>
  <si>
    <t>M6XV2P2RP6</t>
  </si>
  <si>
    <t>G707596927</t>
  </si>
  <si>
    <t>DNM53910SWS1QDC3Z</t>
  </si>
  <si>
    <t>DN84453AAFP1MCN5E</t>
  </si>
  <si>
    <t>G707296815</t>
  </si>
  <si>
    <t>HDFVXT39GK</t>
  </si>
  <si>
    <t>G706813139</t>
  </si>
  <si>
    <t>G9P5152M8FPPQCLAR</t>
  </si>
  <si>
    <t>G9P2391M72YPQCLAJ</t>
  </si>
  <si>
    <t>G713748123</t>
  </si>
  <si>
    <t>H17QW01HLX2Y</t>
  </si>
  <si>
    <t>G690012814</t>
  </si>
  <si>
    <t>MPQJDQYRC4</t>
  </si>
  <si>
    <t>MQYNFHTFVP</t>
  </si>
  <si>
    <t>G706591275</t>
  </si>
  <si>
    <t>FK1HQ200NH600001A2</t>
  </si>
  <si>
    <t>DTTHCF00BY5000004D</t>
  </si>
  <si>
    <t>G688637554</t>
  </si>
  <si>
    <t>F0WHGM00EN8000064R</t>
  </si>
  <si>
    <t>DN8HA40298100006S2</t>
  </si>
  <si>
    <t>G704577525</t>
  </si>
  <si>
    <t>ZP661-22124</t>
  </si>
  <si>
    <t>Space Gray, 64 GB, iPad mini 6th Generation, Wi-Fi, ITP</t>
  </si>
  <si>
    <t>LJWXQJWLXC</t>
  </si>
  <si>
    <t>G704335381</t>
  </si>
  <si>
    <t>M1925N23J0</t>
  </si>
  <si>
    <t>G704140245</t>
  </si>
  <si>
    <t>FV9226617NR1Q97A5</t>
  </si>
  <si>
    <t>FV922950HYX1D15AR</t>
  </si>
  <si>
    <t>G715201803</t>
  </si>
  <si>
    <t>GH3HRT01PDT0000MUZ</t>
  </si>
  <si>
    <t>GH3HQN00NJR0000MUZ</t>
  </si>
  <si>
    <t>G711096381</t>
  </si>
  <si>
    <t>F8Y6042C1AP217WBN</t>
  </si>
  <si>
    <t>F5D2406E18421PK7S</t>
  </si>
  <si>
    <t>G709067337</t>
  </si>
  <si>
    <t>ZP661-40056</t>
  </si>
  <si>
    <t>Space Gray, iPad Air 11-inch (M2), 256GB, Wi-Fi, ITP</t>
  </si>
  <si>
    <t>M6T4XMC9H4</t>
  </si>
  <si>
    <t>G707042965</t>
  </si>
  <si>
    <t>PP661-29259</t>
  </si>
  <si>
    <t>Space Gray, iPad Pro 12.9-inch 6th gen, 512GB, Cellular, Philippines</t>
  </si>
  <si>
    <t>FF25JJC4XY</t>
  </si>
  <si>
    <t>G707029487</t>
  </si>
  <si>
    <t>F8Y6031C258Q687B4</t>
  </si>
  <si>
    <t>F8Y121218S5Q688AR</t>
  </si>
  <si>
    <t>G705831183</t>
  </si>
  <si>
    <t>F8Y6053CK1H18FKBG</t>
  </si>
  <si>
    <t>F8Y32450EW118FLAW</t>
  </si>
  <si>
    <t>G703724561</t>
  </si>
  <si>
    <t>GMGHME007CX0000GVL</t>
  </si>
  <si>
    <t>FP1HG5003DW0000G29</t>
  </si>
  <si>
    <t>G703469743</t>
  </si>
  <si>
    <t>DNPHLU01VZ30000WDA</t>
  </si>
  <si>
    <t>FNJHLEM0HBD0000MMB</t>
  </si>
  <si>
    <t>G712590765</t>
  </si>
  <si>
    <t>M5494XKH9R</t>
  </si>
  <si>
    <t>G712535777</t>
  </si>
  <si>
    <t>F8Y6156C1GT18FKB9</t>
  </si>
  <si>
    <t>F8Y2166137418FLAZ</t>
  </si>
  <si>
    <t>G711207619</t>
  </si>
  <si>
    <t>F8YHRSD007K00006TP</t>
  </si>
  <si>
    <t>F8YGZP01YSR00006TP</t>
  </si>
  <si>
    <t>G692563632</t>
  </si>
  <si>
    <t>G9QHQ6Y1RTA00004Y7</t>
  </si>
  <si>
    <t>G9NHLS2025300004Y7</t>
  </si>
  <si>
    <t>G707379511</t>
  </si>
  <si>
    <t>K3X03NHQ07</t>
  </si>
  <si>
    <t>G707030565</t>
  </si>
  <si>
    <t>HXF574QHH4</t>
  </si>
  <si>
    <t>G705978303</t>
  </si>
  <si>
    <t>FTL533508682FH9AD</t>
  </si>
  <si>
    <t>G704268265</t>
  </si>
  <si>
    <t>LC34TVXKPN</t>
  </si>
  <si>
    <t>G715297215</t>
  </si>
  <si>
    <t>DNPHST03EHS0001BHN</t>
  </si>
  <si>
    <t>FNJHJ8M1Q1C0000M4H</t>
  </si>
  <si>
    <t>G713623655</t>
  </si>
  <si>
    <t>G0NHSQ00GM10000YJ1</t>
  </si>
  <si>
    <t>DTTHNZ02K120000QTV</t>
  </si>
  <si>
    <t>DN8HP60CNJC0000JS5</t>
  </si>
  <si>
    <t>DN8HPQ0EBKU0000RYQ</t>
  </si>
  <si>
    <t>GH3HRP00XS00000MUZ</t>
  </si>
  <si>
    <t>GH3HPN00EUT0000MUZ</t>
  </si>
  <si>
    <t>GH3HR701RZ00000MUZ</t>
  </si>
  <si>
    <t>G713505099</t>
  </si>
  <si>
    <t>F8Y6157C87P217WBF</t>
  </si>
  <si>
    <t>F8Y246506NY217W7K</t>
  </si>
  <si>
    <t>G710768083</t>
  </si>
  <si>
    <t>F8Y6184C0Q1JKGTCX</t>
  </si>
  <si>
    <t>F8Y84317X9LJKGT7X</t>
  </si>
  <si>
    <t>DXY4221C83FJHYK4H</t>
  </si>
  <si>
    <t>DXY83465D5XJHYK4M</t>
  </si>
  <si>
    <t>G692295308</t>
  </si>
  <si>
    <t>F8Y6057C29S18FKBW</t>
  </si>
  <si>
    <t>FG941230H2T18FMBJ</t>
  </si>
  <si>
    <t>G705245793</t>
  </si>
  <si>
    <t>JHQT7T0HYY</t>
  </si>
  <si>
    <t>G701984761</t>
  </si>
  <si>
    <t>G9Q5142S27S1PHMAN</t>
  </si>
  <si>
    <t>G9Q3431Q41Q1PHMAK</t>
  </si>
  <si>
    <t>G708390061</t>
  </si>
  <si>
    <t>PP661-28930</t>
  </si>
  <si>
    <t>Blue, iPad 10th generation, 256GB, Cellular, Philippines</t>
  </si>
  <si>
    <t>M2Q1T641MQ</t>
  </si>
  <si>
    <t>KKWHX7H202</t>
  </si>
  <si>
    <t>G708360803</t>
  </si>
  <si>
    <t>923-03672</t>
  </si>
  <si>
    <t>Audio Board, Space Gray/Gold, MBA (M1, 2020)</t>
  </si>
  <si>
    <t>FV9550600KK02Q9AE</t>
  </si>
  <si>
    <t>G690009046</t>
  </si>
  <si>
    <t>J21QT74T26JY</t>
  </si>
  <si>
    <t>G703017975</t>
  </si>
  <si>
    <t>G0NHKJ00ES70000HKZ</t>
  </si>
  <si>
    <t>FNJHAPF1HYH0000BXF</t>
  </si>
  <si>
    <t>G701327151</t>
  </si>
  <si>
    <t>HQT7NC62TL</t>
  </si>
  <si>
    <t>G700467191</t>
  </si>
  <si>
    <t>G9P5186M93ZPQCLA3</t>
  </si>
  <si>
    <t>G9N2117TKMHPQCLA1</t>
  </si>
  <si>
    <t>G713268993</t>
  </si>
  <si>
    <t>F8YHRTD04Y100006TP</t>
  </si>
  <si>
    <t>F8YGZJ00BM600006TP</t>
  </si>
  <si>
    <t>G706741925</t>
  </si>
  <si>
    <t>F8Y5483C5CAQ4C2BP</t>
  </si>
  <si>
    <t>F5D04472DPMQ4C09S</t>
  </si>
  <si>
    <t>G9Q5252B7E8MRY1A2</t>
  </si>
  <si>
    <t>G9N0431N4JSMRY1AY</t>
  </si>
  <si>
    <t>G705343607</t>
  </si>
  <si>
    <t>CMXYK33M4G</t>
  </si>
  <si>
    <t>G704139045</t>
  </si>
  <si>
    <t>D41QJRDX1F</t>
  </si>
  <si>
    <t>J0HJKYX1L7</t>
  </si>
  <si>
    <t>G700094873</t>
  </si>
  <si>
    <t>GMGHNT000AC00000CQ</t>
  </si>
  <si>
    <t>GMGH81005QY00000CP</t>
  </si>
  <si>
    <t>G715759945</t>
  </si>
  <si>
    <t>F8Y6184CD2118FKBQ</t>
  </si>
  <si>
    <t>F8Y340511ZR18FLAH</t>
  </si>
  <si>
    <t>G693812664</t>
  </si>
  <si>
    <t>661-56122</t>
  </si>
  <si>
    <t>Silver, Back Glass, iPhone 17 Pro</t>
  </si>
  <si>
    <t>FY8HQT008VT00017C0</t>
  </si>
  <si>
    <t>FXLHLS0HFH90001AH4</t>
  </si>
  <si>
    <t>G711124939</t>
  </si>
  <si>
    <t>JQ9HC70K6V</t>
  </si>
  <si>
    <t>JYX12FDGCH</t>
  </si>
  <si>
    <t>G711102765</t>
  </si>
  <si>
    <t>G9PHK4F1XR400005DP</t>
  </si>
  <si>
    <t>GVCHAF00UU600005DQ</t>
  </si>
  <si>
    <t>G692190250</t>
  </si>
  <si>
    <t>F8Y6031N16513QFCN</t>
  </si>
  <si>
    <t>F5D42420B3H10DLCY</t>
  </si>
  <si>
    <t>G709074571</t>
  </si>
  <si>
    <t>661-40263</t>
  </si>
  <si>
    <t>Lid Angle Sensor, MBA (15-in, M3, 2024)</t>
  </si>
  <si>
    <t>CKXHMD008FP0000532</t>
  </si>
  <si>
    <t>G708100029</t>
  </si>
  <si>
    <t>F8Y6054CQ1Z18FKBU</t>
  </si>
  <si>
    <t>FG933110M7Q18FMAB</t>
  </si>
  <si>
    <t>G707646687</t>
  </si>
  <si>
    <t>C7WVDX090W</t>
  </si>
  <si>
    <t>G700020955</t>
  </si>
  <si>
    <t>GH3HLF00A2R0000MUZ</t>
  </si>
  <si>
    <t>G682546188</t>
  </si>
  <si>
    <t>F8Y5391N0RG10X2C0</t>
  </si>
  <si>
    <t>F5D31477QBP10DLA7</t>
  </si>
  <si>
    <t>G697263018</t>
  </si>
  <si>
    <t>GMG5493006YNR8DBK</t>
  </si>
  <si>
    <t>FP12125054VP3WVB1</t>
  </si>
  <si>
    <t>G716008423</t>
  </si>
  <si>
    <t>F8Y6167C55Q20J9B9</t>
  </si>
  <si>
    <t>F8Y24520WPW20J924</t>
  </si>
  <si>
    <t>G714885597</t>
  </si>
  <si>
    <t>D865182N1CXPJYRBG</t>
  </si>
  <si>
    <t>D863277A3YKPJYRA8</t>
  </si>
  <si>
    <t>G693352262</t>
  </si>
  <si>
    <t>661-25800</t>
  </si>
  <si>
    <t>GMG2385062E1J88AW</t>
  </si>
  <si>
    <t>F0Y5416013L1J88AG</t>
  </si>
  <si>
    <t>G710541239</t>
  </si>
  <si>
    <t>H2CQV03E1JG3</t>
  </si>
  <si>
    <t>H2CPQ0T71JG3</t>
  </si>
  <si>
    <t>G689542616</t>
  </si>
  <si>
    <t>F0Y552500SD2526AG</t>
  </si>
  <si>
    <t>DCN408204P32526A0</t>
  </si>
  <si>
    <t>G705126229</t>
  </si>
  <si>
    <t>GHQ603700022FT6A7</t>
  </si>
  <si>
    <t>GHQ21430026167RAU</t>
  </si>
  <si>
    <t>661-16564</t>
  </si>
  <si>
    <t>Logic Board, 8-core CPU, 7-core GPU, 16GB, 1TB</t>
  </si>
  <si>
    <t>C02134400JJPY6F4J</t>
  </si>
  <si>
    <t>C0212450079PY6F4S</t>
  </si>
  <si>
    <t>G699738215</t>
  </si>
  <si>
    <t>Z661-30009</t>
  </si>
  <si>
    <t>AirPods Pro 2, MagSafe Charging Case, CI/AR, INT</t>
  </si>
  <si>
    <t>GP2TW6HH96</t>
  </si>
  <si>
    <t>JRHWVF64V0</t>
  </si>
  <si>
    <t>G683248000</t>
  </si>
  <si>
    <t>F16521300ZN0J9VA0</t>
  </si>
  <si>
    <t>HHY42460K0Y1WTGAX</t>
  </si>
  <si>
    <t>G715770873</t>
  </si>
  <si>
    <t>J9PHNL003EJ0000HKF</t>
  </si>
  <si>
    <t>DXYHFK6122Z0000CZU</t>
  </si>
  <si>
    <t>G712222989</t>
  </si>
  <si>
    <t>F0WHJT0520B0000JS7</t>
  </si>
  <si>
    <t>DN8HQ605TGR0000RYQ</t>
  </si>
  <si>
    <t>G711002101</t>
  </si>
  <si>
    <t>F8Y5512C06N231LB1</t>
  </si>
  <si>
    <t>FG9302608GE22XP61</t>
  </si>
  <si>
    <t>G706576147</t>
  </si>
  <si>
    <t>F8Y5517C1X7217WBB</t>
  </si>
  <si>
    <t>F8Y302616Z4217W7P</t>
  </si>
  <si>
    <t>G705566047</t>
  </si>
  <si>
    <t>F8Y5455C0TG13XCBM</t>
  </si>
  <si>
    <t>F5D20851SCK13XD95</t>
  </si>
  <si>
    <t>G703639433</t>
  </si>
  <si>
    <t>F8Y5516CAFA13RHC5</t>
  </si>
  <si>
    <t>F5D1491AYF113RK9T</t>
  </si>
  <si>
    <t>G702017681</t>
  </si>
  <si>
    <t>LM92KN7RK2</t>
  </si>
  <si>
    <t>G715683213</t>
  </si>
  <si>
    <t>F8Y6165C41G13XCBQ</t>
  </si>
  <si>
    <t>F5D20231KS113X99C</t>
  </si>
  <si>
    <t>G715546555</t>
  </si>
  <si>
    <t>G9P4443MK2XPQCLAD</t>
  </si>
  <si>
    <t>G9P1387SKL8PQCLAV</t>
  </si>
  <si>
    <t>G714050293</t>
  </si>
  <si>
    <t>Display, Silver, MBA (13-in, M3, 2024)</t>
  </si>
  <si>
    <t>F0Y543300XW1J88AN</t>
  </si>
  <si>
    <t>GMG402206321J87AQ</t>
  </si>
  <si>
    <t>G711633073</t>
  </si>
  <si>
    <t>FGJ5113RVNT2DP5AK</t>
  </si>
  <si>
    <t>G703739219</t>
  </si>
  <si>
    <t>F8Y5496C2M713XCBZ</t>
  </si>
  <si>
    <t>F8Y13530DSJ13X885</t>
  </si>
  <si>
    <t>G683111200</t>
  </si>
  <si>
    <t>C02HK9000CG0000FAQ</t>
  </si>
  <si>
    <t>G715412795</t>
  </si>
  <si>
    <t>F8Y6164C00618FKBA</t>
  </si>
  <si>
    <t>FG923040CF618FMAH</t>
  </si>
  <si>
    <t>G715296877</t>
  </si>
  <si>
    <t>GMGHLG00CEY0000GVL</t>
  </si>
  <si>
    <t>FP1HDY00B840000G2A</t>
  </si>
  <si>
    <t>G713831597</t>
  </si>
  <si>
    <t>DXM4XHHY3X</t>
  </si>
  <si>
    <t>G712419911</t>
  </si>
  <si>
    <t>H064F24TFY</t>
  </si>
  <si>
    <t>G711309763</t>
  </si>
  <si>
    <t>L49RFQD9C1</t>
  </si>
  <si>
    <t>HT2W1QP6KR</t>
  </si>
  <si>
    <t>G709539583</t>
  </si>
  <si>
    <t>CP2WW6CXF4</t>
  </si>
  <si>
    <t>J41YCQC66L</t>
  </si>
  <si>
    <t>G708825513</t>
  </si>
  <si>
    <t>F8Y6155C1BNM6YNDE</t>
  </si>
  <si>
    <t>G90086062LM6YQ8T</t>
  </si>
  <si>
    <t>G708597703</t>
  </si>
  <si>
    <t>F0Y543101N01J87AD</t>
  </si>
  <si>
    <t>J3353050HQY0W9GPQ</t>
  </si>
  <si>
    <t>G706835083</t>
  </si>
  <si>
    <t>F8Y5514C18E18FKBR</t>
  </si>
  <si>
    <t>FG941330SCV18FMB8</t>
  </si>
  <si>
    <t>G703364165</t>
  </si>
  <si>
    <t>F8Y5455C6XB18FKBA</t>
  </si>
  <si>
    <t>G700015177</t>
  </si>
  <si>
    <t>D865435N0AKPJYRBA</t>
  </si>
  <si>
    <t>F5D50332X9APJYVCG</t>
  </si>
  <si>
    <t>G713757001</t>
  </si>
  <si>
    <t>G9P4441MLC2PQCLAD</t>
  </si>
  <si>
    <t>G9P2111SDASPQCLA5</t>
  </si>
  <si>
    <t>G713542893</t>
  </si>
  <si>
    <t>F8Y6154C9GR18FKB5</t>
  </si>
  <si>
    <t>FG9414500MK18FMBC</t>
  </si>
  <si>
    <t>G712552197</t>
  </si>
  <si>
    <t>661-53113</t>
  </si>
  <si>
    <t>Top Case, Space Black, ANSI, MBP (14-in, M5)</t>
  </si>
  <si>
    <t>F8YHRKN04870000VD5</t>
  </si>
  <si>
    <t>F5DHM40062R0000VD4</t>
  </si>
  <si>
    <t>G693356200</t>
  </si>
  <si>
    <t>HJRMJ2LGYC</t>
  </si>
  <si>
    <t>L4F149V9HR</t>
  </si>
  <si>
    <t>G711406523</t>
  </si>
  <si>
    <t>GVCHK403DB50000HU9</t>
  </si>
  <si>
    <t>GVCHK3027E50000HU9</t>
  </si>
  <si>
    <t>G711298891</t>
  </si>
  <si>
    <t>661-16789</t>
  </si>
  <si>
    <t>Power Supply, 150W</t>
  </si>
  <si>
    <t>C064415006PPHRND1</t>
  </si>
  <si>
    <t>C06314301P8PHRNC0</t>
  </si>
  <si>
    <t>G711189167</t>
  </si>
  <si>
    <t>G9PHJ2S08Y700005DR</t>
  </si>
  <si>
    <t>GH3HCT002Y000005DS</t>
  </si>
  <si>
    <t>G710586083</t>
  </si>
  <si>
    <t>DPXQT9KXYG</t>
  </si>
  <si>
    <t>ML6C414MCY</t>
  </si>
  <si>
    <t>G709664955</t>
  </si>
  <si>
    <t>F2RP0RD2DL</t>
  </si>
  <si>
    <t>G709048635</t>
  </si>
  <si>
    <t>GX1HQ9087RK0000B2Z</t>
  </si>
  <si>
    <t>G708630827</t>
  </si>
  <si>
    <t>F8Y6096C33VM6YNDH</t>
  </si>
  <si>
    <t>FG93074057DM6YRC3</t>
  </si>
  <si>
    <t>G705833811</t>
  </si>
  <si>
    <t>G9P5386M82CPQCLAS</t>
  </si>
  <si>
    <t>G705693171</t>
  </si>
  <si>
    <t>661-11676</t>
  </si>
  <si>
    <t>D865037N03FJ83KCG</t>
  </si>
  <si>
    <t>F5D94535YEFJ6W5AT</t>
  </si>
  <si>
    <t>G704757245</t>
  </si>
  <si>
    <t>G9P5133MHMEPQCLAC</t>
  </si>
  <si>
    <t>G9N2046UB2APQCLAV</t>
  </si>
  <si>
    <t>G713197793</t>
  </si>
  <si>
    <t>GT6VDY31VC</t>
  </si>
  <si>
    <t>G694473746</t>
  </si>
  <si>
    <t>661-50111</t>
  </si>
  <si>
    <t>J33HNH00CUY0000P0R</t>
  </si>
  <si>
    <t>HXKHM4002F50000P0R</t>
  </si>
  <si>
    <t>G693910300</t>
  </si>
  <si>
    <t>F7XFRFHWKL</t>
  </si>
  <si>
    <t>KKVH29W37N</t>
  </si>
  <si>
    <t>G710565407</t>
  </si>
  <si>
    <t>J9Q5296007Y0GKWA1</t>
  </si>
  <si>
    <t>GMH5031061NQ189AJ</t>
  </si>
  <si>
    <t>J9Q515700Q30GKWAR</t>
  </si>
  <si>
    <t>G707426781</t>
  </si>
  <si>
    <t>J9KHJQ003DA0000FD3</t>
  </si>
  <si>
    <t>FNJH98K0FDW0000882</t>
  </si>
  <si>
    <t>G707074337</t>
  </si>
  <si>
    <t>J21QT57326JY</t>
  </si>
  <si>
    <t>G706740963</t>
  </si>
  <si>
    <t>661-35700</t>
  </si>
  <si>
    <t>Black Titanium, Back Glass, iPhone 15 Pro</t>
  </si>
  <si>
    <t>DRCHGM001G90000AY0</t>
  </si>
  <si>
    <t>G702463527</t>
  </si>
  <si>
    <t>J4DJ7WQQWD</t>
  </si>
  <si>
    <t>G701404227</t>
  </si>
  <si>
    <t>CQN6PG9CGX</t>
  </si>
  <si>
    <t>G700086467</t>
  </si>
  <si>
    <t>TA661-55280</t>
  </si>
  <si>
    <t>White, 256GB, iPhone 17, ROW, Taiwan, CI/AR</t>
  </si>
  <si>
    <t>C46MQY4M3Y</t>
  </si>
  <si>
    <t>G713941987</t>
  </si>
  <si>
    <t>F8Y6164C00X18FKBK</t>
  </si>
  <si>
    <t>FG914530N1T18FM40</t>
  </si>
  <si>
    <t>G712334315</t>
  </si>
  <si>
    <t>G9P5094M2MLPQCLA3</t>
  </si>
  <si>
    <t>G9P2081P00XPQCLAY</t>
  </si>
  <si>
    <t>G712017207</t>
  </si>
  <si>
    <t>GH3HRE00Z9R0000MUZ</t>
  </si>
  <si>
    <t>G9PHMDZ085G0000MUY</t>
  </si>
  <si>
    <t>DN8HML0D0710000RYQ</t>
  </si>
  <si>
    <t>G709661483</t>
  </si>
  <si>
    <t>MWK99046YT</t>
  </si>
  <si>
    <t>G709203847</t>
  </si>
  <si>
    <t>H97R4376JKM9</t>
  </si>
  <si>
    <t>H97QM4H3JKM9</t>
  </si>
  <si>
    <t>G704010019</t>
  </si>
  <si>
    <t>F8Y5425C11318FKBL</t>
  </si>
  <si>
    <t>FG941740J3W18FMBV</t>
  </si>
  <si>
    <t>G715862041</t>
  </si>
  <si>
    <t>G9Q5174FF8QPR5QAV</t>
  </si>
  <si>
    <t>GVH53340GXUPR5PAS</t>
  </si>
  <si>
    <t>G715108951</t>
  </si>
  <si>
    <t>GMGHLD00A7W0000GVK</t>
  </si>
  <si>
    <t>FP1HKL000PH0000G29</t>
  </si>
  <si>
    <t>G710996593</t>
  </si>
  <si>
    <t>GH3HRN01Y8K0000MUZ</t>
  </si>
  <si>
    <t>GH3HM800ZN90000MUZ</t>
  </si>
  <si>
    <t>G714996391</t>
  </si>
  <si>
    <t>GM7CXX54T2</t>
  </si>
  <si>
    <t>C6727THWHK</t>
  </si>
  <si>
    <t>G710456309</t>
  </si>
  <si>
    <t>GN1HS20N91Z0000B32</t>
  </si>
  <si>
    <t>G704387981</t>
  </si>
  <si>
    <t>GMG5493008TNR89BN</t>
  </si>
  <si>
    <t>FP1238202LPP3WVBD</t>
  </si>
  <si>
    <t>G703208401</t>
  </si>
  <si>
    <t>GMGHLC008R60000GVL</t>
  </si>
  <si>
    <t>C02HGW00J3B0000P0R</t>
  </si>
  <si>
    <t>C02HHX00DEX0000P0R</t>
  </si>
  <si>
    <t>GMGHLH000200000GVK</t>
  </si>
  <si>
    <t>FP1HHR005PD0000G29</t>
  </si>
  <si>
    <t>F8YHJSN07CE0000G43</t>
  </si>
  <si>
    <t>F5DHGL0037Z0000G44</t>
  </si>
  <si>
    <t>GMGHLE004GX0000GVL</t>
  </si>
  <si>
    <t>G716687787</t>
  </si>
  <si>
    <t>G9P4442M82HPQCLA5</t>
  </si>
  <si>
    <t>G9P2303MM1APQCLAL</t>
  </si>
  <si>
    <t>G713534771</t>
  </si>
  <si>
    <t>661-53100</t>
  </si>
  <si>
    <t>Logic Board, 10-core CPU, 10-core GPU, 16 GB, 1 TB, VN</t>
  </si>
  <si>
    <t>J33HSB00S720000VLL</t>
  </si>
  <si>
    <t>J33HPU00RDK0000VLK</t>
  </si>
  <si>
    <t>G710588401</t>
  </si>
  <si>
    <t>C02HFN000470000P9K</t>
  </si>
  <si>
    <t>C02HJ10045H0000WZJ</t>
  </si>
  <si>
    <t>G709533665</t>
  </si>
  <si>
    <t>661-08917</t>
  </si>
  <si>
    <t>Battery, iPhone 8 Plus</t>
  </si>
  <si>
    <t>F5D52270JWHHY5GCS</t>
  </si>
  <si>
    <t>F8Y7434398DHY657F</t>
  </si>
  <si>
    <t>G690809772</t>
  </si>
  <si>
    <t>F8Y6062C1W818FKBN</t>
  </si>
  <si>
    <t>FG9345508VQ18FMA9</t>
  </si>
  <si>
    <t>G690279022</t>
  </si>
  <si>
    <t>F8Y6053CAT218FKBW</t>
  </si>
  <si>
    <t>FG923451BAT18FMAW</t>
  </si>
  <si>
    <t>G707507353</t>
  </si>
  <si>
    <t>661-42331</t>
  </si>
  <si>
    <t>Logic Board, 12-core CPU, 16-core GPU, 24GB, 512GB, VN</t>
  </si>
  <si>
    <t>J4FHFZ0004N0000HER</t>
  </si>
  <si>
    <t>C02HA1003FJ0000HER</t>
  </si>
  <si>
    <t>661-42651</t>
  </si>
  <si>
    <t>Space Black, Trackpad</t>
  </si>
  <si>
    <t>FM7HG80B0ZV0000DZR</t>
  </si>
  <si>
    <t>T661-50210</t>
  </si>
  <si>
    <t>Top Case, ISO, Space Black, Italian</t>
  </si>
  <si>
    <t>F8YHPJN08UE0000FWL</t>
  </si>
  <si>
    <t>F8YH9P007B80000FWL</t>
  </si>
  <si>
    <t>FMXHNK0000Z00006J3</t>
  </si>
  <si>
    <t>FMXH9B005QN00006J3</t>
  </si>
  <si>
    <t>Space Black, Trackpad, MBP (14-in, M4 Pro/Max, 2024)</t>
  </si>
  <si>
    <t>FM7H970ALTC0000DZR</t>
  </si>
  <si>
    <t>FM7H8C0B9YT0000DZR</t>
  </si>
  <si>
    <t>Touch ID Board, MBP (14-in, M4 Pro/Max, 2024)</t>
  </si>
  <si>
    <t>F58541200HL2CK9AHG</t>
  </si>
  <si>
    <t>G689089466</t>
  </si>
  <si>
    <t>PP661-22706</t>
  </si>
  <si>
    <t>Graphite, 256 GB, iPhone 13 Pro Max, ROW, CI/AR, Philippines</t>
  </si>
  <si>
    <t>L992WR9H6H</t>
  </si>
  <si>
    <t>G705720501</t>
  </si>
  <si>
    <t>F8Y5527C7F2Q687B4</t>
  </si>
  <si>
    <t>G687930700</t>
  </si>
  <si>
    <t>F8Y5452CF7T18FKBS</t>
  </si>
  <si>
    <t>FG932740JP618FMAY</t>
  </si>
  <si>
    <t>G702263893</t>
  </si>
  <si>
    <t>DNL53150G7R17RRC7</t>
  </si>
  <si>
    <t>DNL5165194217RRCW</t>
  </si>
  <si>
    <t>G702024107</t>
  </si>
  <si>
    <t>FMX548400T6NTJJA4</t>
  </si>
  <si>
    <t>G700372755</t>
  </si>
  <si>
    <t>HKGR2470GWTJ</t>
  </si>
  <si>
    <t>G710911315</t>
  </si>
  <si>
    <t>661-21975</t>
  </si>
  <si>
    <t>Silver, Top Case, ANSI, MBP (16-in, 2021)</t>
  </si>
  <si>
    <t>F8Y5527N0FT0J9TBT</t>
  </si>
  <si>
    <t>F5D21451LER0VC5BC</t>
  </si>
  <si>
    <t>G692386782</t>
  </si>
  <si>
    <t>GH3HR7023Q10000MUZ</t>
  </si>
  <si>
    <t>GVCHL502SMR0000MUZ</t>
  </si>
  <si>
    <t>G691886618</t>
  </si>
  <si>
    <t>G9P5025MBFWPQCLAN</t>
  </si>
  <si>
    <t>G9P2311NB8JPQCLAX</t>
  </si>
  <si>
    <t>G691008080</t>
  </si>
  <si>
    <t>F8Y6026C1XR217WBT</t>
  </si>
  <si>
    <t>F5D3232326U21PKAR</t>
  </si>
  <si>
    <t>G706822793</t>
  </si>
  <si>
    <t>FMV3QX07GQ</t>
  </si>
  <si>
    <t>GQHKPVPFCG</t>
  </si>
  <si>
    <t>G705694423</t>
  </si>
  <si>
    <t>GQD6GGPC9H</t>
  </si>
  <si>
    <t>G700446993</t>
  </si>
  <si>
    <t>GMG54860088NR89B7</t>
  </si>
  <si>
    <t>FP1318105AW249XAP</t>
  </si>
  <si>
    <t>G712475267</t>
  </si>
  <si>
    <t>GPG7FHV4Y2</t>
  </si>
  <si>
    <t>G692585506</t>
  </si>
  <si>
    <t>GMGHLE00APK0000GVL</t>
  </si>
  <si>
    <t>FP1HDY009NC0000G29</t>
  </si>
  <si>
    <t>G710063781</t>
  </si>
  <si>
    <t>J22QT6U626K0</t>
  </si>
  <si>
    <t>G687816808</t>
  </si>
  <si>
    <t>F8Y5502C3WL13RHCY</t>
  </si>
  <si>
    <t>F5D133683KS13RJ89</t>
  </si>
  <si>
    <t>G701551893</t>
  </si>
  <si>
    <t>FK1HKL00J7P00001A2</t>
  </si>
  <si>
    <t>FNJHGPB0X0P000004D</t>
  </si>
  <si>
    <t>G694534340</t>
  </si>
  <si>
    <t>G9QHPXT04D500004Y9</t>
  </si>
  <si>
    <t>G9QHL2T1Q8P00004Y9</t>
  </si>
  <si>
    <t>G711526857</t>
  </si>
  <si>
    <t>F8Y5262C8SBQ687BR</t>
  </si>
  <si>
    <t>F8Y12121G3PQ687A1</t>
  </si>
  <si>
    <t>G709768945</t>
  </si>
  <si>
    <t>C9RK2PL9PP</t>
  </si>
  <si>
    <t>G709635559</t>
  </si>
  <si>
    <t>MXWM54L14X</t>
  </si>
  <si>
    <t>C40H49TR4Y</t>
  </si>
  <si>
    <t>G706723703</t>
  </si>
  <si>
    <t>MR7CYDR9LK</t>
  </si>
  <si>
    <t>G706628949</t>
  </si>
  <si>
    <t>MHK5066MP4</t>
  </si>
  <si>
    <t>G704495073</t>
  </si>
  <si>
    <t>D5YQWJ61HQ</t>
  </si>
  <si>
    <t>J5CHLF00PTZ000124K</t>
  </si>
  <si>
    <t>G703749669</t>
  </si>
  <si>
    <t>F8Y5473C128217WBG</t>
  </si>
  <si>
    <t>F8Y31370AMV217WAK</t>
  </si>
  <si>
    <t>G703462013</t>
  </si>
  <si>
    <t>KGDX9CJR4V</t>
  </si>
  <si>
    <t>GJW2641R47</t>
  </si>
  <si>
    <t>G702558477</t>
  </si>
  <si>
    <t>F8Y5506CDCC18FKB4</t>
  </si>
  <si>
    <t>FG922130J3A18FMA8</t>
  </si>
  <si>
    <t>G714864401</t>
  </si>
  <si>
    <t>G9P5184N12Q14YDAM</t>
  </si>
  <si>
    <t>G9N24842B9814YDA5</t>
  </si>
  <si>
    <t>G713534637</t>
  </si>
  <si>
    <t>JQTJ2NF9VR</t>
  </si>
  <si>
    <t>G710121359</t>
  </si>
  <si>
    <t>FWXQF16VH4</t>
  </si>
  <si>
    <t>G689541772</t>
  </si>
  <si>
    <t>F8Y5527C87SQ687B3</t>
  </si>
  <si>
    <t>FG904541REXQ68C3M</t>
  </si>
  <si>
    <t>G706852983</t>
  </si>
  <si>
    <t>F8Y5514C26Q18FKBL</t>
  </si>
  <si>
    <t>G705862405</t>
  </si>
  <si>
    <t>D865507N1T2PJYRBF</t>
  </si>
  <si>
    <t>D863322A1MEPJYRAZ</t>
  </si>
  <si>
    <t>G702546757</t>
  </si>
  <si>
    <t>GMGHMP0045G0000HX1</t>
  </si>
  <si>
    <t>FP1HH2003SL0000HWZ</t>
  </si>
  <si>
    <t>C02HDA0036P0000MSX</t>
  </si>
  <si>
    <t>C02HHU009K50000PFG</t>
  </si>
  <si>
    <t>G715226715</t>
  </si>
  <si>
    <t>G9QHPYP2Z190000L4B</t>
  </si>
  <si>
    <t>G9PHKVU4JR70000L4B</t>
  </si>
  <si>
    <t>G711130315</t>
  </si>
  <si>
    <t>F8Y6114C3JP18FKBK</t>
  </si>
  <si>
    <t>F8Y4144012G18FLB6</t>
  </si>
  <si>
    <t>G710411919</t>
  </si>
  <si>
    <t>D41904X17L</t>
  </si>
  <si>
    <t>G708863207</t>
  </si>
  <si>
    <t>FV945150D1K0W9GL2</t>
  </si>
  <si>
    <t>FV950360NA80W9FL7</t>
  </si>
  <si>
    <t>G707499635</t>
  </si>
  <si>
    <t>F8Y6046C3QRM6YND7</t>
  </si>
  <si>
    <t>F8Y321304SUM6YNBQ</t>
  </si>
  <si>
    <t>G707379439</t>
  </si>
  <si>
    <t>G9Q6036SC7621KHAC</t>
  </si>
  <si>
    <t>GVH50740G0X1PHLA6</t>
  </si>
  <si>
    <t>G707079541</t>
  </si>
  <si>
    <t>GN2HKT1CFH90000B30</t>
  </si>
  <si>
    <t>G706583465</t>
  </si>
  <si>
    <t>G9HQK43WQX</t>
  </si>
  <si>
    <t>CQ97T67FWL</t>
  </si>
  <si>
    <t>G706520895</t>
  </si>
  <si>
    <t>FV9519400TS0W9GLA</t>
  </si>
  <si>
    <t>J33526206D40W9GPE</t>
  </si>
  <si>
    <t>G706000871</t>
  </si>
  <si>
    <t>923-06235</t>
  </si>
  <si>
    <t>Bottom Speaker, iPhone 13</t>
  </si>
  <si>
    <t>DTV131770XL080357</t>
  </si>
  <si>
    <t>CTH5153B90T08006Z</t>
  </si>
  <si>
    <t>G701165323</t>
  </si>
  <si>
    <t>D865435N16FPJYRBR</t>
  </si>
  <si>
    <t>D861024ADM4PJYRA4</t>
  </si>
  <si>
    <t>G712252503</t>
  </si>
  <si>
    <t>661-42842</t>
  </si>
  <si>
    <t>TealBack Glass, iPhone 16 Plus</t>
  </si>
  <si>
    <t>HKYHRG003MW0000V5V</t>
  </si>
  <si>
    <t>HKYHM6005FJ0000V5V</t>
  </si>
  <si>
    <t>G711526031</t>
  </si>
  <si>
    <t>F8Y6135C2T818FKB1</t>
  </si>
  <si>
    <t>FG913850WNK18FN5R</t>
  </si>
  <si>
    <t>G710851497</t>
  </si>
  <si>
    <t>C75XWX0HTQ</t>
  </si>
  <si>
    <t>G709277383</t>
  </si>
  <si>
    <t>HX26YVF46F</t>
  </si>
  <si>
    <t>FT49N54XMR</t>
  </si>
  <si>
    <t>G708305377</t>
  </si>
  <si>
    <t>GJ4H4JGT2W</t>
  </si>
  <si>
    <t>G704119697</t>
  </si>
  <si>
    <t>661-25798</t>
  </si>
  <si>
    <t>F0Y5432007N1J87A2</t>
  </si>
  <si>
    <t>GMG2247018Y1J87AB</t>
  </si>
  <si>
    <t>G699666679</t>
  </si>
  <si>
    <t>GWQ427J6N4</t>
  </si>
  <si>
    <t>G715074267</t>
  </si>
  <si>
    <t>GH3HS4021220000MUZ</t>
  </si>
  <si>
    <t>G9NHQJQ0LYB0000MUY</t>
  </si>
  <si>
    <t>G713729619</t>
  </si>
  <si>
    <t>GMGHLE0063A0000GVL</t>
  </si>
  <si>
    <t>GMGHNC005450000GVL</t>
  </si>
  <si>
    <t>G689541098</t>
  </si>
  <si>
    <t>F8Y5527C0GN20J9BU</t>
  </si>
  <si>
    <t>F5D2515226N20J89Z</t>
  </si>
  <si>
    <t>G705131481</t>
  </si>
  <si>
    <t>L7Y9M2R36P</t>
  </si>
  <si>
    <t>CYQQTMQCQ6</t>
  </si>
  <si>
    <t>G699458837</t>
  </si>
  <si>
    <t>F8Y5515C9GZ13XCB5</t>
  </si>
  <si>
    <t>G715329629</t>
  </si>
  <si>
    <t>FMXHS0008B100006J3</t>
  </si>
  <si>
    <t>FP1HEH0024R0000FQX</t>
  </si>
  <si>
    <t>G713198343</t>
  </si>
  <si>
    <t>G9P5285Q70L1PHRAX</t>
  </si>
  <si>
    <t>G9N3505TKEE1PHRA2</t>
  </si>
  <si>
    <t>G694497090</t>
  </si>
  <si>
    <t>DNPHP50123A0000WDA</t>
  </si>
  <si>
    <t>FNJHM5V261J0000M4H</t>
  </si>
  <si>
    <t>GCFHPE0P9Y90000QT9</t>
  </si>
  <si>
    <t>DNMHN603QHM0000QTE</t>
  </si>
  <si>
    <t>CK9K96LRP6</t>
  </si>
  <si>
    <t>LCQ1HJQ6N6</t>
  </si>
  <si>
    <t>G712022059</t>
  </si>
  <si>
    <t>Z661-55944</t>
  </si>
  <si>
    <t>Logic Board, 1TB, A3523, ROW, iPhone 17 Pro</t>
  </si>
  <si>
    <t>GR2WGF6KDP</t>
  </si>
  <si>
    <t>JYTV600Y9N</t>
  </si>
  <si>
    <t>G711238021</t>
  </si>
  <si>
    <t>G9QHQTX0W7100004Y7</t>
  </si>
  <si>
    <t>G9QHHCR0JA100004Y7</t>
  </si>
  <si>
    <t>G710688387</t>
  </si>
  <si>
    <t>KGWVYXV2W7</t>
  </si>
  <si>
    <t>G708191811</t>
  </si>
  <si>
    <t>ZP661-55391</t>
  </si>
  <si>
    <t>Silver, Cellular, 256GB, iPad Pro 11-inch (M5), CI/AR, CN</t>
  </si>
  <si>
    <t>MR4RD06FPT</t>
  </si>
  <si>
    <t>DJH7J4WVMK</t>
  </si>
  <si>
    <t>G707400139</t>
  </si>
  <si>
    <t>F8Y6062C1XB18FKBG</t>
  </si>
  <si>
    <t>FG941540EE018FMB2</t>
  </si>
  <si>
    <t>G705684229</t>
  </si>
  <si>
    <t>F8Y6024C0Q513RHCU</t>
  </si>
  <si>
    <t>F8Y146206LQ13RFBP</t>
  </si>
  <si>
    <t>G705559777</t>
  </si>
  <si>
    <t>G9PHJQS1NCV0005DR</t>
  </si>
  <si>
    <t>GH3HBU004FP00005DS</t>
  </si>
  <si>
    <t>G704500153</t>
  </si>
  <si>
    <t>FP1HCD002970000HWZ</t>
  </si>
  <si>
    <t>F0YHHD000Q20000HX2</t>
  </si>
  <si>
    <t>G703148685</t>
  </si>
  <si>
    <t>FMC2X2YFFP</t>
  </si>
  <si>
    <t>G701650965</t>
  </si>
  <si>
    <t>GVH51662B11PR5PAX</t>
  </si>
  <si>
    <t>G9Q5153FL94PR5QAE</t>
  </si>
  <si>
    <t>G699849601</t>
  </si>
  <si>
    <t>F8Y5496C31402JNBS</t>
  </si>
  <si>
    <t>F8Y04437Z9302JN7Z</t>
  </si>
  <si>
    <t>G710574493</t>
  </si>
  <si>
    <t>KX7Y17GG9M</t>
  </si>
  <si>
    <t>G690914264</t>
  </si>
  <si>
    <t>G9P5384MG6FPQCLA5</t>
  </si>
  <si>
    <t>G9P2107TJH6PQCLAT</t>
  </si>
  <si>
    <t>G690810378</t>
  </si>
  <si>
    <t>F8Y5496C5CJ13XCBC</t>
  </si>
  <si>
    <t>F8Y2086071D13XC87</t>
  </si>
  <si>
    <t>G708195261</t>
  </si>
  <si>
    <t>GX1HPZ04TPW0000B2Z</t>
  </si>
  <si>
    <t>G705551461</t>
  </si>
  <si>
    <t>F8Y5474C0RU217WBV</t>
  </si>
  <si>
    <t>F5D32355WDJ21PKAB</t>
  </si>
  <si>
    <t>G703474243</t>
  </si>
  <si>
    <t>F8Y5516CAXZ13RHC2</t>
  </si>
  <si>
    <t>F5D2286746R13RKAT</t>
  </si>
  <si>
    <t>G714196229</t>
  </si>
  <si>
    <t>F8YHN8C02W800006TW</t>
  </si>
  <si>
    <t>FG9GZ5009EX00006TZ</t>
  </si>
  <si>
    <t>G713507445</t>
  </si>
  <si>
    <t>FMXHRJ005E500006J3</t>
  </si>
  <si>
    <t>FP1HD90036G0000FQX</t>
  </si>
  <si>
    <t>G712879113</t>
  </si>
  <si>
    <t>PP661-23355</t>
  </si>
  <si>
    <t>13 Pro Max, Sierra Blue, 512GB, Logic Board Assy Rear System, ROW</t>
  </si>
  <si>
    <t>XN4WD4T2G3</t>
  </si>
  <si>
    <t>G712661887</t>
  </si>
  <si>
    <t>F8Y6153C6JN20J9BC</t>
  </si>
  <si>
    <t>F8Y24151TGM20JC26</t>
  </si>
  <si>
    <t>G711981081</t>
  </si>
  <si>
    <t>F8Y6126C8JA18FKBN</t>
  </si>
  <si>
    <t>F8Y41750GSP18FLB4</t>
  </si>
  <si>
    <t>G711785753</t>
  </si>
  <si>
    <t>DN8HRU09BK40000JS5</t>
  </si>
  <si>
    <t>DN8HN10H4LF0000RYQ</t>
  </si>
  <si>
    <t>DN8HJX070NY0000JS5</t>
  </si>
  <si>
    <t>G711460915</t>
  </si>
  <si>
    <t>FY8HMB00BD600017C0</t>
  </si>
  <si>
    <t>G711114181</t>
  </si>
  <si>
    <t>FG96145036UN2YLB0</t>
  </si>
  <si>
    <t>F5D12640ZKSN2YN4Q</t>
  </si>
  <si>
    <t>G710450797</t>
  </si>
  <si>
    <t>GMGHLG003HS0000GVL</t>
  </si>
  <si>
    <t>FP1HJA002EB0000G29</t>
  </si>
  <si>
    <t>G691770522</t>
  </si>
  <si>
    <t>F8YHPPC04QE00006TP</t>
  </si>
  <si>
    <t>F8YH6E00H6K00006TP</t>
  </si>
  <si>
    <t>G691505658</t>
  </si>
  <si>
    <t>F8Y6057CK6818FKB6</t>
  </si>
  <si>
    <t>F8Y3373058P18FLA7</t>
  </si>
  <si>
    <t>G689537918</t>
  </si>
  <si>
    <t>ZP661-50275</t>
  </si>
  <si>
    <t>iPad Air 11-inch (M3) Wi-Fi, 1TB, Blue, CI/AR, CN</t>
  </si>
  <si>
    <t>GW5JJ7LDW2</t>
  </si>
  <si>
    <t>G706813827</t>
  </si>
  <si>
    <t>LM4RF9X1Y4</t>
  </si>
  <si>
    <t>G704957301</t>
  </si>
  <si>
    <t>LKQMMVM0JM</t>
  </si>
  <si>
    <t>G704732133</t>
  </si>
  <si>
    <t>FJHKWF40XY</t>
  </si>
  <si>
    <t>G704341809</t>
  </si>
  <si>
    <t>DXWRXGV2J3</t>
  </si>
  <si>
    <t>G704279653</t>
  </si>
  <si>
    <t>H0GD6H44KG</t>
  </si>
  <si>
    <t>G703874381</t>
  </si>
  <si>
    <t>FV931840B3F1WP1DE</t>
  </si>
  <si>
    <t>HXK4523002W1N08F3</t>
  </si>
  <si>
    <t>G703103147</t>
  </si>
  <si>
    <t>GJX2LGWP7X</t>
  </si>
  <si>
    <t>G703090855</t>
  </si>
  <si>
    <t>H3FXPQ24M5</t>
  </si>
  <si>
    <t>G702372743</t>
  </si>
  <si>
    <t>FV9517403X80W9FLL</t>
  </si>
  <si>
    <t>FV9534603L90W9GLN</t>
  </si>
  <si>
    <t>G702267709</t>
  </si>
  <si>
    <t>DNL44810H2M1986BD</t>
  </si>
  <si>
    <t>DNL333209641986BA</t>
  </si>
  <si>
    <t>G701384183</t>
  </si>
  <si>
    <t>G0WHQTX22F</t>
  </si>
  <si>
    <t>G701323735</t>
  </si>
  <si>
    <t>JKQ9177X15</t>
  </si>
  <si>
    <t>G700983633</t>
  </si>
  <si>
    <t>F8Y43420D0UM6YND7</t>
  </si>
  <si>
    <t>FG994541C4SM6YR8K</t>
  </si>
  <si>
    <t>G700613457</t>
  </si>
  <si>
    <t>G9PHKTF010C00005DP</t>
  </si>
  <si>
    <t>GVCHFY00VUU00005DQ</t>
  </si>
  <si>
    <t>G700225493</t>
  </si>
  <si>
    <t>J7N16M5XP7</t>
  </si>
  <si>
    <t>G714200835</t>
  </si>
  <si>
    <t>G9P5223M0LLPQCLAU</t>
  </si>
  <si>
    <t>G9Q2126Y6FYPQCLAY</t>
  </si>
  <si>
    <t>G712816343</t>
  </si>
  <si>
    <t>GJ379XCWMY</t>
  </si>
  <si>
    <t>G712088545</t>
  </si>
  <si>
    <t>F8Y6127C1BY20J9BZ</t>
  </si>
  <si>
    <t>F8Y246414UY20J925</t>
  </si>
  <si>
    <t>G709052581</t>
  </si>
  <si>
    <t>DWHMWNXQ2V</t>
  </si>
  <si>
    <t>G9Q6054UA0Z21KHAY</t>
  </si>
  <si>
    <t>GVH511638SB1PHLAW</t>
  </si>
  <si>
    <t>G706908329</t>
  </si>
  <si>
    <t>DNL522205231986BR</t>
  </si>
  <si>
    <t>DNL40540Q8T1986BS</t>
  </si>
  <si>
    <t>G704518313</t>
  </si>
  <si>
    <t>H3K427Y3C4</t>
  </si>
  <si>
    <t>G704509363</t>
  </si>
  <si>
    <t>FVW9FH49JY</t>
  </si>
  <si>
    <t>G703737247</t>
  </si>
  <si>
    <t>KK76T2VV2M</t>
  </si>
  <si>
    <t>G684511596</t>
  </si>
  <si>
    <t>GD4XY60FMJ</t>
  </si>
  <si>
    <t>G698957813</t>
  </si>
  <si>
    <t>F0YHL30029H00006J1</t>
  </si>
  <si>
    <t>F0YHBP005GC00006J1</t>
  </si>
  <si>
    <t>G698430627</t>
  </si>
  <si>
    <t>FP1527401TN25YVAB</t>
  </si>
  <si>
    <t>FP15283012T25YTAD</t>
  </si>
  <si>
    <t>G712365757</t>
  </si>
  <si>
    <t>CFN43QFLYN</t>
  </si>
  <si>
    <t>G712218031</t>
  </si>
  <si>
    <t>661-29896</t>
  </si>
  <si>
    <t>Watch SE 2nd gen, 40mm, GPS, Aluminum, Starlight, TH</t>
  </si>
  <si>
    <t>K6RXMW520G</t>
  </si>
  <si>
    <t>G708304147</t>
  </si>
  <si>
    <t>GMGHMK002NU0000GVL</t>
  </si>
  <si>
    <t>FP1HG0000HJ0000G29</t>
  </si>
  <si>
    <t>G690023044</t>
  </si>
  <si>
    <t>JJGNFW5N6X</t>
  </si>
  <si>
    <t>G707394119</t>
  </si>
  <si>
    <t>JYDJWKF4GX</t>
  </si>
  <si>
    <t>G707064189</t>
  </si>
  <si>
    <t>GMGHLH0004T0000GVL</t>
  </si>
  <si>
    <t>FP1HDG001BJ0000G2A</t>
  </si>
  <si>
    <t>G707032419</t>
  </si>
  <si>
    <t>DN8HK200F4L0000JS5</t>
  </si>
  <si>
    <t>DNMHMS03XER0000RYP</t>
  </si>
  <si>
    <t>G706008309</t>
  </si>
  <si>
    <t>GVCHK0017LJ0000HU9</t>
  </si>
  <si>
    <t>GVCHLF02FTU0000HU9</t>
  </si>
  <si>
    <t>G702271367</t>
  </si>
  <si>
    <t>LD64CJR3JJ</t>
  </si>
  <si>
    <t>G701160643</t>
  </si>
  <si>
    <t>GMG541201VB1J88A5</t>
  </si>
  <si>
    <t>GMG447500CV1J87AN</t>
  </si>
  <si>
    <t>G700328083</t>
  </si>
  <si>
    <t>HXLDHQ9H91</t>
  </si>
  <si>
    <t>G682409490</t>
  </si>
  <si>
    <t>FV951550KU80W9FLJ</t>
  </si>
  <si>
    <t>FV951440CSM0W9FLN</t>
  </si>
  <si>
    <t>G698286801</t>
  </si>
  <si>
    <t>J19267FN2F</t>
  </si>
  <si>
    <t>G712085909</t>
  </si>
  <si>
    <t>D865514N4GU1LP9DJ</t>
  </si>
  <si>
    <t>D865105A7BH1LP9CJ</t>
  </si>
  <si>
    <t>G711777777</t>
  </si>
  <si>
    <t>GMGHLE009PS0000GVL</t>
  </si>
  <si>
    <t>F0YHDK000AY0000GVL</t>
  </si>
  <si>
    <t>G710010657</t>
  </si>
  <si>
    <t>F8Y5516CK6Q13RHC9</t>
  </si>
  <si>
    <t>F8Y1426056T13RHB1</t>
  </si>
  <si>
    <t>G709661997</t>
  </si>
  <si>
    <t>D997MCXJQP</t>
  </si>
  <si>
    <t>G703103531</t>
  </si>
  <si>
    <t>GNP2WG35WJ</t>
  </si>
  <si>
    <t>G702806007</t>
  </si>
  <si>
    <t>L4K9PVW0NH</t>
  </si>
  <si>
    <t>G702624235</t>
  </si>
  <si>
    <t>G9PHF8J12BZ00005DR</t>
  </si>
  <si>
    <t>G9PHJ3K008800005DR</t>
  </si>
  <si>
    <t>G699379391</t>
  </si>
  <si>
    <t>GVCHKA03G5L0000U6M</t>
  </si>
  <si>
    <t>G9PHMWH1Z5U0000MTE</t>
  </si>
  <si>
    <t>G712884793</t>
  </si>
  <si>
    <t>661-60211</t>
  </si>
  <si>
    <t>Display, iPhone 17e</t>
  </si>
  <si>
    <t>GVH60510D4W2FRVAA</t>
  </si>
  <si>
    <t>GVH60431AJ22FRVAX</t>
  </si>
  <si>
    <t>G712106339</t>
  </si>
  <si>
    <t>F8Y5445C4CU18FKBM</t>
  </si>
  <si>
    <t>FG9251400T218FMAS</t>
  </si>
  <si>
    <t>G710470823</t>
  </si>
  <si>
    <t>DNPHP50297B0000WDA</t>
  </si>
  <si>
    <t>DNMHQ600WD40000QTE</t>
  </si>
  <si>
    <t>DNPHQM00CTD0000WDA</t>
  </si>
  <si>
    <t>FNJHNLU0NZ40000M4H</t>
  </si>
  <si>
    <t>DNMHJ2016NC0000QTE</t>
  </si>
  <si>
    <t>F0WHPB01L310000S1F</t>
  </si>
  <si>
    <t>G709167471</t>
  </si>
  <si>
    <t>XJVPG92F99</t>
  </si>
  <si>
    <t>G709077303</t>
  </si>
  <si>
    <t>ZP661-55306</t>
  </si>
  <si>
    <t>Space Black, Wi-Fi, 256GB, iPad Pro 11-inch (M5), CI/AR, CN</t>
  </si>
  <si>
    <t>DDQK61D6QH</t>
  </si>
  <si>
    <t>G708718877</t>
  </si>
  <si>
    <t>DQD6PPF9R4</t>
  </si>
  <si>
    <t>G708359027</t>
  </si>
  <si>
    <t>C02HGG0039H0000KXE</t>
  </si>
  <si>
    <t>J33HM402MWC0000P11</t>
  </si>
  <si>
    <t>G707532649</t>
  </si>
  <si>
    <t>G9PHKCS00NA00005DR</t>
  </si>
  <si>
    <t>GH3HGY0002F00005DS</t>
  </si>
  <si>
    <t>G703184611</t>
  </si>
  <si>
    <t>J7C2V3QTJV</t>
  </si>
  <si>
    <t>G700674777</t>
  </si>
  <si>
    <t>FFG2D56K33</t>
  </si>
  <si>
    <t>G700107791</t>
  </si>
  <si>
    <t>PP661-22709</t>
  </si>
  <si>
    <t>Sierra Blue, 256 GB, iPhone 13 Pro Max, ROW, CI/AR, Philippines</t>
  </si>
  <si>
    <t>JVPC7N6T9C</t>
  </si>
  <si>
    <t>G699966353</t>
  </si>
  <si>
    <t>ZP661-22035</t>
  </si>
  <si>
    <t>Silver, 64 GB, iPad 9th Generation, Wi-Fi, ITP</t>
  </si>
  <si>
    <t>JXKV79377K</t>
  </si>
  <si>
    <t>G698959025</t>
  </si>
  <si>
    <t>DF7T666MH7</t>
  </si>
  <si>
    <t>G712096301</t>
  </si>
  <si>
    <t>F8YHSAD0NCU00006TP</t>
  </si>
  <si>
    <t>F5DGZH01NGQ00006TN</t>
  </si>
  <si>
    <t>G710794943</t>
  </si>
  <si>
    <t>C02HDJ007AH0000P0S</t>
  </si>
  <si>
    <t>C02HEH000BF0000P0R</t>
  </si>
  <si>
    <t>G710415591</t>
  </si>
  <si>
    <t>MMQH9QCP26</t>
  </si>
  <si>
    <t>G708615301</t>
  </si>
  <si>
    <t>LQK4NXGX7P</t>
  </si>
  <si>
    <t>G689539332</t>
  </si>
  <si>
    <t>J26KPJ99VR</t>
  </si>
  <si>
    <t>G707041757</t>
  </si>
  <si>
    <t>GVCHNL00C860000MUZ</t>
  </si>
  <si>
    <t>GH3HM000R0Q0000MUZ</t>
  </si>
  <si>
    <t>G706306257</t>
  </si>
  <si>
    <t>ZP923-13771</t>
  </si>
  <si>
    <t>Black, Enclosure, iPhone 17, ROW</t>
  </si>
  <si>
    <t>FP2HNV00UZJ0000WDR</t>
  </si>
  <si>
    <t>FP2HN800ACD0000WDR</t>
  </si>
  <si>
    <t>661-56057</t>
  </si>
  <si>
    <t>Black, Back Glass, iPhone 17</t>
  </si>
  <si>
    <t>DR8HJA00LXP0000WDK</t>
  </si>
  <si>
    <t>DRCHN4000G00000WDK</t>
  </si>
  <si>
    <t>661-56064</t>
  </si>
  <si>
    <t>Battery, iPhone 17</t>
  </si>
  <si>
    <t>F8YHKR001AL0001510</t>
  </si>
  <si>
    <t>FQ1HN100D8G000150Y</t>
  </si>
  <si>
    <t>G701538583</t>
  </si>
  <si>
    <t>KY71920JN2</t>
  </si>
  <si>
    <t>G701516243</t>
  </si>
  <si>
    <t>GVCHNA0168N0000MUZ</t>
  </si>
  <si>
    <t>GH3HNS00LGH0000MUZ</t>
  </si>
  <si>
    <t>G701326519</t>
  </si>
  <si>
    <t>G9NHELL0W1800004Y9</t>
  </si>
  <si>
    <t>G9NHF9L0DAZ00004Y9</t>
  </si>
  <si>
    <t>G713402907</t>
  </si>
  <si>
    <t>GMGHLF00AB50000GVL</t>
  </si>
  <si>
    <t>GMGHNC0052S0000GVL</t>
  </si>
  <si>
    <t>G713254609</t>
  </si>
  <si>
    <t>M32N4L573X</t>
  </si>
  <si>
    <t>G693355994</t>
  </si>
  <si>
    <t>C02HF5000C90000P0R</t>
  </si>
  <si>
    <t>HXKHNH005XU0000P0R</t>
  </si>
  <si>
    <t>G710123873</t>
  </si>
  <si>
    <t>J46LLJNJ06</t>
  </si>
  <si>
    <t>G709961331</t>
  </si>
  <si>
    <t>DKHWVXQFHG</t>
  </si>
  <si>
    <t>G707368981</t>
  </si>
  <si>
    <t>C9GR2W9WYT</t>
  </si>
  <si>
    <t>G705980835</t>
  </si>
  <si>
    <t>GMG545201K71J87AU</t>
  </si>
  <si>
    <t>GMG539202CJ1J88AR</t>
  </si>
  <si>
    <t>G699204689</t>
  </si>
  <si>
    <t>GH3HJQ01AV20000MUZ</t>
  </si>
  <si>
    <t>GH3HMX01XG10000MUZ</t>
  </si>
  <si>
    <t>G711574855</t>
  </si>
  <si>
    <t>JG2GT6VYHP</t>
  </si>
  <si>
    <t>G708980915</t>
  </si>
  <si>
    <t>FMXHQ600AGE00006J3</t>
  </si>
  <si>
    <t>FP1HDG008X20000FQX</t>
  </si>
  <si>
    <t>G708715841</t>
  </si>
  <si>
    <t>J2Q2WTN4H0</t>
  </si>
  <si>
    <t>G708709835</t>
  </si>
  <si>
    <t>HYTDW1H4ML</t>
  </si>
  <si>
    <t>G706573735</t>
  </si>
  <si>
    <t>HPJX20CTP6</t>
  </si>
  <si>
    <t>G702775967</t>
  </si>
  <si>
    <t>C761C2M6QM</t>
  </si>
  <si>
    <t>G705338365</t>
  </si>
  <si>
    <t>FHYT6VY74H</t>
  </si>
  <si>
    <t>G702480375</t>
  </si>
  <si>
    <t>FV9517500JC0W9FLP</t>
  </si>
  <si>
    <t>FV9544302QM0W9FL2</t>
  </si>
  <si>
    <t>G685265388</t>
  </si>
  <si>
    <t>J3QF2LHC2W</t>
  </si>
  <si>
    <t>G683495812</t>
  </si>
  <si>
    <t>DNL52230E4J1986BU</t>
  </si>
  <si>
    <t>DNL41863K8L1986BH</t>
  </si>
  <si>
    <t>G713633919</t>
  </si>
  <si>
    <t>C7CXYY4JWC</t>
  </si>
  <si>
    <t>G711300463</t>
  </si>
  <si>
    <t>TA661-44996</t>
  </si>
  <si>
    <t>128GB, White Titanium, ROW, iPhone 16 Pro, Logic Board Assy Mid System</t>
  </si>
  <si>
    <t>G3WDFM7P4Q</t>
  </si>
  <si>
    <t>G706323395</t>
  </si>
  <si>
    <t>J0HPR9045Y</t>
  </si>
  <si>
    <t>G705537993</t>
  </si>
  <si>
    <t>661-55241</t>
  </si>
  <si>
    <t>Front Camera, iPhone Air</t>
  </si>
  <si>
    <t>J9JHKN00AHU0000XLB</t>
  </si>
  <si>
    <t>GMHHJH01ZRP0000NR8</t>
  </si>
  <si>
    <t>G705301843</t>
  </si>
  <si>
    <t>FV6WCQXLGX</t>
  </si>
  <si>
    <t>G703339085</t>
  </si>
  <si>
    <t>JCDFXLXFX7</t>
  </si>
  <si>
    <t>G701528049</t>
  </si>
  <si>
    <t>F8Y5341C32F13XCB0</t>
  </si>
  <si>
    <t>F8Y13770TJL13XC8Z</t>
  </si>
  <si>
    <t>G700014183</t>
  </si>
  <si>
    <t>PP661-23460</t>
  </si>
  <si>
    <t>iPhone 13, Starlight, 256GB, Logic Board Assy Rear System, ROW</t>
  </si>
  <si>
    <t>M40X1CY5VY</t>
  </si>
  <si>
    <t>G2QH72H26V</t>
  </si>
  <si>
    <t>G705669615</t>
  </si>
  <si>
    <t>H0C5YQLXVH</t>
  </si>
  <si>
    <t>G713147211</t>
  </si>
  <si>
    <t>Display, Starlight, MBA (13-in, M3, 2024)</t>
  </si>
  <si>
    <t>F0Y543300WQ1J88AX</t>
  </si>
  <si>
    <t>FP14511000C25YTAQ</t>
  </si>
  <si>
    <t>G710694393</t>
  </si>
  <si>
    <t>G9NHQDJ1J2D0000L4B</t>
  </si>
  <si>
    <t>G9QHRBM5W5P0000L4B</t>
  </si>
  <si>
    <t>G709607857</t>
  </si>
  <si>
    <t>MVYJMTY700</t>
  </si>
  <si>
    <t>G709421103</t>
  </si>
  <si>
    <t>G9PHLZT061C00005DP</t>
  </si>
  <si>
    <t>GVCHDJ01K5K00005DQ</t>
  </si>
  <si>
    <t>G707068067</t>
  </si>
  <si>
    <t>G9PHFCJ25XF00005DR</t>
  </si>
  <si>
    <t>G9NHBDN2F8L00005DR</t>
  </si>
  <si>
    <t>G704862175</t>
  </si>
  <si>
    <t>L41LXGD949</t>
  </si>
  <si>
    <t>G703571579</t>
  </si>
  <si>
    <t>DNL51210E571986B5</t>
  </si>
  <si>
    <t>DNL32540R761986BG</t>
  </si>
  <si>
    <t>G703218171</t>
  </si>
  <si>
    <t>G9Q5392UF1C21KHA1</t>
  </si>
  <si>
    <t>G9Q5244VB1J21KHAA</t>
  </si>
  <si>
    <t>G701147425</t>
  </si>
  <si>
    <t>DNL517608591986BP</t>
  </si>
  <si>
    <t>DNL334527011986BM</t>
  </si>
  <si>
    <t>G9P5175BH781C9FAY</t>
  </si>
  <si>
    <t>G9P3076KFC81C9FA1</t>
  </si>
  <si>
    <t>G9P4416B0DZ1C9FAP</t>
  </si>
  <si>
    <t>G700351701</t>
  </si>
  <si>
    <t>GMG535101NY1J87AW</t>
  </si>
  <si>
    <t>FP14075019025YVAP</t>
  </si>
  <si>
    <t>G700323397</t>
  </si>
  <si>
    <t>GVH53730JMDPR5PAQ</t>
  </si>
  <si>
    <t>GVH50970DHFPR5PAY</t>
  </si>
  <si>
    <t>G700219309</t>
  </si>
  <si>
    <t>GVCHNA01FTH0000MUZ</t>
  </si>
  <si>
    <t>GVCHKV007470000MUZ</t>
  </si>
  <si>
    <t>G699084033</t>
  </si>
  <si>
    <t>TA661-45326</t>
  </si>
  <si>
    <t>512GB, White Titanium, ROW, iPhone 16 Pro Max, Logic Board Assy Mid Syst</t>
  </si>
  <si>
    <t>G7D646M2T0</t>
  </si>
  <si>
    <t>G699057401</t>
  </si>
  <si>
    <t>G9P5323QN6B1PHRAS</t>
  </si>
  <si>
    <t>G9N3441RBP41PHRAS</t>
  </si>
  <si>
    <t>G713815549</t>
  </si>
  <si>
    <t>C3W0NT1WVV</t>
  </si>
  <si>
    <t>G713506691</t>
  </si>
  <si>
    <t>GMGHMN003LU0000HX1</t>
  </si>
  <si>
    <t>FP1HHF003A70000HWZ</t>
  </si>
  <si>
    <t>G711868017</t>
  </si>
  <si>
    <t>GVH51642PJJPR5PAM</t>
  </si>
  <si>
    <t>GVH512601EWPR5PAR</t>
  </si>
  <si>
    <t>G705141475</t>
  </si>
  <si>
    <t>GMG544200101J88AQ</t>
  </si>
  <si>
    <t>FP1508500L725YTAE</t>
  </si>
  <si>
    <t>G704630831</t>
  </si>
  <si>
    <t>D6LHJQ9H0Q</t>
  </si>
  <si>
    <t>G703326567</t>
  </si>
  <si>
    <t>F8Y5384A7TE217XBZ</t>
  </si>
  <si>
    <t>F8Y5322CBCW231LBX</t>
  </si>
  <si>
    <t>G702036059</t>
  </si>
  <si>
    <t>G6V64MF3HT</t>
  </si>
  <si>
    <t>G701173699</t>
  </si>
  <si>
    <t>D9W20V6P7V</t>
  </si>
  <si>
    <t>G698632695</t>
  </si>
  <si>
    <t>GMG545101K2NR89BT</t>
  </si>
  <si>
    <t>FP1142500B5P3WWAB</t>
  </si>
  <si>
    <t>G713964039</t>
  </si>
  <si>
    <t>C40KXPQVT9</t>
  </si>
  <si>
    <t>G713037283</t>
  </si>
  <si>
    <t>F8Y6156C1S818FKBY</t>
  </si>
  <si>
    <t>FG924540QXK18FNAV</t>
  </si>
  <si>
    <t>G710110619</t>
  </si>
  <si>
    <t>DTTHP903SLM0000QTV</t>
  </si>
  <si>
    <t>FNJHN5T01PJ0000QTV</t>
  </si>
  <si>
    <t>G708711467</t>
  </si>
  <si>
    <t>DNL53020P381986A7</t>
  </si>
  <si>
    <t>DNL401608181986BQ</t>
  </si>
  <si>
    <t>G704853049</t>
  </si>
  <si>
    <t>D4RFYCXC2G</t>
  </si>
  <si>
    <t>G703713641</t>
  </si>
  <si>
    <t>L25X6PH4QH</t>
  </si>
  <si>
    <t>G703213261</t>
  </si>
  <si>
    <t>F8Y5445N0MA13QFCZ</t>
  </si>
  <si>
    <t>F8Y5045G6YM10X2C0</t>
  </si>
  <si>
    <t>G702790589</t>
  </si>
  <si>
    <t>G90JWVMQYT</t>
  </si>
  <si>
    <t>G702523843</t>
  </si>
  <si>
    <t>K7G346W6QV</t>
  </si>
  <si>
    <t>G701696901</t>
  </si>
  <si>
    <t>C2TQK3W3TQ</t>
  </si>
  <si>
    <t>G701416257</t>
  </si>
  <si>
    <t>G9Q5174FGQLPR5QAJ</t>
  </si>
  <si>
    <t>GVH5117137QPR5PAF</t>
  </si>
  <si>
    <t>G700435665</t>
  </si>
  <si>
    <t>F8Y5507C8TQ18FKBK</t>
  </si>
  <si>
    <t>F8Y414703LQ18FLB7</t>
  </si>
  <si>
    <t>G715446575</t>
  </si>
  <si>
    <t>FMXHRR000RK00006J3</t>
  </si>
  <si>
    <t>FP1HDR002VM0000FQX</t>
  </si>
  <si>
    <t>G694513032</t>
  </si>
  <si>
    <t>ZP923-13774</t>
  </si>
  <si>
    <t>Lavender, Enclosure, iPhone 17, ROW</t>
  </si>
  <si>
    <t>HNFHS300AG20000WDU</t>
  </si>
  <si>
    <t>FP2HLT008PR0000WDU</t>
  </si>
  <si>
    <t>F8YHRP00LUQ0001510</t>
  </si>
  <si>
    <t>FQ1HLK00FJQ000150X</t>
  </si>
  <si>
    <t>G692588608</t>
  </si>
  <si>
    <t>G9QHQUX1DRS00004Y7</t>
  </si>
  <si>
    <t>G9NHGV23W2700004Y7</t>
  </si>
  <si>
    <t>G708362377</t>
  </si>
  <si>
    <t>C49TCJ921K</t>
  </si>
  <si>
    <t>G710672813</t>
  </si>
  <si>
    <t>TA661-55279</t>
  </si>
  <si>
    <t>Black, 256GB, iPhone 17, ROW, Taiwan, CI/AR</t>
  </si>
  <si>
    <t>F14FJLGYYK</t>
  </si>
  <si>
    <t>G705615743</t>
  </si>
  <si>
    <t>GMGHFH0005S0000GVK</t>
  </si>
  <si>
    <t>GMGHM2003JN0000GVL</t>
  </si>
  <si>
    <t>G704220263</t>
  </si>
  <si>
    <t>LL4L145X9Y</t>
  </si>
  <si>
    <t>G703607445</t>
  </si>
  <si>
    <t>C9HXYF74VK</t>
  </si>
  <si>
    <t>G686211886</t>
  </si>
  <si>
    <t>GT79326H9C</t>
  </si>
  <si>
    <t>G701754857</t>
  </si>
  <si>
    <t>C669F45KWN</t>
  </si>
  <si>
    <t>G701671897</t>
  </si>
  <si>
    <t>LMQK74Q21H</t>
  </si>
  <si>
    <t>G700207957</t>
  </si>
  <si>
    <t>TA661-45327</t>
  </si>
  <si>
    <t>512GB, Desert Titanium, ROW, iPhone 16 Pro Max, Logic Board Assy Mid Sys</t>
  </si>
  <si>
    <t>MC79X2GF6G</t>
  </si>
  <si>
    <t>G713417283</t>
  </si>
  <si>
    <t>D865182N1YLPJYRB1</t>
  </si>
  <si>
    <t>F5D13843U8APJYVAJ</t>
  </si>
  <si>
    <t>G710273629</t>
  </si>
  <si>
    <t>JKJ733GNV2</t>
  </si>
  <si>
    <t>G708972641</t>
  </si>
  <si>
    <t>G9P3265M876PQCLAX</t>
  </si>
  <si>
    <t>G9Q2134YB2UPQCLA1</t>
  </si>
  <si>
    <t>G708034335</t>
  </si>
  <si>
    <t>FL9P7G16L7</t>
  </si>
  <si>
    <t>G706454565</t>
  </si>
  <si>
    <t>CF9WR2V6J2</t>
  </si>
  <si>
    <t>G706121991</t>
  </si>
  <si>
    <t>CPWJXP3CQQ</t>
  </si>
  <si>
    <t>G704217919</t>
  </si>
  <si>
    <t>HY9MMWYWPF</t>
  </si>
  <si>
    <t>G698417983</t>
  </si>
  <si>
    <t>F8Y5447C38718FKBK</t>
  </si>
  <si>
    <t>F8Y22711KH318FLAP</t>
  </si>
  <si>
    <t>G710344549</t>
  </si>
  <si>
    <t>JJ6CNW49RY</t>
  </si>
  <si>
    <t>G710328061</t>
  </si>
  <si>
    <t>GH3HRB001E70000MUZ</t>
  </si>
  <si>
    <t>G9NHQRP58CZ0000MUY</t>
  </si>
  <si>
    <t>G710078911</t>
  </si>
  <si>
    <t>C06HLZ0SJTG00009JP</t>
  </si>
  <si>
    <t>GPV5256019700009JM</t>
  </si>
  <si>
    <t>661-43635</t>
  </si>
  <si>
    <t>Logic Board, 10-Core CPU, 10-Core GPU, 24GB, 10G</t>
  </si>
  <si>
    <t>C07HJK0000B0000PGN</t>
  </si>
  <si>
    <t>C07HJH001BG0000GYA</t>
  </si>
  <si>
    <t>G708742291</t>
  </si>
  <si>
    <t>DNM52451F3J1QDC7U</t>
  </si>
  <si>
    <t>DNM53131H821QDC73</t>
  </si>
  <si>
    <t>DNM51422LAW1QDC19</t>
  </si>
  <si>
    <t>G710412803</t>
  </si>
  <si>
    <t>HTWFCQF7MK</t>
  </si>
  <si>
    <t>G706797545</t>
  </si>
  <si>
    <t>K99R1HDWV6</t>
  </si>
  <si>
    <t>G688138840</t>
  </si>
  <si>
    <t>F40Y07QKLV</t>
  </si>
  <si>
    <t>G704077495</t>
  </si>
  <si>
    <t>TA661-45270</t>
  </si>
  <si>
    <t>1TB, White Titanium, ROW, iPhone 16 Pro Max, CI/AR</t>
  </si>
  <si>
    <t>KLJ02H5H7N</t>
  </si>
  <si>
    <t>G703139485</t>
  </si>
  <si>
    <t>F8Y5353CKH313RHCQ</t>
  </si>
  <si>
    <t>F5D1481091K13RK95</t>
  </si>
  <si>
    <t>G703135145</t>
  </si>
  <si>
    <t>JCF2J9MJKW</t>
  </si>
  <si>
    <t>G703032445</t>
  </si>
  <si>
    <t>KYFQMFJ722</t>
  </si>
  <si>
    <t>G702682005</t>
  </si>
  <si>
    <t>F8Y5347C6D2Q4C2B2</t>
  </si>
  <si>
    <t>F5D04966K94Q4C09K</t>
  </si>
  <si>
    <t>G684521884</t>
  </si>
  <si>
    <t>FKYPXN65D6</t>
  </si>
  <si>
    <t>G700239551</t>
  </si>
  <si>
    <t>G9P5346MJFCPQCLAP</t>
  </si>
  <si>
    <t>G9P2257RK1VPQCLA7</t>
  </si>
  <si>
    <t>G683120696</t>
  </si>
  <si>
    <t>ML2J0797CD</t>
  </si>
  <si>
    <t>G712462405</t>
  </si>
  <si>
    <t>G336NX07GH</t>
  </si>
  <si>
    <t>G710113187</t>
  </si>
  <si>
    <t>FH14FMH7PD</t>
  </si>
  <si>
    <t>G709993991</t>
  </si>
  <si>
    <t>TA661-55217</t>
  </si>
  <si>
    <t>Deep Blue, 2TB, iPhone 17 Pro Max, ROW, CI/AR, Taiwan</t>
  </si>
  <si>
    <t>KLQL5F7YD3</t>
  </si>
  <si>
    <t>G708948793</t>
  </si>
  <si>
    <t>LY2F2575Q1</t>
  </si>
  <si>
    <t>G708601863</t>
  </si>
  <si>
    <t>LFW5NVQ2NT</t>
  </si>
  <si>
    <t>G706336219</t>
  </si>
  <si>
    <t>GMGHM7003EQ0000HX1</t>
  </si>
  <si>
    <t>FP1HF9001YD0000HX0</t>
  </si>
  <si>
    <t>G701557655</t>
  </si>
  <si>
    <t>FMXHNK0017500006J3</t>
  </si>
  <si>
    <t>FP1HEG003N20000FQX</t>
  </si>
  <si>
    <t>G684526160</t>
  </si>
  <si>
    <t>661-29899</t>
  </si>
  <si>
    <t>Watch SE 2nd gen, 44mm, GPS, Aluminum, Starlight, TH</t>
  </si>
  <si>
    <t>G9RP0RWVVH</t>
  </si>
  <si>
    <t>G700745461</t>
  </si>
  <si>
    <t>FVM4M0H4Q5</t>
  </si>
  <si>
    <t>G700551549</t>
  </si>
  <si>
    <t>J6N7W5XQLT</t>
  </si>
  <si>
    <t>G700015041</t>
  </si>
  <si>
    <t>661-53111</t>
  </si>
  <si>
    <t>Top Case, Silver, ANSI</t>
  </si>
  <si>
    <t>F8YHJKN00HE0000VD7</t>
  </si>
  <si>
    <t>F5DHL90026P0000VD6</t>
  </si>
  <si>
    <t>G710530479</t>
  </si>
  <si>
    <t>FG9HP70006500006TT</t>
  </si>
  <si>
    <t>FG9GXT00KMP00006TT</t>
  </si>
  <si>
    <t>G708927861</t>
  </si>
  <si>
    <t>F0WHNF00N2C0000JS7</t>
  </si>
  <si>
    <t>DN8HP309JAV0000RYQ</t>
  </si>
  <si>
    <t>G708606557</t>
  </si>
  <si>
    <t>DNM53153NZ61QDC7D</t>
  </si>
  <si>
    <t>DNM53721X8Y1QDC3N</t>
  </si>
  <si>
    <t>G690517204</t>
  </si>
  <si>
    <t>M41JL25Y92</t>
  </si>
  <si>
    <t>G707624871</t>
  </si>
  <si>
    <t>F0WHJX01TJ30000JS7</t>
  </si>
  <si>
    <t>DN8HMY05R1D0000RYQ</t>
  </si>
  <si>
    <t>G704864991</t>
  </si>
  <si>
    <t>KF465XK7V9</t>
  </si>
  <si>
    <t>G703894563</t>
  </si>
  <si>
    <t>F8Y5446CHT018FKBQ</t>
  </si>
  <si>
    <t>FG932750PGC18FMA7</t>
  </si>
  <si>
    <t>G686883320</t>
  </si>
  <si>
    <t>DNL5223094B1986B6</t>
  </si>
  <si>
    <t>DNL32010DAH1986BS</t>
  </si>
  <si>
    <t>G703636871</t>
  </si>
  <si>
    <t>MJ2C4RHGY1</t>
  </si>
  <si>
    <t>G701891813</t>
  </si>
  <si>
    <t>DN8HJF03LH800002MW</t>
  </si>
  <si>
    <t>F0WH8B00FAL00005KR</t>
  </si>
  <si>
    <t>G701289259</t>
  </si>
  <si>
    <t>FMXHMH000N200006J3</t>
  </si>
  <si>
    <t>F0YHAU0018C00006J1</t>
  </si>
  <si>
    <t>G714764703</t>
  </si>
  <si>
    <t>GVH517619B4PR5PA0</t>
  </si>
  <si>
    <t>GVH51231VVBPR5PA5</t>
  </si>
  <si>
    <t>G713702877</t>
  </si>
  <si>
    <t>TA661-42900</t>
  </si>
  <si>
    <t>128GB, Natural Titanium, ROW, iPhone 16 Pro, CI/AR</t>
  </si>
  <si>
    <t>CYG4Y546FL</t>
  </si>
  <si>
    <t>G694537148</t>
  </si>
  <si>
    <t>D0XH6R96PY</t>
  </si>
  <si>
    <t>G712796511</t>
  </si>
  <si>
    <t>G9P5162LLCRPQCKAM</t>
  </si>
  <si>
    <t>G9P2113KG0YPQCKAC</t>
  </si>
  <si>
    <t>G709088061</t>
  </si>
  <si>
    <t>GVCHQU03AHH0000U6M</t>
  </si>
  <si>
    <t>GVCHP601KCP0000U6M</t>
  </si>
  <si>
    <t>G708812315</t>
  </si>
  <si>
    <t>CJ696PHK7D</t>
  </si>
  <si>
    <t>G708810661</t>
  </si>
  <si>
    <t>G9P5271Q0JB1PHRA0</t>
  </si>
  <si>
    <t>GH341311BNR1PHTA8</t>
  </si>
  <si>
    <t>G703102993</t>
  </si>
  <si>
    <t>DNL522308171986BL</t>
  </si>
  <si>
    <t>DNL40520E2R1986BQ</t>
  </si>
  <si>
    <t>G701696681</t>
  </si>
  <si>
    <t>G9PHLLT2PG600005DP</t>
  </si>
  <si>
    <t>GVCHBR00PYV00005DQ</t>
  </si>
  <si>
    <t>G702707449</t>
  </si>
  <si>
    <t>TA661-42903</t>
  </si>
  <si>
    <t>256GB, Desert Titanium, ROW, iPhone 16 Pro, CI/AR</t>
  </si>
  <si>
    <t>JQK9N79XNN</t>
  </si>
  <si>
    <t>G699676829</t>
  </si>
  <si>
    <t>GMGHLG006RS0000GVK</t>
  </si>
  <si>
    <t>GMGHE5003FV0000GVL</t>
  </si>
  <si>
    <t>G713410511</t>
  </si>
  <si>
    <t>GVH51750HFLPR5PA2</t>
  </si>
  <si>
    <t>GVH512723Z1PR5PAN</t>
  </si>
  <si>
    <t>G710009689</t>
  </si>
  <si>
    <t>ZP661-50237</t>
  </si>
  <si>
    <t>iPad (A16) Wi-Fi, 512GB, Pink, CI/AR, CN</t>
  </si>
  <si>
    <t>H6Q67X3DVX</t>
  </si>
  <si>
    <t>G703852303</t>
  </si>
  <si>
    <t>DHYFXHPM7C</t>
  </si>
  <si>
    <t>G703138717</t>
  </si>
  <si>
    <t>HNXQ90BQQ1HJ</t>
  </si>
  <si>
    <t>G686192432</t>
  </si>
  <si>
    <t>F8Y5457C1DH20J9BZ</t>
  </si>
  <si>
    <t>F8Y246503KE20J92K</t>
  </si>
  <si>
    <t>G702317769</t>
  </si>
  <si>
    <t>MNVPPWRYFN</t>
  </si>
  <si>
    <t>G700975319</t>
  </si>
  <si>
    <t>HNXQK2CHQ1HJ</t>
  </si>
  <si>
    <t>G700718891</t>
  </si>
  <si>
    <t>GH3HMH004240000MUZ</t>
  </si>
  <si>
    <t>GH3HLA009MY0000MUZ</t>
  </si>
  <si>
    <t>G700575053</t>
  </si>
  <si>
    <t>G9P5363M11SPQCLAX</t>
  </si>
  <si>
    <t>G9P2056S938PQCLAY</t>
  </si>
  <si>
    <t>G699858553</t>
  </si>
  <si>
    <t>FV9HC000FL30000HG2</t>
  </si>
  <si>
    <t>FV9HB900Z3U0000HG2</t>
  </si>
  <si>
    <t>G699461111</t>
  </si>
  <si>
    <t>GVCHPB024JM0000MUZ</t>
  </si>
  <si>
    <t>GH3HLD001BQ0000MUZ</t>
  </si>
  <si>
    <t>F47T2H9QCP</t>
  </si>
  <si>
    <t>G682730934</t>
  </si>
  <si>
    <t>JJXX0DG9LG</t>
  </si>
  <si>
    <t>G713936847</t>
  </si>
  <si>
    <t>DV43NVGYG0</t>
  </si>
  <si>
    <t>G712341255</t>
  </si>
  <si>
    <t>F4HD7JN7HT</t>
  </si>
  <si>
    <t>G704770797</t>
  </si>
  <si>
    <t>G9PHLUT0G0B00005DP</t>
  </si>
  <si>
    <t>GVCH9U0274L00005DQ</t>
  </si>
  <si>
    <t>G703727223</t>
  </si>
  <si>
    <t>CFQX42XHFG</t>
  </si>
  <si>
    <t>G701071929</t>
  </si>
  <si>
    <t>D2H7G9YQ0V</t>
  </si>
  <si>
    <t>G700938697</t>
  </si>
  <si>
    <t>J9Q54250SS80GKWAW</t>
  </si>
  <si>
    <t>GMH503601EKQ189AG</t>
  </si>
  <si>
    <t>G698256649</t>
  </si>
  <si>
    <t>GLXP6GQ7PW</t>
  </si>
  <si>
    <t>G700616603</t>
  </si>
  <si>
    <t>HQV9K33349</t>
  </si>
  <si>
    <t>G714967189</t>
  </si>
  <si>
    <t>G9P5354LG73PQCKAT</t>
  </si>
  <si>
    <t>G9P2223KJ5HPQCKA6</t>
  </si>
  <si>
    <t>G692607306</t>
  </si>
  <si>
    <t>CFLF2677GL</t>
  </si>
  <si>
    <t>G710194607</t>
  </si>
  <si>
    <t>DL7LXV9PQH</t>
  </si>
  <si>
    <t>G707491499</t>
  </si>
  <si>
    <t>C4H4446019ULV74AX</t>
  </si>
  <si>
    <t>C4H5517016EPY18AS</t>
  </si>
  <si>
    <t>G705731679</t>
  </si>
  <si>
    <t>M17HHWX2T5</t>
  </si>
  <si>
    <t>G704514313</t>
  </si>
  <si>
    <t>D865386N17HPJYRB5</t>
  </si>
  <si>
    <t>D864152A1DCPJYRBC</t>
  </si>
  <si>
    <t>HXK5043017B1N08GZ</t>
  </si>
  <si>
    <t>HXK41730N9W1WP0DN</t>
  </si>
  <si>
    <t>GMG5493016WNR8DBL</t>
  </si>
  <si>
    <t>FP13524001V249YAY</t>
  </si>
  <si>
    <t>G703447363</t>
  </si>
  <si>
    <t>ZP661-50234</t>
  </si>
  <si>
    <t>iPad (A16) Wi-Fi, 512GB, Silver, CI/AR, CN</t>
  </si>
  <si>
    <t>JG47J4XJF2</t>
  </si>
  <si>
    <t>G702382197</t>
  </si>
  <si>
    <t>GCF45152JK9Q59TBU</t>
  </si>
  <si>
    <t>GCF44961BB7Q59TB6</t>
  </si>
  <si>
    <t>G700164597</t>
  </si>
  <si>
    <t>F52Q9349M0</t>
  </si>
  <si>
    <t>G699137753</t>
  </si>
  <si>
    <t>JPM9XDKHYD</t>
  </si>
  <si>
    <t>G698452567</t>
  </si>
  <si>
    <t>G09K7QJ92M</t>
  </si>
  <si>
    <t>G696187970</t>
  </si>
  <si>
    <t>GMG539501EG1J87AL</t>
  </si>
  <si>
    <t>FP1505501G025YTA7</t>
  </si>
  <si>
    <t>G713625269</t>
  </si>
  <si>
    <t>G6K2FWV1WC</t>
  </si>
  <si>
    <t>G713516273</t>
  </si>
  <si>
    <t>TA661-49965</t>
  </si>
  <si>
    <t>White, 128GB, Logic Board Assy Mid System, iPhone 16e, ROW</t>
  </si>
  <si>
    <t>DGTWCJ416G</t>
  </si>
  <si>
    <t>G712660441</t>
  </si>
  <si>
    <t>K9DWPYD9CK</t>
  </si>
  <si>
    <t>G710681355</t>
  </si>
  <si>
    <t>F8Y6123C0GS217WB6</t>
  </si>
  <si>
    <t>F5D2366EHPH21PK73</t>
  </si>
  <si>
    <t>G710001667</t>
  </si>
  <si>
    <t>KWDFW5YJ9R</t>
  </si>
  <si>
    <t>G709501587</t>
  </si>
  <si>
    <t>GF5V20G4P1</t>
  </si>
  <si>
    <t>G708682589</t>
  </si>
  <si>
    <t>JWLXM2CXTJ</t>
  </si>
  <si>
    <t>G689415288</t>
  </si>
  <si>
    <t>K109P61FTP</t>
  </si>
  <si>
    <t>G702632349</t>
  </si>
  <si>
    <t>C16G709RP9</t>
  </si>
  <si>
    <t>G700867057</t>
  </si>
  <si>
    <t>FV9516500MZ0W9DLY</t>
  </si>
  <si>
    <t>FV950940BPP0W9FLG</t>
  </si>
  <si>
    <t>G699977971</t>
  </si>
  <si>
    <t>FP6WRJCGWK</t>
  </si>
  <si>
    <t>G699119123</t>
  </si>
  <si>
    <t>HWFC6Y471N</t>
  </si>
  <si>
    <t>G712133431</t>
  </si>
  <si>
    <t>TA661-45324</t>
  </si>
  <si>
    <t>256GB, Natural Titanium, ROW, iPhone 16 Pro Max, Logic Board Assy Mid Sy</t>
  </si>
  <si>
    <t>LY4JC4R6T4</t>
  </si>
  <si>
    <t>G708798007</t>
  </si>
  <si>
    <t>HK94WV64H5</t>
  </si>
  <si>
    <t>G704257691</t>
  </si>
  <si>
    <t>L4GH99KJ73</t>
  </si>
  <si>
    <t>G703506623</t>
  </si>
  <si>
    <t>GF2JXR30QF</t>
  </si>
  <si>
    <t>G703352339</t>
  </si>
  <si>
    <t>661-51903</t>
  </si>
  <si>
    <t>Logic Board, 10-core CPU, 10-core GPU, 32GB, 512GB, VN</t>
  </si>
  <si>
    <t>J33HNG0008R0000PCT</t>
  </si>
  <si>
    <t>FV9HCR00XHV00003P0</t>
  </si>
  <si>
    <t>G702814715</t>
  </si>
  <si>
    <t>G9P5385M2KRPQCLA3</t>
  </si>
  <si>
    <t>G9N2043Q9J5PQCLA3</t>
  </si>
  <si>
    <t>G703459487</t>
  </si>
  <si>
    <t>F8Y5407C1U713XCB5</t>
  </si>
  <si>
    <t>F5D2027AXQ213X998</t>
  </si>
  <si>
    <t>G702090483</t>
  </si>
  <si>
    <t>TA661-36286</t>
  </si>
  <si>
    <t>Black, iPhone 15, 128GB, ROW, CI/AR, Taiwan</t>
  </si>
  <si>
    <t>JPG9M1QN4V</t>
  </si>
  <si>
    <t>G699959633</t>
  </si>
  <si>
    <t>GN6T6NKQK3</t>
  </si>
  <si>
    <t>G714720661</t>
  </si>
  <si>
    <t>F8Y5425C20N18FKB3</t>
  </si>
  <si>
    <t>FG92206002C18FMAT</t>
  </si>
  <si>
    <t>G712450395</t>
  </si>
  <si>
    <t>GCFHPE0N2880000QT9</t>
  </si>
  <si>
    <t>DNMHN40237B0000QTE</t>
  </si>
  <si>
    <t>G711638385</t>
  </si>
  <si>
    <t>F5JYY4GY2J</t>
  </si>
  <si>
    <t>G710675217</t>
  </si>
  <si>
    <t>G0F17TH3JP</t>
  </si>
  <si>
    <t>G690488636</t>
  </si>
  <si>
    <t>J39509K9DW</t>
  </si>
  <si>
    <t>G704611103</t>
  </si>
  <si>
    <t>MWYXF7FPPW</t>
  </si>
  <si>
    <t>G704118801</t>
  </si>
  <si>
    <t>CFY3VL91CJ</t>
  </si>
  <si>
    <t>G702238753</t>
  </si>
  <si>
    <t>GH3HPZ0284H0000MUZ</t>
  </si>
  <si>
    <t>GVCHJ202L1S0000MUZ</t>
  </si>
  <si>
    <t>GVCHMD03DGT0000MUZ</t>
  </si>
  <si>
    <t>G704832941</t>
  </si>
  <si>
    <t>LD40719RFP</t>
  </si>
  <si>
    <t>G701858109</t>
  </si>
  <si>
    <t>PP661-22096</t>
  </si>
  <si>
    <t>Space Gray, 256 GB, iPad 9th Generation, Cellular, Philippines</t>
  </si>
  <si>
    <t>DG97D6TL2P</t>
  </si>
  <si>
    <t>G701423143</t>
  </si>
  <si>
    <t>F8Y13322RBG14LW7L</t>
  </si>
  <si>
    <t>F5D131531WG14LX8B</t>
  </si>
  <si>
    <t>G702809649</t>
  </si>
  <si>
    <t>PP661-22458</t>
  </si>
  <si>
    <t>Starlight, 256 GB, iPhone 13 mini, ROW, CI/AR, Philippines</t>
  </si>
  <si>
    <t>T4GFYDL4F7</t>
  </si>
  <si>
    <t>G714545147</t>
  </si>
  <si>
    <t>F9QV0T7VFQ</t>
  </si>
  <si>
    <t>G710988243</t>
  </si>
  <si>
    <t>923-12413</t>
  </si>
  <si>
    <t>Speakers with Antenna, Left and Right, MBA (13-in, M4, 2025)</t>
  </si>
  <si>
    <t>DXYHL8A2ABW0000NUQ</t>
  </si>
  <si>
    <t>G706905061</t>
  </si>
  <si>
    <t>HGXNCYJQD9</t>
  </si>
  <si>
    <t>G703026337</t>
  </si>
  <si>
    <t>G096H4PWW9</t>
  </si>
  <si>
    <t>G702448571</t>
  </si>
  <si>
    <t>CJ6YTH4416</t>
  </si>
  <si>
    <t>G702098215</t>
  </si>
  <si>
    <t>G9PHJVF1L6000005DP</t>
  </si>
  <si>
    <t>GVCHE900KGQ00005DQ</t>
  </si>
  <si>
    <t>G701742233</t>
  </si>
  <si>
    <t>M0GYWRN6LD</t>
  </si>
  <si>
    <t>G700945079</t>
  </si>
  <si>
    <t>GMHHH0018U20000BXF</t>
  </si>
  <si>
    <t>FNJHARG1M4W0000BXF</t>
  </si>
  <si>
    <t>F0WHFF00KXK000064R</t>
  </si>
  <si>
    <t>F0WH9W01ZPD000064R</t>
  </si>
  <si>
    <t>G700001787</t>
  </si>
  <si>
    <t>G9QHPGC1MC10000L4B</t>
  </si>
  <si>
    <t>G9NHKDW145C0000L4B</t>
  </si>
  <si>
    <t>G685229514</t>
  </si>
  <si>
    <t>HPMX63MTPG</t>
  </si>
  <si>
    <t>G699636345</t>
  </si>
  <si>
    <t>G7MYP16V73</t>
  </si>
  <si>
    <t>G699491343</t>
  </si>
  <si>
    <t>H5X72QPQNJ</t>
  </si>
  <si>
    <t>G698975513</t>
  </si>
  <si>
    <t>F8Y5255C0RYQ4C2BA</t>
  </si>
  <si>
    <t>F8Y11330629Q4C29P</t>
  </si>
  <si>
    <t>G698841231</t>
  </si>
  <si>
    <t>D5967YXQWN</t>
  </si>
  <si>
    <t>G698307017</t>
  </si>
  <si>
    <t>DQWGKX2MFD</t>
  </si>
  <si>
    <t>G714320739</t>
  </si>
  <si>
    <t>HKYHRX007VR0000TXG</t>
  </si>
  <si>
    <t>DRCHCR004CW0000TXG</t>
  </si>
  <si>
    <t>G712257937</t>
  </si>
  <si>
    <t>GGP16T7QRQ</t>
  </si>
  <si>
    <t>G711956537</t>
  </si>
  <si>
    <t>GH3HRB0005Z0000MUZ</t>
  </si>
  <si>
    <t>GH3HNY02Z7K0000MUZ</t>
  </si>
  <si>
    <t>G710581449</t>
  </si>
  <si>
    <t>F8Y6031N0KU13QFCV</t>
  </si>
  <si>
    <t>F8Y4227NH3J10X2CY</t>
  </si>
  <si>
    <t>G710450485</t>
  </si>
  <si>
    <t>G9PHQDU0W1Z0000L4B</t>
  </si>
  <si>
    <t>G9QHM6P1L340000L4B</t>
  </si>
  <si>
    <t>G710015465</t>
  </si>
  <si>
    <t>ZP661-55307</t>
  </si>
  <si>
    <t>Silver, Wi-Fi, 256GB, iPad Pro 11-inch (M5), CI/AR, CN</t>
  </si>
  <si>
    <t>MWLMVWK3J1</t>
  </si>
  <si>
    <t>G709162881</t>
  </si>
  <si>
    <t>F8Y5493C2CF14LWCY</t>
  </si>
  <si>
    <t>F5D21527USK14LXAZ</t>
  </si>
  <si>
    <t>G707245585</t>
  </si>
  <si>
    <t>FHKJ5QQ6D7</t>
  </si>
  <si>
    <t>G706849797</t>
  </si>
  <si>
    <t>FNJHL2C0767000004D</t>
  </si>
  <si>
    <t>DTTHD4049JV000004D</t>
  </si>
  <si>
    <t>G706674023</t>
  </si>
  <si>
    <t>G0MHKC002DK00017C0</t>
  </si>
  <si>
    <t>FXLHNW011TN0001AH4</t>
  </si>
  <si>
    <t>G705807617</t>
  </si>
  <si>
    <t>GVH51710MYEPR5PAR</t>
  </si>
  <si>
    <t>GVH53720J5HPR5PA1</t>
  </si>
  <si>
    <t>G705181755</t>
  </si>
  <si>
    <t>C9JVDQ5561</t>
  </si>
  <si>
    <t>GVCHPY00HUJ0000MUZ</t>
  </si>
  <si>
    <t>G9PHLVZ495C0000MUY</t>
  </si>
  <si>
    <t>G703604699</t>
  </si>
  <si>
    <t>C0W2PJ243X</t>
  </si>
  <si>
    <t>G698451481</t>
  </si>
  <si>
    <t>661-27746</t>
  </si>
  <si>
    <t>Logic Board, 12-core CPU, 19-core GPU, 16GB, 1TB</t>
  </si>
  <si>
    <t>C023253003R1V8LAM</t>
  </si>
  <si>
    <t>C02312500EF1V8LA6</t>
  </si>
  <si>
    <t>G710004233</t>
  </si>
  <si>
    <t>H2DT70H9TL</t>
  </si>
  <si>
    <t>G691486366</t>
  </si>
  <si>
    <t>KDQG44ND23</t>
  </si>
  <si>
    <t>G708811929</t>
  </si>
  <si>
    <t>FM4H6H6M70</t>
  </si>
  <si>
    <t>G705334243</t>
  </si>
  <si>
    <t>L42XMWK509</t>
  </si>
  <si>
    <t>G704373671</t>
  </si>
  <si>
    <t>HXK44420ARN1N08FW</t>
  </si>
  <si>
    <t>HXK506306J21N08GY</t>
  </si>
  <si>
    <t>GMG549300S3NR8DBN</t>
  </si>
  <si>
    <t>FP1502202CL249YA7</t>
  </si>
  <si>
    <t>G704026403</t>
  </si>
  <si>
    <t>F0Y542100TV1J87A7</t>
  </si>
  <si>
    <t>FP1528200N725YVA7</t>
  </si>
  <si>
    <t>G702934983</t>
  </si>
  <si>
    <t>F0WHJB007GX0000488</t>
  </si>
  <si>
    <t>F0WH7B00B3100005KR</t>
  </si>
  <si>
    <t>G700730311</t>
  </si>
  <si>
    <t>JNHQNH762W</t>
  </si>
  <si>
    <t>G700558793</t>
  </si>
  <si>
    <t>CD7V7D4LYX</t>
  </si>
  <si>
    <t>G716600401</t>
  </si>
  <si>
    <t>F8Y5497C0TE13RHCK</t>
  </si>
  <si>
    <t>F8Y216403KU13RFBP</t>
  </si>
  <si>
    <t>G711887497</t>
  </si>
  <si>
    <t>F0Y542101B61J88A8</t>
  </si>
  <si>
    <t>GMG238407EN1J88AL</t>
  </si>
  <si>
    <t>G706577071</t>
  </si>
  <si>
    <t>CF9NJWN4LN</t>
  </si>
  <si>
    <t>G710467881</t>
  </si>
  <si>
    <t>L4NVL2Q24M</t>
  </si>
  <si>
    <t>G704228249</t>
  </si>
  <si>
    <t>HF07WP2CM2</t>
  </si>
  <si>
    <t>G700348613</t>
  </si>
  <si>
    <t>G9P5381CAR1PR5QAE</t>
  </si>
  <si>
    <t>GVH45152CRWPR5PAC</t>
  </si>
  <si>
    <t>G699963711</t>
  </si>
  <si>
    <t>G9NHPFR49KQ0000L4B</t>
  </si>
  <si>
    <t>G9NHM3R7VAJ0000L4B</t>
  </si>
  <si>
    <t>G714159577</t>
  </si>
  <si>
    <t>GH3HDV01S4900005DS</t>
  </si>
  <si>
    <t>GVCHB200FNY00005DS</t>
  </si>
  <si>
    <t>G707173023</t>
  </si>
  <si>
    <t>TA661-49966</t>
  </si>
  <si>
    <t>Black, 256GB, Logic Board Assy Mid System, iPhone 16e, ROW</t>
  </si>
  <si>
    <t>G4LPQMGG4Y</t>
  </si>
  <si>
    <t>G707137027</t>
  </si>
  <si>
    <t>FR24M6F3P2</t>
  </si>
  <si>
    <t>G704839023</t>
  </si>
  <si>
    <t>G9Q5177W6AD1502AG</t>
  </si>
  <si>
    <t>GVC43360B4Q1503A5</t>
  </si>
  <si>
    <t>G704837575</t>
  </si>
  <si>
    <t>GMG536600KSNR8DBT</t>
  </si>
  <si>
    <t>FP1244100EWP3WVB4</t>
  </si>
  <si>
    <t>G704614667</t>
  </si>
  <si>
    <t>GH3HPF00NUN0000MUZ</t>
  </si>
  <si>
    <t>G9NHLPP5EPM0000MUY</t>
  </si>
  <si>
    <t>GH3HPA01CJ40000MUZ</t>
  </si>
  <si>
    <t>G705983941</t>
  </si>
  <si>
    <t>LGVX34T0F4</t>
  </si>
  <si>
    <t>G704362601</t>
  </si>
  <si>
    <t>661-41755</t>
  </si>
  <si>
    <t>Logic Board, 10-core CPU, 10-core GPU, 16GB, 512GB</t>
  </si>
  <si>
    <t>FV9HKR000AH00003P0</t>
  </si>
  <si>
    <t>FV9HKH001K60000PC8</t>
  </si>
  <si>
    <t>G703383017</t>
  </si>
  <si>
    <t>GHVQ7G21R2</t>
  </si>
  <si>
    <t>G702768953</t>
  </si>
  <si>
    <t>DN8HJT08NCV00006S2</t>
  </si>
  <si>
    <t>F0WHG20026R000064R</t>
  </si>
  <si>
    <t>DN8HJT09Z2200006S2</t>
  </si>
  <si>
    <t>G704396231</t>
  </si>
  <si>
    <t>JX47YH7WYW</t>
  </si>
  <si>
    <t>G702350911</t>
  </si>
  <si>
    <t>C4L2QXH59C</t>
  </si>
  <si>
    <t>G701149195</t>
  </si>
  <si>
    <t>G9PHKQF2KGG00005DP</t>
  </si>
  <si>
    <t>GVCHAY01FM800005DQ</t>
  </si>
  <si>
    <t>G700020799</t>
  </si>
  <si>
    <t>TA661-45231</t>
  </si>
  <si>
    <t>128GB, Black, ROW, iPhone 16 Plus, Logic Board Assy Mid System</t>
  </si>
  <si>
    <t>G6GQJMGK3Y</t>
  </si>
  <si>
    <t>G699079707</t>
  </si>
  <si>
    <t>G9PHKMT08BC00005DP</t>
  </si>
  <si>
    <t>GVCHB202NUM00005DQ</t>
  </si>
  <si>
    <t>G698191987</t>
  </si>
  <si>
    <t>M3GF4LF4J9</t>
  </si>
  <si>
    <t>G715757845</t>
  </si>
  <si>
    <t>F8Y5271C58CQ687BB</t>
  </si>
  <si>
    <t>FG90483013JQ68C3J</t>
  </si>
  <si>
    <t>G711668653</t>
  </si>
  <si>
    <t>JNY0929Q09</t>
  </si>
  <si>
    <t>G711127023</t>
  </si>
  <si>
    <t>LK37DGW6T5</t>
  </si>
  <si>
    <t>G710468249</t>
  </si>
  <si>
    <t>C94XQFTXJR</t>
  </si>
  <si>
    <t>G710411099</t>
  </si>
  <si>
    <t>JNDCC74WYV</t>
  </si>
  <si>
    <t>G709894935</t>
  </si>
  <si>
    <t>MVQ30DPWG6</t>
  </si>
  <si>
    <t>G709507521</t>
  </si>
  <si>
    <t>D5QKPQ6NYV</t>
  </si>
  <si>
    <t>G708685485</t>
  </si>
  <si>
    <t>GX1HQC08WGF0000B31</t>
  </si>
  <si>
    <t>GX8HAA0G5L90000B31</t>
  </si>
  <si>
    <t>G708605603</t>
  </si>
  <si>
    <t>FMKJD627Y7</t>
  </si>
  <si>
    <t>G706447883</t>
  </si>
  <si>
    <t>DNL44210HBX1986BU</t>
  </si>
  <si>
    <t>DNL4095109B1986BD</t>
  </si>
  <si>
    <t>G706036299</t>
  </si>
  <si>
    <t>L02LVFNJL4</t>
  </si>
  <si>
    <t>C9NG701VJY</t>
  </si>
  <si>
    <t>G712525199</t>
  </si>
  <si>
    <t>LDJDX16HFQ</t>
  </si>
  <si>
    <t>G705731815</t>
  </si>
  <si>
    <t>C02HMG001L50000P0S</t>
  </si>
  <si>
    <t>C02HEG0086V0000P0R</t>
  </si>
  <si>
    <t>G702625297</t>
  </si>
  <si>
    <t>J3GV27TJPL</t>
  </si>
  <si>
    <t>G702472405</t>
  </si>
  <si>
    <t>MH3D9HHWXG</t>
  </si>
  <si>
    <t>G702389273</t>
  </si>
  <si>
    <t>MR6M6DG41F</t>
  </si>
  <si>
    <t>G701275705</t>
  </si>
  <si>
    <t>G9Q5182C1QYPR5QAV</t>
  </si>
  <si>
    <t>GVH50130PRGPR5PAR</t>
  </si>
  <si>
    <t>G714852483</t>
  </si>
  <si>
    <t>G9P4444M453PQCLAC</t>
  </si>
  <si>
    <t>G9N2193MJB3PQCLAA</t>
  </si>
  <si>
    <t>G713085805</t>
  </si>
  <si>
    <t>GVCHJY03AVT0000HU9</t>
  </si>
  <si>
    <t>GVCHKH00HDN0000HU9</t>
  </si>
  <si>
    <t>G712453237</t>
  </si>
  <si>
    <t>G52NVH62PP</t>
  </si>
  <si>
    <t>G711234867</t>
  </si>
  <si>
    <t>661-16575</t>
  </si>
  <si>
    <t>Display, Purple, iMac (24-in, M1, 2021)</t>
  </si>
  <si>
    <t>GHQ6116002U2FT9AC</t>
  </si>
  <si>
    <t>GHQ1513029Q167VAR</t>
  </si>
  <si>
    <t>G710339579</t>
  </si>
  <si>
    <t>FMXHJM000WB00006J3</t>
  </si>
  <si>
    <t>F0YHHB005RN00006J1</t>
  </si>
  <si>
    <t>G707485067</t>
  </si>
  <si>
    <t>HNXQV36YQ1HJ</t>
  </si>
  <si>
    <t>G706589793</t>
  </si>
  <si>
    <t>DNQ4TWCJHK</t>
  </si>
  <si>
    <t>G705706035</t>
  </si>
  <si>
    <t>TA661-55281</t>
  </si>
  <si>
    <t>Mist Blue, 256GB, iPhone 17, ROW, Taiwan, CI/AR</t>
  </si>
  <si>
    <t>MC747603NQ</t>
  </si>
  <si>
    <t>G705208109</t>
  </si>
  <si>
    <t>DFC9MDX1XC</t>
  </si>
  <si>
    <t>G704969447</t>
  </si>
  <si>
    <t>G9P5347MKLJPQCLA0</t>
  </si>
  <si>
    <t>G9N2072T2H0PQCLA1</t>
  </si>
  <si>
    <t>G703716503</t>
  </si>
  <si>
    <t>HVQ2T6PT9X</t>
  </si>
  <si>
    <t>G686462182</t>
  </si>
  <si>
    <t>F8Y5374C4JX13RHC1</t>
  </si>
  <si>
    <t>F5D14114FHK13RK9U</t>
  </si>
  <si>
    <t>G701069239</t>
  </si>
  <si>
    <t>G9PHLHT1EM100005DP</t>
  </si>
  <si>
    <t>GVCHDS008D900005DQ</t>
  </si>
  <si>
    <t>G9PHKXF2SPK00005DP</t>
  </si>
  <si>
    <t>G703009863</t>
  </si>
  <si>
    <t>GV3CHQR0CM</t>
  </si>
  <si>
    <t>G699980395</t>
  </si>
  <si>
    <t>GMG541300RV1J88AZ</t>
  </si>
  <si>
    <t>FP1528300DV25YVAB</t>
  </si>
  <si>
    <t>G699571163</t>
  </si>
  <si>
    <t>G9P5352MNJJPQCLA5</t>
  </si>
  <si>
    <t>G9L1385EMB1PQCLA0</t>
  </si>
  <si>
    <t>G683131830</t>
  </si>
  <si>
    <t>F8Y4363CH4G02JNB7</t>
  </si>
  <si>
    <t>F8Y0441888C02JN7H</t>
  </si>
  <si>
    <t>G699435083</t>
  </si>
  <si>
    <t>DPXQK9G9X9</t>
  </si>
  <si>
    <t>G698390771</t>
  </si>
  <si>
    <t>MWDJL7VC7W</t>
  </si>
  <si>
    <t>G696681580</t>
  </si>
  <si>
    <t>F8Y6156C7UP217WBN</t>
  </si>
  <si>
    <t>F5D251762KM21PK7U</t>
  </si>
  <si>
    <t>661-29370</t>
  </si>
  <si>
    <t>Display, iPhone 14 Pro</t>
  </si>
  <si>
    <t>G9P5074P87W14YCAV</t>
  </si>
  <si>
    <t>G9Q3017JES514YCAS</t>
  </si>
  <si>
    <t>G713955285</t>
  </si>
  <si>
    <t>HW4FR9341L</t>
  </si>
  <si>
    <t>J0XKM95FVF</t>
  </si>
  <si>
    <t>G713716267</t>
  </si>
  <si>
    <t>F8Y6157C7TM217WBS</t>
  </si>
  <si>
    <t>F8Y24230P5F217W7G</t>
  </si>
  <si>
    <t>G713065655</t>
  </si>
  <si>
    <t>H97HW7R6G5</t>
  </si>
  <si>
    <t>GT41C3YM7Y</t>
  </si>
  <si>
    <t>G694451742</t>
  </si>
  <si>
    <t>FNJ5491SDT1Q274AU</t>
  </si>
  <si>
    <t>GMH51270JGEQ189AZ</t>
  </si>
  <si>
    <t>G694451174</t>
  </si>
  <si>
    <t>F8Y6122C19H231LBU</t>
  </si>
  <si>
    <t>FG930330VQ722WL63</t>
  </si>
  <si>
    <t>G712114037</t>
  </si>
  <si>
    <t>JJYRF219QC</t>
  </si>
  <si>
    <t>M99D33Q745</t>
  </si>
  <si>
    <t>G711532179</t>
  </si>
  <si>
    <t>KJQLN27JPJ</t>
  </si>
  <si>
    <t>G711128141</t>
  </si>
  <si>
    <t>F8YHRND07JB00006TP</t>
  </si>
  <si>
    <t>F8YGYT305Y800006TR</t>
  </si>
  <si>
    <t>G710870289</t>
  </si>
  <si>
    <t>C02HLE0008M0000P0R</t>
  </si>
  <si>
    <t>C02HHL003UR0000KL4</t>
  </si>
  <si>
    <t>G710454771</t>
  </si>
  <si>
    <t>GH3HPY00K3X0000MUZ</t>
  </si>
  <si>
    <t>G9PHMSZ63JX0000MUY</t>
  </si>
  <si>
    <t>H0QK0MN71R</t>
  </si>
  <si>
    <t>G708986001</t>
  </si>
  <si>
    <t>HKGRG32EGWTJ</t>
  </si>
  <si>
    <t>G708509949</t>
  </si>
  <si>
    <t>FNJ5432S71XQ274AX</t>
  </si>
  <si>
    <t>FNJ5184F19QQ189AY</t>
  </si>
  <si>
    <t>G707621833</t>
  </si>
  <si>
    <t>KQXJ3PHCJX</t>
  </si>
  <si>
    <t>H6423MYGF9</t>
  </si>
  <si>
    <t>G706741351</t>
  </si>
  <si>
    <t>C9YF6X7Y4M</t>
  </si>
  <si>
    <t>HR7FN2GN9M</t>
  </si>
  <si>
    <t>G706297273</t>
  </si>
  <si>
    <t>F8Y5527CBH120J9B1</t>
  </si>
  <si>
    <t>F5D32224DK020J8AW</t>
  </si>
  <si>
    <t>G704472835</t>
  </si>
  <si>
    <t>D865386N1T3PJYRBT</t>
  </si>
  <si>
    <t>D864192A283PJYRBP</t>
  </si>
  <si>
    <t>G686403252</t>
  </si>
  <si>
    <t>F8Y5442C0WSM6YNDU</t>
  </si>
  <si>
    <t>F8Y031607KCM6YNBV</t>
  </si>
  <si>
    <t>G700482467</t>
  </si>
  <si>
    <t>F8Y5497C0NN20J9BQ</t>
  </si>
  <si>
    <t>F8Y23740YN220J92S</t>
  </si>
  <si>
    <t>G698995519</t>
  </si>
  <si>
    <t>F8Y5456C4N9217WBP</t>
  </si>
  <si>
    <t>F5D301341BB21PK77</t>
  </si>
  <si>
    <t>G698874433</t>
  </si>
  <si>
    <t>F8Y5433C7WXM6YNDJ</t>
  </si>
  <si>
    <t>FG9243504T6M6YRCV</t>
  </si>
  <si>
    <t>G715294803</t>
  </si>
  <si>
    <t>F18HRR0079U00014XQ</t>
  </si>
  <si>
    <t>FM7HKW00Q1F00014XQ</t>
  </si>
  <si>
    <t>G714038345</t>
  </si>
  <si>
    <t>F8Y5362N0DY10X2CU</t>
  </si>
  <si>
    <t>F8Y411405F010X2CX</t>
  </si>
  <si>
    <t>G713937367</t>
  </si>
  <si>
    <t>G7V4Q96H5H</t>
  </si>
  <si>
    <t>LRXNJK45XH</t>
  </si>
  <si>
    <t>G713500301</t>
  </si>
  <si>
    <t>661-42300</t>
  </si>
  <si>
    <t>Logic Board, 10-core CPU, 10-core GPU, 16GB, 1TB</t>
  </si>
  <si>
    <t>FV9HB60098V00003T3</t>
  </si>
  <si>
    <t>FV9HF500TED00003T3</t>
  </si>
  <si>
    <t>G712431645</t>
  </si>
  <si>
    <t>F8Y5457C62Z237KBX</t>
  </si>
  <si>
    <t>FQ131047TSB22HQ1F</t>
  </si>
  <si>
    <t>G711437445</t>
  </si>
  <si>
    <t>G9QHQ3R1L7S00004Y7</t>
  </si>
  <si>
    <t>J5VHAK00FGQ00004Y8</t>
  </si>
  <si>
    <t>G710297157</t>
  </si>
  <si>
    <t>DNL52220H0M1986B1</t>
  </si>
  <si>
    <t>DNL409510901986BQ</t>
  </si>
  <si>
    <t>G691488096</t>
  </si>
  <si>
    <t>F8Y5384A7RQ217XBV</t>
  </si>
  <si>
    <t>F8Y23621L6F217X72</t>
  </si>
  <si>
    <t>G708972077</t>
  </si>
  <si>
    <t>CVY9TPWL9N</t>
  </si>
  <si>
    <t>KJ5HX613H3</t>
  </si>
  <si>
    <t>G708859003</t>
  </si>
  <si>
    <t>J7M1WH7PG9</t>
  </si>
  <si>
    <t>G707599903</t>
  </si>
  <si>
    <t>F8Y6056CA9P18FKBS</t>
  </si>
  <si>
    <t>FG92076053Q18FM46</t>
  </si>
  <si>
    <t>G686201224</t>
  </si>
  <si>
    <t>DJX6H6D6HX</t>
  </si>
  <si>
    <t>MW3M4Q9Q1C</t>
  </si>
  <si>
    <t>G702730669</t>
  </si>
  <si>
    <t>F8Y5366CJ8414LWCC</t>
  </si>
  <si>
    <t>F5D1354AF8E14LX9W</t>
  </si>
  <si>
    <t>G702448551</t>
  </si>
  <si>
    <t>FG9HNR006XX00006TT</t>
  </si>
  <si>
    <t>FG9H0C0235Q00006TV</t>
  </si>
  <si>
    <t>G702038259</t>
  </si>
  <si>
    <t>FV9516302YX0W9FLZ</t>
  </si>
  <si>
    <t>FV9517702840W9GLN</t>
  </si>
  <si>
    <t>G700967043</t>
  </si>
  <si>
    <t>F8Y5445N0W813QFC8</t>
  </si>
  <si>
    <t>F8Y31850D7110X2BW</t>
  </si>
  <si>
    <t>G700225875</t>
  </si>
  <si>
    <t>G9PHJFS0F9E00005DR</t>
  </si>
  <si>
    <t>GH3HD7009YA00005DS</t>
  </si>
  <si>
    <t>G700074213</t>
  </si>
  <si>
    <t>GMGHLG00CQJ0000GVL</t>
  </si>
  <si>
    <t>GMGHFT003XK0000GVK</t>
  </si>
  <si>
    <t>G699855363</t>
  </si>
  <si>
    <t>F8Y5464C751217WBA</t>
  </si>
  <si>
    <t>F5D24429FED21PK7S</t>
  </si>
  <si>
    <t>G683112592</t>
  </si>
  <si>
    <t>GVH50220BB2PR5PAP</t>
  </si>
  <si>
    <t>G9Q5153F64NPR5QAR</t>
  </si>
  <si>
    <t>G699223271</t>
  </si>
  <si>
    <t>F0WHHZ00Z0U0000488</t>
  </si>
  <si>
    <t>F0WH77008ZP0000488</t>
  </si>
  <si>
    <t>DN8HAX01LE700005KQ</t>
  </si>
  <si>
    <t>G698308219</t>
  </si>
  <si>
    <t>KC2TW1GL7K</t>
  </si>
  <si>
    <t>G59WG721DQ</t>
  </si>
  <si>
    <t>G716156243</t>
  </si>
  <si>
    <t>F8Y6184CCX618FKB1</t>
  </si>
  <si>
    <t>F8Y40840CF218FLBT</t>
  </si>
  <si>
    <t>G715863573</t>
  </si>
  <si>
    <t>FG9620402KXN2YLB5</t>
  </si>
  <si>
    <t>F5D02925472N2YN4S</t>
  </si>
  <si>
    <t>G715302937</t>
  </si>
  <si>
    <t>F8Y6136C0CAM6YNDV</t>
  </si>
  <si>
    <t>FG90243146UM6YRB9</t>
  </si>
  <si>
    <t>G715302423</t>
  </si>
  <si>
    <t>F8Y6096C4ZKQ4C2BF</t>
  </si>
  <si>
    <t>F8Y04643KFJQ4C29B</t>
  </si>
  <si>
    <t>G714725429</t>
  </si>
  <si>
    <t>G9PHT9X237L0000MUY</t>
  </si>
  <si>
    <t>G9PHNGF1N2X0000MUY</t>
  </si>
  <si>
    <t>G714428737</t>
  </si>
  <si>
    <t>F8Y6024C4YJQ4C2B8</t>
  </si>
  <si>
    <t>F5D10512G88Q4C09H</t>
  </si>
  <si>
    <t>G714393949</t>
  </si>
  <si>
    <t>L2WNFQL9NR</t>
  </si>
  <si>
    <t>H2VVRX93CT</t>
  </si>
  <si>
    <t>G713819519</t>
  </si>
  <si>
    <t>ZP661-50232</t>
  </si>
  <si>
    <t>iPad (A16) Wi-Fi, 256GB, Yellow, CI/AR, CN</t>
  </si>
  <si>
    <t>F664L7VFPM</t>
  </si>
  <si>
    <t>G713628679</t>
  </si>
  <si>
    <t>F8Y6164C0ML18FKB1</t>
  </si>
  <si>
    <t>FG924030HTZ18FMAH</t>
  </si>
  <si>
    <t>G713039409</t>
  </si>
  <si>
    <t>FNJHNPE1CSD00006SX</t>
  </si>
  <si>
    <t>GMHHHE02J6E00006SX</t>
  </si>
  <si>
    <t>G712785017</t>
  </si>
  <si>
    <t>G9NHQ2H0Q2P0000L4B</t>
  </si>
  <si>
    <t>G9NHMAX5EY10000L4B</t>
  </si>
  <si>
    <t>G712698263</t>
  </si>
  <si>
    <t>L7GFH3FDQV</t>
  </si>
  <si>
    <t>FYR74PV37M</t>
  </si>
  <si>
    <t>G711456113</t>
  </si>
  <si>
    <t>F8Y6136C9X518FKBJ</t>
  </si>
  <si>
    <t>F8Y136117PU18FKAY</t>
  </si>
  <si>
    <t>G709662177</t>
  </si>
  <si>
    <t>ZP661-50236</t>
  </si>
  <si>
    <t>iPad (A16) Wi-Fi, 512GB, Yellow, CI/AR, CN</t>
  </si>
  <si>
    <t>G9KDWHF59W</t>
  </si>
  <si>
    <t>H3F9NVXL7X</t>
  </si>
  <si>
    <t>G709401357</t>
  </si>
  <si>
    <t>GN3HRZ0K0QW0000B2Z</t>
  </si>
  <si>
    <t>G708978983</t>
  </si>
  <si>
    <t>GN3HS20KY1A0000B31</t>
  </si>
  <si>
    <t>G707079393</t>
  </si>
  <si>
    <t>L69YYP6KHW</t>
  </si>
  <si>
    <t>GW97W259Y4</t>
  </si>
  <si>
    <t>G707037585</t>
  </si>
  <si>
    <t>G9PHKBG0GK900005DP</t>
  </si>
  <si>
    <t>GVCHA701BJS00005DQ</t>
  </si>
  <si>
    <t>G705719761</t>
  </si>
  <si>
    <t>FM7HPG006F600014QY</t>
  </si>
  <si>
    <t>G704392055</t>
  </si>
  <si>
    <t>F8Y5467C6LY20J9BP</t>
  </si>
  <si>
    <t>F8Y237505YT20J92X</t>
  </si>
  <si>
    <t>G703320451</t>
  </si>
  <si>
    <t>F0YHMB003960000GVK</t>
  </si>
  <si>
    <t>GMGHK9004LM0000GVL</t>
  </si>
  <si>
    <t>G699743677</t>
  </si>
  <si>
    <t>DTTHLQ02181000004D</t>
  </si>
  <si>
    <t>DTTHHF00D7T000004D</t>
  </si>
  <si>
    <t>G683250912</t>
  </si>
  <si>
    <t>G9PHNWU4C770000L4B</t>
  </si>
  <si>
    <t>F5DHLJ000NT0001619</t>
  </si>
  <si>
    <t>G699111647</t>
  </si>
  <si>
    <t>KY7V44Q190</t>
  </si>
  <si>
    <t>G698998005</t>
  </si>
  <si>
    <t>L7GQV0XF04</t>
  </si>
  <si>
    <t>KG1QRYY4NP</t>
  </si>
  <si>
    <t>G698389605</t>
  </si>
  <si>
    <t>GMHHH101HAT0000BXF</t>
  </si>
  <si>
    <t>GMHH8W040ZG0000BXF</t>
  </si>
  <si>
    <t>G714865589</t>
  </si>
  <si>
    <t>H7MMQ49325</t>
  </si>
  <si>
    <t>KL7KWM72LH</t>
  </si>
  <si>
    <t>G714826895</t>
  </si>
  <si>
    <t>G9PHMFT09H700005DP</t>
  </si>
  <si>
    <t>GVCHEB01KXY00005DQ</t>
  </si>
  <si>
    <t>G713754479</t>
  </si>
  <si>
    <t>F8Y6153C8HA20J9BR</t>
  </si>
  <si>
    <t>F8Y24060RKR20J923</t>
  </si>
  <si>
    <t>G713694529</t>
  </si>
  <si>
    <t>F8Y6051C03114LWCN</t>
  </si>
  <si>
    <t>F5D1496NAEA14LX94</t>
  </si>
  <si>
    <t>G712097851</t>
  </si>
  <si>
    <t>F8Y6132C6F518FKB5</t>
  </si>
  <si>
    <t>F8Y3475053Y18FLAA</t>
  </si>
  <si>
    <t>G710686619</t>
  </si>
  <si>
    <t>F8Y5501C2MUQ4C2B6</t>
  </si>
  <si>
    <t>F8Y12660RE6Q4C2AP</t>
  </si>
  <si>
    <t>G710678653</t>
  </si>
  <si>
    <t>HMQM9TFG2H</t>
  </si>
  <si>
    <t>C24L4WRGW3</t>
  </si>
  <si>
    <t>G710656783</t>
  </si>
  <si>
    <t>DN8HPE0BR4K0000JS5</t>
  </si>
  <si>
    <t>DN8HNF0EQQE0000RYQ</t>
  </si>
  <si>
    <t>G709957353</t>
  </si>
  <si>
    <t>GVCHQ601E0N0000MUZ</t>
  </si>
  <si>
    <t>GH3HK701K360000MUZ</t>
  </si>
  <si>
    <t>G709042965</t>
  </si>
  <si>
    <t>Display, Silver, MBA (13-in, M4, 2025)</t>
  </si>
  <si>
    <t>GMGHLK000YH0000GVL</t>
  </si>
  <si>
    <t>FP1HK20024D0000G29</t>
  </si>
  <si>
    <t>G706149813</t>
  </si>
  <si>
    <t>F8Y6053CL6018FKBH</t>
  </si>
  <si>
    <t>FG94117072618FMBE</t>
  </si>
  <si>
    <t>G705865349</t>
  </si>
  <si>
    <t>JRDQ25M7XH</t>
  </si>
  <si>
    <t>CFG75K9N6N</t>
  </si>
  <si>
    <t>G705445819</t>
  </si>
  <si>
    <t>F0Y542101GC1J87AN</t>
  </si>
  <si>
    <t>FP1506203RL25YTAS</t>
  </si>
  <si>
    <t>G705339595</t>
  </si>
  <si>
    <t>F8Y6046C03W237KB8</t>
  </si>
  <si>
    <t>F8Y239717AW237K3W</t>
  </si>
  <si>
    <t>G705130159</t>
  </si>
  <si>
    <t>F8Y5527C5X2Q687BS</t>
  </si>
  <si>
    <t>F8Y201221EHQ687AK</t>
  </si>
  <si>
    <t>G704872995</t>
  </si>
  <si>
    <t>G9Q6035U33H21KHAH</t>
  </si>
  <si>
    <t>GVH452122721PHLA4</t>
  </si>
  <si>
    <t>G704001797</t>
  </si>
  <si>
    <t>FG9HP4005Q500006TT</t>
  </si>
  <si>
    <t>F5DGZP01PC200006TS</t>
  </si>
  <si>
    <t>G703509945</t>
  </si>
  <si>
    <t>F8Y5445N21813QFCR</t>
  </si>
  <si>
    <t>F5D43350UWT10DLCR</t>
  </si>
  <si>
    <t>G703571989</t>
  </si>
  <si>
    <t>G703036379</t>
  </si>
  <si>
    <t>DN8HJY01PA80000JS5</t>
  </si>
  <si>
    <t>DNMHL901F2M0000RYP</t>
  </si>
  <si>
    <t>G702818767</t>
  </si>
  <si>
    <t>G9P5352M8LGPQCLAF</t>
  </si>
  <si>
    <t>G9Q2147Y8FYPQCLAP</t>
  </si>
  <si>
    <t>G700864707</t>
  </si>
  <si>
    <t>LTQ099JFQT</t>
  </si>
  <si>
    <t>G700719831</t>
  </si>
  <si>
    <t>J6THG6G4JP</t>
  </si>
  <si>
    <t>G700060627</t>
  </si>
  <si>
    <t>F8Y5445C7DH18FKBS</t>
  </si>
  <si>
    <t>FG920742EZH18FM4C</t>
  </si>
  <si>
    <t>G699854573</t>
  </si>
  <si>
    <t>F8Y5441C3CR13XCBT</t>
  </si>
  <si>
    <t>F8Y1457016Y13X88Q</t>
  </si>
  <si>
    <t>G683256578</t>
  </si>
  <si>
    <t>C025033007A2CR6A3</t>
  </si>
  <si>
    <t>C023442001B2CR3AP</t>
  </si>
  <si>
    <t>G716023751</t>
  </si>
  <si>
    <t>F8YHSFD0TWX00006TP</t>
  </si>
  <si>
    <t>F5DH2600TQG00006TQ</t>
  </si>
  <si>
    <t>G696894196</t>
  </si>
  <si>
    <t>C06441200YDPHRND4</t>
  </si>
  <si>
    <t>C06421301J4PHRNDM</t>
  </si>
  <si>
    <t>G715088075</t>
  </si>
  <si>
    <t>G9Q5173WHPG1502A1</t>
  </si>
  <si>
    <t>GVH513501XU1501AV</t>
  </si>
  <si>
    <t>G715075117</t>
  </si>
  <si>
    <t>G9P5363M02WPQCLAR</t>
  </si>
  <si>
    <t>G9P2254P3NTPQCLA5</t>
  </si>
  <si>
    <t>G712112009</t>
  </si>
  <si>
    <t>GVCHP70342H0000U6M</t>
  </si>
  <si>
    <t>GVCHPU00WAN0000U6M</t>
  </si>
  <si>
    <t>G711848563</t>
  </si>
  <si>
    <t>DNL53020E371986AH</t>
  </si>
  <si>
    <t>DNL401410AJ1986BU</t>
  </si>
  <si>
    <t>G711453397</t>
  </si>
  <si>
    <t>F8Y6184C11KJKGTCD</t>
  </si>
  <si>
    <t>FG9845117R7JWFG63</t>
  </si>
  <si>
    <t>DXY4215B38NJHYK42</t>
  </si>
  <si>
    <t>DXY844595FFJHYK43</t>
  </si>
  <si>
    <t>G710471919</t>
  </si>
  <si>
    <t>GVCHQ901LS40000U6M</t>
  </si>
  <si>
    <t>G9QHPYQ0DYX0000MTE</t>
  </si>
  <si>
    <t>G709412975</t>
  </si>
  <si>
    <t>G9P5372CG20PR5QAC</t>
  </si>
  <si>
    <t>GVH533702W7PR5PAT</t>
  </si>
  <si>
    <t>G9P5311CJ82PR5QA9</t>
  </si>
  <si>
    <t>G709179905</t>
  </si>
  <si>
    <t>FG9HP7003DL00006TT</t>
  </si>
  <si>
    <t>FG9GYT0066700006TV</t>
  </si>
  <si>
    <t>G708933517</t>
  </si>
  <si>
    <t>CFF7MJ7G9L</t>
  </si>
  <si>
    <t>HY6PYQTR4X</t>
  </si>
  <si>
    <t>G708385277</t>
  </si>
  <si>
    <t>GMGHMK003QV0000GVL</t>
  </si>
  <si>
    <t>FP1HGT006BV0000G2A</t>
  </si>
  <si>
    <t>G708207467</t>
  </si>
  <si>
    <t>H40NW2H37N</t>
  </si>
  <si>
    <t>KV02J5JP6Q</t>
  </si>
  <si>
    <t>G708195951</t>
  </si>
  <si>
    <t>F0WHJQ0260W0000JS7</t>
  </si>
  <si>
    <t>FNJHMJV1KSZ0000QTV</t>
  </si>
  <si>
    <t>DN8HJW0B9PW0000JS5</t>
  </si>
  <si>
    <t>DN8HNT05T2Y0000RYQ</t>
  </si>
  <si>
    <t>GMHHMD02V8D0000QSK</t>
  </si>
  <si>
    <t>DTTHN3020180000QTV</t>
  </si>
  <si>
    <t>CDJVX16V0W</t>
  </si>
  <si>
    <t>G705444611</t>
  </si>
  <si>
    <t>G9P5347MP6NPQCLA0</t>
  </si>
  <si>
    <t>G9Q2292Y9QQPQCLAS</t>
  </si>
  <si>
    <t>G705250311</t>
  </si>
  <si>
    <t>DFD6XDG4G5</t>
  </si>
  <si>
    <t>J3NHYPGJ25</t>
  </si>
  <si>
    <t>G705232087</t>
  </si>
  <si>
    <t>G9P5265LJ4TPQCKA7</t>
  </si>
  <si>
    <t>G9N1387ZDEZPQCKA9</t>
  </si>
  <si>
    <t>G704898495</t>
  </si>
  <si>
    <t>F8Y5464C1B0217WBZ</t>
  </si>
  <si>
    <t>F5D2404AKAL21PK70</t>
  </si>
  <si>
    <t>G703975357</t>
  </si>
  <si>
    <t>CW9JK2C9H6</t>
  </si>
  <si>
    <t>F6VYK0PVXM</t>
  </si>
  <si>
    <t>G703518873</t>
  </si>
  <si>
    <t>C02HE40061T0000KL4</t>
  </si>
  <si>
    <t>C02HGT00D540000KL3</t>
  </si>
  <si>
    <t>G702639297</t>
  </si>
  <si>
    <t>GMGHLB007X10000GVL</t>
  </si>
  <si>
    <t>FP1HCC005BH0000G29</t>
  </si>
  <si>
    <t>G700598291</t>
  </si>
  <si>
    <t>DNMHG0019FX000048L</t>
  </si>
  <si>
    <t>GCFHGH0BWRU00005LT</t>
  </si>
  <si>
    <t>G698879019</t>
  </si>
  <si>
    <t>DQL9CW2W5J</t>
  </si>
  <si>
    <t>LVXDKXDTYT</t>
  </si>
  <si>
    <t>G716101945</t>
  </si>
  <si>
    <t>G9P5163L4KDPQCKAT</t>
  </si>
  <si>
    <t>G9P2061WC42PQCKAP</t>
  </si>
  <si>
    <t>G715457541</t>
  </si>
  <si>
    <t>F8Y6176C8UC14LWCJ</t>
  </si>
  <si>
    <t>F8Y136113G914LW8S</t>
  </si>
  <si>
    <t>G695140546</t>
  </si>
  <si>
    <t>F8Y5223C0YFQ4C2BH</t>
  </si>
  <si>
    <t>F5D0521AW5PQ4C09E</t>
  </si>
  <si>
    <t>G694454364</t>
  </si>
  <si>
    <t>G9PHLUT1S6R00005DP</t>
  </si>
  <si>
    <t>G9PHJ4F0GR600005DP</t>
  </si>
  <si>
    <t>G710958129</t>
  </si>
  <si>
    <t>F8Y6125C67218FKBY</t>
  </si>
  <si>
    <t>FG920240AKA18FM4J</t>
  </si>
  <si>
    <t>G710585561</t>
  </si>
  <si>
    <t>F8Y6055C38Q18FKB2</t>
  </si>
  <si>
    <t>FG940520JU918FMBJ</t>
  </si>
  <si>
    <t>G709179393</t>
  </si>
  <si>
    <t>FMXHMH0004S00006J3</t>
  </si>
  <si>
    <t>F0YHH9002XJ00006J1</t>
  </si>
  <si>
    <t>G708936455</t>
  </si>
  <si>
    <t>HPMJ2MK2QM</t>
  </si>
  <si>
    <t>FVMVG492RF</t>
  </si>
  <si>
    <t>G708617997</t>
  </si>
  <si>
    <t>GDXNJ623MV</t>
  </si>
  <si>
    <t>KJRHJ64KLG</t>
  </si>
  <si>
    <t>G708274863</t>
  </si>
  <si>
    <t>F8Y6054C7CA18FKB1</t>
  </si>
  <si>
    <t>FG94126017Y18FMBB</t>
  </si>
  <si>
    <t>G706000419</t>
  </si>
  <si>
    <t>F8Y6051C2A1M6YND8</t>
  </si>
  <si>
    <t>FG930850EX7M6YRCS</t>
  </si>
  <si>
    <t>G705837429</t>
  </si>
  <si>
    <t>F0WHJQ03JYH0000JS7</t>
  </si>
  <si>
    <t>DN8HMK0HR280000RYQ</t>
  </si>
  <si>
    <t>G705826273</t>
  </si>
  <si>
    <t>FV950660MDL0W9GLB</t>
  </si>
  <si>
    <t>J33538401SZ0W9GPA</t>
  </si>
  <si>
    <t>G703891289</t>
  </si>
  <si>
    <t>LKXCQ6RJP4</t>
  </si>
  <si>
    <t>G703489225</t>
  </si>
  <si>
    <t>HM9W5XF94P</t>
  </si>
  <si>
    <t>G703336927</t>
  </si>
  <si>
    <t>G74PQX26J3</t>
  </si>
  <si>
    <t>G703113489</t>
  </si>
  <si>
    <t>G9P5322QH471PHRA8</t>
  </si>
  <si>
    <t>G9N3374S89W1PHRAX</t>
  </si>
  <si>
    <t>FG9HNR005J100006TT</t>
  </si>
  <si>
    <t>F5DGYV027U000006TU</t>
  </si>
  <si>
    <t>G702633229</t>
  </si>
  <si>
    <t>F8Y5473C12K217WB5</t>
  </si>
  <si>
    <t>F8Y23671R7R217W7E</t>
  </si>
  <si>
    <t>G701643791</t>
  </si>
  <si>
    <t>PA661-02206</t>
  </si>
  <si>
    <t>Power Adapter, 143W, Blue, APAC</t>
  </si>
  <si>
    <t>C4H414300AA2DGKAD</t>
  </si>
  <si>
    <t>C4H135504SQ13VMBL</t>
  </si>
  <si>
    <t>G701640761</t>
  </si>
  <si>
    <t>C43VYXH92W</t>
  </si>
  <si>
    <t>KGY233Y3PD</t>
  </si>
  <si>
    <t>G700975861</t>
  </si>
  <si>
    <t>C023126000M1TY4AM</t>
  </si>
  <si>
    <t>C02301400M11TY4AJ</t>
  </si>
  <si>
    <t>G700691001</t>
  </si>
  <si>
    <t>GMHHFX01Q5C00007BV</t>
  </si>
  <si>
    <t>GMHH8702PGB00007BV</t>
  </si>
  <si>
    <t>G700179839</t>
  </si>
  <si>
    <t>F8Y5473C0FN217WBY</t>
  </si>
  <si>
    <t>F5D246257MU21PK74</t>
  </si>
  <si>
    <t>G700090553</t>
  </si>
  <si>
    <t>G9Q5395ULML21KHAT</t>
  </si>
  <si>
    <t>G9Q4407U1CN21KHAW</t>
  </si>
  <si>
    <t>G683102840</t>
  </si>
  <si>
    <t>G9NHPAK0L110000L4B</t>
  </si>
  <si>
    <t>G9QHLQP3VVS0000L4B</t>
  </si>
  <si>
    <t>G716542561</t>
  </si>
  <si>
    <t>GVCHS801G230000U6M</t>
  </si>
  <si>
    <t>GVCHM100VRV0000U6M</t>
  </si>
  <si>
    <t>G715092159</t>
  </si>
  <si>
    <t>F8Y6173C5QD18FKBS</t>
  </si>
  <si>
    <t>FG9242104SR18FMA3</t>
  </si>
  <si>
    <t>G712700315</t>
  </si>
  <si>
    <t>F8Y5527C03TQ687BN</t>
  </si>
  <si>
    <t>FG904124S18Q6893N</t>
  </si>
  <si>
    <t>661-18503</t>
  </si>
  <si>
    <t>Display, iPhone 12</t>
  </si>
  <si>
    <t>G9P0527MKMXLQHKAY</t>
  </si>
  <si>
    <t>GH303740DU0LQHLAU</t>
  </si>
  <si>
    <t>G712237767</t>
  </si>
  <si>
    <t>F8Y6156C15L18FKBF</t>
  </si>
  <si>
    <t>FG9404702B418FMBL</t>
  </si>
  <si>
    <t>G711893205</t>
  </si>
  <si>
    <t>DNL53020N6P1986AJ</t>
  </si>
  <si>
    <t>DNL402506C21986BX</t>
  </si>
  <si>
    <t>G711663505</t>
  </si>
  <si>
    <t>G9PHLET02YV00005DP</t>
  </si>
  <si>
    <t>GVCHD30082500005DQ</t>
  </si>
  <si>
    <t>G711571013</t>
  </si>
  <si>
    <t>FV9529601C70W9FL3</t>
  </si>
  <si>
    <t>FV9514307WR0W9FLC</t>
  </si>
  <si>
    <t>G710876205</t>
  </si>
  <si>
    <t>GMHHMY01K110000M4H</t>
  </si>
  <si>
    <t>FNJHJPV1CY80000M4H</t>
  </si>
  <si>
    <t>G710291255</t>
  </si>
  <si>
    <t>F8Y5515C7L518FKBR</t>
  </si>
  <si>
    <t>FG94054003J18FMBY</t>
  </si>
  <si>
    <t>G710009493</t>
  </si>
  <si>
    <t>G9P5284C0R4PR5QAK</t>
  </si>
  <si>
    <t>G709517987</t>
  </si>
  <si>
    <t>F8Y5455C4K613XCBH</t>
  </si>
  <si>
    <t>F8Y14970SPP13XC89</t>
  </si>
  <si>
    <t>G708982099</t>
  </si>
  <si>
    <t>K0CYDV4FNK</t>
  </si>
  <si>
    <t>C5FVPDXC7D</t>
  </si>
  <si>
    <t>G707645315</t>
  </si>
  <si>
    <t>DF4M046K77</t>
  </si>
  <si>
    <t>L2TLXVHYRQ</t>
  </si>
  <si>
    <t>G705247361</t>
  </si>
  <si>
    <t>G9P5351M75QPQCLAL</t>
  </si>
  <si>
    <t>G9P5352MAJEPQCLAM</t>
  </si>
  <si>
    <t>G704708671</t>
  </si>
  <si>
    <t>F8Y5475C82613RHC0</t>
  </si>
  <si>
    <t>F5D231104QT13RJAJ</t>
  </si>
  <si>
    <t>G704577073</t>
  </si>
  <si>
    <t>G9PHPSU2ZK00000L4B</t>
  </si>
  <si>
    <t>G9NHLZH46PD0000L4B</t>
  </si>
  <si>
    <t>G704237623</t>
  </si>
  <si>
    <t>JMT2436TWL</t>
  </si>
  <si>
    <t>KPY66J2HV2</t>
  </si>
  <si>
    <t>G704079951</t>
  </si>
  <si>
    <t>F3FQW7YWL6</t>
  </si>
  <si>
    <t>GRT2X1K6CN</t>
  </si>
  <si>
    <t>G703456107</t>
  </si>
  <si>
    <t>CGQ475KWDK</t>
  </si>
  <si>
    <t>G686478340</t>
  </si>
  <si>
    <t>KGHXDY9LQQ</t>
  </si>
  <si>
    <t>H76QJH4CL9</t>
  </si>
  <si>
    <t>G702242743</t>
  </si>
  <si>
    <t>D865433N6761LP9CW</t>
  </si>
  <si>
    <t>F5D30853DXF1LPF64</t>
  </si>
  <si>
    <t>G701322955</t>
  </si>
  <si>
    <t>F8Y5514C0HG231LB6</t>
  </si>
  <si>
    <t>FG9241705M122WL69</t>
  </si>
  <si>
    <t>G700080107</t>
  </si>
  <si>
    <t>GVCHND01HD70000MUZ</t>
  </si>
  <si>
    <t>G9PHLSV1VE50000MUY</t>
  </si>
  <si>
    <t>G716711493</t>
  </si>
  <si>
    <t>F8Y6183CBD718FKBN</t>
  </si>
  <si>
    <t>FG942230AP118FMBM</t>
  </si>
  <si>
    <t>G697269536</t>
  </si>
  <si>
    <t>F8Y6177C4D4231LB6</t>
  </si>
  <si>
    <t>FG9409603F622WLBJ</t>
  </si>
  <si>
    <t>G714745581</t>
  </si>
  <si>
    <t>DN8HQ604D260000JS5</t>
  </si>
  <si>
    <t>DNMHP9013WK0000RYP</t>
  </si>
  <si>
    <t>G714431743</t>
  </si>
  <si>
    <t>KG46Y41W2Y</t>
  </si>
  <si>
    <t>JYH2X99WQW</t>
  </si>
  <si>
    <t>G714179337</t>
  </si>
  <si>
    <t>Space Gray, Top Case, ANSI, MBP (13-in, M2, 2022)</t>
  </si>
  <si>
    <t>F5D5245N179KGGJFG</t>
  </si>
  <si>
    <t>D862197A6ZTL3L2EV</t>
  </si>
  <si>
    <t>G713072769</t>
  </si>
  <si>
    <t>KQXF0629H6</t>
  </si>
  <si>
    <t>K25RV2YF4K</t>
  </si>
  <si>
    <t>G713057263</t>
  </si>
  <si>
    <t>F8Y6175C0F3M6YNDG</t>
  </si>
  <si>
    <t>F8Y22341N7HM6YNBZ</t>
  </si>
  <si>
    <t>G712199355</t>
  </si>
  <si>
    <t>G9P5445QH7J1PHPAE</t>
  </si>
  <si>
    <t>GVC334630JH1PHQAJ</t>
  </si>
  <si>
    <t>G711972007</t>
  </si>
  <si>
    <t>H9703FW369</t>
  </si>
  <si>
    <t>CLXY1W6WWG</t>
  </si>
  <si>
    <t>G711214749</t>
  </si>
  <si>
    <t>F8Y6132C1AR18FKB5</t>
  </si>
  <si>
    <t>F8Y347305CY18FLAK</t>
  </si>
  <si>
    <t>G710885749</t>
  </si>
  <si>
    <t>FMX602503QBNTJJAP</t>
  </si>
  <si>
    <t>DCN129400T4NTJGAP</t>
  </si>
  <si>
    <t>G710110249</t>
  </si>
  <si>
    <t>L0WVXQ5H2X</t>
  </si>
  <si>
    <t>G708272697</t>
  </si>
  <si>
    <t>G9PHJBS00E200005DR</t>
  </si>
  <si>
    <t>GH3H870198600005DS</t>
  </si>
  <si>
    <t>G707375253</t>
  </si>
  <si>
    <t>661-41791</t>
  </si>
  <si>
    <t>FV9HCA004NX0000DXD</t>
  </si>
  <si>
    <t>FV9HH60006N0000NU2</t>
  </si>
  <si>
    <t>G707258197</t>
  </si>
  <si>
    <t>DNL51940X531986B2</t>
  </si>
  <si>
    <t>DNL40240E0W1986BY</t>
  </si>
  <si>
    <t>G707065457</t>
  </si>
  <si>
    <t>FG9HP8000TK00006TT</t>
  </si>
  <si>
    <t>FG9H0F003CD00006TV</t>
  </si>
  <si>
    <t>G704489543</t>
  </si>
  <si>
    <t>GMG5492014CNR8DBB</t>
  </si>
  <si>
    <t>FP143760022249XA5</t>
  </si>
  <si>
    <t>G704454397</t>
  </si>
  <si>
    <t>F8Y6011C1M220J9B9</t>
  </si>
  <si>
    <t>F8Y24260Q7420J92M</t>
  </si>
  <si>
    <t>G704026721</t>
  </si>
  <si>
    <t>F8Y5474C0YP18FKBW</t>
  </si>
  <si>
    <t>F8Y337404MZ18FLAS</t>
  </si>
  <si>
    <t>G702721549</t>
  </si>
  <si>
    <t>PA661-33203</t>
  </si>
  <si>
    <t>Volt Yellow, Beats Fit Pro Left, CI/AR, PAC</t>
  </si>
  <si>
    <t>H2DQC0AU1YV1</t>
  </si>
  <si>
    <t>H2CL21HM1YV1</t>
  </si>
  <si>
    <t>PA661-33204</t>
  </si>
  <si>
    <t>Volt Yellow, Beats Fit Pro Right, CI/AR, PAC</t>
  </si>
  <si>
    <t>H2DQC0611YV0</t>
  </si>
  <si>
    <t>H2DL20WZ1YV0</t>
  </si>
  <si>
    <t>G702708971</t>
  </si>
  <si>
    <t>F8Y5527C8WKQ687B9</t>
  </si>
  <si>
    <t>FG905270MLYQ6893H</t>
  </si>
  <si>
    <t>G700198405</t>
  </si>
  <si>
    <t>HH07GXHM34</t>
  </si>
  <si>
    <t>G699143943</t>
  </si>
  <si>
    <t>F0WHB900ACQ000064R</t>
  </si>
  <si>
    <t>DN8H8902SJ300006S2</t>
  </si>
  <si>
    <t>G698308067</t>
  </si>
  <si>
    <t>G9P5252CDH5PR5QA6</t>
  </si>
  <si>
    <t>G9Q4266D9S9PR5QA5</t>
  </si>
  <si>
    <t>G715890147</t>
  </si>
  <si>
    <t>F8Y5503C0TV13RHC0</t>
  </si>
  <si>
    <t>F5D1366C2D913RJ9M</t>
  </si>
  <si>
    <t>G713742973</t>
  </si>
  <si>
    <t>G9P5322QNPB1PHRAA</t>
  </si>
  <si>
    <t>GH334151UR61PHTA3</t>
  </si>
  <si>
    <t>G713367227</t>
  </si>
  <si>
    <t>F8Y5473C79314LWCL</t>
  </si>
  <si>
    <t>F5D13564ABM14LX91</t>
  </si>
  <si>
    <t>G712210719</t>
  </si>
  <si>
    <t>HJR9CDXDW6</t>
  </si>
  <si>
    <t>G711891829</t>
  </si>
  <si>
    <t>F8Y6066C3MG13XCBZ</t>
  </si>
  <si>
    <t>F8Y20311MTA13XC83</t>
  </si>
  <si>
    <t>G711316139</t>
  </si>
  <si>
    <t>661-41646</t>
  </si>
  <si>
    <t>English, ANSI, White, Magic Keyboard for iPad Pro 11-inch (M4)</t>
  </si>
  <si>
    <t>YXHT9HXHC9</t>
  </si>
  <si>
    <t>QXD7NVW754</t>
  </si>
  <si>
    <t>G711131161</t>
  </si>
  <si>
    <t>K446729QRP</t>
  </si>
  <si>
    <t>CM7433MP32</t>
  </si>
  <si>
    <t>G710580639</t>
  </si>
  <si>
    <t>F8Y6055CCTS18FKB2</t>
  </si>
  <si>
    <t>F8Y32520VXY18FLAF</t>
  </si>
  <si>
    <t>G710430383</t>
  </si>
  <si>
    <t>F8Y6122C1DG217WBR</t>
  </si>
  <si>
    <t>F5D24349T4121PK7P</t>
  </si>
  <si>
    <t>G709722855</t>
  </si>
  <si>
    <t>C02251401Q51TY4A2</t>
  </si>
  <si>
    <t>C02249402UF1TY4AQ</t>
  </si>
  <si>
    <t>G709398685</t>
  </si>
  <si>
    <t>G9PHKDG1T8G00005DP</t>
  </si>
  <si>
    <t>GVCHEB01M2B00005DQ</t>
  </si>
  <si>
    <t>G690025134</t>
  </si>
  <si>
    <t>GH3HQJ01DD10000MUZ</t>
  </si>
  <si>
    <t>GH3HPX01AJE0000MUZ</t>
  </si>
  <si>
    <t>G706591695</t>
  </si>
  <si>
    <t>GH3HQ100NNX0000MUZ</t>
  </si>
  <si>
    <t>GH3HLJ02WJJ0000MUZ</t>
  </si>
  <si>
    <t>G705438907</t>
  </si>
  <si>
    <t>F8Y5507CC7818FKBP</t>
  </si>
  <si>
    <t>FG94136063T18FMBL</t>
  </si>
  <si>
    <t>G703773095</t>
  </si>
  <si>
    <t>GMGHMJ004RY0000GVL</t>
  </si>
  <si>
    <t>FP1HME002AM0000G2A</t>
  </si>
  <si>
    <t>G703125989</t>
  </si>
  <si>
    <t>GMGHLE005AS0000GVL</t>
  </si>
  <si>
    <t>FP1HDD002240000G29</t>
  </si>
  <si>
    <t>G701684589</t>
  </si>
  <si>
    <t>DNMHG302120000048L</t>
  </si>
  <si>
    <t>DNMHD301XBV000048L</t>
  </si>
  <si>
    <t>G701269437</t>
  </si>
  <si>
    <t>TA661-44057</t>
  </si>
  <si>
    <t>256GB, Pink, ROW, iPhone 16 Plus, CI/AR</t>
  </si>
  <si>
    <t>K63T44MQGF</t>
  </si>
  <si>
    <t>K7TNX94T39</t>
  </si>
  <si>
    <t>G701056805</t>
  </si>
  <si>
    <t>G9P5347MMEWPQCLA4</t>
  </si>
  <si>
    <t>G9N1346TAKBPQCLAF</t>
  </si>
  <si>
    <t>G700836553</t>
  </si>
  <si>
    <t>G9Q4364UPQN21KHAS</t>
  </si>
  <si>
    <t>G9Q4264NNR721KHAQ</t>
  </si>
  <si>
    <t>G699877435</t>
  </si>
  <si>
    <t>H327N6V43P</t>
  </si>
  <si>
    <t>G683251222</t>
  </si>
  <si>
    <t>GH3HP8018K30000MUZ</t>
  </si>
  <si>
    <t>G9NHLJZ4RVY0000MUY</t>
  </si>
  <si>
    <t>G698993499</t>
  </si>
  <si>
    <t>F0WHFS032L30000488</t>
  </si>
  <si>
    <t>F0WHB1001S900005KR</t>
  </si>
  <si>
    <t>G715736911</t>
  </si>
  <si>
    <t>FNJH7WB017900006SX</t>
  </si>
  <si>
    <t>FNJHG6X146U00006SX</t>
  </si>
  <si>
    <t>G694512072</t>
  </si>
  <si>
    <t>F8Y6096C9RN13RHCA</t>
  </si>
  <si>
    <t>F8Y14320FXA13RFB4</t>
  </si>
  <si>
    <t>G711304779</t>
  </si>
  <si>
    <t>KX99TW3C3W</t>
  </si>
  <si>
    <t>DVQF6V9D45</t>
  </si>
  <si>
    <t>G709997701</t>
  </si>
  <si>
    <t>GVH51640GKXPR5PAJ</t>
  </si>
  <si>
    <t>GVH508200LGPR5PA9</t>
  </si>
  <si>
    <t>G709838129</t>
  </si>
  <si>
    <t>FMXHQ3008E500006J3</t>
  </si>
  <si>
    <t>FP1HB2008450000FQX</t>
  </si>
  <si>
    <t>G709750683</t>
  </si>
  <si>
    <t>923-10350</t>
  </si>
  <si>
    <t>Speakers with Antenna, Left and Right, MBA (13-in, M3, 2024)</t>
  </si>
  <si>
    <t>DTV506313TM2DPNA1</t>
  </si>
  <si>
    <t>G709527123</t>
  </si>
  <si>
    <t>FNJHGGE0L1C0000882</t>
  </si>
  <si>
    <t>GMHHE2038X60000882</t>
  </si>
  <si>
    <t>G708265713</t>
  </si>
  <si>
    <t>F8Y5455C5RK13XCBK</t>
  </si>
  <si>
    <t>F5D14110P2T13X99T</t>
  </si>
  <si>
    <t>G707721665</t>
  </si>
  <si>
    <t>C4H4143007F2DGKAH</t>
  </si>
  <si>
    <t>C4H1397043C13VMBK</t>
  </si>
  <si>
    <t>G707477829</t>
  </si>
  <si>
    <t>661-42722</t>
  </si>
  <si>
    <t>Black Titanium, Back Glass, iPhone 16 Pro</t>
  </si>
  <si>
    <t>HKYHK0009LP0000TXC</t>
  </si>
  <si>
    <t>DRCHE700EFQ0000TXC</t>
  </si>
  <si>
    <t>G707473259</t>
  </si>
  <si>
    <t>FG9HP7003D000006TT</t>
  </si>
  <si>
    <t>F5DH0502HRP00006TS</t>
  </si>
  <si>
    <t>G707278433</t>
  </si>
  <si>
    <t>F8Y6056C3NQ18FKBT</t>
  </si>
  <si>
    <t>FG94167083G18FNBJ</t>
  </si>
  <si>
    <t>G705452717</t>
  </si>
  <si>
    <t>CXM9KJH9L5</t>
  </si>
  <si>
    <t>DXNWYVG3X3</t>
  </si>
  <si>
    <t>G704635123</t>
  </si>
  <si>
    <t>F8Y5425C11K18FKB4</t>
  </si>
  <si>
    <t>FG9415301G618FMB4</t>
  </si>
  <si>
    <t>G701699101</t>
  </si>
  <si>
    <t>F8Y5437C229Q4C2B0</t>
  </si>
  <si>
    <t>F5D104659BUQ4929R</t>
  </si>
  <si>
    <t>G700501439</t>
  </si>
  <si>
    <t>DN83345HM391CDK2M</t>
  </si>
  <si>
    <t>DN82411Y6541CDK25</t>
  </si>
  <si>
    <t>F8Y5467C61420J9B6</t>
  </si>
  <si>
    <t>F5D2384253920J791</t>
  </si>
  <si>
    <t>G700103333</t>
  </si>
  <si>
    <t>MR40G4YDXD</t>
  </si>
  <si>
    <t>G699464533</t>
  </si>
  <si>
    <t>F8Y5475C53B18FKBM</t>
  </si>
  <si>
    <t>FG922621LQ618FMAY</t>
  </si>
  <si>
    <t>G699123797</t>
  </si>
  <si>
    <t>F0Y415100JQ2525AY</t>
  </si>
  <si>
    <t>G698266657</t>
  </si>
  <si>
    <t>F8Y5034C1MAM6YND7</t>
  </si>
  <si>
    <t>F8Y152302JEM6YMBX</t>
  </si>
  <si>
    <t>G698265407</t>
  </si>
  <si>
    <t>GGFV9FH711</t>
  </si>
  <si>
    <t>KVCQCL96C1</t>
  </si>
  <si>
    <t>G715870525</t>
  </si>
  <si>
    <t>661-42720</t>
  </si>
  <si>
    <t>Battery, iPhone 16 Pro</t>
  </si>
  <si>
    <t>F8YHN7A048N0000RZ2</t>
  </si>
  <si>
    <t>F8YH8FA07Y80000RZ2</t>
  </si>
  <si>
    <t>G713639869</t>
  </si>
  <si>
    <t>F8Y6162C06K18FKBF</t>
  </si>
  <si>
    <t>FG913871L4K18FN5G</t>
  </si>
  <si>
    <t>G713178985</t>
  </si>
  <si>
    <t>F8Y5501C1G5Q4C2BB</t>
  </si>
  <si>
    <t>F5D10360DAZQ4C09W</t>
  </si>
  <si>
    <t>G712647061</t>
  </si>
  <si>
    <t>F8Y6125C67918FKBR</t>
  </si>
  <si>
    <t>F8Y215102BY18FLA5</t>
  </si>
  <si>
    <t>G694016908</t>
  </si>
  <si>
    <t>FNJHBSC0W5T0000BXF</t>
  </si>
  <si>
    <t>FNJHEHA0CET0000BXF</t>
  </si>
  <si>
    <t>661-44961</t>
  </si>
  <si>
    <t>Natural Titanium, Back Glass, iPhone 16 Pro Max</t>
  </si>
  <si>
    <t>DRCHLU000JY0000U65</t>
  </si>
  <si>
    <t>DRCHFG0046V0000U65</t>
  </si>
  <si>
    <t>G711984829</t>
  </si>
  <si>
    <t>F8Y6066C3MT13XCBN</t>
  </si>
  <si>
    <t>F8Y14761DAX13XC8P</t>
  </si>
  <si>
    <t>G711655435</t>
  </si>
  <si>
    <t>CVXYYPG64T</t>
  </si>
  <si>
    <t>G709203513</t>
  </si>
  <si>
    <t>C02HD9001QC0000F6W</t>
  </si>
  <si>
    <t>HXKHBS00060000059L</t>
  </si>
  <si>
    <t>G708952439</t>
  </si>
  <si>
    <t>F8Y5516CCPH13RHC6</t>
  </si>
  <si>
    <t>F8Y04215P4YQ6882S</t>
  </si>
  <si>
    <t>G688663118</t>
  </si>
  <si>
    <t>F0YHNJ004GD0000UJX</t>
  </si>
  <si>
    <t>FP1HMY0055N0000UJW</t>
  </si>
  <si>
    <t>G705304419</t>
  </si>
  <si>
    <t>C7VPQ25WFJ</t>
  </si>
  <si>
    <t>G705133151</t>
  </si>
  <si>
    <t>F8Y5506CDCB18FKB5</t>
  </si>
  <si>
    <t>FG9149301XD18FM41</t>
  </si>
  <si>
    <t>G703887469</t>
  </si>
  <si>
    <t>F8Y5442C23KM6YNDC</t>
  </si>
  <si>
    <t>F8Y94416T5AM6YP7E</t>
  </si>
  <si>
    <t>G703746683</t>
  </si>
  <si>
    <t>DNMHNP01U8U0000QTE</t>
  </si>
  <si>
    <t>GCFHNL0GX5R0000QT9</t>
  </si>
  <si>
    <t>G703321153</t>
  </si>
  <si>
    <t>661-27717</t>
  </si>
  <si>
    <t>Logic Board, 12-core CPU, 30-core GPU, 32GB, 2TB</t>
  </si>
  <si>
    <t>C023493000D1M7VAW</t>
  </si>
  <si>
    <t>C023075004Y1M7PAD</t>
  </si>
  <si>
    <t>DCN410603K02526A1</t>
  </si>
  <si>
    <t>FMX3015047EPP5CAS</t>
  </si>
  <si>
    <t>G703223749</t>
  </si>
  <si>
    <t>F8Y5507C5VM18FKBK</t>
  </si>
  <si>
    <t>FG9336507U918FMAS</t>
  </si>
  <si>
    <t>G700964085</t>
  </si>
  <si>
    <t>KC2Q59D3Y2</t>
  </si>
  <si>
    <t>LN9X9TW26M</t>
  </si>
  <si>
    <t>G700201833</t>
  </si>
  <si>
    <t>F5D542603PX1KLFBZ</t>
  </si>
  <si>
    <t>F5D212760HZ1KLF8L</t>
  </si>
  <si>
    <t>G715287669</t>
  </si>
  <si>
    <t>661-32189</t>
  </si>
  <si>
    <t>Top Case, Space Gray, ANSI, MBP (16-in, 2023)</t>
  </si>
  <si>
    <t>F8Y6176N0VA0J9TBP</t>
  </si>
  <si>
    <t>F5D3092057MQ1LWBG</t>
  </si>
  <si>
    <t>G714965721</t>
  </si>
  <si>
    <t>FMXHRR0015300006J3</t>
  </si>
  <si>
    <t>FP1HJ6000440000FQX</t>
  </si>
  <si>
    <t>G711768687</t>
  </si>
  <si>
    <t>FK1HAZ004CD00001A2</t>
  </si>
  <si>
    <t>DTTHLY00FKG000004D</t>
  </si>
  <si>
    <t>DTTHJP016KH000004D</t>
  </si>
  <si>
    <t>G711454005</t>
  </si>
  <si>
    <t>F8Y6101C4KU13XCBE</t>
  </si>
  <si>
    <t>F5D21364HB813XDAV</t>
  </si>
  <si>
    <t>G710466807</t>
  </si>
  <si>
    <t>GX1HS20NY3Z0000B2Z</t>
  </si>
  <si>
    <t>G709292765</t>
  </si>
  <si>
    <t>F8Y6052C1P018FKBL</t>
  </si>
  <si>
    <t>F8Y14760GGB18FKAM</t>
  </si>
  <si>
    <t>G709181027</t>
  </si>
  <si>
    <t>H7JHN509VLB0000UHZ</t>
  </si>
  <si>
    <t>G708617733</t>
  </si>
  <si>
    <t>G9Q6031U0QX21KHAF</t>
  </si>
  <si>
    <t>G9Q5232T1F721KHA0</t>
  </si>
  <si>
    <t>G9Q6035U9GN21KHA1</t>
  </si>
  <si>
    <t>G706119917</t>
  </si>
  <si>
    <t>F8Y6056C89818FKB9</t>
  </si>
  <si>
    <t>FG915021E6E18FM4J</t>
  </si>
  <si>
    <t>G688656190</t>
  </si>
  <si>
    <t>F8YHNVC037Q00006U0</t>
  </si>
  <si>
    <t>F8YGYQ00FX700006U0</t>
  </si>
  <si>
    <t>G705018907</t>
  </si>
  <si>
    <t>GWWX2N4GJV</t>
  </si>
  <si>
    <t>H7VL2C0XDK</t>
  </si>
  <si>
    <t>G704343881</t>
  </si>
  <si>
    <t>G9Q5164PDK0PR5QA1</t>
  </si>
  <si>
    <t>G9Q5141PF4NPR5QAX</t>
  </si>
  <si>
    <t>G702477129</t>
  </si>
  <si>
    <t>LC96L71540</t>
  </si>
  <si>
    <t>KFHGMQ0GQQ</t>
  </si>
  <si>
    <t>G702350505</t>
  </si>
  <si>
    <t>F8Y5501C0CL13XCBC</t>
  </si>
  <si>
    <t>F5D152749ZR13XD9S</t>
  </si>
  <si>
    <t>G699451267</t>
  </si>
  <si>
    <t>F8Y5471C1EJ20J9BV</t>
  </si>
  <si>
    <t>F8Y233417ZG20J92D</t>
  </si>
  <si>
    <t>G698392045</t>
  </si>
  <si>
    <t>661-44959</t>
  </si>
  <si>
    <t>White Titanium, Back Glass, iPhone 16 Pro Max</t>
  </si>
  <si>
    <t>J0MHJL00BVU0000U63</t>
  </si>
  <si>
    <t>J0MHEW0040A0000U63</t>
  </si>
  <si>
    <t>G715004247</t>
  </si>
  <si>
    <t>G9P5472CFG0PR5QA4</t>
  </si>
  <si>
    <t>G9Q3257HD3WPR5QA8</t>
  </si>
  <si>
    <t>F8Y6173C8Q118FKB1</t>
  </si>
  <si>
    <t>FG9328307WB18FMAF</t>
  </si>
  <si>
    <t>G711875007</t>
  </si>
  <si>
    <t>F8Y6125C6XG18FKBE</t>
  </si>
  <si>
    <t>FG941930H2S18FMBY</t>
  </si>
  <si>
    <t>G710999819</t>
  </si>
  <si>
    <t>F8Y6045C4NS18FKBU</t>
  </si>
  <si>
    <t>FG9232408C718FMAP</t>
  </si>
  <si>
    <t>G710557153</t>
  </si>
  <si>
    <t>DCF7P47W7D</t>
  </si>
  <si>
    <t>G708710511</t>
  </si>
  <si>
    <t>F8YHQ0H059T0000UMJ</t>
  </si>
  <si>
    <t>F8YH8DH1FY90000UMK</t>
  </si>
  <si>
    <t>G708608207</t>
  </si>
  <si>
    <t>GVH53250LAVPR5PAJ</t>
  </si>
  <si>
    <t>GVH51170SY2PR5PAA</t>
  </si>
  <si>
    <t>G706945105</t>
  </si>
  <si>
    <t>F0Y542101DN1J88AL</t>
  </si>
  <si>
    <t>F0Y511401KU1J88AZ</t>
  </si>
  <si>
    <t>G706809837</t>
  </si>
  <si>
    <t>FNJHJHJ1H8P0000QTV</t>
  </si>
  <si>
    <t>GMHHJ90257A0000QSK</t>
  </si>
  <si>
    <t>FNJHLUL06V00000QSK</t>
  </si>
  <si>
    <t>G706459509</t>
  </si>
  <si>
    <t>FG9HPX005X600006TT</t>
  </si>
  <si>
    <t>FG9GZ20154C00006TV</t>
  </si>
  <si>
    <t>G704973773</t>
  </si>
  <si>
    <t>F8Y5506CDCR18FKBR</t>
  </si>
  <si>
    <t>FG9234511J618FMA3</t>
  </si>
  <si>
    <t>G704137321</t>
  </si>
  <si>
    <t>LXHDXFH362</t>
  </si>
  <si>
    <t>JJCXG6GHG9</t>
  </si>
  <si>
    <t>G700480867</t>
  </si>
  <si>
    <t>F8Y5515C9QL13XCBU</t>
  </si>
  <si>
    <t>F5D1472HNUD13X99W</t>
  </si>
  <si>
    <t>G699683509</t>
  </si>
  <si>
    <t>F8Y5373C47UQ4C2BR</t>
  </si>
  <si>
    <t>F8Y048206HGQ4C29R</t>
  </si>
  <si>
    <t>G698405191</t>
  </si>
  <si>
    <t>MMVKT475DP</t>
  </si>
  <si>
    <t>CC4DVQK0VC</t>
  </si>
  <si>
    <t>G716102059</t>
  </si>
  <si>
    <t>F8Y6172C0ZF18FKB3</t>
  </si>
  <si>
    <t>FG92116168A18FM4J</t>
  </si>
  <si>
    <t>G715914249</t>
  </si>
  <si>
    <t>FG9HSD003AN00006TT</t>
  </si>
  <si>
    <t>F5DGYM015VV00006TU</t>
  </si>
  <si>
    <t>G715308385</t>
  </si>
  <si>
    <t>GVCHRQ02AV70000U6M</t>
  </si>
  <si>
    <t>GVCHRL00ET00000U6M</t>
  </si>
  <si>
    <t>G715084795</t>
  </si>
  <si>
    <t>F8Y6162C0YH217WBQ</t>
  </si>
  <si>
    <t>F5D31545BBA21PKA6</t>
  </si>
  <si>
    <t>G713867603</t>
  </si>
  <si>
    <t>G67VL4K5WD</t>
  </si>
  <si>
    <t>G9V217VTHK</t>
  </si>
  <si>
    <t>G713709343</t>
  </si>
  <si>
    <t>G9NHFEQ1FGF00005DR</t>
  </si>
  <si>
    <t>GH3HFX012YF00005DS</t>
  </si>
  <si>
    <t>G713614809</t>
  </si>
  <si>
    <t>GH3HRJ00LEW0000MUZ</t>
  </si>
  <si>
    <t>G9NHM5N869V0000MUY</t>
  </si>
  <si>
    <t>D5FHK77JYW</t>
  </si>
  <si>
    <t>LG39FVNXHP</t>
  </si>
  <si>
    <t>G713491151</t>
  </si>
  <si>
    <t>PP661-29408</t>
  </si>
  <si>
    <t>Midnight, iPhone 14 Plus, 256GB, ROW, CI/AR, Philippines</t>
  </si>
  <si>
    <t>CX21HD9N0G</t>
  </si>
  <si>
    <t>LXDLCC6VV5</t>
  </si>
  <si>
    <t>G713184375</t>
  </si>
  <si>
    <t>F8Y6157C3TF18FKBK</t>
  </si>
  <si>
    <t>F8Y3373079318FLAN</t>
  </si>
  <si>
    <t>G711455395</t>
  </si>
  <si>
    <t>FMX548202YHNTJHAD</t>
  </si>
  <si>
    <t>FMX21730FV6NTJJAZ</t>
  </si>
  <si>
    <t>G710961321</t>
  </si>
  <si>
    <t>M7KFH69577</t>
  </si>
  <si>
    <t>D22JQT9WLH</t>
  </si>
  <si>
    <t>G710086979</t>
  </si>
  <si>
    <t>661-56127</t>
  </si>
  <si>
    <t>Camera, iPhone 17 Pro</t>
  </si>
  <si>
    <t>DN8HQQ062T10000RYQ</t>
  </si>
  <si>
    <t>DNMHLE04J0Q0000RYP</t>
  </si>
  <si>
    <t>G709976999</t>
  </si>
  <si>
    <t>G9P5323MHNLPQCLA4</t>
  </si>
  <si>
    <t>G9N2142UCR3PQCLA3</t>
  </si>
  <si>
    <t>G708386245</t>
  </si>
  <si>
    <t>DN8HPY040HE0000RYQ</t>
  </si>
  <si>
    <t>DNMHKF04LRJ0000RYP</t>
  </si>
  <si>
    <t>G706467321</t>
  </si>
  <si>
    <t>F8Y6053CMKU18FKBH</t>
  </si>
  <si>
    <t>FG932360K9R18FMAW</t>
  </si>
  <si>
    <t>G705613773</t>
  </si>
  <si>
    <t>F8Y5455C5YT13XCBQ</t>
  </si>
  <si>
    <t>F8Y20550AHH13X880</t>
  </si>
  <si>
    <t>G704022179</t>
  </si>
  <si>
    <t>F8Y5442C2K0M6YNDH</t>
  </si>
  <si>
    <t>FG924030RYAM6YRC0</t>
  </si>
  <si>
    <t>G703618433</t>
  </si>
  <si>
    <t>F0Y5432004S1J87A7</t>
  </si>
  <si>
    <t>F0Y507500E91J87AH</t>
  </si>
  <si>
    <t>G703132751</t>
  </si>
  <si>
    <t>F8Y5507C0DJ18FKB7</t>
  </si>
  <si>
    <t>F8Y14751DZK18FKAX</t>
  </si>
  <si>
    <t>G702269061</t>
  </si>
  <si>
    <t>H97R42VGJKM9</t>
  </si>
  <si>
    <t>G701328047</t>
  </si>
  <si>
    <t>F8YHNVC02ME00006U0</t>
  </si>
  <si>
    <t>F8YHJHC00FR00006U0</t>
  </si>
  <si>
    <t>G700204081</t>
  </si>
  <si>
    <t>GMGHMP003L60000HX1</t>
  </si>
  <si>
    <t>FP1HJY000HD0000HX0</t>
  </si>
  <si>
    <t>G700172041</t>
  </si>
  <si>
    <t>661-36976</t>
  </si>
  <si>
    <t>Logic Board, 12-core CPU, 18-core GPU, 18GB, 512GB</t>
  </si>
  <si>
    <t>C02GZF000Q50000H5Z</t>
  </si>
  <si>
    <t>FV9H4C003280000H6R</t>
  </si>
  <si>
    <t>G699453897</t>
  </si>
  <si>
    <t>G9P5043N43V14YDAQ</t>
  </si>
  <si>
    <t>G9N2506R5D414YDAP</t>
  </si>
  <si>
    <t>G698650249</t>
  </si>
  <si>
    <t>GVH51940AUQPR5PAV</t>
  </si>
  <si>
    <t>G9Q5022F795PR5QA3</t>
  </si>
  <si>
    <t>G698581223</t>
  </si>
  <si>
    <t>F8Y5457C2A8217WBT</t>
  </si>
  <si>
    <t>F8Y24632199217W7E</t>
  </si>
  <si>
    <t>G715632347</t>
  </si>
  <si>
    <t>Display, Space Gray, MBA (M2, 2022)</t>
  </si>
  <si>
    <t>GMG535501AN1J88A3</t>
  </si>
  <si>
    <t>GMG5026000F1J87AK</t>
  </si>
  <si>
    <t>G715116143</t>
  </si>
  <si>
    <t>661-58335</t>
  </si>
  <si>
    <t>Display, Citrus, MacBook Neo</t>
  </si>
  <si>
    <t>FP1HSG009L600013N7</t>
  </si>
  <si>
    <t>G714038117</t>
  </si>
  <si>
    <t>F8Y6163C11T18FKBL</t>
  </si>
  <si>
    <t>FG9345103G818FMA5</t>
  </si>
  <si>
    <t>G712786901</t>
  </si>
  <si>
    <t>F8Y5291C69M13RHC0</t>
  </si>
  <si>
    <t>F8Y209601VM13RFBS</t>
  </si>
  <si>
    <t>G712432479</t>
  </si>
  <si>
    <t>JF4Y776562</t>
  </si>
  <si>
    <t>J407NW7HVC</t>
  </si>
  <si>
    <t>G710321859</t>
  </si>
  <si>
    <t>HY7HP801J190000UHY</t>
  </si>
  <si>
    <t>G710231619</t>
  </si>
  <si>
    <t>C23FC94CKG</t>
  </si>
  <si>
    <t>LQQ2YG9NGY</t>
  </si>
  <si>
    <t>G709664823</t>
  </si>
  <si>
    <t>GMHHH102Y3G0000BXF</t>
  </si>
  <si>
    <t>FNJH9VC17R20000BXF</t>
  </si>
  <si>
    <t>G709523373</t>
  </si>
  <si>
    <t>F8Y6042C7LE217WBV</t>
  </si>
  <si>
    <t>F5D2415D09921PK7L</t>
  </si>
  <si>
    <t>G9P5267PKQ814YCAM</t>
  </si>
  <si>
    <t>G9P2416TGJ414YCAP</t>
  </si>
  <si>
    <t>G705927503</t>
  </si>
  <si>
    <t>F8Y6062N04Z13QFCR</t>
  </si>
  <si>
    <t>F5D51250BN913QGDH</t>
  </si>
  <si>
    <t>G701752785</t>
  </si>
  <si>
    <t>FV9H7G008340000H6E</t>
  </si>
  <si>
    <t>C02H0B005SV0000H76</t>
  </si>
  <si>
    <t>G701447469</t>
  </si>
  <si>
    <t>C27JNHQ42K</t>
  </si>
  <si>
    <t>K9KVDFL479</t>
  </si>
  <si>
    <t>G700968075</t>
  </si>
  <si>
    <t>G9PHL2T01JS00005DP</t>
  </si>
  <si>
    <t>GVCHAP051QU00005DQ</t>
  </si>
  <si>
    <t>G700010673</t>
  </si>
  <si>
    <t>MGT2YGXY02</t>
  </si>
  <si>
    <t>G1903C6FN0</t>
  </si>
  <si>
    <t>G698876473</t>
  </si>
  <si>
    <t>FG9HNL005MT00006TT</t>
  </si>
  <si>
    <t>FG9H0801C0B00006TV</t>
  </si>
  <si>
    <t>G698527577</t>
  </si>
  <si>
    <t>G9Q5175E4681502AH</t>
  </si>
  <si>
    <t>GVC43540FBX1503A3</t>
  </si>
  <si>
    <t>G698443317</t>
  </si>
  <si>
    <t>FMX528500A9NTJJAK</t>
  </si>
  <si>
    <t>F0Y147101PYNTJFA4</t>
  </si>
  <si>
    <t>G695781784</t>
  </si>
  <si>
    <t>G9Q5252B748MRY1AY</t>
  </si>
  <si>
    <t>G9N1065KBFXMRY1AS</t>
  </si>
  <si>
    <t>G714516679</t>
  </si>
  <si>
    <t>DNMHMQ03XC20000QTE</t>
  </si>
  <si>
    <t>GCFHRF0BL9C0000QT9</t>
  </si>
  <si>
    <t>GMHHPC03ZY50000M4H</t>
  </si>
  <si>
    <t>GMHHQ402CZC0000M4H</t>
  </si>
  <si>
    <t>G713605337</t>
  </si>
  <si>
    <t>K44LM2TCP9</t>
  </si>
  <si>
    <t>KFJY3K4J0K</t>
  </si>
  <si>
    <t>G695048460</t>
  </si>
  <si>
    <t>CRWFP9QJ5G</t>
  </si>
  <si>
    <t>MC73CWW6TN</t>
  </si>
  <si>
    <t>G713069223</t>
  </si>
  <si>
    <t>J9HC0V9LX7</t>
  </si>
  <si>
    <t>LQXWMVPXQT</t>
  </si>
  <si>
    <t>G711201375</t>
  </si>
  <si>
    <t>F8Y6117C9RL217WB9</t>
  </si>
  <si>
    <t>F5D305114KF21PK79</t>
  </si>
  <si>
    <t>G710658321</t>
  </si>
  <si>
    <t>F8YHKR00GNM0001510</t>
  </si>
  <si>
    <t>F8YHNQ007EN0001510</t>
  </si>
  <si>
    <t>G708368607</t>
  </si>
  <si>
    <t>D865507N0FRPJYRBV</t>
  </si>
  <si>
    <t>D862087AAG4PJYRAY</t>
  </si>
  <si>
    <t>G704342973</t>
  </si>
  <si>
    <t>F8Y5474C4KA18FKBA</t>
  </si>
  <si>
    <t>FG931570CJG18FMAD</t>
  </si>
  <si>
    <t>G704130217</t>
  </si>
  <si>
    <t>G9P5351MGD7PQCLA4</t>
  </si>
  <si>
    <t>G9P3247M49EPQCLAR</t>
  </si>
  <si>
    <t>G703746903</t>
  </si>
  <si>
    <t>GH3HPR01KF50000MUZ</t>
  </si>
  <si>
    <t>GVCHM00099V0000MUZ</t>
  </si>
  <si>
    <t>G703521167</t>
  </si>
  <si>
    <t>F8Y5445N1PV13QFC7</t>
  </si>
  <si>
    <t>F5D43451GUX10DLCZ</t>
  </si>
  <si>
    <t>G702624289</t>
  </si>
  <si>
    <t>F8Y5496C3WE13XCBY</t>
  </si>
  <si>
    <t>F5D1475J56L13X99Y</t>
  </si>
  <si>
    <t>G702443835</t>
  </si>
  <si>
    <t>K70NQG9950</t>
  </si>
  <si>
    <t>G701780901</t>
  </si>
  <si>
    <t>661-50199</t>
  </si>
  <si>
    <t>ANSI, White, Magic Keyboard for iPad Air 13-inch (M3),</t>
  </si>
  <si>
    <t>FF6CJWF0W1</t>
  </si>
  <si>
    <t>G700189195</t>
  </si>
  <si>
    <t>GMGHM3005560000HX2</t>
  </si>
  <si>
    <t>FP1HKF000F10000HX0</t>
  </si>
  <si>
    <t>G699862927</t>
  </si>
  <si>
    <t>DJ69NQ20F6</t>
  </si>
  <si>
    <t>G699074725</t>
  </si>
  <si>
    <t>GVH53810F3MPR5PA4</t>
  </si>
  <si>
    <t>GVH45261AK4PR5PAP</t>
  </si>
  <si>
    <t>G716310961</t>
  </si>
  <si>
    <t>F8Y6153CAVU20J9B3</t>
  </si>
  <si>
    <t>F8Y24252EVE20JC2F</t>
  </si>
  <si>
    <t>G716290455</t>
  </si>
  <si>
    <t>G9PHRQT2EH500005DP</t>
  </si>
  <si>
    <t>GVCHG800MMQ00005DQ</t>
  </si>
  <si>
    <t>G715747387</t>
  </si>
  <si>
    <t>GVCHQ803KZP0000U6M</t>
  </si>
  <si>
    <t>GVCHQF03KQS0000U6M</t>
  </si>
  <si>
    <t>G713365703</t>
  </si>
  <si>
    <t>F8Y6162C2RJ18FKBR</t>
  </si>
  <si>
    <t>F8Y41340AGR18FLBH</t>
  </si>
  <si>
    <t>G713284011</t>
  </si>
  <si>
    <t>661-56049</t>
  </si>
  <si>
    <t>Battery, pSIM, iPhone 17 Pro Max</t>
  </si>
  <si>
    <t>FG9HL501A6U00015XX</t>
  </si>
  <si>
    <t>FQ1HLY0121R00015XW</t>
  </si>
  <si>
    <t>G712344825</t>
  </si>
  <si>
    <t>GCFHF10EWSS00005LT</t>
  </si>
  <si>
    <t>GCFHGC02Q1N00005LT</t>
  </si>
  <si>
    <t>G693918066</t>
  </si>
  <si>
    <t>F493FYFXP5</t>
  </si>
  <si>
    <t>J5R44F9J0J</t>
  </si>
  <si>
    <t>G712255913</t>
  </si>
  <si>
    <t>F0YHMJ003VN0000GVK</t>
  </si>
  <si>
    <t>GMGHKB006040000GVL</t>
  </si>
  <si>
    <t>G711781239</t>
  </si>
  <si>
    <t>F8Y6121C26DM6YNDG</t>
  </si>
  <si>
    <t>FG9249703JWM6YRCD</t>
  </si>
  <si>
    <t>G711514431</t>
  </si>
  <si>
    <t>F0Y5414016F1J88AE</t>
  </si>
  <si>
    <t>FP1240700761J8CAN</t>
  </si>
  <si>
    <t>G710580053</t>
  </si>
  <si>
    <t>GN1HS20NGGY0000B32</t>
  </si>
  <si>
    <t>G709275833</t>
  </si>
  <si>
    <t>GVCHQ102EAZ0000MUZ</t>
  </si>
  <si>
    <t>GH3HMT01N8X0000MUZ</t>
  </si>
  <si>
    <t>G707597865</t>
  </si>
  <si>
    <t>661-34634</t>
  </si>
  <si>
    <t>C06HK8000XS00000SR</t>
  </si>
  <si>
    <t>C06GTK00YJY00000SR</t>
  </si>
  <si>
    <t>G707272813</t>
  </si>
  <si>
    <t>F8Y5516CJVV13RHC4</t>
  </si>
  <si>
    <t>F5D20466FQB13RJ9X</t>
  </si>
  <si>
    <t>G706333293</t>
  </si>
  <si>
    <t>F8Y5455C6D813XCBX</t>
  </si>
  <si>
    <t>F5D13226QC713XD8U</t>
  </si>
  <si>
    <t>G704249581</t>
  </si>
  <si>
    <t>F8Y5433CBDHM6YNDB</t>
  </si>
  <si>
    <t>F8Y121434WYM6YNB4</t>
  </si>
  <si>
    <t>G704087221</t>
  </si>
  <si>
    <t>661-41797</t>
  </si>
  <si>
    <t>Logic Board, 12-core CPU, 16-core GPU, 24GB, 2TB</t>
  </si>
  <si>
    <t>FV9HK1000H60000HEW</t>
  </si>
  <si>
    <t>FV9HBM00GZP0000HEY</t>
  </si>
  <si>
    <t>G702632063</t>
  </si>
  <si>
    <t>GVCHPY007350000MUZ</t>
  </si>
  <si>
    <t>GH3HNW00DP60000MUZ</t>
  </si>
  <si>
    <t>G702041775</t>
  </si>
  <si>
    <t>G9PHJRS088500005DR</t>
  </si>
  <si>
    <t>GH3HBA015Z000005DS</t>
  </si>
  <si>
    <t>G702040879</t>
  </si>
  <si>
    <t>GVH53820V93PR5PAP</t>
  </si>
  <si>
    <t>GVH50320GARPR5PAV</t>
  </si>
  <si>
    <t>G701068609</t>
  </si>
  <si>
    <t>JJC2NXQVL2</t>
  </si>
  <si>
    <t>C23VFY9D7J</t>
  </si>
  <si>
    <t>G700691627</t>
  </si>
  <si>
    <t>MR7XVTDYXF</t>
  </si>
  <si>
    <t>C7J31VVNHG</t>
  </si>
  <si>
    <t>G700618597</t>
  </si>
  <si>
    <t>FG9HNR006JP00006TT</t>
  </si>
  <si>
    <t>FG9H0400Y4W00006TV</t>
  </si>
  <si>
    <t>G700348143</t>
  </si>
  <si>
    <t>G9P5352M639PQCLA7</t>
  </si>
  <si>
    <t>G9P3243MMPXPQCLAM</t>
  </si>
  <si>
    <t>G698700259</t>
  </si>
  <si>
    <t>GVCHJT03HR00000U6M</t>
  </si>
  <si>
    <t>G9PHNQW2CF70000MTE</t>
  </si>
  <si>
    <t>G715558849</t>
  </si>
  <si>
    <t>GH3HRS01ZF00000MUZ</t>
  </si>
  <si>
    <t>G9NHKHP51R70000MUY</t>
  </si>
  <si>
    <t>G715531985</t>
  </si>
  <si>
    <t>G9P5264MMD0PQCLA1</t>
  </si>
  <si>
    <t>G9P2135T4AYPQCLAV</t>
  </si>
  <si>
    <t>G714988213</t>
  </si>
  <si>
    <t>G9P5362MFHEPQCLAG</t>
  </si>
  <si>
    <t>G9P2271N1JGPQCLAW</t>
  </si>
  <si>
    <t>G713745619</t>
  </si>
  <si>
    <t>G9QHQUR1G7T00004Y7</t>
  </si>
  <si>
    <t>G9QHMFR0BRM00004Y7</t>
  </si>
  <si>
    <t>G711230307</t>
  </si>
  <si>
    <t>GH3HR501NJP0000MUZ</t>
  </si>
  <si>
    <t>GH3HP302S4N0000MUZ</t>
  </si>
  <si>
    <t>G710669637</t>
  </si>
  <si>
    <t>F8Y6042C2UW20J9BH</t>
  </si>
  <si>
    <t>F5D2403J58P20J89F</t>
  </si>
  <si>
    <t>G704511943</t>
  </si>
  <si>
    <t>F8Y5501C1WH13XCBU</t>
  </si>
  <si>
    <t>F8Y134614F913X88K</t>
  </si>
  <si>
    <t>G704495331</t>
  </si>
  <si>
    <t>JT66J4GQ75</t>
  </si>
  <si>
    <t>GWYGJXRFQ0</t>
  </si>
  <si>
    <t>G702629555</t>
  </si>
  <si>
    <t>F8Y5462C2JS18FKB4</t>
  </si>
  <si>
    <t>F8Y14820F7C18FKAF</t>
  </si>
  <si>
    <t>G700219127</t>
  </si>
  <si>
    <t>FG9HM5001KK0000R3T</t>
  </si>
  <si>
    <t>FG9HCY00ARN0000R3U</t>
  </si>
  <si>
    <t>G699853447</t>
  </si>
  <si>
    <t>FMX548104TXNTJHAD</t>
  </si>
  <si>
    <t>DCN106504L2NTJFAK</t>
  </si>
  <si>
    <t>G682429286</t>
  </si>
  <si>
    <t>GVH53240541PR5PAC</t>
  </si>
  <si>
    <t>G9Q5115CCMHPR5QAS</t>
  </si>
  <si>
    <t>G698403949</t>
  </si>
  <si>
    <t>F0YHJC001WF00006J1</t>
  </si>
  <si>
    <t>FP1HDG001PN0000FQX</t>
  </si>
  <si>
    <t>G714998993</t>
  </si>
  <si>
    <t>F8Y6153C6HT20J9BA</t>
  </si>
  <si>
    <t>F5D23841PC920J89S</t>
  </si>
  <si>
    <t>DN84504ALW11CDK9R</t>
  </si>
  <si>
    <t>DN82397E5BW1CDK2M</t>
  </si>
  <si>
    <t>G695583132</t>
  </si>
  <si>
    <t>GQP5FW27FT</t>
  </si>
  <si>
    <t>G5G4KW03XK</t>
  </si>
  <si>
    <t>G713629261</t>
  </si>
  <si>
    <t>F8YHRND09C400006TP</t>
  </si>
  <si>
    <t>F8YH1G00YFQ00006TP</t>
  </si>
  <si>
    <t>G713178171</t>
  </si>
  <si>
    <t>K7RMY3F3PN</t>
  </si>
  <si>
    <t>G713153001</t>
  </si>
  <si>
    <t>G9P5384MGF7PQCLAL</t>
  </si>
  <si>
    <t>G9P2241QGR1PQCLAC</t>
  </si>
  <si>
    <t>G712969829</t>
  </si>
  <si>
    <t>G9Q5153WC4Z1502AJ</t>
  </si>
  <si>
    <t>GVH525603QS1501A8</t>
  </si>
  <si>
    <t>G712259849</t>
  </si>
  <si>
    <t>CNV4H79WXD</t>
  </si>
  <si>
    <t>CD9K75QG36</t>
  </si>
  <si>
    <t>G711515063</t>
  </si>
  <si>
    <t>HY3HG30D0FM0000B31</t>
  </si>
  <si>
    <t>G708863051</t>
  </si>
  <si>
    <t>GH3HQ0006Q90000MUZ</t>
  </si>
  <si>
    <t>G9NHLJP9D9V0000MUY</t>
  </si>
  <si>
    <t>G708814917</t>
  </si>
  <si>
    <t>F8Y6032C09B20J9BW</t>
  </si>
  <si>
    <t>F5D32466Z6Z20J8A0</t>
  </si>
  <si>
    <t>G708088259</t>
  </si>
  <si>
    <t>CH4MN9V6XL</t>
  </si>
  <si>
    <t>F2FQQLWGDP</t>
  </si>
  <si>
    <t>G707291283</t>
  </si>
  <si>
    <t>F8YHN8C02VA00006TW</t>
  </si>
  <si>
    <t>FG9HGR0011D00006TX</t>
  </si>
  <si>
    <t>G689531618</t>
  </si>
  <si>
    <t>DN8HJW0B9RE0000JS5</t>
  </si>
  <si>
    <t>DNMHMZ093020000RYP</t>
  </si>
  <si>
    <t>G706301899</t>
  </si>
  <si>
    <t>F8Y6046C1KFM6YND0</t>
  </si>
  <si>
    <t>F8Y942332UFM6YP7C</t>
  </si>
  <si>
    <t>G705722271</t>
  </si>
  <si>
    <t>F7736309DG</t>
  </si>
  <si>
    <t>DY3V6FN4H2</t>
  </si>
  <si>
    <t>G705338417</t>
  </si>
  <si>
    <t>GMHHCK01PUC00007BV</t>
  </si>
  <si>
    <t>GMHHE001FKX00007BV</t>
  </si>
  <si>
    <t>G704606399</t>
  </si>
  <si>
    <t>F8Y5493C4S1217WBA</t>
  </si>
  <si>
    <t>F5D2292107621PK7C</t>
  </si>
  <si>
    <t>G686478710</t>
  </si>
  <si>
    <t>DN8HJQ04Q4100006S2</t>
  </si>
  <si>
    <t>DN8H8U0AHS800006S2</t>
  </si>
  <si>
    <t>G702640955</t>
  </si>
  <si>
    <t>DN8HK705H300000JS5</t>
  </si>
  <si>
    <t>DN8HKD0HCDS0000RYQ</t>
  </si>
  <si>
    <t>FNJHHQF05XW0000QTV</t>
  </si>
  <si>
    <t>DTTHJM02SQ80000QTV</t>
  </si>
  <si>
    <t>G701213945</t>
  </si>
  <si>
    <t>FV951540H5N0W9FL8</t>
  </si>
  <si>
    <t>FV9543302010W9FLV</t>
  </si>
  <si>
    <t>G700360009</t>
  </si>
  <si>
    <t>SFWMXVMGXPJ</t>
  </si>
  <si>
    <t>HDFVYFJV4Y</t>
  </si>
  <si>
    <t>G699696463</t>
  </si>
  <si>
    <t>MYXJP60L74</t>
  </si>
  <si>
    <t>G699066069</t>
  </si>
  <si>
    <t>F8Y5416C6GZ13XCB8</t>
  </si>
  <si>
    <t>F5D13761L5113X99N</t>
  </si>
  <si>
    <t>G698824071</t>
  </si>
  <si>
    <t>F8Y5387C95313XCBD</t>
  </si>
  <si>
    <t>F5D22224Z6513X9A7</t>
  </si>
  <si>
    <t>G714041403</t>
  </si>
  <si>
    <t>F8Y6164C0K918FKBJ</t>
  </si>
  <si>
    <t>F8Y4194029418FLBF</t>
  </si>
  <si>
    <t>G694450442</t>
  </si>
  <si>
    <t>F8Y6102C4JG13XCBU</t>
  </si>
  <si>
    <t>F8Y13760ZJ113XC8D</t>
  </si>
  <si>
    <t>G711853773</t>
  </si>
  <si>
    <t>661-26205</t>
  </si>
  <si>
    <t>Trackpad, Midnight, MBA (M2, 2022)</t>
  </si>
  <si>
    <t>F0T519413R30V7CA7</t>
  </si>
  <si>
    <t>G711088455</t>
  </si>
  <si>
    <t>F8Y6126C0YZ20J9B5</t>
  </si>
  <si>
    <t>F8Y245519RZ20J92A</t>
  </si>
  <si>
    <t>G710667419</t>
  </si>
  <si>
    <t>F8Y6057C29918FKBD</t>
  </si>
  <si>
    <t>FG940930AUN18FMB0</t>
  </si>
  <si>
    <t>G709621435</t>
  </si>
  <si>
    <t>FMXHQ4006MZ00006J3</t>
  </si>
  <si>
    <t>FP1HFC001W40000FQX</t>
  </si>
  <si>
    <t>G709524285</t>
  </si>
  <si>
    <t>DPGHKPX92P</t>
  </si>
  <si>
    <t>FMGQ33J1X7</t>
  </si>
  <si>
    <t>G708986367</t>
  </si>
  <si>
    <t>HKGRG27NGWTJ</t>
  </si>
  <si>
    <t>G706158969</t>
  </si>
  <si>
    <t>F8YHLQH03NB0000UMJ</t>
  </si>
  <si>
    <t>F5DHD801R8Z0000UMH</t>
  </si>
  <si>
    <t>G705571893</t>
  </si>
  <si>
    <t>L57QH9LTY9</t>
  </si>
  <si>
    <t>K4F6H492RV</t>
  </si>
  <si>
    <t>G704400349</t>
  </si>
  <si>
    <t>GXD24020N5</t>
  </si>
  <si>
    <t>G703899855</t>
  </si>
  <si>
    <t>F9QD097K07</t>
  </si>
  <si>
    <t>JY96KDW27T</t>
  </si>
  <si>
    <t>G703579433</t>
  </si>
  <si>
    <t>FNJHP670GYZ0000QSK</t>
  </si>
  <si>
    <t>DTTHJJ01ZWG0000QTV</t>
  </si>
  <si>
    <t>G703517527</t>
  </si>
  <si>
    <t>C4H4143001G2DGKA0</t>
  </si>
  <si>
    <t>G703320629</t>
  </si>
  <si>
    <t>GMHHKC00V6P0000M4H</t>
  </si>
  <si>
    <t>FNJHLTV0FXP0000M4H</t>
  </si>
  <si>
    <t>G703224109</t>
  </si>
  <si>
    <t>M7RPF6XHJK</t>
  </si>
  <si>
    <t>G701071417</t>
  </si>
  <si>
    <t>FNJHJ1M0DVP0000QSK</t>
  </si>
  <si>
    <t>DTTHKH021HD0000QTV</t>
  </si>
  <si>
    <t>G700201335</t>
  </si>
  <si>
    <t>F8Y5473C0FT217WBT</t>
  </si>
  <si>
    <t>F8Y30260MSF217W7M</t>
  </si>
  <si>
    <t>G700190663</t>
  </si>
  <si>
    <t>F8Y5447C7YZQ687BK</t>
  </si>
  <si>
    <t>F8Y0353159YQ6882X</t>
  </si>
  <si>
    <t>GVH42540DDELQHMA3</t>
  </si>
  <si>
    <t>G9P0336FK0VLQHKAD</t>
  </si>
  <si>
    <t>G699697203</t>
  </si>
  <si>
    <t>DJM200QW7J</t>
  </si>
  <si>
    <t>G699331503</t>
  </si>
  <si>
    <t>GMGHLH0070A0000GVL</t>
  </si>
  <si>
    <t>FP1HDS00A040000G2A</t>
  </si>
  <si>
    <t>G699261769</t>
  </si>
  <si>
    <t>DHJT79G0PJ</t>
  </si>
  <si>
    <t>D9K1V45LFT</t>
  </si>
  <si>
    <t>G698298141</t>
  </si>
  <si>
    <t>G9P5185M4F1PQCLA5</t>
  </si>
  <si>
    <t>G9N1497NLM4PQCLA4</t>
  </si>
  <si>
    <t>G716287455</t>
  </si>
  <si>
    <t>F8Y6172C4ZX18FKBH</t>
  </si>
  <si>
    <t>FG9405507MD18FMB9</t>
  </si>
  <si>
    <t>G715307199</t>
  </si>
  <si>
    <t>FG9HRE002P900006TT</t>
  </si>
  <si>
    <t>F5DGZH013PF00006TU</t>
  </si>
  <si>
    <t>G715071837</t>
  </si>
  <si>
    <t>661-58334</t>
  </si>
  <si>
    <t>Display, Silver, MacBook Neo</t>
  </si>
  <si>
    <t>GMGHQ0001N300013N5</t>
  </si>
  <si>
    <t>G713277643</t>
  </si>
  <si>
    <t>DXY45021CU808055E</t>
  </si>
  <si>
    <t>DXY51712G8W08055S</t>
  </si>
  <si>
    <t>G712532609</t>
  </si>
  <si>
    <t>LY0DH47NCV</t>
  </si>
  <si>
    <t>G711113883</t>
  </si>
  <si>
    <t>F8Y6106C3RF13RHCF</t>
  </si>
  <si>
    <t>G710334771</t>
  </si>
  <si>
    <t>661-41798</t>
  </si>
  <si>
    <t>Logic Board, 12-core CPU, 16-core GPU, 24GB, 4TB</t>
  </si>
  <si>
    <t>FV9HEG0024F0000K8W</t>
  </si>
  <si>
    <t>FV9HFQ0081P0000HER</t>
  </si>
  <si>
    <t>G710193385</t>
  </si>
  <si>
    <t>K4DH54034C</t>
  </si>
  <si>
    <t>FQ6THQR176</t>
  </si>
  <si>
    <t>G709859817</t>
  </si>
  <si>
    <t>923-13582</t>
  </si>
  <si>
    <t>Main Microphone, pSIM, iPhone 17 Pro Max</t>
  </si>
  <si>
    <t>FJ6HK2FHT2C00014MJ</t>
  </si>
  <si>
    <t>FJ6HL7FKBVN00014MJ</t>
  </si>
  <si>
    <t>CXK4GGV9DJ</t>
  </si>
  <si>
    <t>F4MVXQFX20</t>
  </si>
  <si>
    <t>G709764721</t>
  </si>
  <si>
    <t>923-07232</t>
  </si>
  <si>
    <t>Speaker Antenna Pair, MBA (M2, 2022)</t>
  </si>
  <si>
    <t>DXY54561B921P24AK+A044XXXXXXXX</t>
  </si>
  <si>
    <t>G691404328</t>
  </si>
  <si>
    <t>F8Y6062C55W18FKB3</t>
  </si>
  <si>
    <t>FG93376090U18FNAG</t>
  </si>
  <si>
    <t>G709208993</t>
  </si>
  <si>
    <t>D865505N13VPJYRBU</t>
  </si>
  <si>
    <t>F5D42854A8ZPJYVBY</t>
  </si>
  <si>
    <t>G708819649</t>
  </si>
  <si>
    <t>F8Y6024CBE6217WBM</t>
  </si>
  <si>
    <t>F8Y3026040M217W78</t>
  </si>
  <si>
    <t>G708494987</t>
  </si>
  <si>
    <t>F8Y6057C1DE18FKBX</t>
  </si>
  <si>
    <t>FG932850NDK18FMA7</t>
  </si>
  <si>
    <t>G705564527</t>
  </si>
  <si>
    <t>GMGHLH0068S0000GVL</t>
  </si>
  <si>
    <t>FP1HDK007M80000G29</t>
  </si>
  <si>
    <t>G704889685</t>
  </si>
  <si>
    <t>FG9HP4005PW00006TT</t>
  </si>
  <si>
    <t>FG9H0F006DW00006TV</t>
  </si>
  <si>
    <t>G704711131</t>
  </si>
  <si>
    <t>HT712JX09J</t>
  </si>
  <si>
    <t>K1JW2X26XH</t>
  </si>
  <si>
    <t>G702639499</t>
  </si>
  <si>
    <t>F8Y5507C1QD18FKBC</t>
  </si>
  <si>
    <t>F8Y23071GZ618FLAP</t>
  </si>
  <si>
    <t>G702558979</t>
  </si>
  <si>
    <t>F8Y5512C4MT231LBF</t>
  </si>
  <si>
    <t>FG9237303F422WL6D</t>
  </si>
  <si>
    <t>G702095707</t>
  </si>
  <si>
    <t>DNPHNB00QBT0000FER</t>
  </si>
  <si>
    <t>FNJHE7T0V8V00006SX</t>
  </si>
  <si>
    <t>G700564797</t>
  </si>
  <si>
    <t>F8Y5447C64Z18FKB2</t>
  </si>
  <si>
    <t>F8Y349700P618FLA7</t>
  </si>
  <si>
    <t>G699240473</t>
  </si>
  <si>
    <t>J4XLYVQ9T6</t>
  </si>
  <si>
    <t>JPCF4Q2C2D</t>
  </si>
  <si>
    <t>G713722123</t>
  </si>
  <si>
    <t>F8Y6167C5FF18FKBG</t>
  </si>
  <si>
    <t>FG921671FEU18FMA7</t>
  </si>
  <si>
    <t>G713363033</t>
  </si>
  <si>
    <t>FNJHQEF0UDY0000QTV</t>
  </si>
  <si>
    <t>FNJHNTT13AM0000QTV</t>
  </si>
  <si>
    <t>F0WHJT049FE0000JS7</t>
  </si>
  <si>
    <t>DN8HPD0CL7Z0000RYQ</t>
  </si>
  <si>
    <t>FNJHP6A03DP0000QTV</t>
  </si>
  <si>
    <t>F0WHJR04DWL0000JS7</t>
  </si>
  <si>
    <t>F5V7TCF1W2</t>
  </si>
  <si>
    <t>L2G44YT0J7</t>
  </si>
  <si>
    <t>G712109287</t>
  </si>
  <si>
    <t>J4FHGW0005P0000HER</t>
  </si>
  <si>
    <t>FV9HFQ005KH0000HER</t>
  </si>
  <si>
    <t>G711439585</t>
  </si>
  <si>
    <t>F8Y5516C01W18FKBV</t>
  </si>
  <si>
    <t>FG921832JNV18FMA8</t>
  </si>
  <si>
    <t>G711100335</t>
  </si>
  <si>
    <t>F8Y6066C2H81EXEBL</t>
  </si>
  <si>
    <t>F5D1493FKEX13XD9J</t>
  </si>
  <si>
    <t>DN84027BZ93Q1NMD1</t>
  </si>
  <si>
    <t>GCF1371DG8TKGRP4Q</t>
  </si>
  <si>
    <t>G710657219</t>
  </si>
  <si>
    <t>F8Y6031N14K13QFCE</t>
  </si>
  <si>
    <t>F8Y23620UKG13QFAG</t>
  </si>
  <si>
    <t>G710456773</t>
  </si>
  <si>
    <t>F8Y6122C668231LB7</t>
  </si>
  <si>
    <t>FG925150P2G22WL60</t>
  </si>
  <si>
    <t>G709748903</t>
  </si>
  <si>
    <t>C02HLD001BG0000P0R</t>
  </si>
  <si>
    <t>J33HKJ0348L0000P0R</t>
  </si>
  <si>
    <t>G709663311</t>
  </si>
  <si>
    <t>GVH53320H6ZPR5PAV</t>
  </si>
  <si>
    <t>GVH41341LTFPR5PAF</t>
  </si>
  <si>
    <t>G709640311</t>
  </si>
  <si>
    <t>F8Y6096C1Y813RHCB</t>
  </si>
  <si>
    <t>F5D203509NA13RK9X</t>
  </si>
  <si>
    <t>G709600135</t>
  </si>
  <si>
    <t>G9Q6035UHF721KHAB</t>
  </si>
  <si>
    <t>GVH51132UNB1PHLAU</t>
  </si>
  <si>
    <t>G707047551</t>
  </si>
  <si>
    <t>GMGHLH0092F0000GVL</t>
  </si>
  <si>
    <t>FP1HPQ002SC0000G2A</t>
  </si>
  <si>
    <t>G706712151</t>
  </si>
  <si>
    <t>CQQR4X70D0</t>
  </si>
  <si>
    <t>JJP69MPHQ7</t>
  </si>
  <si>
    <t>F6DYPCFW74</t>
  </si>
  <si>
    <t>G0NHL0004JT0000YJ2</t>
  </si>
  <si>
    <t>GKKHP6016G100014MJ</t>
  </si>
  <si>
    <t>G704699953</t>
  </si>
  <si>
    <t>GMGHMC001YA0000HX2</t>
  </si>
  <si>
    <t>GMGHJL002UV0000HX2</t>
  </si>
  <si>
    <t>G703599099</t>
  </si>
  <si>
    <t>G0Q40XX624</t>
  </si>
  <si>
    <t>G702713981</t>
  </si>
  <si>
    <t>F8Y5496C3WF13XCBX</t>
  </si>
  <si>
    <t>F8Y14970K3Q13XC87</t>
  </si>
  <si>
    <t>G701067927</t>
  </si>
  <si>
    <t>F0YHNA0017A0000UJX</t>
  </si>
  <si>
    <t>F0YHJV003ZX0000UJX</t>
  </si>
  <si>
    <t>G700977445</t>
  </si>
  <si>
    <t>C2N1XQ7YCM</t>
  </si>
  <si>
    <t>L9N97F522L</t>
  </si>
  <si>
    <t>G700241965</t>
  </si>
  <si>
    <t>C02HKD0011E0000P9J</t>
  </si>
  <si>
    <t>C02HK60014A0000WZJ</t>
  </si>
  <si>
    <t>G699372797</t>
  </si>
  <si>
    <t>F8Y5451C08S13XCB4</t>
  </si>
  <si>
    <t>F8Y13210YAT13X875</t>
  </si>
  <si>
    <t>G698203033</t>
  </si>
  <si>
    <t>LTJ40C67T0</t>
  </si>
  <si>
    <t>L32H3CHKCQ</t>
  </si>
  <si>
    <t>G715343827</t>
  </si>
  <si>
    <t>G9PHRET1WPP00005DP</t>
  </si>
  <si>
    <t>GVCHE5023ZE00005DQ</t>
  </si>
  <si>
    <t>G714552549</t>
  </si>
  <si>
    <t>F8Y6172C86P18FKB0</t>
  </si>
  <si>
    <t>F8Y411506CY18FLBX</t>
  </si>
  <si>
    <t>G714441171</t>
  </si>
  <si>
    <t>F8YHSED0GF300006TP</t>
  </si>
  <si>
    <t>F8YH0L3161200006TR</t>
  </si>
  <si>
    <t>G714210623</t>
  </si>
  <si>
    <t>GMHHP801U8A00006SX</t>
  </si>
  <si>
    <t>FNJHLMC0DS400006SX</t>
  </si>
  <si>
    <t>DNMH9X03F55000048L</t>
  </si>
  <si>
    <t>GCFHMW0S0CU00005LT</t>
  </si>
  <si>
    <t>G713287353</t>
  </si>
  <si>
    <t>FPD6W71D6N</t>
  </si>
  <si>
    <t>JRMGW31DJJ</t>
  </si>
  <si>
    <t>G712132657</t>
  </si>
  <si>
    <t>FV9502304SF0W9GL9</t>
  </si>
  <si>
    <t>FV951440A840W9FLT</t>
  </si>
  <si>
    <t>G711886713</t>
  </si>
  <si>
    <t>F8Y6066C36W13XCBW</t>
  </si>
  <si>
    <t>F5D13565CGL13X996</t>
  </si>
  <si>
    <t>G710547913</t>
  </si>
  <si>
    <t>G9PHM2T1BBR00005DP</t>
  </si>
  <si>
    <t>GVCHBR02VH200005DQ</t>
  </si>
  <si>
    <t>G709886277</t>
  </si>
  <si>
    <t>G9Q6042UF9F21KHAP</t>
  </si>
  <si>
    <t>GVH40450RVX1PHLAP</t>
  </si>
  <si>
    <t>G709663215</t>
  </si>
  <si>
    <t>F8Y6057C29B18FKBB</t>
  </si>
  <si>
    <t>FG9415405WY18FMBZ</t>
  </si>
  <si>
    <t>G709506895</t>
  </si>
  <si>
    <t>F8YHP8C0MDM00006TP</t>
  </si>
  <si>
    <t>F8YH5J32BX100006TR</t>
  </si>
  <si>
    <t>G707527319</t>
  </si>
  <si>
    <t>G9NHQD213DP00004Y7</t>
  </si>
  <si>
    <t>G9NHGRK3DYS00004Y7</t>
  </si>
  <si>
    <t>G707381515</t>
  </si>
  <si>
    <t>DNM518111JS1QDC3U</t>
  </si>
  <si>
    <t>DNM509339591QDC14</t>
  </si>
  <si>
    <t>G706334971</t>
  </si>
  <si>
    <t>CFM7HTWD97</t>
  </si>
  <si>
    <t>CVD9VX91TW</t>
  </si>
  <si>
    <t>G705083779</t>
  </si>
  <si>
    <t>G9PHK5S0ASQ00005DR</t>
  </si>
  <si>
    <t>GH3HD300N1100005DS</t>
  </si>
  <si>
    <t>G704954323</t>
  </si>
  <si>
    <t>G9Q5352UP9P21KHA4</t>
  </si>
  <si>
    <t>GVH44320YAY1PHLA6</t>
  </si>
  <si>
    <t>G704744419</t>
  </si>
  <si>
    <t>FV9HD500X0S00003P0</t>
  </si>
  <si>
    <t>FV9HGT002RP00003P0</t>
  </si>
  <si>
    <t>G704005121</t>
  </si>
  <si>
    <t>G9P5351MAMGPQCLAB</t>
  </si>
  <si>
    <t>G9N1407R5QXPQCLA1</t>
  </si>
  <si>
    <t>F8Y5501C0NK13XCBH</t>
  </si>
  <si>
    <t>F8Y13870VJJ13XC8W</t>
  </si>
  <si>
    <t>G9P5347M5BNPQCLA3</t>
  </si>
  <si>
    <t>G703990949</t>
  </si>
  <si>
    <t>F2QWFP23MG</t>
  </si>
  <si>
    <t>JHF3P70MXV</t>
  </si>
  <si>
    <t>G702122509</t>
  </si>
  <si>
    <t>F8Y5433C92ZM6YNDW</t>
  </si>
  <si>
    <t>FG902670PH7M6YRB5</t>
  </si>
  <si>
    <t>G700389299</t>
  </si>
  <si>
    <t>GMGHLF003550000GVL</t>
  </si>
  <si>
    <t>FP1HKM006220000G29</t>
  </si>
  <si>
    <t>G699856643</t>
  </si>
  <si>
    <t>CDQLN7XTGM</t>
  </si>
  <si>
    <t>JN0T62MY5T</t>
  </si>
  <si>
    <t>G699330187</t>
  </si>
  <si>
    <t>G9NHKA21URG00004Y7</t>
  </si>
  <si>
    <t>G9QH9TV5LBS00004Y7</t>
  </si>
  <si>
    <t>G715335543</t>
  </si>
  <si>
    <t>FG9HRE001G800006TT</t>
  </si>
  <si>
    <t>F5DH0A00G7T00006TU</t>
  </si>
  <si>
    <t>G713611835</t>
  </si>
  <si>
    <t>DTTHRD009ST0000QTV</t>
  </si>
  <si>
    <t>FNJHJBH01C90000QTV</t>
  </si>
  <si>
    <t>DN8HK4041KZ0000JS5</t>
  </si>
  <si>
    <t>DNMHKT002UU0000RYP</t>
  </si>
  <si>
    <t>G712650047</t>
  </si>
  <si>
    <t>CG23CQC4LK</t>
  </si>
  <si>
    <t>D7R95C9THY</t>
  </si>
  <si>
    <t>G712572307</t>
  </si>
  <si>
    <t>F7DC7DN939</t>
  </si>
  <si>
    <t>F4DG9QFNJ0</t>
  </si>
  <si>
    <t>G711310207</t>
  </si>
  <si>
    <t>G9P5184N4B714YDA8</t>
  </si>
  <si>
    <t>G9N2442Z9D914YDAH</t>
  </si>
  <si>
    <t>G711087475</t>
  </si>
  <si>
    <t>F8Y6124C0VN231LBW</t>
  </si>
  <si>
    <t>FG9239339FK22XP65</t>
  </si>
  <si>
    <t>G692604320</t>
  </si>
  <si>
    <t>FV9415305D80W9CHS</t>
  </si>
  <si>
    <t>FV9410303630W98H5</t>
  </si>
  <si>
    <t>G692567742</t>
  </si>
  <si>
    <t>F8Y6063CCYH13RHC3</t>
  </si>
  <si>
    <t>F5D20420V5913RK9V</t>
  </si>
  <si>
    <t>G710402583</t>
  </si>
  <si>
    <t>G5FV2YMJJ7</t>
  </si>
  <si>
    <t>D57JPQVXJJ</t>
  </si>
  <si>
    <t>G710114471</t>
  </si>
  <si>
    <t>F8Y6096C0ZG13RHC1</t>
  </si>
  <si>
    <t>F5D226215W513RKA2</t>
  </si>
  <si>
    <t>G709183981</t>
  </si>
  <si>
    <t>G9P5224C428PR5QAW</t>
  </si>
  <si>
    <t>GVH504408VWPR5PA4</t>
  </si>
  <si>
    <t>G708301513</t>
  </si>
  <si>
    <t>GN1HQB08HEB0000B32</t>
  </si>
  <si>
    <t>G706483679</t>
  </si>
  <si>
    <t>FMXHNM005D900006J3</t>
  </si>
  <si>
    <t>FMXHE50033J00006J3</t>
  </si>
  <si>
    <t>G688664572</t>
  </si>
  <si>
    <t>GH3HPP00THQ0000MUZ</t>
  </si>
  <si>
    <t>G9NHM3Z4WTV0000MUY</t>
  </si>
  <si>
    <t>G705706737</t>
  </si>
  <si>
    <t>F8Y5493C4RZ217WBF</t>
  </si>
  <si>
    <t>F8Y246622K8217W7F</t>
  </si>
  <si>
    <t>G705237693</t>
  </si>
  <si>
    <t>F8Y6054C47T18FKB2</t>
  </si>
  <si>
    <t>F8Y24470MLB18FLA8</t>
  </si>
  <si>
    <t>G705019929</t>
  </si>
  <si>
    <t>FMXHNM002X500006J3</t>
  </si>
  <si>
    <t>FP1HFR0004M0000FQX</t>
  </si>
  <si>
    <t>G704746233</t>
  </si>
  <si>
    <t>F8Y5475C4HY13RHC1</t>
  </si>
  <si>
    <t>F8Y13270J7S13RH9S</t>
  </si>
  <si>
    <t>G703967885</t>
  </si>
  <si>
    <t>F8Y6027C2QP231LB6</t>
  </si>
  <si>
    <t>FG9232608B022XP6W</t>
  </si>
  <si>
    <t>G703871203</t>
  </si>
  <si>
    <t>J9QG930QYV</t>
  </si>
  <si>
    <t>F3Q54Y2KDY</t>
  </si>
  <si>
    <t>G703602565</t>
  </si>
  <si>
    <t>F8Y5496C2YB217WBF</t>
  </si>
  <si>
    <t>F5D236439Q821PK7J</t>
  </si>
  <si>
    <t>G702712771</t>
  </si>
  <si>
    <t>F8Y5434C2R713RHCH</t>
  </si>
  <si>
    <t>F5D20226A2813RJ9D</t>
  </si>
  <si>
    <t>G702526653</t>
  </si>
  <si>
    <t>FG9HNR007KT00006TT</t>
  </si>
  <si>
    <t>FG9H0T02LR800006TV</t>
  </si>
  <si>
    <t>G701766621</t>
  </si>
  <si>
    <t>GMGHLH003CL0000GVL</t>
  </si>
  <si>
    <t>FP1HG90033M0000G29</t>
  </si>
  <si>
    <t>C02HFA000W50000PNB</t>
  </si>
  <si>
    <t>C02HH4004RN0000PNL</t>
  </si>
  <si>
    <t>G700437189</t>
  </si>
  <si>
    <t>F8Y5441C0CF13XCB6</t>
  </si>
  <si>
    <t>F5D12972GNA13XD8Q</t>
  </si>
  <si>
    <t>G699913865</t>
  </si>
  <si>
    <t>C022514004E1TY4AL</t>
  </si>
  <si>
    <t>FV932530BHP1VHYB1</t>
  </si>
  <si>
    <t>G699887369</t>
  </si>
  <si>
    <t>D40J2QC410</t>
  </si>
  <si>
    <t>G683123934</t>
  </si>
  <si>
    <t>DM4HRH91T4</t>
  </si>
  <si>
    <t>J2XPYJWD9K</t>
  </si>
  <si>
    <t>G698444401</t>
  </si>
  <si>
    <t>F8Y5437C52AQ4C2BW</t>
  </si>
  <si>
    <t>F5D10216CHQQ4C099</t>
  </si>
  <si>
    <t>G716577025</t>
  </si>
  <si>
    <t>F8Y6184C6WS18FKBQ</t>
  </si>
  <si>
    <t>F8Y13920SYE18FKAT</t>
  </si>
  <si>
    <t>G714544895</t>
  </si>
  <si>
    <t>661-29897</t>
  </si>
  <si>
    <t>Watch SE 2nd gen, 40mm, GPS, Aluminum, Midnight, TH</t>
  </si>
  <si>
    <t>G7G5C3XQD4</t>
  </si>
  <si>
    <t>C1FGQQKXJ5</t>
  </si>
  <si>
    <t>G712468399</t>
  </si>
  <si>
    <t>TA661-45272</t>
  </si>
  <si>
    <t>1TB, Natural Titanium, ROW, iPhone 16 Pro Max, CI/AR</t>
  </si>
  <si>
    <t>M749MG09XP</t>
  </si>
  <si>
    <t>G711861347</t>
  </si>
  <si>
    <t>F8Y6114C49G18FKBJ</t>
  </si>
  <si>
    <t>FG914632QFT18FM4F</t>
  </si>
  <si>
    <t>G711451507</t>
  </si>
  <si>
    <t>FM7HPS00QCQ00014XQ</t>
  </si>
  <si>
    <t>FM7HL2008CF00014XQ</t>
  </si>
  <si>
    <t>GH3HRS00D080000MUZ</t>
  </si>
  <si>
    <t>G9NHKSM24C50000MUY</t>
  </si>
  <si>
    <t>G711324267</t>
  </si>
  <si>
    <t>F8Y6125C65X18FKB9</t>
  </si>
  <si>
    <t>FG9214727Z218FMAM</t>
  </si>
  <si>
    <t>G692454508</t>
  </si>
  <si>
    <t>F8Y6114C3LG18FKBL</t>
  </si>
  <si>
    <t>FG941940MUC18FMBX</t>
  </si>
  <si>
    <t>G707724891</t>
  </si>
  <si>
    <t>FV9434200U30W9GHP</t>
  </si>
  <si>
    <t>G707284231</t>
  </si>
  <si>
    <t>F8Y6054C47L18FKB9</t>
  </si>
  <si>
    <t>F8Y419402R218FLB3</t>
  </si>
  <si>
    <t>G706970741</t>
  </si>
  <si>
    <t>F8Y6053CAV518FKBM</t>
  </si>
  <si>
    <t>FG923240FF618FMA8</t>
  </si>
  <si>
    <t>G705479505</t>
  </si>
  <si>
    <t>FG9HP4003DE00006TT</t>
  </si>
  <si>
    <t>FG9H0200RDQ00006TV</t>
  </si>
  <si>
    <t>G704857923</t>
  </si>
  <si>
    <t>661-25193</t>
  </si>
  <si>
    <t>Logic Board</t>
  </si>
  <si>
    <t>C02536502C91JCPAS</t>
  </si>
  <si>
    <t>C02403400MB1JCPAF</t>
  </si>
  <si>
    <t>661-25194</t>
  </si>
  <si>
    <t>Power Supply, 285W</t>
  </si>
  <si>
    <t>C06527310QS03DQAG</t>
  </si>
  <si>
    <t>GPV352301HL03DMA4</t>
  </si>
  <si>
    <t>G704850937</t>
  </si>
  <si>
    <t>F8Y5496C21H13XCBF</t>
  </si>
  <si>
    <t>F8Y21841SR113XC8U</t>
  </si>
  <si>
    <t>G703147589</t>
  </si>
  <si>
    <t>JYQ4XXL4Q7</t>
  </si>
  <si>
    <t>G702726169</t>
  </si>
  <si>
    <t>K3KMLXW7RY</t>
  </si>
  <si>
    <t>GJ6HQ2X939</t>
  </si>
  <si>
    <t>G683140588</t>
  </si>
  <si>
    <t>J99DQQXP26</t>
  </si>
  <si>
    <t>HJ9V717H4R</t>
  </si>
  <si>
    <t>G699387407</t>
  </si>
  <si>
    <t>CTH4467125X1JJJAF</t>
  </si>
  <si>
    <t>DXY242113ZL1JJL6F</t>
  </si>
  <si>
    <t>F8Y5514C1QL231LBE</t>
  </si>
  <si>
    <t>F8Y24270GRD231L7M</t>
  </si>
  <si>
    <t>G699060169</t>
  </si>
  <si>
    <t>F8Y5431C365Q687B2</t>
  </si>
  <si>
    <t>FG905061V9GQ68C3R</t>
  </si>
  <si>
    <t>G698959659</t>
  </si>
  <si>
    <t>DNM50814KLN1QDC16</t>
  </si>
  <si>
    <t>DNM519621LJ1QDC77</t>
  </si>
  <si>
    <t>G698954979</t>
  </si>
  <si>
    <t>CDQGYV16GK</t>
  </si>
  <si>
    <t>G7F476Q04D</t>
  </si>
  <si>
    <t>G698695913</t>
  </si>
  <si>
    <t>JGQW2TDKD2</t>
  </si>
  <si>
    <t>G716329575</t>
  </si>
  <si>
    <t>F8Y6185C0YK18FKBW</t>
  </si>
  <si>
    <t>F8Y32460GJ118FLAV</t>
  </si>
  <si>
    <t>G715343271</t>
  </si>
  <si>
    <t>F8Y6147N00S13QFCA</t>
  </si>
  <si>
    <t>F5D43470YX110DLC5</t>
  </si>
  <si>
    <t>G714524075</t>
  </si>
  <si>
    <t>DN84032JYZWQ1NMDL</t>
  </si>
  <si>
    <t>DN84025B48TQ1NMDB</t>
  </si>
  <si>
    <t>G713970487</t>
  </si>
  <si>
    <t>MWG29JXGXF</t>
  </si>
  <si>
    <t>G713040723</t>
  </si>
  <si>
    <t>F8Y6142C7KT217WBJ</t>
  </si>
  <si>
    <t>F5D24321SRE21PK78</t>
  </si>
  <si>
    <t>G712671451</t>
  </si>
  <si>
    <t>F7CXW06VCF</t>
  </si>
  <si>
    <t>RD72HY26T4</t>
  </si>
  <si>
    <t>G711554373</t>
  </si>
  <si>
    <t>F8YHP6C0U4U00006TW</t>
  </si>
  <si>
    <t>FG9GY8006BA00006TZ</t>
  </si>
  <si>
    <t>G710750477</t>
  </si>
  <si>
    <t>F8YHRND07G900006TP</t>
  </si>
  <si>
    <t>F5DH0H00MUY00006TQ</t>
  </si>
  <si>
    <t>G692387754</t>
  </si>
  <si>
    <t>F8Y6061C5PS18FKBN</t>
  </si>
  <si>
    <t>FG932961A8T18FMAK</t>
  </si>
  <si>
    <t>G709889247</t>
  </si>
  <si>
    <t>GCF5186073XQ59TBG</t>
  </si>
  <si>
    <t>GCF51021DA1Q59TBA</t>
  </si>
  <si>
    <t>G709194009</t>
  </si>
  <si>
    <t>FG9HP70023K00006TT</t>
  </si>
  <si>
    <t>FG9H0P01D7A00006TV</t>
  </si>
  <si>
    <t>G708471129</t>
  </si>
  <si>
    <t>M122R3252P</t>
  </si>
  <si>
    <t>G708379195</t>
  </si>
  <si>
    <t>FG9HP70022B00006TT</t>
  </si>
  <si>
    <t>F5DGXJ009UB00006TU</t>
  </si>
  <si>
    <t>G708295515</t>
  </si>
  <si>
    <t>J4KHYJWX5L</t>
  </si>
  <si>
    <t>FPM65FK3Q0</t>
  </si>
  <si>
    <t>G707720387</t>
  </si>
  <si>
    <t>F8Y5521C041217WB0</t>
  </si>
  <si>
    <t>F5D25040USH21PK79</t>
  </si>
  <si>
    <t>G707282807</t>
  </si>
  <si>
    <t>FXV67719WY</t>
  </si>
  <si>
    <t>G707042467</t>
  </si>
  <si>
    <t>F8Y6061C2FM18FKBL</t>
  </si>
  <si>
    <t>FG9328307U218FMAW</t>
  </si>
  <si>
    <t>G706678891</t>
  </si>
  <si>
    <t>G9PHKXT1PEK00005DP</t>
  </si>
  <si>
    <t>GVCHEC024FF00005DQ</t>
  </si>
  <si>
    <t>G706023279</t>
  </si>
  <si>
    <t>F8Y5366C64MQ687BA</t>
  </si>
  <si>
    <t>F8Y240100E110CL55</t>
  </si>
  <si>
    <t>G688644388</t>
  </si>
  <si>
    <t>F8YHN6C0GD000006TP</t>
  </si>
  <si>
    <t>F5DGZ200KA900006TQ</t>
  </si>
  <si>
    <t>G705115497</t>
  </si>
  <si>
    <t>F8YHN4C0WF200006TP</t>
  </si>
  <si>
    <t>F8YGYW317L500006TR</t>
  </si>
  <si>
    <t>G703903989</t>
  </si>
  <si>
    <t>G9PHKCT2NRV00005DP</t>
  </si>
  <si>
    <t>GVCHAF020H700005DQ</t>
  </si>
  <si>
    <t>G703703543</t>
  </si>
  <si>
    <t>661-16557</t>
  </si>
  <si>
    <t>Logic Board, 8-core CPU, 7-core GPU, 8GB, 256GB</t>
  </si>
  <si>
    <t>C02324600BBPY5MAJ</t>
  </si>
  <si>
    <t>C02248300HKPY5QAF</t>
  </si>
  <si>
    <t>G703638947</t>
  </si>
  <si>
    <t>G9Q5181EBD51502AT</t>
  </si>
  <si>
    <t>GVC439408FR1503AS</t>
  </si>
  <si>
    <t>G703629077</t>
  </si>
  <si>
    <t>HCQ5QD7M9X</t>
  </si>
  <si>
    <t>M6R4GP97YC</t>
  </si>
  <si>
    <t>G702842215</t>
  </si>
  <si>
    <t>GCFHNB0NB9W00005LU</t>
  </si>
  <si>
    <t>GCFHG80B8UK00005LU</t>
  </si>
  <si>
    <t>G702713543</t>
  </si>
  <si>
    <t>CRQVLK267L</t>
  </si>
  <si>
    <t>G702642073</t>
  </si>
  <si>
    <t>F8Y5495C7SV217WBB</t>
  </si>
  <si>
    <t>F5D301753GJ21PK7A</t>
  </si>
  <si>
    <t>G702269873</t>
  </si>
  <si>
    <t>CWMK67KL27</t>
  </si>
  <si>
    <t>G714404597</t>
  </si>
  <si>
    <t>GH3HS301W870000MUZ</t>
  </si>
  <si>
    <t>GVCHLK02FME0000MUZ</t>
  </si>
  <si>
    <t>G713712615</t>
  </si>
  <si>
    <t>F8Y6164C0AC18FKB8</t>
  </si>
  <si>
    <t>F8Y22420GTR18FLAK</t>
  </si>
  <si>
    <t>G713496359</t>
  </si>
  <si>
    <t>MHYYGG9QMH</t>
  </si>
  <si>
    <t>GDP2TN9J2D</t>
  </si>
  <si>
    <t>G713076445</t>
  </si>
  <si>
    <t>FV9HD70047T00003P0</t>
  </si>
  <si>
    <t>FV9HE400JEX00003P0</t>
  </si>
  <si>
    <t>G710997033</t>
  </si>
  <si>
    <t>F8Y6045C1TL18FKBN</t>
  </si>
  <si>
    <t>FG922342C5618FMAZ</t>
  </si>
  <si>
    <t>G710072213</t>
  </si>
  <si>
    <t>FV9522200FK23YJAM</t>
  </si>
  <si>
    <t>C02H67001MT0000H9F</t>
  </si>
  <si>
    <t>G708948411</t>
  </si>
  <si>
    <t>K72HXW7G7P</t>
  </si>
  <si>
    <t>G708826685</t>
  </si>
  <si>
    <t>GXX09D6NQ4</t>
  </si>
  <si>
    <t>K6K0X9DX23</t>
  </si>
  <si>
    <t>G708254341</t>
  </si>
  <si>
    <t>F8Y6062C5FM18FKBG</t>
  </si>
  <si>
    <t>FG9207700PU18FM4E</t>
  </si>
  <si>
    <t>G707517931</t>
  </si>
  <si>
    <t>GMGHLJ004590000GVL</t>
  </si>
  <si>
    <t>FP1HHM006310000G29</t>
  </si>
  <si>
    <t>G707362703</t>
  </si>
  <si>
    <t>FMXHNK0000P00006J3</t>
  </si>
  <si>
    <t>FP1HBQ0008X0000FQX</t>
  </si>
  <si>
    <t>G707061865</t>
  </si>
  <si>
    <t>F8Y5455C0CK13XCBV</t>
  </si>
  <si>
    <t>F8Y13730NFK13XC8J</t>
  </si>
  <si>
    <t>G689415586</t>
  </si>
  <si>
    <t>F8Y6096C2ZSM6YNDZ</t>
  </si>
  <si>
    <t>FG920740X02M6YRCC</t>
  </si>
  <si>
    <t>G706509909</t>
  </si>
  <si>
    <t>M20TLJL2KF</t>
  </si>
  <si>
    <t>F7V0RQY274</t>
  </si>
  <si>
    <t>G706500657</t>
  </si>
  <si>
    <t>GD2TCWF9L2</t>
  </si>
  <si>
    <t>CV0Q1W2H2H</t>
  </si>
  <si>
    <t>G705803035</t>
  </si>
  <si>
    <t>F8Y5372C4RU14LWCL</t>
  </si>
  <si>
    <t>F5D137101A914LX92</t>
  </si>
  <si>
    <t>G702641567</t>
  </si>
  <si>
    <t>C02201604JY170HAU</t>
  </si>
  <si>
    <t>C021436052H170H18</t>
  </si>
  <si>
    <t>G702379221</t>
  </si>
  <si>
    <t>F0YHMJ002TF0000GVK</t>
  </si>
  <si>
    <t>GMGHHY003210000GVL</t>
  </si>
  <si>
    <t>G701075351</t>
  </si>
  <si>
    <t>H92P0GW297</t>
  </si>
  <si>
    <t>DWV7N6M6YY</t>
  </si>
  <si>
    <t>G701062993</t>
  </si>
  <si>
    <t>K6PTPF462R</t>
  </si>
  <si>
    <t>G716333365</t>
  </si>
  <si>
    <t>F8Y6066C5LH13XCBZ</t>
  </si>
  <si>
    <t>F8Y20862FR213XC80</t>
  </si>
  <si>
    <t>G711769313</t>
  </si>
  <si>
    <t>FMXHNL0023J00006J3</t>
  </si>
  <si>
    <t>FMXHCL0049P00006J3</t>
  </si>
  <si>
    <t>G691501870</t>
  </si>
  <si>
    <t>F8Y6062C32P18FKBM</t>
  </si>
  <si>
    <t>F8Y408506LX18FLBN</t>
  </si>
  <si>
    <t>G709147273</t>
  </si>
  <si>
    <t>F8Y6057C1SY18FKB8</t>
  </si>
  <si>
    <t>FG922751Z8J18FMAF</t>
  </si>
  <si>
    <t>G708809211</t>
  </si>
  <si>
    <t>HNYHJA0015B0000JTA</t>
  </si>
  <si>
    <t>HNYHH4001K20000JTA</t>
  </si>
  <si>
    <t>G707615729</t>
  </si>
  <si>
    <t>F8Y6056CA9X18FKBJ</t>
  </si>
  <si>
    <t>FG94175094E18FMBG</t>
  </si>
  <si>
    <t>G704617147</t>
  </si>
  <si>
    <t>661-50125</t>
  </si>
  <si>
    <t>Trackpad, Starlight</t>
  </si>
  <si>
    <t>FM7HND0AR2Q0000J45</t>
  </si>
  <si>
    <t>G704395189</t>
  </si>
  <si>
    <t>661-15732</t>
  </si>
  <si>
    <t>Space Gray, Display</t>
  </si>
  <si>
    <t>F0Y5166001EPXGRAZ</t>
  </si>
  <si>
    <t>FMX039715LAPXGVAB</t>
  </si>
  <si>
    <t>G702819575</t>
  </si>
  <si>
    <t>MXCMW5741N</t>
  </si>
  <si>
    <t>G700972859</t>
  </si>
  <si>
    <t>F8Y5464C3VW217WBF</t>
  </si>
  <si>
    <t>F8Y25360STC217W7B</t>
  </si>
  <si>
    <t>G700708291</t>
  </si>
  <si>
    <t>FMXHNM0056M00006J3</t>
  </si>
  <si>
    <t>FP1HCN00ASJ0000FQX</t>
  </si>
  <si>
    <t>G700079973</t>
  </si>
  <si>
    <t>DN8HJ107TL700006S2</t>
  </si>
  <si>
    <t>DN8HK203XA500006S2</t>
  </si>
  <si>
    <t>G716290493</t>
  </si>
  <si>
    <t>F8Y6183C8EE18FKBF</t>
  </si>
  <si>
    <t>F8Y13861SDL18FKA6</t>
  </si>
  <si>
    <t>G697258838</t>
  </si>
  <si>
    <t>GH3HRV01V080000MUZ</t>
  </si>
  <si>
    <t>GVCHL601Z9T0000MUZ</t>
  </si>
  <si>
    <t>G714980791</t>
  </si>
  <si>
    <t>F8Y6172C70K18FKBP</t>
  </si>
  <si>
    <t>F8Y3455089D18FLAE</t>
  </si>
  <si>
    <t>G714528297</t>
  </si>
  <si>
    <t>F8Y5456C5C9Q4C2BW</t>
  </si>
  <si>
    <t>F8Y04912241Q4C297</t>
  </si>
  <si>
    <t>G714503073</t>
  </si>
  <si>
    <t>G9P5385M28QPQCLA3</t>
  </si>
  <si>
    <t>G9P3505M0M6PQCLAC</t>
  </si>
  <si>
    <t>G694450350</t>
  </si>
  <si>
    <t>F8Y6127C0CJQ687B5</t>
  </si>
  <si>
    <t>FG903762LDEQ68935</t>
  </si>
  <si>
    <t>G712439129</t>
  </si>
  <si>
    <t>F8Y5473C9E014LWC6</t>
  </si>
  <si>
    <t>F5D21660NLR14LXAX</t>
  </si>
  <si>
    <t>G690026038</t>
  </si>
  <si>
    <t>KJLC1Q4D4L</t>
  </si>
  <si>
    <t>DG77H7CYQJ</t>
  </si>
  <si>
    <t>G707378141</t>
  </si>
  <si>
    <t>F8Y5385A02V217XBX</t>
  </si>
  <si>
    <t>F8Y3164066T231LAN</t>
  </si>
  <si>
    <t>G706035035</t>
  </si>
  <si>
    <t>GVH538105FEPR5PAK</t>
  </si>
  <si>
    <t>GVH45130VPGPR5PAP</t>
  </si>
  <si>
    <t>G706015209</t>
  </si>
  <si>
    <t>GVH515503PEPR5PA4</t>
  </si>
  <si>
    <t>GVH51161J99PR5PAA</t>
  </si>
  <si>
    <t>G705121901</t>
  </si>
  <si>
    <t>F8Y5425C12H18FKB3</t>
  </si>
  <si>
    <t>FG933130FLW18FMA4</t>
  </si>
  <si>
    <t>G704994133</t>
  </si>
  <si>
    <t>F8Y5527C41EQ687B3</t>
  </si>
  <si>
    <t>F8Y04367TSLQ6872P</t>
  </si>
  <si>
    <t>G704773521</t>
  </si>
  <si>
    <t>DNMHP101S290000QTE</t>
  </si>
  <si>
    <t>GCFHMW0M1RP0000QT9</t>
  </si>
  <si>
    <t>G704691595</t>
  </si>
  <si>
    <t>G3J2X5XK52</t>
  </si>
  <si>
    <t>G700977081</t>
  </si>
  <si>
    <t>F8Y5447C2Y4Q687BK</t>
  </si>
  <si>
    <t>F8Y04364PKXQ6882B</t>
  </si>
  <si>
    <t>G699558293</t>
  </si>
  <si>
    <t>GMGHLH001GX0000GVL</t>
  </si>
  <si>
    <t>FP1HGL009H30000G29</t>
  </si>
  <si>
    <t>G682713624</t>
  </si>
  <si>
    <t>G9P5263LBHDPQCKAR</t>
  </si>
  <si>
    <t>G9P2142KD57PQCKAH</t>
  </si>
  <si>
    <t>G698544937</t>
  </si>
  <si>
    <t>F16542501910J9VAH</t>
  </si>
  <si>
    <t>HVY52720BQ827HDA0</t>
  </si>
  <si>
    <t>G698270893</t>
  </si>
  <si>
    <t>661-42410</t>
  </si>
  <si>
    <t>40W Dynamic Power Adapter with 60W Max</t>
  </si>
  <si>
    <t>F16HKP00BLH0000NXY</t>
  </si>
  <si>
    <t>G716714647</t>
  </si>
  <si>
    <t>F8Y6162C0HT217WBR</t>
  </si>
  <si>
    <t>F8Y23561TT6217W79</t>
  </si>
  <si>
    <t>G697256888</t>
  </si>
  <si>
    <t>F8Y6166C1QZ20J9BG</t>
  </si>
  <si>
    <t>F8Y30450V8320J92A</t>
  </si>
  <si>
    <t>G713647223</t>
  </si>
  <si>
    <t>GMG606100YDNR89BA</t>
  </si>
  <si>
    <t>F0Y320502K3NR89BQ</t>
  </si>
  <si>
    <t>G713391515</t>
  </si>
  <si>
    <t>GMGHMR000TM0000GVL</t>
  </si>
  <si>
    <t>FP1HG50018V0000G2A</t>
  </si>
  <si>
    <t>G711453807</t>
  </si>
  <si>
    <t>F8Y6136C1A518FKBM</t>
  </si>
  <si>
    <t>FG9243701LF18FNAQ</t>
  </si>
  <si>
    <t>G710542839</t>
  </si>
  <si>
    <t>F8Y6057CC5718FKBH</t>
  </si>
  <si>
    <t>FG9327611YR18FMAY</t>
  </si>
  <si>
    <t>G710427501</t>
  </si>
  <si>
    <t>F8Y5473C65H14LWCK</t>
  </si>
  <si>
    <t>F5D14833DJP14LX95</t>
  </si>
  <si>
    <t>G710338243</t>
  </si>
  <si>
    <t>KH95T6VYH4</t>
  </si>
  <si>
    <t>H2F5QD7NGP</t>
  </si>
  <si>
    <t>G709750073</t>
  </si>
  <si>
    <t>GMGHLC00BWA0000GVL</t>
  </si>
  <si>
    <t>GMGHMK004U00000GVK</t>
  </si>
  <si>
    <t>G709612721</t>
  </si>
  <si>
    <t>F8Y5455C6DA13XCBV</t>
  </si>
  <si>
    <t>F8Y204114BX13XC8A</t>
  </si>
  <si>
    <t>G708614381</t>
  </si>
  <si>
    <t>CYM6TXDNHC</t>
  </si>
  <si>
    <t>DGW7963FPK</t>
  </si>
  <si>
    <t>G707423725</t>
  </si>
  <si>
    <t>J6P5GXWMQ4</t>
  </si>
  <si>
    <t>HV951WWH9L</t>
  </si>
  <si>
    <t>G705333403</t>
  </si>
  <si>
    <t>F8Y5507C8B818FKBF</t>
  </si>
  <si>
    <t>FG93195039P18FNAX</t>
  </si>
  <si>
    <t>G704603129</t>
  </si>
  <si>
    <t>JTG9F74PQ4</t>
  </si>
  <si>
    <t>HF277R29T4</t>
  </si>
  <si>
    <t>G703956559</t>
  </si>
  <si>
    <t>F8Y5426C6UB14LWC2</t>
  </si>
  <si>
    <t>F5D20434E1K14LX91</t>
  </si>
  <si>
    <t>G702727747</t>
  </si>
  <si>
    <t>G9P5324M57CPQCLA0</t>
  </si>
  <si>
    <t>G9N23072M94PQCLAN</t>
  </si>
  <si>
    <t>G702691235</t>
  </si>
  <si>
    <t>G9Q5446S1DZ21KHA8</t>
  </si>
  <si>
    <t>G9Q5344U24121KHAV</t>
  </si>
  <si>
    <t>G702349275</t>
  </si>
  <si>
    <t>DYC4LQV55Y</t>
  </si>
  <si>
    <t>G685247864</t>
  </si>
  <si>
    <t>F8YHN3C07GF00006TP</t>
  </si>
  <si>
    <t>F5DH0P00HBX00006TQ</t>
  </si>
  <si>
    <t>G701383687</t>
  </si>
  <si>
    <t>G4HH0JWD94</t>
  </si>
  <si>
    <t>L37JG4DX09</t>
  </si>
  <si>
    <t>G699562395</t>
  </si>
  <si>
    <t>F8Y5445N22013QFCW</t>
  </si>
  <si>
    <t>F5D24756NG613QGA9</t>
  </si>
  <si>
    <t>G683125474</t>
  </si>
  <si>
    <t>F8Y5483C54MQ4C2B2</t>
  </si>
  <si>
    <t>F5D05131FB8Q4C09L</t>
  </si>
  <si>
    <t>G699460391</t>
  </si>
  <si>
    <t>G9NHFBP37HQ00005DR</t>
  </si>
  <si>
    <t>GH3HAJ02B8900005DS</t>
  </si>
  <si>
    <t>G715994147</t>
  </si>
  <si>
    <t>F8Y6172C51K18FKBN</t>
  </si>
  <si>
    <t>FG9415302Z718FMBK</t>
  </si>
  <si>
    <t>G715304401</t>
  </si>
  <si>
    <t>PA661-18538</t>
  </si>
  <si>
    <t>Power Adapter with Ethernet, 143W, Green, APAC</t>
  </si>
  <si>
    <t>C4H337503UP02KVBW</t>
  </si>
  <si>
    <t>C4H2065036302KVBP</t>
  </si>
  <si>
    <t>G714317701</t>
  </si>
  <si>
    <t>G9P5185M8QCPQCLAX</t>
  </si>
  <si>
    <t>G9P2152PA0UPQCLAY</t>
  </si>
  <si>
    <t>G711989991</t>
  </si>
  <si>
    <t>F8Y6126C5GQ18FKBH</t>
  </si>
  <si>
    <t>FG914270NUS18FN5P</t>
  </si>
  <si>
    <t>G711319801</t>
  </si>
  <si>
    <t>F7C4203C2JVKV27AR</t>
  </si>
  <si>
    <t>C3F9423FDKLKV28AZ</t>
  </si>
  <si>
    <t>F8Y6155C4MZM6YND4</t>
  </si>
  <si>
    <t>F8Y9416046LM6YM7E</t>
  </si>
  <si>
    <t>G710548867</t>
  </si>
  <si>
    <t>GMHHPD004UY00007BV</t>
  </si>
  <si>
    <t>FNJH7G90EN200007BV</t>
  </si>
  <si>
    <t>G710186031</t>
  </si>
  <si>
    <t>G9Q5156F8DCPR5QA3</t>
  </si>
  <si>
    <t>G9Q3194F84RPR5QAD</t>
  </si>
  <si>
    <t>F8Y6056CCW018FKBJ</t>
  </si>
  <si>
    <t>FG932360QCU18FMAD</t>
  </si>
  <si>
    <t>G709307757</t>
  </si>
  <si>
    <t>GH3HQ200DPU0000MUZ</t>
  </si>
  <si>
    <t>G9NHMHP4LPX0000MUY</t>
  </si>
  <si>
    <t>G708568327</t>
  </si>
  <si>
    <t>DN8HJB019GS0000JS5</t>
  </si>
  <si>
    <t>DNMHLB05D190000RYP</t>
  </si>
  <si>
    <t>G708375313</t>
  </si>
  <si>
    <t>G9P5306MK74PQCLAY</t>
  </si>
  <si>
    <t>G9P2104R7A7PQCLAZ</t>
  </si>
  <si>
    <t>G706314893</t>
  </si>
  <si>
    <t>F8Y5516C22313RHCR</t>
  </si>
  <si>
    <t>F5D1502KR8H13RK93</t>
  </si>
  <si>
    <t>G706292849</t>
  </si>
  <si>
    <t>FG9HP4003J500006TT</t>
  </si>
  <si>
    <t>F5DH0J020WT00006TU</t>
  </si>
  <si>
    <t>G705837225</t>
  </si>
  <si>
    <t>F0YHM9003ZA0000GVK</t>
  </si>
  <si>
    <t>GMGHKF0084X0000GVL</t>
  </si>
  <si>
    <t>G702729107</t>
  </si>
  <si>
    <t>F8Y5456C2BJQ4C2BT</t>
  </si>
  <si>
    <t>F5D0423GTT4Q4C09K</t>
  </si>
  <si>
    <t>G699763915</t>
  </si>
  <si>
    <t>F8Y5497C2EH20J9BH</t>
  </si>
  <si>
    <t>F5D2496CQ4N20J89X</t>
  </si>
  <si>
    <t>G699701039</t>
  </si>
  <si>
    <t>F7GG46WR9Q</t>
  </si>
  <si>
    <t>M794V39C0X</t>
  </si>
  <si>
    <t>G699683795</t>
  </si>
  <si>
    <t>GVCHNX039CJ0000MUZ</t>
  </si>
  <si>
    <t>G9NHL8L3GBM0000MUY</t>
  </si>
  <si>
    <t>G699117033</t>
  </si>
  <si>
    <t>D865386N1M8PJYRB6</t>
  </si>
  <si>
    <t>D864373A0Q5PJYRBC</t>
  </si>
  <si>
    <t>G698677971</t>
  </si>
  <si>
    <t>G9PHFCU0YA700005DR</t>
  </si>
  <si>
    <t>GVCH9K03XUT00005DS</t>
  </si>
  <si>
    <t>G714436775</t>
  </si>
  <si>
    <t>G9Q5175PPRVPR5QA8</t>
  </si>
  <si>
    <t>GVH5093085KPR5PA5</t>
  </si>
  <si>
    <t>G710301639</t>
  </si>
  <si>
    <t>HY7QD6WW26JY</t>
  </si>
  <si>
    <t>G698985105</t>
  </si>
  <si>
    <t>C26XL21GCX</t>
  </si>
  <si>
    <t>D79QXMPV2F</t>
  </si>
  <si>
    <t>GVH516521K7PR5PAG</t>
  </si>
  <si>
    <t>GVH51742QDWPR5PAL</t>
  </si>
  <si>
    <t>June</t>
  </si>
  <si>
    <t>G707495579</t>
  </si>
  <si>
    <t>J21QWCF426JY</t>
  </si>
  <si>
    <t>G703967203</t>
  </si>
  <si>
    <t>K3X24P7422</t>
  </si>
  <si>
    <t>G703109325</t>
  </si>
  <si>
    <t>661-25636</t>
  </si>
  <si>
    <t>Logic Board, M2, 8-Core CPU, 10-core GPU, 8 GB, 512 GB</t>
  </si>
  <si>
    <t>FV9415203MC2CCPFZ</t>
  </si>
  <si>
    <t>C02242606Y20W8QAQ</t>
  </si>
  <si>
    <t>Top Sites with Most Used Parts per Month</t>
  </si>
  <si>
    <t>G701667159</t>
  </si>
  <si>
    <t>FMXHNL000BL00006J3</t>
  </si>
  <si>
    <t>FMXHEQ008PR00006J3</t>
  </si>
  <si>
    <t>Most Used Parts per Site</t>
  </si>
  <si>
    <t>G700463375</t>
  </si>
  <si>
    <t>661-42840</t>
  </si>
  <si>
    <t>PinkBack Glass, iPhone 16 Plus</t>
  </si>
  <si>
    <t>HKYHNK004DX0000V5W</t>
  </si>
  <si>
    <t>HKYHC9001XU0000V5W</t>
  </si>
  <si>
    <t>FNJHFVD04ZD00007BV</t>
  </si>
  <si>
    <t>FNJHARD04QZ00007BV</t>
  </si>
  <si>
    <t>Used Parts per Site (Monthly)</t>
  </si>
  <si>
    <t>G712014475</t>
  </si>
  <si>
    <t>FMM2P6LRF2</t>
  </si>
  <si>
    <t>G708569791</t>
  </si>
  <si>
    <t>F8Y6026C5CY217WB5</t>
  </si>
  <si>
    <t>F5D2395GBG421PK7V</t>
  </si>
  <si>
    <t>G712245699</t>
  </si>
  <si>
    <t>ZP661-50272</t>
  </si>
  <si>
    <t>iPad Air 11-inch (M3) Wi-Fi, 512GB, Starlight, CI/AR, CN</t>
  </si>
  <si>
    <t>LC9Q922DNP</t>
  </si>
  <si>
    <t>G709419531</t>
  </si>
  <si>
    <t>G9PHFCK25CG00005DR</t>
  </si>
  <si>
    <t>G9PHJ0S0LFC00005DR</t>
  </si>
  <si>
    <t>Top Site with Most Used Parts</t>
  </si>
  <si>
    <t>G703128749</t>
  </si>
  <si>
    <t>XW03T6X6QC</t>
  </si>
  <si>
    <t>DJQVXLJTWW</t>
  </si>
  <si>
    <t>G708511461</t>
  </si>
  <si>
    <t>661-39915</t>
  </si>
  <si>
    <t>Site Name (DropDown)</t>
  </si>
  <si>
    <t>Cable, USB-C to MagSafe 3, 2m, Silver</t>
  </si>
  <si>
    <t>DLC531201SK2C78AP</t>
  </si>
  <si>
    <t>G708201225</t>
  </si>
  <si>
    <t>J733VXFPYG</t>
  </si>
  <si>
    <t>Parts Description</t>
  </si>
  <si>
    <t>G706948755</t>
  </si>
  <si>
    <t>Month (Dropdown)</t>
  </si>
  <si>
    <t>K3DJLH7ML4</t>
  </si>
  <si>
    <t>G700108181</t>
  </si>
  <si>
    <t>G9PHKZT3B9P00005DP</t>
  </si>
  <si>
    <t>GVCHCA01FCA00005DQ</t>
  </si>
  <si>
    <t>G713152619</t>
  </si>
  <si>
    <t>Description</t>
  </si>
  <si>
    <t>FN2L9J04YV</t>
  </si>
  <si>
    <t>J73K9XP3VP</t>
  </si>
  <si>
    <t>G711184261</t>
  </si>
  <si>
    <t>H3FL2774VN</t>
  </si>
  <si>
    <t>G708696213</t>
  </si>
  <si>
    <t>DN8HBJ0DSG700006S2</t>
  </si>
  <si>
    <t>DN8HGR00UV300006S2</t>
  </si>
  <si>
    <t>DN8HC203NQF00006S2</t>
  </si>
  <si>
    <t>G700178351</t>
  </si>
  <si>
    <t>G9NHPDJ20B70000L4B</t>
  </si>
  <si>
    <t>G9NHLST5TQJ0000L4B</t>
  </si>
  <si>
    <t>G709180931</t>
  </si>
  <si>
    <t>D61M74N9H7</t>
  </si>
  <si>
    <t>G708673393</t>
  </si>
  <si>
    <t>LTQJR37409</t>
  </si>
  <si>
    <t>G708670599</t>
  </si>
  <si>
    <t>G9PHJRS18YA00005DR</t>
  </si>
  <si>
    <t>GVCHBM00RY700005DS</t>
  </si>
  <si>
    <t>G699737037</t>
  </si>
  <si>
    <t>GMG548600GRNR8DBW</t>
  </si>
  <si>
    <t>GMG436501QRNR89BL</t>
  </si>
  <si>
    <t>G705010271</t>
  </si>
  <si>
    <t>G9PHJQS0ZWQ00005DR</t>
  </si>
  <si>
    <t>G9NH99Y27E500005DR</t>
  </si>
  <si>
    <t>G703121949</t>
  </si>
  <si>
    <t>C47P6GCR34</t>
  </si>
  <si>
    <t>G701566201</t>
  </si>
  <si>
    <t>GMG541202ZQ1J87AE</t>
  </si>
  <si>
    <t>G700162425</t>
  </si>
  <si>
    <t>KGPW4M2XK0</t>
  </si>
  <si>
    <t>J6TKQ3MJ27</t>
  </si>
  <si>
    <t>January</t>
  </si>
  <si>
    <t>G699859157</t>
  </si>
  <si>
    <t>LX6YPJ69RQ</t>
  </si>
  <si>
    <t>G698444363</t>
  </si>
  <si>
    <t>923-08212</t>
  </si>
  <si>
    <t>Bottom Speaker, iPhone 14</t>
  </si>
  <si>
    <t>DTV23431JYV1JJC6A</t>
  </si>
  <si>
    <t>DTV50213BCY1JJCAQ</t>
  </si>
  <si>
    <t>DTV23373CTZ1JJC6L</t>
  </si>
  <si>
    <t>G715870409</t>
  </si>
  <si>
    <t>F8Y6057C28R18FKB0</t>
  </si>
  <si>
    <t>G712125991</t>
  </si>
  <si>
    <t>L9MCP2J6XY</t>
  </si>
  <si>
    <t>G710065191</t>
  </si>
  <si>
    <t>FL647QRPFL</t>
  </si>
  <si>
    <t>ZP923-13640</t>
  </si>
  <si>
    <t>Deep Blue, Enclosure, ROW, iPhone 17 Pro</t>
  </si>
  <si>
    <t>FP2HMJ001NR0001AWY</t>
  </si>
  <si>
    <t>DR8HLA0051X0001AWY</t>
  </si>
  <si>
    <t>G706618427</t>
  </si>
  <si>
    <t>ZP661-43550</t>
  </si>
  <si>
    <t>Watch Series 10 GPS, 42mm, Aluminum, Rose Gold, CI/AR, CN, ITP</t>
  </si>
  <si>
    <t>H6HM7V73H9</t>
  </si>
  <si>
    <t>G705786583</t>
  </si>
  <si>
    <t>G9QHQBP2DGP0000L4B</t>
  </si>
  <si>
    <t>G705188929</t>
  </si>
  <si>
    <t>G9PHLUT0PZL00005DP</t>
  </si>
  <si>
    <t>GVCHGX01KMR00005DQ</t>
  </si>
  <si>
    <t>G700334797</t>
  </si>
  <si>
    <t>TA661-45262</t>
  </si>
  <si>
    <t>256GB, White Titanium, ROW, iPhone 16 Pro Max, CI/AR</t>
  </si>
  <si>
    <t>F99MFLQJ6Q</t>
  </si>
  <si>
    <t>JJDY91N2L2</t>
  </si>
  <si>
    <t>G699264535</t>
  </si>
  <si>
    <t>G9NHFBQ392K00005DR</t>
  </si>
  <si>
    <t>GH3HBN01ST800005DS</t>
  </si>
  <si>
    <t>G709588365</t>
  </si>
  <si>
    <t>GGKY646V4T</t>
  </si>
  <si>
    <t>G708614309</t>
  </si>
  <si>
    <t>F0Y543201M41J87AB</t>
  </si>
  <si>
    <t>FP1505500NL25YVA2</t>
  </si>
  <si>
    <t>G706104983</t>
  </si>
  <si>
    <t>H7KQJ0DF1059</t>
  </si>
  <si>
    <t>G699667059</t>
  </si>
  <si>
    <t>PP661-28882</t>
  </si>
  <si>
    <t>iPhone 14, Purple, 512GB, Logic Board Assy Mid System, ROW</t>
  </si>
  <si>
    <t>K5C2P22DKM</t>
  </si>
  <si>
    <t>GK19P63XLC</t>
  </si>
  <si>
    <t>G708147311</t>
  </si>
  <si>
    <t>JVMR76L7QN</t>
  </si>
  <si>
    <t>G686204772</t>
  </si>
  <si>
    <t>GMG535401K91J87AR</t>
  </si>
  <si>
    <t>F0Y434400Q31J88A2</t>
  </si>
  <si>
    <t>G702473293</t>
  </si>
  <si>
    <t>DNMHNG00YFZ0000QTE</t>
  </si>
  <si>
    <t>DNMHNH0055G0000QTE</t>
  </si>
  <si>
    <t>G702450423</t>
  </si>
  <si>
    <t>GXFGY73DXG</t>
  </si>
  <si>
    <t>G698679993</t>
  </si>
  <si>
    <t>HF9KGLXFQD</t>
  </si>
  <si>
    <t>G713256887</t>
  </si>
  <si>
    <t>FV951440BN80W9FLE</t>
  </si>
  <si>
    <t>G708706127</t>
  </si>
  <si>
    <t>HGKW1R2K2N</t>
  </si>
  <si>
    <t>KYHL027331</t>
  </si>
  <si>
    <t>G704584367</t>
  </si>
  <si>
    <t>GMHHAF021MX0000BXF</t>
  </si>
  <si>
    <t>FNJHAKG1JQ90000BXF</t>
  </si>
  <si>
    <t>G704471269</t>
  </si>
  <si>
    <t>C02326300440W9DA8</t>
  </si>
  <si>
    <t>FV9529300DT0W9FLJ</t>
  </si>
  <si>
    <t>G704366349</t>
  </si>
  <si>
    <t>LYQYKMQ914</t>
  </si>
  <si>
    <t>G26HXNV7Y9</t>
  </si>
  <si>
    <t>G704338425</t>
  </si>
  <si>
    <t>661-53102</t>
  </si>
  <si>
    <t>Logic Board, 10-core CPU, 10-core GPU, 24 GB, 512 GB, VN</t>
  </si>
  <si>
    <t>J33HNT00TU40000Z51</t>
  </si>
  <si>
    <t>J33HNF003YX0000VLG</t>
  </si>
  <si>
    <t>J33HNT00TKJ0000Z51</t>
  </si>
  <si>
    <t>F0YHNA001MQ0000UJX</t>
  </si>
  <si>
    <t>F0YHN2007H90000UJX</t>
  </si>
  <si>
    <t>G702378171</t>
  </si>
  <si>
    <t>KC20XMKJLF</t>
  </si>
  <si>
    <t>HYD64677PG</t>
  </si>
  <si>
    <t>G699888269</t>
  </si>
  <si>
    <t>GMG544401MPNR89B0</t>
  </si>
  <si>
    <t>FP1211303NJP3WVBZ</t>
  </si>
  <si>
    <t>G708617175</t>
  </si>
  <si>
    <t>C90KH4MYH7</t>
  </si>
  <si>
    <t>G689415522</t>
  </si>
  <si>
    <t>Q2HG35W3JY</t>
  </si>
  <si>
    <t>G700376569</t>
  </si>
  <si>
    <t>LDF7H2C3J5</t>
  </si>
  <si>
    <t>G700362979</t>
  </si>
  <si>
    <t>G9P5263MNRGPQCLAH</t>
  </si>
  <si>
    <t>G9N2167VF4UPQCLAQ</t>
  </si>
  <si>
    <t>G699902481</t>
  </si>
  <si>
    <t>QJ75X70595</t>
  </si>
  <si>
    <t>G698815851</t>
  </si>
  <si>
    <t>G7JY6XP2RR</t>
  </si>
  <si>
    <t>G707634645</t>
  </si>
  <si>
    <t>J92929P6PN</t>
  </si>
  <si>
    <t>G707403865</t>
  </si>
  <si>
    <t>HDXDC0FVW9</t>
  </si>
  <si>
    <t>FMW66WJ196</t>
  </si>
  <si>
    <t>G704122149</t>
  </si>
  <si>
    <t>PP661-22704</t>
  </si>
  <si>
    <t>Gold, 128 GB, iPhone 13 Pro Max, ROW, CI/AR, Philippines</t>
  </si>
  <si>
    <t>GDKD034GRX</t>
  </si>
  <si>
    <t>G712418065</t>
  </si>
  <si>
    <t>FV9226714590W8QAP</t>
  </si>
  <si>
    <t>C02243300510W8QAA</t>
  </si>
  <si>
    <t>G710317825</t>
  </si>
  <si>
    <t>FM479Q0J22</t>
  </si>
  <si>
    <t>DW7P9QP149</t>
  </si>
  <si>
    <t>G699995199</t>
  </si>
  <si>
    <t>LJX07GF3VT</t>
  </si>
  <si>
    <t>G709519933</t>
  </si>
  <si>
    <t>G9PHFAJ24P500005DR</t>
  </si>
  <si>
    <t>GH3HC102CM700005DS</t>
  </si>
  <si>
    <t>G706704829</t>
  </si>
  <si>
    <t>K7CK03FV30</t>
  </si>
  <si>
    <t>G703434485</t>
  </si>
  <si>
    <t>G6RT63YVK3</t>
  </si>
  <si>
    <t>G702119547</t>
  </si>
  <si>
    <t>JXWC2WND6D</t>
  </si>
  <si>
    <t>G710305293</t>
  </si>
  <si>
    <t>G3PYTWJJKF</t>
  </si>
  <si>
    <t>L7920Y3WNT</t>
  </si>
  <si>
    <t>G708475727</t>
  </si>
  <si>
    <t>GVH51731ZRAPR5PAZ</t>
  </si>
  <si>
    <t>GVH45153N59PR5PAC</t>
  </si>
  <si>
    <t>G704262617</t>
  </si>
  <si>
    <t>F0YHLJ000JA00006J1</t>
  </si>
  <si>
    <t>F0YHJ9002X300006J1</t>
  </si>
  <si>
    <t>G703970045</t>
  </si>
  <si>
    <t>ZP661-54821</t>
  </si>
  <si>
    <t>Silver, Wi-Fi, 256GB, iPad Pro 13-inch (M5), CI/AR, CN</t>
  </si>
  <si>
    <t>LNWK93666R</t>
  </si>
  <si>
    <t>CV20R2QHYX</t>
  </si>
  <si>
    <t>G701173139</t>
  </si>
  <si>
    <t>FMXHNL001DL00006J3</t>
  </si>
  <si>
    <t>FP1HEV0017D0000FQX</t>
  </si>
  <si>
    <t>G698677969</t>
  </si>
  <si>
    <t>G9PHF5K1YNX00005DR</t>
  </si>
  <si>
    <t>G9PHFCJ0KJF00005DR</t>
  </si>
  <si>
    <t>GVCHA2014R100005DS</t>
  </si>
  <si>
    <t>G698580077</t>
  </si>
  <si>
    <t>G9PHJAU0G2L00005DR</t>
  </si>
  <si>
    <t>GH3HFB02CPW00005DS</t>
  </si>
  <si>
    <t>G708022483</t>
  </si>
  <si>
    <t>J2DMV69LYH</t>
  </si>
  <si>
    <t>G692455012</t>
  </si>
  <si>
    <t>G9P5186MB3DPQCLAM</t>
  </si>
  <si>
    <t>G709059959</t>
  </si>
  <si>
    <t>JXG2W1T0HJ</t>
  </si>
  <si>
    <t>G705476709</t>
  </si>
  <si>
    <t>Back Glass</t>
  </si>
  <si>
    <t>HD7517RW9Q</t>
  </si>
  <si>
    <t>G704108879</t>
  </si>
  <si>
    <t>Rear System</t>
  </si>
  <si>
    <t>TA661-45322</t>
  </si>
  <si>
    <t>256GB, White Titanium, ROW, iPhone 16 Pro Max, Logic Board Assy Mid Syst</t>
  </si>
  <si>
    <t>F3DK22PQ72</t>
  </si>
  <si>
    <t>MID System</t>
  </si>
  <si>
    <t>G703893009</t>
  </si>
  <si>
    <t>GW3VX1GWQC</t>
  </si>
  <si>
    <t>G703866645</t>
  </si>
  <si>
    <t>G6TK45120M</t>
  </si>
  <si>
    <t>G703473497</t>
  </si>
  <si>
    <t>February</t>
  </si>
  <si>
    <t>March</t>
  </si>
  <si>
    <t>April</t>
  </si>
  <si>
    <t>H5W23VX9JT</t>
  </si>
  <si>
    <t>May</t>
  </si>
  <si>
    <t>KXD0XN7QJR</t>
  </si>
  <si>
    <t>July</t>
  </si>
  <si>
    <t>G702523951</t>
  </si>
  <si>
    <t>F73PWNQGH1</t>
  </si>
  <si>
    <t>G682419928</t>
  </si>
  <si>
    <t>HQ7V7X71T6</t>
  </si>
  <si>
    <t>G693907524</t>
  </si>
  <si>
    <t>J6VF0XNWPC</t>
  </si>
  <si>
    <t>G708014779</t>
  </si>
  <si>
    <t>ZP661-28929</t>
  </si>
  <si>
    <t>Silver, iPad 10th generation, 256GB, Cellular, ITP</t>
  </si>
  <si>
    <t>CM4TQHW0YV</t>
  </si>
  <si>
    <t>G705974721</t>
  </si>
  <si>
    <t>DNMHPX01MX20000RYP</t>
  </si>
  <si>
    <t>DN8HKR07CR70000RYQ</t>
  </si>
  <si>
    <t>661-56126</t>
  </si>
  <si>
    <t>Front Camera, iPhone 17 Pro</t>
  </si>
  <si>
    <t>DTTHKR00HRY0000QTS</t>
  </si>
  <si>
    <t>DTTHK501T7R0000QTS</t>
  </si>
  <si>
    <t>G705590861</t>
  </si>
  <si>
    <t>F6NP4XQ3QX</t>
  </si>
  <si>
    <t>G705436971</t>
  </si>
  <si>
    <t>LQ2CYD6YX7</t>
  </si>
  <si>
    <t>G704901779</t>
  </si>
  <si>
    <t>DTTHME00KAE000004D</t>
  </si>
  <si>
    <t>DTTHGY00Y9B000004D</t>
  </si>
  <si>
    <t>G702485723</t>
  </si>
  <si>
    <t>DN8HJX02P4G0000JS5</t>
  </si>
  <si>
    <t>DNMHN7009BJ0000RYP</t>
  </si>
  <si>
    <t>G699371713</t>
  </si>
  <si>
    <t>GMHHE8037DQ00007BV</t>
  </si>
  <si>
    <t>GMHHE80277C00007BV</t>
  </si>
  <si>
    <t>G704339047</t>
  </si>
  <si>
    <t>LF4X79JMXF</t>
  </si>
  <si>
    <t>G702933413</t>
  </si>
  <si>
    <t>G9P5352M8C9PQCLAC</t>
  </si>
  <si>
    <t>G9P5134M5E9PQCLAF</t>
  </si>
  <si>
    <t>G9N2133NLJ8PQCLAX</t>
  </si>
  <si>
    <t>G702726117</t>
  </si>
  <si>
    <t>J33HNP000E20000PC8</t>
  </si>
  <si>
    <t>FV9HF70149K00003P0</t>
  </si>
  <si>
    <t>G701156745</t>
  </si>
  <si>
    <t>TTX59NYXKQ</t>
  </si>
  <si>
    <t>G698962525</t>
  </si>
  <si>
    <t>F0Y543100X41J87AH</t>
  </si>
  <si>
    <t>FP1541303XB25YVAR</t>
  </si>
  <si>
    <t>G708155885</t>
  </si>
  <si>
    <t>GC4CM47JWK</t>
  </si>
  <si>
    <t>G706338703</t>
  </si>
  <si>
    <t>ZP661-39193</t>
  </si>
  <si>
    <t>Silver, iPad Pro 11-inch (M4), 256GB, Wi-Fi, ITP</t>
  </si>
  <si>
    <t>HHVW50JLFP</t>
  </si>
  <si>
    <t>G706003057</t>
  </si>
  <si>
    <t>D865507N1ZFPJYRBJ</t>
  </si>
  <si>
    <t>G698818485</t>
  </si>
  <si>
    <t>M596TTH7NV</t>
  </si>
  <si>
    <t>G698393603</t>
  </si>
  <si>
    <t>F0YHL20035U00006J1</t>
  </si>
  <si>
    <t>FP1HD6000AL0000FQX</t>
  </si>
  <si>
    <t>G691398722</t>
  </si>
  <si>
    <t>L7WK6JRKW0</t>
  </si>
  <si>
    <t>G706680021</t>
  </si>
  <si>
    <t>661-32190</t>
  </si>
  <si>
    <t>F8Y5527N19Z0J9TB4</t>
  </si>
  <si>
    <t>F5D25055F9ZQ1LWBV</t>
  </si>
  <si>
    <t>G706485419</t>
  </si>
  <si>
    <t>KY47TLJJG6</t>
  </si>
  <si>
    <t>DXKX4YMW05</t>
  </si>
  <si>
    <t>G700856683</t>
  </si>
  <si>
    <t>H7KQ80381059</t>
  </si>
  <si>
    <t>G700835349</t>
  </si>
  <si>
    <t>H7KQ600B1059</t>
  </si>
  <si>
    <t>H2KGX9JA1059</t>
  </si>
  <si>
    <t>G700831893</t>
  </si>
  <si>
    <t>H7KQ803M1059</t>
  </si>
  <si>
    <t>H2KGXBW71059</t>
  </si>
  <si>
    <t>G711446845</t>
  </si>
  <si>
    <t>GMHHG800S760000BXF</t>
  </si>
  <si>
    <t>GMHH8U013C40000BXF</t>
  </si>
  <si>
    <t>G710989889</t>
  </si>
  <si>
    <t>G60F54FDJ5</t>
  </si>
  <si>
    <t>G702541241</t>
  </si>
  <si>
    <t>ZP661-40865</t>
  </si>
  <si>
    <t>Purple, iPad Air 11-inch (M2), 1TB, Cellular, ITP</t>
  </si>
  <si>
    <t>MJJL2RKY64</t>
  </si>
  <si>
    <t>G683132566</t>
  </si>
  <si>
    <t>GCT76GFWWQ</t>
  </si>
  <si>
    <t>CX1L7X76W0</t>
  </si>
  <si>
    <t>G699332977</t>
  </si>
  <si>
    <t>G72MW4R4MD</t>
  </si>
  <si>
    <t>G711890863</t>
  </si>
  <si>
    <t>D865123N0J3PJYRBA</t>
  </si>
  <si>
    <t>D864294A01QPJYRBN</t>
  </si>
  <si>
    <t>G706264879</t>
  </si>
  <si>
    <t>HD4LXP6QRX</t>
  </si>
  <si>
    <t>KCG9G4YJH1</t>
  </si>
  <si>
    <t>G703223319</t>
  </si>
  <si>
    <t>MYVK9NJWFT</t>
  </si>
  <si>
    <t>G702431223</t>
  </si>
  <si>
    <t>K7W6GT46CD</t>
  </si>
  <si>
    <t>G683507006</t>
  </si>
  <si>
    <t>J3WRDQM0WH</t>
  </si>
  <si>
    <t>F4K96NN4N5</t>
  </si>
  <si>
    <t>G712864099</t>
  </si>
  <si>
    <t>DNM40951LXS1QDC7P</t>
  </si>
  <si>
    <t>G708685719</t>
  </si>
  <si>
    <t>JR3D90DH9L</t>
  </si>
  <si>
    <t>G708509931</t>
  </si>
  <si>
    <t>HVGKP62992</t>
  </si>
  <si>
    <t>G707506871</t>
  </si>
  <si>
    <t>F8Y5134CCWU18FKB0</t>
  </si>
  <si>
    <t>FG95415012118FNBL</t>
  </si>
  <si>
    <t>G705324257</t>
  </si>
  <si>
    <t>H1WQMJF4LK</t>
  </si>
  <si>
    <t>G701875583</t>
  </si>
  <si>
    <t>HL90RRQLQX</t>
  </si>
  <si>
    <t>G701154359</t>
  </si>
  <si>
    <t>GVCHP202EX80000U6M</t>
  </si>
  <si>
    <t>GVCHNG02MWY0000U6M</t>
  </si>
  <si>
    <t>G699057953</t>
  </si>
  <si>
    <t>HNJ7GN4R4F</t>
  </si>
  <si>
    <t>DY2QN6MMC6</t>
  </si>
  <si>
    <t>G704244041</t>
  </si>
  <si>
    <t>GT94W592C0</t>
  </si>
  <si>
    <t>G701871675</t>
  </si>
  <si>
    <t>M2XV63YG4V</t>
  </si>
  <si>
    <t>J77170YJFY</t>
  </si>
  <si>
    <t>G701553559</t>
  </si>
  <si>
    <t>DXV2XJXFTF</t>
  </si>
  <si>
    <t>G701142591</t>
  </si>
  <si>
    <t>J0Y91XG20T</t>
  </si>
  <si>
    <t>G698441997</t>
  </si>
  <si>
    <t>F8Y5482N0AH13QFCG</t>
  </si>
  <si>
    <t>F8Y4404086W10X2CR</t>
  </si>
  <si>
    <t>G708495793</t>
  </si>
  <si>
    <t>F0Y541700F21J88AY</t>
  </si>
  <si>
    <t>FP1510702KG25YTAT</t>
  </si>
  <si>
    <t>G704622463</t>
  </si>
  <si>
    <t>F0Y552500ZY2525AB</t>
  </si>
  <si>
    <t>DCN403604DC2526AY</t>
  </si>
  <si>
    <t>G704497033</t>
  </si>
  <si>
    <t>G9QHBSP1DKC00004Y9</t>
  </si>
  <si>
    <t>G9NHF3L24B400004Y9</t>
  </si>
  <si>
    <t>G9NHHFL27LH00004Y9</t>
  </si>
  <si>
    <t>G9QHE1L0YWE00004Y9</t>
  </si>
  <si>
    <t>G703978923</t>
  </si>
  <si>
    <t>GVH53720F3EPR5PAD</t>
  </si>
  <si>
    <t>G9P5354CPBEPR5QA2</t>
  </si>
  <si>
    <t>G698388847</t>
  </si>
  <si>
    <t>G2KKWRQ7PC</t>
  </si>
  <si>
    <t>GR9994GCQR</t>
  </si>
  <si>
    <t>GVCHJH01QZN0000MUZ</t>
  </si>
  <si>
    <t>GH3HK6022UD0000MUZ</t>
  </si>
  <si>
    <t>G714183785</t>
  </si>
  <si>
    <t>DNMHMQ03Y9V0000QTE</t>
  </si>
  <si>
    <t>DNMHQJ01HJG0000QTE</t>
  </si>
  <si>
    <t>G711319809</t>
  </si>
  <si>
    <t>F0Y5523007W2525AR</t>
  </si>
  <si>
    <t>DCN403401ZK2526A4</t>
  </si>
  <si>
    <t>G709057541</t>
  </si>
  <si>
    <t>J21R32J026JY</t>
  </si>
  <si>
    <t>G710281199</t>
  </si>
  <si>
    <t>J22QT7Q826K0</t>
  </si>
  <si>
    <t>G707523553</t>
  </si>
  <si>
    <t>HFYGX2G5WR</t>
  </si>
  <si>
    <t>G704457577</t>
  </si>
  <si>
    <t>WJK3HJXNNM</t>
  </si>
  <si>
    <t>G703699491</t>
  </si>
  <si>
    <t>CFV5QCJQM3</t>
  </si>
  <si>
    <t>G699057491</t>
  </si>
  <si>
    <t>KNW0J7VV9W</t>
  </si>
  <si>
    <t>DHGQDJGNFH</t>
  </si>
  <si>
    <t>G713981505</t>
  </si>
  <si>
    <t>F8YHLQH024G0000UMJ</t>
  </si>
  <si>
    <t>F8YHHRH0H4B0000UMJ</t>
  </si>
  <si>
    <t>G712213833</t>
  </si>
  <si>
    <t>F8Y5457C0BK237KBQ</t>
  </si>
  <si>
    <t>F8Y2533094F211P3Y</t>
  </si>
  <si>
    <t>G712210549</t>
  </si>
  <si>
    <t>GH3HR800PEZ0000MUZ</t>
  </si>
  <si>
    <t>G9PHMSE13HW0000MUY</t>
  </si>
  <si>
    <t>GVCHRP03QU50000MUZ</t>
  </si>
  <si>
    <t>G711401077</t>
  </si>
  <si>
    <t>F8Y5457C262217WBB</t>
  </si>
  <si>
    <t>F5D2472071Y21PK74</t>
  </si>
  <si>
    <t>G710411639</t>
  </si>
  <si>
    <t>GX1HS10NKRV0000B31</t>
  </si>
  <si>
    <t>G709757179</t>
  </si>
  <si>
    <t>FV931740HJE1WP1D1</t>
  </si>
  <si>
    <t>HXK33130FJ61WP0DB</t>
  </si>
  <si>
    <t>661-15412</t>
  </si>
  <si>
    <t>Touch ID</t>
  </si>
  <si>
    <t>F5854640LAGMHY8ABB</t>
  </si>
  <si>
    <t>G708720789</t>
  </si>
  <si>
    <t>F8Y6057CK4M18FKBZ</t>
  </si>
  <si>
    <t>FG9145327CH18FM4L</t>
  </si>
  <si>
    <t>G708685773</t>
  </si>
  <si>
    <t>G9PHJRS1Y5000005DR</t>
  </si>
  <si>
    <t>G9PHG9J1LTY00005DR</t>
  </si>
  <si>
    <t>G708393719</t>
  </si>
  <si>
    <t>JC24713XJ3</t>
  </si>
  <si>
    <t>GCR4NK9JQN</t>
  </si>
  <si>
    <t>G707590355</t>
  </si>
  <si>
    <t>FTL6096086S2FH8AB</t>
  </si>
  <si>
    <t>G706936399</t>
  </si>
  <si>
    <t>G9P5326Q3EC1PHRAH</t>
  </si>
  <si>
    <t>GVC34154JAQ1PHTAL</t>
  </si>
  <si>
    <t>G706932613</t>
  </si>
  <si>
    <t>661-35876</t>
  </si>
  <si>
    <t>GHQ615300402FRYB5</t>
  </si>
  <si>
    <t>GHQ341100VU1R7WB5</t>
  </si>
  <si>
    <t>G686885732</t>
  </si>
  <si>
    <t>C02HKG000410000PFH</t>
  </si>
  <si>
    <t>C02HH70057W0000PQC</t>
  </si>
  <si>
    <t>G703238491</t>
  </si>
  <si>
    <t>GX1HPZ054CH0000B2Z</t>
  </si>
  <si>
    <t>GX1HPS02WKU0000B31</t>
  </si>
  <si>
    <t>G701870851</t>
  </si>
  <si>
    <t>GH3HN70032U0000MUZ</t>
  </si>
  <si>
    <t>G9PHLRV57Y30000MUY</t>
  </si>
  <si>
    <t>G701526671</t>
  </si>
  <si>
    <t>F2RW0R3T7R</t>
  </si>
  <si>
    <t>JK05GXDHW5</t>
  </si>
  <si>
    <t>G700747531</t>
  </si>
  <si>
    <t>TA661-55152</t>
  </si>
  <si>
    <t>Silver, 512GB, iPhone 17 Pro, ROW, CI/AR, Taiwan</t>
  </si>
  <si>
    <t>DFWW27VJ17</t>
  </si>
  <si>
    <t>L924GMG7VG</t>
  </si>
  <si>
    <t>G699642563</t>
  </si>
  <si>
    <t>C02H9E002L80000F6Y</t>
  </si>
  <si>
    <t>C02H9E001GT0000F6Y</t>
  </si>
  <si>
    <t>661-40221</t>
  </si>
  <si>
    <t>Touch ID Board, Silver, Space Gray, Starlight</t>
  </si>
  <si>
    <t>F5854060MD414KRAGC</t>
  </si>
  <si>
    <t>G699073355</t>
  </si>
  <si>
    <t>CXY42C7RHH</t>
  </si>
  <si>
    <t>G698335081</t>
  </si>
  <si>
    <t>FV933040SWL1WP0D4</t>
  </si>
  <si>
    <t>HXK504306141N08GK</t>
  </si>
  <si>
    <t>F5844820WVPMHY8ACB</t>
  </si>
  <si>
    <t>G713304485</t>
  </si>
  <si>
    <t>F8Y5337C98513XCBH</t>
  </si>
  <si>
    <t>F5D149501UY13X996</t>
  </si>
  <si>
    <t>PP661-22710</t>
  </si>
  <si>
    <t>Graphite, 512 GB, iPhone 13 Pro Max, ROW, CI/AR, Philippines</t>
  </si>
  <si>
    <t>QJY6Q2HQ7W</t>
  </si>
  <si>
    <t>F23D9V0H63</t>
  </si>
  <si>
    <t>G713278215</t>
  </si>
  <si>
    <t>F8Y6153C0NJ20J9BA</t>
  </si>
  <si>
    <t>F8Y2385272Z20JC2Z</t>
  </si>
  <si>
    <t>G9P5256N2J114YDA1</t>
  </si>
  <si>
    <t>G9N2385PDSB14YDAN</t>
  </si>
  <si>
    <t>G694511896</t>
  </si>
  <si>
    <t>F8Y6175C5CMM6YND2</t>
  </si>
  <si>
    <t>FG901340D39M6YQB1</t>
  </si>
  <si>
    <t>G712555753</t>
  </si>
  <si>
    <t>GH3HS800SFD0000MUZ</t>
  </si>
  <si>
    <t>GVCHM504QK70000MUZ</t>
  </si>
  <si>
    <t>G712467171</t>
  </si>
  <si>
    <t>DH0QD7171T</t>
  </si>
  <si>
    <t>JRDYYVJ777</t>
  </si>
  <si>
    <t>G711540573</t>
  </si>
  <si>
    <t>FV9537501YK0W9FL5</t>
  </si>
  <si>
    <t>FV951370PGB0W9DLK</t>
  </si>
  <si>
    <t>G710672257</t>
  </si>
  <si>
    <t>C4H33340BGUPF4FC6</t>
  </si>
  <si>
    <t>G709863231</t>
  </si>
  <si>
    <t>F8Y5496C3WB13XCB1</t>
  </si>
  <si>
    <t>F5D13723WBD13X99E</t>
  </si>
  <si>
    <t>G708204393</t>
  </si>
  <si>
    <t>GX1HPZ04T7H0000B2Z</t>
  </si>
  <si>
    <t>G688657560</t>
  </si>
  <si>
    <t>HH4NWG94J7</t>
  </si>
  <si>
    <t>L2PL99P9RJ</t>
  </si>
  <si>
    <t>G705736903</t>
  </si>
  <si>
    <t>G9PHK1T1NHW00005DP</t>
  </si>
  <si>
    <t>GVCHAV05XEU00005DQ</t>
  </si>
  <si>
    <t>G704637545</t>
  </si>
  <si>
    <t>661-27536</t>
  </si>
  <si>
    <t>Cable, USB-C to MagSafe 3, 2m, Starlight</t>
  </si>
  <si>
    <t>FTL541704H7279JAB</t>
  </si>
  <si>
    <t>G702987443</t>
  </si>
  <si>
    <t>F8Y5501C0ZNQ4C2BC</t>
  </si>
  <si>
    <t>F5D0486D4MSQ4C09S</t>
  </si>
  <si>
    <t>661-18172</t>
  </si>
  <si>
    <t>Camera, iPhone 12 Pro Max</t>
  </si>
  <si>
    <t>DN84133GXLSH1HW1V</t>
  </si>
  <si>
    <t>DN82515L3M3H1HW13</t>
  </si>
  <si>
    <t>DN80496Y7VPH1HW4U</t>
  </si>
  <si>
    <t>G702986843</t>
  </si>
  <si>
    <t>G9Q5175CG3QPR5QAH</t>
  </si>
  <si>
    <t>GVH511733SVPR5PAF</t>
  </si>
  <si>
    <t>G702695967</t>
  </si>
  <si>
    <t>F8Y5457C25V217WBM</t>
  </si>
  <si>
    <t>F5D247221RL21PK7C</t>
  </si>
  <si>
    <t>G701577751</t>
  </si>
  <si>
    <t>G9P5152M7KDPQCLAQ</t>
  </si>
  <si>
    <t>G9Q2134X108PQCLA6</t>
  </si>
  <si>
    <t>G701145439</t>
  </si>
  <si>
    <t>FPW6022L00AQ1GQBL</t>
  </si>
  <si>
    <t>D865435N157PJYRB2</t>
  </si>
  <si>
    <t>D861044AFH9PJYRA3</t>
  </si>
  <si>
    <t>G700066767</t>
  </si>
  <si>
    <t>F8Y5507C7WG18FKBK</t>
  </si>
  <si>
    <t>FG9149214LQ18FM4J</t>
  </si>
  <si>
    <t>G700014897</t>
  </si>
  <si>
    <t>C0DV7FC60M</t>
  </si>
  <si>
    <t>F74MFP0MK6</t>
  </si>
  <si>
    <t>G699575685</t>
  </si>
  <si>
    <t>F5854670QHX14KRAHC</t>
  </si>
  <si>
    <t>FV9501204B60W9GLZ</t>
  </si>
  <si>
    <t>G699324531</t>
  </si>
  <si>
    <t>FTL54260B3T2FH9A1</t>
  </si>
  <si>
    <t>G714547909</t>
  </si>
  <si>
    <t>LRWD762X07</t>
  </si>
  <si>
    <t>GNXYR2NC6V</t>
  </si>
  <si>
    <t>G714445139</t>
  </si>
  <si>
    <t>923-12444</t>
  </si>
  <si>
    <t>Speakers, Left and Right, MBA (15-in, M4, 2025)</t>
  </si>
  <si>
    <t>CTHHK41A5SQ0000NUR</t>
  </si>
  <si>
    <t>G694210290</t>
  </si>
  <si>
    <t>H7FHP817GJP0000UHY</t>
  </si>
  <si>
    <t>G712446053</t>
  </si>
  <si>
    <t>F8Y5041C0UXM6YND0</t>
  </si>
  <si>
    <t>F8Y417100VAM6YNDD</t>
  </si>
  <si>
    <t>G712348543</t>
  </si>
  <si>
    <t>C02HMG001NJ0000P0S</t>
  </si>
  <si>
    <t>C02HE7001EN0000KL4</t>
  </si>
  <si>
    <t>G712259411</t>
  </si>
  <si>
    <t>F8Y6157CCC7217WBC</t>
  </si>
  <si>
    <t>F8Y32340W5H217WAT</t>
  </si>
  <si>
    <t>G711977785</t>
  </si>
  <si>
    <t>661-16827</t>
  </si>
  <si>
    <t>Trackpad, Gold, MBA (M1, 2020)</t>
  </si>
  <si>
    <t>FM75522A63ZN4J7CG</t>
  </si>
  <si>
    <t>G711767243</t>
  </si>
  <si>
    <t>GVCHPX02DSU0000MUZ</t>
  </si>
  <si>
    <t>G9PHMSG1PHQ0000MUY</t>
  </si>
  <si>
    <t>G711748039</t>
  </si>
  <si>
    <t>FV9HBM00MC30000HG2</t>
  </si>
  <si>
    <t>FV9HFR009TK0000HG2</t>
  </si>
  <si>
    <t>G710909493</t>
  </si>
  <si>
    <t>HL9K39PFWP</t>
  </si>
  <si>
    <t>JPX2L669DT</t>
  </si>
  <si>
    <t>G710665677</t>
  </si>
  <si>
    <t>F8Y6132C3R818FKB9</t>
  </si>
  <si>
    <t>FG9232712CF18FMAF</t>
  </si>
  <si>
    <t>G710006737</t>
  </si>
  <si>
    <t>DMKQ6RK66V</t>
  </si>
  <si>
    <t>G02L4WFP37</t>
  </si>
  <si>
    <t>G709593881</t>
  </si>
  <si>
    <t>F8Y6096C0D6Q4C2BQ</t>
  </si>
  <si>
    <t>F5D0453KS48Q4C09Z</t>
  </si>
  <si>
    <t>G708719657</t>
  </si>
  <si>
    <t>F0Y541500Y61J88AD</t>
  </si>
  <si>
    <t>GMG534300E61J87AE</t>
  </si>
  <si>
    <t>CKX51731AVU1LD7A7</t>
  </si>
  <si>
    <t>G708625055</t>
  </si>
  <si>
    <t>Display, Sky Blue, MBA (15-in, M4, 2025)</t>
  </si>
  <si>
    <t>GMGHMN002Z80000HX1</t>
  </si>
  <si>
    <t>GMGHD50007A0000HX1</t>
  </si>
  <si>
    <t>G690474634</t>
  </si>
  <si>
    <t>F0Y543201391J87AS</t>
  </si>
  <si>
    <t>FP1509102WA25YTAE</t>
  </si>
  <si>
    <t>CKX45120HY91LD7AX</t>
  </si>
  <si>
    <t>G701690723</t>
  </si>
  <si>
    <t>G9Q5453UGN621KHAM</t>
  </si>
  <si>
    <t>GVH43962BJ01PHLA8</t>
  </si>
  <si>
    <t>G698457157</t>
  </si>
  <si>
    <t>FK1HNB00HG600001A2</t>
  </si>
  <si>
    <t>DTTHD800YA1000004D</t>
  </si>
  <si>
    <t>G697273250</t>
  </si>
  <si>
    <t>F8Y5256CARC13XCBN</t>
  </si>
  <si>
    <t>F5D1326D9JH13X98U</t>
  </si>
  <si>
    <t>G713543973</t>
  </si>
  <si>
    <t>F8Y6163C11P18FKBQ</t>
  </si>
  <si>
    <t>FG9319701NJ18FMAY</t>
  </si>
  <si>
    <t>G712543567</t>
  </si>
  <si>
    <t>GTK7M570KF</t>
  </si>
  <si>
    <t>LW2Y99Q76T</t>
  </si>
  <si>
    <t>G712435075</t>
  </si>
  <si>
    <t>F8Y6056C0JF18FKBH</t>
  </si>
  <si>
    <t>F8Y32440DD418FLAC</t>
  </si>
  <si>
    <t>G710658823</t>
  </si>
  <si>
    <t>GN3HRT0HSKS0000B31</t>
  </si>
  <si>
    <t>G710112519</t>
  </si>
  <si>
    <t>M29T1DJGYY</t>
  </si>
  <si>
    <t>J4TP9F2GXF</t>
  </si>
  <si>
    <t>G708457827</t>
  </si>
  <si>
    <t>GMG549200WFNR8DBZ</t>
  </si>
  <si>
    <t>FP1146603TTP3WWAT</t>
  </si>
  <si>
    <t>G707728725</t>
  </si>
  <si>
    <t>G9PHK7S1VB800005DR</t>
  </si>
  <si>
    <t>GH3HFP00QYS00005DS</t>
  </si>
  <si>
    <t>G707055631</t>
  </si>
  <si>
    <t>Z661-16847</t>
  </si>
  <si>
    <t>AirPods 2, Left, CI/AR, INT</t>
  </si>
  <si>
    <t>H17R3034JJNV</t>
  </si>
  <si>
    <t>H17R50GJJJNW</t>
  </si>
  <si>
    <t>G705136551</t>
  </si>
  <si>
    <t>F8Y6011C57320J9BC</t>
  </si>
  <si>
    <t>F5D32543QHV20J7AP</t>
  </si>
  <si>
    <t>DN85265A79U1CDK1B</t>
  </si>
  <si>
    <t>DN83174EMPZ1CDK1B</t>
  </si>
  <si>
    <t>G704901899</t>
  </si>
  <si>
    <t>C02316700UW0W9DA9</t>
  </si>
  <si>
    <t>FV9516203TN0W9FLP</t>
  </si>
  <si>
    <t>G703834771</t>
  </si>
  <si>
    <t>G9Q5171ELCQ1502A5</t>
  </si>
  <si>
    <t>GVC447403X91503A4</t>
  </si>
  <si>
    <t>G701693321</t>
  </si>
  <si>
    <t>GVH51660DLUPR5PAK</t>
  </si>
  <si>
    <t>GVH52161Y9APR5PAU</t>
  </si>
  <si>
    <t>G700743629</t>
  </si>
  <si>
    <t>F32V62CVWC</t>
  </si>
  <si>
    <t>C9WDQGDGQ6</t>
  </si>
  <si>
    <t>G699450087</t>
  </si>
  <si>
    <t>HY8HP402QCE0000UHZ</t>
  </si>
  <si>
    <t>H3VHNY0EYEB0000UHY</t>
  </si>
  <si>
    <t>G713948549</t>
  </si>
  <si>
    <t>F8Y6137C20118FKBK</t>
  </si>
  <si>
    <t>F8Y214209Z918FLAR</t>
  </si>
  <si>
    <t>G709036485</t>
  </si>
  <si>
    <t>FG9HRG004NF00006TT</t>
  </si>
  <si>
    <t>F5DGYE01K4Y00006TU</t>
  </si>
  <si>
    <t>G707596121</t>
  </si>
  <si>
    <t>GFJP365C18JP</t>
  </si>
  <si>
    <t>G687553674</t>
  </si>
  <si>
    <t>923-06931</t>
  </si>
  <si>
    <t>USB-C to Lightning Cable, 1m</t>
  </si>
  <si>
    <t>FGJ43951V848</t>
  </si>
  <si>
    <t>G703855677</t>
  </si>
  <si>
    <t>C022504009U0W9GAH</t>
  </si>
  <si>
    <t>FV951440HG00W9FL0</t>
  </si>
  <si>
    <t>F5854750TPC1JLQAHC</t>
  </si>
  <si>
    <t>G703460733</t>
  </si>
  <si>
    <t>H2CQC1GR1JG3</t>
  </si>
  <si>
    <t>H2CNR0GJ1JG3</t>
  </si>
  <si>
    <t>H2CQW04K1JG4</t>
  </si>
  <si>
    <t>H2CNP16J1JG4</t>
  </si>
  <si>
    <t>G685035862</t>
  </si>
  <si>
    <t>F8YHP9C00XV00006U0</t>
  </si>
  <si>
    <t>F8YGZS10EKZ00006U2</t>
  </si>
  <si>
    <t>G699364235</t>
  </si>
  <si>
    <t>K2M20JHXYJ</t>
  </si>
  <si>
    <t>XW0R7247KC</t>
  </si>
  <si>
    <t>G696184690</t>
  </si>
  <si>
    <t>F1653641P6426MKA2</t>
  </si>
  <si>
    <t>G711891759</t>
  </si>
  <si>
    <t>M46F9Q3YM2</t>
  </si>
  <si>
    <t>G2PYQG6Y3W</t>
  </si>
  <si>
    <t>G711236789</t>
  </si>
  <si>
    <t>GQQ2W2V7VJ</t>
  </si>
  <si>
    <t>K296D2G9R0</t>
  </si>
  <si>
    <t>G710909311</t>
  </si>
  <si>
    <t>G0NHJF0152N0000HKZ</t>
  </si>
  <si>
    <t>GMHHAF009HN0000BXF</t>
  </si>
  <si>
    <t>G691490132</t>
  </si>
  <si>
    <t>C06HLQ0S1VY00009JP</t>
  </si>
  <si>
    <t>GPV514701UG00009JM</t>
  </si>
  <si>
    <t>G708462667</t>
  </si>
  <si>
    <t>K02VQ595MW</t>
  </si>
  <si>
    <t>F417G7RHW5</t>
  </si>
  <si>
    <t>G708257605</t>
  </si>
  <si>
    <t>F8Y13510MP013XC8N</t>
  </si>
  <si>
    <t>G708033549</t>
  </si>
  <si>
    <t>LFF9QVXK3K</t>
  </si>
  <si>
    <t>JV4H3FYFPJ</t>
  </si>
  <si>
    <t>G707424941</t>
  </si>
  <si>
    <t>FMXHNN002MA00006J3</t>
  </si>
  <si>
    <t>GQ454650U1J2501AD</t>
  </si>
  <si>
    <t>Top Case, ANSI, Silver, MBP (14-in, M4 Pro/Max, 2024)</t>
  </si>
  <si>
    <t>F8YHPJN081D0000FWL</t>
  </si>
  <si>
    <t>F5DHFK007R30000FWJ</t>
  </si>
  <si>
    <t>G704346545</t>
  </si>
  <si>
    <t>661-35861</t>
  </si>
  <si>
    <t>Logic Board, 8-Core CPU, 10-Core GPU, 24GB, 1TB</t>
  </si>
  <si>
    <t>C02H930001F000028V</t>
  </si>
  <si>
    <t>661-35887</t>
  </si>
  <si>
    <t>Display, Purple</t>
  </si>
  <si>
    <t>GHQ4355009F1R80BK</t>
  </si>
  <si>
    <t>GHQ414600ZK1R80BF</t>
  </si>
  <si>
    <t>GHQ4355007F1R80BR</t>
  </si>
  <si>
    <t>G686888116</t>
  </si>
  <si>
    <t>F73327YCQ4</t>
  </si>
  <si>
    <t>CXY6VPQFHM</t>
  </si>
  <si>
    <t>G703710409</t>
  </si>
  <si>
    <t>GVCHMJ00GX20000MUZ</t>
  </si>
  <si>
    <t>GH3HMK01CS10000MUZ</t>
  </si>
  <si>
    <t>G701147585</t>
  </si>
  <si>
    <t>F8Y5456CCE6217WB8</t>
  </si>
  <si>
    <t>F8Y23631DFQ217W77</t>
  </si>
  <si>
    <t>G699849639</t>
  </si>
  <si>
    <t>F8Y5347C69JQ687B3</t>
  </si>
  <si>
    <t>FG910252NDRQ68938</t>
  </si>
  <si>
    <t>G699633971</t>
  </si>
  <si>
    <t>GX1HJQ1D02F0000B31</t>
  </si>
  <si>
    <t>G715340001</t>
  </si>
  <si>
    <t>F8Y6156C9B5217WBM</t>
  </si>
  <si>
    <t>F5D2297371G21PK72</t>
  </si>
  <si>
    <t>G715339333</t>
  </si>
  <si>
    <t>DN8HR200TQN0000JS5</t>
  </si>
  <si>
    <t>DN8HLN0B0NJ0000RYQ</t>
  </si>
  <si>
    <t>G714451511</t>
  </si>
  <si>
    <t>GMG539601ZX1J87AF</t>
  </si>
  <si>
    <t>FP1510501V825YTA8</t>
  </si>
  <si>
    <t>G712261917</t>
  </si>
  <si>
    <t>G9P4467ML9GPQCLAW</t>
  </si>
  <si>
    <t>G9Q2321YF4HPQCLA6</t>
  </si>
  <si>
    <t>G711985361</t>
  </si>
  <si>
    <t>H2RC4QJT21</t>
  </si>
  <si>
    <t>JWGTK9993X</t>
  </si>
  <si>
    <t>G711855271</t>
  </si>
  <si>
    <t>TA661-36900</t>
  </si>
  <si>
    <t>Natural, iPhone 15 Pro Max, 512GB, ROW, CI/AR, Taiwan</t>
  </si>
  <si>
    <t>FCXP90PK7M</t>
  </si>
  <si>
    <t>D2NM27CWW4</t>
  </si>
  <si>
    <t>G711440683</t>
  </si>
  <si>
    <t>F8Y6136C9GL18FKBE</t>
  </si>
  <si>
    <t>FG932330REP18FMAE</t>
  </si>
  <si>
    <t>G692828984</t>
  </si>
  <si>
    <t>FMXHRS001M200006J3</t>
  </si>
  <si>
    <t>FMXHEC001W400006J3</t>
  </si>
  <si>
    <t>GQ454650MDP2501AD</t>
  </si>
  <si>
    <t>G710289461</t>
  </si>
  <si>
    <t>F0Y5431029A1J87A7</t>
  </si>
  <si>
    <t>FP1510403EN25YTA4</t>
  </si>
  <si>
    <t>G710014125</t>
  </si>
  <si>
    <t>F0Y541500B41J88AA</t>
  </si>
  <si>
    <t>GMG3374059E1J87AC</t>
  </si>
  <si>
    <t>G709308009</t>
  </si>
  <si>
    <t>G7QFRXC721</t>
  </si>
  <si>
    <t>FQ57T01FGX</t>
  </si>
  <si>
    <t>G708514895</t>
  </si>
  <si>
    <t>F8Y6056CNS318FKBH</t>
  </si>
  <si>
    <t>F8Y411507ES18FLBW</t>
  </si>
  <si>
    <t>G708183767</t>
  </si>
  <si>
    <t>G9QHNTT00R200004Y9</t>
  </si>
  <si>
    <t>G9QHF2L1YLB00004Y9</t>
  </si>
  <si>
    <t>G703518119</t>
  </si>
  <si>
    <t>TA661-42907</t>
  </si>
  <si>
    <t>512GB, Desert Titanium, ROW, iPhone 16 Pro, CI/AR</t>
  </si>
  <si>
    <t>LWLG7DG4Q7</t>
  </si>
  <si>
    <t>CDF00G7TTX</t>
  </si>
  <si>
    <t>G702315387</t>
  </si>
  <si>
    <t>GRKQ5Q6TYT</t>
  </si>
  <si>
    <t>FFHFQ4VVV5</t>
  </si>
  <si>
    <t>G699268667</t>
  </si>
  <si>
    <t>G9P5352M3L1PQCLA1</t>
  </si>
  <si>
    <t>G9N2154Q6QZPQCLAP</t>
  </si>
  <si>
    <t>G698410459</t>
  </si>
  <si>
    <t>F0YHKP0013M00006J1</t>
  </si>
  <si>
    <t>FP1HB400A7K0000FQX</t>
  </si>
  <si>
    <t>G694503612</t>
  </si>
  <si>
    <t>F8Y6156C62418FKB1</t>
  </si>
  <si>
    <t>F8Y41350KLX18FLBP</t>
  </si>
  <si>
    <t>G712082649</t>
  </si>
  <si>
    <t>ZP661-42974</t>
  </si>
  <si>
    <t>Space Gray, 256GB, iPad mini, Wi-Fi, CI/AR, ITP</t>
  </si>
  <si>
    <t>GY4L2F65QY</t>
  </si>
  <si>
    <t>K64QQMJQHC</t>
  </si>
  <si>
    <t>G711962239</t>
  </si>
  <si>
    <t>661-21974</t>
  </si>
  <si>
    <t>Space Gray, Top Case, ANSI, MBP (16-in, 2021)</t>
  </si>
  <si>
    <t>F8Y6145N1CJ0J9TB7</t>
  </si>
  <si>
    <t>F5D21555UBH0VC5B6</t>
  </si>
  <si>
    <t>G711889283</t>
  </si>
  <si>
    <t>G9PHK8G149300005DP</t>
  </si>
  <si>
    <t>G9NHBWG3WVJ00005DP</t>
  </si>
  <si>
    <t>G709199595</t>
  </si>
  <si>
    <t>G0NHGH00SK20000HKZ</t>
  </si>
  <si>
    <t>GMHHG000M4V0000BXF</t>
  </si>
  <si>
    <t>G709185185</t>
  </si>
  <si>
    <t>F8Y6031C1J2237KBY</t>
  </si>
  <si>
    <t>G706617267</t>
  </si>
  <si>
    <t>GH3HQ100QG70000MUZ</t>
  </si>
  <si>
    <t>GH3HLA00RY20000MUZ</t>
  </si>
  <si>
    <t>G706273493</t>
  </si>
  <si>
    <t>CTH449316270807AF</t>
  </si>
  <si>
    <t>DXY51672LP808055W</t>
  </si>
  <si>
    <t>G700000649</t>
  </si>
  <si>
    <t>G9PHPBU5AUJ0000L4B</t>
  </si>
  <si>
    <t>G9PHM6Y4YD40000L4B</t>
  </si>
  <si>
    <t>G714941231</t>
  </si>
  <si>
    <t>FG2HE900VJS0000FD3</t>
  </si>
  <si>
    <t>GMHH7401JV80005354</t>
  </si>
  <si>
    <t>G714714577</t>
  </si>
  <si>
    <t>GMG6147010WNR8DBF</t>
  </si>
  <si>
    <t>FP1124505YJP3WVAV</t>
  </si>
  <si>
    <t>G710999945</t>
  </si>
  <si>
    <t>G9P4444MFEJPQCLAT</t>
  </si>
  <si>
    <t>G9N1336V75VPQCLA5</t>
  </si>
  <si>
    <t>FK1604201070N78AA</t>
  </si>
  <si>
    <t>GMH13262K4KQ8YF41</t>
  </si>
  <si>
    <t>G710274609</t>
  </si>
  <si>
    <t>GVH51661ZXAPR5PAF</t>
  </si>
  <si>
    <t>GVH45160ATJPR5PAR</t>
  </si>
  <si>
    <t>G707599645</t>
  </si>
  <si>
    <t>F8YH2U0025K00000E4</t>
  </si>
  <si>
    <t>G707079135</t>
  </si>
  <si>
    <t>661-36908</t>
  </si>
  <si>
    <t>White Titanium, Back Glass, iPhone 15 Pro Max</t>
  </si>
  <si>
    <t>DRCHLS005K6000023V</t>
  </si>
  <si>
    <t>J0MGYY006RU000023V</t>
  </si>
  <si>
    <t>G706148991</t>
  </si>
  <si>
    <t>CQ9WVJGX3T</t>
  </si>
  <si>
    <t>G704888311</t>
  </si>
  <si>
    <t>FV923360L0D1D15AG</t>
  </si>
  <si>
    <t>C02320500H71D15AU</t>
  </si>
  <si>
    <t>G704760657</t>
  </si>
  <si>
    <t>G9P5363M0B1PQCLAT</t>
  </si>
  <si>
    <t>G9P2156R8GXPQCLA7</t>
  </si>
  <si>
    <t>G703640055</t>
  </si>
  <si>
    <t>F16425502DU0J9VA7</t>
  </si>
  <si>
    <t>HVY53340SDR27HDAA</t>
  </si>
  <si>
    <t>FTL542601DH2FH9AR</t>
  </si>
  <si>
    <t>G701865949</t>
  </si>
  <si>
    <t>HR2T2VQX5Y</t>
  </si>
  <si>
    <t>M0MJ7J7PHH</t>
  </si>
  <si>
    <t>G699911291</t>
  </si>
  <si>
    <t>F8Y5506CRJ818FKBC</t>
  </si>
  <si>
    <t>F8Y403200BC1YP05E</t>
  </si>
  <si>
    <t>G682736876</t>
  </si>
  <si>
    <t>HXK43020BZX1N08DF</t>
  </si>
  <si>
    <t>FWX50434YD402K9AP0</t>
  </si>
  <si>
    <t>F584465175MMHY8AAB</t>
  </si>
  <si>
    <t>G698999923</t>
  </si>
  <si>
    <t>F8Y5465C61C20J9B0</t>
  </si>
  <si>
    <t>F8Y23920DAJ20JC2Q</t>
  </si>
  <si>
    <t>G698307699</t>
  </si>
  <si>
    <t>G9P5384M80YPQCLAE</t>
  </si>
  <si>
    <t>G9P2202RBNFPQCLAL</t>
  </si>
  <si>
    <t>G714337625</t>
  </si>
  <si>
    <t>G9P1361U28EPQCLAE</t>
  </si>
  <si>
    <t>G712806329</t>
  </si>
  <si>
    <t>F8Y6154C40418FKBB</t>
  </si>
  <si>
    <t>F8Y413606U718FLB1</t>
  </si>
  <si>
    <t>G712450893</t>
  </si>
  <si>
    <t>G9P4232M0MZPQCLAD</t>
  </si>
  <si>
    <t>G9N2167VBGCPQCLA8</t>
  </si>
  <si>
    <t>G712120817</t>
  </si>
  <si>
    <t>F8Y6133C1FD18FKB1</t>
  </si>
  <si>
    <t>FG9328514BH18FMAW</t>
  </si>
  <si>
    <t>GVH51660TWVPR5PA8</t>
  </si>
  <si>
    <t>G9Q3237TC7DPR5QAQ</t>
  </si>
  <si>
    <t>G711854357</t>
  </si>
  <si>
    <t>F8Y6155C49KM6YNDL</t>
  </si>
  <si>
    <t>F8Y04930DVXM6YMBM</t>
  </si>
  <si>
    <t>G692823084</t>
  </si>
  <si>
    <t>Trackpad, Starlight, MBA (13-in, M4, 2025)</t>
  </si>
  <si>
    <t>FM7HND0ASJT0000J45</t>
  </si>
  <si>
    <t>G710887479</t>
  </si>
  <si>
    <t>G9Q5494VKBC1502AY</t>
  </si>
  <si>
    <t>GVC44810EZZ1503AX</t>
  </si>
  <si>
    <t>G709193421</t>
  </si>
  <si>
    <t>F8Y6056C3PP18FKBR</t>
  </si>
  <si>
    <t>PW7WVXJ33V</t>
  </si>
  <si>
    <t>G706339937</t>
  </si>
  <si>
    <t>G9Q5174WHK31502AR</t>
  </si>
  <si>
    <t>GVC445401VB1503AG</t>
  </si>
  <si>
    <t>G706033257</t>
  </si>
  <si>
    <t>G9Q5151FA9EPR5QAG</t>
  </si>
  <si>
    <t>GVH53270DZNPR5PAV</t>
  </si>
  <si>
    <t>G705240535</t>
  </si>
  <si>
    <t>F8Y5455C0Y813XCBE</t>
  </si>
  <si>
    <t>F8Y203408QU13XC87</t>
  </si>
  <si>
    <t>G704841867</t>
  </si>
  <si>
    <t>FV95192040A0W9GL3</t>
  </si>
  <si>
    <t>FV9517607RV0W9GLA</t>
  </si>
  <si>
    <t>G703886053</t>
  </si>
  <si>
    <t>HN207Y0XM3</t>
  </si>
  <si>
    <t>CTVV61VXV1</t>
  </si>
  <si>
    <t>G703831911</t>
  </si>
  <si>
    <t>GVH51740JV7PR5PA7</t>
  </si>
  <si>
    <t>G9Q5161F08VPR5QAB</t>
  </si>
  <si>
    <t>G703609489</t>
  </si>
  <si>
    <t>G9Q5177C9CMPR5QAY</t>
  </si>
  <si>
    <t>GVH50672P8EPR5PAK</t>
  </si>
  <si>
    <t>G700822717</t>
  </si>
  <si>
    <t>G9Q5444WFJE1502AR</t>
  </si>
  <si>
    <t>GVC442608AM1503AV</t>
  </si>
  <si>
    <t>G700502615</t>
  </si>
  <si>
    <t>FVH3X9L67J</t>
  </si>
  <si>
    <t>G700459019</t>
  </si>
  <si>
    <t>GMG54510067NR89BU</t>
  </si>
  <si>
    <t>FP13335008R249XAE</t>
  </si>
  <si>
    <t>G699578337</t>
  </si>
  <si>
    <t>FYJQD754G3</t>
  </si>
  <si>
    <t>G27VGJ63JR</t>
  </si>
  <si>
    <t>GX1HNS2LAAW0000B2Z</t>
  </si>
  <si>
    <t>G697483866</t>
  </si>
  <si>
    <t>661-30387</t>
  </si>
  <si>
    <t>Purple, Back Glass, iPhone 14 Plus</t>
  </si>
  <si>
    <t>HKY34170479237RAQ</t>
  </si>
  <si>
    <t>HKY23860B3V237RAT</t>
  </si>
  <si>
    <t>G713656009</t>
  </si>
  <si>
    <t>G0NHC200E8Z0000HKZ</t>
  </si>
  <si>
    <t>FNJHAXG1PND0000BXF</t>
  </si>
  <si>
    <t>G713615295</t>
  </si>
  <si>
    <t>CF046Y90NX</t>
  </si>
  <si>
    <t>FHKGCQQ2M7</t>
  </si>
  <si>
    <t>G711854653</t>
  </si>
  <si>
    <t>F8Y6135C12B14LWCF</t>
  </si>
  <si>
    <t>F5D13644YWE14LX9W</t>
  </si>
  <si>
    <t>G711619963</t>
  </si>
  <si>
    <t>G9QHRHP48VV0000L4B</t>
  </si>
  <si>
    <t>28747353789561G</t>
  </si>
  <si>
    <t>G711312653</t>
  </si>
  <si>
    <t>F8Y6126C7TD18FKBT</t>
  </si>
  <si>
    <t>FG922670UMW18FMA7</t>
  </si>
  <si>
    <t>G708287855</t>
  </si>
  <si>
    <t>LLJYHL9099</t>
  </si>
  <si>
    <t>D3HY6NGVV9</t>
  </si>
  <si>
    <t>G706929633</t>
  </si>
  <si>
    <t>GVCHPZ027GS0000MUZ</t>
  </si>
  <si>
    <t>G9NHMRN87AA0000MUY</t>
  </si>
  <si>
    <t>G703857909</t>
  </si>
  <si>
    <t>F8Y5143C39L18FKBA</t>
  </si>
  <si>
    <t>F8Y234112PW18FLA3</t>
  </si>
  <si>
    <t>G703850317</t>
  </si>
  <si>
    <t>G9P5263MPPNPQCLAG</t>
  </si>
  <si>
    <t>G9N1302LC3JPQCLAP</t>
  </si>
  <si>
    <t>G703750767</t>
  </si>
  <si>
    <t>H17QR0FTLX2Y</t>
  </si>
  <si>
    <t>GN1MX3TBLX2Y</t>
  </si>
  <si>
    <t>H17R10PNJJNV</t>
  </si>
  <si>
    <t>G700181601</t>
  </si>
  <si>
    <t>G9PHKYT2V0W00005DP</t>
  </si>
  <si>
    <t>GVCH9S04HRN00005DQ</t>
  </si>
  <si>
    <t>G683738600</t>
  </si>
  <si>
    <t>G72KQ7XG4H</t>
  </si>
  <si>
    <t>DN7TVK14JP</t>
  </si>
  <si>
    <t>G698938377</t>
  </si>
  <si>
    <t>GX1HNQ2DTUB0000B31</t>
  </si>
  <si>
    <t>G698320217</t>
  </si>
  <si>
    <t>G9P5385MFCJPQCLAJ</t>
  </si>
  <si>
    <t>G9N1483SP2YPQCLAR</t>
  </si>
  <si>
    <t>G698319341</t>
  </si>
  <si>
    <t>F8Y5431C3G3Q687B8</t>
  </si>
  <si>
    <t>FG905241RAEQ6893T</t>
  </si>
  <si>
    <t>G698271205</t>
  </si>
  <si>
    <t>C4H4356127WPF4FCS</t>
  </si>
  <si>
    <t>G714950091</t>
  </si>
  <si>
    <t>GH3HS9010YT0000MUZ</t>
  </si>
  <si>
    <t>G9NHKKP39J80000MUY</t>
  </si>
  <si>
    <t>G714870757</t>
  </si>
  <si>
    <t>F8Y6154C83313RHC7</t>
  </si>
  <si>
    <t>F8Y230304FZ13RFBC</t>
  </si>
  <si>
    <t>G714037717</t>
  </si>
  <si>
    <t>F0YHMD001ES0000GVK</t>
  </si>
  <si>
    <t>FP1HP5002WX0000G2A</t>
  </si>
  <si>
    <t>G713643021</t>
  </si>
  <si>
    <t>GN1HSH0STLB0000B30</t>
  </si>
  <si>
    <t>G711850585</t>
  </si>
  <si>
    <t>DNL53030K161986AJ</t>
  </si>
  <si>
    <t>DNL32740E8K1986B5</t>
  </si>
  <si>
    <t>G711849241</t>
  </si>
  <si>
    <t>HY7RG17V26JY</t>
  </si>
  <si>
    <t>G710862693</t>
  </si>
  <si>
    <t>C02231700PV0W9GA4</t>
  </si>
  <si>
    <t>FV950360N1T0W9FLF</t>
  </si>
  <si>
    <t>661-26143</t>
  </si>
  <si>
    <t>Touch ID, MBA (M2, 2022)</t>
  </si>
  <si>
    <t>F5854740P0F14KRAHL</t>
  </si>
  <si>
    <t>G710531885</t>
  </si>
  <si>
    <t>D60DKYXX4J</t>
  </si>
  <si>
    <t>G74KN9FG26</t>
  </si>
  <si>
    <t>G709773833</t>
  </si>
  <si>
    <t>GH3HQK02N6H0000MUZ</t>
  </si>
  <si>
    <t>GH3HKK01E380000MUZ</t>
  </si>
  <si>
    <t>G709659247</t>
  </si>
  <si>
    <t>F8Y6056CHG118FKBL</t>
  </si>
  <si>
    <t>F8Y22630M5L18FLAA</t>
  </si>
  <si>
    <t>G709647619</t>
  </si>
  <si>
    <t>LPJ4GVFYKR</t>
  </si>
  <si>
    <t>LFMJWNR9DC</t>
  </si>
  <si>
    <t>G709592863</t>
  </si>
  <si>
    <t>F8Y6122C2TM231LB3</t>
  </si>
  <si>
    <t>FG930770Y3422WL6G</t>
  </si>
  <si>
    <t>G691401422</t>
  </si>
  <si>
    <t>GVCHFC003BB00005DQ</t>
  </si>
  <si>
    <t>G9PHBXT1PE900005DP</t>
  </si>
  <si>
    <t>G705661931</t>
  </si>
  <si>
    <t>J21QV2CZ26JY</t>
  </si>
  <si>
    <t>G705608461</t>
  </si>
  <si>
    <t>DN8HFZ09VT800002MW</t>
  </si>
  <si>
    <t>DN8HE40D5J100005KQ</t>
  </si>
  <si>
    <t>G705343143</t>
  </si>
  <si>
    <t>661-30395</t>
  </si>
  <si>
    <t>Watch Magnetic Fast Charging Cable, USB-C, Braided, 1m, Aluminum</t>
  </si>
  <si>
    <t>FTL533602KG2FP0AW</t>
  </si>
  <si>
    <t>G703904577</t>
  </si>
  <si>
    <t>F8Y5425C8HF18FKBM</t>
  </si>
  <si>
    <t>FG933530ATW18FMAA</t>
  </si>
  <si>
    <t>G702985743</t>
  </si>
  <si>
    <t>F8Y5527C3ZKQ687B5</t>
  </si>
  <si>
    <t>F8Y121218C1Q688A3</t>
  </si>
  <si>
    <t>G701655965</t>
  </si>
  <si>
    <t>G9PHK8F12F400005DP</t>
  </si>
  <si>
    <t>GVCHEA0283S00005DQ</t>
  </si>
  <si>
    <t>G701532173</t>
  </si>
  <si>
    <t>661-40236</t>
  </si>
  <si>
    <t>Logic Board, M3, 8-core CPU, 10-core GPU, 16 GB, 512 GB</t>
  </si>
  <si>
    <t>C02H890001W0000FN6</t>
  </si>
  <si>
    <t>FV9HDB017J80000FN6</t>
  </si>
  <si>
    <t>G701309285</t>
  </si>
  <si>
    <t>GMG536601VUNR8DBU</t>
  </si>
  <si>
    <t>GMG14170C0UNR89A0</t>
  </si>
  <si>
    <t>G699912543</t>
  </si>
  <si>
    <t>F8Y5516C7KS13RHCE</t>
  </si>
  <si>
    <t>F8Y20870UYS13RFBM</t>
  </si>
  <si>
    <t>G699384715</t>
  </si>
  <si>
    <t>F8Y5462C2JQ18FKB6</t>
  </si>
  <si>
    <t>F8Y247608H918FKAR</t>
  </si>
  <si>
    <t>G698999075</t>
  </si>
  <si>
    <t>F8Y5447C0W8Q687BP</t>
  </si>
  <si>
    <t>F8Y12070VTPQ687AK</t>
  </si>
  <si>
    <t>G698315857</t>
  </si>
  <si>
    <t>G9PHJEK0HQ100005DR</t>
  </si>
  <si>
    <t>GH3HCQ00SU000005DS</t>
  </si>
  <si>
    <t>G716600283</t>
  </si>
  <si>
    <t>F8Y6173C4CT18FKBF</t>
  </si>
  <si>
    <t>F8Y326205R418FLAE</t>
  </si>
  <si>
    <t>G713493413</t>
  </si>
  <si>
    <t>G9P5263N61D14YDA2</t>
  </si>
  <si>
    <t>G9N3015Q9PY14YDAY</t>
  </si>
  <si>
    <t>G713041101</t>
  </si>
  <si>
    <t>F8Y6156C63Z18FKB3</t>
  </si>
  <si>
    <t>FG9224315ED18FMA7</t>
  </si>
  <si>
    <t>G694028576</t>
  </si>
  <si>
    <t>J22QVBDB26K0</t>
  </si>
  <si>
    <t>G712237987</t>
  </si>
  <si>
    <t>H7FHP516LEQ0000UHY</t>
  </si>
  <si>
    <t>G711903751</t>
  </si>
  <si>
    <t>F5D60950ASS1KLFB3</t>
  </si>
  <si>
    <t>F5D21228LV41KLF8S</t>
  </si>
  <si>
    <t>G710660033</t>
  </si>
  <si>
    <t>TA661-55214</t>
  </si>
  <si>
    <t>Deep Blue, 1TB, iPhone 17 Pro Max, ROW, CI/AR, Taiwan</t>
  </si>
  <si>
    <t>JTGF2MYJ2F</t>
  </si>
  <si>
    <t>H6WGD2DT4N</t>
  </si>
  <si>
    <t>G710396215</t>
  </si>
  <si>
    <t>GMGHLC0075Y0000GVL</t>
  </si>
  <si>
    <t>FP1HJV00E860000G29</t>
  </si>
  <si>
    <t>G690817578</t>
  </si>
  <si>
    <t>F8Y6096C49MM6YND6</t>
  </si>
  <si>
    <t>FG902941AWXM6YQBF</t>
  </si>
  <si>
    <t>G690716928</t>
  </si>
  <si>
    <t>C02HGX0023D0000PFF</t>
  </si>
  <si>
    <t>J97HEP006LD0000PFF</t>
  </si>
  <si>
    <t>G708284087</t>
  </si>
  <si>
    <t>ZP661-50317</t>
  </si>
  <si>
    <t>iPad Air 13-inch (M3) Wi-Fi, 256GB, Purple, CI/AR, CN</t>
  </si>
  <si>
    <t>DXHNGWV2QR</t>
  </si>
  <si>
    <t>C075WR4JMQ</t>
  </si>
  <si>
    <t>G706160299</t>
  </si>
  <si>
    <t>661-17057</t>
  </si>
  <si>
    <t>Logic Board , M1, 8-core, 8GB, 256GB</t>
  </si>
  <si>
    <t>C02101701TLQ8LL1E</t>
  </si>
  <si>
    <t>661-18346</t>
  </si>
  <si>
    <t>F5850950R93MQL3ACB</t>
  </si>
  <si>
    <t>G705337845</t>
  </si>
  <si>
    <t>F8Y5495C4R0217WBC</t>
  </si>
  <si>
    <t>F8Y23740LSA217W7E</t>
  </si>
  <si>
    <t>G704996945</t>
  </si>
  <si>
    <t>H97R47ZRJKM9</t>
  </si>
  <si>
    <t>H97QN94UJKM9</t>
  </si>
  <si>
    <t>G703906177</t>
  </si>
  <si>
    <t>F0WHFF00HCL000064R</t>
  </si>
  <si>
    <t>DN8HE80B5TR00006S2</t>
  </si>
  <si>
    <t>G703039679</t>
  </si>
  <si>
    <t>FG9HP4003LF00006TT</t>
  </si>
  <si>
    <t>FG9GYX01DNJ00006TT</t>
  </si>
  <si>
    <t>G700985063</t>
  </si>
  <si>
    <t>GX1HNS2LC470000B2Z</t>
  </si>
  <si>
    <t>GX1HNS2E5KB0000B31</t>
  </si>
  <si>
    <t>G700466337</t>
  </si>
  <si>
    <t>F8Y5125C7RY13XCBG</t>
  </si>
  <si>
    <t>F8Y13320HU413XC7F</t>
  </si>
  <si>
    <t>G700444667</t>
  </si>
  <si>
    <t>PP661-17623</t>
  </si>
  <si>
    <t>Pacific Blue, 128GB, iPhone 12 Pro Max, ROW, Philippines, CI/AR</t>
  </si>
  <si>
    <t>F2LDQ0N00D52</t>
  </si>
  <si>
    <t>G699265143</t>
  </si>
  <si>
    <t>F8Y5441C3ZH13XCB6</t>
  </si>
  <si>
    <t>F5D14828WNH13XD9N</t>
  </si>
  <si>
    <t>923-06659</t>
  </si>
  <si>
    <t>Top Speaker, iPhone 13 Pro Max</t>
  </si>
  <si>
    <t>DTV23361CGM0812AY</t>
  </si>
  <si>
    <t>DXY14764CF5081036</t>
  </si>
  <si>
    <t>G699140503</t>
  </si>
  <si>
    <t>GFJP3HBV18JP</t>
  </si>
  <si>
    <t>G699114483</t>
  </si>
  <si>
    <t>661-30412</t>
  </si>
  <si>
    <t>Magic Keyboard Folio, ANSI</t>
  </si>
  <si>
    <t>QVQW1D6L6F</t>
  </si>
  <si>
    <t>FCP2C7FP95</t>
  </si>
  <si>
    <t>G699084371</t>
  </si>
  <si>
    <t>FV9322716SB1WP1DZ</t>
  </si>
  <si>
    <t>HXK35130X8A1WP0DK</t>
  </si>
  <si>
    <t>G682736994</t>
  </si>
  <si>
    <t>F8Y5445CHZR18FKBG</t>
  </si>
  <si>
    <t>FG932360JAY18FMAM</t>
  </si>
  <si>
    <t>G698462585</t>
  </si>
  <si>
    <t>C02530500021PRWA4</t>
  </si>
  <si>
    <t>FV93133013L1PRWBD</t>
  </si>
  <si>
    <t>661-30422</t>
  </si>
  <si>
    <t>F58545420QA1K8WAGC</t>
  </si>
  <si>
    <t>G714724475</t>
  </si>
  <si>
    <t>C4H33340CBTPF4FCM</t>
  </si>
  <si>
    <t>G714314479</t>
  </si>
  <si>
    <t>HQQLGL6PGD</t>
  </si>
  <si>
    <t>M2LV6XW773</t>
  </si>
  <si>
    <t>G693904030</t>
  </si>
  <si>
    <t>F8Y6141C1BJQ687B7</t>
  </si>
  <si>
    <t>FG903822RZMQ68932</t>
  </si>
  <si>
    <t>G711620389</t>
  </si>
  <si>
    <t>ZP923-13787</t>
  </si>
  <si>
    <t>Deep Blue, Enclosure, iPhone 17 Pro Max, ROW</t>
  </si>
  <si>
    <t>DR9HND00NL600014XS</t>
  </si>
  <si>
    <t>FM7HPX000R700014XS</t>
  </si>
  <si>
    <t>G711438795</t>
  </si>
  <si>
    <t>HMXMF9D4W2</t>
  </si>
  <si>
    <t>XKH33KXGJG</t>
  </si>
  <si>
    <t>G711067691</t>
  </si>
  <si>
    <t>F8Y6126CA7S18FKB3</t>
  </si>
  <si>
    <t>FG915221F3H18FM4H</t>
  </si>
  <si>
    <t>G711001483</t>
  </si>
  <si>
    <t>G9Q6054U8KM21KHAP</t>
  </si>
  <si>
    <t>G9Q5266T6Q921KHAM</t>
  </si>
  <si>
    <t>G710278693</t>
  </si>
  <si>
    <t>G9PHHWK09Q400005DR</t>
  </si>
  <si>
    <t>GH3HGX009BW00005DS</t>
  </si>
  <si>
    <t>G689905512</t>
  </si>
  <si>
    <t>FV9HMX0001S00002W8</t>
  </si>
  <si>
    <t>C02H0H0001C00002W8</t>
  </si>
  <si>
    <t>F0Y552401E52525AT</t>
  </si>
  <si>
    <t>FMX34230NYVPP5FAC</t>
  </si>
  <si>
    <t>G706702867</t>
  </si>
  <si>
    <t>JQ22RFK61N</t>
  </si>
  <si>
    <t>JN4K6527H0</t>
  </si>
  <si>
    <t>G706504741</t>
  </si>
  <si>
    <t>M4VF3D49DG</t>
  </si>
  <si>
    <t>G705335459</t>
  </si>
  <si>
    <t>GWKHJT03HLW0000B31</t>
  </si>
  <si>
    <t>G705216317</t>
  </si>
  <si>
    <t>D865505N1JCPJYRB0</t>
  </si>
  <si>
    <t>D864196A52RPJYRBC</t>
  </si>
  <si>
    <t>G703831359</t>
  </si>
  <si>
    <t>KJ3KX7JYVT</t>
  </si>
  <si>
    <t>CJGM9Q7J44</t>
  </si>
  <si>
    <t>G703611365</t>
  </si>
  <si>
    <t>F8Y5472CBJ0Q687BJ</t>
  </si>
  <si>
    <t>F8Y04976MQPQ6872G</t>
  </si>
  <si>
    <t>G703032859</t>
  </si>
  <si>
    <t>F8Y6031C0SD237KBY</t>
  </si>
  <si>
    <t>FQ124573UQP22HQ12</t>
  </si>
  <si>
    <t>G702370549</t>
  </si>
  <si>
    <t>661-47012</t>
  </si>
  <si>
    <t>Magic Keyboard, USB-C, Touch ID, Blue</t>
  </si>
  <si>
    <t>F0THGK0BERA00006Z7</t>
  </si>
  <si>
    <t>F0THA10AHVA00006Z7</t>
  </si>
  <si>
    <t>G702034601</t>
  </si>
  <si>
    <t>D4W09J4FYX</t>
  </si>
  <si>
    <t>RMF3V2X6VJ</t>
  </si>
  <si>
    <t>G701795215</t>
  </si>
  <si>
    <t>F8Y5442C3BFM6YNDR</t>
  </si>
  <si>
    <t>FG9245309UNM6YRC1</t>
  </si>
  <si>
    <t>G700009597</t>
  </si>
  <si>
    <t>GK2M430NM4</t>
  </si>
  <si>
    <t>MXX9XQC7G0</t>
  </si>
  <si>
    <t>G699863241</t>
  </si>
  <si>
    <t>661-25195</t>
  </si>
  <si>
    <t>Display, Standard glass</t>
  </si>
  <si>
    <t>GHQ540100B0Q7CVBK</t>
  </si>
  <si>
    <t>GHQ532400JKQ7CVB5</t>
  </si>
  <si>
    <t>C02502200LZ1JCQAX</t>
  </si>
  <si>
    <t>C02532600411JCPA3</t>
  </si>
  <si>
    <t>G699211693</t>
  </si>
  <si>
    <t>PA661-53122</t>
  </si>
  <si>
    <t>Powerbeats Fit, Case, Jet Black, CI/AR</t>
  </si>
  <si>
    <t>L2HDJ966J1</t>
  </si>
  <si>
    <t>J57QGWLW9Y</t>
  </si>
  <si>
    <t>G715523209</t>
  </si>
  <si>
    <t>F8Y6183C9Q418FKBU</t>
  </si>
  <si>
    <t>FG941940S2M18FMBT</t>
  </si>
  <si>
    <t>G715448159</t>
  </si>
  <si>
    <t>661-41637</t>
  </si>
  <si>
    <t>English, ANSI, Black, Magic Keyboard for iPad Pro 13-inch (M4)</t>
  </si>
  <si>
    <t>K1HGD9VK90</t>
  </si>
  <si>
    <t>MV9G4W0XDK</t>
  </si>
  <si>
    <t>G714770029</t>
  </si>
  <si>
    <t>F8Y6173C3C018FKB9</t>
  </si>
  <si>
    <t>FG941870SQ718FMB9</t>
  </si>
  <si>
    <t>G714646083</t>
  </si>
  <si>
    <t>F8Y6173C3GR18FKB6</t>
  </si>
  <si>
    <t>F8Y41130FJS18FLBC</t>
  </si>
  <si>
    <t>G714342341</t>
  </si>
  <si>
    <t>G0NHD702WA40000HKZ</t>
  </si>
  <si>
    <t>FNJHFM907LR0000BXF</t>
  </si>
  <si>
    <t>G713753335</t>
  </si>
  <si>
    <t>K9X2WJR2YP</t>
  </si>
  <si>
    <t>D7D45WYHPG</t>
  </si>
  <si>
    <t>G713749445</t>
  </si>
  <si>
    <t>G9PHL8T12EU00005DP</t>
  </si>
  <si>
    <t>GVCHEC027YW00005DQ</t>
  </si>
  <si>
    <t>G712469711</t>
  </si>
  <si>
    <t>LF0XQY3314</t>
  </si>
  <si>
    <t>M3GCLFJ60D</t>
  </si>
  <si>
    <t>G693903400</t>
  </si>
  <si>
    <t>F8Y6121C8QR231LB3</t>
  </si>
  <si>
    <t>F8Y248205G7231L7J</t>
  </si>
  <si>
    <t>CTH23573R671JJJ6V</t>
  </si>
  <si>
    <t>DXY24852RXZ1JJL6V</t>
  </si>
  <si>
    <t>G712251905</t>
  </si>
  <si>
    <t>FK1HLG0004N00001A2</t>
  </si>
  <si>
    <t>DTTHJP02NNZ000004D</t>
  </si>
  <si>
    <t>DN83461B2CP1MCN6T</t>
  </si>
  <si>
    <t>DNM53314ZVQ1QDC19</t>
  </si>
  <si>
    <t>FK1HLG0016J00001A2</t>
  </si>
  <si>
    <t>DN84111B5R11MCN6N</t>
  </si>
  <si>
    <t>G712237421</t>
  </si>
  <si>
    <t>661-55060</t>
  </si>
  <si>
    <t>MagSafe Charger (1 m)</t>
  </si>
  <si>
    <t>D2NRLFFW49</t>
  </si>
  <si>
    <t>FPVHXD3CVN</t>
  </si>
  <si>
    <t>G711997941</t>
  </si>
  <si>
    <t>F8Y5516C0XXQ4C2B1</t>
  </si>
  <si>
    <t>F5D12070H30Q4C0AF</t>
  </si>
  <si>
    <t>G711878695</t>
  </si>
  <si>
    <t>F8Y5064C3T113RHCB</t>
  </si>
  <si>
    <t>F5D14168WHJ13RJ9Y</t>
  </si>
  <si>
    <t>G710324253</t>
  </si>
  <si>
    <t>F8Y6117C90J217WBJ</t>
  </si>
  <si>
    <t>F8Y2523247X217W76</t>
  </si>
  <si>
    <t>G691501184</t>
  </si>
  <si>
    <t>GHQ6116002D2FT9AT</t>
  </si>
  <si>
    <t>GHQ151204BX167VAB</t>
  </si>
  <si>
    <t>G709204645</t>
  </si>
  <si>
    <t>CXPV3W9WVK</t>
  </si>
  <si>
    <t>D19C7QFVWD</t>
  </si>
  <si>
    <t>G708586367</t>
  </si>
  <si>
    <t>FMX528606YYNTJHAS</t>
  </si>
  <si>
    <t>F0Y242400BXNTJGAG</t>
  </si>
  <si>
    <t>G707488569</t>
  </si>
  <si>
    <t>F8Y6056CNPH18FKBC</t>
  </si>
  <si>
    <t>FG9211108UV18FM4D</t>
  </si>
  <si>
    <t>G707297061</t>
  </si>
  <si>
    <t>FGJ6034RLMQ2DP5AR</t>
  </si>
  <si>
    <t>G707165447</t>
  </si>
  <si>
    <t>FG9342705NW18FMA0</t>
  </si>
  <si>
    <t>G706013347</t>
  </si>
  <si>
    <t>C02239500E60W8QAT</t>
  </si>
  <si>
    <t>J33348200CP2CCPFN</t>
  </si>
  <si>
    <t>F5854750VHN1JLQAHC</t>
  </si>
  <si>
    <t>G703769737</t>
  </si>
  <si>
    <t>F8Y5501C1LMQ4C2BH</t>
  </si>
  <si>
    <t>F8Y04750NKCQ4C297</t>
  </si>
  <si>
    <t>G703719657</t>
  </si>
  <si>
    <t>661-34702</t>
  </si>
  <si>
    <t>GMGHD2001CR00000CQ</t>
  </si>
  <si>
    <t>GMGGUD0036B00000CP</t>
  </si>
  <si>
    <t>661-34699</t>
  </si>
  <si>
    <t>GQ45436MFRK1QM1AP</t>
  </si>
  <si>
    <t>G700732745</t>
  </si>
  <si>
    <t>LGWHNHXMNQ</t>
  </si>
  <si>
    <t>G700484615</t>
  </si>
  <si>
    <t>F8Y5501C28713XCB1</t>
  </si>
  <si>
    <t>F8Y21950Y1K13XC87</t>
  </si>
  <si>
    <t>G711331501</t>
  </si>
  <si>
    <t>F8Y32630E5X18FLA3</t>
  </si>
  <si>
    <t>G711104109</t>
  </si>
  <si>
    <t>F8YHN1C0Z5B00006TP</t>
  </si>
  <si>
    <t>F8YGZJ00GBQ00006TP</t>
  </si>
  <si>
    <t>G710901369</t>
  </si>
  <si>
    <t>G9PHF8K0CVX00005DR</t>
  </si>
  <si>
    <t>GH3HGX01RGG00005DS</t>
  </si>
  <si>
    <t>G692455656</t>
  </si>
  <si>
    <t>F8Y6057CCH518FKBH</t>
  </si>
  <si>
    <t>FG9422505J518FMB1</t>
  </si>
  <si>
    <t>G708867807</t>
  </si>
  <si>
    <t>M4L46M4FY0</t>
  </si>
  <si>
    <t>DP6R09NY0H</t>
  </si>
  <si>
    <t>G707586689</t>
  </si>
  <si>
    <t>G0NHCW0180M0000HKZ</t>
  </si>
  <si>
    <t>FNJHB6C16DK0000BXF</t>
  </si>
  <si>
    <t>G706704731</t>
  </si>
  <si>
    <t>G9P5506ML4XPQCKAC</t>
  </si>
  <si>
    <t>G9P2282KL2RPQCKAN</t>
  </si>
  <si>
    <t>G705664231</t>
  </si>
  <si>
    <t>FJC7P0G2R4</t>
  </si>
  <si>
    <t>CYRQ4R6Y3R</t>
  </si>
  <si>
    <t>G704882489</t>
  </si>
  <si>
    <t>F0WHGB00W57000064R</t>
  </si>
  <si>
    <t>F0WHAR01WCB000064R</t>
  </si>
  <si>
    <t>G704577047</t>
  </si>
  <si>
    <t>F8Y6011C2RC20J9BL</t>
  </si>
  <si>
    <t>F5D32551YC920J7AM</t>
  </si>
  <si>
    <t>G702315039</t>
  </si>
  <si>
    <t>F8Y5497C3QH18FKBE</t>
  </si>
  <si>
    <t>FG914972RYP18FM4N</t>
  </si>
  <si>
    <t>G700237231</t>
  </si>
  <si>
    <t>F8Y5506CK6Q18FKB4</t>
  </si>
  <si>
    <t>FG914140YY518FM4Y</t>
  </si>
  <si>
    <t>G699785793</t>
  </si>
  <si>
    <t>GMG5447002SNR8DBE</t>
  </si>
  <si>
    <t>FP15021019F249XAQ</t>
  </si>
  <si>
    <t>G699735057</t>
  </si>
  <si>
    <t>L4PJ4QJGVP</t>
  </si>
  <si>
    <t>LFPDXWPK2R</t>
  </si>
  <si>
    <t>G699116089</t>
  </si>
  <si>
    <t>KW1K2YKTQW</t>
  </si>
  <si>
    <t>G698415027</t>
  </si>
  <si>
    <t>F8Y5445CCGD18FKBG</t>
  </si>
  <si>
    <t>FG934560T6418FMAA</t>
  </si>
  <si>
    <t>G715181621</t>
  </si>
  <si>
    <t>F8Y6176C9DA18FKBM</t>
  </si>
  <si>
    <t>FG94177008Q18FMB1</t>
  </si>
  <si>
    <t>G714981811</t>
  </si>
  <si>
    <t>J9KHRX00ESC0000XXS</t>
  </si>
  <si>
    <t>FNJHLXM06RE0000QTS</t>
  </si>
  <si>
    <t>G714195173</t>
  </si>
  <si>
    <t>F8Y6171C2H318FKBU</t>
  </si>
  <si>
    <t>FG92065196Q18FM4U</t>
  </si>
  <si>
    <t>G712253621</t>
  </si>
  <si>
    <t>GX1HSM0U02Y0000B2Z</t>
  </si>
  <si>
    <t>GN3HGV0EXFU0000B2Z</t>
  </si>
  <si>
    <t>GN3HSM0R6CU0000B31</t>
  </si>
  <si>
    <t>GN3HGX0DP3A0000B31</t>
  </si>
  <si>
    <t>G712135357</t>
  </si>
  <si>
    <t>GN3HSM0RE7F0000B31</t>
  </si>
  <si>
    <t>GX1HUX1ESAJ0000B31</t>
  </si>
  <si>
    <t>G711849795</t>
  </si>
  <si>
    <t>DH3HKGQGV7</t>
  </si>
  <si>
    <t>H63QQM2D1P</t>
  </si>
  <si>
    <t>G711437935</t>
  </si>
  <si>
    <t>FTL612300T52C78AZ</t>
  </si>
  <si>
    <t>G710639587</t>
  </si>
  <si>
    <t>GMGHLC006ZV0000GVL</t>
  </si>
  <si>
    <t>FP1HHH000150000G29</t>
  </si>
  <si>
    <t>G710333171</t>
  </si>
  <si>
    <t>661-16825</t>
  </si>
  <si>
    <t>Trackpad, Space Gray, MBA (M1, 2020)</t>
  </si>
  <si>
    <t>FM76133A6Z1N4FTCC</t>
  </si>
  <si>
    <t>G709303537</t>
  </si>
  <si>
    <t>G0NHGH00QBH0000HKZ</t>
  </si>
  <si>
    <t>GMHHBU02G0Z0000BXF</t>
  </si>
  <si>
    <t>G690480518</t>
  </si>
  <si>
    <t>ZP661-50238</t>
  </si>
  <si>
    <t>iPad (A16) Wi-Fi + Cellular, ROW, 128GB, Silver, CI/AR, CN</t>
  </si>
  <si>
    <t>L3H3YJ5YQF</t>
  </si>
  <si>
    <t>J23M62XNQ0</t>
  </si>
  <si>
    <t>G688670146</t>
  </si>
  <si>
    <t>FP1417701RT216RAX</t>
  </si>
  <si>
    <t>FMX3427014GPP5CAT</t>
  </si>
  <si>
    <t>661-38738</t>
  </si>
  <si>
    <t>F8YHM9N045000000E5</t>
  </si>
  <si>
    <t>F5DH0E0021T00000EB</t>
  </si>
  <si>
    <t>G705477497</t>
  </si>
  <si>
    <t>HG42CFFGWV</t>
  </si>
  <si>
    <t>L76K2T9GXL</t>
  </si>
  <si>
    <t>G687929212</t>
  </si>
  <si>
    <t>FV9HNR0000T00002W7</t>
  </si>
  <si>
    <t>FV9HK00005L00002W8</t>
  </si>
  <si>
    <t>C023473002425HQAT</t>
  </si>
  <si>
    <t>F0Y552401JB2526A8</t>
  </si>
  <si>
    <t>FMX3433041APP5FA3</t>
  </si>
  <si>
    <t>G704893595</t>
  </si>
  <si>
    <t>FMXHMD001JK00006GW</t>
  </si>
  <si>
    <t>FMXHK7004WQ00006GW</t>
  </si>
  <si>
    <t>G703978619</t>
  </si>
  <si>
    <t>G9NHFBS3KXB00005DR</t>
  </si>
  <si>
    <t>GH3HEJ00JUP00005DS</t>
  </si>
  <si>
    <t>G702990023</t>
  </si>
  <si>
    <t>GHQ4387014R1R7TBN</t>
  </si>
  <si>
    <t>GHQ333600H21R7TBS</t>
  </si>
  <si>
    <t>G700594341</t>
  </si>
  <si>
    <t>KQ4T7X47W7</t>
  </si>
  <si>
    <t>GKJFQHD29D</t>
  </si>
  <si>
    <t>G700486141</t>
  </si>
  <si>
    <t>661-18727</t>
  </si>
  <si>
    <t>Power Supply, 300W, iMac 27-inch</t>
  </si>
  <si>
    <t>C042026K5FELYYMAE</t>
  </si>
  <si>
    <t>C040353LE4ZLYYMAD</t>
  </si>
  <si>
    <t>661-16011</t>
  </si>
  <si>
    <t>Logic Board, 3.3GHz 6-core i5, Radeon Pro 5300, 512GB, 10GB Ethernet</t>
  </si>
  <si>
    <t>C020302004A016P2D</t>
  </si>
  <si>
    <t>C020305002H016P29</t>
  </si>
  <si>
    <t>G699899909</t>
  </si>
  <si>
    <t>F8Y5507C0ZV18FKB4</t>
  </si>
  <si>
    <t>F8Y40460C5418FLBX</t>
  </si>
  <si>
    <t>G714982287</t>
  </si>
  <si>
    <t>661-50078</t>
  </si>
  <si>
    <t>Top Case, Midnight, ANSI, English, MBA (15-in, M4, 2025)</t>
  </si>
  <si>
    <t>FKSHHE0001W0000S57</t>
  </si>
  <si>
    <t>G713602627</t>
  </si>
  <si>
    <t>FV95296019P0W9FLW</t>
  </si>
  <si>
    <t>F5854820P5S14KRAHC</t>
  </si>
  <si>
    <t>G711240725</t>
  </si>
  <si>
    <t>H2CQW0MT1JG1</t>
  </si>
  <si>
    <t>G711087453</t>
  </si>
  <si>
    <t>F8Y6132C2HB18FKBX</t>
  </si>
  <si>
    <t>FG941330TUZ18FMBP</t>
  </si>
  <si>
    <t>G710403237</t>
  </si>
  <si>
    <t>FV950650AEA0W9GLW</t>
  </si>
  <si>
    <t>FV9517504EG0W9FLT</t>
  </si>
  <si>
    <t>F5850940NT514KRAHL</t>
  </si>
  <si>
    <t>G708195195</t>
  </si>
  <si>
    <t>DFYHW6RCV0</t>
  </si>
  <si>
    <t>LP7F739V54</t>
  </si>
  <si>
    <t>G708056615</t>
  </si>
  <si>
    <t>DNM53810LMM1QDC7U</t>
  </si>
  <si>
    <t>DNM54240DQS1QDC71</t>
  </si>
  <si>
    <t>G707588541</t>
  </si>
  <si>
    <t>HCVM7QFY4W</t>
  </si>
  <si>
    <t>G706495645</t>
  </si>
  <si>
    <t>F8Y6054C5KX18FKBV</t>
  </si>
  <si>
    <t>F8Y13860A3C18FKAV</t>
  </si>
  <si>
    <t>G706160901</t>
  </si>
  <si>
    <t>GMG544200CA1J88AF</t>
  </si>
  <si>
    <t>FP1527700FA25YVAP</t>
  </si>
  <si>
    <t>CKX520603JH1LD7AA</t>
  </si>
  <si>
    <t>G705839831</t>
  </si>
  <si>
    <t>G9Q5182PN0RPR5QAL</t>
  </si>
  <si>
    <t>GVH50923S4XPR5PA4</t>
  </si>
  <si>
    <t>G705533475</t>
  </si>
  <si>
    <t>GVH51742NE0PR5PAF</t>
  </si>
  <si>
    <t>GVH50271HTUPR5PA3</t>
  </si>
  <si>
    <t>G705476137</t>
  </si>
  <si>
    <t>GN3HK70SEAD0000B31</t>
  </si>
  <si>
    <t>G704958657</t>
  </si>
  <si>
    <t>J21QV1JU26JY</t>
  </si>
  <si>
    <t>G704013017</t>
  </si>
  <si>
    <t>FG9HP4003WW00006TT</t>
  </si>
  <si>
    <t>F5DGYJ01MAK00006TU</t>
  </si>
  <si>
    <t>G703474367</t>
  </si>
  <si>
    <t>C4H506409UELV74AB</t>
  </si>
  <si>
    <t>C0655052EBN1695BC</t>
  </si>
  <si>
    <t>G701077129</t>
  </si>
  <si>
    <t>G9P2315MA6XPQCLAQ</t>
  </si>
  <si>
    <t>G714937419</t>
  </si>
  <si>
    <t>F0Y541500AE1J88A3</t>
  </si>
  <si>
    <t>GMG412404L51J87A3</t>
  </si>
  <si>
    <t>G713869413</t>
  </si>
  <si>
    <t>F0Y541601731J88AM</t>
  </si>
  <si>
    <t>GMG242708TG1J88A0</t>
  </si>
  <si>
    <t>G710689741</t>
  </si>
  <si>
    <t>923-09245</t>
  </si>
  <si>
    <t>Bottom Speaker, iPhone 15 Pro</t>
  </si>
  <si>
    <t>DXYH6G18NP900000D9</t>
  </si>
  <si>
    <t>DTVH0K287AM00000D7</t>
  </si>
  <si>
    <t>G708153099</t>
  </si>
  <si>
    <t>FV95193022P0W9GLK</t>
  </si>
  <si>
    <t>FV951270RJM0W9FL2</t>
  </si>
  <si>
    <t>G702614109</t>
  </si>
  <si>
    <t>F8Y5502C3CS13RHCC</t>
  </si>
  <si>
    <t>F8Y137204VS13RHBS</t>
  </si>
  <si>
    <t>G701674599</t>
  </si>
  <si>
    <t>GN2HKE1A6FJ0000B32</t>
  </si>
  <si>
    <t>GN2HQ1049BP0000B30</t>
  </si>
  <si>
    <t>G700673289</t>
  </si>
  <si>
    <t>L77QT03PVF</t>
  </si>
  <si>
    <t>HK6L763Q46</t>
  </si>
  <si>
    <t>G683262962</t>
  </si>
  <si>
    <t>GH3HP801XT10000MUZ</t>
  </si>
  <si>
    <t>GH3HLR02YAT0000MUZ</t>
  </si>
  <si>
    <t>G716592131</t>
  </si>
  <si>
    <t>F8Y6172C5YP18FKBT</t>
  </si>
  <si>
    <t>FG914231VV118FM49</t>
  </si>
  <si>
    <t>G714201345</t>
  </si>
  <si>
    <t>F8Y6171C22W18FKBC</t>
  </si>
  <si>
    <t>FG932750PQJ18FMAB</t>
  </si>
  <si>
    <t>G713639371</t>
  </si>
  <si>
    <t>F8Y4353C1FB14LWCA</t>
  </si>
  <si>
    <t>F5D1414GFVF14LX9T</t>
  </si>
  <si>
    <t>G712200593</t>
  </si>
  <si>
    <t>F8Y6157C33K18FKBK</t>
  </si>
  <si>
    <t>FG940860D8718FMB4</t>
  </si>
  <si>
    <t>G711750655</t>
  </si>
  <si>
    <t>FG934740E8N18FMAV</t>
  </si>
  <si>
    <t>G710656833</t>
  </si>
  <si>
    <t>GN3HRZ0K60Y0000B2Z</t>
  </si>
  <si>
    <t>M17QPL22T3</t>
  </si>
  <si>
    <t>G692187908</t>
  </si>
  <si>
    <t>F0YHML0058L0000GVL</t>
  </si>
  <si>
    <t>GMGHP0004150000GVK</t>
  </si>
  <si>
    <t>G710168853</t>
  </si>
  <si>
    <t>FV930150RM61WP0DB</t>
  </si>
  <si>
    <t>HXK504405JX1N08G9</t>
  </si>
  <si>
    <t>G709595551</t>
  </si>
  <si>
    <t>GMG5492016ZNR8DBJ</t>
  </si>
  <si>
    <t>GMG4211003RNR8DBY</t>
  </si>
  <si>
    <t>G708608739</t>
  </si>
  <si>
    <t>F8YHJCH01970000UMK</t>
  </si>
  <si>
    <t>F8YHLPH01N80000UMJ</t>
  </si>
  <si>
    <t>G689538118</t>
  </si>
  <si>
    <t>GFY337107R</t>
  </si>
  <si>
    <t>W1F254V1QH</t>
  </si>
  <si>
    <t>G688642934</t>
  </si>
  <si>
    <t>DJN74F3PF0</t>
  </si>
  <si>
    <t>F7L63540WW</t>
  </si>
  <si>
    <t>G705581521</t>
  </si>
  <si>
    <t>KY2F3HWY7J</t>
  </si>
  <si>
    <t>L73N2V74M2</t>
  </si>
  <si>
    <t>G703026649</t>
  </si>
  <si>
    <t>GX1HNU2EQV40000B31</t>
  </si>
  <si>
    <t>G683249140</t>
  </si>
  <si>
    <t>H2CQC0LA1JG3</t>
  </si>
  <si>
    <t>H2CNM2081JG3</t>
  </si>
  <si>
    <t>G698961881</t>
  </si>
  <si>
    <t>J33HNG0000J00003T3</t>
  </si>
  <si>
    <t>FV9HDH00XVF00003T3</t>
  </si>
  <si>
    <t>F585291000X2FHLABG</t>
  </si>
  <si>
    <t>FMXHMJ0006S00006J3</t>
  </si>
  <si>
    <t>FMXHCZ007XD00006J3</t>
  </si>
  <si>
    <t>GQ454930N9B2501AV</t>
  </si>
  <si>
    <t>G714089301</t>
  </si>
  <si>
    <t>F8Y6167C20L18FKBR</t>
  </si>
  <si>
    <t>F8Y408707Y218FLBC</t>
  </si>
  <si>
    <t>G712655491</t>
  </si>
  <si>
    <t>D865124N0AAPJYRBS</t>
  </si>
  <si>
    <t>D864114A3HQPJYRBW</t>
  </si>
  <si>
    <t>G712439609</t>
  </si>
  <si>
    <t>DTVGWX292FL00000DP</t>
  </si>
  <si>
    <t>DTVHF619LCK00000DP</t>
  </si>
  <si>
    <t>G711781955</t>
  </si>
  <si>
    <t>FV942560NMK0W9CH4</t>
  </si>
  <si>
    <t>FV941070AY20W98HK</t>
  </si>
  <si>
    <t>Touch ID, Midnight, MBA (M2, 2022)</t>
  </si>
  <si>
    <t>F5854810QT81JLQAHC</t>
  </si>
  <si>
    <t>G711414573</t>
  </si>
  <si>
    <t>CW6PW9309K</t>
  </si>
  <si>
    <t>M3K9VKC2X2</t>
  </si>
  <si>
    <t>G692608874</t>
  </si>
  <si>
    <t>FV9HG1001QK0000HG2</t>
  </si>
  <si>
    <t>FV9HGX000570000HG2</t>
  </si>
  <si>
    <t>G710231803</t>
  </si>
  <si>
    <t>L3HJGW3F2Y</t>
  </si>
  <si>
    <t>C52VNJ6DY9</t>
  </si>
  <si>
    <t>G710102389</t>
  </si>
  <si>
    <t>J21R2CGS26JY</t>
  </si>
  <si>
    <t>G709766405</t>
  </si>
  <si>
    <t>GVH51650Y1MPR5PAX</t>
  </si>
  <si>
    <t>GVH510512FTPR5PAU</t>
  </si>
  <si>
    <t>G691405014</t>
  </si>
  <si>
    <t>GCJ21VQH5H</t>
  </si>
  <si>
    <t>KPXC14M413</t>
  </si>
  <si>
    <t>G690614542</t>
  </si>
  <si>
    <t>PP661-28621</t>
  </si>
  <si>
    <t>Blue, iPhone 14, 256GB, ROW, CI/AR, Philippines</t>
  </si>
  <si>
    <t>KPYHP9C3YV</t>
  </si>
  <si>
    <t>QNJXG4HF4V</t>
  </si>
  <si>
    <t>G708498737</t>
  </si>
  <si>
    <t>J5VQQQJ2VT</t>
  </si>
  <si>
    <t>M7P9CFCPF3</t>
  </si>
  <si>
    <t>G707379599</t>
  </si>
  <si>
    <t>DTVHK3821NG0000CZ8</t>
  </si>
  <si>
    <t>DTVHGG824JJ0000CZ8</t>
  </si>
  <si>
    <t>DXYHG581D9G0000CZC</t>
  </si>
  <si>
    <t>CTHHFQ85V7Y0000CZA</t>
  </si>
  <si>
    <t>G707132823</t>
  </si>
  <si>
    <t>J71MH2J34T</t>
  </si>
  <si>
    <t>K2LWGXPQ9L</t>
  </si>
  <si>
    <t>G705600017</t>
  </si>
  <si>
    <t>M490X2JKM6</t>
  </si>
  <si>
    <t>HC3W1V3PDW</t>
  </si>
  <si>
    <t>G705544073</t>
  </si>
  <si>
    <t>F8Y4393C0WS13RHC6</t>
  </si>
  <si>
    <t>F8Y136212KY13RFBL</t>
  </si>
  <si>
    <t>G702636941</t>
  </si>
  <si>
    <t>F8Y5417C0VMQ4C2BH</t>
  </si>
  <si>
    <t>F5D04119ESZQ4C09Y</t>
  </si>
  <si>
    <t>G698194171</t>
  </si>
  <si>
    <t>G9P5353L6FVPQCKAN</t>
  </si>
  <si>
    <t>G9P2106K18YPQCKA3</t>
  </si>
  <si>
    <t>G715897457</t>
  </si>
  <si>
    <t>F8Y6184C7XH18FKBV</t>
  </si>
  <si>
    <t>FG9426303AS18FMBW</t>
  </si>
  <si>
    <t>G714184583</t>
  </si>
  <si>
    <t>J9L612700B20GKWA7</t>
  </si>
  <si>
    <t>GCF546604YZQ59TB1</t>
  </si>
  <si>
    <t>J9Q601202G20GKWAV</t>
  </si>
  <si>
    <t>FNJ4495FG0ZQ274A4</t>
  </si>
  <si>
    <t>GCF54310U9NQ59TB3</t>
  </si>
  <si>
    <t>DNL50170V48Q71724</t>
  </si>
  <si>
    <t>G712692473</t>
  </si>
  <si>
    <t>KQJLXQPW74</t>
  </si>
  <si>
    <t>G4RWD6W9X6</t>
  </si>
  <si>
    <t>G711670343</t>
  </si>
  <si>
    <t>923-13597</t>
  </si>
  <si>
    <t>Speaker, iPhone 17</t>
  </si>
  <si>
    <t>DXYHQS64LM60000UV7</t>
  </si>
  <si>
    <t>DXYHKK611AD0000UV7</t>
  </si>
  <si>
    <t>G711296409</t>
  </si>
  <si>
    <t>DNMHR001RMM0000QTE</t>
  </si>
  <si>
    <t>DNMHNB0364Y0000QTE</t>
  </si>
  <si>
    <t>G691491930</t>
  </si>
  <si>
    <t>F8Y5496C2XK217WBA</t>
  </si>
  <si>
    <t>F8Y23221H8R217W72</t>
  </si>
  <si>
    <t>G691391376</t>
  </si>
  <si>
    <t>H97Q31VWJKM9</t>
  </si>
  <si>
    <t>H98MHCEPJKM9</t>
  </si>
  <si>
    <t>G690271394</t>
  </si>
  <si>
    <t>DNL52220H2X1986BK</t>
  </si>
  <si>
    <t>DNL33471Y1W1986BZ</t>
  </si>
  <si>
    <t>661-30383</t>
  </si>
  <si>
    <t>Midnight, Back Glass, iPhone 14 Plus</t>
  </si>
  <si>
    <t>HKY23260B4N1LK1AP</t>
  </si>
  <si>
    <t>HKY3364030A1LK1A8</t>
  </si>
  <si>
    <t>G708235007</t>
  </si>
  <si>
    <t>PP661-17762</t>
  </si>
  <si>
    <t>Black, 256GB, iPhone 12, ROW, Philippines, CI/AR</t>
  </si>
  <si>
    <t>HGYR70020F13</t>
  </si>
  <si>
    <t>G6TDJ1Z20F13</t>
  </si>
  <si>
    <t>G706154895</t>
  </si>
  <si>
    <t>F8Y5366C698Q687B8</t>
  </si>
  <si>
    <t>F8Y03940BNSQ6882G</t>
  </si>
  <si>
    <t>G705726915</t>
  </si>
  <si>
    <t>H2DQC06L1JG5</t>
  </si>
  <si>
    <t>H2CPP45B1JG5</t>
  </si>
  <si>
    <t>PA661-22270</t>
  </si>
  <si>
    <t>Stone Purple, Beats Fit Pro, Left, PAC, CI/AR</t>
  </si>
  <si>
    <t>H2CQC0UE1JG6</t>
  </si>
  <si>
    <t>H2DPP3FC1JG6</t>
  </si>
  <si>
    <t>G703834787</t>
  </si>
  <si>
    <t>661-35864</t>
  </si>
  <si>
    <t>H41GY00016300005FU</t>
  </si>
  <si>
    <t>C02GZ600171000028P</t>
  </si>
  <si>
    <t>PA661-18539</t>
  </si>
  <si>
    <t>Power Adapter with Ethernet, 143W, Blue, APAC</t>
  </si>
  <si>
    <t>C4H430202T72DGDAE</t>
  </si>
  <si>
    <t>C4H330504L62C7TAE</t>
  </si>
  <si>
    <t>ZA661-18508</t>
  </si>
  <si>
    <t>Blue, Magic Mouse, ITS</t>
  </si>
  <si>
    <t>CC25232001C0YY5BD</t>
  </si>
  <si>
    <t>CC2337402QR0YY5AR</t>
  </si>
  <si>
    <t>G702377307</t>
  </si>
  <si>
    <t>NEWO</t>
  </si>
  <si>
    <t>FG9HNR005HV00006TT</t>
  </si>
  <si>
    <t>F5DH090058F00006TU</t>
  </si>
  <si>
    <t>G699590615</t>
  </si>
  <si>
    <t>GNFJVQ0290</t>
  </si>
  <si>
    <t>HH96341MV5</t>
  </si>
  <si>
    <t>G698574913</t>
  </si>
  <si>
    <t>FG9HNL005YQ00006TT</t>
  </si>
  <si>
    <t>F5DH0402GUQ00006TU</t>
  </si>
  <si>
    <t>G698331179</t>
  </si>
  <si>
    <t>FP1527400EA25YVAV</t>
  </si>
  <si>
    <t>FP1511200A525YTA1</t>
  </si>
  <si>
    <t>CKX53921NUD1LD7A6</t>
  </si>
  <si>
    <t>G715223119</t>
  </si>
  <si>
    <t>GMGHLE005890000GVL</t>
  </si>
  <si>
    <t>GMGHKA001740000GVL</t>
  </si>
  <si>
    <t>G714201501</t>
  </si>
  <si>
    <t>GVCHDF01KT300005DS</t>
  </si>
  <si>
    <t>GH3HAT00GLX00005DS</t>
  </si>
  <si>
    <t>G713304953</t>
  </si>
  <si>
    <t>F8Y6142C741217WBM</t>
  </si>
  <si>
    <t>F5D253267LK21PK7M</t>
  </si>
  <si>
    <t>G707487895</t>
  </si>
  <si>
    <t>G9PHLCT27KJ00005DP</t>
  </si>
  <si>
    <t>GVCHDY02ZS200005DQ</t>
  </si>
  <si>
    <t>G705588127</t>
  </si>
  <si>
    <t>FV9H6B00K8A0000H6C</t>
  </si>
  <si>
    <t>FV9H570030A0000H6C</t>
  </si>
  <si>
    <t>F5854211V0R1K8XAHC</t>
  </si>
  <si>
    <t>G705481377</t>
  </si>
  <si>
    <t>G9Q5167FHDQPR5QAC</t>
  </si>
  <si>
    <t>GVH51121HGXPR5PA6</t>
  </si>
  <si>
    <t>G702476047</t>
  </si>
  <si>
    <t>F0YHLK001F500006J1</t>
  </si>
  <si>
    <t>F0YHGN002Y400006J1</t>
  </si>
  <si>
    <t>C47526339YN2501AR</t>
  </si>
  <si>
    <t>G702261803</t>
  </si>
  <si>
    <t>FK1HJD000M400001WF</t>
  </si>
  <si>
    <t>FNJ325403NB203R4B</t>
  </si>
  <si>
    <t>G701301207</t>
  </si>
  <si>
    <t>F8YHN5C0H0R00006TP</t>
  </si>
  <si>
    <t>F8YGZ201K1500006TP</t>
  </si>
  <si>
    <t>G684122808</t>
  </si>
  <si>
    <t>G9Q5182P0RGPR5QAA</t>
  </si>
  <si>
    <t>GVH5083227KPR5PA2</t>
  </si>
  <si>
    <t>G699460943</t>
  </si>
  <si>
    <t>GN1HKX1M7V90000B30</t>
  </si>
  <si>
    <t>GN2HJV17C960000B32</t>
  </si>
  <si>
    <t>G697398160</t>
  </si>
  <si>
    <t>G9Q5346W72G1502AA</t>
  </si>
  <si>
    <t>GVC5046075L1503A7</t>
  </si>
  <si>
    <t>G715572983</t>
  </si>
  <si>
    <t>F9Y6176CBYN18FKBJ</t>
  </si>
  <si>
    <t>F8Y41130D6Z18FLB9</t>
  </si>
  <si>
    <t>G715338925</t>
  </si>
  <si>
    <t>D865182N1LEPJYRB9</t>
  </si>
  <si>
    <t>F5D14724SPRPJYVAV</t>
  </si>
  <si>
    <t>G715228297</t>
  </si>
  <si>
    <t>F8YHSFC0BLW00006TW</t>
  </si>
  <si>
    <t>F8YH1Y24RTJ00006TY</t>
  </si>
  <si>
    <t>G696481576</t>
  </si>
  <si>
    <t>GMG545305W01J87AX</t>
  </si>
  <si>
    <t>FP1451600TJ25YVAY</t>
  </si>
  <si>
    <t>G713151781</t>
  </si>
  <si>
    <t>F8Y5486C01F20J9BW</t>
  </si>
  <si>
    <t>F5D30236U7V20J79M</t>
  </si>
  <si>
    <t>G712749907</t>
  </si>
  <si>
    <t>F8Y6155C31U18FKBJ</t>
  </si>
  <si>
    <t>F8Y34070EX118FLA1</t>
  </si>
  <si>
    <t>G712247445</t>
  </si>
  <si>
    <t>F8Y5163C0Y913RHCR</t>
  </si>
  <si>
    <t>F5D146562AQ13RJ9Z</t>
  </si>
  <si>
    <t>G712127483</t>
  </si>
  <si>
    <t>KG3Q6M54PP</t>
  </si>
  <si>
    <t>D6RF4JDG6Q</t>
  </si>
  <si>
    <t>G692586030</t>
  </si>
  <si>
    <t>Z661-27899</t>
  </si>
  <si>
    <t>AirPods 3, Lightning Charging Case, CI/AR, INT</t>
  </si>
  <si>
    <t>MYFY7CKXLH</t>
  </si>
  <si>
    <t>JLFWYPKJGM</t>
  </si>
  <si>
    <t>G710330113</t>
  </si>
  <si>
    <t>C4H436402CL2DG9AW</t>
  </si>
  <si>
    <t>C4H1266070902KMB5</t>
  </si>
  <si>
    <t>661-16567</t>
  </si>
  <si>
    <t>Display, Yellow, iMac (24-in, M1, 2021)</t>
  </si>
  <si>
    <t>GHQ61530003167QAP</t>
  </si>
  <si>
    <t>GHQ1282008V167QAD</t>
  </si>
  <si>
    <t>G691485732</t>
  </si>
  <si>
    <t>F8Y5467C67F20J9BB</t>
  </si>
  <si>
    <t>F5D2357GT0D20J89F</t>
  </si>
  <si>
    <t>G708027833</t>
  </si>
  <si>
    <t>F8Y6054C9LD18FKB6</t>
  </si>
  <si>
    <t>F8Y41620BJ218FLBS</t>
  </si>
  <si>
    <t>G705705011</t>
  </si>
  <si>
    <t>GFJP3CKD18JP</t>
  </si>
  <si>
    <t>G705593463</t>
  </si>
  <si>
    <t>GVH51731LX8PR5PAW</t>
  </si>
  <si>
    <t>GVH50160U1DPR5PAQ</t>
  </si>
  <si>
    <t>G705241651</t>
  </si>
  <si>
    <t>DRCHP400K5J0000WDK</t>
  </si>
  <si>
    <t>DRCHJK0054U0000WDK</t>
  </si>
  <si>
    <t>G704772801</t>
  </si>
  <si>
    <t>G9QHNWT096300004Y9</t>
  </si>
  <si>
    <t>G9QHF8M1SH200004Y9</t>
  </si>
  <si>
    <t>G704355749</t>
  </si>
  <si>
    <t>J22QT1YD26K0</t>
  </si>
  <si>
    <t>J21QRFK226JY</t>
  </si>
  <si>
    <t>G685784564</t>
  </si>
  <si>
    <t>F0Y415501NH2525AN</t>
  </si>
  <si>
    <t>DCN408100ET2525A9</t>
  </si>
  <si>
    <t>G701047829</t>
  </si>
  <si>
    <t>FP1HJE007PT0000G29</t>
  </si>
  <si>
    <t>G700615413</t>
  </si>
  <si>
    <t>HKGQX19WGWTJ</t>
  </si>
  <si>
    <t>HKGP17PDGWTJ</t>
  </si>
  <si>
    <t>G700236575</t>
  </si>
  <si>
    <t>G9P5352M3H9PQCLA2</t>
  </si>
  <si>
    <t>G9N2081PJ7TPQCLAY</t>
  </si>
  <si>
    <t>G699999449</t>
  </si>
  <si>
    <t>G9PHF6K2CL700005DR</t>
  </si>
  <si>
    <t>GH3HCL015B700005DS</t>
  </si>
  <si>
    <t>G699588711</t>
  </si>
  <si>
    <t>661-55230</t>
  </si>
  <si>
    <t>ANSI, Black, Magic Keyboard for iPad Air 11-inch (M3)</t>
  </si>
  <si>
    <t>CJVV03K0JQ</t>
  </si>
  <si>
    <t>V123Y0NR25</t>
  </si>
  <si>
    <t>G699264657</t>
  </si>
  <si>
    <t>F0YHL4000WA00006J1</t>
  </si>
  <si>
    <t>FP1HFD005D10000FQX</t>
  </si>
  <si>
    <t>G714434137</t>
  </si>
  <si>
    <t>DWXMH5YH6X</t>
  </si>
  <si>
    <t>K57NQ2RXQX</t>
  </si>
  <si>
    <t>G714060805</t>
  </si>
  <si>
    <t>F8Y5513C4BM231LBG</t>
  </si>
  <si>
    <t>FG924061NHV22XP65</t>
  </si>
  <si>
    <t>G713740937</t>
  </si>
  <si>
    <t>DXYHL2A4EJP0000NUQ</t>
  </si>
  <si>
    <t>G694468256</t>
  </si>
  <si>
    <t>F8Y5496C01Q13XCBA</t>
  </si>
  <si>
    <t>F5D140112QU13X99F</t>
  </si>
  <si>
    <t>G712691451</t>
  </si>
  <si>
    <t>DN8HQH08YGH0000RYQ</t>
  </si>
  <si>
    <t>DNMHLS046C80000RYP</t>
  </si>
  <si>
    <t>G710978815</t>
  </si>
  <si>
    <t>G494LXFXYQ</t>
  </si>
  <si>
    <t>J9NNWYCVWC</t>
  </si>
  <si>
    <t>G708629171</t>
  </si>
  <si>
    <t>Space Gray, Top Case, ANSI, MBA (M1, 2020)</t>
  </si>
  <si>
    <t>FPW5215L0XQQ1GQBG</t>
  </si>
  <si>
    <t>G690600834</t>
  </si>
  <si>
    <t>GXTVF7J9P0</t>
  </si>
  <si>
    <t>K593RYW3KF</t>
  </si>
  <si>
    <t>H7FHNB0YT9V0000UHZ</t>
  </si>
  <si>
    <t>G707228869</t>
  </si>
  <si>
    <t>F5D11553XLBQ4929W</t>
  </si>
  <si>
    <t>G706274047</t>
  </si>
  <si>
    <t>F0Y543201Q71J88AY</t>
  </si>
  <si>
    <t>GMG3244033J1J88A3</t>
  </si>
  <si>
    <t>CKX52063RRW1LD7AD</t>
  </si>
  <si>
    <t>661-25687</t>
  </si>
  <si>
    <t>Top Case with Keyboard, Starlight, ANSI, English</t>
  </si>
  <si>
    <t>FPW5414G0B81001A9</t>
  </si>
  <si>
    <t>G688668554</t>
  </si>
  <si>
    <t>H17R50G7JJNW</t>
  </si>
  <si>
    <t>G686886018</t>
  </si>
  <si>
    <t>GH3HPU01YBB0000MUZ</t>
  </si>
  <si>
    <t>G9NHLXP4H800000MUY</t>
  </si>
  <si>
    <t>G685730246</t>
  </si>
  <si>
    <t>H7FHNZ14JZF0000UHZ</t>
  </si>
  <si>
    <t>G702447427</t>
  </si>
  <si>
    <t>F8Y5503C1K613RHCC</t>
  </si>
  <si>
    <t>F5D20767P5X13RK9D</t>
  </si>
  <si>
    <t>G701754091</t>
  </si>
  <si>
    <t>FV9511407QL0W9FL9</t>
  </si>
  <si>
    <t>FV95143075G0W9FLU</t>
  </si>
  <si>
    <t>G700813561</t>
  </si>
  <si>
    <t>F8Y5473C9E218FKBV</t>
  </si>
  <si>
    <t>F8Y21870C2J18FLAM</t>
  </si>
  <si>
    <t>G699265349</t>
  </si>
  <si>
    <t>G9PHFQK1L1Q00005DR</t>
  </si>
  <si>
    <t>GH3HBD029D800005DS</t>
  </si>
  <si>
    <t>G698998595</t>
  </si>
  <si>
    <t>GX1HNQ2DVHD0000B31</t>
  </si>
  <si>
    <t>GN3HMJ1C7UW0000B2Z</t>
  </si>
  <si>
    <t>G698303379</t>
  </si>
  <si>
    <t>H97QX3KCJKM9</t>
  </si>
  <si>
    <t>H97Q91A7JKM9</t>
  </si>
  <si>
    <t>H97Q71RNJKM9</t>
  </si>
  <si>
    <t>G712250105</t>
  </si>
  <si>
    <t>D074275562</t>
  </si>
  <si>
    <t>L9T4DF4P3C</t>
  </si>
  <si>
    <t>G693556574</t>
  </si>
  <si>
    <t>F5D1353DKTJ13X99F</t>
  </si>
  <si>
    <t>G711776941</t>
  </si>
  <si>
    <t>J22R34P826K0</t>
  </si>
  <si>
    <t>G711331563</t>
  </si>
  <si>
    <t>GX1HS60PYAL0000B31</t>
  </si>
  <si>
    <t>G710894307</t>
  </si>
  <si>
    <t>FXJ37T4P26</t>
  </si>
  <si>
    <t>MFMYNR2QLC</t>
  </si>
  <si>
    <t>G710687489</t>
  </si>
  <si>
    <t>DNPHNX00D500000WDA</t>
  </si>
  <si>
    <t>GMHHNJ04KE60000M4H</t>
  </si>
  <si>
    <t>G710545037</t>
  </si>
  <si>
    <t>DYC4G9W0R4</t>
  </si>
  <si>
    <t>C6502XJR9V</t>
  </si>
  <si>
    <t>G710466503</t>
  </si>
  <si>
    <t>J22R3ALH26K0</t>
  </si>
  <si>
    <t>G710125651</t>
  </si>
  <si>
    <t>661-52826</t>
  </si>
  <si>
    <t>Top Case, Sky Blue, ANSI, English, MBA (15-in, M4, 2025), VN</t>
  </si>
  <si>
    <t>C4PHP2D0GNA0000J14</t>
  </si>
  <si>
    <t>C02HDW000RL0000MSR</t>
  </si>
  <si>
    <t>C02HG20011X0000MSR</t>
  </si>
  <si>
    <t>G709877579</t>
  </si>
  <si>
    <t>GN3HRT0HSFZ0000B31</t>
  </si>
  <si>
    <t>GX1HCL13QCZ0000B31</t>
  </si>
  <si>
    <t>G709087215</t>
  </si>
  <si>
    <t>FG9GYT00PRZ00006TV</t>
  </si>
  <si>
    <t>G707496355</t>
  </si>
  <si>
    <t>FGVF9752LT</t>
  </si>
  <si>
    <t>LFG66PXJFD</t>
  </si>
  <si>
    <t>G707302149</t>
  </si>
  <si>
    <t>DNL53131L4117RRC1</t>
  </si>
  <si>
    <t>GCF42951K1X17RQUC</t>
  </si>
  <si>
    <t>CTH44932S8A1JJJAV</t>
  </si>
  <si>
    <t>CTH43251LL91JJJAP</t>
  </si>
  <si>
    <t>G704684917</t>
  </si>
  <si>
    <t>HWP9NXR1HJ</t>
  </si>
  <si>
    <t>FQ6G73Q7MN</t>
  </si>
  <si>
    <t>G704574779</t>
  </si>
  <si>
    <t>F8Y5527C1MEQ687BE</t>
  </si>
  <si>
    <t>FG90367D7V8Q6893D</t>
  </si>
  <si>
    <t>G685426948</t>
  </si>
  <si>
    <t>V7F2LM4WKH</t>
  </si>
  <si>
    <t>MD61454FJ0</t>
  </si>
  <si>
    <t>G701146505</t>
  </si>
  <si>
    <t>G9NHFBS37AB00005DR</t>
  </si>
  <si>
    <t>G9NH9LX2XL800005DR</t>
  </si>
  <si>
    <t>G684503176</t>
  </si>
  <si>
    <t>F8Y5366C9XTQ687BN</t>
  </si>
  <si>
    <t>F8Y12051Z2EQ687AW</t>
  </si>
  <si>
    <t>G700750725</t>
  </si>
  <si>
    <t>G9Q5177CG20PR5QA8</t>
  </si>
  <si>
    <t>GVH43251DH2PR5PAX</t>
  </si>
  <si>
    <t>G700489311</t>
  </si>
  <si>
    <t>GH3HMT00SPZ0000MUZ</t>
  </si>
  <si>
    <t>GH3HM60291P0000MUZ</t>
  </si>
  <si>
    <t>G700380541</t>
  </si>
  <si>
    <t>FTL533608ZD2FH9AU</t>
  </si>
  <si>
    <t>G699900203</t>
  </si>
  <si>
    <t>G9Q5394UFCJ21KHAU</t>
  </si>
  <si>
    <t>GVH41671AEB1PHLAP</t>
  </si>
  <si>
    <t>G698997439</t>
  </si>
  <si>
    <t>G9P5326QP281PHRA3</t>
  </si>
  <si>
    <t>G9N3482W0KT1PHRAY</t>
  </si>
  <si>
    <t>G682557860</t>
  </si>
  <si>
    <t>Speaker Antenna Pair</t>
  </si>
  <si>
    <t>G698575157</t>
  </si>
  <si>
    <t>G9QHFDQ03NR00004Y9</t>
  </si>
  <si>
    <t>G9QHETL3PZE00004Y9</t>
  </si>
  <si>
    <t>G715338681</t>
  </si>
  <si>
    <t>C4H345602L802KVB6</t>
  </si>
  <si>
    <t>C4H151402XS02KV87</t>
  </si>
  <si>
    <t>G713819975</t>
  </si>
  <si>
    <t>FG921742UE018FMAK</t>
  </si>
  <si>
    <t>G712550645</t>
  </si>
  <si>
    <t>F8Y6156C0UE18FKBM</t>
  </si>
  <si>
    <t>FG9405304X918FMBN</t>
  </si>
  <si>
    <t>G712369821</t>
  </si>
  <si>
    <t>J22R3E7W26K0</t>
  </si>
  <si>
    <t>J21R343Z26JY</t>
  </si>
  <si>
    <t>G711676307</t>
  </si>
  <si>
    <t>F8YHRTD00U400006TP</t>
  </si>
  <si>
    <t>F8YGZY35E0Q00006TR</t>
  </si>
  <si>
    <t>G710876129</t>
  </si>
  <si>
    <t>FV9516304QB0W9FL7</t>
  </si>
  <si>
    <t>FV9529300SY0W9FL8</t>
  </si>
  <si>
    <t>F5854740NX714KRAHL</t>
  </si>
  <si>
    <t>G690477552</t>
  </si>
  <si>
    <t>F8Y6037C1UH20J9BV</t>
  </si>
  <si>
    <t>F5D23434RWH20J890</t>
  </si>
  <si>
    <t>G707739041</t>
  </si>
  <si>
    <t>GH7PQ9T52C</t>
  </si>
  <si>
    <t>G707374679</t>
  </si>
  <si>
    <t>FHQWP19GCP</t>
  </si>
  <si>
    <t>JX5J6Q94KC</t>
  </si>
  <si>
    <t>G704705261</t>
  </si>
  <si>
    <t>F12RQYR24P</t>
  </si>
  <si>
    <t>G704625783</t>
  </si>
  <si>
    <t>FMXHMD001Y300006GW</t>
  </si>
  <si>
    <t>FMXHDB000TC00006GW</t>
  </si>
  <si>
    <t>G704575337</t>
  </si>
  <si>
    <t>F8Y5507C8AN18FKB4</t>
  </si>
  <si>
    <t>FG9401709UL18FMBP</t>
  </si>
  <si>
    <t>G704029859</t>
  </si>
  <si>
    <t>GGV249RK75</t>
  </si>
  <si>
    <t>G3JQD6X5VF</t>
  </si>
  <si>
    <t>G702988171</t>
  </si>
  <si>
    <t>F8Y5527C3JLQ687BF</t>
  </si>
  <si>
    <t>FG910131TRPQ68C38</t>
  </si>
  <si>
    <t>G702709461</t>
  </si>
  <si>
    <t>F8Y4464C519Q4C2BX</t>
  </si>
  <si>
    <t>F5D045114Z8Q4C09Q</t>
  </si>
  <si>
    <t>G702534425</t>
  </si>
  <si>
    <t>F8Y25260RVGM6YNB0</t>
  </si>
  <si>
    <t>G702251355</t>
  </si>
  <si>
    <t>GX08</t>
  </si>
  <si>
    <t>661-38765</t>
  </si>
  <si>
    <t>F8YHLJN017Z00000E9</t>
  </si>
  <si>
    <t>F8YH30010HD00000E7</t>
  </si>
  <si>
    <t>G685649186</t>
  </si>
  <si>
    <t>G700712459</t>
  </si>
  <si>
    <t>G9Q5177P5ETPR5QAR</t>
  </si>
  <si>
    <t>GVH44630UZ4PR5PAS</t>
  </si>
  <si>
    <t>G700379493</t>
  </si>
  <si>
    <t>DH2Q4DFDVH</t>
  </si>
  <si>
    <t>G700007317</t>
  </si>
  <si>
    <t>J22QQAAL26K0</t>
  </si>
  <si>
    <t>G699312423</t>
  </si>
  <si>
    <t>J5X66J6XQ7</t>
  </si>
  <si>
    <t>GCNXC43D43</t>
  </si>
  <si>
    <t>G699265717</t>
  </si>
  <si>
    <t>FTL54150ABK2FH8AR</t>
  </si>
  <si>
    <t>G713382361</t>
  </si>
  <si>
    <t>ZP661-50271</t>
  </si>
  <si>
    <t>iPad Air 11-inch (M3) Wi-Fi, 512GB, Blue, CI/AR, CN</t>
  </si>
  <si>
    <t>HJ7LYYDFN9</t>
  </si>
  <si>
    <t>G694516002</t>
  </si>
  <si>
    <t>L6H97FM2HN</t>
  </si>
  <si>
    <t>MD6V0XHJWN</t>
  </si>
  <si>
    <t>G712341587</t>
  </si>
  <si>
    <t>G0NHD701S6M0000HKZ</t>
  </si>
  <si>
    <t>GMHHCE038ND0000BXF</t>
  </si>
  <si>
    <t>G711524155</t>
  </si>
  <si>
    <t>J9KHQE003S30000FD3</t>
  </si>
  <si>
    <t>FNJHA1L1RNT0000882</t>
  </si>
  <si>
    <t>G710691129</t>
  </si>
  <si>
    <t>H760RY2KV0</t>
  </si>
  <si>
    <t>J2H4CP4PK7</t>
  </si>
  <si>
    <t>G704774197</t>
  </si>
  <si>
    <t>C02HNB000060000F6W</t>
  </si>
  <si>
    <t>C02HCC0042H0000F6W</t>
  </si>
  <si>
    <t>F8Y5482N02F13QFC8</t>
  </si>
  <si>
    <t>F8Y4387017010X2CZ</t>
  </si>
  <si>
    <t>G687657196</t>
  </si>
  <si>
    <t>PP661-17624</t>
  </si>
  <si>
    <t>Graphite, 256GB, iPhone 12 Pro Max, ROW, Philippines, CI/AR</t>
  </si>
  <si>
    <t>HH5R200J0D53</t>
  </si>
  <si>
    <t>G0NDWGBA0D56</t>
  </si>
  <si>
    <t>G704091861</t>
  </si>
  <si>
    <t>D3NX6445R2</t>
  </si>
  <si>
    <t>MV9CN79WL6</t>
  </si>
  <si>
    <t>G703828211</t>
  </si>
  <si>
    <t>HHWH16GFPQ</t>
  </si>
  <si>
    <t>G7132JPWF6</t>
  </si>
  <si>
    <t>G703762809</t>
  </si>
  <si>
    <t>661-52820</t>
  </si>
  <si>
    <t>Top Case, Starlight, ANSI, VN</t>
  </si>
  <si>
    <t>C4PHMRD00ZA0000J13</t>
  </si>
  <si>
    <t>G702468997</t>
  </si>
  <si>
    <t>G9PHFRJ1B2600005DR</t>
  </si>
  <si>
    <t>G9NHB2S0MZE00005DR</t>
  </si>
  <si>
    <t>G701147135</t>
  </si>
  <si>
    <t>F8Y5466C53818FKBS</t>
  </si>
  <si>
    <t>FG922441NSW18FMA4</t>
  </si>
  <si>
    <t>G684402468</t>
  </si>
  <si>
    <t>F8Y5442C4E2M6YNDU</t>
  </si>
  <si>
    <t>F8Y93740Z55M6YM7N</t>
  </si>
  <si>
    <t>DKH5442F0BY04FPA8</t>
  </si>
  <si>
    <t>F7C9381P9Z4KV27AV</t>
  </si>
  <si>
    <t>G699067035</t>
  </si>
  <si>
    <t>F8Y5467C15613RHCZ</t>
  </si>
  <si>
    <t>F5D1515GNV913RK9N</t>
  </si>
  <si>
    <t>G713293771</t>
  </si>
  <si>
    <t>F8Y5516CD0M13RHC2</t>
  </si>
  <si>
    <t>F5D203799HU13RK9Z</t>
  </si>
  <si>
    <t>G712208321</t>
  </si>
  <si>
    <t>F8Y6157C3JX18FKBW</t>
  </si>
  <si>
    <t>F8Y3481001N18FLAY</t>
  </si>
  <si>
    <t>G711653311</t>
  </si>
  <si>
    <t>F8Y6136C9L518FKBH</t>
  </si>
  <si>
    <t>F8Y40930G1E18FLBH</t>
  </si>
  <si>
    <t>G708727349</t>
  </si>
  <si>
    <t>J22QT3SN26K0</t>
  </si>
  <si>
    <t>G708684873</t>
  </si>
  <si>
    <t>G9P5185MA28PQCLAX</t>
  </si>
  <si>
    <t>G9P2077MLL0PQCLAL</t>
  </si>
  <si>
    <t>G706935303</t>
  </si>
  <si>
    <t>G9NHQBJ1S380000L4B</t>
  </si>
  <si>
    <t>G9PHKYY6JW60000L4B</t>
  </si>
  <si>
    <t>G704854297</t>
  </si>
  <si>
    <t>HTVVPV9H6C</t>
  </si>
  <si>
    <t>JTW4RXLRQR</t>
  </si>
  <si>
    <t>G703884567</t>
  </si>
  <si>
    <t>FTL5425030K2FH9AT</t>
  </si>
  <si>
    <t>G702556197</t>
  </si>
  <si>
    <t>GN1HK91G8X80000B30</t>
  </si>
  <si>
    <t>G683733680</t>
  </si>
  <si>
    <t>661-38763</t>
  </si>
  <si>
    <t>Cable, USB-C to MagSafe 3, 2m, Space Black</t>
  </si>
  <si>
    <t>FTL43350GVU2CC3AB</t>
  </si>
  <si>
    <t>G700002705</t>
  </si>
  <si>
    <t>H7TJLF6Y7Q</t>
  </si>
  <si>
    <t>MMV273X6HJ</t>
  </si>
  <si>
    <t>G699978681</t>
  </si>
  <si>
    <t>G9PHKYT08F700005DP</t>
  </si>
  <si>
    <t>GVCH8Y00VFH00005DQ</t>
  </si>
  <si>
    <t>G699912895</t>
  </si>
  <si>
    <t>FG9HNR00A2W00006TT</t>
  </si>
  <si>
    <t>F5DGYK00JWH00006TU</t>
  </si>
  <si>
    <t>G699458655</t>
  </si>
  <si>
    <t>GN1HKX1M79H0000B30</t>
  </si>
  <si>
    <t>GN1HKB1MAFV0000B32</t>
  </si>
  <si>
    <t>G682717210</t>
  </si>
  <si>
    <t>J6HG67W4QD</t>
  </si>
  <si>
    <t>F4D52196JF</t>
  </si>
  <si>
    <t>G715342121</t>
  </si>
  <si>
    <t>G9PHRDT2QPR00005DP</t>
  </si>
  <si>
    <t>GVCH7L012S800005DQ</t>
  </si>
  <si>
    <t>G715114715</t>
  </si>
  <si>
    <t>G9PHHWK198J00005DR</t>
  </si>
  <si>
    <t>GH3HFZ00NF700005DS</t>
  </si>
  <si>
    <t>G713821123</t>
  </si>
  <si>
    <t>FQ143G2WM0</t>
  </si>
  <si>
    <t>DJQ3J25YVC</t>
  </si>
  <si>
    <t>G693921626</t>
  </si>
  <si>
    <t>F8Y13820YWT18FKAH</t>
  </si>
  <si>
    <t>G711975439</t>
  </si>
  <si>
    <t>FFVX4MWVWM</t>
  </si>
  <si>
    <t>H0GT9GGXRH</t>
  </si>
  <si>
    <t>G710674839</t>
  </si>
  <si>
    <t>C02414200MC1RH5A8</t>
  </si>
  <si>
    <t>C02418201HS1RH5AT</t>
  </si>
  <si>
    <t>G710529809</t>
  </si>
  <si>
    <t>F8Y6114C3KD18FKBS</t>
  </si>
  <si>
    <t>F8Y413509NK18FLB5</t>
  </si>
  <si>
    <t>G710454659</t>
  </si>
  <si>
    <t>661-18595</t>
  </si>
  <si>
    <t>Power Adapter, USB-C, 140W, World Wide</t>
  </si>
  <si>
    <t>C4H522304HR16YCAC</t>
  </si>
  <si>
    <t>G710341273</t>
  </si>
  <si>
    <t>Display, Silver, MBA (15-in, M4, 2025)</t>
  </si>
  <si>
    <t>GMGHMP001140000HX1</t>
  </si>
  <si>
    <t>FP1HM1000S40000HWZ</t>
  </si>
  <si>
    <t>G690486280</t>
  </si>
  <si>
    <t>F0Y5414011H1J88AT</t>
  </si>
  <si>
    <t>FP14352086225YTAX</t>
  </si>
  <si>
    <t>G705699427</t>
  </si>
  <si>
    <t>J21QV2FS26JY</t>
  </si>
  <si>
    <t>G705411623</t>
  </si>
  <si>
    <t>F8Y5527CCSS20J9BG</t>
  </si>
  <si>
    <t>F5D2342548V20J895</t>
  </si>
  <si>
    <t>G703110811</t>
  </si>
  <si>
    <t>DNMHJS00Q6H0000QTE</t>
  </si>
  <si>
    <t>DNMHN8021HL0000QTE</t>
  </si>
  <si>
    <t>G685784018</t>
  </si>
  <si>
    <t>J9LR100AN735</t>
  </si>
  <si>
    <t>DX3MN7JJN735</t>
  </si>
  <si>
    <t>G701506599</t>
  </si>
  <si>
    <t>HNXPF3H3Q1HL</t>
  </si>
  <si>
    <t>G701988447</t>
  </si>
  <si>
    <t>G700608887</t>
  </si>
  <si>
    <t>G9QHNYR0H7900004Y7</t>
  </si>
  <si>
    <t>G9QHB4R4ZZV00004Y7</t>
  </si>
  <si>
    <t>G700388243</t>
  </si>
  <si>
    <t>H7FHPU01GVT0000UHY</t>
  </si>
  <si>
    <t>G699986765</t>
  </si>
  <si>
    <t>G9QHPCN6C2N0000L4B</t>
  </si>
  <si>
    <t>G9NHMGX6CYV0000L4B</t>
  </si>
  <si>
    <t>G714198449</t>
  </si>
  <si>
    <t>F8Y6066C59J13XCBX</t>
  </si>
  <si>
    <t>F5D21274UAY13X996</t>
  </si>
  <si>
    <t>G694512468</t>
  </si>
  <si>
    <t>F8Y6175C23FM6YND4</t>
  </si>
  <si>
    <t>FG9245200MDM6YQC8</t>
  </si>
  <si>
    <t>G711458803</t>
  </si>
  <si>
    <t>J9Q5476005D0GKWAW</t>
  </si>
  <si>
    <t>GMH50621MCHQ189AW</t>
  </si>
  <si>
    <t>GCF542603QEQ59TBP</t>
  </si>
  <si>
    <t>GCF51471J7TQ59TB5</t>
  </si>
  <si>
    <t>G709276423</t>
  </si>
  <si>
    <t>G9P5325Q9LC1PHRAU</t>
  </si>
  <si>
    <t>G9N3475WD7H1PHRAX</t>
  </si>
  <si>
    <t>G708245153</t>
  </si>
  <si>
    <t>FGJ6034RJ9X2DP5AN</t>
  </si>
  <si>
    <t>G707522647</t>
  </si>
  <si>
    <t>G9Q5181C0KAPR5QA0</t>
  </si>
  <si>
    <t>GVH523501QWPR5PAS</t>
  </si>
  <si>
    <t>G707359627</t>
  </si>
  <si>
    <t>FYPQ9C1F3W</t>
  </si>
  <si>
    <t>M00P42CKXK</t>
  </si>
  <si>
    <t>G706933005</t>
  </si>
  <si>
    <t>F5DH9W00FJR0000UMH</t>
  </si>
  <si>
    <t>G705422611</t>
  </si>
  <si>
    <t>GMG545100LDNR8DBA</t>
  </si>
  <si>
    <t>GMG301700SNNR89B3</t>
  </si>
  <si>
    <t>G703902697</t>
  </si>
  <si>
    <t>G9Q6036S36R21KHA5</t>
  </si>
  <si>
    <t>GVH50910G3Y1PHLAT</t>
  </si>
  <si>
    <t>G686475532</t>
  </si>
  <si>
    <t>F8Y5456C8U018FKBT</t>
  </si>
  <si>
    <t>F8Y149716SU18FLA7</t>
  </si>
  <si>
    <t>G686467046</t>
  </si>
  <si>
    <t>J22QQE1A26K0</t>
  </si>
  <si>
    <t>G701684397</t>
  </si>
  <si>
    <t>K6LTQD0MHV</t>
  </si>
  <si>
    <t>CYMP9CY65K</t>
  </si>
  <si>
    <t>G699850645</t>
  </si>
  <si>
    <t>C47HH90041200005MV</t>
  </si>
  <si>
    <t>FP1439201MH25YTA0</t>
  </si>
  <si>
    <t>G712252121</t>
  </si>
  <si>
    <t>GMGHKK001HR0000GVK</t>
  </si>
  <si>
    <t>FP1HGQ000BD0000G2A</t>
  </si>
  <si>
    <t>G711992717</t>
  </si>
  <si>
    <t>G9MNX43YPH</t>
  </si>
  <si>
    <t>CGPXV7HF59</t>
  </si>
  <si>
    <t>G707630145</t>
  </si>
  <si>
    <t>661-27784</t>
  </si>
  <si>
    <t>C02523500071NX9AV</t>
  </si>
  <si>
    <t>C02328500281NX9AD</t>
  </si>
  <si>
    <t>G707071361</t>
  </si>
  <si>
    <t>661-11232</t>
  </si>
  <si>
    <t>Display, iPhone XR</t>
  </si>
  <si>
    <t>C3F5144G0V2JLNMAC</t>
  </si>
  <si>
    <t>C3F4056G1F5JLNMAF</t>
  </si>
  <si>
    <t>G706330259</t>
  </si>
  <si>
    <t>G9P5221MNGQPQCLAG</t>
  </si>
  <si>
    <t>G9N2057L6CUPQCLA6</t>
  </si>
  <si>
    <t>G706038671</t>
  </si>
  <si>
    <t>F0WHJH01F0R0000JS7</t>
  </si>
  <si>
    <t>DN8HP604YCW0000RYQ</t>
  </si>
  <si>
    <t>G686473356</t>
  </si>
  <si>
    <t>G6FTFK7QM6</t>
  </si>
  <si>
    <t>FJD2J0MXMT</t>
  </si>
  <si>
    <t>G699120235</t>
  </si>
  <si>
    <t>GKGK930QG4</t>
  </si>
  <si>
    <t>J9DCXKXQJ9</t>
  </si>
  <si>
    <t>G714842901</t>
  </si>
  <si>
    <t>GVH51750CN2PR5PA4</t>
  </si>
  <si>
    <t>GVH5117391NPR5PAP</t>
  </si>
  <si>
    <t>G714329887</t>
  </si>
  <si>
    <t>G9P5471CGF6PR5QA1</t>
  </si>
  <si>
    <t>GVH51011S2GPR5PAQ</t>
  </si>
  <si>
    <t>G712256883</t>
  </si>
  <si>
    <t>F07QLYFJK3</t>
  </si>
  <si>
    <t>CRQKV4PGD2</t>
  </si>
  <si>
    <t>G709503279</t>
  </si>
  <si>
    <t>FG96145034ZN2YLB1</t>
  </si>
  <si>
    <t>F5D01954SXSN2YN4B</t>
  </si>
  <si>
    <t>G709500665</t>
  </si>
  <si>
    <t>F8Y6057C6VF18FKBB</t>
  </si>
  <si>
    <t>FG915132W0S18FM41</t>
  </si>
  <si>
    <t>G708923825</t>
  </si>
  <si>
    <t>MK6KT69643</t>
  </si>
  <si>
    <t>CYDXH9WL6C</t>
  </si>
  <si>
    <t>G705728921</t>
  </si>
  <si>
    <t>DWD7GFKW9G</t>
  </si>
  <si>
    <t>K76J1CQ5PX</t>
  </si>
  <si>
    <t>G704444117</t>
  </si>
  <si>
    <t>GMG534100D11J88AP</t>
  </si>
  <si>
    <t>F0Y418702BJ1J88AB</t>
  </si>
  <si>
    <t>G702603299</t>
  </si>
  <si>
    <t>GG2GFQRYC9</t>
  </si>
  <si>
    <t>GK4PWWJ0X2</t>
  </si>
  <si>
    <t>G699684275</t>
  </si>
  <si>
    <t>K2DLV70L04</t>
  </si>
  <si>
    <t>C59730CV6T</t>
  </si>
  <si>
    <t>G698626255</t>
  </si>
  <si>
    <t>661-27972</t>
  </si>
  <si>
    <t>Red Aluminum, Watch Series 8, 45mm, GPS</t>
  </si>
  <si>
    <t>L4YXD9VJCR</t>
  </si>
  <si>
    <t>J66M4DG2W1</t>
  </si>
  <si>
    <t>G682419296</t>
  </si>
  <si>
    <t>G9PHJWS0E7G00005DR</t>
  </si>
  <si>
    <t>G9NHAMN0RZX00005DR</t>
  </si>
  <si>
    <t>G714625665</t>
  </si>
  <si>
    <t>GMGHL9004TK0000GVK</t>
  </si>
  <si>
    <t>F0YHMH0005V0000GVL</t>
  </si>
  <si>
    <t>G692465270</t>
  </si>
  <si>
    <t>LPYF7C2WKC</t>
  </si>
  <si>
    <t>LF4257FW5T</t>
  </si>
  <si>
    <t>G706453699</t>
  </si>
  <si>
    <t>F8Y5496C1A613XCB0</t>
  </si>
  <si>
    <t>F5D1486DN0G13XD9A</t>
  </si>
  <si>
    <t>G705711951</t>
  </si>
  <si>
    <t>J33HNT00U0H0000Z51</t>
  </si>
  <si>
    <t>J33HMY00Q6F0000VLG</t>
  </si>
  <si>
    <t>F0YHQU0061E0000UJX</t>
  </si>
  <si>
    <t>FP1HMF003F70000UJW</t>
  </si>
  <si>
    <t>G705253169</t>
  </si>
  <si>
    <t>G9Q5181EG9L1502AK</t>
  </si>
  <si>
    <t>GVC434608121503A2</t>
  </si>
  <si>
    <t>G700585737</t>
  </si>
  <si>
    <t>GN9TRQ7CY6</t>
  </si>
  <si>
    <t>C734K77C6K</t>
  </si>
  <si>
    <t>G714824433</t>
  </si>
  <si>
    <t>661-56058</t>
  </si>
  <si>
    <t>White, Back Glass, iPhone 17</t>
  </si>
  <si>
    <t>J5XHQD002FE0000WDL</t>
  </si>
  <si>
    <t>DR8HMP003VV0000WDL</t>
  </si>
  <si>
    <t>G708705099</t>
  </si>
  <si>
    <t>CF8Y6066C7SE13XCBG</t>
  </si>
  <si>
    <t>F5D1405JSVY13X99K</t>
  </si>
  <si>
    <t>G690722028</t>
  </si>
  <si>
    <t>GY066VD43D</t>
  </si>
  <si>
    <t>JFK9533KDF</t>
  </si>
  <si>
    <t>G703348253</t>
  </si>
  <si>
    <t>F8Y5433C3AHM6YNDU</t>
  </si>
  <si>
    <t>F8Y942525ZVM6YN7G</t>
  </si>
  <si>
    <t>G702939075</t>
  </si>
  <si>
    <t>H2CQW0LH1JG1</t>
  </si>
  <si>
    <t>H2DPC4PF1JG1</t>
  </si>
  <si>
    <t>G702258357</t>
  </si>
  <si>
    <t>DTVHK68230C0000CZ8</t>
  </si>
  <si>
    <t>DTVHJT82BVY0000CZ8</t>
  </si>
  <si>
    <t>CTHHFU85AAZ0000CZA</t>
  </si>
  <si>
    <t>CTHHHE85AY80000CZA</t>
  </si>
  <si>
    <t>DN8HJT0A9SQ00006S2</t>
  </si>
  <si>
    <t>DN8HK00B7SP00006S2</t>
  </si>
  <si>
    <t>G701439097</t>
  </si>
  <si>
    <t>HK7P4VW6MG</t>
  </si>
  <si>
    <t>M9H297JQHF</t>
  </si>
  <si>
    <t>G698261121</t>
  </si>
  <si>
    <t>TA661-55282</t>
  </si>
  <si>
    <t>Lavender, 256GB, iPhone 17, ROW, Taiwan, CI/AR</t>
  </si>
  <si>
    <t>J4QJLYJQKV</t>
  </si>
  <si>
    <t>FQ41YY7Y3M</t>
  </si>
  <si>
    <t>G712689689</t>
  </si>
  <si>
    <t>GVCHRN03MJP0000U6M</t>
  </si>
  <si>
    <t>G9QHNRJ33VQ0000MTE</t>
  </si>
  <si>
    <t>G694208192</t>
  </si>
  <si>
    <t>PP661-13321</t>
  </si>
  <si>
    <t>128GB, Black, ROW, iPhone 11, CI/AR-PPN</t>
  </si>
  <si>
    <t>J9LR100JN73D</t>
  </si>
  <si>
    <t>GXHNL1MYN73D</t>
  </si>
  <si>
    <t>G711243357</t>
  </si>
  <si>
    <t>LX4GV9KTC2</t>
  </si>
  <si>
    <t>G32XHT72YF</t>
  </si>
  <si>
    <t>G692610626</t>
  </si>
  <si>
    <t>G9PHHYU06TD00005DR</t>
  </si>
  <si>
    <t>GH3HBK00NQP00005DS</t>
  </si>
  <si>
    <t>G708361663</t>
  </si>
  <si>
    <t>JTGR6V3Q67</t>
  </si>
  <si>
    <t>H1652N4PXV</t>
  </si>
  <si>
    <t>GN3HRZ0K0LE0000B2Z</t>
  </si>
  <si>
    <t>HY3HCD0F3DV0000B2Z</t>
  </si>
  <si>
    <t>GN3HS20KY5T0000B31</t>
  </si>
  <si>
    <t>HYCHCE02HMA0000B31</t>
  </si>
  <si>
    <t>G708191059</t>
  </si>
  <si>
    <t>FV9518308170W9GL1</t>
  </si>
  <si>
    <t>FV9451304MN0W9GLJ</t>
  </si>
  <si>
    <t>G707614589</t>
  </si>
  <si>
    <t>FLX62KY74T</t>
  </si>
  <si>
    <t>D7MVH63VL7</t>
  </si>
  <si>
    <t>G706698125</t>
  </si>
  <si>
    <t>G0VYFFH43L</t>
  </si>
  <si>
    <t>LPG7N727Y9</t>
  </si>
  <si>
    <t>G706620765</t>
  </si>
  <si>
    <t>C1K3H4JPMG</t>
  </si>
  <si>
    <t>M4X37XH3GH</t>
  </si>
  <si>
    <t>G706344545</t>
  </si>
  <si>
    <t>H3VHMC09C6B0000UHY</t>
  </si>
  <si>
    <t>G704360771</t>
  </si>
  <si>
    <t>HWH5Y9GNW5</t>
  </si>
  <si>
    <t>FV2QP6MM6G</t>
  </si>
  <si>
    <t>G700220535</t>
  </si>
  <si>
    <t>F0YHMQ001WU0000GVL</t>
  </si>
  <si>
    <t>F0YHDA001K60000GVK</t>
  </si>
  <si>
    <t>G715752947</t>
  </si>
  <si>
    <t>F8Y5457C5QC237KBM</t>
  </si>
  <si>
    <t>FQ124153YBC22HQ1U</t>
  </si>
  <si>
    <t>G712920681</t>
  </si>
  <si>
    <t>G9Q5175W8HB1502AX</t>
  </si>
  <si>
    <t>GVC41560ECT1503A5</t>
  </si>
  <si>
    <t>G711180181</t>
  </si>
  <si>
    <t>GH3HRQ00G2S0000MUZ</t>
  </si>
  <si>
    <t>GVCHQT01ZW50000MUZ</t>
  </si>
  <si>
    <t>G711081471</t>
  </si>
  <si>
    <t>GMGHLC00B4A0000GVL</t>
  </si>
  <si>
    <t>FP1HDD0072R0000G2A</t>
  </si>
  <si>
    <t>G709280623</t>
  </si>
  <si>
    <t>F0Y541500WS1J88AZ</t>
  </si>
  <si>
    <t>FP1450503N325YVAV</t>
  </si>
  <si>
    <t>CKX51731V781LD7A6</t>
  </si>
  <si>
    <t>G708295231</t>
  </si>
  <si>
    <t>C02HEH0007Y0000P12</t>
  </si>
  <si>
    <t>C02HEK001Y90000P12</t>
  </si>
  <si>
    <t>G707376519</t>
  </si>
  <si>
    <t>HDJCWHFKYH</t>
  </si>
  <si>
    <t>KMVCC2DXLX</t>
  </si>
  <si>
    <t>G705725175</t>
  </si>
  <si>
    <t>GGPWJL9DRH</t>
  </si>
  <si>
    <t>K2MFPWVXKT</t>
  </si>
  <si>
    <t>G702722299</t>
  </si>
  <si>
    <t>F8Y5426C01X18FKBS</t>
  </si>
  <si>
    <t>FG9146326JA18FM47</t>
  </si>
  <si>
    <t>G702003733</t>
  </si>
  <si>
    <t>G9PHH6E06YB00005DP</t>
  </si>
  <si>
    <t>GVCHGF0125X00005DQ</t>
  </si>
  <si>
    <t>G701392397</t>
  </si>
  <si>
    <t>DHH9CJ77D0</t>
  </si>
  <si>
    <t>H2CKX2WGHJ</t>
  </si>
  <si>
    <t>G682546464</t>
  </si>
  <si>
    <t>G9PHKVF051H00005DP</t>
  </si>
  <si>
    <t>GVCHBZ001VJ00005DQ</t>
  </si>
  <si>
    <t>G698310163</t>
  </si>
  <si>
    <t>F8Y5501C1Q413XCBR</t>
  </si>
  <si>
    <t>F8Y22170E1313X88Y</t>
  </si>
  <si>
    <t>G713746525</t>
  </si>
  <si>
    <t>G9P5163LBAHPQCKA9</t>
  </si>
  <si>
    <t>G9N2151WAHFPQCKAA</t>
  </si>
  <si>
    <t>F8Y5516CEPN13RHCZ</t>
  </si>
  <si>
    <t>F5D21266HZK13RK9Y</t>
  </si>
  <si>
    <t>G712361187</t>
  </si>
  <si>
    <t>G9PHMGT08DT00005DP</t>
  </si>
  <si>
    <t>GVCHEJ00RC400005DQ</t>
  </si>
  <si>
    <t>G712133485</t>
  </si>
  <si>
    <t>FQXYHTVWV1</t>
  </si>
  <si>
    <t>RF20V9J90C</t>
  </si>
  <si>
    <t>G709380333</t>
  </si>
  <si>
    <t>GDL46RW4GR</t>
  </si>
  <si>
    <t>DWJQ9PP7GF</t>
  </si>
  <si>
    <t>G708734339</t>
  </si>
  <si>
    <t>JN4V3QYW52</t>
  </si>
  <si>
    <t>F66F069QG9</t>
  </si>
  <si>
    <t>G690486734</t>
  </si>
  <si>
    <t>GGFJ41JYF7</t>
  </si>
  <si>
    <t>F3WK64PWR9</t>
  </si>
  <si>
    <t>G708248955</t>
  </si>
  <si>
    <t>F8Y6052CEBT18FKBG</t>
  </si>
  <si>
    <t>FG914371ND718FN5D</t>
  </si>
  <si>
    <t>G707301463</t>
  </si>
  <si>
    <t>LHPVDHXQ60</t>
  </si>
  <si>
    <t>HCX2CW97JR</t>
  </si>
  <si>
    <t>G704717723</t>
  </si>
  <si>
    <t>F8Y5372C4S914LWC2</t>
  </si>
  <si>
    <t>F5D152124D614LX90</t>
  </si>
  <si>
    <t>G701036005</t>
  </si>
  <si>
    <t>F8Y5454C6PG20J9B2</t>
  </si>
  <si>
    <t>F5D2396H8UA20J798</t>
  </si>
  <si>
    <t>G699654389</t>
  </si>
  <si>
    <t>F8Y5515CAF313XCB3</t>
  </si>
  <si>
    <t>F8Y14040EHK13X889</t>
  </si>
  <si>
    <t>G713599095</t>
  </si>
  <si>
    <t>GVH51661ZQBPR5PA1</t>
  </si>
  <si>
    <t>GVH512400SBPR5PAB</t>
  </si>
  <si>
    <t>G712698641</t>
  </si>
  <si>
    <t>HCG24M4X0D</t>
  </si>
  <si>
    <t>D490FM44D9</t>
  </si>
  <si>
    <t>G711968793</t>
  </si>
  <si>
    <t>F8Y6126C60418FKBG</t>
  </si>
  <si>
    <t>F8Y5111C6B618FKBS</t>
  </si>
  <si>
    <t>G711081877</t>
  </si>
  <si>
    <t>FV9537202XA0W9FLK</t>
  </si>
  <si>
    <t>G709305121</t>
  </si>
  <si>
    <t>661-40187</t>
  </si>
  <si>
    <t>Logic Board, 8-core CPU, 10-core GPU, 16 GB, 1 TB</t>
  </si>
  <si>
    <t>C02H7V000NJ0000F7H</t>
  </si>
  <si>
    <t>HXKHBS000PD0000598</t>
  </si>
  <si>
    <t>G705928439</t>
  </si>
  <si>
    <t>GM6DGQRJ4M</t>
  </si>
  <si>
    <t>K6PHV6MHP7</t>
  </si>
  <si>
    <t>G705794365</t>
  </si>
  <si>
    <t>MQ14D2TDY6</t>
  </si>
  <si>
    <t>D9JLVTQC42</t>
  </si>
  <si>
    <t>G704961561</t>
  </si>
  <si>
    <t>DWJYG2CV7G</t>
  </si>
  <si>
    <t>CYPFP9031W</t>
  </si>
  <si>
    <t>G703319665</t>
  </si>
  <si>
    <t>FMXHMF000VN00006J3</t>
  </si>
  <si>
    <t>F0YHCM000U900006J1</t>
  </si>
  <si>
    <t>G699960067</t>
  </si>
  <si>
    <t>CWQVDT4RRK</t>
  </si>
  <si>
    <t>GYK3PXL7W5</t>
  </si>
  <si>
    <t>G699567853</t>
  </si>
  <si>
    <t>DNL45242D5JQ7172Z</t>
  </si>
  <si>
    <t>DNM53642NTB0V4K1H</t>
  </si>
  <si>
    <t>G683114558</t>
  </si>
  <si>
    <t>PP661-23538</t>
  </si>
  <si>
    <t>13 Pro, Silver, 256GB, Logic Board Assy Rear System, ROW</t>
  </si>
  <si>
    <t>K95KWC5G74</t>
  </si>
  <si>
    <t>T01FFH4D42</t>
  </si>
  <si>
    <t>G712645715</t>
  </si>
  <si>
    <t>661-58336</t>
  </si>
  <si>
    <t>Display, Indigo, MacBook Neo</t>
  </si>
  <si>
    <t>GMGHQ00010800013N5</t>
  </si>
  <si>
    <t>CYVHM001DKR000186F</t>
  </si>
  <si>
    <t>G710583923</t>
  </si>
  <si>
    <t>D1W0JXQPNR</t>
  </si>
  <si>
    <t>LDH90WT254</t>
  </si>
  <si>
    <t>G709835017</t>
  </si>
  <si>
    <t>661-32211</t>
  </si>
  <si>
    <t>Top Case, Silver, ANSI, MBP (14-in, 2023)</t>
  </si>
  <si>
    <t>F8Y6096N0QXQ1LTBS</t>
  </si>
  <si>
    <t>F8Y2454HA5LQ1LTAN</t>
  </si>
  <si>
    <t>G708237167</t>
  </si>
  <si>
    <t>G3Y162QHGV</t>
  </si>
  <si>
    <t>J4QT97VFTP</t>
  </si>
  <si>
    <t>G688852570</t>
  </si>
  <si>
    <t>F8YHP7C029800006TW</t>
  </si>
  <si>
    <t>FG9GZU006ZG00006TZ</t>
  </si>
  <si>
    <t>G705807677</t>
  </si>
  <si>
    <t>C02HMG001MP0000P0S</t>
  </si>
  <si>
    <t>C02HL300D1D0000P0R</t>
  </si>
  <si>
    <t>C02HH5000MC0000KL3</t>
  </si>
  <si>
    <t>G704512025</t>
  </si>
  <si>
    <t>F8Y5297N1X40J9TBH</t>
  </si>
  <si>
    <t>F5D3092009NQ1LWBE</t>
  </si>
  <si>
    <t>G704443597</t>
  </si>
  <si>
    <t>F0YHMM001PP0000GVL</t>
  </si>
  <si>
    <t>FP1HP60021G0000G29</t>
  </si>
  <si>
    <t>G702546029</t>
  </si>
  <si>
    <t>F8Y5447C2Y7Q687BG</t>
  </si>
  <si>
    <t>G684123022</t>
  </si>
  <si>
    <t>H9H2PXK91M</t>
  </si>
  <si>
    <t>G442TD4WGJ</t>
  </si>
  <si>
    <t>G699376019</t>
  </si>
  <si>
    <t>F0WHJQ00RW00000488</t>
  </si>
  <si>
    <t>F0WHHA017JR0000488</t>
  </si>
  <si>
    <t>F0WHDK009PN00005KR</t>
  </si>
  <si>
    <t>G714876511</t>
  </si>
  <si>
    <t>G9QHR6R02Q600004Y7</t>
  </si>
  <si>
    <t>J5VHGV00QQ200004Y8</t>
  </si>
  <si>
    <t>G713717857</t>
  </si>
  <si>
    <t>G0NHSQ00A3N0000YJ1</t>
  </si>
  <si>
    <t>FNJHHQH0H8Z0000QTV</t>
  </si>
  <si>
    <t>F0WHJT039JE0000JS7</t>
  </si>
  <si>
    <t>DN8HK20DP150000RYQ</t>
  </si>
  <si>
    <t>G712204019</t>
  </si>
  <si>
    <t>Display, Green, iMac (24-in, M1, 2021)</t>
  </si>
  <si>
    <t>GHQ603700052FT6A4</t>
  </si>
  <si>
    <t>GHQ230300B6167RAB</t>
  </si>
  <si>
    <t>G711777259</t>
  </si>
  <si>
    <t>MY0KJK9VNQ</t>
  </si>
  <si>
    <t>LN4HNXGHQN</t>
  </si>
  <si>
    <t>G710856101</t>
  </si>
  <si>
    <t>FMXHNM003ED00006J3</t>
  </si>
  <si>
    <t>FP1HD0008YV0000FQX</t>
  </si>
  <si>
    <t>G707249889</t>
  </si>
  <si>
    <t>F8Y6023C4YB13RHCV</t>
  </si>
  <si>
    <t>F5D2045A70A13RJ9Z</t>
  </si>
  <si>
    <t>G703988141</t>
  </si>
  <si>
    <t>F8Y5356C4UHM6YNDZ</t>
  </si>
  <si>
    <t>FG930670KQFM6YRC4</t>
  </si>
  <si>
    <t>G702825761</t>
  </si>
  <si>
    <t>C6QK607P65</t>
  </si>
  <si>
    <t>MJP429M52J</t>
  </si>
  <si>
    <t>G701990029</t>
  </si>
  <si>
    <t>TA661-45237</t>
  </si>
  <si>
    <t>256GB, White, ROW, iPhone 16 Plus, Logic Board Assy Mid System</t>
  </si>
  <si>
    <t>K3GF4FLWL5</t>
  </si>
  <si>
    <t>LNW9YTHH0Y</t>
  </si>
  <si>
    <t>G699857591</t>
  </si>
  <si>
    <t>GH3HPA025RE0000MUZ</t>
  </si>
  <si>
    <t>G9NHMAY1K7Z0000MUY</t>
  </si>
  <si>
    <t>G699359983</t>
  </si>
  <si>
    <t>HLF92JY72C</t>
  </si>
  <si>
    <t>C3X4922NHN</t>
  </si>
  <si>
    <t>G709727467</t>
  </si>
  <si>
    <t>JFC9K29D62</t>
  </si>
  <si>
    <t>CMWRHJKVDC</t>
  </si>
  <si>
    <t>G685111058</t>
  </si>
  <si>
    <t>PP661-10912</t>
  </si>
  <si>
    <t>128GB, Black, ROW, iPhone XR, CI/AR-PPN</t>
  </si>
  <si>
    <t>J9LQ700BKXK6</t>
  </si>
  <si>
    <t>GQTN701WKXK6</t>
  </si>
  <si>
    <t>G699855067</t>
  </si>
  <si>
    <t>GN2YL73NPN</t>
  </si>
  <si>
    <t>HMFQ59T7G2</t>
  </si>
  <si>
    <t>G698524373</t>
  </si>
  <si>
    <t>GVH53370BAVPR5PAN</t>
  </si>
  <si>
    <t>GVH44912YEDPR5PAP</t>
  </si>
  <si>
    <t>G713134723</t>
  </si>
  <si>
    <t>Display, Silver, MBP (14-in, 2023)</t>
  </si>
  <si>
    <t>F0Y611500F82525AR</t>
  </si>
  <si>
    <t>DCN314502A9PP5DAH</t>
  </si>
  <si>
    <t>G710084027</t>
  </si>
  <si>
    <t>F8Y6096C44213RHCW</t>
  </si>
  <si>
    <t>F8Y203105FG13RHBN</t>
  </si>
  <si>
    <t>G688656226</t>
  </si>
  <si>
    <t>GVH51620C60PR5PAS</t>
  </si>
  <si>
    <t>GVH507339YVPR5PAC</t>
  </si>
  <si>
    <t>G703971481</t>
  </si>
  <si>
    <t>CMC7GX9Q7G</t>
  </si>
  <si>
    <t>DWX7YJ6VFT</t>
  </si>
  <si>
    <t>G703837637</t>
  </si>
  <si>
    <t>F0WHCB00PP7000064R</t>
  </si>
  <si>
    <t>F0WHAT00D0G000064R</t>
  </si>
  <si>
    <t>G702920077</t>
  </si>
  <si>
    <t>GCFHP90PYTJ00005LU</t>
  </si>
  <si>
    <t>GCFHFV0DERG00005LU</t>
  </si>
  <si>
    <t>G699907267</t>
  </si>
  <si>
    <t>KYCQKPW723</t>
  </si>
  <si>
    <t>G699888875</t>
  </si>
  <si>
    <t>GH3HPB01UYY0000MUZ</t>
  </si>
  <si>
    <t>GH3HKY01YBF0000MUZ</t>
  </si>
  <si>
    <t>G699846485</t>
  </si>
  <si>
    <t>HJ40DXN49J</t>
  </si>
  <si>
    <t>LK6159PY77</t>
  </si>
  <si>
    <t>G699722277</t>
  </si>
  <si>
    <t>DN8HHG04DC400006S2</t>
  </si>
  <si>
    <t>DN8HC10EML600006S2</t>
  </si>
  <si>
    <t>G698979481</t>
  </si>
  <si>
    <t>HL6GFP2VQM</t>
  </si>
  <si>
    <t>GM7294T443</t>
  </si>
  <si>
    <t>G698445411</t>
  </si>
  <si>
    <t>F8Y5465C5MF20J9B6</t>
  </si>
  <si>
    <t>F8Y239419WJ20J920</t>
  </si>
  <si>
    <t>G9P5256NGB114YDA8</t>
  </si>
  <si>
    <t>G9N2413Z8CF14YDAP</t>
  </si>
  <si>
    <t>G698261947</t>
  </si>
  <si>
    <t>661-41801</t>
  </si>
  <si>
    <t>Logic Board, 12-core CPU, 16-core GPU, 48GB, 2TB</t>
  </si>
  <si>
    <t>FV9HNC000350000HFH</t>
  </si>
  <si>
    <t>FV9HCW0088R0000HFH</t>
  </si>
  <si>
    <t>G714715657</t>
  </si>
  <si>
    <t>C46913WYWD</t>
  </si>
  <si>
    <t>DP6YT2G4NK</t>
  </si>
  <si>
    <t>G693923798</t>
  </si>
  <si>
    <t>J33HKM005KW0000VLG</t>
  </si>
  <si>
    <t>J33HNL00ZFL0000VLG</t>
  </si>
  <si>
    <t>G711868113</t>
  </si>
  <si>
    <t>FMCQ7TWMDF</t>
  </si>
  <si>
    <t>H0JQY21Y6K</t>
  </si>
  <si>
    <t>G711333937</t>
  </si>
  <si>
    <t>J9Q5157002G0GKWAA</t>
  </si>
  <si>
    <t>FNJ5117SCD0Q274AR</t>
  </si>
  <si>
    <t>GCF53150AUTQ59TBW</t>
  </si>
  <si>
    <t>GCF513612VPQ59TBX</t>
  </si>
  <si>
    <t>G709091805</t>
  </si>
  <si>
    <t>GN3HRT0HSA80000B31</t>
  </si>
  <si>
    <t>K3VYNR4QXY</t>
  </si>
  <si>
    <t>G707414249</t>
  </si>
  <si>
    <t>F9DJYLVV69</t>
  </si>
  <si>
    <t>JF67G2TV25</t>
  </si>
  <si>
    <t>G689536204</t>
  </si>
  <si>
    <t>L6RQ5P2W1G</t>
  </si>
  <si>
    <t>JG327C9Y45</t>
  </si>
  <si>
    <t>G706685029</t>
  </si>
  <si>
    <t>C7Y97F6C6P</t>
  </si>
  <si>
    <t>L2QRQPHR6C</t>
  </si>
  <si>
    <t>G706618917</t>
  </si>
  <si>
    <t>PP661-23461</t>
  </si>
  <si>
    <t>iPhone 13, Pink, 256GB, Logic Board Assy Rear System, ROW</t>
  </si>
  <si>
    <t>DXQMX1N2N6</t>
  </si>
  <si>
    <t>P0G1F2F06C</t>
  </si>
  <si>
    <t>G705534705</t>
  </si>
  <si>
    <t>FN0VYJGJJG</t>
  </si>
  <si>
    <t>DKG1WHKGCP</t>
  </si>
  <si>
    <t>G703827259</t>
  </si>
  <si>
    <t>C0VVPXLJJP</t>
  </si>
  <si>
    <t>D4QXMJWRYV</t>
  </si>
  <si>
    <t>G703206027</t>
  </si>
  <si>
    <t>J0MHHT007RN0000U64</t>
  </si>
  <si>
    <t>DRCHEF003NV0000U64</t>
  </si>
  <si>
    <t>F0WHCL00BVA000064R</t>
  </si>
  <si>
    <t>DN8HEG0AQBW00006S2</t>
  </si>
  <si>
    <t>DN8HM90KCUK00006S2</t>
  </si>
  <si>
    <t>G701982047</t>
  </si>
  <si>
    <t>TA661-55150</t>
  </si>
  <si>
    <t>Cosmic Orange, 256GB, iPhone 17 Pro, ROW, CI/AR, Taiwan</t>
  </si>
  <si>
    <t>HH54VMY3D2</t>
  </si>
  <si>
    <t>C754L2GQVK</t>
  </si>
  <si>
    <t>G713752901</t>
  </si>
  <si>
    <t>CYM7M74F66</t>
  </si>
  <si>
    <t>XM7HC4R751</t>
  </si>
  <si>
    <t>G713588203</t>
  </si>
  <si>
    <t>G9QH8PQ1AB100004Y9</t>
  </si>
  <si>
    <t>G9QHC7K2CTV00004Y9</t>
  </si>
  <si>
    <t>G693914466</t>
  </si>
  <si>
    <t>G9P5224M2M2PQCLA6</t>
  </si>
  <si>
    <t>G9N13562BMSPQCLAX</t>
  </si>
  <si>
    <t>G712121407</t>
  </si>
  <si>
    <t>MM4JHWP2GN</t>
  </si>
  <si>
    <t>MG44XHX7MW</t>
  </si>
  <si>
    <t>G692191706</t>
  </si>
  <si>
    <t>GMG535400RM1J87AW</t>
  </si>
  <si>
    <t>FP14321023125YTAP</t>
  </si>
  <si>
    <t>661-40224</t>
  </si>
  <si>
    <t>Lid Angle Sensor, MBA (13-in, M3, 2024)</t>
  </si>
  <si>
    <t>C47HKXB6FWB00005MV+A</t>
  </si>
  <si>
    <t>G710305017</t>
  </si>
  <si>
    <t>F8Y5433CDU5M6YNDA</t>
  </si>
  <si>
    <t>FG9128705JMM6YQBY</t>
  </si>
  <si>
    <t>G707631901</t>
  </si>
  <si>
    <t>GXY44WYPJ6</t>
  </si>
  <si>
    <t>MXHMHW94RF</t>
  </si>
  <si>
    <t>G706962087</t>
  </si>
  <si>
    <t>G9P4471MB1RPQCLAP</t>
  </si>
  <si>
    <t>G9N2171MPCDPQCLA0</t>
  </si>
  <si>
    <t>G706340567</t>
  </si>
  <si>
    <t>C940YJCF33</t>
  </si>
  <si>
    <t>G7TTFPGWC0</t>
  </si>
  <si>
    <t>G706270203</t>
  </si>
  <si>
    <t>F8Y6025C7QB217WBP</t>
  </si>
  <si>
    <t>F8Y302620Q0217W7P</t>
  </si>
  <si>
    <t>G703437825</t>
  </si>
  <si>
    <t>J33HNP0004V0000PC8</t>
  </si>
  <si>
    <t>FV9HF7010NJ00003P0</t>
  </si>
  <si>
    <t>G700826459</t>
  </si>
  <si>
    <t>K93417X0F5</t>
  </si>
  <si>
    <t>G6R6D2L456</t>
  </si>
  <si>
    <t>G698563193</t>
  </si>
  <si>
    <t>FV951530D6D0W9FLK</t>
  </si>
  <si>
    <t>G714746967</t>
  </si>
  <si>
    <t>FMXHRZ004YU00006J3</t>
  </si>
  <si>
    <t>F0YHG20008W00006J1</t>
  </si>
  <si>
    <t>G712006835</t>
  </si>
  <si>
    <t>GVCHQV037CJ0000MUZ</t>
  </si>
  <si>
    <t>G9PHNXV0QZU0000MUY</t>
  </si>
  <si>
    <t>G711657193</t>
  </si>
  <si>
    <t>C12X94M2CT</t>
  </si>
  <si>
    <t>LRCYNJQWK5</t>
  </si>
  <si>
    <t>G708685765</t>
  </si>
  <si>
    <t>MJJC9C7LKG</t>
  </si>
  <si>
    <t>H6CGP4Q36M</t>
  </si>
  <si>
    <t>G690484040</t>
  </si>
  <si>
    <t>FHY33GP46L</t>
  </si>
  <si>
    <t>LHJDX0Y6CX</t>
  </si>
  <si>
    <t>G707265553</t>
  </si>
  <si>
    <t>FMX545402UF278YAT</t>
  </si>
  <si>
    <t>F0Y433501UC278WA2</t>
  </si>
  <si>
    <t>G705995215</t>
  </si>
  <si>
    <t>MD669R56Q5</t>
  </si>
  <si>
    <t>L6Y9L7KXKJ</t>
  </si>
  <si>
    <t>G704958887</t>
  </si>
  <si>
    <t>F8Y5425C1Z018FKBV</t>
  </si>
  <si>
    <t>FG94046009P18FMBA</t>
  </si>
  <si>
    <t>G704222443</t>
  </si>
  <si>
    <t>D6R32LVCT2</t>
  </si>
  <si>
    <t>HNVQV42VW4</t>
  </si>
  <si>
    <t>G702473545</t>
  </si>
  <si>
    <t>C16PGVG4HH</t>
  </si>
  <si>
    <t>LPKPF9749T</t>
  </si>
  <si>
    <t>G0NHKM002FB0000HKZ</t>
  </si>
  <si>
    <t>FNJHAKF0YWK0000BXF</t>
  </si>
  <si>
    <t>G700609023</t>
  </si>
  <si>
    <t>PP661-23349</t>
  </si>
  <si>
    <t>13 Pro Max, Silver, 256GB, Logic Board Assy Rear System, ROW</t>
  </si>
  <si>
    <t>WFW954754V</t>
  </si>
  <si>
    <t>V6VHCY0QJX</t>
  </si>
  <si>
    <t>G700171499</t>
  </si>
  <si>
    <t>F8Y5435C29318FKBS</t>
  </si>
  <si>
    <t>F8Y33850M3Y18FLAS</t>
  </si>
  <si>
    <t>G699755893</t>
  </si>
  <si>
    <t>MM43GK6JJ9</t>
  </si>
  <si>
    <t>JRH22HGQ0D</t>
  </si>
  <si>
    <t>G713629235</t>
  </si>
  <si>
    <t>F8Y6167C4J618FKBH</t>
  </si>
  <si>
    <t>FG9141410QK18FM43</t>
  </si>
  <si>
    <t>G711951725</t>
  </si>
  <si>
    <t>F8Y6126C60218FKBJ</t>
  </si>
  <si>
    <t>FG940960A7T18FMBM</t>
  </si>
  <si>
    <t>G711003877</t>
  </si>
  <si>
    <t>G9PHQLU008P0000L4B</t>
  </si>
  <si>
    <t>J5VHM6005000000L4C</t>
  </si>
  <si>
    <t>G710659863</t>
  </si>
  <si>
    <t>F8Y5445N04C13QFCE</t>
  </si>
  <si>
    <t>F8Y41370ZCJ13QFCQ</t>
  </si>
  <si>
    <t>G710572609</t>
  </si>
  <si>
    <t>D5P66RW45K</t>
  </si>
  <si>
    <t>HKK7MJ47HJ</t>
  </si>
  <si>
    <t>G710466867</t>
  </si>
  <si>
    <t>DNMHQD024720000QTE</t>
  </si>
  <si>
    <t>GCFHQC02SU40000QT9</t>
  </si>
  <si>
    <t>G706311425</t>
  </si>
  <si>
    <t>F8Y5406C5V5M6YNDM</t>
  </si>
  <si>
    <t>FG930240038M6YRC6</t>
  </si>
  <si>
    <t>G688145992</t>
  </si>
  <si>
    <t>F8Y5497C2VS13RHCZ</t>
  </si>
  <si>
    <t>F5D20312AM613RJ92</t>
  </si>
  <si>
    <t>G704011611</t>
  </si>
  <si>
    <t>FWGGQTJ44X</t>
  </si>
  <si>
    <t>HM34C3J9NH</t>
  </si>
  <si>
    <t>G686475920</t>
  </si>
  <si>
    <t>CF6FT9WYVL</t>
  </si>
  <si>
    <t>H2W26K2NDJ</t>
  </si>
  <si>
    <t>G702610533</t>
  </si>
  <si>
    <t>HX9T7C90FP</t>
  </si>
  <si>
    <t>J56GQJ46FJ</t>
  </si>
  <si>
    <t>G701752505</t>
  </si>
  <si>
    <t>JN0FMFJJ1W</t>
  </si>
  <si>
    <t>G5WC9LX73M</t>
  </si>
  <si>
    <t>G712802511</t>
  </si>
  <si>
    <t>GMGHLK0094W0000GVL</t>
  </si>
  <si>
    <t>FP1HP6004LH0000G2A</t>
  </si>
  <si>
    <t>G712115517</t>
  </si>
  <si>
    <t>661-40231</t>
  </si>
  <si>
    <t>Logic Board, M3, 8-core CPU, 10-core GPU, 8 GB, 256 GB</t>
  </si>
  <si>
    <t>C02HHC0002E0000FMY</t>
  </si>
  <si>
    <t>FV9H3V00P0W0000FMY</t>
  </si>
  <si>
    <t>G710455133</t>
  </si>
  <si>
    <t>J33HQ500AZF0000VLK</t>
  </si>
  <si>
    <t>J33HPM00GLM0000VLK</t>
  </si>
  <si>
    <t>G709858721</t>
  </si>
  <si>
    <t>F8Y6066C07013XCBS</t>
  </si>
  <si>
    <t>F8Y21850RM713XC83</t>
  </si>
  <si>
    <t>G709389733</t>
  </si>
  <si>
    <t>GVCHNS018ND0000MUZ</t>
  </si>
  <si>
    <t>GH3HNZ00NGJ0000MUZ</t>
  </si>
  <si>
    <t>G708685449</t>
  </si>
  <si>
    <t>F0Y5417017S1J88AX</t>
  </si>
  <si>
    <t>FP1509303FH25YTAF</t>
  </si>
  <si>
    <t>G708053881</t>
  </si>
  <si>
    <t>GMGHMQ0009W0000GVL</t>
  </si>
  <si>
    <t>GMGHFZ00DB30000GVL</t>
  </si>
  <si>
    <t>G707296731</t>
  </si>
  <si>
    <t>F8Y6051C0C2JKGTCB</t>
  </si>
  <si>
    <t>FG98451DN1JJKGX59</t>
  </si>
  <si>
    <t>DXY4225CDJHJHYK4V</t>
  </si>
  <si>
    <t>DTV84873A33JHYHAF</t>
  </si>
  <si>
    <t>G705603101</t>
  </si>
  <si>
    <t>G9PHLKT2YJX00005DP</t>
  </si>
  <si>
    <t>G9PHCKE43QH00005DP</t>
  </si>
  <si>
    <t>G703577441</t>
  </si>
  <si>
    <t>JXKK4F70H6</t>
  </si>
  <si>
    <t>C9G94MK74M</t>
  </si>
  <si>
    <t>G700576563</t>
  </si>
  <si>
    <t>KQGRX9C77D</t>
  </si>
  <si>
    <t>F72YN220X7</t>
  </si>
  <si>
    <t>G700375341</t>
  </si>
  <si>
    <t>F8Y5373C2BXQ4C2BC</t>
  </si>
  <si>
    <t>G699988979</t>
  </si>
  <si>
    <t>LV6770N4Q9</t>
  </si>
  <si>
    <t>K34VMXKC7C</t>
  </si>
  <si>
    <t>G699850513</t>
  </si>
  <si>
    <t>G9P5381C4JXPR5QAB</t>
  </si>
  <si>
    <t>GVH52151KRWPR5PA8</t>
  </si>
  <si>
    <t>G714610713</t>
  </si>
  <si>
    <t>F8Y6166C2TPQ687BA</t>
  </si>
  <si>
    <t>F8Y03722XVDQ6882Q</t>
  </si>
  <si>
    <t>G710657849</t>
  </si>
  <si>
    <t>M3XDFVFQK4</t>
  </si>
  <si>
    <t>GQ6CXR9DQW</t>
  </si>
  <si>
    <t>G705840701</t>
  </si>
  <si>
    <t>N5W0MKHFHF</t>
  </si>
  <si>
    <t>VK3KX5HQ59</t>
  </si>
  <si>
    <t>G704127251</t>
  </si>
  <si>
    <t>J6R6QY6X4G</t>
  </si>
  <si>
    <t>GRW3F3YV77</t>
  </si>
  <si>
    <t>G702788981</t>
  </si>
  <si>
    <t>GMGHLE008US0000GVL</t>
  </si>
  <si>
    <t>FP1HJ300AT60000G29</t>
  </si>
  <si>
    <t>GMGHLG004VW0000GVL</t>
  </si>
  <si>
    <t>C02HDR005FC0000P0S</t>
  </si>
  <si>
    <t>C02HJC004V80000KL3</t>
  </si>
  <si>
    <t>G702788957</t>
  </si>
  <si>
    <t>F0Y416500RF2525AD</t>
  </si>
  <si>
    <t>DCN3514019M2525AB</t>
  </si>
  <si>
    <t>G702774227</t>
  </si>
  <si>
    <t>FHR600GPLX</t>
  </si>
  <si>
    <t>MT7XQXMCXG</t>
  </si>
  <si>
    <t>G701889175</t>
  </si>
  <si>
    <t>F8Y5472C3TL13RHCM</t>
  </si>
  <si>
    <t>F5D203636E813RK9G</t>
  </si>
  <si>
    <t>G701207273</t>
  </si>
  <si>
    <t>GMG5442000H1J88AA</t>
  </si>
  <si>
    <t>FP1342602CR25YVA1</t>
  </si>
  <si>
    <t>G700933513</t>
  </si>
  <si>
    <t>L7QFQ54PMW</t>
  </si>
  <si>
    <t>JFT2QXT2GJ</t>
  </si>
  <si>
    <t>G700572119</t>
  </si>
  <si>
    <t>J9KHMM002000000FD3</t>
  </si>
  <si>
    <t>FNJHB2L0U0D0000882</t>
  </si>
  <si>
    <t>G699897095</t>
  </si>
  <si>
    <t>F8Y5451C3C313XCBC</t>
  </si>
  <si>
    <t>F5D1463LAME13XD9H</t>
  </si>
  <si>
    <t>G710456687</t>
  </si>
  <si>
    <t>J5W3QX6640</t>
  </si>
  <si>
    <t>LVJCP2KH5L</t>
  </si>
  <si>
    <t>G708156653</t>
  </si>
  <si>
    <t>GMGHLH004N80000GVL</t>
  </si>
  <si>
    <t>FP1HBT003V70000G2A</t>
  </si>
  <si>
    <t>G707403807</t>
  </si>
  <si>
    <t>J6963NL9N1</t>
  </si>
  <si>
    <t>M949RD64R6</t>
  </si>
  <si>
    <t>G705844931</t>
  </si>
  <si>
    <t>DNL44420J411986B3</t>
  </si>
  <si>
    <t>DNL40260Y6M1986B3</t>
  </si>
  <si>
    <t>G703239313</t>
  </si>
  <si>
    <t>DC2V2QY47P</t>
  </si>
  <si>
    <t>HG6M1W149N</t>
  </si>
  <si>
    <t>G702535165</t>
  </si>
  <si>
    <t>G9P5352L6QAPQCKAF</t>
  </si>
  <si>
    <t>G9P2204JE7XPQCKAY</t>
  </si>
  <si>
    <t>G702376437</t>
  </si>
  <si>
    <t>PP661-18485</t>
  </si>
  <si>
    <t>12 Pro, Gold, 256GB, Logic Board Assy Rear System, ROW</t>
  </si>
  <si>
    <t>HJ7Q70030D94</t>
  </si>
  <si>
    <t>HJ7PQ0060D94</t>
  </si>
  <si>
    <t>G700332541</t>
  </si>
  <si>
    <t>LK6QDG4R41</t>
  </si>
  <si>
    <t>QLPXJ9R0PV</t>
  </si>
  <si>
    <t>G700319059</t>
  </si>
  <si>
    <t>F0YHMH004930000UJX</t>
  </si>
  <si>
    <t>FP1HM6002AV0000UJW</t>
  </si>
  <si>
    <t>G699443043</t>
  </si>
  <si>
    <t>PA661-35040</t>
  </si>
  <si>
    <t>Beats Studio Pro Wireless, Black, CI/AR, PAL PACIFIC, CN</t>
  </si>
  <si>
    <t>GD7QW1U8266W</t>
  </si>
  <si>
    <t>GD7L1HVM266W</t>
  </si>
  <si>
    <t>G698670017</t>
  </si>
  <si>
    <t>G9P5386MMC8PQCLAM</t>
  </si>
  <si>
    <t>G9N23432J0APQCLA4</t>
  </si>
  <si>
    <t>G698276087</t>
  </si>
  <si>
    <t>661-35751</t>
  </si>
  <si>
    <t>D94W5Y4LJ4</t>
  </si>
  <si>
    <t>CG2R29X47C</t>
  </si>
  <si>
    <t>G714551865</t>
  </si>
  <si>
    <t>G9PHJUF1VA700005DP</t>
  </si>
  <si>
    <t>GVCHEB010X600005DQ</t>
  </si>
  <si>
    <t>G709595883</t>
  </si>
  <si>
    <t>CFDYV2K95D</t>
  </si>
  <si>
    <t>C56V59DDW9</t>
  </si>
  <si>
    <t>G709057909</t>
  </si>
  <si>
    <t>G9P5385M245PQCLA0</t>
  </si>
  <si>
    <t>G9N2237M4FMPQCLA7</t>
  </si>
  <si>
    <t>G707515493</t>
  </si>
  <si>
    <t>DQ10QFCF6C</t>
  </si>
  <si>
    <t>M3VXWQR9WT</t>
  </si>
  <si>
    <t>G707169103</t>
  </si>
  <si>
    <t>LMH229C27P</t>
  </si>
  <si>
    <t>L9K6Q0X3FP</t>
  </si>
  <si>
    <t>G706966875</t>
  </si>
  <si>
    <t>J21QT7T126JY</t>
  </si>
  <si>
    <t>G706616881</t>
  </si>
  <si>
    <t>HNXQH26GQ1HJ</t>
  </si>
  <si>
    <t>HNXQN3SYQ1HJ</t>
  </si>
  <si>
    <t>G706354015</t>
  </si>
  <si>
    <t>TA661-36699</t>
  </si>
  <si>
    <t>iPhone 15, Blue, 256GB, Logic Board Assy Mid System, ROW</t>
  </si>
  <si>
    <t>J1X6TP216C</t>
  </si>
  <si>
    <t>D564RXVNYJ</t>
  </si>
  <si>
    <t>G705075405</t>
  </si>
  <si>
    <t>G9Q5171CHM0PR5QAQ</t>
  </si>
  <si>
    <t>GVH50813H9GPR5PAH</t>
  </si>
  <si>
    <t>G703040633</t>
  </si>
  <si>
    <t>V5L26VQD22</t>
  </si>
  <si>
    <t>DMCW41XXY9</t>
  </si>
  <si>
    <t>G703036197</t>
  </si>
  <si>
    <t>G6LP9XLFTJ</t>
  </si>
  <si>
    <t>LXY19F23H9</t>
  </si>
  <si>
    <t>G703029681</t>
  </si>
  <si>
    <t>F8Y5475C0AQ18FKBS</t>
  </si>
  <si>
    <t>FG913670D7S18FM4L</t>
  </si>
  <si>
    <t>G702602155</t>
  </si>
  <si>
    <t>GMGHLD0018V0000GVL</t>
  </si>
  <si>
    <t>FP1HD5008DV0000G29</t>
  </si>
  <si>
    <t>G701694177</t>
  </si>
  <si>
    <t>ZP661-50520</t>
  </si>
  <si>
    <t>Apple Watch Series 11, GPS, ROW, 42mm, Aluminum, Jet Black, CI/AR, CN</t>
  </si>
  <si>
    <t>HNFH9M5WYC</t>
  </si>
  <si>
    <t>JM2H7GL6L3</t>
  </si>
  <si>
    <t>G701647649</t>
  </si>
  <si>
    <t>F7C1267T7DVJH41AS</t>
  </si>
  <si>
    <t>C3F4062G05AJLNMA8</t>
  </si>
  <si>
    <t>G701034749</t>
  </si>
  <si>
    <t>G9PHL0T276600005DP</t>
  </si>
  <si>
    <t>GVCHDD016QN00005DQ</t>
  </si>
  <si>
    <t>G698427217</t>
  </si>
  <si>
    <t>F8Y5473C17413RHCW</t>
  </si>
  <si>
    <t>F8Y147501Z913RHBW</t>
  </si>
  <si>
    <t>G710687215</t>
  </si>
  <si>
    <t>GH3HRF00Z170000MUZ</t>
  </si>
  <si>
    <t>G9NHR2N1BJW0000MUY</t>
  </si>
  <si>
    <t>G710556547</t>
  </si>
  <si>
    <t>F8Y6054C0JH18FKBH</t>
  </si>
  <si>
    <t>F8Y221504TL18FLA8</t>
  </si>
  <si>
    <t>G707174769</t>
  </si>
  <si>
    <t>TA661-36470</t>
  </si>
  <si>
    <t>15 Plus, Green, 128GB, Logic Board Assy Mid System, ROW</t>
  </si>
  <si>
    <t>J5JT730DJ2</t>
  </si>
  <si>
    <t>CYFCXQ76PV</t>
  </si>
  <si>
    <t>G705089001</t>
  </si>
  <si>
    <t>GHQ603700A62FT8A5</t>
  </si>
  <si>
    <t>GHQ210601HY167PA1</t>
  </si>
  <si>
    <t>G701647721</t>
  </si>
  <si>
    <t>CY6LY2GJ3M</t>
  </si>
  <si>
    <t>FWX7F7FDGG</t>
  </si>
  <si>
    <t>G714863355</t>
  </si>
  <si>
    <t>GMGHML002CQ0000HX1</t>
  </si>
  <si>
    <t>GMGHDW000ZC0000HX1</t>
  </si>
  <si>
    <t>G712207349</t>
  </si>
  <si>
    <t>FV950360PJT0W9FLX</t>
  </si>
  <si>
    <t>FV9530300L40W9FLC</t>
  </si>
  <si>
    <t>G710669089</t>
  </si>
  <si>
    <t>GMGHLG004UM0000GVL</t>
  </si>
  <si>
    <t>F0YHE9000J80000GVL</t>
  </si>
  <si>
    <t>G703842429</t>
  </si>
  <si>
    <t>SHH5XMWFJHM</t>
  </si>
  <si>
    <t>K7FHL6FLFC</t>
  </si>
  <si>
    <t>G702342283</t>
  </si>
  <si>
    <t>G9P5363M5KDPQCLAL</t>
  </si>
  <si>
    <t>G9N22672DNCPQCLA0</t>
  </si>
  <si>
    <t>G701166633</t>
  </si>
  <si>
    <t>TA661-42904</t>
  </si>
  <si>
    <t>256GB, Natural Titanium, ROW, iPhone 16 Pro, CI/AR</t>
  </si>
  <si>
    <t>KXQWHC2QXR</t>
  </si>
  <si>
    <t>JNWV12WJ90</t>
  </si>
  <si>
    <t>G700860411</t>
  </si>
  <si>
    <t>G9PHJDS07QL00005DR</t>
  </si>
  <si>
    <t>GH3HG2016V400005DS</t>
  </si>
  <si>
    <t>G700445217</t>
  </si>
  <si>
    <t>J9MR21WP9Y</t>
  </si>
  <si>
    <t>DFNHQLWG95</t>
  </si>
  <si>
    <t>G699455297</t>
  </si>
  <si>
    <t>C3QM07VGFK</t>
  </si>
  <si>
    <t>HN4V0M42R3</t>
  </si>
  <si>
    <t>G698818097</t>
  </si>
  <si>
    <t>HGXNN0380D94</t>
  </si>
  <si>
    <t>G698554015</t>
  </si>
  <si>
    <t>F0Y543100VC1J87AF</t>
  </si>
  <si>
    <t>FP1542100DY25YTAU</t>
  </si>
  <si>
    <t>G712572129</t>
  </si>
  <si>
    <t>F8YHPDC043E00006TW</t>
  </si>
  <si>
    <t>F8YH0D279QC00006TY</t>
  </si>
  <si>
    <t>G711882401</t>
  </si>
  <si>
    <t>XL4W52T6FR</t>
  </si>
  <si>
    <t>FGMWGW07X9</t>
  </si>
  <si>
    <t>G711764363</t>
  </si>
  <si>
    <t>D39PWNCDVX</t>
  </si>
  <si>
    <t>JX4N57GFV9</t>
  </si>
  <si>
    <t>G708296787</t>
  </si>
  <si>
    <t>FHK9P9RV7Y</t>
  </si>
  <si>
    <t>JM67F5C3VT</t>
  </si>
  <si>
    <t>G707718117</t>
  </si>
  <si>
    <t>G9PHJUS1FRK00005DR</t>
  </si>
  <si>
    <t>GH3HBE0287L00005DS</t>
  </si>
  <si>
    <t>G707036733</t>
  </si>
  <si>
    <t>G9PHKAT0KH200005DP</t>
  </si>
  <si>
    <t>GVCHEM00V4Q00005DQ</t>
  </si>
  <si>
    <t>G703624065</t>
  </si>
  <si>
    <t>FP1HHF000L400000CN</t>
  </si>
  <si>
    <t>FP1GTC007F900000CN</t>
  </si>
  <si>
    <t>G703455013</t>
  </si>
  <si>
    <t>D865386N24VPJYRB1</t>
  </si>
  <si>
    <t>D864373A0N6PJYRBH</t>
  </si>
  <si>
    <t>G702348067</t>
  </si>
  <si>
    <t>F8Y5506CD2R18FKBM</t>
  </si>
  <si>
    <t>F8Y146109XU18FKA8</t>
  </si>
  <si>
    <t>G702001737</t>
  </si>
  <si>
    <t>KGVHFQXTN9</t>
  </si>
  <si>
    <t>GVXCWQR7LX</t>
  </si>
  <si>
    <t>G698680839</t>
  </si>
  <si>
    <t>GMG536500CXNR8DBA</t>
  </si>
  <si>
    <t>FP13013069B249YAV</t>
  </si>
  <si>
    <t>G713973035</t>
  </si>
  <si>
    <t>DTVHKN6209T0000UVD</t>
  </si>
  <si>
    <t>DTVHRE633740000UVD</t>
  </si>
  <si>
    <t>G710673295</t>
  </si>
  <si>
    <t>GVH51732BT8PR5PAE</t>
  </si>
  <si>
    <t>GVH510615YCPR5PAN</t>
  </si>
  <si>
    <t>G710403735</t>
  </si>
  <si>
    <t>GMGHLC008E10000GVL</t>
  </si>
  <si>
    <t>FP1HPA000PX0000G29</t>
  </si>
  <si>
    <t>G710178179</t>
  </si>
  <si>
    <t>923-09690</t>
  </si>
  <si>
    <t>Blue Titanium, SIM Tray, iPhone 15 Pro and iPhone 15 Pro Max</t>
  </si>
  <si>
    <t>G708801343</t>
  </si>
  <si>
    <t>CQF37Y7NK2</t>
  </si>
  <si>
    <t>F3YHN801QNT0000YEC</t>
  </si>
  <si>
    <t>G690485232</t>
  </si>
  <si>
    <t>F9C7PWYY9H</t>
  </si>
  <si>
    <t>H402R6GWMN</t>
  </si>
  <si>
    <t>G706839979</t>
  </si>
  <si>
    <t>FXJF6KW954</t>
  </si>
  <si>
    <t>JM3YLFCXXM</t>
  </si>
  <si>
    <t>G706015259</t>
  </si>
  <si>
    <t>J9KHN8003C00000FD3</t>
  </si>
  <si>
    <t>FNJHDHE0CEZ0000882</t>
  </si>
  <si>
    <t>G700740297</t>
  </si>
  <si>
    <t>TA661-44998</t>
  </si>
  <si>
    <t>128GB, Natural Titanium, ROW, iPhone 16 Pro, Logic Board Assy Mid System</t>
  </si>
  <si>
    <t>L64QNV4F4N</t>
  </si>
  <si>
    <t>HTJFJ0XYH1</t>
  </si>
  <si>
    <t>G699837875</t>
  </si>
  <si>
    <t>G9PHKWT01TE00005DP</t>
  </si>
  <si>
    <t>GVCHC102X1E00005DQ</t>
  </si>
  <si>
    <t>G699064147</t>
  </si>
  <si>
    <t>FV9433200HU0W9GH0</t>
  </si>
  <si>
    <t>FV950170THJ0W9GL9</t>
  </si>
  <si>
    <t>G716179135</t>
  </si>
  <si>
    <t>G9P5485C49EPR5QAG</t>
  </si>
  <si>
    <t>GVH41942FZGPR5PAE</t>
  </si>
  <si>
    <t>G713051617</t>
  </si>
  <si>
    <t>FMXHNN001ZD00006J3</t>
  </si>
  <si>
    <t>FMXHRK006L300006J3</t>
  </si>
  <si>
    <t>FMXHD30007T00006J3</t>
  </si>
  <si>
    <t>G711111277</t>
  </si>
  <si>
    <t>F8Y6053CMQY18FKBY</t>
  </si>
  <si>
    <t>F8Y150230S418FKAV</t>
  </si>
  <si>
    <t>G708929171</t>
  </si>
  <si>
    <t>JKWGRX9P91</t>
  </si>
  <si>
    <t>LDP9N4NQG6</t>
  </si>
  <si>
    <t>G705993091</t>
  </si>
  <si>
    <t>HW7GFYH33D</t>
  </si>
  <si>
    <t>M9X42KKXVY</t>
  </si>
  <si>
    <t>G705129577</t>
  </si>
  <si>
    <t>F0YHMP003JJ0000GVL</t>
  </si>
  <si>
    <t>FP1HDV00A640000G2A</t>
  </si>
  <si>
    <t>G703221939</t>
  </si>
  <si>
    <t>ZP661-40058</t>
  </si>
  <si>
    <t>Starlight, iPad Air 11-inch (M2), 256GB, Wi-Fi, ITP</t>
  </si>
  <si>
    <t>F5FW7N657F</t>
  </si>
  <si>
    <t>D76JQRLW63</t>
  </si>
  <si>
    <t>G702260867</t>
  </si>
  <si>
    <t>GH90969D67</t>
  </si>
  <si>
    <t>G9GV7KH00F</t>
  </si>
  <si>
    <t>G699346861</t>
  </si>
  <si>
    <t>MGWQD4N2JD</t>
  </si>
  <si>
    <t>D9PN26Y4YG</t>
  </si>
  <si>
    <t>G699098865</t>
  </si>
  <si>
    <t>F8Y5431C6AZQ687BT</t>
  </si>
  <si>
    <t>F8Y20311P0DQ687A7</t>
  </si>
  <si>
    <t>G695979830</t>
  </si>
  <si>
    <t>F0WHHG00WJT0000488</t>
  </si>
  <si>
    <t>DN8HEL009CY00005KQ</t>
  </si>
  <si>
    <t>G694515162</t>
  </si>
  <si>
    <t>FV951530D4W0W9FL8</t>
  </si>
  <si>
    <t>G712657451</t>
  </si>
  <si>
    <t>FMXHQ600AB600006J3</t>
  </si>
  <si>
    <t>FMXHD6006BC00006J3</t>
  </si>
  <si>
    <t>G712642151</t>
  </si>
  <si>
    <t>MX56KVNJHX</t>
  </si>
  <si>
    <t>VPWP073636</t>
  </si>
  <si>
    <t>G712075889</t>
  </si>
  <si>
    <t>J9Q601200FA0GKWAS</t>
  </si>
  <si>
    <t>FNJ5117SABMQ274AC</t>
  </si>
  <si>
    <t>G711079963</t>
  </si>
  <si>
    <t>DN8HQ50A5B20000RYQ</t>
  </si>
  <si>
    <t>DNMHK301S0M0000RYP</t>
  </si>
  <si>
    <t>G709658709</t>
  </si>
  <si>
    <t>H1JQJY6YGQ</t>
  </si>
  <si>
    <t>C02Y7Y03Y2</t>
  </si>
  <si>
    <t>GN1HQB085K50000B32</t>
  </si>
  <si>
    <t>G708721195</t>
  </si>
  <si>
    <t>JHHXR63FTV</t>
  </si>
  <si>
    <t>CVMYC6FRJJ</t>
  </si>
  <si>
    <t>G706720919</t>
  </si>
  <si>
    <t>PP661-28486</t>
  </si>
  <si>
    <t>14 Pro, Silver, 256GB, Logic Board Assy Rear System, ROW</t>
  </si>
  <si>
    <t>LC4L2JJ7N9</t>
  </si>
  <si>
    <t>QMM71GK30N</t>
  </si>
  <si>
    <t>G705684307</t>
  </si>
  <si>
    <t>G9Q6043SBHK21KHA4</t>
  </si>
  <si>
    <t>G9Q5082VH7H21KHAD</t>
  </si>
  <si>
    <t>G705474325</t>
  </si>
  <si>
    <t>L7GLWWJQ6J</t>
  </si>
  <si>
    <t>DF46V16RMW</t>
  </si>
  <si>
    <t>G686470370</t>
  </si>
  <si>
    <t>J33HNP000LY0000PC8</t>
  </si>
  <si>
    <t>FV9HA100RWG0000PC8</t>
  </si>
  <si>
    <t>G686186912</t>
  </si>
  <si>
    <t>JQKY9RPXG1</t>
  </si>
  <si>
    <t>R2KFL9Q3C3</t>
  </si>
  <si>
    <t>G700951137</t>
  </si>
  <si>
    <t>D0YWWW02Q7</t>
  </si>
  <si>
    <t>K3YW77FGQJ</t>
  </si>
  <si>
    <t>G9Q5182FG0DPR5QAU</t>
  </si>
  <si>
    <t>G9Q5136CK9ZPR5QAY</t>
  </si>
  <si>
    <t>G710415171</t>
  </si>
  <si>
    <t>HY7HP801P8L0000UHY</t>
  </si>
  <si>
    <t>DHGQTQHY55</t>
  </si>
  <si>
    <t>G709268403</t>
  </si>
  <si>
    <t>F8Y5473C4U414LWCZ</t>
  </si>
  <si>
    <t>F5D315373BL14LXAW</t>
  </si>
  <si>
    <t>G709036143</t>
  </si>
  <si>
    <t>DG9C4QXJLY</t>
  </si>
  <si>
    <t>G2CHQ001K0F0000X77</t>
  </si>
  <si>
    <t>G708043225</t>
  </si>
  <si>
    <t>H7M2VKCX22</t>
  </si>
  <si>
    <t>GFWTVHFH77</t>
  </si>
  <si>
    <t>G707172539</t>
  </si>
  <si>
    <t>F8Y5445N15L13QFC2</t>
  </si>
  <si>
    <t>F8Y41370S0J13QFCZ</t>
  </si>
  <si>
    <t>G703134097</t>
  </si>
  <si>
    <t>CYN7TXLNHJ</t>
  </si>
  <si>
    <t>K7F3DP9FXV</t>
  </si>
  <si>
    <t>G702439981</t>
  </si>
  <si>
    <t>LXM29TD4HX</t>
  </si>
  <si>
    <t>K52TV03TD9</t>
  </si>
  <si>
    <t>G702371223</t>
  </si>
  <si>
    <t>F0YHMN002TS0000GVK</t>
  </si>
  <si>
    <t>FP1HFB000W70000G29</t>
  </si>
  <si>
    <t>G701795511</t>
  </si>
  <si>
    <t>GMGHNS0008J00000CQ</t>
  </si>
  <si>
    <t>GMGHC6001AM00000CP</t>
  </si>
  <si>
    <t>G700063953</t>
  </si>
  <si>
    <t>J9LR4003KXK8</t>
  </si>
  <si>
    <t>GQTN501JKXKY</t>
  </si>
  <si>
    <t>G714279645</t>
  </si>
  <si>
    <t>F8Y5393C59P14LWCX</t>
  </si>
  <si>
    <t>F8Y21350F8S14LW8U</t>
  </si>
  <si>
    <t>G695286758</t>
  </si>
  <si>
    <t>DG6L9KXHXP</t>
  </si>
  <si>
    <t>L96XG6DX49</t>
  </si>
  <si>
    <t>G713146509</t>
  </si>
  <si>
    <t>GH3HDJ02BEE00005DS</t>
  </si>
  <si>
    <t>GVCHC801LJF00005DS</t>
  </si>
  <si>
    <t>G711969747</t>
  </si>
  <si>
    <t>GX52WD9LKX</t>
  </si>
  <si>
    <t>G710848671</t>
  </si>
  <si>
    <t>C0H74YMQHT</t>
  </si>
  <si>
    <t>X04QDY6NLV</t>
  </si>
  <si>
    <t>G707490549</t>
  </si>
  <si>
    <t>TA661-43618</t>
  </si>
  <si>
    <t>512GB, Ultramarine, ROW, iPhone 16, Logic Board Assy Mid System</t>
  </si>
  <si>
    <t>G6FXX3X3H2</t>
  </si>
  <si>
    <t>GPQD0617QK</t>
  </si>
  <si>
    <t>G707266677</t>
  </si>
  <si>
    <t>K7YXHCJYFQ</t>
  </si>
  <si>
    <t>DWFY17RWC6</t>
  </si>
  <si>
    <t>G689517644</t>
  </si>
  <si>
    <t>J9LR4006KXK8</t>
  </si>
  <si>
    <t>GQTN503TKXKY</t>
  </si>
  <si>
    <t>G704453151</t>
  </si>
  <si>
    <t>FV9433201RU0W9GH9</t>
  </si>
  <si>
    <t>FV951830DK30W9GLE</t>
  </si>
  <si>
    <t>G704376209</t>
  </si>
  <si>
    <t>CXDNHQ40DK</t>
  </si>
  <si>
    <t>JHL6KYVJVP</t>
  </si>
  <si>
    <t>G701384419</t>
  </si>
  <si>
    <t>FMXHMH0014100006J3</t>
  </si>
  <si>
    <t>FP1HJ4007NG0000FQX</t>
  </si>
  <si>
    <t>G713403179</t>
  </si>
  <si>
    <t>DQPQDLV7FK</t>
  </si>
  <si>
    <t>J7P4X9P2GC</t>
  </si>
  <si>
    <t>G710463795</t>
  </si>
  <si>
    <t>JN70M00567</t>
  </si>
  <si>
    <t>L0DP7HG6KX</t>
  </si>
  <si>
    <t>G709281625</t>
  </si>
  <si>
    <t>GMGHLC004M50000GVL</t>
  </si>
  <si>
    <t>GMGHFS001AY0000GVK</t>
  </si>
  <si>
    <t>G707291125</t>
  </si>
  <si>
    <t>DXYHG58289T0000CZC</t>
  </si>
  <si>
    <t>CTHHAU841PD0000CZA</t>
  </si>
  <si>
    <t>G705675485</t>
  </si>
  <si>
    <t>661-40239</t>
  </si>
  <si>
    <t>Logic Board, M3, 8-core CPU, 10-core GPU, 24 GB, 256 GB</t>
  </si>
  <si>
    <t>C02H1P0000K000060R</t>
  </si>
  <si>
    <t>FV9HD300WG40000FN2</t>
  </si>
  <si>
    <t>G703040437</t>
  </si>
  <si>
    <t>J9LQ700CKXK6</t>
  </si>
  <si>
    <t>GQTN5034KXKW</t>
  </si>
  <si>
    <t>G702552593</t>
  </si>
  <si>
    <t>JYH72X99F6</t>
  </si>
  <si>
    <t>GW7RW9R4X0</t>
  </si>
  <si>
    <t>G700604683</t>
  </si>
  <si>
    <t>C02226309HM170GAQ</t>
  </si>
  <si>
    <t>C02232302PE170HAW</t>
  </si>
  <si>
    <t>G698951287</t>
  </si>
  <si>
    <t>DX6QT2R20M</t>
  </si>
  <si>
    <t>M9299FY64G</t>
  </si>
  <si>
    <t>G698832317</t>
  </si>
  <si>
    <t>F8Y5437C3XFQ4C2B8</t>
  </si>
  <si>
    <t>F5D10464SXTQ4C09D</t>
  </si>
  <si>
    <t>G716094819</t>
  </si>
  <si>
    <t>F8Y5257C22113XCB7</t>
  </si>
  <si>
    <t>F5D226527HY13X9AY</t>
  </si>
  <si>
    <t>G712660407</t>
  </si>
  <si>
    <t>D9P6JC4TVK</t>
  </si>
  <si>
    <t>M44RWN19FR</t>
  </si>
  <si>
    <t>G711443955</t>
  </si>
  <si>
    <t>DX1747R44Y</t>
  </si>
  <si>
    <t>KMV46PPXNL</t>
  </si>
  <si>
    <t>G707362145</t>
  </si>
  <si>
    <t>ZP661-53462</t>
  </si>
  <si>
    <t>Apple Watch SE 3, GPS, ROW, 44mm, Aluminum, Midnight, CI/AR, TH</t>
  </si>
  <si>
    <t>FTQYVTVKMF</t>
  </si>
  <si>
    <t>L9722MFWY6</t>
  </si>
  <si>
    <t>G703433757</t>
  </si>
  <si>
    <t>661-26494</t>
  </si>
  <si>
    <t>Logic Board, 8-core CPU, 10-core GPU, 8GB, 512GB, 1G</t>
  </si>
  <si>
    <t>C074313007N1PY0B0</t>
  </si>
  <si>
    <t>C06439700QFPHRNDY</t>
  </si>
  <si>
    <t>G702022773</t>
  </si>
  <si>
    <t>G9PHKDT0QCK00005DP</t>
  </si>
  <si>
    <t>GVCHC601VJG00005DQ</t>
  </si>
  <si>
    <t>G701391273</t>
  </si>
  <si>
    <t>C9QQHG0VDW</t>
  </si>
  <si>
    <t>D70Q944230</t>
  </si>
  <si>
    <t>G700111311</t>
  </si>
  <si>
    <t>G9P5384MFKGPQCLA0</t>
  </si>
  <si>
    <t>G9N2176VNMWPQCLAW</t>
  </si>
  <si>
    <t>G714557451</t>
  </si>
  <si>
    <t>F8Y6157C494Q687BF</t>
  </si>
  <si>
    <t>F8Y12140ME0Q688AL</t>
  </si>
  <si>
    <t>G711840171</t>
  </si>
  <si>
    <t>MQL43FY41K</t>
  </si>
  <si>
    <t>F7HDPGXFGM</t>
  </si>
  <si>
    <t>G709148919</t>
  </si>
  <si>
    <t>GVPKC7G60C</t>
  </si>
  <si>
    <t>GQ0627WXKY</t>
  </si>
  <si>
    <t>G705417325</t>
  </si>
  <si>
    <t>GQR296KGXJ</t>
  </si>
  <si>
    <t>P7XHDWKDF3</t>
  </si>
  <si>
    <t>G704132019</t>
  </si>
  <si>
    <t>FJ6FHHQXFW</t>
  </si>
  <si>
    <t>G7H60FP3HN</t>
  </si>
  <si>
    <t>G703033081</t>
  </si>
  <si>
    <t>PP661-23539</t>
  </si>
  <si>
    <t>13 Pro, Gold, 256GB, Logic Board Assy Rear System, ROW</t>
  </si>
  <si>
    <t>C756M2D2FL</t>
  </si>
  <si>
    <t>YHP2M36JQ1</t>
  </si>
  <si>
    <t>G702698955</t>
  </si>
  <si>
    <t>G9P5154L6MSPQCKA8</t>
  </si>
  <si>
    <t>G9P1504J7PBPQCKAB</t>
  </si>
  <si>
    <t>G701988707</t>
  </si>
  <si>
    <t>FV9517501K90W9FLN</t>
  </si>
  <si>
    <t>FV951240A780W9FLY</t>
  </si>
  <si>
    <t>G701281701</t>
  </si>
  <si>
    <t>G9Q5174FL48PR5QAJ</t>
  </si>
  <si>
    <t>GVH508102MWPR5PAR</t>
  </si>
  <si>
    <t>G700931927</t>
  </si>
  <si>
    <t>GF7YVGKXGL</t>
  </si>
  <si>
    <t>K7K7HNGJGV</t>
  </si>
  <si>
    <t>G699249029</t>
  </si>
  <si>
    <t>F3V4KVG765</t>
  </si>
  <si>
    <t>HQNKQ593HF</t>
  </si>
  <si>
    <t>G682714926</t>
  </si>
  <si>
    <t>FD7N7YRNP3</t>
  </si>
  <si>
    <t>CMQD731PFV</t>
  </si>
  <si>
    <t>G698281455</t>
  </si>
  <si>
    <t>G9NHK8204WD00004Y7</t>
  </si>
  <si>
    <t>G9NHF7H0T0500004Y7</t>
  </si>
  <si>
    <t>G695576864</t>
  </si>
  <si>
    <t>D865182N0T9PJYRBU</t>
  </si>
  <si>
    <t>D864152A52NPJYRBX</t>
  </si>
  <si>
    <t>G688635806</t>
  </si>
  <si>
    <t>HKGQX1CEGWTJ</t>
  </si>
  <si>
    <t>G687937814</t>
  </si>
  <si>
    <t>D865505N0SGPJYRB7</t>
  </si>
  <si>
    <t>F5D2375C5CFPJYVAW</t>
  </si>
  <si>
    <t>G702133337</t>
  </si>
  <si>
    <t>GHQ603700Q92FT7AV</t>
  </si>
  <si>
    <t>C02317607DPPH28AN</t>
  </si>
  <si>
    <t>G701865473</t>
  </si>
  <si>
    <t>F0Y543201631J88AN</t>
  </si>
  <si>
    <t>GMG2457065B1J87AX</t>
  </si>
  <si>
    <t>G700170223</t>
  </si>
  <si>
    <t>GMGHNT0004R00000CQ</t>
  </si>
  <si>
    <t>FP1GVF002FM00000CN</t>
  </si>
  <si>
    <t>G706013827</t>
  </si>
  <si>
    <t>FMXHQ4000UW00006J3</t>
  </si>
  <si>
    <t>FMXHDC002AY00006J3</t>
  </si>
  <si>
    <t>G702714417</t>
  </si>
  <si>
    <t>F0Y415601Q82525AQ</t>
  </si>
  <si>
    <t>DCN4086007N2526AV</t>
  </si>
  <si>
    <t>G700209853</t>
  </si>
  <si>
    <t>GMG544200Q21J88AM</t>
  </si>
  <si>
    <t>FP1503308CX25YTAP</t>
  </si>
  <si>
    <t>G699764389</t>
  </si>
  <si>
    <t>PA661-46781</t>
  </si>
  <si>
    <t>Power Adapter, 143W, Blue, PAC</t>
  </si>
  <si>
    <t>C4H444205V32DF0AC</t>
  </si>
  <si>
    <t>C4H5103020B2DF0A3</t>
  </si>
  <si>
    <t>G700586341</t>
  </si>
  <si>
    <t>GMG527600721J87AU</t>
  </si>
  <si>
    <t>F0Y5117020F1J87AY</t>
  </si>
  <si>
    <t>G706944891</t>
  </si>
  <si>
    <t>GHQ603701972FT7A7</t>
  </si>
  <si>
    <t>GHQ202400H4167TAP</t>
  </si>
  <si>
    <t>G703560983</t>
  </si>
  <si>
    <t>661-16561</t>
  </si>
  <si>
    <t>Logic Board, 8-core CPU, 7-core GPU, 16GB, 512GB</t>
  </si>
  <si>
    <t>C02202500GPPY61AL</t>
  </si>
  <si>
    <t>C02223600QHPY60AX</t>
  </si>
  <si>
    <t>G703460695</t>
  </si>
  <si>
    <t>GMG545301U41J87A3</t>
  </si>
  <si>
    <t>FP144750D5X25YVAN</t>
  </si>
  <si>
    <t>G700461303</t>
  </si>
  <si>
    <t>C02HDR005HJ0000P0S</t>
  </si>
  <si>
    <t>C02HGG002290000KL3</t>
  </si>
  <si>
    <t>G703575009</t>
  </si>
  <si>
    <t>F0YHMP001A20000GVL</t>
  </si>
  <si>
    <t>FP1HDU003SX0000G2A</t>
  </si>
  <si>
    <t>G706000103</t>
  </si>
  <si>
    <t>GMGHLD004B80000GVL</t>
  </si>
  <si>
    <t>GMGHFV0024T0000GVL</t>
  </si>
  <si>
    <t>G705298841</t>
  </si>
  <si>
    <t>J33538400U00W9GP4</t>
  </si>
  <si>
    <t>G686103574</t>
  </si>
  <si>
    <t>F0Y415400MH2525AT</t>
  </si>
  <si>
    <t>DCN410400T02526AG</t>
  </si>
  <si>
    <t>G705063761</t>
  </si>
  <si>
    <t>FV9HCD000EW00003P0</t>
  </si>
  <si>
    <t>FV9HE900BCE00003P0</t>
  </si>
  <si>
    <t>G700451509</t>
  </si>
  <si>
    <t>FMX534603P9278XAG</t>
  </si>
  <si>
    <t>F0Y301502H8PP61A6</t>
  </si>
  <si>
    <t>G714818161</t>
  </si>
  <si>
    <t>F0YHMA000MR0000GVK</t>
  </si>
  <si>
    <t>FP1HN5000YJ0000G2A</t>
  </si>
  <si>
    <t>G691879110</t>
  </si>
  <si>
    <t>F0Y6116016K2526A4</t>
  </si>
  <si>
    <t>FP1411500PP216QAV</t>
  </si>
  <si>
    <t>G704954619</t>
  </si>
  <si>
    <t>661-27706</t>
  </si>
  <si>
    <t>C023203011P1XNPAW</t>
  </si>
  <si>
    <t>C023136003F1XNPAN</t>
  </si>
  <si>
    <t>C02249300K51XNPA3</t>
  </si>
  <si>
    <t>G698621213</t>
  </si>
  <si>
    <t>FMX545408MK278XA5</t>
  </si>
  <si>
    <t>F0Y426100FR278WAR</t>
  </si>
  <si>
    <t>G710842937</t>
  </si>
  <si>
    <t>Top Case, ANSI, Silver, MBP (14-in, M3, 2023)</t>
  </si>
  <si>
    <t>F8Y6047N1SVQ1LTB1</t>
  </si>
  <si>
    <t>F8Y4156H66WQ1LTB5</t>
  </si>
  <si>
    <t>G703193769</t>
  </si>
  <si>
    <t>D865386N17DPJYRB9</t>
  </si>
  <si>
    <t>D863474A073PJYRA1</t>
  </si>
  <si>
    <t>G699351011</t>
  </si>
  <si>
    <t>F0Y415700KS2525AM</t>
  </si>
  <si>
    <t>DCN408602822525AB</t>
  </si>
  <si>
    <t>G703727511</t>
  </si>
  <si>
    <t>661-35833</t>
  </si>
  <si>
    <t>Logic Board, 8-Core CPU, 8-Core GPU, 8GB, 256GB</t>
  </si>
  <si>
    <t>C02HAJ0002N00004N5</t>
  </si>
  <si>
    <t>C02H4Y0004200004ND</t>
  </si>
  <si>
    <t>G684509312</t>
  </si>
  <si>
    <t>F8YHF4N046K0000FWQ</t>
  </si>
  <si>
    <t>F5DHGM002JD0000FWP</t>
  </si>
  <si>
    <t>G711504087</t>
  </si>
  <si>
    <t>C02530500AV1TY4AG</t>
  </si>
  <si>
    <t>FV932840QE21VHYB8</t>
  </si>
  <si>
    <t>F8Y6032N1Q5Q1LTB5</t>
  </si>
  <si>
    <t>F8Y3253H6X1Q1LTA1</t>
  </si>
  <si>
    <t>G714831405</t>
  </si>
  <si>
    <t>F8Y6146N0L413QFC7</t>
  </si>
  <si>
    <t>F8Y5417G2RR10X2CQ</t>
  </si>
  <si>
    <t>G691982212</t>
  </si>
  <si>
    <t>F0Y541700991J88A9</t>
  </si>
  <si>
    <t>GMG315602XX1J88A5</t>
  </si>
  <si>
    <t>G713293249</t>
  </si>
  <si>
    <t>F8YHPCC0MS700006TW</t>
  </si>
  <si>
    <t>F8YGZQA0WWZ00006TW</t>
  </si>
  <si>
    <t>G712462117</t>
  </si>
  <si>
    <t>F8Y6162C4JQ18FKB4</t>
  </si>
  <si>
    <t>F8Y402706WE1YP05F</t>
  </si>
  <si>
    <t>GVH5176118APR5PAB</t>
  </si>
  <si>
    <t>GVH40170K97PR5PAH</t>
  </si>
  <si>
    <t>G710902709</t>
  </si>
  <si>
    <t>G9P6054R8R421KHAY</t>
  </si>
  <si>
    <t>GVH43421QY71PHLA2</t>
  </si>
  <si>
    <t>G709160673</t>
  </si>
  <si>
    <t>DNL522205111986BW</t>
  </si>
  <si>
    <t>DNL40820T571986BB</t>
  </si>
  <si>
    <t>G707039539</t>
  </si>
  <si>
    <t>J5QJGRX57N</t>
  </si>
  <si>
    <t>DJQPP4LTFD</t>
  </si>
  <si>
    <t>G689212318</t>
  </si>
  <si>
    <t>GMG544301HE1J88AU</t>
  </si>
  <si>
    <t>FP1333101FT1J8CA5</t>
  </si>
  <si>
    <t>G704897957</t>
  </si>
  <si>
    <t>F8Y6053CRR718FKBG</t>
  </si>
  <si>
    <t>F8Y41150HFJ18FLBR</t>
  </si>
  <si>
    <t>G684514728</t>
  </si>
  <si>
    <t>FN09R0HJNJ</t>
  </si>
  <si>
    <t>FLF7660KRX</t>
  </si>
  <si>
    <t>G699059917</t>
  </si>
  <si>
    <t>MH2YR73GKF</t>
  </si>
  <si>
    <t>GTWYLF9DX0</t>
  </si>
  <si>
    <t>G698531481</t>
  </si>
  <si>
    <t>GH3HJZ00R3X0000MUZ</t>
  </si>
  <si>
    <t>GH3HK800UFN0000MUZ</t>
  </si>
  <si>
    <t>G714527815</t>
  </si>
  <si>
    <t>F8Y6172C82318FKBY</t>
  </si>
  <si>
    <t>FG933540DQ818FMA3</t>
  </si>
  <si>
    <t>G711117477</t>
  </si>
  <si>
    <t>K12N1HYG34</t>
  </si>
  <si>
    <t>L25FXH447K</t>
  </si>
  <si>
    <t>G710957343</t>
  </si>
  <si>
    <t>H7FHPF19G1H0000UHY</t>
  </si>
  <si>
    <t>G702999601</t>
  </si>
  <si>
    <t>JWN2PR25Y9</t>
  </si>
  <si>
    <t>JR4L4VTDH2</t>
  </si>
  <si>
    <t>G702996167</t>
  </si>
  <si>
    <t>H3DHXLPW1D</t>
  </si>
  <si>
    <t>HX9PWGQWHD</t>
  </si>
  <si>
    <t>G702360817</t>
  </si>
  <si>
    <t>CTPFWP1VVR</t>
  </si>
  <si>
    <t>JFHR7MT9XW</t>
  </si>
  <si>
    <t>G700478327</t>
  </si>
  <si>
    <t>HXK40360MD71WP0DA</t>
  </si>
  <si>
    <t>HXK450603T71N08FK</t>
  </si>
  <si>
    <t>G700384739</t>
  </si>
  <si>
    <t>C7DR93TFQR</t>
  </si>
  <si>
    <t>KVD7RHHYTG</t>
  </si>
  <si>
    <t>G714827987</t>
  </si>
  <si>
    <t>G9P5487CF24PR5QA0</t>
  </si>
  <si>
    <t>GVH510412PFPR5PAH</t>
  </si>
  <si>
    <t>G714771923</t>
  </si>
  <si>
    <t>G9Q5485VH2A1502AX</t>
  </si>
  <si>
    <t>GVC44830J2C1503A3</t>
  </si>
  <si>
    <t>G713826541</t>
  </si>
  <si>
    <t>F8Y6157C6G0217WBD</t>
  </si>
  <si>
    <t>F8Y2504113Q217W72</t>
  </si>
  <si>
    <t>G711851035</t>
  </si>
  <si>
    <t>FWCCW24QKY</t>
  </si>
  <si>
    <t>KWMXCX73W4</t>
  </si>
  <si>
    <t>G709084239</t>
  </si>
  <si>
    <t>DNL538705A517RRC6</t>
  </si>
  <si>
    <t>DNL50110M1N17RRBZ</t>
  </si>
  <si>
    <t>G708282397</t>
  </si>
  <si>
    <t>ML9MP9D7YC</t>
  </si>
  <si>
    <t>C3Y6VM52QQ</t>
  </si>
  <si>
    <t>G702607203</t>
  </si>
  <si>
    <t>G9Q5155PG98PR5QAN</t>
  </si>
  <si>
    <t>GVH45160ED1PR5PAC</t>
  </si>
  <si>
    <t>G702554047</t>
  </si>
  <si>
    <t>J63PPF19TT</t>
  </si>
  <si>
    <t>LLFDV7JXYV</t>
  </si>
  <si>
    <t>G700496301</t>
  </si>
  <si>
    <t>G9PHK5S04PV00005DR</t>
  </si>
  <si>
    <t>GH3HGN012M800005DS</t>
  </si>
  <si>
    <t>G699980893</t>
  </si>
  <si>
    <t>H2RDC2P9YF</t>
  </si>
  <si>
    <t>J44FXKJ241</t>
  </si>
  <si>
    <t>G699439625</t>
  </si>
  <si>
    <t>HWRFNWCW3T</t>
  </si>
  <si>
    <t>CWGDJFTHCJ</t>
  </si>
  <si>
    <t>G713852443</t>
  </si>
  <si>
    <t>G9P5465CA9GPR5QAE</t>
  </si>
  <si>
    <t>G9Q5141FHK5PR5QAR</t>
  </si>
  <si>
    <t>G709883035</t>
  </si>
  <si>
    <t>M627L60MYW</t>
  </si>
  <si>
    <t>JQHPFH99K0</t>
  </si>
  <si>
    <t>G709089171</t>
  </si>
  <si>
    <t>L6V331Q6F9</t>
  </si>
  <si>
    <t>F4R2WX975X</t>
  </si>
  <si>
    <t>G708614877</t>
  </si>
  <si>
    <t>H97R44VAJKM9</t>
  </si>
  <si>
    <t>HJDL178WJKM9</t>
  </si>
  <si>
    <t>G706041981</t>
  </si>
  <si>
    <t>J2NFJQJLH2</t>
  </si>
  <si>
    <t>G702475167</t>
  </si>
  <si>
    <t>M3K7H199XM</t>
  </si>
  <si>
    <t>CWG6T4HWV2</t>
  </si>
  <si>
    <t>G702152389</t>
  </si>
  <si>
    <t>LV7MKDW09D</t>
  </si>
  <si>
    <t>G701444377</t>
  </si>
  <si>
    <t>M2Y39QQG0Q</t>
  </si>
  <si>
    <t>RFYPYXR523</t>
  </si>
  <si>
    <t>G700802915</t>
  </si>
  <si>
    <t>C9RYR9JXYF</t>
  </si>
  <si>
    <t>CFKFVQDY5L</t>
  </si>
  <si>
    <t>G700203875</t>
  </si>
  <si>
    <t>LYVFXLKFL2</t>
  </si>
  <si>
    <t>KM3P246LJH</t>
  </si>
  <si>
    <t>G699221347</t>
  </si>
  <si>
    <t>L7QGLQ9FXP</t>
  </si>
  <si>
    <t>DWQQH6L5CF</t>
  </si>
  <si>
    <t>G714161985</t>
  </si>
  <si>
    <t>G9PHRKU4ME90000L4B</t>
  </si>
  <si>
    <t>G9NHNVJ54PE0000L4B</t>
  </si>
  <si>
    <t>G713489037</t>
  </si>
  <si>
    <t>GMGHLG0039G0000GVL</t>
  </si>
  <si>
    <t>GMGHFR002810000GVK</t>
  </si>
  <si>
    <t>G711960807</t>
  </si>
  <si>
    <t>GVH51770YJVPR5PA1</t>
  </si>
  <si>
    <t>GVH50420SSVPR5PAY</t>
  </si>
  <si>
    <t>G708950205</t>
  </si>
  <si>
    <t>G9PHM0T1D0500005DP</t>
  </si>
  <si>
    <t>GVCHDW02MFS00005DQ</t>
  </si>
  <si>
    <t>G708042581</t>
  </si>
  <si>
    <t>TA661-45003</t>
  </si>
  <si>
    <t>512GB, Black Titanium, ROW, iPhone 16 Pro, Logic Board Assy Mid System</t>
  </si>
  <si>
    <t>G73DWHMXDM</t>
  </si>
  <si>
    <t>GQYCQ39T3C</t>
  </si>
  <si>
    <t>G702210403</t>
  </si>
  <si>
    <t>K336JJ9WV7</t>
  </si>
  <si>
    <t>KNQG22T496</t>
  </si>
  <si>
    <t>G699266677</t>
  </si>
  <si>
    <t>JVPG926FFR</t>
  </si>
  <si>
    <t>G9N7NH5HYP</t>
  </si>
  <si>
    <t>G699110167</t>
  </si>
  <si>
    <t>PP661-28876</t>
  </si>
  <si>
    <t>iPhone 14, Blue, 256GB, Logic Board Assy Mid System, ROW</t>
  </si>
  <si>
    <t>LJ9941YWQ1</t>
  </si>
  <si>
    <t>V2CYYYHL7Q</t>
  </si>
  <si>
    <t>G712247403</t>
  </si>
  <si>
    <t>G9QHQUX09VB00004Y7</t>
  </si>
  <si>
    <t>G9NHFJN3XL700004Y7</t>
  </si>
  <si>
    <t>G711722973</t>
  </si>
  <si>
    <t>G9PHLST24CR00005DP</t>
  </si>
  <si>
    <t>GVCHCF00YG900005DQ</t>
  </si>
  <si>
    <t>G711228465</t>
  </si>
  <si>
    <t>C02H93000CG0000FAQ</t>
  </si>
  <si>
    <t>C02H96008H50000FAQ</t>
  </si>
  <si>
    <t>G710083817</t>
  </si>
  <si>
    <t>M91W493P6D</t>
  </si>
  <si>
    <t>M6C602CW61</t>
  </si>
  <si>
    <t>G707126661</t>
  </si>
  <si>
    <t>MY2Y25T9DP</t>
  </si>
  <si>
    <t>FP6MWNLQK7</t>
  </si>
  <si>
    <t>G704237399</t>
  </si>
  <si>
    <t>J17PQ7Q3JK</t>
  </si>
  <si>
    <t>DD76L2WY6D</t>
  </si>
  <si>
    <t>G703102799</t>
  </si>
  <si>
    <t>KNHVKF7NJ9</t>
  </si>
  <si>
    <t>LXKNY404YW</t>
  </si>
  <si>
    <t>G686209892</t>
  </si>
  <si>
    <t>M40900X0PR</t>
  </si>
  <si>
    <t>KJ7CHYXPYX</t>
  </si>
  <si>
    <t>G701694201</t>
  </si>
  <si>
    <t>LWHQ3LV9G1</t>
  </si>
  <si>
    <t>FW204VT9FF</t>
  </si>
  <si>
    <t>G700483421</t>
  </si>
  <si>
    <t>JT29L7X900</t>
  </si>
  <si>
    <t>D7DN43MK72</t>
  </si>
  <si>
    <t>G713587673</t>
  </si>
  <si>
    <t>K7VW25HYDP</t>
  </si>
  <si>
    <t>CYV6J1Y9KT</t>
  </si>
  <si>
    <t>G712795891</t>
  </si>
  <si>
    <t>MLJW12PQY4</t>
  </si>
  <si>
    <t>PY1FCFK7PY</t>
  </si>
  <si>
    <t>G710990667</t>
  </si>
  <si>
    <t>GMGHLC005YW0000GVL</t>
  </si>
  <si>
    <t>FP1HG80070N0000G2A</t>
  </si>
  <si>
    <t>G706616277</t>
  </si>
  <si>
    <t>GT42JRVW50</t>
  </si>
  <si>
    <t>C1QW2DRDJ0</t>
  </si>
  <si>
    <t>G706290207</t>
  </si>
  <si>
    <t>FRWR9Q63LD</t>
  </si>
  <si>
    <t>GV1XCDP6M5</t>
  </si>
  <si>
    <t>G704260853</t>
  </si>
  <si>
    <t>DQX4TVHF3Q</t>
  </si>
  <si>
    <t>G704029513</t>
  </si>
  <si>
    <t>K0CYVN24NR</t>
  </si>
  <si>
    <t>HFQHV92F92</t>
  </si>
  <si>
    <t>G703508083</t>
  </si>
  <si>
    <t>LG491252D3</t>
  </si>
  <si>
    <t>JD92WG4RL0</t>
  </si>
  <si>
    <t>G701680607</t>
  </si>
  <si>
    <t>F8Y5265C8BZ14LWCL</t>
  </si>
  <si>
    <t>F5D1387E8A914LX9C</t>
  </si>
  <si>
    <t>G700487987</t>
  </si>
  <si>
    <t>P0724WK3JD</t>
  </si>
  <si>
    <t>FM9FJFV1F2</t>
  </si>
  <si>
    <t>G715002397</t>
  </si>
  <si>
    <t>G9Q5054SFN01PHMAL</t>
  </si>
  <si>
    <t>G9Q5131SG0A1PHMAF</t>
  </si>
  <si>
    <t>G711343129</t>
  </si>
  <si>
    <t>H02DJ3WG12</t>
  </si>
  <si>
    <t>H2G3YQMJ76</t>
  </si>
  <si>
    <t>G709863465</t>
  </si>
  <si>
    <t>GVH51671YMNPR5PAZ</t>
  </si>
  <si>
    <t>G9P5306C23ZPR5QA7</t>
  </si>
  <si>
    <t>G708305405</t>
  </si>
  <si>
    <t>H97Q71EDJKM9</t>
  </si>
  <si>
    <t>H97QP2EQJKM9</t>
  </si>
  <si>
    <t>G708097983</t>
  </si>
  <si>
    <t>J1H20XHJ6C</t>
  </si>
  <si>
    <t>JNR2GKCXH3</t>
  </si>
  <si>
    <t>G703977395</t>
  </si>
  <si>
    <t>KJXVW4GVQY</t>
  </si>
  <si>
    <t>K3QJGJ3QR6</t>
  </si>
  <si>
    <t>G686884894</t>
  </si>
  <si>
    <t>G9P5264QPQP1PHRAF</t>
  </si>
  <si>
    <t>GVC340635001PHTAQ</t>
  </si>
  <si>
    <t>G703753305</t>
  </si>
  <si>
    <t>JK03GHQ9CG</t>
  </si>
  <si>
    <t>MW4FP6NF6Y</t>
  </si>
  <si>
    <t>G702547705</t>
  </si>
  <si>
    <t>F8Y5456C71M18FKBL</t>
  </si>
  <si>
    <t>FG922431QFT18FMA5</t>
  </si>
  <si>
    <t>G702131265</t>
  </si>
  <si>
    <t>X54Q7FYP95</t>
  </si>
  <si>
    <t>XJHFYJW2W1</t>
  </si>
  <si>
    <t>G701657481</t>
  </si>
  <si>
    <t>KXK73YWLFP</t>
  </si>
  <si>
    <t>D4GVLQFL20</t>
  </si>
  <si>
    <t>HD4Y69JWYH</t>
  </si>
  <si>
    <t>G700827665</t>
  </si>
  <si>
    <t>GMG533500QL1J88A4</t>
  </si>
  <si>
    <t>FP1527500KX25YVAS</t>
  </si>
  <si>
    <t>G700210285</t>
  </si>
  <si>
    <t>LKQ17CQQKN</t>
  </si>
  <si>
    <t>G683493258</t>
  </si>
  <si>
    <t>KVY2HPJQQV</t>
  </si>
  <si>
    <t>DYHGP69X90</t>
  </si>
  <si>
    <t>MH4HJ66JFJ</t>
  </si>
  <si>
    <t>G699699817</t>
  </si>
  <si>
    <t>H7CGPGQWJM</t>
  </si>
  <si>
    <t>C39DX7WFCJ</t>
  </si>
  <si>
    <t>G699345997</t>
  </si>
  <si>
    <t>HL9J5Q6D6K</t>
  </si>
  <si>
    <t>H20PL6366K</t>
  </si>
  <si>
    <t>G710657703</t>
  </si>
  <si>
    <t>GP79DGHQRT</t>
  </si>
  <si>
    <t>JFPV90QFPG</t>
  </si>
  <si>
    <t>G710566035</t>
  </si>
  <si>
    <t>F8Y5275C3C813XCBZ</t>
  </si>
  <si>
    <t>F5D1466EEHE13X99A</t>
  </si>
  <si>
    <t>G710122811</t>
  </si>
  <si>
    <t>FN7R4KG6GN</t>
  </si>
  <si>
    <t>FVFKY7X24P</t>
  </si>
  <si>
    <t>G709736689</t>
  </si>
  <si>
    <t>HQWQNVN9GX</t>
  </si>
  <si>
    <t>C6YQ2200NV</t>
  </si>
  <si>
    <t>G708144221</t>
  </si>
  <si>
    <t>F8Y6063CMDP18FKB3</t>
  </si>
  <si>
    <t>FG9147328SN18FM40</t>
  </si>
  <si>
    <t>G703754761</t>
  </si>
  <si>
    <t>MG4M0G7KFL</t>
  </si>
  <si>
    <t>JQDT4V3XP3</t>
  </si>
  <si>
    <t>G700439837</t>
  </si>
  <si>
    <t>G9P5385MD4TPQCLA1</t>
  </si>
  <si>
    <t>G9N2096SPB5PQCLAL</t>
  </si>
  <si>
    <t>G699236589</t>
  </si>
  <si>
    <t>G9P5434BABW1502AU</t>
  </si>
  <si>
    <t>G9P4345C4N21502AS</t>
  </si>
  <si>
    <t>G698551803</t>
  </si>
  <si>
    <t>TA661-44995</t>
  </si>
  <si>
    <t>128GB, Black Titanium, ROW, iPhone 16 Pro, Logic Board Assy Mid System</t>
  </si>
  <si>
    <t>KJ3JD69R2Q</t>
  </si>
  <si>
    <t>CW2094PPQT</t>
  </si>
  <si>
    <t>G713540889</t>
  </si>
  <si>
    <t>GPC9WVDX4N</t>
  </si>
  <si>
    <t>LG2HNV5X9V</t>
  </si>
  <si>
    <t>G709194815</t>
  </si>
  <si>
    <t>L4YXW90X0D</t>
  </si>
  <si>
    <t>F373LFD9TQ</t>
  </si>
  <si>
    <t>L4HXV3VXDG</t>
  </si>
  <si>
    <t>G708168081</t>
  </si>
  <si>
    <t>H4H63G7RJV</t>
  </si>
  <si>
    <t>D3QF00R9NJ</t>
  </si>
  <si>
    <t>G707523999</t>
  </si>
  <si>
    <t>G9Q5177W8DV1502AP</t>
  </si>
  <si>
    <t>GVH526703091501AR</t>
  </si>
  <si>
    <t>G706591219</t>
  </si>
  <si>
    <t>F8Y5165C0JUM6YNDN</t>
  </si>
  <si>
    <t>FG9251604KKM6YRCA</t>
  </si>
  <si>
    <t>G706508753</t>
  </si>
  <si>
    <t>G9P5384MD40PQCLAV</t>
  </si>
  <si>
    <t>G9P2193NFNAPQCLA3</t>
  </si>
  <si>
    <t>G701436763</t>
  </si>
  <si>
    <t>G9Q5173EHG41502AE</t>
  </si>
  <si>
    <t>GVC43630DGA1503A9</t>
  </si>
  <si>
    <t>G701187149</t>
  </si>
  <si>
    <t>GR40MW3FK7</t>
  </si>
  <si>
    <t>G712114471</t>
  </si>
  <si>
    <t>DN8HKB0FLBK0000JS5</t>
  </si>
  <si>
    <t>DN8HL107YD30000RYQ</t>
  </si>
  <si>
    <t>G709644103</t>
  </si>
  <si>
    <t>F8Y6057CK6R18FKBP</t>
  </si>
  <si>
    <t>FG941240MAX18FMBK</t>
  </si>
  <si>
    <t>G708842975</t>
  </si>
  <si>
    <t>F8Y6056C9KP18FKBX</t>
  </si>
  <si>
    <t>FG922260XTQ18FMA5</t>
  </si>
  <si>
    <t>G707372295</t>
  </si>
  <si>
    <t>F8Y5406C7HAM6YNDG</t>
  </si>
  <si>
    <t>FG9329202W4M6YRC8</t>
  </si>
  <si>
    <t>G704695989</t>
  </si>
  <si>
    <t>F8YHN5C0ALB00006TP</t>
  </si>
  <si>
    <t>F5DH0R00F9500006TQ</t>
  </si>
  <si>
    <t>G699446015</t>
  </si>
  <si>
    <t>F0WHB70024N000064R</t>
  </si>
  <si>
    <t>F0WHBT00JWD000064R</t>
  </si>
  <si>
    <t>G713410575</t>
  </si>
  <si>
    <t>GHJP9N09WF</t>
  </si>
  <si>
    <t>C12PR7G7DQ</t>
  </si>
  <si>
    <t>G712259753</t>
  </si>
  <si>
    <t>G9PHQPD0PA10000L4B</t>
  </si>
  <si>
    <t>G9QHNFP227Z0000L4B</t>
  </si>
  <si>
    <t>G709143703</t>
  </si>
  <si>
    <t>G9Q5325SBDH1PHMA5</t>
  </si>
  <si>
    <t>G9Q4255PGHB1PHMAY</t>
  </si>
  <si>
    <t>G705439937</t>
  </si>
  <si>
    <t>LKX3Y4YRFV</t>
  </si>
  <si>
    <t>KV2QFY7WJ3</t>
  </si>
  <si>
    <t>G704967445</t>
  </si>
  <si>
    <t>N1F0WCWCXY</t>
  </si>
  <si>
    <t>NVVP9ML74W</t>
  </si>
  <si>
    <t>G699993317</t>
  </si>
  <si>
    <t>LYC47GR49J</t>
  </si>
  <si>
    <t>FC6XM96H42</t>
  </si>
  <si>
    <t>G713373641</t>
  </si>
  <si>
    <t>F8Y6167C4SF18FKBJ</t>
  </si>
  <si>
    <t>F8Y4126033318FLBJ</t>
  </si>
  <si>
    <t>G711658371</t>
  </si>
  <si>
    <t>CP67YV0M4K</t>
  </si>
  <si>
    <t>KKXT0WLQQK</t>
  </si>
  <si>
    <t>G709397529</t>
  </si>
  <si>
    <t>H0QD9NHT6H</t>
  </si>
  <si>
    <t>FN42424V2K</t>
  </si>
  <si>
    <t>G708983383</t>
  </si>
  <si>
    <t>GVH51670PBZPR5PAW</t>
  </si>
  <si>
    <t>G9Q5224FJFXPR5QAC</t>
  </si>
  <si>
    <t>G708710881</t>
  </si>
  <si>
    <t>JK4FW2NXP7</t>
  </si>
  <si>
    <t>G708499709</t>
  </si>
  <si>
    <t>661-40255</t>
  </si>
  <si>
    <t>Display, Space Gray, MBA (15-in, M3, 2024)</t>
  </si>
  <si>
    <t>FP1HDG001MS00000CM</t>
  </si>
  <si>
    <t>GMGH1X000XM00000CP</t>
  </si>
  <si>
    <t>G707402631</t>
  </si>
  <si>
    <t>F8Y6053CCPT18FKBF</t>
  </si>
  <si>
    <t>FG914830KZ118FM4S</t>
  </si>
  <si>
    <t>G705599609</t>
  </si>
  <si>
    <t>CPYF3Y6M9J</t>
  </si>
  <si>
    <t>CF9KM37J1Q</t>
  </si>
  <si>
    <t>G703905331</t>
  </si>
  <si>
    <t>GH3HPT021LE0000MUZ</t>
  </si>
  <si>
    <t>GH3HLK02BQY0000MUZ</t>
  </si>
  <si>
    <t>G702369827</t>
  </si>
  <si>
    <t>K5C2034RK2</t>
  </si>
  <si>
    <t>G1XG3QK9WP</t>
  </si>
  <si>
    <t>G702087621</t>
  </si>
  <si>
    <t>F6RQWQR9PC</t>
  </si>
  <si>
    <t>H4VK22CC2G</t>
  </si>
  <si>
    <t>G701391809</t>
  </si>
  <si>
    <t>G9PHKST0K2B00005DP</t>
  </si>
  <si>
    <t>GVCHHR00L4200005DQ</t>
  </si>
  <si>
    <t>G699435279</t>
  </si>
  <si>
    <t>F7X0RHY367</t>
  </si>
  <si>
    <t>KJHYVMMWPC</t>
  </si>
  <si>
    <t>G698193833</t>
  </si>
  <si>
    <t>G9Q5433WLC11502AM</t>
  </si>
  <si>
    <t>G9P4343C3QA1502AF</t>
  </si>
  <si>
    <t>G713046993</t>
  </si>
  <si>
    <t>LGPT7L0YQ9</t>
  </si>
  <si>
    <t>KXQWQHQXT0</t>
  </si>
  <si>
    <t>G712813687</t>
  </si>
  <si>
    <t>J46G1VX2LL</t>
  </si>
  <si>
    <t>CR4LYY90WR</t>
  </si>
  <si>
    <t>G711984301</t>
  </si>
  <si>
    <t>F8YHSAD155D00006TP</t>
  </si>
  <si>
    <t>F8YH0B36JC600006TR</t>
  </si>
  <si>
    <t>G710458111</t>
  </si>
  <si>
    <t>JYG51FDFX4</t>
  </si>
  <si>
    <t>JXWL2QHF6R</t>
  </si>
  <si>
    <t>G710455327</t>
  </si>
  <si>
    <t>F9663FC3FJ</t>
  </si>
  <si>
    <t>K9TDN45WXV</t>
  </si>
  <si>
    <t>G709954211</t>
  </si>
  <si>
    <t>DNM60230MJT1QDC1W</t>
  </si>
  <si>
    <t>DNM53250LPM1QDC1L</t>
  </si>
  <si>
    <t>MV0C24GR7N</t>
  </si>
  <si>
    <t>KWC20FPXFP</t>
  </si>
  <si>
    <t>G707473945</t>
  </si>
  <si>
    <t>JYN3GXF2MX</t>
  </si>
  <si>
    <t>FXH4C6W9FV</t>
  </si>
  <si>
    <t>G705707527</t>
  </si>
  <si>
    <t>LJN6YHM693</t>
  </si>
  <si>
    <t>J6PJ4K4J9Q</t>
  </si>
  <si>
    <t>J61DLVT9WP</t>
  </si>
  <si>
    <t>G703606123</t>
  </si>
  <si>
    <t>FM9RQR3CQL</t>
  </si>
  <si>
    <t>J0J7GHLHFC</t>
  </si>
  <si>
    <t>G703220479</t>
  </si>
  <si>
    <t>G9Q5162FKLUPR5QAQ</t>
  </si>
  <si>
    <t>G9Q5145CALAPR5QAV</t>
  </si>
  <si>
    <t>G701783289</t>
  </si>
  <si>
    <t>LCW54656PH</t>
  </si>
  <si>
    <t>VXYV2XLW5F</t>
  </si>
  <si>
    <t>G700056913</t>
  </si>
  <si>
    <t>C4Q7VXQF3X</t>
  </si>
  <si>
    <t>JQJ37VJG25</t>
  </si>
  <si>
    <t>923-13601</t>
  </si>
  <si>
    <t>Taptic Engine, iPhone 17</t>
  </si>
  <si>
    <t>GH7HJU60FAA0000UX2</t>
  </si>
  <si>
    <t>J4WHMSF0BGA0000UX2</t>
  </si>
  <si>
    <t>G706632053</t>
  </si>
  <si>
    <t>MLWQJKVY27</t>
  </si>
  <si>
    <t>C3H4FXJRV7</t>
  </si>
  <si>
    <t>G688628538</t>
  </si>
  <si>
    <t>LN617HL7T3</t>
  </si>
  <si>
    <t>GGJNRJ9JCQ</t>
  </si>
  <si>
    <t>G688602492</t>
  </si>
  <si>
    <t>DNM51760Q1P1QDC3S</t>
  </si>
  <si>
    <t>G702990403</t>
  </si>
  <si>
    <t>H5Q2N4FQ92</t>
  </si>
  <si>
    <t>K36NDXJ2YC</t>
  </si>
  <si>
    <t>G699907755</t>
  </si>
  <si>
    <t>H40PQ7DQVT</t>
  </si>
  <si>
    <t>CY4N27G16F</t>
  </si>
  <si>
    <t>G714329927</t>
  </si>
  <si>
    <t>CTH54561SK60807AK</t>
  </si>
  <si>
    <t>CTH50921NNJ0807AY</t>
  </si>
  <si>
    <t>G703897229</t>
  </si>
  <si>
    <t>H97QM7LDJKM9</t>
  </si>
  <si>
    <t>H98MHG0VJKM9</t>
  </si>
  <si>
    <t>G703620385</t>
  </si>
  <si>
    <t>LTXYR2WYQF</t>
  </si>
  <si>
    <t>LHDHV2K2K3</t>
  </si>
  <si>
    <t>G683102166</t>
  </si>
  <si>
    <t>CLW7371D9J</t>
  </si>
  <si>
    <t>GQ9V20WWXM</t>
  </si>
  <si>
    <t>G698694877</t>
  </si>
  <si>
    <t>F8Y5415C1JJJKGTCH</t>
  </si>
  <si>
    <t>FG994170AYGJKGXAR</t>
  </si>
  <si>
    <t>DXY4217CW99JHYK4E</t>
  </si>
  <si>
    <t>DXY8401A82DJHYK4L</t>
  </si>
  <si>
    <t>G711348311</t>
  </si>
  <si>
    <t>JG34RKXV2R</t>
  </si>
  <si>
    <t>GJQW6Y0DPX</t>
  </si>
  <si>
    <t>G710665625</t>
  </si>
  <si>
    <t>H1H0GM7YJT</t>
  </si>
  <si>
    <t>JV0XJXCDGH</t>
  </si>
  <si>
    <t>G706622425</t>
  </si>
  <si>
    <t>CQV6YGR4NN</t>
  </si>
  <si>
    <t>G4TKWF0QW1</t>
  </si>
  <si>
    <t>G704083523</t>
  </si>
  <si>
    <t>G9Q5177CF3KPR5QAM</t>
  </si>
  <si>
    <t>G9P5382C304PR5QAQ</t>
  </si>
  <si>
    <t>G703005231</t>
  </si>
  <si>
    <t>D90J3PWHK6</t>
  </si>
  <si>
    <t>G686183138</t>
  </si>
  <si>
    <t>F8Y5447C48F18FKBA</t>
  </si>
  <si>
    <t>F8Y41320B7918FLBT</t>
  </si>
  <si>
    <t>G702719629</t>
  </si>
  <si>
    <t>GDJGQY9QJX</t>
  </si>
  <si>
    <t>G700446479</t>
  </si>
  <si>
    <t>F8Y348612K802JNAE</t>
  </si>
  <si>
    <t>F5D0392BNY102JK7H</t>
  </si>
  <si>
    <t>G712346529</t>
  </si>
  <si>
    <t>G9QHRGM5HQX0000L4B</t>
  </si>
  <si>
    <t>G9NHHNT06KG0000L4B</t>
  </si>
  <si>
    <t>M1Q2145WX9</t>
  </si>
  <si>
    <t>CFF64Q7MG6</t>
  </si>
  <si>
    <t>G712002075</t>
  </si>
  <si>
    <t>TA661-55207</t>
  </si>
  <si>
    <t>Cosmic Orange, 256GB, iPhone 17 Pro Max, ROW, CI/AR, Taiwan</t>
  </si>
  <si>
    <t>MVW9K149CV</t>
  </si>
  <si>
    <t>F9Q52DKW3L</t>
  </si>
  <si>
    <t>G711632153</t>
  </si>
  <si>
    <t>DNMHCW00PHG000048L</t>
  </si>
  <si>
    <t>GCFHFX0C2PH00005LT</t>
  </si>
  <si>
    <t>G710113099</t>
  </si>
  <si>
    <t>GDYHXJ0CN9</t>
  </si>
  <si>
    <t>DJXQ99NR3K</t>
  </si>
  <si>
    <t>G706794037</t>
  </si>
  <si>
    <t>G706693067</t>
  </si>
  <si>
    <t>G9P5263LKL6PQCKAF</t>
  </si>
  <si>
    <t>G9P2215K2KCPQCKAL</t>
  </si>
  <si>
    <t>G706281899</t>
  </si>
  <si>
    <t>CCWHHWGCWV</t>
  </si>
  <si>
    <t>G705460177</t>
  </si>
  <si>
    <t>LCQP9MW9VX</t>
  </si>
  <si>
    <t>G703376599</t>
  </si>
  <si>
    <t>F0WHJB00UUD0000488</t>
  </si>
  <si>
    <t>DN8HEM01ULF00005KQ</t>
  </si>
  <si>
    <t>G701207201</t>
  </si>
  <si>
    <t>G9Q5373UFNV21KHAU</t>
  </si>
  <si>
    <t>GVH51031A4Z1PHLAG</t>
  </si>
  <si>
    <t>G700328475</t>
  </si>
  <si>
    <t>JD4Q4C4336</t>
  </si>
  <si>
    <t>MRQ304XM7N</t>
  </si>
  <si>
    <t>G711552985</t>
  </si>
  <si>
    <t>GVH51732M90PR5PAY</t>
  </si>
  <si>
    <t>G9Q5124F64SPR5QAV</t>
  </si>
  <si>
    <t>G706721111</t>
  </si>
  <si>
    <t>J9KHND007EK0000FD3</t>
  </si>
  <si>
    <t>GMHHDH01FUL0000882</t>
  </si>
  <si>
    <t>G704866171</t>
  </si>
  <si>
    <t>FK1HMY00HZ700001A2</t>
  </si>
  <si>
    <t>DTTHK5032JL000004D</t>
  </si>
  <si>
    <t>DNM507109CM1QDC67</t>
  </si>
  <si>
    <t>DNM53820EL21QDC7M</t>
  </si>
  <si>
    <t>G703040791</t>
  </si>
  <si>
    <t>HQ0YF9G1CY</t>
  </si>
  <si>
    <t>KF70C0FPF0</t>
  </si>
  <si>
    <t>G702692773</t>
  </si>
  <si>
    <t>GMW4YP6RGV</t>
  </si>
  <si>
    <t>KFW3JQD69M</t>
  </si>
  <si>
    <t>G683211798</t>
  </si>
  <si>
    <t>PP661-28872</t>
  </si>
  <si>
    <t>iPhone 14, Purple, 128GB, Logic Board Assy Mid System, ROW</t>
  </si>
  <si>
    <t>L6H2QCYGG7</t>
  </si>
  <si>
    <t>PJ93HW17K0</t>
  </si>
  <si>
    <t>G699374563</t>
  </si>
  <si>
    <t>H45Q6TWM23</t>
  </si>
  <si>
    <t>VW9NT4XF9C</t>
  </si>
  <si>
    <t>661-37212</t>
  </si>
  <si>
    <t>Green, Back Glass, iPhone 15 Plus</t>
  </si>
  <si>
    <t>HKYH8S006PR00009YL</t>
  </si>
  <si>
    <t>HKYHGC0E5A000000NW</t>
  </si>
  <si>
    <t>G698939067</t>
  </si>
  <si>
    <t>HKNH77WHHW</t>
  </si>
  <si>
    <t>G709530619</t>
  </si>
  <si>
    <t>DNMHQ106W690000QTE</t>
  </si>
  <si>
    <t>DNMHL0019860000QTE</t>
  </si>
  <si>
    <t>G709200837</t>
  </si>
  <si>
    <t>F8Y6056CCUZ18FKBR</t>
  </si>
  <si>
    <t>FG94226061B18FMBA</t>
  </si>
  <si>
    <t>G708298087</t>
  </si>
  <si>
    <t>DNPHQ700AH60000FER</t>
  </si>
  <si>
    <t>GMHHHK0000100006SX</t>
  </si>
  <si>
    <t>G708175295</t>
  </si>
  <si>
    <t>K63FYLF2V1</t>
  </si>
  <si>
    <t>GWQDG339M6</t>
  </si>
  <si>
    <t>G689534852</t>
  </si>
  <si>
    <t>DPFWD672GK</t>
  </si>
  <si>
    <t>LPWNF2PXMY</t>
  </si>
  <si>
    <t>G705613783</t>
  </si>
  <si>
    <t>JLW19C2PVG</t>
  </si>
  <si>
    <t>D7XJJ7F1WL</t>
  </si>
  <si>
    <t>G703122063</t>
  </si>
  <si>
    <t>D6HCR9R29Y</t>
  </si>
  <si>
    <t>M4XJF77Q46</t>
  </si>
  <si>
    <t>G702707003</t>
  </si>
  <si>
    <t>G9Q5181PJ4EPR5QAQ</t>
  </si>
  <si>
    <t>GVH51060E67PR5PAX</t>
  </si>
  <si>
    <t>G702037233</t>
  </si>
  <si>
    <t>M2RWXWL6GT</t>
  </si>
  <si>
    <t>L32LCMX6V3</t>
  </si>
  <si>
    <t>G701878001</t>
  </si>
  <si>
    <t>J4FFQWGCHG</t>
  </si>
  <si>
    <t>J6LLFHFC37</t>
  </si>
  <si>
    <t>G699264053</t>
  </si>
  <si>
    <t>G9NHFDS146P00005DR</t>
  </si>
  <si>
    <t>GVCHB302SR700005DS</t>
  </si>
  <si>
    <t>G712341911</t>
  </si>
  <si>
    <t>F8Y6157C06318FKBV</t>
  </si>
  <si>
    <t>F8Y223100MW18FLAJ</t>
  </si>
  <si>
    <t>G689542258</t>
  </si>
  <si>
    <t>C06HLQ0RZND00009JP</t>
  </si>
  <si>
    <t>C06HF408FV200009JP</t>
  </si>
  <si>
    <t>C07HHV002BM0000GYD</t>
  </si>
  <si>
    <t>C07HFA000GY0000GYA</t>
  </si>
  <si>
    <t>G706139085</t>
  </si>
  <si>
    <t>M73PKT7PV9</t>
  </si>
  <si>
    <t>GRQWC45KF9</t>
  </si>
  <si>
    <t>G705834859</t>
  </si>
  <si>
    <t>GMG549300DBNR89BP</t>
  </si>
  <si>
    <t>GMG210403X3NR8DB8</t>
  </si>
  <si>
    <t>D865507N1SPPJYRBX</t>
  </si>
  <si>
    <t>D862117AL4MPJYRAT</t>
  </si>
  <si>
    <t>G704106147</t>
  </si>
  <si>
    <t>CWC95X4165</t>
  </si>
  <si>
    <t>G703519717</t>
  </si>
  <si>
    <t>GVH51670BRCPR5PAM</t>
  </si>
  <si>
    <t>GVH50511U9XPR5PA6</t>
  </si>
  <si>
    <t>G702819027</t>
  </si>
  <si>
    <t>DQ3J14F4T6</t>
  </si>
  <si>
    <t>HJQFT4VD4G</t>
  </si>
  <si>
    <t>D6TV46XQRV</t>
  </si>
  <si>
    <t>G702460205</t>
  </si>
  <si>
    <t>CXL34GFCMV</t>
  </si>
  <si>
    <t>FYFVKPJ40N</t>
  </si>
  <si>
    <t>G684509580</t>
  </si>
  <si>
    <t>F16521302CK0J9VAW</t>
  </si>
  <si>
    <t>HHY54240HDF1WTGAE</t>
  </si>
  <si>
    <t>G699780495</t>
  </si>
  <si>
    <t>G9PHKVF2UWQ00005DP</t>
  </si>
  <si>
    <t>GVCHE10307F00005DQ</t>
  </si>
  <si>
    <t>G699129647</t>
  </si>
  <si>
    <t>G9P5382CL5VPR5QA1</t>
  </si>
  <si>
    <t>GVH512204YEPR5PAN</t>
  </si>
  <si>
    <t>G698524547</t>
  </si>
  <si>
    <t>KD9JFMGY9J</t>
  </si>
  <si>
    <t>HMXFHCGFHR</t>
  </si>
  <si>
    <t>G715431263</t>
  </si>
  <si>
    <t>G9PHHWU1CTY00005DR</t>
  </si>
  <si>
    <t>GH3H9402XPK00005DS</t>
  </si>
  <si>
    <t>G714284597</t>
  </si>
  <si>
    <t>G0NHSN02BX10000YJ1</t>
  </si>
  <si>
    <t>DTTHL501LST0000QTV</t>
  </si>
  <si>
    <t>G708681687</t>
  </si>
  <si>
    <t>DNPHQ7028QB0001BHN</t>
  </si>
  <si>
    <t>FNJHP2V14MV0000M4H</t>
  </si>
  <si>
    <t>G707360175</t>
  </si>
  <si>
    <t>F8Y5445N15F13QFC7</t>
  </si>
  <si>
    <t>F5D31923XYW13QGA2</t>
  </si>
  <si>
    <t>G705833789</t>
  </si>
  <si>
    <t>H6TPXD6VMM</t>
  </si>
  <si>
    <t>J7YMGTVHQ7</t>
  </si>
  <si>
    <t>G704629323</t>
  </si>
  <si>
    <t>F8Y5425C11418FKBK</t>
  </si>
  <si>
    <t>FG923930YJS18FMAA</t>
  </si>
  <si>
    <t>G701647705</t>
  </si>
  <si>
    <t>GMGHME0081A0000GVL</t>
  </si>
  <si>
    <t>GMGHGJ002A40000GVK</t>
  </si>
  <si>
    <t>G699113965</t>
  </si>
  <si>
    <t>KQ4JHJ2PRF</t>
  </si>
  <si>
    <t>DKMXY9046J</t>
  </si>
  <si>
    <t>G713516063</t>
  </si>
  <si>
    <t>GVH519324FXPR5PAU</t>
  </si>
  <si>
    <t>GVH51671V4EPR5PAT</t>
  </si>
  <si>
    <t>G711446625</t>
  </si>
  <si>
    <t>FG9HRG0025R00006TT</t>
  </si>
  <si>
    <t>FG9GZ80265U00006TV</t>
  </si>
  <si>
    <t>G709066739</t>
  </si>
  <si>
    <t>F8Y6122C66F231LB0</t>
  </si>
  <si>
    <t>FG9536601N022WLB8</t>
  </si>
  <si>
    <t>G708473081</t>
  </si>
  <si>
    <t>TA661-45242</t>
  </si>
  <si>
    <t>512GB, White, ROW, iPhone 16 Plus, Logic Board Assy Mid System</t>
  </si>
  <si>
    <t>LYQ7L4102J</t>
  </si>
  <si>
    <t>GTDJNX47T4</t>
  </si>
  <si>
    <t>G705710041</t>
  </si>
  <si>
    <t>G32MQPX4X2</t>
  </si>
  <si>
    <t>M7C62TW6J4</t>
  </si>
  <si>
    <t>G704835867</t>
  </si>
  <si>
    <t>JY57CDG7XX</t>
  </si>
  <si>
    <t>CWCTFDW367</t>
  </si>
  <si>
    <t>G702792903</t>
  </si>
  <si>
    <t>H97R431QJKM9</t>
  </si>
  <si>
    <t>H97MHGNBJKM9</t>
  </si>
  <si>
    <t>G702258439</t>
  </si>
  <si>
    <t>GVH516413YNPR5PAY</t>
  </si>
  <si>
    <t>GVH449420HSPR5PAW</t>
  </si>
  <si>
    <t>G701625861</t>
  </si>
  <si>
    <t>GVH51631AV3PR5PAL</t>
  </si>
  <si>
    <t>GVH511723QPPR5PAW</t>
  </si>
  <si>
    <t>G701281055</t>
  </si>
  <si>
    <t>G77KRX9FPF</t>
  </si>
  <si>
    <t>KX0JFV9JMJ</t>
  </si>
  <si>
    <t>G700752059</t>
  </si>
  <si>
    <t>G9NHFEQ1DB500005DR</t>
  </si>
  <si>
    <t>GH3H9U01W9200005DS</t>
  </si>
  <si>
    <t>G700614563</t>
  </si>
  <si>
    <t>M0DM9PJC0W</t>
  </si>
  <si>
    <t>FG9Y79206J</t>
  </si>
  <si>
    <t>G699893881</t>
  </si>
  <si>
    <t>TA661-44997</t>
  </si>
  <si>
    <t>128GB, Desert Titanium, ROW, iPhone 16 Pro, Logic Board Assy Mid System</t>
  </si>
  <si>
    <t>JXW03R7JCG</t>
  </si>
  <si>
    <t>VJ9H0Q6YP2</t>
  </si>
  <si>
    <t>G699212159</t>
  </si>
  <si>
    <t>GVH51652G3DPR5PA9</t>
  </si>
  <si>
    <t>GVH43740LRRPR5PA0</t>
  </si>
  <si>
    <t>G712521835</t>
  </si>
  <si>
    <t>F3YW96PHY9</t>
  </si>
  <si>
    <t>G705819803</t>
  </si>
  <si>
    <t>DNPHLA003N60000WDA</t>
  </si>
  <si>
    <t>GMHHKC005VW0000M4H</t>
  </si>
  <si>
    <t>G705316711</t>
  </si>
  <si>
    <t>CPG1QQNK9J</t>
  </si>
  <si>
    <t>J4VX7QM73T</t>
  </si>
  <si>
    <t>G715675167</t>
  </si>
  <si>
    <t>G9P5116MP2APQCLA2</t>
  </si>
  <si>
    <t>G9P2167PFPTPQCLAK</t>
  </si>
  <si>
    <t>G713607503</t>
  </si>
  <si>
    <t>G9Q5173EK1D1502AE</t>
  </si>
  <si>
    <t>G9P5373BLJJ1502AZ</t>
  </si>
  <si>
    <t>G711894139</t>
  </si>
  <si>
    <t>F8Y6126C6QN18FKBU</t>
  </si>
  <si>
    <t>FG914930L7K18FM4E</t>
  </si>
  <si>
    <t>G711345543</t>
  </si>
  <si>
    <t>J7HXCGF23Q</t>
  </si>
  <si>
    <t>X2Q3W24C4V</t>
  </si>
  <si>
    <t>G710343181</t>
  </si>
  <si>
    <t>DGDKYLQ0WF</t>
  </si>
  <si>
    <t>DR7R3WM36N</t>
  </si>
  <si>
    <t>G710179181</t>
  </si>
  <si>
    <t>FMXHQ4000R600006J3</t>
  </si>
  <si>
    <t>FMXHB9001UR00006J3</t>
  </si>
  <si>
    <t>G706946945</t>
  </si>
  <si>
    <t>F8Y5424C45X18FKBC</t>
  </si>
  <si>
    <t>FG934550QXZ18FMAC</t>
  </si>
  <si>
    <t>G704133183</t>
  </si>
  <si>
    <t>LYH342M3XF</t>
  </si>
  <si>
    <t>G703037363</t>
  </si>
  <si>
    <t>Total</t>
  </si>
  <si>
    <t>CDF26FL2VV</t>
  </si>
  <si>
    <t>MH3HR2DJX0</t>
  </si>
  <si>
    <t>G683132154</t>
  </si>
  <si>
    <t>N3XLHFW9LX</t>
  </si>
  <si>
    <t>M7KJ7N5QGL</t>
  </si>
  <si>
    <t>G694528920</t>
  </si>
  <si>
    <t>JC350M4CWJ</t>
  </si>
  <si>
    <t>FK4JY6R929</t>
  </si>
  <si>
    <t>G712254389</t>
  </si>
  <si>
    <t>KRR0YTD910</t>
  </si>
  <si>
    <t>DDHV2120CQ</t>
  </si>
  <si>
    <t>G707310709</t>
  </si>
  <si>
    <t>J57K6MFDY4</t>
  </si>
  <si>
    <t>N9XK6GQXHN</t>
  </si>
  <si>
    <t>G705673751</t>
  </si>
  <si>
    <t>FQDT4VXX6G</t>
  </si>
  <si>
    <t>G704463967</t>
  </si>
  <si>
    <t>GVH516515DYPR5PA8</t>
  </si>
  <si>
    <t>GVH51232Q51PR5PAM</t>
  </si>
  <si>
    <t>G703630451</t>
  </si>
  <si>
    <t>J9Q547600AJ0GKWAA</t>
  </si>
  <si>
    <t>GMH526204GZQ189AL</t>
  </si>
  <si>
    <t>G699628033</t>
  </si>
  <si>
    <t>JWH79Q2VHP</t>
  </si>
  <si>
    <t>GDX4YXQHV9</t>
  </si>
  <si>
    <t>G698650053</t>
  </si>
  <si>
    <t>FV9HNH0000A0000HG2</t>
  </si>
  <si>
    <t>FV9HBU00LPG0000HG2</t>
  </si>
  <si>
    <t>F8YHG4N08240000FWL</t>
  </si>
  <si>
    <t>F8YHAU01K6D0000FWL</t>
  </si>
  <si>
    <t>G698272843</t>
  </si>
  <si>
    <t>661-42288</t>
  </si>
  <si>
    <t>FV9HN9000200000HHS</t>
  </si>
  <si>
    <t>FV9HBT001KL0000HHS</t>
  </si>
  <si>
    <t>G698266313</t>
  </si>
  <si>
    <t>NWNFGJ047X</t>
  </si>
  <si>
    <t>G698195145</t>
  </si>
  <si>
    <t>JGH7WD9QG9</t>
  </si>
  <si>
    <t>F39C4H64NP</t>
  </si>
  <si>
    <t>G708578551</t>
  </si>
  <si>
    <t>GN6VW49W3K</t>
  </si>
  <si>
    <t>DN22TDC4JF</t>
  </si>
  <si>
    <t>G706973527</t>
  </si>
  <si>
    <t>G9PHF9K03M500005DR</t>
  </si>
  <si>
    <t>GVCHE801XSH00005DS</t>
  </si>
  <si>
    <t>G704899141</t>
  </si>
  <si>
    <t>TA661-43614</t>
  </si>
  <si>
    <t>256GB, Teal, ROW, iPhone 16, Logic Board Assy Mid System</t>
  </si>
  <si>
    <t>D37JKF6339</t>
  </si>
  <si>
    <t>DY4V9J5DWM</t>
  </si>
  <si>
    <t>G702823853</t>
  </si>
  <si>
    <t>PA661-23553</t>
  </si>
  <si>
    <t>Beats Black, Beats Fit Pro, Case, PAC, CI/AR</t>
  </si>
  <si>
    <t>CK93W33TKV</t>
  </si>
  <si>
    <t>G702786563</t>
  </si>
  <si>
    <t>LQMHGV3CC7</t>
  </si>
  <si>
    <t>CVY4G2WK41</t>
  </si>
  <si>
    <t>G700020343</t>
  </si>
  <si>
    <t>L9GP633Q6D</t>
  </si>
  <si>
    <t>FWH6X9C004</t>
  </si>
  <si>
    <t>G699224963</t>
  </si>
  <si>
    <t>G9NHK920WKT00004Y7</t>
  </si>
  <si>
    <t>G9QHC7J16TN00004Y7</t>
  </si>
  <si>
    <t>G698188695</t>
  </si>
  <si>
    <t>JQ7PV4RWTV</t>
  </si>
  <si>
    <t>J4CV94C94N</t>
  </si>
  <si>
    <t>G707032713</t>
  </si>
  <si>
    <t>GCFH8307RRM00005LT</t>
  </si>
  <si>
    <t>GCFHKS0NPTM00005LT</t>
  </si>
  <si>
    <t>DNPHP500APD0000FER</t>
  </si>
  <si>
    <t>FNJHK4E0E3A00006SX</t>
  </si>
  <si>
    <t>DNMHHE00JJ9000048L</t>
  </si>
  <si>
    <t>DNPHQE009QL0000FER</t>
  </si>
  <si>
    <t>G705481257</t>
  </si>
  <si>
    <t>FGJFQX5YJ4</t>
  </si>
  <si>
    <t>D6TQCXM2XT</t>
  </si>
  <si>
    <t>G701307129</t>
  </si>
  <si>
    <t>JV6P27G9KG</t>
  </si>
  <si>
    <t>GPWJWN246F</t>
  </si>
  <si>
    <t>G715102303</t>
  </si>
  <si>
    <t>J9KHSW007U50000FD3</t>
  </si>
  <si>
    <t>FNJHABK1FMC0000882</t>
  </si>
  <si>
    <t>G711643141</t>
  </si>
  <si>
    <t>F8Y6056CS2618FKBE</t>
  </si>
  <si>
    <t>F8Y22671S3P18FLA1</t>
  </si>
  <si>
    <t>G706627505</t>
  </si>
  <si>
    <t>D710D6527R</t>
  </si>
  <si>
    <t>HNVKH96FM2</t>
  </si>
  <si>
    <t>G706119545</t>
  </si>
  <si>
    <t>GFXYC9J5Q7</t>
  </si>
  <si>
    <t>DL7GJD6QNQ</t>
  </si>
  <si>
    <t>G699565101</t>
  </si>
  <si>
    <t>HT7KD6JPFL</t>
  </si>
  <si>
    <t>G699195697</t>
  </si>
  <si>
    <t>JMYYWHFRW4</t>
  </si>
  <si>
    <t>D77G2KMXGH</t>
  </si>
  <si>
    <t>G698649125</t>
  </si>
  <si>
    <t>F37XVK6NT2</t>
  </si>
  <si>
    <t>G698268771</t>
  </si>
  <si>
    <t>F0YHMB001J40000GVK</t>
  </si>
  <si>
    <t>FP1HJJ004NH0000G29</t>
  </si>
  <si>
    <t>G714757725</t>
  </si>
  <si>
    <t>G9P5483CMNWPR5QAE</t>
  </si>
  <si>
    <t>GVH512303NJPR5PAE</t>
  </si>
  <si>
    <t>G711003781</t>
  </si>
  <si>
    <t>G9P5351MHJQPQCLA5</t>
  </si>
  <si>
    <t>G9Q2273YA97PQCLAQ</t>
  </si>
  <si>
    <t>G707366861</t>
  </si>
  <si>
    <t>KT7X43J9G2</t>
  </si>
  <si>
    <t>G703988999</t>
  </si>
  <si>
    <t>H67JVCKH6C</t>
  </si>
  <si>
    <t>G703967463</t>
  </si>
  <si>
    <t>MJJX1LCJGK</t>
  </si>
  <si>
    <t>HMXH7MV32D</t>
  </si>
  <si>
    <t>G686486530</t>
  </si>
  <si>
    <t>MH213YGYX0</t>
  </si>
  <si>
    <t>M2P47M7H96</t>
  </si>
  <si>
    <t>G9PHK7F1FY000005DP</t>
  </si>
  <si>
    <t>GVCHE200Q7Z00005DQ</t>
  </si>
  <si>
    <t>G702715011</t>
  </si>
  <si>
    <t>F8Y5447C4TV18FKB7</t>
  </si>
  <si>
    <t>FG941520JEV18FMB5</t>
  </si>
  <si>
    <t>G702557307</t>
  </si>
  <si>
    <t>FV09HHP7YG</t>
  </si>
  <si>
    <t>M92330FPYC</t>
  </si>
  <si>
    <t>G713510549</t>
  </si>
  <si>
    <t>GCN2Y5XHGL</t>
  </si>
  <si>
    <t>JN44GVK06N</t>
  </si>
  <si>
    <t>G692564574</t>
  </si>
  <si>
    <t>661-40257</t>
  </si>
  <si>
    <t>Display, Starlight, MBA (15-in, M3, 2024)</t>
  </si>
  <si>
    <t>GMGHPT002C800000CQ</t>
  </si>
  <si>
    <t>FP1GUC000RY00000CM</t>
  </si>
  <si>
    <t>G705868019</t>
  </si>
  <si>
    <t>HQMGGWP2RQ</t>
  </si>
  <si>
    <t>HCV62GVWKN</t>
  </si>
  <si>
    <t>G702727023</t>
  </si>
  <si>
    <t>G9Q5181FEALPR5QAU</t>
  </si>
  <si>
    <t>GVH5035103LPR5PAX</t>
  </si>
  <si>
    <t>G702447575</t>
  </si>
  <si>
    <t>F8Y5445CKMQ18FKBH</t>
  </si>
  <si>
    <t>F8Y228103VX18FLA9</t>
  </si>
  <si>
    <t>G700839129</t>
  </si>
  <si>
    <t>KF4MWWJMXC</t>
  </si>
  <si>
    <t>LX9H42L3DF</t>
  </si>
  <si>
    <t>G716470803</t>
  </si>
  <si>
    <t>F8YHSXC01G200006TW</t>
  </si>
  <si>
    <t>F8YGYBA173H00006TW</t>
  </si>
  <si>
    <t>G713177841</t>
  </si>
  <si>
    <t>F8Y6177C6XT231LBV</t>
  </si>
  <si>
    <t>FG9326209HD22WLAG</t>
  </si>
  <si>
    <t>G694132630</t>
  </si>
  <si>
    <t>G9PHLXT02QD00005DP</t>
  </si>
  <si>
    <t>GVCHBP04WQN00005DQ</t>
  </si>
  <si>
    <t>G711109979</t>
  </si>
  <si>
    <t>GX1HEV0G2140000B2Z</t>
  </si>
  <si>
    <t>GX1HEVOFVJU0000B31</t>
  </si>
  <si>
    <t>G692598884</t>
  </si>
  <si>
    <t>GMGHME007BH0000GVL</t>
  </si>
  <si>
    <t>GMGHLV003390000GVL</t>
  </si>
  <si>
    <t>G709619821</t>
  </si>
  <si>
    <t>GN3Q912T035Y</t>
  </si>
  <si>
    <t>G709084609</t>
  </si>
  <si>
    <t>F8Y6105C7ZNQ687B7</t>
  </si>
  <si>
    <t>F8Y04550XYCQ6872R</t>
  </si>
  <si>
    <t>G706473507</t>
  </si>
  <si>
    <t>GH3HPB01WXE0000MUZ</t>
  </si>
  <si>
    <t>G9NHLSZ5YRY0000MUY</t>
  </si>
  <si>
    <t>G706309709</t>
  </si>
  <si>
    <t>F8Y5423C5AZ18FKBV</t>
  </si>
  <si>
    <t>FG9221624SU18FMAU</t>
  </si>
  <si>
    <t>G705102291</t>
  </si>
  <si>
    <t>G9PHJCK041500005DR</t>
  </si>
  <si>
    <t>GH3HDW01RRV00005DS</t>
  </si>
  <si>
    <t>G704709887</t>
  </si>
  <si>
    <t>F8Y5474C0AL18FKBX</t>
  </si>
  <si>
    <t>F8Y22340FCJ18FLA5</t>
  </si>
  <si>
    <t>G702641045</t>
  </si>
  <si>
    <t>FG9HNR005H900006TT</t>
  </si>
  <si>
    <t>G701804553</t>
  </si>
  <si>
    <t>DTVH8G841WV0000CZ8</t>
  </si>
  <si>
    <t>CTHH9K836ZZ0000CZ6</t>
  </si>
  <si>
    <t>G714710359</t>
  </si>
  <si>
    <t>GMGHLE00AJM0000GVL</t>
  </si>
  <si>
    <t>FP1HF200BEH0000G2A</t>
  </si>
  <si>
    <t>G694537934</t>
  </si>
  <si>
    <t>FV9516402490W9FL2</t>
  </si>
  <si>
    <t>FV950940ATX0W9FLX</t>
  </si>
  <si>
    <t>G692698638</t>
  </si>
  <si>
    <t>F8Y5514C2B5231LBZ</t>
  </si>
  <si>
    <t>F8Y25350XKP231L7C</t>
  </si>
  <si>
    <t>G709513727</t>
  </si>
  <si>
    <t>F8Y6032C37C20J9BY</t>
  </si>
  <si>
    <t>F8Y24532UR020J92P</t>
  </si>
  <si>
    <t>G706345921</t>
  </si>
  <si>
    <t>C940D94PV4</t>
  </si>
  <si>
    <t>DMGJN2XCLG</t>
  </si>
  <si>
    <t>G702619987</t>
  </si>
  <si>
    <t>F8Y5467C6M920J9B9</t>
  </si>
  <si>
    <t>F8Y24270FJE20J92L</t>
  </si>
  <si>
    <t>G702549155</t>
  </si>
  <si>
    <t>F8Y5496C5CG13XCBE</t>
  </si>
  <si>
    <t>F5D2024AD2P13X996</t>
  </si>
  <si>
    <t>G700933683</t>
  </si>
  <si>
    <t>D865435N0NRPJYRB2</t>
  </si>
  <si>
    <t>F5D50241UG2PJYVCB</t>
  </si>
  <si>
    <t>G696396796</t>
  </si>
  <si>
    <t>Display, Silver, MBP (16-in, 2024)</t>
  </si>
  <si>
    <t>FMXHPS0035U00006GW</t>
  </si>
  <si>
    <t>FMXHGF003E800006GW</t>
  </si>
  <si>
    <t>G713371583</t>
  </si>
  <si>
    <t>FMXHPN0072400006GW</t>
  </si>
  <si>
    <t>FMXHDJ000JQ00006GW</t>
  </si>
  <si>
    <t>G694737998</t>
  </si>
  <si>
    <t>PP661-29407</t>
  </si>
  <si>
    <t>Purple, iPhone 14 Plus, 128GB, ROW, CI/AR, Philippines</t>
  </si>
  <si>
    <t>KL4VN9N4GN</t>
  </si>
  <si>
    <t>C99391RWCK</t>
  </si>
  <si>
    <t>G709209947</t>
  </si>
  <si>
    <t>FD24F21H4P</t>
  </si>
  <si>
    <t>MPJ60QMMVT</t>
  </si>
  <si>
    <t>G707050275</t>
  </si>
  <si>
    <t>GMGHM0003F20000HX1</t>
  </si>
  <si>
    <t>FP1HLA000EA0000HWZ</t>
  </si>
  <si>
    <t>G703769583</t>
  </si>
  <si>
    <t>GMGHMK002VN0000GVL</t>
  </si>
  <si>
    <t>GMGHET002NV0000GVK</t>
  </si>
  <si>
    <t>G702525925</t>
  </si>
  <si>
    <t>J9KHNS00V740001BKQ</t>
  </si>
  <si>
    <t>FNJHNPQ1YZE0000QTS</t>
  </si>
  <si>
    <t>G697775466</t>
  </si>
  <si>
    <t>F8Y6066C5JP13XCBZ</t>
  </si>
  <si>
    <t>F5D20428H0H13XD9C</t>
  </si>
  <si>
    <t>G695596520</t>
  </si>
  <si>
    <t>F8YHP7C0EXG00006TP</t>
  </si>
  <si>
    <t>F5DGZH01DBQ00006TN</t>
  </si>
  <si>
    <t>G711014489</t>
  </si>
  <si>
    <t>F8Y6057C6PK18FKBR</t>
  </si>
  <si>
    <t>FG932540LG18FMAD</t>
  </si>
  <si>
    <t>G691898030</t>
  </si>
  <si>
    <t>D66195HVJ1</t>
  </si>
  <si>
    <t>K2FP7TKQXK</t>
  </si>
  <si>
    <t>G691397698</t>
  </si>
  <si>
    <t>C02251205UZ1XNPA1</t>
  </si>
  <si>
    <t>C02301300FH1XNPAU</t>
  </si>
  <si>
    <t>G709288201</t>
  </si>
  <si>
    <t>FP2HPY00ZYD0000WDR</t>
  </si>
  <si>
    <t>FP2HL600DAV0000WDR</t>
  </si>
  <si>
    <t>F8YHR9000210001510</t>
  </si>
  <si>
    <t>F8YHL2026350001510</t>
  </si>
  <si>
    <t>G705466217</t>
  </si>
  <si>
    <t>FMXHNM002VJ00006J3</t>
  </si>
  <si>
    <t>F0YHK20033M00006J1</t>
  </si>
  <si>
    <t>G705431895</t>
  </si>
  <si>
    <t>F8YHN4C0DDY00006TP</t>
  </si>
  <si>
    <t>F5DGZP01MC000006TN</t>
  </si>
  <si>
    <t>G704077885</t>
  </si>
  <si>
    <t>D201W9M40R</t>
  </si>
  <si>
    <t>MGVQ3412QH</t>
  </si>
  <si>
    <t>G686212048</t>
  </si>
  <si>
    <t>FMXHMG002T000006J3</t>
  </si>
  <si>
    <t>FP1HGP004C40000FQX</t>
  </si>
  <si>
    <t>G703862663</t>
  </si>
  <si>
    <t>GHQ603700112FT6A5</t>
  </si>
  <si>
    <t>GHQ147302QD167RAC</t>
  </si>
  <si>
    <t>G702560057</t>
  </si>
  <si>
    <t>F0Y415100LY2526AH</t>
  </si>
  <si>
    <t>FP141540554216RAH</t>
  </si>
  <si>
    <t>G698327073</t>
  </si>
  <si>
    <t>J9Q54250T2R0GKWAG</t>
  </si>
  <si>
    <t>GMH4495276JQ189AB</t>
  </si>
  <si>
    <t>G697788194</t>
  </si>
  <si>
    <t>F8Y6172C4WA18FKBD</t>
  </si>
  <si>
    <t>FG9227216HN18FMAE</t>
  </si>
  <si>
    <t>G693564146</t>
  </si>
  <si>
    <t>F8Y5463C53K217WB1</t>
  </si>
  <si>
    <t>F8Y24321MZW217W7G</t>
  </si>
  <si>
    <t>G710430347</t>
  </si>
  <si>
    <t>J22R215626K0</t>
  </si>
  <si>
    <t>G702625567</t>
  </si>
  <si>
    <t>DN8HJT06H7P0000JS5</t>
  </si>
  <si>
    <t>DN8HMW033AS0000RYQ</t>
  </si>
  <si>
    <t>G685263920</t>
  </si>
  <si>
    <t>DN85244ADYDQ1NMD5</t>
  </si>
  <si>
    <t>DN82083FR6JQ1NMFB</t>
  </si>
  <si>
    <t>F8Y5455C6D113XCB4</t>
  </si>
  <si>
    <t>F5D212440UR13XD9</t>
  </si>
  <si>
    <t>G9P5265M26UPQCLAC</t>
  </si>
  <si>
    <t>G9N2125N229PQCLAV</t>
  </si>
  <si>
    <t>G699867435</t>
  </si>
  <si>
    <t>F0Y5261002F278WA3</t>
  </si>
  <si>
    <t>F0Y253200K5PP60A1</t>
  </si>
  <si>
    <t>G688628892</t>
  </si>
  <si>
    <t>GH3HPV01S700000MUZ</t>
  </si>
  <si>
    <t>GVCHPB00QQC0000MUZ</t>
  </si>
  <si>
    <t>F0WHJZ047T50000JS7</t>
  </si>
  <si>
    <t>DN8HN00G0M40000RYQ</t>
  </si>
  <si>
    <t>G705351427</t>
  </si>
  <si>
    <t>D7CGPX0X3W</t>
  </si>
  <si>
    <t>MHY261V7WH</t>
  </si>
  <si>
    <t>G699343757</t>
  </si>
  <si>
    <t>F8Y5516C3RE13XCB2</t>
  </si>
  <si>
    <t>F5D14713BZU13X99L</t>
  </si>
  <si>
    <t>G696490064</t>
  </si>
  <si>
    <t>G9P5163LEGMPQCKAJ</t>
  </si>
  <si>
    <t>G9N2164WDL7PQCKA0</t>
  </si>
  <si>
    <t>G694513748</t>
  </si>
  <si>
    <t>GMGHM00028R0000HX1</t>
  </si>
  <si>
    <t>GMGHHT000AS0000HX2</t>
  </si>
  <si>
    <t>G711000343</t>
  </si>
  <si>
    <t>G9PHK1S119V00005DR</t>
  </si>
  <si>
    <t>GH3HGZ001QE00005DS</t>
  </si>
  <si>
    <t>G691788438</t>
  </si>
  <si>
    <t>G9P5384MJBSPQCLAB</t>
  </si>
  <si>
    <t>G9P2323MA2NPQCLAA</t>
  </si>
  <si>
    <t>G705935843</t>
  </si>
  <si>
    <t>DN8HHD05T3G00006S2</t>
  </si>
  <si>
    <t>DN8HJ001Q2000006S2</t>
  </si>
  <si>
    <t>G705413705</t>
  </si>
  <si>
    <t>M69FV7V0JN</t>
  </si>
  <si>
    <t>L75L9Y5704</t>
  </si>
  <si>
    <t>G700223559</t>
  </si>
  <si>
    <t>F8Y5506CE6518FKBU</t>
  </si>
  <si>
    <t>FG914742PXB18FM4E</t>
  </si>
  <si>
    <t>G699981147</t>
  </si>
  <si>
    <t>F8Y5501C28S13XCBG</t>
  </si>
  <si>
    <t>F8Y231400D013XC8B</t>
  </si>
  <si>
    <t>G700339287</t>
  </si>
  <si>
    <t>G693811934</t>
  </si>
  <si>
    <t>F8Y6184C0RHJKGTCC</t>
  </si>
  <si>
    <t>FG9115702TVJKGXBD</t>
  </si>
  <si>
    <t>DXY4222BECNJHYK4D</t>
  </si>
  <si>
    <t>DXY1032A4J5JHYK4Z</t>
  </si>
  <si>
    <t>G711114827</t>
  </si>
  <si>
    <t>F8Y6057C2ZD18FKB5</t>
  </si>
  <si>
    <t>FG922141MX318FMAS</t>
  </si>
  <si>
    <t>G689543092</t>
  </si>
  <si>
    <t>F8Y5455C0TW13XCB7</t>
  </si>
  <si>
    <t>F5D21861LDJ13X9A8</t>
  </si>
  <si>
    <t>G705094749</t>
  </si>
  <si>
    <t>J9Q547600FQ0GKWAP</t>
  </si>
  <si>
    <t>GMH513513JAQ189A8</t>
  </si>
  <si>
    <t>G704582985</t>
  </si>
  <si>
    <t>G9PHJBU067W00005DR</t>
  </si>
  <si>
    <t>GH3HEG020E800005DS</t>
  </si>
  <si>
    <t>G702033915</t>
  </si>
  <si>
    <t>FG9HP4005P600006TT</t>
  </si>
  <si>
    <t>FG9H15006XC00006TT</t>
  </si>
  <si>
    <t>G9P5334Q7JM1PHRAR</t>
  </si>
  <si>
    <t>GH334422H9P1PHTA2</t>
  </si>
  <si>
    <t>G699341969</t>
  </si>
  <si>
    <t>FK1HKG00CGS00001A2</t>
  </si>
  <si>
    <t>GMH52221NGG2017AG</t>
  </si>
  <si>
    <t>G716299819</t>
  </si>
  <si>
    <t>GMGHLF0047E0000GVK</t>
  </si>
  <si>
    <t>FP1HJ60010B0000G29</t>
  </si>
  <si>
    <t>G691098576</t>
  </si>
  <si>
    <t>F8Y6053CB7618FKBH</t>
  </si>
  <si>
    <t>FG941240VM918FMB0</t>
  </si>
  <si>
    <t>G704466699</t>
  </si>
  <si>
    <t>F5H374RVY1</t>
  </si>
  <si>
    <t>CQ3PN4D71L</t>
  </si>
  <si>
    <t>G702845503</t>
  </si>
  <si>
    <t>GXFW12WNM6</t>
  </si>
  <si>
    <t>D34MWYC7NT</t>
  </si>
  <si>
    <t>G702637921</t>
  </si>
  <si>
    <t>F8Y5506CDCE18FKB2</t>
  </si>
  <si>
    <t>F8Y15021Z7518FLAP</t>
  </si>
  <si>
    <t>G702041579</t>
  </si>
  <si>
    <t>F8Y5442CB0QM6YND7</t>
  </si>
  <si>
    <t>F8Y1393056MM6YMB4</t>
  </si>
  <si>
    <t>G700077173</t>
  </si>
  <si>
    <t>F8Y5507C1QM18FKB4</t>
  </si>
  <si>
    <t>FG9227308DU18FMAL</t>
  </si>
  <si>
    <t>G698417435</t>
  </si>
  <si>
    <t>F8Y5457C1CX217WBZ</t>
  </si>
  <si>
    <t>F5D30343LT221PK7D</t>
  </si>
  <si>
    <t>G715517333</t>
  </si>
  <si>
    <t>L92C9PT2N7</t>
  </si>
  <si>
    <t>C5HYG7F723</t>
  </si>
  <si>
    <t>G711448085</t>
  </si>
  <si>
    <t>GX1HS20NG3W0000B2Z</t>
  </si>
  <si>
    <t>GX1HD302YLW0000B2Z</t>
  </si>
  <si>
    <t>GN2HD403BVR0000B31</t>
  </si>
  <si>
    <t>G709883359</t>
  </si>
  <si>
    <t>GN3HRZ0K0H60000B2Z</t>
  </si>
  <si>
    <t>G708578015</t>
  </si>
  <si>
    <t>G9PHJHS0E3D00005DR</t>
  </si>
  <si>
    <t>GVCH7H010KX00005DS</t>
  </si>
  <si>
    <t>G707499077</t>
  </si>
  <si>
    <t>MPW07TJ2VY</t>
  </si>
  <si>
    <t>K6H4MY6QTT</t>
  </si>
  <si>
    <t>G705435513</t>
  </si>
  <si>
    <t>661-56123</t>
  </si>
  <si>
    <t>Cosmic Orange, Back Glass, iPhone 17 Pro</t>
  </si>
  <si>
    <t>FY9HK800P9F00017C2</t>
  </si>
  <si>
    <t>A83HJ11X0RZ00014GS</t>
  </si>
  <si>
    <t>G699564835</t>
  </si>
  <si>
    <t>GH3HMW029ND0000MUZ</t>
  </si>
  <si>
    <t>G699456309</t>
  </si>
  <si>
    <t>F8Y5347C7KMQ687B3</t>
  </si>
  <si>
    <t>F8Y0443449JQ68726</t>
  </si>
  <si>
    <t>G698442025</t>
  </si>
  <si>
    <t>G9P5347MB7JPQCLAD</t>
  </si>
  <si>
    <t>G9P2143M78CPQCLA1</t>
  </si>
  <si>
    <t>G694654698</t>
  </si>
  <si>
    <t>G9P4467MJQNPQCLAF</t>
  </si>
  <si>
    <t>G9N1485JA77PQCLA2</t>
  </si>
  <si>
    <t>G711206325</t>
  </si>
  <si>
    <t>DRCHNX0013S0000AY2</t>
  </si>
  <si>
    <t>G710854931</t>
  </si>
  <si>
    <t>DNL517706D31986B6</t>
  </si>
  <si>
    <t>DNL40250Q2H1986BU</t>
  </si>
  <si>
    <t>G702718753</t>
  </si>
  <si>
    <t>G9P3317MAABPQCLAT</t>
  </si>
  <si>
    <t>G9P1406ND4RPQCLA0</t>
  </si>
  <si>
    <t>G702614243</t>
  </si>
  <si>
    <t>DNL51770A1A1986BX</t>
  </si>
  <si>
    <t>DNL40270ECT1986BW</t>
  </si>
  <si>
    <t>G712318385</t>
  </si>
  <si>
    <t>DN8HJB02SD90000JS5</t>
  </si>
  <si>
    <t>DN8HM70FQ7Z0000RYQ</t>
  </si>
  <si>
    <t>G691068470</t>
  </si>
  <si>
    <t>DNL53020NBM1986A5</t>
  </si>
  <si>
    <t>DNL40160N9K1986B9</t>
  </si>
  <si>
    <t>G712320341</t>
  </si>
  <si>
    <t>G9P5323QME51PHRA9</t>
  </si>
  <si>
    <t>GH334542PPU1PHTAC</t>
  </si>
  <si>
    <t>G712004233</t>
  </si>
  <si>
    <t>661-42284</t>
  </si>
  <si>
    <t>Logic Board, 14-core CPU, 20-core GPU, 24GB, 512GB</t>
  </si>
  <si>
    <t>FV9HC300AVP0000HHP</t>
  </si>
  <si>
    <t>FV9HAN00BTS0000HHP</t>
  </si>
  <si>
    <t>G670722470</t>
  </si>
  <si>
    <t>F8Y149314H713X882</t>
  </si>
  <si>
    <t>G9P5265M0QNPQCLA0</t>
  </si>
  <si>
    <t>G9P5223MGSBPQCLA3</t>
  </si>
  <si>
    <t>G9N1502TH9CPQCLAH</t>
  </si>
  <si>
    <t>G693072774</t>
  </si>
  <si>
    <t>F8Y6126C7EG20J9B1</t>
  </si>
  <si>
    <t>F8Y238319N620JC23</t>
  </si>
  <si>
    <t>G710230811</t>
  </si>
  <si>
    <t>Display Assembly, Silver, MBA (M1, 2020)</t>
  </si>
  <si>
    <t>GMG612100R0NR89BM</t>
  </si>
  <si>
    <t>FP1334303RD249XA5</t>
  </si>
  <si>
    <t>G691876998</t>
  </si>
  <si>
    <t>F8Y6045C3X918FKBK</t>
  </si>
  <si>
    <t>F8Y246107B918FLAH</t>
  </si>
  <si>
    <t>G709543671</t>
  </si>
  <si>
    <t>F0Y541500D11J88A7</t>
  </si>
  <si>
    <t>FP123550B4X1J8CAH</t>
  </si>
  <si>
    <t>F8Y6062N0MZ13QFC8</t>
  </si>
  <si>
    <t>F8Y2471028413QFAG</t>
  </si>
  <si>
    <t>F0Y543201P61J87A3</t>
  </si>
  <si>
    <t>G709088785</t>
  </si>
  <si>
    <t>FG9HL50173N00015XX</t>
  </si>
  <si>
    <t>FG9HMH00CF200015XY</t>
  </si>
  <si>
    <t>G707648111</t>
  </si>
  <si>
    <t>FM463D26F3</t>
  </si>
  <si>
    <t>FL4JTXVHX1</t>
  </si>
  <si>
    <t>G702635697</t>
  </si>
  <si>
    <t>F8Y5502C2U113RHCQ</t>
  </si>
  <si>
    <t>F8Y13760GD113RHBF</t>
  </si>
  <si>
    <t>G693662366</t>
  </si>
  <si>
    <t>G9P5024MK6UPQCLAA</t>
  </si>
  <si>
    <t>G9P2171QES8PQCLAW</t>
  </si>
  <si>
    <t>G711989875</t>
  </si>
  <si>
    <t>GMGHLD007PV0000GVL</t>
  </si>
  <si>
    <t>FP1HKN007HT0000G29</t>
  </si>
  <si>
    <t>G704027549</t>
  </si>
  <si>
    <t>G9PHF8K203900005DR</t>
  </si>
  <si>
    <t>GH3HB60160800005DS</t>
  </si>
  <si>
    <t>G683120408</t>
  </si>
  <si>
    <t>F8Y5347C7KGQ687B8</t>
  </si>
  <si>
    <t>F8Y12210R4ZQ687AE</t>
  </si>
  <si>
    <t>G9P0382SCQ9LQHKAS</t>
  </si>
  <si>
    <t>GVH11733VPMLQHMAE</t>
  </si>
  <si>
    <t>G699097663</t>
  </si>
  <si>
    <t>GMG544301P41J88AL</t>
  </si>
  <si>
    <t>GMG24420AZS1J88A3</t>
  </si>
  <si>
    <t>G705586827</t>
  </si>
  <si>
    <t>G9P5276QBDH1PHRAT</t>
  </si>
  <si>
    <t>GH334651PTG1PHTAB</t>
  </si>
  <si>
    <t>G702729015</t>
  </si>
  <si>
    <t>GMGHKK003VQ0000GVK</t>
  </si>
  <si>
    <t>FP1HEV001NL0000G2A</t>
  </si>
  <si>
    <t>G702559571</t>
  </si>
  <si>
    <t>G9PHLGT2SE400005DP</t>
  </si>
  <si>
    <t>GVCHA90135J00005DQ</t>
  </si>
  <si>
    <t>G701887109</t>
  </si>
  <si>
    <t>G9P5152MB70PQCLA1</t>
  </si>
  <si>
    <t>G9N2016L9KPPQCLA0</t>
  </si>
  <si>
    <t>G701781793</t>
  </si>
  <si>
    <t>D865324N0URPJYRBP</t>
  </si>
  <si>
    <t>F5D20460755PJYVA4</t>
  </si>
  <si>
    <t>G700230061</t>
  </si>
  <si>
    <t>FV0W7F9069</t>
  </si>
  <si>
    <t>CM00XVXPD4</t>
  </si>
  <si>
    <t>G714958927</t>
  </si>
  <si>
    <t>GMGHL9004J20000GVK</t>
  </si>
  <si>
    <t>FP1HE2002620000G2A</t>
  </si>
  <si>
    <t>G692390670</t>
  </si>
  <si>
    <t>G9PHLUT2SXR00005DP</t>
  </si>
  <si>
    <t>GVCHGB01XKU00005DQ</t>
  </si>
  <si>
    <t>G706479303</t>
  </si>
  <si>
    <t>G9P5024MNAJPQCLA5</t>
  </si>
  <si>
    <t>G9N23232GHCPQCLAT</t>
  </si>
  <si>
    <t>G703028115</t>
  </si>
  <si>
    <t>FV9417306LS0W99HH</t>
  </si>
  <si>
    <t>FV9426200GR0W9CH2</t>
  </si>
  <si>
    <t>G700619045</t>
  </si>
  <si>
    <t>DN8HMY044TT0000RYQ</t>
  </si>
  <si>
    <t>G5YHJP0RYUJ0000KDF</t>
  </si>
  <si>
    <t>G695951598</t>
  </si>
  <si>
    <t>G9PHJTS23WM00005DR</t>
  </si>
  <si>
    <t>GH3HG6011CJ00005DS</t>
  </si>
  <si>
    <t>G691010124</t>
  </si>
  <si>
    <t>F0Y541700LK1J88A0</t>
  </si>
  <si>
    <t>FP1526700MP25YTAX</t>
  </si>
  <si>
    <t>CKX51731AQN1LD7AU</t>
  </si>
  <si>
    <t>F0Y541402BZ1J88AE</t>
  </si>
  <si>
    <t>CR1539207PE1LD7AG</t>
  </si>
  <si>
    <t>G702992903</t>
  </si>
  <si>
    <t>F0YHM9003070000GVK</t>
  </si>
  <si>
    <t>FP1HBV0015R0000G29</t>
  </si>
  <si>
    <t>G699489907</t>
  </si>
  <si>
    <t>GH3HPA01TNC0000MUZ</t>
  </si>
  <si>
    <t>GVCHLU03V7T0000MUZ</t>
  </si>
  <si>
    <t>G715674123</t>
  </si>
  <si>
    <t>F8Y6156C097217WB0</t>
  </si>
  <si>
    <t>F5D2463852Z21PK7E</t>
  </si>
  <si>
    <t>G695143510</t>
  </si>
  <si>
    <t>G9P5232RP6P1PHPAB</t>
  </si>
  <si>
    <t>GVC337333BA1PHQA3</t>
  </si>
  <si>
    <t>G710889271</t>
  </si>
  <si>
    <t>PA661-42163</t>
  </si>
  <si>
    <t>Beats Solo Buds, Right, Red, CI/AR, PAC</t>
  </si>
  <si>
    <t>HNYHLG0023K0000JT7</t>
  </si>
  <si>
    <t>HNYHPA0006E0000JT7</t>
  </si>
  <si>
    <t>G710691089</t>
  </si>
  <si>
    <t>F8Y6105CBC7Q687BD</t>
  </si>
  <si>
    <t>FG904950BC0Q68C3U</t>
  </si>
  <si>
    <t>G692466836</t>
  </si>
  <si>
    <t>G9PHLXT2SEN00005DP</t>
  </si>
  <si>
    <t>GVCHAL0190Y00005DQ</t>
  </si>
  <si>
    <t>G703196685</t>
  </si>
  <si>
    <t>G9NHFDS2C5M00005DR</t>
  </si>
  <si>
    <t>G9PH9NW6KBP00005DR</t>
  </si>
  <si>
    <t>G701885749</t>
  </si>
  <si>
    <t>F8Y5455C13B13XCBV</t>
  </si>
  <si>
    <t>F8Y15040HWX13XC8J</t>
  </si>
  <si>
    <t>G712242365</t>
  </si>
  <si>
    <t>661-41761</t>
  </si>
  <si>
    <t>Logic Board, 10-core CPU, 10-core GPU, 24GB, 1TB</t>
  </si>
  <si>
    <t>FV9HC400Z0D0000PCN</t>
  </si>
  <si>
    <t>FV9HGZ0020B0000PCN</t>
  </si>
  <si>
    <t>G708242367</t>
  </si>
  <si>
    <t>H7FHPF19LSW0000UHY</t>
  </si>
  <si>
    <t>G703135025</t>
  </si>
  <si>
    <t>G9Q5175WC2U1502AM</t>
  </si>
  <si>
    <t>GVH3121E86M1501A7</t>
  </si>
  <si>
    <t>G702644121</t>
  </si>
  <si>
    <t>G9PHLKT28LK00005DP</t>
  </si>
  <si>
    <t>GVCHDU01P6V00005DQ</t>
  </si>
  <si>
    <t>923-10745</t>
  </si>
  <si>
    <t>Taptic Engine, iPhone 16 Pro</t>
  </si>
  <si>
    <t>LCSH7400DQK0000HE3</t>
  </si>
  <si>
    <t>GH9HCXC016N0000HE4</t>
  </si>
  <si>
    <t>G700180941</t>
  </si>
  <si>
    <t>F8Y5496C0KQ13XCBQ</t>
  </si>
  <si>
    <t>F8Y217214HW13XC8G</t>
  </si>
  <si>
    <t>G716437449</t>
  </si>
  <si>
    <t>F8Y5472C5LCQ687B6</t>
  </si>
  <si>
    <t>F8Y03923D0ZQ6882Y</t>
  </si>
  <si>
    <t>G710872233</t>
  </si>
  <si>
    <t>661-56059</t>
  </si>
  <si>
    <t>Mist Blue, Back Glass, iPhone 17</t>
  </si>
  <si>
    <t>DR8HQF007DR0000WDM</t>
  </si>
  <si>
    <t>DR8HM80099G0000WDM</t>
  </si>
  <si>
    <t>DNMHQ8069Y70000QTE</t>
  </si>
  <si>
    <t>DNMHMV008RJ0000QTE</t>
  </si>
  <si>
    <t>DNPHNZ008QD0000WDA</t>
  </si>
  <si>
    <t>GMHHM5023M20000M4H</t>
  </si>
  <si>
    <t>G689625708</t>
  </si>
  <si>
    <t>F8Y6054CABU18FKBH</t>
  </si>
  <si>
    <t>FG94176023D18FMBS</t>
  </si>
  <si>
    <t>G705610981</t>
  </si>
  <si>
    <t>D73D1Q646L</t>
  </si>
  <si>
    <t>K1Q63QQPGJ</t>
  </si>
  <si>
    <t>G700464795</t>
  </si>
  <si>
    <t>C02HEH002YE0000P12</t>
  </si>
  <si>
    <t>J33HFH018MT0000P12</t>
  </si>
  <si>
    <t>G699104671</t>
  </si>
  <si>
    <t>J33HNP0005M0000PC8</t>
  </si>
  <si>
    <t>FV9HDB00T4V0000PC8</t>
  </si>
  <si>
    <t>G713860259</t>
  </si>
  <si>
    <t>661-52821</t>
  </si>
  <si>
    <t>Top Case, Midnight, ANSI, MBA (13-in, M4, 2025), VN</t>
  </si>
  <si>
    <t>C4PHRQD1GWA0000J14</t>
  </si>
  <si>
    <t>G706009523</t>
  </si>
  <si>
    <t>G9P5384MGMQPQCLAK</t>
  </si>
  <si>
    <t>G9P1315SMJ2PQCLAU</t>
  </si>
  <si>
    <t>G701650853</t>
  </si>
  <si>
    <t>F59157W3C2</t>
  </si>
  <si>
    <t>JGFQ391V6R</t>
  </si>
  <si>
    <t>G715293635</t>
  </si>
  <si>
    <t>GVCHQ101KSM0000MUZ</t>
  </si>
  <si>
    <t>GH3HKJ0029R0000MUZ</t>
  </si>
  <si>
    <t>G711463199</t>
  </si>
  <si>
    <t>G9PHJ0U0YPM00005DR</t>
  </si>
  <si>
    <t>GH3HDC00Q7C00005DS</t>
  </si>
  <si>
    <t>G709631945</t>
  </si>
  <si>
    <t>HNFHR300DE10000WDU</t>
  </si>
  <si>
    <t>FP2HJJ003X60000WDU</t>
  </si>
  <si>
    <t>F8YHKR00B8W0001510</t>
  </si>
  <si>
    <t>FQ1HLS02825000150Y</t>
  </si>
  <si>
    <t>G699320223</t>
  </si>
  <si>
    <t>F0YHL30000W00006J1</t>
  </si>
  <si>
    <t>FP1HB400CN20000FQX</t>
  </si>
  <si>
    <t>G716211343</t>
  </si>
  <si>
    <t>GMG6165025A1J87AS</t>
  </si>
  <si>
    <t>GMG539602NS1J88AH</t>
  </si>
  <si>
    <t>G712550021</t>
  </si>
  <si>
    <t>G9Q6032S1L121KHAT</t>
  </si>
  <si>
    <t>GVH54761G6Z1PHLAB</t>
  </si>
  <si>
    <t>G692617080</t>
  </si>
  <si>
    <t>F8Y6036C62S20J9BS</t>
  </si>
  <si>
    <t>F8Y25362E5Z20JC2V</t>
  </si>
  <si>
    <t>G706523041</t>
  </si>
  <si>
    <t>G9PHLST2H4Y00005DP</t>
  </si>
  <si>
    <t>GVCH9W00TUS00005DQ</t>
  </si>
  <si>
    <t>F0WHHC018PK0000488</t>
  </si>
  <si>
    <t>F0WHCJ004EA00005KR</t>
  </si>
  <si>
    <t>G697596796</t>
  </si>
  <si>
    <t>GVCHNV02T2R0000U6M</t>
  </si>
  <si>
    <t>GVCHQX02NRX0000U6M</t>
  </si>
  <si>
    <t>G692295704</t>
  </si>
  <si>
    <t>G9Q5163PHAXPR5QAU</t>
  </si>
  <si>
    <t>GVH51122TNFPR5PAR</t>
  </si>
  <si>
    <t>G706145029</t>
  </si>
  <si>
    <t>GJY66QL71H</t>
  </si>
  <si>
    <t>J5CHMJ00UHX000124K</t>
  </si>
  <si>
    <t>G688644534</t>
  </si>
  <si>
    <t>D7NT4XMM4H</t>
  </si>
  <si>
    <t>J1KP6PVTXJ</t>
  </si>
  <si>
    <t>G704487415</t>
  </si>
  <si>
    <t>GQQWKYT9WR</t>
  </si>
  <si>
    <t>H6CFWJTG9Y</t>
  </si>
  <si>
    <t>G703644349</t>
  </si>
  <si>
    <t>F0Y5416022F1J87AQ</t>
  </si>
  <si>
    <t>F0Y511100301J88AB</t>
  </si>
  <si>
    <t>G700756697</t>
  </si>
  <si>
    <t>FG9HMB000HB00006TT</t>
  </si>
  <si>
    <t>FG9GYG005Y400006TV</t>
  </si>
  <si>
    <t>G714086691</t>
  </si>
  <si>
    <t>F8Y6167C42E18FKBP</t>
  </si>
  <si>
    <t>F8Y21730ZHT18FLAM</t>
  </si>
  <si>
    <t>G713140929</t>
  </si>
  <si>
    <t>F8Y6163C0V118FKBX</t>
  </si>
  <si>
    <t>FG924440GLZ18FMAS</t>
  </si>
  <si>
    <t>G710999479</t>
  </si>
  <si>
    <t>GMGHLJ005PL0000GVK</t>
  </si>
  <si>
    <t>GMGHM80009Q0000GVK</t>
  </si>
  <si>
    <t>G699358639</t>
  </si>
  <si>
    <t>GCFHK404VB400005LU</t>
  </si>
  <si>
    <t>GCFHHS08X9C00005LU</t>
  </si>
  <si>
    <t>G711974217</t>
  </si>
  <si>
    <t>GX1HNB2FNTH0000B2Z</t>
  </si>
  <si>
    <t>GX1HNA29PEV0000B31</t>
  </si>
  <si>
    <t>G710210855</t>
  </si>
  <si>
    <t>J9229CW2TG</t>
  </si>
  <si>
    <t>G705698373</t>
  </si>
  <si>
    <t>G0NHCY01U070000HKZ</t>
  </si>
  <si>
    <t>GMHHBG00ZJM0000BXF</t>
  </si>
  <si>
    <t>G705435185</t>
  </si>
  <si>
    <t>G9PHJ1S0BZX00005DR</t>
  </si>
  <si>
    <t>GVCHBZ02BAR00005DS</t>
  </si>
  <si>
    <t>G704379545</t>
  </si>
  <si>
    <t>F8Y6011C0Y120J9BC</t>
  </si>
  <si>
    <t>F8Y324105PP20J9AF</t>
  </si>
  <si>
    <t>G698672621</t>
  </si>
  <si>
    <t>GMG5365009MNR8DBV</t>
  </si>
  <si>
    <t>FP1437701VB249YAE</t>
  </si>
  <si>
    <t>G698195547</t>
  </si>
  <si>
    <t>F8Y5304N144Q1LTB5</t>
  </si>
  <si>
    <t>F8Y3025H9LLQ1LTAM</t>
  </si>
  <si>
    <t>G705977425</t>
  </si>
  <si>
    <t>FV9HGA001S80000HG2</t>
  </si>
  <si>
    <t>FV9HHB002EK0000HG2</t>
  </si>
  <si>
    <t>G687666506</t>
  </si>
  <si>
    <t>F8Y6011C58H20J9BV</t>
  </si>
  <si>
    <t>F8Y24331U9720JC22</t>
  </si>
  <si>
    <t>G711733047</t>
  </si>
  <si>
    <t>G4T0XHQW61</t>
  </si>
  <si>
    <t>W2R9L396J2</t>
  </si>
  <si>
    <t>G692454808</t>
  </si>
  <si>
    <t>G9Q5306B2BUPRRDA9</t>
  </si>
  <si>
    <t>GVC138738WRQ2PHA2</t>
  </si>
  <si>
    <t>G691630208</t>
  </si>
  <si>
    <t>G9PHLHT1QLP00005DP</t>
  </si>
  <si>
    <t>GVCHGE00RNY00005DQ</t>
  </si>
  <si>
    <t>G707166029</t>
  </si>
  <si>
    <t>F8Y6053CQS018FKBM</t>
  </si>
  <si>
    <t>FG9324507S618FMA8</t>
  </si>
  <si>
    <t>G703203535</t>
  </si>
  <si>
    <t>F8Y5467C0W520J9BS</t>
  </si>
  <si>
    <t>F5D2454BVL620J79C</t>
  </si>
  <si>
    <t>G701576741</t>
  </si>
  <si>
    <t>J33HKN008XX0000PC4</t>
  </si>
  <si>
    <t>FV9HFW000CY0000PCN</t>
  </si>
  <si>
    <t>G701170733</t>
  </si>
  <si>
    <t>F8Y5506CED818FKB4</t>
  </si>
  <si>
    <t>G715328851</t>
  </si>
  <si>
    <t>F8Y6167C4D420J9B6</t>
  </si>
  <si>
    <t>F5D25060X6H20J79J</t>
  </si>
  <si>
    <t>G711551117</t>
  </si>
  <si>
    <t>F8Y6031N0E713QFCX</t>
  </si>
  <si>
    <t>F8Y3353065113QFBP</t>
  </si>
  <si>
    <t>G710771509</t>
  </si>
  <si>
    <t>661-34704</t>
  </si>
  <si>
    <t>Display, Starlight, MBA (15-in, M2, 2023)</t>
  </si>
  <si>
    <t>GMGHPT0006E00000CQ</t>
  </si>
  <si>
    <t>F0YGUG000LR00000CP</t>
  </si>
  <si>
    <t>G710403871</t>
  </si>
  <si>
    <t>GN1HQB08AK00000B30</t>
  </si>
  <si>
    <t>G691994864</t>
  </si>
  <si>
    <t>F8Y5126CBC8Q687B8</t>
  </si>
  <si>
    <t>FG9335308KDQ689AK</t>
  </si>
  <si>
    <t>G691292424</t>
  </si>
  <si>
    <t>F8Y5516C92Z13RHCN</t>
  </si>
  <si>
    <t>F5D1405HYLG13RJ90</t>
  </si>
  <si>
    <t>G707290957</t>
  </si>
  <si>
    <t>GMG545400JW1J87A7</t>
  </si>
  <si>
    <t>FP15111035D25YVA4</t>
  </si>
  <si>
    <t>G706975243</t>
  </si>
  <si>
    <t>G9Q5355U0QJ21KHAJ</t>
  </si>
  <si>
    <t>GVH439203RV1PHLAA</t>
  </si>
  <si>
    <t>G704577873</t>
  </si>
  <si>
    <t>F8Y5455C4KK13XCB4</t>
  </si>
  <si>
    <t>F5D20257YDU13XD9M</t>
  </si>
  <si>
    <t>G702702921</t>
  </si>
  <si>
    <t>FMXHNL002YS00006J3</t>
  </si>
  <si>
    <t>FP1HET004YV0000FQX</t>
  </si>
  <si>
    <t>G714772361</t>
  </si>
  <si>
    <t>FMXHRN005TG00006J3</t>
  </si>
  <si>
    <t>F0YHFK002QG00006J1</t>
  </si>
  <si>
    <t>G713267083</t>
  </si>
  <si>
    <t>G9QHPXN4DS50000L4B</t>
  </si>
  <si>
    <t>G9NHMEJ8VWN0000L4B</t>
  </si>
  <si>
    <t>G712011393</t>
  </si>
  <si>
    <t>F8Y6132C2AQQ687B5</t>
  </si>
  <si>
    <t>FG9045118RBQ68C3U</t>
  </si>
  <si>
    <t>G711999701</t>
  </si>
  <si>
    <t>F8Y5275C329MD2CBB</t>
  </si>
  <si>
    <t>F5D030656PNMD28AN</t>
  </si>
  <si>
    <t>G709399333</t>
  </si>
  <si>
    <t>FV9538600N523YJAR</t>
  </si>
  <si>
    <t>C02H18001140000H9E</t>
  </si>
  <si>
    <t>F8YHQMN005700000E5</t>
  </si>
  <si>
    <t>F5DH0W006DA00000E6</t>
  </si>
  <si>
    <t>G691068094</t>
  </si>
  <si>
    <t>F8Y6025C372217WBK</t>
  </si>
  <si>
    <t>F8Y3276002R217WAA</t>
  </si>
  <si>
    <t>G702839385</t>
  </si>
  <si>
    <t>GMGGT3000RQ00000CQ</t>
  </si>
  <si>
    <t>GMGGV6001TN00000CP</t>
  </si>
  <si>
    <t>G702831585</t>
  </si>
  <si>
    <t>661-18432</t>
  </si>
  <si>
    <t>D860504A1FWL3L2EF</t>
  </si>
  <si>
    <t>G701803801</t>
  </si>
  <si>
    <t>FP1HHF0036C00000CN</t>
  </si>
  <si>
    <t>FP1H6N0001200000CM</t>
  </si>
  <si>
    <t>G701434867</t>
  </si>
  <si>
    <t>F8Y5347C7KRQ687BZ</t>
  </si>
  <si>
    <t>FG905040KVDQ68C3H</t>
  </si>
  <si>
    <t>G701320767</t>
  </si>
  <si>
    <t>F8Y5501C2G513XCBD</t>
  </si>
  <si>
    <t>F8Y20540NWU13XC83</t>
  </si>
  <si>
    <t>G700967757</t>
  </si>
  <si>
    <t>F8Y5464C8LE217WBK</t>
  </si>
  <si>
    <t>F8Y24410TW1217W7F</t>
  </si>
  <si>
    <t>G683261094</t>
  </si>
  <si>
    <t>F8YHN4C0X4A00006TP</t>
  </si>
  <si>
    <t>F8YGYU30EKC00006TR</t>
  </si>
  <si>
    <t>G713755521</t>
  </si>
  <si>
    <t>ZP661-21404</t>
  </si>
  <si>
    <t>Space Black Stainless, 45mm, Watch Hermes Series 7, Cellular, ROW, ITP</t>
  </si>
  <si>
    <t>K0XRD2D67H</t>
  </si>
  <si>
    <t>J2D36K4FX9</t>
  </si>
  <si>
    <t>G712533481</t>
  </si>
  <si>
    <t>Display, Blue, iMac (24-in, M1, 2021)</t>
  </si>
  <si>
    <t>GHQ6116002L2FT7AN</t>
  </si>
  <si>
    <t>GHQ240300MG167TA2</t>
  </si>
  <si>
    <t>G711130195</t>
  </si>
  <si>
    <t>F8Y6054CP8618FKB1</t>
  </si>
  <si>
    <t>FG9411609QW18FMBR</t>
  </si>
  <si>
    <t>G710786135</t>
  </si>
  <si>
    <t>F8Y6051C5LF14LWCL</t>
  </si>
  <si>
    <t>F8Y13750FEF14LW8A</t>
  </si>
  <si>
    <t>G690711430</t>
  </si>
  <si>
    <t>GVCHP3036TN0000U6M</t>
  </si>
  <si>
    <t>GVCHM6068C40000U6M</t>
  </si>
  <si>
    <t>G706854751</t>
  </si>
  <si>
    <t>C02HEA0018X0000KL4</t>
  </si>
  <si>
    <t>C02HGU004BA0000P0R</t>
  </si>
  <si>
    <t>G689203922</t>
  </si>
  <si>
    <t>F8Y5513CBGN231LBT</t>
  </si>
  <si>
    <t>FG93496029722WLA4</t>
  </si>
  <si>
    <t>G706119901</t>
  </si>
  <si>
    <t>F8Y6026CAM5Q687BH</t>
  </si>
  <si>
    <t>FG9218605T7Q689AX</t>
  </si>
  <si>
    <t>G700568983</t>
  </si>
  <si>
    <t>PA661-34675</t>
  </si>
  <si>
    <t>Beats Studio Buds +, Ivory, Case, CI/AR, PAC</t>
  </si>
  <si>
    <t>CFWV26RL2H</t>
  </si>
  <si>
    <t>HTJJXYXW9D</t>
  </si>
  <si>
    <t>G699203501</t>
  </si>
  <si>
    <t>FV911252D2SQ2DDC1</t>
  </si>
  <si>
    <t>C02046708A8Q2DGAQ</t>
  </si>
  <si>
    <t>G698693927</t>
  </si>
  <si>
    <t>C02HLT000F20000KL3</t>
  </si>
  <si>
    <t>J33HKJ030WK0000P0R</t>
  </si>
  <si>
    <t>G698564511</t>
  </si>
  <si>
    <t>GMG541300341J87AP</t>
  </si>
  <si>
    <t>FP1511202YC25YTAU</t>
  </si>
  <si>
    <t>G698426957</t>
  </si>
  <si>
    <t>F8Y5356CBK602JNB9</t>
  </si>
  <si>
    <t>F8Y0401637H02JN74</t>
  </si>
  <si>
    <t>G698191075</t>
  </si>
  <si>
    <t>F8Y5442C5U5M6YNDG</t>
  </si>
  <si>
    <t>F8Y0317143PM6YNBX</t>
  </si>
  <si>
    <t>G713867261</t>
  </si>
  <si>
    <t>F8Y5472C02UQ687BF</t>
  </si>
  <si>
    <t>FG913560R6BQ68CA9</t>
  </si>
  <si>
    <t>G9P1256B2QULQHKAX</t>
  </si>
  <si>
    <t>GVH12557YTCLQHMAZ</t>
  </si>
  <si>
    <t>G712530699</t>
  </si>
  <si>
    <t>CR1539208QG1LD7AA</t>
  </si>
  <si>
    <t>F0Y541600XZ1J88AN</t>
  </si>
  <si>
    <t>FP1542102YX25YTA4</t>
  </si>
  <si>
    <t>G711674917</t>
  </si>
  <si>
    <t>FNP3MK4VKH</t>
  </si>
  <si>
    <t>F6K0JH1Q4K</t>
  </si>
  <si>
    <t>G711575491</t>
  </si>
  <si>
    <t>GWGVV4THM2</t>
  </si>
  <si>
    <t>DGVG46HFPT</t>
  </si>
  <si>
    <t>G708838521</t>
  </si>
  <si>
    <t>FG9614501VSN2YLB3</t>
  </si>
  <si>
    <t>F5D95264R1ZN2YN4G</t>
  </si>
  <si>
    <t>G707645793</t>
  </si>
  <si>
    <t>C02HD1004DQ0000KXE</t>
  </si>
  <si>
    <t>C02HER000Z10000P12</t>
  </si>
  <si>
    <t>G707015961</t>
  </si>
  <si>
    <t>D865507N0DXPJYRBV</t>
  </si>
  <si>
    <t>D861454A27XPJYRAH</t>
  </si>
  <si>
    <t>G706813479</t>
  </si>
  <si>
    <t>F8Y6057CKVC18FKB1</t>
  </si>
  <si>
    <t>FG932330A7J18FMAM</t>
  </si>
  <si>
    <t>G706800569</t>
  </si>
  <si>
    <t>F8Y5483C0QJQ4C2BJ</t>
  </si>
  <si>
    <t>F5D0397795QQ4C09J</t>
  </si>
  <si>
    <t>G706700323</t>
  </si>
  <si>
    <t>FMXHQ3005HH00006J3</t>
  </si>
  <si>
    <t>FP1HCL0053W0000FQX</t>
  </si>
  <si>
    <t>G686462274</t>
  </si>
  <si>
    <t>C07HK40017Q0000PGM</t>
  </si>
  <si>
    <t>C07HFA001XP0000PGM</t>
  </si>
  <si>
    <t>C07HJ9000Q20000PGM</t>
  </si>
  <si>
    <t>G703145383</t>
  </si>
  <si>
    <t>J2HCQ6CD70</t>
  </si>
  <si>
    <t>JXKH9VMM2W</t>
  </si>
  <si>
    <t>G703040697</t>
  </si>
  <si>
    <t>D9929LQ364</t>
  </si>
  <si>
    <t>FLV2LHQYP0</t>
  </si>
  <si>
    <t>G702726337</t>
  </si>
  <si>
    <t>LV92330266</t>
  </si>
  <si>
    <t>JV04YY09VQ</t>
  </si>
  <si>
    <t>G702259035</t>
  </si>
  <si>
    <t>H93JVFN63W</t>
  </si>
  <si>
    <t>H4H6R9M3Y6</t>
  </si>
  <si>
    <t>G716667473</t>
  </si>
  <si>
    <t>F8Y6176CEQ318FKBQ</t>
  </si>
  <si>
    <t>FG933530N6R18FMAY</t>
  </si>
  <si>
    <t>G715776419</t>
  </si>
  <si>
    <t>G9P5506MG1VPQCKAT</t>
  </si>
  <si>
    <t>G9P2165JKGMPQCKAS</t>
  </si>
  <si>
    <t>G714997861</t>
  </si>
  <si>
    <t>F8Y6066C2V413XCBN</t>
  </si>
  <si>
    <t>F8Y22040VTQ13XC8N</t>
  </si>
  <si>
    <t>G694452878</t>
  </si>
  <si>
    <t>661-59607</t>
  </si>
  <si>
    <t>GMGHR6001GX0000Y56</t>
  </si>
  <si>
    <t>F0YHNR000610000Y57</t>
  </si>
  <si>
    <t>G713188563</t>
  </si>
  <si>
    <t>F8Y6143C62J217WBA</t>
  </si>
  <si>
    <t>F5D23878Y3E21PK7U</t>
  </si>
  <si>
    <t>G712240427</t>
  </si>
  <si>
    <t>661-57549</t>
  </si>
  <si>
    <t>Logic Board, 15-core CPU, 16-core GPU, 24GB, 1TB</t>
  </si>
  <si>
    <t>FV9HRH003WM00014NY</t>
  </si>
  <si>
    <t>FV9HQR005KN0000YYZ</t>
  </si>
  <si>
    <t>G712016939</t>
  </si>
  <si>
    <t>F8Y5516CC9213RHCV</t>
  </si>
  <si>
    <t>F8Y1376029L13RHBN</t>
  </si>
  <si>
    <t>G711744641</t>
  </si>
  <si>
    <t>F8Y6106C3RG13RHCE</t>
  </si>
  <si>
    <t>F5D22257F2M13RJAJ</t>
  </si>
  <si>
    <t>G706960781</t>
  </si>
  <si>
    <t>F8Y5457C6L6237KB4</t>
  </si>
  <si>
    <t>FQ123676GPB22HQ1J</t>
  </si>
  <si>
    <t>G702634169</t>
  </si>
  <si>
    <t>F8Y5442C3H2M6YNDL</t>
  </si>
  <si>
    <t>F8Y00931C3SM6YNA6</t>
  </si>
  <si>
    <t>G700961835</t>
  </si>
  <si>
    <t>661-49425</t>
  </si>
  <si>
    <t>Camera, iPhone 16e</t>
  </si>
  <si>
    <t>DN8HCX00NCY0000G3X</t>
  </si>
  <si>
    <t>DN8HE50B6890000G3X</t>
  </si>
  <si>
    <t>G700175721</t>
  </si>
  <si>
    <t>CY0CK6H24V</t>
  </si>
  <si>
    <t>JGKFH047NR</t>
  </si>
  <si>
    <t>G699995607</t>
  </si>
  <si>
    <t>G9P5265LD72PQCKAU</t>
  </si>
  <si>
    <t>G9P2034JN9LPQCKAN</t>
  </si>
  <si>
    <t>G711643983</t>
  </si>
  <si>
    <t>FG9HRE001R500006TT</t>
  </si>
  <si>
    <t>FG9GZN01NKZ00006TT</t>
  </si>
  <si>
    <t>G706631935</t>
  </si>
  <si>
    <t>GMG5453006J1J87AN</t>
  </si>
  <si>
    <t>FP1507500AL25YTA0</t>
  </si>
  <si>
    <t>G688761012</t>
  </si>
  <si>
    <t>F8Y5447C50Z18FKBF</t>
  </si>
  <si>
    <t>F8Y24420L5018FLA2</t>
  </si>
  <si>
    <t>G703358559</t>
  </si>
  <si>
    <t>F8Y5466C0AF20J9B9</t>
  </si>
  <si>
    <t>F5D2336BBGA20J898</t>
  </si>
  <si>
    <t>G702819751</t>
  </si>
  <si>
    <t>C02GZX00A230000H9F</t>
  </si>
  <si>
    <t>C02H7M000EU00002Y5</t>
  </si>
  <si>
    <t>G702528551</t>
  </si>
  <si>
    <t>F8Y5472C0TX20J9BB</t>
  </si>
  <si>
    <t>F8Y243218XC20JC2L</t>
  </si>
  <si>
    <t>G701802157</t>
  </si>
  <si>
    <t>661-55239</t>
  </si>
  <si>
    <t>Sky Blue, Back Glass, iPhone Air</t>
  </si>
  <si>
    <t>HKYHK700PH900014YT</t>
  </si>
  <si>
    <t>GY6HLF007CG00014YT</t>
  </si>
  <si>
    <t>G701066261</t>
  </si>
  <si>
    <t>F8Y5447C7KYQ687BR</t>
  </si>
  <si>
    <t>F8Y123525Q6Q687AN</t>
  </si>
  <si>
    <t>G700335089</t>
  </si>
  <si>
    <t>FV9515700UU0W9FLF</t>
  </si>
  <si>
    <t>J33531203450W9GPP</t>
  </si>
  <si>
    <t>G700178571</t>
  </si>
  <si>
    <t>G9PHJDK07EN00005DR</t>
  </si>
  <si>
    <t>GH3H9T00PTC00005DS</t>
  </si>
  <si>
    <t>G699907307</t>
  </si>
  <si>
    <t>F8Y5445CAAT18FKBN</t>
  </si>
  <si>
    <t>F8Y22221EMS18FKA8</t>
  </si>
  <si>
    <t>G698326097</t>
  </si>
  <si>
    <t>F8YHN2C0A9N00006TP</t>
  </si>
  <si>
    <t>F8YH1L30H9800006TR</t>
  </si>
  <si>
    <t>G712539911</t>
  </si>
  <si>
    <t>F8Y6063CCDD13RHCW</t>
  </si>
  <si>
    <t>F8Y142300CD13RFB7</t>
  </si>
  <si>
    <t>G711971961</t>
  </si>
  <si>
    <t>F8Y6056C0CG18FKB0</t>
  </si>
  <si>
    <t>FG914140ZS518FM4F</t>
  </si>
  <si>
    <t>G711426687</t>
  </si>
  <si>
    <t>F8Y6114C12K18FKB5</t>
  </si>
  <si>
    <t>F8Y41350L5P18FLB7</t>
  </si>
  <si>
    <t>G711348045</t>
  </si>
  <si>
    <t>HKGRH5CHGWTJ</t>
  </si>
  <si>
    <t>HKHPCCDYGWTJ</t>
  </si>
  <si>
    <t>G710699031</t>
  </si>
  <si>
    <t>F8Y6105C8KSQ687BA</t>
  </si>
  <si>
    <t>FG905040AUKQ68C3P</t>
  </si>
  <si>
    <t>G709976449</t>
  </si>
  <si>
    <t>J24TJC4C9K</t>
  </si>
  <si>
    <t>HGH62FVQ6V</t>
  </si>
  <si>
    <t>G706516129</t>
  </si>
  <si>
    <t>KJW7WN433N</t>
  </si>
  <si>
    <t>HP2142KGM2</t>
  </si>
  <si>
    <t>G704606657</t>
  </si>
  <si>
    <t>DNM52010F7D1QDC76</t>
  </si>
  <si>
    <t>DNM518118JD1QDC30</t>
  </si>
  <si>
    <t>DN84051E1FP1MCN5H</t>
  </si>
  <si>
    <t>G703217871</t>
  </si>
  <si>
    <t>F0YHMR000900000GVK</t>
  </si>
  <si>
    <t>FP1HK000ASF0000G2A</t>
  </si>
  <si>
    <t>G702684961</t>
  </si>
  <si>
    <t>KFK95J3X39</t>
  </si>
  <si>
    <t>MTFWGGXPFP</t>
  </si>
  <si>
    <t>G701641257</t>
  </si>
  <si>
    <t>F8YHN2C0J5400006TP</t>
  </si>
  <si>
    <t>F5DGYP00CH300006TQ</t>
  </si>
  <si>
    <t>G701288547</t>
  </si>
  <si>
    <t>J2NX5V4MHJ</t>
  </si>
  <si>
    <t>DV69GMY2RT</t>
  </si>
  <si>
    <t>G701058009</t>
  </si>
  <si>
    <t>F8Y5445C8A018FKBH</t>
  </si>
  <si>
    <t>FG9224507H618FMA4</t>
  </si>
  <si>
    <t>G700967355</t>
  </si>
  <si>
    <t>L09MF2P6L9</t>
  </si>
  <si>
    <t>KKWWHQN4X3</t>
  </si>
  <si>
    <t>G700826067</t>
  </si>
  <si>
    <t>GH3HK100P040000MUZ</t>
  </si>
  <si>
    <t>GVCHLZ026J40000MUZ</t>
  </si>
  <si>
    <t>G700597155</t>
  </si>
  <si>
    <t>F8Y5435C0DWQ4C2BJ</t>
  </si>
  <si>
    <t>F5D05221X08Q4C091</t>
  </si>
  <si>
    <t>G699265983</t>
  </si>
  <si>
    <t>C4PCVW17QD</t>
  </si>
  <si>
    <t>GP64G3P4LN</t>
  </si>
  <si>
    <t>G698995383</t>
  </si>
  <si>
    <t>F8Y5456C4JM217WBP</t>
  </si>
  <si>
    <t>F8Y23750ST5217W79</t>
  </si>
  <si>
    <t>G9P4254P2K814YCAU</t>
  </si>
  <si>
    <t>G9P2372QJ9614YCA8</t>
  </si>
  <si>
    <t>G715535547</t>
  </si>
  <si>
    <t>F8Y6146N1TH13QFC6</t>
  </si>
  <si>
    <t>F8Y23610R2H13QFA2</t>
  </si>
  <si>
    <t>G714453007</t>
  </si>
  <si>
    <t>F8Y6171C13L18FKBL</t>
  </si>
  <si>
    <t>F8Y150224UK18FLA6</t>
  </si>
  <si>
    <t>G712566613</t>
  </si>
  <si>
    <t>F8Y5527C3B3Q687BK</t>
  </si>
  <si>
    <t>FG911840EKTQ689AX</t>
  </si>
  <si>
    <t>G692388610</t>
  </si>
  <si>
    <t>LWF44RJJ7W</t>
  </si>
  <si>
    <t>JYYFJLCDT6</t>
  </si>
  <si>
    <t>G710316531</t>
  </si>
  <si>
    <t>F8Y6047C1A7217WBZ</t>
  </si>
  <si>
    <t>F8Y25320NCC217W7W</t>
  </si>
  <si>
    <t>G707156847</t>
  </si>
  <si>
    <t>F8Y5453N17VQ1LTBQ</t>
  </si>
  <si>
    <t>F8Y143207XWQ1LTAZ</t>
  </si>
  <si>
    <t>G688674118</t>
  </si>
  <si>
    <t>GMG536600SJNR89BJ</t>
  </si>
  <si>
    <t>FP1502302GX249YAH</t>
  </si>
  <si>
    <t>G705484735</t>
  </si>
  <si>
    <t>LDX62D52WY</t>
  </si>
  <si>
    <t>CP4D9K4RDP</t>
  </si>
  <si>
    <t>G701575591</t>
  </si>
  <si>
    <t>F8Y5522CADY20J9BN</t>
  </si>
  <si>
    <t>F5D23633NC220J792</t>
  </si>
  <si>
    <t>G700008443</t>
  </si>
  <si>
    <t>G9P5133MJB5PQCLAG</t>
  </si>
  <si>
    <t>G9N2055LGNPPQCLA7</t>
  </si>
  <si>
    <t>G713969133</t>
  </si>
  <si>
    <t>F8YHRDC08QQ00006TW</t>
  </si>
  <si>
    <t>F8YH0520UQM00006TY</t>
  </si>
  <si>
    <t>G694468792</t>
  </si>
  <si>
    <t>F8Y6036C7DK20J9BZ</t>
  </si>
  <si>
    <t>F5D2407ECU320J79B</t>
  </si>
  <si>
    <t>G691893372</t>
  </si>
  <si>
    <t>G9P4102M301PQCLAD</t>
  </si>
  <si>
    <t>G9P1446T9LXPQCLAR</t>
  </si>
  <si>
    <t>G692457528</t>
  </si>
  <si>
    <t>HY7QF09V26JY</t>
  </si>
  <si>
    <t>G691068680</t>
  </si>
  <si>
    <t>F8Y6056C4HL18FKBB</t>
  </si>
  <si>
    <t>F8Y14020YEN18FLAQ</t>
  </si>
  <si>
    <t>G707286569</t>
  </si>
  <si>
    <t>FMXHQ300A6L00006J3</t>
  </si>
  <si>
    <t>FP1HCF0020C0000FQX</t>
  </si>
  <si>
    <t>G688940042</t>
  </si>
  <si>
    <t>F8Y6053CRRD18FKBA</t>
  </si>
  <si>
    <t>FG9311511CL18FNAE</t>
  </si>
  <si>
    <t>G688145934</t>
  </si>
  <si>
    <t>F8Y5423C3NB18FKBH</t>
  </si>
  <si>
    <t>FG9346103W718FMAV</t>
  </si>
  <si>
    <t>G705203685</t>
  </si>
  <si>
    <t>F8Y5426C7JF14LWCT</t>
  </si>
  <si>
    <t>F5D2436BJP014LXAQ</t>
  </si>
  <si>
    <t>G705083273</t>
  </si>
  <si>
    <t>F8Y5502C14R13RHC5</t>
  </si>
  <si>
    <t>F5D140624G513RJ9T</t>
  </si>
  <si>
    <t>G704709157</t>
  </si>
  <si>
    <t>GH3HPB0111M0000MUZ</t>
  </si>
  <si>
    <t>G9PHLYE169N0000MUY</t>
  </si>
  <si>
    <t>F18HP0008ZP00014XQ</t>
  </si>
  <si>
    <t>F18HLQ005QA00013S6</t>
  </si>
  <si>
    <t>G702617077</t>
  </si>
  <si>
    <t>G9P4222MBRJPQCLA8</t>
  </si>
  <si>
    <t>G9N1522SGKMPQCLAA</t>
  </si>
  <si>
    <t>G683510616</t>
  </si>
  <si>
    <t>GMGHM7004NB0000HX2</t>
  </si>
  <si>
    <t>FP1HHB002HF0000HWZ</t>
  </si>
  <si>
    <t>G699264769</t>
  </si>
  <si>
    <t>G9P5385ML1BPQCLAK</t>
  </si>
  <si>
    <t>G9P2496MGMDPQCLAZ</t>
  </si>
  <si>
    <t>G698269697</t>
  </si>
  <si>
    <t>G9P5385M5KCPQCLAD</t>
  </si>
  <si>
    <t>G9P2211N5NMPQCLAT</t>
  </si>
  <si>
    <t>G716684355</t>
  </si>
  <si>
    <t>F8Y6154C4Y513RHCQ</t>
  </si>
  <si>
    <t>F5D20752QEB13RK9M</t>
  </si>
  <si>
    <t>G716556283</t>
  </si>
  <si>
    <t>F8YHSWD02LC00006TP</t>
  </si>
  <si>
    <t>F8YH0T04WA900006TP</t>
  </si>
  <si>
    <t>G691182424</t>
  </si>
  <si>
    <t>F8Y5503C00U13RHCE</t>
  </si>
  <si>
    <t>F8Y230600Y813RFBM</t>
  </si>
  <si>
    <t>G708625067</t>
  </si>
  <si>
    <t>F8YHN8C02P600006TW</t>
  </si>
  <si>
    <t>F8YGZV26SKQ00006TY</t>
  </si>
  <si>
    <t>G707505917</t>
  </si>
  <si>
    <t>G9PHKTT2XPT00005DP</t>
  </si>
  <si>
    <t>G9PH9EV18RH00005DP</t>
  </si>
  <si>
    <t>G707294193</t>
  </si>
  <si>
    <t>G9PHJWS1MGG00005DR</t>
  </si>
  <si>
    <t>GH3HD40065600005DS</t>
  </si>
  <si>
    <t>G706115069</t>
  </si>
  <si>
    <t>G9P5223M8D9PQCLAJ</t>
  </si>
  <si>
    <t>G9P2155M2HSPQCLAU</t>
  </si>
  <si>
    <t>G705868811</t>
  </si>
  <si>
    <t>HKGR31JEGWTJ</t>
  </si>
  <si>
    <t>HKHN90NYGWTJ</t>
  </si>
  <si>
    <t>G705691115</t>
  </si>
  <si>
    <t>GC95Q97J40</t>
  </si>
  <si>
    <t>F93DT2J4DG</t>
  </si>
  <si>
    <t>G688346172</t>
  </si>
  <si>
    <t>F8Y5442C9CTM6YND4</t>
  </si>
  <si>
    <t>F8Y31730ZV5M6YNBS</t>
  </si>
  <si>
    <t>G704881217</t>
  </si>
  <si>
    <t>F8Y5527C45YQ687B7</t>
  </si>
  <si>
    <t>FG905043PZVQ6893D</t>
  </si>
  <si>
    <t>G702821475</t>
  </si>
  <si>
    <t>F8Y5462C18G217WBU</t>
  </si>
  <si>
    <t>F5D241207MX21PK7X</t>
  </si>
  <si>
    <t>G685252542</t>
  </si>
  <si>
    <t>G9PHF8J27RM00005DR</t>
  </si>
  <si>
    <t>GH3HBA007S600005DS</t>
  </si>
  <si>
    <t>G700365879</t>
  </si>
  <si>
    <t>HNXQ90DDQ1HJ</t>
  </si>
  <si>
    <t>HNXQQ13GQ1HJ</t>
  </si>
  <si>
    <t>G698403813</t>
  </si>
  <si>
    <t>G9P5347MM76PQCLAF</t>
  </si>
  <si>
    <t>G9P2103TAPDPQCLAE</t>
  </si>
  <si>
    <t>G715297267</t>
  </si>
  <si>
    <t>JF24X63779</t>
  </si>
  <si>
    <t>D2D4F5J07T</t>
  </si>
  <si>
    <t>G715060761</t>
  </si>
  <si>
    <t>F8YHSEC01FY00006TW</t>
  </si>
  <si>
    <t>F8YH5L23HA600006TY</t>
  </si>
  <si>
    <t>G714634495</t>
  </si>
  <si>
    <t>GMGHLG0060W0000GVK</t>
  </si>
  <si>
    <t>FP1HH4009XC0000G2A</t>
  </si>
  <si>
    <t>G712461689</t>
  </si>
  <si>
    <t>GH3HRS010N70000MUZ</t>
  </si>
  <si>
    <t>G9NHK3Q08SF0000MUY</t>
  </si>
  <si>
    <t>G711189131</t>
  </si>
  <si>
    <t>F8Y6117CBVX217WBJ</t>
  </si>
  <si>
    <t>F5D2416DD6H21PK77</t>
  </si>
  <si>
    <t>G709977637</t>
  </si>
  <si>
    <t>F8Y6105CAFQQ687BN</t>
  </si>
  <si>
    <t>F8Y04734ARPQ68825</t>
  </si>
  <si>
    <t>G709265997</t>
  </si>
  <si>
    <t>F8Y5523C061Q4C2B4</t>
  </si>
  <si>
    <t>F5D10222T8YQ4C09Q</t>
  </si>
  <si>
    <t>G708299387</t>
  </si>
  <si>
    <t>F8Y6121C0P402JNBP</t>
  </si>
  <si>
    <t>F8Y0441DC1202JN7V</t>
  </si>
  <si>
    <t>G703627791</t>
  </si>
  <si>
    <t>G9P5222MN0DPQCLA6</t>
  </si>
  <si>
    <t>G9P2235NJ8HPQCLAG</t>
  </si>
  <si>
    <t>G703196043</t>
  </si>
  <si>
    <t>F8Y5507CHRT18FKBD</t>
  </si>
  <si>
    <t>FG9235413MP18FMA7</t>
  </si>
  <si>
    <t>G700692895</t>
  </si>
  <si>
    <t>F8Y5441C03213XCBC</t>
  </si>
  <si>
    <t>F5D13544NCY13XD9X</t>
  </si>
  <si>
    <t>G699851437</t>
  </si>
  <si>
    <t>F8Y5451C1P913XCB9</t>
  </si>
  <si>
    <t>F8Y21861JZV13XC8G</t>
  </si>
  <si>
    <t>G699735687</t>
  </si>
  <si>
    <t>LQCTQ2Q0JL</t>
  </si>
  <si>
    <t>G683134472</t>
  </si>
  <si>
    <t>G9PHCLS56WP00005DR</t>
  </si>
  <si>
    <t>GVCHAQ02UZ200005DS</t>
  </si>
  <si>
    <t>G699215475</t>
  </si>
  <si>
    <t>F0YHL3001FZ00006J1</t>
  </si>
  <si>
    <t>FP1HF0001T20000FQX</t>
  </si>
  <si>
    <t>G682713102</t>
  </si>
  <si>
    <t>F8Y5426C7HZ14LWCC</t>
  </si>
  <si>
    <t>F5D14831RDV14LX98</t>
  </si>
  <si>
    <t>G716334865</t>
  </si>
  <si>
    <t>GMG616602WU1J87A0</t>
  </si>
  <si>
    <t>FP15417001025YTAR</t>
  </si>
  <si>
    <t>G716160157</t>
  </si>
  <si>
    <t>F8Y6156C8T7217WB6</t>
  </si>
  <si>
    <t>F5D2427DBUW21PK7U</t>
  </si>
  <si>
    <t>G696298624</t>
  </si>
  <si>
    <t>F8YHLQH02890000UMJ</t>
  </si>
  <si>
    <t>F8YHAMH311L0000UMK</t>
  </si>
  <si>
    <t>G711118777</t>
  </si>
  <si>
    <t>KR9PT7FQ7J</t>
  </si>
  <si>
    <t>F737Y7XLNF</t>
  </si>
  <si>
    <t>G708691557</t>
  </si>
  <si>
    <t>H7JHN70AJWX0000UHZ</t>
  </si>
  <si>
    <t>G690269256</t>
  </si>
  <si>
    <t>HNYR3GAS17F8</t>
  </si>
  <si>
    <t>HNYMP3NM17F8</t>
  </si>
  <si>
    <t>PA661-32570</t>
  </si>
  <si>
    <t>SVC,STUDIO BUDS(VN)RIGHT,RED,CI/AR</t>
  </si>
  <si>
    <t>HNYR603017F9</t>
  </si>
  <si>
    <t>HNYMP58N17F9</t>
  </si>
  <si>
    <t>G688652848</t>
  </si>
  <si>
    <t>F8Y5375C7GP02JNB0</t>
  </si>
  <si>
    <t>F8Y04032BC202JN76</t>
  </si>
  <si>
    <t>G705830429</t>
  </si>
  <si>
    <t>G9NHQ9K1AMH0000L4B</t>
  </si>
  <si>
    <t>G9NHLBV08K20000L4B</t>
  </si>
  <si>
    <t>G705722343</t>
  </si>
  <si>
    <t>GH3HQ100QQX0000MUZ</t>
  </si>
  <si>
    <t>GH3HND00SH60000MUZ</t>
  </si>
  <si>
    <t>G687138026</t>
  </si>
  <si>
    <t>F8Y5496C5GA13XCB8</t>
  </si>
  <si>
    <t>F5D2125559813XD9H</t>
  </si>
  <si>
    <t>G703722765</t>
  </si>
  <si>
    <t>KT6L6JRY56</t>
  </si>
  <si>
    <t>M3P76FP3MG</t>
  </si>
  <si>
    <t>G686469890</t>
  </si>
  <si>
    <t>F8Y5366CCCFQ687BL</t>
  </si>
  <si>
    <t>FG904661AS6Q68C3L</t>
  </si>
  <si>
    <t>G702836963</t>
  </si>
  <si>
    <t>F8YHN4C0VR700006TP</t>
  </si>
  <si>
    <t>F5DH0P006QK00006TQ</t>
  </si>
  <si>
    <t>G684743594</t>
  </si>
  <si>
    <t>FV94103027H23YJAL</t>
  </si>
  <si>
    <t>C02H3Q0014K0000H9E</t>
  </si>
  <si>
    <t>F8YHPDN00B200000E5</t>
  </si>
  <si>
    <t>F8YH3D0027E00000E5</t>
  </si>
  <si>
    <t>G700852455</t>
  </si>
  <si>
    <t>FG9HNR005X600006TT</t>
  </si>
  <si>
    <t>FG9H0N00FWY00006TV</t>
  </si>
  <si>
    <t>G715524005</t>
  </si>
  <si>
    <t>GH3HS801WLV0000MUZ</t>
  </si>
  <si>
    <t>GH3HL901RBS0000MUZ</t>
  </si>
  <si>
    <t>F18HRY008XX00014QY</t>
  </si>
  <si>
    <t>FM7HLJ000FR00014QY</t>
  </si>
  <si>
    <t>G714771403</t>
  </si>
  <si>
    <t>GMGHL8003840000GVK</t>
  </si>
  <si>
    <t>FP1HCY007K60000G2A</t>
  </si>
  <si>
    <t>G714634467</t>
  </si>
  <si>
    <t>F8Y6171C14518FKBY</t>
  </si>
  <si>
    <t>FG940520RJU18FMBN</t>
  </si>
  <si>
    <t>G693908732</t>
  </si>
  <si>
    <t>F8Y6155C08NM6YNDQ</t>
  </si>
  <si>
    <t>F8Y401405AYM6YNDR</t>
  </si>
  <si>
    <t>G711967313</t>
  </si>
  <si>
    <t>F8Y6132C14S18FKBN</t>
  </si>
  <si>
    <t>FG914631QP018FM4M</t>
  </si>
  <si>
    <t>G709261011</t>
  </si>
  <si>
    <t>GX1HQ90886T0000B2Z</t>
  </si>
  <si>
    <t>G707711203</t>
  </si>
  <si>
    <t>HGQ7C4QJXY</t>
  </si>
  <si>
    <t>MH5H0C7D6G</t>
  </si>
  <si>
    <t>G706494951</t>
  </si>
  <si>
    <t>F8Y5384A6AG217XBF</t>
  </si>
  <si>
    <t>F8Y23531S4W217X7P</t>
  </si>
  <si>
    <t>G706491307</t>
  </si>
  <si>
    <t>F8Y5442C337M6YNDP</t>
  </si>
  <si>
    <t>F8Y948442PNM6YPAP</t>
  </si>
  <si>
    <t>G702634183</t>
  </si>
  <si>
    <t>F8Y5135C1DJMD2CBJ</t>
  </si>
  <si>
    <t>F5D94627SLDMD287F</t>
  </si>
  <si>
    <t>G699647821</t>
  </si>
  <si>
    <t>J33HNP0000N0000PC8</t>
  </si>
  <si>
    <t>FV9HCY011FF00003P0</t>
  </si>
  <si>
    <t>G716304643</t>
  </si>
  <si>
    <t>F8YHSWD02LD00006TP</t>
  </si>
  <si>
    <t>F5DH3900MUD00006TN</t>
  </si>
  <si>
    <t>G713755079</t>
  </si>
  <si>
    <t>G9PHKYF17F600005DP</t>
  </si>
  <si>
    <t>GVCHB304P2V00005DQ</t>
  </si>
  <si>
    <t>G711891229</t>
  </si>
  <si>
    <t>F8Y6062C0E618FKB5</t>
  </si>
  <si>
    <t>FG922130ZX618FMAF</t>
  </si>
  <si>
    <t>G711350527</t>
  </si>
  <si>
    <t>661-41834</t>
  </si>
  <si>
    <t>FV9HMV0001S0000NTX</t>
  </si>
  <si>
    <t>J4FHLX0000D0000NTW</t>
  </si>
  <si>
    <t>G710794925</t>
  </si>
  <si>
    <t>F8Y6117CA0Y217WB3</t>
  </si>
  <si>
    <t>F8Y30251PCQ217W7G</t>
  </si>
  <si>
    <t>G690262796</t>
  </si>
  <si>
    <t>F8Y5495C6JE217WBH</t>
  </si>
  <si>
    <t>F8Y25330TDL217W7D</t>
  </si>
  <si>
    <t>G703229353</t>
  </si>
  <si>
    <t>G9P5295QE1V1PHRA9</t>
  </si>
  <si>
    <t>G9N3437QMGB1PHRAW</t>
  </si>
  <si>
    <t>G702778767</t>
  </si>
  <si>
    <t>D865324N0QDPJYRBD</t>
  </si>
  <si>
    <t>D862065A0WVPJYRAH</t>
  </si>
  <si>
    <t>G701807259</t>
  </si>
  <si>
    <t>G9PHJKS0KT200005DR</t>
  </si>
  <si>
    <t>GH3HA400LM800005DS</t>
  </si>
  <si>
    <t>G700830297</t>
  </si>
  <si>
    <t>GMGHLG001JK0000GVL</t>
  </si>
  <si>
    <t>GMGHED001JW0000GVK</t>
  </si>
  <si>
    <t>G699116561</t>
  </si>
  <si>
    <t>G9Q5323S81W1PHMAZ</t>
  </si>
  <si>
    <t>G9Q5231SPHG1PHMAJ</t>
  </si>
  <si>
    <t>G690708104</t>
  </si>
  <si>
    <t>F8Y6061CAY218FKBE</t>
  </si>
  <si>
    <t>F8Y13920CXT18FKAX</t>
  </si>
  <si>
    <t>G706845717</t>
  </si>
  <si>
    <t>J9Q547600AZ0GKWAV</t>
  </si>
  <si>
    <t>GMH50360PE1Q189AC</t>
  </si>
  <si>
    <t>G706631083</t>
  </si>
  <si>
    <t>F8Y5445N12913QFCN</t>
  </si>
  <si>
    <t>F8Y428505JB13QFCT</t>
  </si>
  <si>
    <t>G705925517</t>
  </si>
  <si>
    <t>661-29369</t>
  </si>
  <si>
    <t>Camera, iPhone 14 Pro</t>
  </si>
  <si>
    <t>DN84192DBT912J59E</t>
  </si>
  <si>
    <t>GCF23554JMM15F94N</t>
  </si>
  <si>
    <t>F8Y6026C1CF217WBS</t>
  </si>
  <si>
    <t>F8Y23410NGW217W70</t>
  </si>
  <si>
    <t>G686981098</t>
  </si>
  <si>
    <t>F8Y6011C2Z920J9BZ</t>
  </si>
  <si>
    <t>F8Y24541J2N20JC2B</t>
  </si>
  <si>
    <t>G703471087</t>
  </si>
  <si>
    <t>G9Q6035SH5221KHAJ</t>
  </si>
  <si>
    <t>G9P4174KG6M21KHAD</t>
  </si>
  <si>
    <t>G703721787</t>
  </si>
  <si>
    <t>G701423857</t>
  </si>
  <si>
    <t>G9PHKZT3KGE00005DP</t>
  </si>
  <si>
    <t>GVCHC003RPC00005DQ</t>
  </si>
  <si>
    <t>G684125358</t>
  </si>
  <si>
    <t>F8Y5445N29Y13QFCB</t>
  </si>
  <si>
    <t>F8Y5326N4CC10X2CM</t>
  </si>
  <si>
    <t>G700965379</t>
  </si>
  <si>
    <t>JLQ92TKGD2</t>
  </si>
  <si>
    <t>F46W4H4740</t>
  </si>
  <si>
    <t>G700621009</t>
  </si>
  <si>
    <t>GMG545101NTNR8DBP</t>
  </si>
  <si>
    <t>GMG419201GENR8DBD</t>
  </si>
  <si>
    <t>G699892403</t>
  </si>
  <si>
    <t>F8Y5353C3G613RHC6</t>
  </si>
  <si>
    <t>F5D14176L4M13RK9E</t>
  </si>
  <si>
    <t>G715874245</t>
  </si>
  <si>
    <t>F8Y6184CB8618FKB3</t>
  </si>
  <si>
    <t>FG920160DHZ18FM4Z</t>
  </si>
  <si>
    <t>G713647559</t>
  </si>
  <si>
    <t>KY254TR2VQ</t>
  </si>
  <si>
    <t>HQ0JQN6Q3N</t>
  </si>
  <si>
    <t>G712256001</t>
  </si>
  <si>
    <t>F8YHNVC00NP00006U0</t>
  </si>
  <si>
    <t>FQ1GYH003CH00006U3</t>
  </si>
  <si>
    <t>G711772869</t>
  </si>
  <si>
    <t>PA661-17024</t>
  </si>
  <si>
    <t>Black, Right, Powerbeats Pro, PAC, Carry-in</t>
  </si>
  <si>
    <t>H2CPV0ASQ7C2</t>
  </si>
  <si>
    <t>G693351312</t>
  </si>
  <si>
    <t>F7CK6J19CD</t>
  </si>
  <si>
    <t>FX4FHX3NLV</t>
  </si>
  <si>
    <t>G711549711</t>
  </si>
  <si>
    <t>M4KJ43CQH1</t>
  </si>
  <si>
    <t>H3QQDY6F4W</t>
  </si>
  <si>
    <t>G692582390</t>
  </si>
  <si>
    <t>F8YHRTD07WQ00006TP</t>
  </si>
  <si>
    <t>F8YH0334E4400006TR</t>
  </si>
  <si>
    <t>G691607132</t>
  </si>
  <si>
    <t>F8Y5516C1LA13RHCZ</t>
  </si>
  <si>
    <t>F5D22562NUY13RKAU</t>
  </si>
  <si>
    <t>G691399338</t>
  </si>
  <si>
    <t>661-56121</t>
  </si>
  <si>
    <t>Battery, pSIM, iPhone 17 Pro</t>
  </si>
  <si>
    <t>F8YHKFY0N7H000161P</t>
  </si>
  <si>
    <t>F5DHNMOOOUGO00161A</t>
  </si>
  <si>
    <t>FY8HLT01MJT00017C0</t>
  </si>
  <si>
    <t>FXLHLGOH17R0001AH4</t>
  </si>
  <si>
    <t>G708283307</t>
  </si>
  <si>
    <t>G9P5364MC4KPQCLAH</t>
  </si>
  <si>
    <t>G9P2236MGB8PQCLAL</t>
  </si>
  <si>
    <t>G705484591</t>
  </si>
  <si>
    <t>HWH0W4D2XG</t>
  </si>
  <si>
    <t>CW3VWMC4PD</t>
  </si>
  <si>
    <t>G705238945</t>
  </si>
  <si>
    <t>F8Y6011C1Q120J9B1</t>
  </si>
  <si>
    <t>F5D25269UCG20J795</t>
  </si>
  <si>
    <t>G705078327</t>
  </si>
  <si>
    <t>C02234600S50W9GAB</t>
  </si>
  <si>
    <t>FV951530D830W9FLP</t>
  </si>
  <si>
    <t>G684524174</t>
  </si>
  <si>
    <t>F8Y5475CCCM13RHCK</t>
  </si>
  <si>
    <t>F5D13849GG113RK9A</t>
  </si>
  <si>
    <t>G683248358</t>
  </si>
  <si>
    <t>F8Y5497C0NW20J9BG</t>
  </si>
  <si>
    <t>F8Y23820D4A20J92N</t>
  </si>
  <si>
    <t>G683125192</t>
  </si>
  <si>
    <t>DNMHJW00ZKD0000QTE</t>
  </si>
  <si>
    <t>GCFHKE0GMU80000QT9</t>
  </si>
  <si>
    <t>G712320345</t>
  </si>
  <si>
    <t>FV925150X331WP0DS</t>
  </si>
  <si>
    <t>HXK5076016Y1N08G3</t>
  </si>
  <si>
    <t>G712011117</t>
  </si>
  <si>
    <t>F8Y6122C70K231LBD</t>
  </si>
  <si>
    <t>FG92512007N22XP6Z</t>
  </si>
  <si>
    <t>G693562604</t>
  </si>
  <si>
    <t>F8Y5527C2XF20J9BN</t>
  </si>
  <si>
    <t>F8Y24530Y3H20JC23</t>
  </si>
  <si>
    <t>G9P5372N5JB14YDAK</t>
  </si>
  <si>
    <t>G9N2477X3DP14YDA1</t>
  </si>
  <si>
    <t>G711101993</t>
  </si>
  <si>
    <t>F8Y5455C83X13XCB2</t>
  </si>
  <si>
    <t>F5D20474KPB13X99S</t>
  </si>
  <si>
    <t>G691607358</t>
  </si>
  <si>
    <t>F8Y5455C6B013XCBB</t>
  </si>
  <si>
    <t>F5D1447EEQ113XD93</t>
  </si>
  <si>
    <t>G708570249</t>
  </si>
  <si>
    <t>923-11080</t>
  </si>
  <si>
    <t>Speakers</t>
  </si>
  <si>
    <t>CTHHKGA2K1H0000D0G</t>
  </si>
  <si>
    <t>FV9H9T0076Z00003T3</t>
  </si>
  <si>
    <t>FV9HDJ0119700003T3</t>
  </si>
  <si>
    <t>G687474288</t>
  </si>
  <si>
    <t>F8Y5421C3FN18FKBV</t>
  </si>
  <si>
    <t>FG9221508WJ18FMAV</t>
  </si>
  <si>
    <t>G701867493</t>
  </si>
  <si>
    <t>F8Y5474C63P18FKB9</t>
  </si>
  <si>
    <t>FG922931L2N18FMA4</t>
  </si>
  <si>
    <t>G700743981</t>
  </si>
  <si>
    <t>FMXHNL0034W00006J3</t>
  </si>
  <si>
    <t>FP1HB6001NA0000FQX</t>
  </si>
  <si>
    <t>G716314403</t>
  </si>
  <si>
    <t>F8Y5502C2Z613RHC4</t>
  </si>
  <si>
    <t>F5D13954DF613RK9N</t>
  </si>
  <si>
    <t>G716082899</t>
  </si>
  <si>
    <t>F8Y6156C9H9217WBZ</t>
  </si>
  <si>
    <t>F8Y23641Y7M217W7E</t>
  </si>
  <si>
    <t>G713708187</t>
  </si>
  <si>
    <t>F8Y6135C6CB14LWCE</t>
  </si>
  <si>
    <t>F5D25062LCW14LXAS</t>
  </si>
  <si>
    <t>G712450361</t>
  </si>
  <si>
    <t>F8Y6162C4FL18FKBH</t>
  </si>
  <si>
    <t>FG941160FEH18FMBU</t>
  </si>
  <si>
    <t>G691071196</t>
  </si>
  <si>
    <t>F8Y6026C7AA217WBX</t>
  </si>
  <si>
    <t>F5D24638UYC21PK7Q</t>
  </si>
  <si>
    <t>G690810698</t>
  </si>
  <si>
    <t>F8Y5512C4MW231LBC</t>
  </si>
  <si>
    <t>FG925150S0N22WL6X</t>
  </si>
  <si>
    <t>G690730402</t>
  </si>
  <si>
    <t>G9Q5174W0LT1502AF</t>
  </si>
  <si>
    <t>GVC44730AMR1503AC</t>
  </si>
  <si>
    <t>G707598301</t>
  </si>
  <si>
    <t>DMFQL66CC9</t>
  </si>
  <si>
    <t>LDH57W27JJ</t>
  </si>
  <si>
    <t>G707283199</t>
  </si>
  <si>
    <t>G9P5163LCBYPQCKAQ</t>
  </si>
  <si>
    <t>G9P2142KDRHPQCKAF</t>
  </si>
  <si>
    <t>G706730387</t>
  </si>
  <si>
    <t>JVCXW2QFF2</t>
  </si>
  <si>
    <t>MW1TDJD623</t>
  </si>
  <si>
    <t>G700361443</t>
  </si>
  <si>
    <t>F8Y5497C0MV20J9BL</t>
  </si>
  <si>
    <t>F5D2462406X20J79A</t>
  </si>
  <si>
    <t>G683377140</t>
  </si>
  <si>
    <t>G9H29JR4L5</t>
  </si>
  <si>
    <t>G698956159</t>
  </si>
  <si>
    <t>F8Y5445CCUE18FKBD</t>
  </si>
  <si>
    <t>FG915021AAU18FM4W</t>
  </si>
  <si>
    <t>G715624235</t>
  </si>
  <si>
    <t>F8Y6166C63WQ687B3</t>
  </si>
  <si>
    <t>FG904672TZSQ68C3S</t>
  </si>
  <si>
    <t>G712335023</t>
  </si>
  <si>
    <t>F8YHRND06AR00006TP</t>
  </si>
  <si>
    <t>F5DGZP01EJB00006TN</t>
  </si>
  <si>
    <t>G710316999</t>
  </si>
  <si>
    <t>F8Y6047C03B217WBH</t>
  </si>
  <si>
    <t>F5D25232MTJ21PK71</t>
  </si>
  <si>
    <t>G691780492</t>
  </si>
  <si>
    <t>F8Y5513CERX18FKBD</t>
  </si>
  <si>
    <t>F8Y23071RDT18FLAK</t>
  </si>
  <si>
    <t>G703575487</t>
  </si>
  <si>
    <t>F8Y5423C2U018FKBB</t>
  </si>
  <si>
    <t>F8Y32050ATR18FLAX</t>
  </si>
  <si>
    <t>G702382607</t>
  </si>
  <si>
    <t>F1652640ABR26MKAH</t>
  </si>
  <si>
    <t>G702350005</t>
  </si>
  <si>
    <t>F8Y5364C95U02JNBW</t>
  </si>
  <si>
    <t>F8Y03854J3602JN7R</t>
  </si>
  <si>
    <t>G702160357</t>
  </si>
  <si>
    <t>F8Y5494C50U217WBR</t>
  </si>
  <si>
    <t>F5D2373232021PK7X</t>
  </si>
  <si>
    <t>G700988465</t>
  </si>
  <si>
    <t>M1XWXHNP6R</t>
  </si>
  <si>
    <t>HQDV29P769</t>
  </si>
  <si>
    <t>G698813559</t>
  </si>
  <si>
    <t>F8Y5417C45YQ4C2B6</t>
  </si>
  <si>
    <t>F5D0515F4YTQ4C097</t>
  </si>
  <si>
    <t>G698570243</t>
  </si>
  <si>
    <t>G9P5086L5CTPQCKAR</t>
  </si>
  <si>
    <t>G9N1487X7B6PQCKAN</t>
  </si>
  <si>
    <t>G682224502</t>
  </si>
  <si>
    <t>MK4T2QDW7K</t>
  </si>
  <si>
    <t>L0MPV2YH7V</t>
  </si>
  <si>
    <t>G715109297</t>
  </si>
  <si>
    <t>F8Y6166C8R3Q687BW</t>
  </si>
  <si>
    <t>FG90522117VQ68C3A</t>
  </si>
  <si>
    <t>G712797167</t>
  </si>
  <si>
    <t>F8Y6155C1CQ18FKBR</t>
  </si>
  <si>
    <t>FG941160JJS18FMB4</t>
  </si>
  <si>
    <t>G710221887</t>
  </si>
  <si>
    <t>661-27771</t>
  </si>
  <si>
    <t>Logic Board, 12-core CPU, 38-core GPU, 32GB, 1TB</t>
  </si>
  <si>
    <t>C023275000J1LV0AV</t>
  </si>
  <si>
    <t>C02252200EV1LV0AU</t>
  </si>
  <si>
    <t>G710010345</t>
  </si>
  <si>
    <t>HFH64MQD71</t>
  </si>
  <si>
    <t>D1WDH94JWG</t>
  </si>
  <si>
    <t>G708270085</t>
  </si>
  <si>
    <t>F8Y6046C9RH14LWCX</t>
  </si>
  <si>
    <t>F5D14228C1B14LX95</t>
  </si>
  <si>
    <t>G707391915</t>
  </si>
  <si>
    <t>F5D603601371KLFBF</t>
  </si>
  <si>
    <t>FQ131757Q6Z1KLJAQ</t>
  </si>
  <si>
    <t>G689415606</t>
  </si>
  <si>
    <t>F8Y5457C95014LWC1</t>
  </si>
  <si>
    <t>F8Y13761K5114LW89</t>
  </si>
  <si>
    <t>G706293251</t>
  </si>
  <si>
    <t>F8Y5442C44GM6YNDA</t>
  </si>
  <si>
    <t>F8Y242100X8M6YMB0</t>
  </si>
  <si>
    <t>G706025307</t>
  </si>
  <si>
    <t>F8Y5527C94K20J9BQ</t>
  </si>
  <si>
    <t>F8Y24411LQB20JC2U</t>
  </si>
  <si>
    <t>G705113253</t>
  </si>
  <si>
    <t>GX73LKPH67</t>
  </si>
  <si>
    <t>G687816062</t>
  </si>
  <si>
    <t>F8Y5466C0D920J9B6</t>
  </si>
  <si>
    <t>F8Y23360AZM20JC23</t>
  </si>
  <si>
    <t>G9P5207N05514YDAJ</t>
  </si>
  <si>
    <t>G9N2333UG8J14YDA0</t>
  </si>
  <si>
    <t>G686404370</t>
  </si>
  <si>
    <t>FP141470233216QAU</t>
  </si>
  <si>
    <t>DCN3372002GPP59AY</t>
  </si>
  <si>
    <t>G702618949</t>
  </si>
  <si>
    <t>F8Y5486C46A20J9BG</t>
  </si>
  <si>
    <t>F5D2424K7R220J897</t>
  </si>
  <si>
    <t>G702616455</t>
  </si>
  <si>
    <t>G9P4174M0C8PQCLAJ</t>
  </si>
  <si>
    <t>G9N2264VJFWPQCLAN</t>
  </si>
  <si>
    <t>G699567753</t>
  </si>
  <si>
    <t>F8Y5447C31J13XCBT</t>
  </si>
  <si>
    <t>F8Y20430XNG13XC80</t>
  </si>
  <si>
    <t>G682824398</t>
  </si>
  <si>
    <t>661-40190</t>
  </si>
  <si>
    <t>Logic Board, 8-core CPU, 10-core GPU, 24 GB, 512 GB</t>
  </si>
  <si>
    <t>HXKHD300131000059P</t>
  </si>
  <si>
    <t>C02H9M001HQ0000F6Z</t>
  </si>
  <si>
    <t>G714316301</t>
  </si>
  <si>
    <t>G9PHLUT11GT00005DP</t>
  </si>
  <si>
    <t>GVCHEJ027X700005DQ</t>
  </si>
  <si>
    <t>G692698618</t>
  </si>
  <si>
    <t>G9PHKCT2BEX00005DP</t>
  </si>
  <si>
    <t>G9NHCJH3V0B00005DP</t>
  </si>
  <si>
    <t>G692578370</t>
  </si>
  <si>
    <t>F8Y6055C5AS18FKBS</t>
  </si>
  <si>
    <t>FG9217525QP18FMAN</t>
  </si>
  <si>
    <t>G710416047</t>
  </si>
  <si>
    <t>F8YHN4C0HVE00006TP</t>
  </si>
  <si>
    <t>F8YGYU300TC00006TR</t>
  </si>
  <si>
    <t>G708836155</t>
  </si>
  <si>
    <t>F8Y5455C1BV13XCBM</t>
  </si>
  <si>
    <t>F5D1397ADN713XD92</t>
  </si>
  <si>
    <t>G708193647</t>
  </si>
  <si>
    <t>L6YKW2PH7G</t>
  </si>
  <si>
    <t>H47Y0CM2P7</t>
  </si>
  <si>
    <t>G708033313</t>
  </si>
  <si>
    <t>FMX544407Q4278YAE</t>
  </si>
  <si>
    <t>DCN343700WF278VA5</t>
  </si>
  <si>
    <t>G687077930</t>
  </si>
  <si>
    <t>F8Y5497N115Q1LTBG</t>
  </si>
  <si>
    <t>F8Y3407H40BQ1LTAT</t>
  </si>
  <si>
    <t>G703965901</t>
  </si>
  <si>
    <t>GMG5493003MNR89B9</t>
  </si>
  <si>
    <t>FP12246013BP3WWBH</t>
  </si>
  <si>
    <t>G701522863</t>
  </si>
  <si>
    <t>G9PHL5T1G5B00005DP</t>
  </si>
  <si>
    <t>GVCHE6026HS00005DQ</t>
  </si>
  <si>
    <t>G699089745</t>
  </si>
  <si>
    <t>LQHJ65JQ4X</t>
  </si>
  <si>
    <t>JMW4NRW6G0</t>
  </si>
  <si>
    <t>G716323163</t>
  </si>
  <si>
    <t>G9PHRVD0HYF0000L4B</t>
  </si>
  <si>
    <t>G9QHPDM1ZHH0000L4B</t>
  </si>
  <si>
    <t>G714078733</t>
  </si>
  <si>
    <t>F8Y6157C8A7217WBN</t>
  </si>
  <si>
    <t>F8Y30352213217W7H</t>
  </si>
  <si>
    <t>G712249713</t>
  </si>
  <si>
    <t>F8Y6066C2XQ13XCBW</t>
  </si>
  <si>
    <t>F5D14131U0U13XD9J</t>
  </si>
  <si>
    <t>G693564676</t>
  </si>
  <si>
    <t>LF21V4LK42</t>
  </si>
  <si>
    <t>HXP90K0HRV</t>
  </si>
  <si>
    <t>G711634955</t>
  </si>
  <si>
    <t>F8Y6056C4VT18FKB2</t>
  </si>
  <si>
    <t>FG940530FNM18FMBS</t>
  </si>
  <si>
    <t>G711010119</t>
  </si>
  <si>
    <t>GH3HPW01X8P0000MUZ</t>
  </si>
  <si>
    <t>G9PHMLE0P100000MUY</t>
  </si>
  <si>
    <t>G692475458</t>
  </si>
  <si>
    <t>F8Y6114C12N18FKB2</t>
  </si>
  <si>
    <t>FG9417509VD18FMBA</t>
  </si>
  <si>
    <t>G691779680</t>
  </si>
  <si>
    <t>F8Y5514C0DZ18FKBS</t>
  </si>
  <si>
    <t>F8Y2151099218FLA0</t>
  </si>
  <si>
    <t>G706583929</t>
  </si>
  <si>
    <t>HKYHNK0047J0000V5W</t>
  </si>
  <si>
    <t>DR8HEJ002Z00000V5W</t>
  </si>
  <si>
    <t>G705601321</t>
  </si>
  <si>
    <t>GMG544400A7NR89BG</t>
  </si>
  <si>
    <t>GMG5365006YNR89BX</t>
  </si>
  <si>
    <t>G703000157</t>
  </si>
  <si>
    <t>DN85267AFA012J511</t>
  </si>
  <si>
    <t>GCF23620THW15F94U</t>
  </si>
  <si>
    <t>F8Y5495C7Z4217WBF</t>
  </si>
  <si>
    <t>F8Y23560TBQ217W78</t>
  </si>
  <si>
    <t>G702636439</t>
  </si>
  <si>
    <t>C97H4C6KDC</t>
  </si>
  <si>
    <t>G2LR3MX72T</t>
  </si>
  <si>
    <t>G701042357</t>
  </si>
  <si>
    <t>DNL4406139P1986BL</t>
  </si>
  <si>
    <t>DNL4022058K1986BW</t>
  </si>
  <si>
    <t>G700742913</t>
  </si>
  <si>
    <t>F0YHKW002HZ0000GVK</t>
  </si>
  <si>
    <t>FP1HGU0072P0000G29</t>
  </si>
  <si>
    <t>G699785691</t>
  </si>
  <si>
    <t>FMX5425058BNTJJA0</t>
  </si>
  <si>
    <t>FMX2334026CNTJJAG</t>
  </si>
  <si>
    <t>G699760023</t>
  </si>
  <si>
    <t>F8Y5433C197M6YND9</t>
  </si>
  <si>
    <t>F8Y94413LH6M6YP7Y</t>
  </si>
  <si>
    <t>G699332297</t>
  </si>
  <si>
    <t>F8YHN2C0AS600006TP</t>
  </si>
  <si>
    <t>F8YGZ43099A00006TR</t>
  </si>
  <si>
    <t>G682411282</t>
  </si>
  <si>
    <t>GMG533700HK1J88AQ</t>
  </si>
  <si>
    <t>FP1446601XE25YTAB</t>
  </si>
  <si>
    <t>G696388666</t>
  </si>
  <si>
    <t>GMG545305JP1J87AA</t>
  </si>
  <si>
    <t>F0Y511700B41J88AB</t>
  </si>
  <si>
    <t>G713194933</t>
  </si>
  <si>
    <t>F8Y6143C62B217WBH</t>
  </si>
  <si>
    <t>F8Y30441ANY217W7L</t>
  </si>
  <si>
    <t>G713031481</t>
  </si>
  <si>
    <t>F8Y6127C2NCQ687BD</t>
  </si>
  <si>
    <t>FG9051423L5Q6893U</t>
  </si>
  <si>
    <t>661-17921</t>
  </si>
  <si>
    <t>Camera, iPhone 12</t>
  </si>
  <si>
    <t>F6D51760B5QMFGR7V</t>
  </si>
  <si>
    <t>DNL05152MAUN1N95L</t>
  </si>
  <si>
    <t>G691411514</t>
  </si>
  <si>
    <t>DNL53020S161986AC</t>
  </si>
  <si>
    <t>DNL405309871986BU</t>
  </si>
  <si>
    <t>HKY236507DQ237RAD</t>
  </si>
  <si>
    <t>DRC347501XV237RAT</t>
  </si>
  <si>
    <t>G709289531</t>
  </si>
  <si>
    <t>C02301302SG1V8LA7</t>
  </si>
  <si>
    <t>C023013049M1V8LAH</t>
  </si>
  <si>
    <t>Top Case, Silver, ANSI, MBP (16-in, 2023)</t>
  </si>
  <si>
    <t>F8Y6122N0960J9TB4</t>
  </si>
  <si>
    <t>F8Y2336H4JL0VC4AH</t>
  </si>
  <si>
    <t>C02321600551V8LAA</t>
  </si>
  <si>
    <t>G706805375</t>
  </si>
  <si>
    <t>C4H506507NLLV74AQ</t>
  </si>
  <si>
    <t>C4H52040E84PY18AS</t>
  </si>
  <si>
    <t>G706147459</t>
  </si>
  <si>
    <t>FG9HNR0070200006TT</t>
  </si>
  <si>
    <t>FG9GYE001SD00006TV</t>
  </si>
  <si>
    <t>G705847079</t>
  </si>
  <si>
    <t>F8Y5455C1H313XCBV</t>
  </si>
  <si>
    <t>F8Y13862LRF13XC8G</t>
  </si>
  <si>
    <t>G688347818</t>
  </si>
  <si>
    <t>F8Y5462C18B217WBZ</t>
  </si>
  <si>
    <t>F8Y24412HZU217W7H</t>
  </si>
  <si>
    <t>G687246844</t>
  </si>
  <si>
    <t>F8Y5366C3DF14LWC1</t>
  </si>
  <si>
    <t>F5D15231L5614LX99</t>
  </si>
  <si>
    <t>G703993563</t>
  </si>
  <si>
    <t>ZP661-20080</t>
  </si>
  <si>
    <t>Silver, 1TB, iPad Pro 11-inch, 3rd gen, Wi-Fi, ITP</t>
  </si>
  <si>
    <t>LVM2P6KV43</t>
  </si>
  <si>
    <t>VJ93V9D167</t>
  </si>
  <si>
    <t>G711664173</t>
  </si>
  <si>
    <t>GH3HRL00HWA0000MUZ</t>
  </si>
  <si>
    <t>G9NHLLM132J0000MUY</t>
  </si>
  <si>
    <t>G709654213</t>
  </si>
  <si>
    <t>LK2KVC62JP</t>
  </si>
  <si>
    <t>J324R722DY</t>
  </si>
  <si>
    <t>G691188716</t>
  </si>
  <si>
    <t>F8Y6054C9H618FKBN</t>
  </si>
  <si>
    <t>FG932450A3C18FMA0</t>
  </si>
  <si>
    <t>G690358230</t>
  </si>
  <si>
    <t>PA661-32615</t>
  </si>
  <si>
    <t>SVC,STUDIO BUDS(VN)LEFT,GRAY,CI/AR</t>
  </si>
  <si>
    <t>HNYMJ0EY1NXW</t>
  </si>
  <si>
    <t>FL6KN2LM1NXW</t>
  </si>
  <si>
    <t>PA661-32616</t>
  </si>
  <si>
    <t>SVC,STUDIO BUDS(VN)RIGHT,GRAY,CI/AR</t>
  </si>
  <si>
    <t>HNYMJ0LV1NXX</t>
  </si>
  <si>
    <t>FL6K3271NXX</t>
  </si>
  <si>
    <t>G707017717</t>
  </si>
  <si>
    <t>GMG606200SHNR89BP</t>
  </si>
  <si>
    <t>FP13327038K249XAJ</t>
  </si>
  <si>
    <t>G687933050</t>
  </si>
  <si>
    <t>F8Y5373C17JQ4C2B4</t>
  </si>
  <si>
    <t>F8Y25130CB7Q4C2AN</t>
  </si>
  <si>
    <t>G704580173</t>
  </si>
  <si>
    <t>FK1HQM000B300001A2</t>
  </si>
  <si>
    <t>DTTH8205KXJ000004D</t>
  </si>
  <si>
    <t>G703953913</t>
  </si>
  <si>
    <t>G9P5385MH5GPQCLA5</t>
  </si>
  <si>
    <t>G9P2152NME3PQCLA7</t>
  </si>
  <si>
    <t>G702927669</t>
  </si>
  <si>
    <t>F8YHN4C0CW900006TP</t>
  </si>
  <si>
    <t>F5DGZ0003RM00006TQ</t>
  </si>
  <si>
    <t>G702264291</t>
  </si>
  <si>
    <t>J3YFMF22KR</t>
  </si>
  <si>
    <t>LYH9G636YJ</t>
  </si>
  <si>
    <t>G701565821</t>
  </si>
  <si>
    <t>FLF33Y66V3</t>
  </si>
  <si>
    <t>DYJ47V0J5J</t>
  </si>
  <si>
    <t>G700608783</t>
  </si>
  <si>
    <t>F8Y5507C3FR18FKBR</t>
  </si>
  <si>
    <t>F8Y34950V8M18FLAA</t>
  </si>
  <si>
    <t>G700459335</t>
  </si>
  <si>
    <t>PA661-34655</t>
  </si>
  <si>
    <t>Beats Studio Buds +, Black/Gold , Case, CI/AR, PAC</t>
  </si>
  <si>
    <t>HWFDGP4J02</t>
  </si>
  <si>
    <t>DFV4FYKP9C</t>
  </si>
  <si>
    <t>G699885289</t>
  </si>
  <si>
    <t>ZP661-50240</t>
  </si>
  <si>
    <t>iPad (A16) Wi-Fi + Cellular, ROW, 128GB, Yellow, CI/AR, CN</t>
  </si>
  <si>
    <t>C336WWNQ94</t>
  </si>
  <si>
    <t>JX9F6GXQH4</t>
  </si>
  <si>
    <t>G698825365</t>
  </si>
  <si>
    <t>D7WV4LTPW7</t>
  </si>
  <si>
    <t>M9T60P6PFV</t>
  </si>
  <si>
    <t>G716687455</t>
  </si>
  <si>
    <t>F8Y6172C2A218FKBF</t>
  </si>
  <si>
    <t>F8Y321206DH18FLAH</t>
  </si>
  <si>
    <t>G714527923</t>
  </si>
  <si>
    <t>G9PHFCK2L1W00005DR</t>
  </si>
  <si>
    <t>GVCH9X03SJP00005DS</t>
  </si>
  <si>
    <t>G713056893</t>
  </si>
  <si>
    <t>F8Y5275C2LGMD2CBK</t>
  </si>
  <si>
    <t>F5D9367718VMD287N</t>
  </si>
  <si>
    <t>G709654345</t>
  </si>
  <si>
    <t>KY7G4YQ45T</t>
  </si>
  <si>
    <t>L6F7YDC6C1</t>
  </si>
  <si>
    <t>G709085927</t>
  </si>
  <si>
    <t>661-50124</t>
  </si>
  <si>
    <t>Trackpad, Silver, MBA (13-in, M4, 2025)</t>
  </si>
  <si>
    <t>FM7HM60B9720000J43</t>
  </si>
  <si>
    <t>661-50107</t>
  </si>
  <si>
    <t>Touch ID Board, Silver/Starlight, MBA (13-in, M4, 2025)</t>
  </si>
  <si>
    <t>F58539305KA2DP7AAB</t>
  </si>
  <si>
    <t>C02HK50027D0000PNB</t>
  </si>
  <si>
    <t>J33HKG01UHF0000P11</t>
  </si>
  <si>
    <t>G707479865</t>
  </si>
  <si>
    <t>F8Y5473C3R014LWCD</t>
  </si>
  <si>
    <t>F5D15063MYQ14LX98</t>
  </si>
  <si>
    <t>G707276915</t>
  </si>
  <si>
    <t>F8Y6057CEQ118FKBY</t>
  </si>
  <si>
    <t>F8Y23440H1W18FLAL</t>
  </si>
  <si>
    <t>G704693227</t>
  </si>
  <si>
    <t>GMGHL600AM10000GVL</t>
  </si>
  <si>
    <t>FP1HGV007RK0000G2A</t>
  </si>
  <si>
    <t>G703215801</t>
  </si>
  <si>
    <t>H6D77G9H17</t>
  </si>
  <si>
    <t>GWKVW7VVVD</t>
  </si>
  <si>
    <t>G702481041</t>
  </si>
  <si>
    <t>K7TYJQ4X6C</t>
  </si>
  <si>
    <t>LNYHJCPFHC</t>
  </si>
  <si>
    <t>G685253294</t>
  </si>
  <si>
    <t>661-27705</t>
  </si>
  <si>
    <t>C02530500041VHTAP</t>
  </si>
  <si>
    <t>FV93243059N1TY4BL</t>
  </si>
  <si>
    <t>G700359613</t>
  </si>
  <si>
    <t>FG95384008PN2YLBS</t>
  </si>
  <si>
    <t>F5D03220GCKN2YN4H</t>
  </si>
  <si>
    <t>G683129798</t>
  </si>
  <si>
    <t>F8Y5431C3TFQ687BX</t>
  </si>
  <si>
    <t>FG910242Y6SQ6893K</t>
  </si>
  <si>
    <t>G9N4311C6HTLQHKAL</t>
  </si>
  <si>
    <t>G9N1055CK9RLQHKAV</t>
  </si>
  <si>
    <t>G698569171</t>
  </si>
  <si>
    <t>MXFD2V552K</t>
  </si>
  <si>
    <t>J7JYQV5D60</t>
  </si>
  <si>
    <t>G715903827</t>
  </si>
  <si>
    <t>F8Y6141C44VQ687BE</t>
  </si>
  <si>
    <t>FG904542Q42Q68C3A</t>
  </si>
  <si>
    <t>G693485688</t>
  </si>
  <si>
    <t>HGJFKG60D7</t>
  </si>
  <si>
    <t>KQTJVT4XTG</t>
  </si>
  <si>
    <t>G711414177</t>
  </si>
  <si>
    <t>F8Y6117C90G217WBL</t>
  </si>
  <si>
    <t>F8Y2374385C217W7A</t>
  </si>
  <si>
    <t>G710580301</t>
  </si>
  <si>
    <t>923-08171</t>
  </si>
  <si>
    <t>AirPods Pro 2, Ear Tips, Medium</t>
  </si>
  <si>
    <t>GXD50840E2</t>
  </si>
  <si>
    <t>G691883412</t>
  </si>
  <si>
    <t>F8YHN4C0CF800006TP</t>
  </si>
  <si>
    <t>F8YGZH30UDW00006TR</t>
  </si>
  <si>
    <t>G709748031</t>
  </si>
  <si>
    <t>CGJVQGK3MT</t>
  </si>
  <si>
    <t>KMVP7R16G6</t>
  </si>
  <si>
    <t>G708733481</t>
  </si>
  <si>
    <t>DNL53020S311986AB</t>
  </si>
  <si>
    <t>DNL4096064L1986BF</t>
  </si>
  <si>
    <t>G707167473</t>
  </si>
  <si>
    <t>PA661-49991</t>
  </si>
  <si>
    <t>Powerbeats Pro 2, Right, Electric Orange, VN, PAC</t>
  </si>
  <si>
    <t>H2CHP8001LR0000XFQ</t>
  </si>
  <si>
    <t>H2DHH20012C0000XFQ</t>
  </si>
  <si>
    <t>G706950145</t>
  </si>
  <si>
    <t>F8Y5255C1D6MD2CBP</t>
  </si>
  <si>
    <t>F5D94210XD2MD2878</t>
  </si>
  <si>
    <t>G703712185</t>
  </si>
  <si>
    <t>GVCHND01YTS0000MUZ</t>
  </si>
  <si>
    <t>G9NHPCX4K910000MUY</t>
  </si>
  <si>
    <t>G686017802</t>
  </si>
  <si>
    <t>F8Y5497C4WH13RHC3</t>
  </si>
  <si>
    <t>F5D21741J8713RKAF</t>
  </si>
  <si>
    <t>G701538963</t>
  </si>
  <si>
    <t>FG9HNL003XB00006TT</t>
  </si>
  <si>
    <t>FG9GYE00YCN00006TV</t>
  </si>
  <si>
    <t>G700077435</t>
  </si>
  <si>
    <t>G9P4305CBDG1502AA</t>
  </si>
  <si>
    <t>GVH2447JWPV1501A4</t>
  </si>
  <si>
    <t>G699899623</t>
  </si>
  <si>
    <t>FW776CYWHM</t>
  </si>
  <si>
    <t>L0V7KPNW4P</t>
  </si>
  <si>
    <t>G699574847</t>
  </si>
  <si>
    <t>D865435N0UNPJYRBM</t>
  </si>
  <si>
    <t>D862364A46XPJYRAD</t>
  </si>
  <si>
    <t>G698547043</t>
  </si>
  <si>
    <t>F8Y5447C5Q218FKB8</t>
  </si>
  <si>
    <t>F8Y13831YAR18FKA7</t>
  </si>
  <si>
    <t>G711994855</t>
  </si>
  <si>
    <t>F8Y6113C5ZQ18FKB6</t>
  </si>
  <si>
    <t>FG920462YHN18FM4A</t>
  </si>
  <si>
    <t>G711546507</t>
  </si>
  <si>
    <t>F8Y6103CCPJ14LWCD</t>
  </si>
  <si>
    <t>F8Y31520BJ414LW8J</t>
  </si>
  <si>
    <t>GVC34362340Q2PHAL</t>
  </si>
  <si>
    <t>GVC23950511Q2PHAK</t>
  </si>
  <si>
    <t>G711543137</t>
  </si>
  <si>
    <t>C475494419Z2501A8</t>
  </si>
  <si>
    <t>F0Y552400WB2525A8</t>
  </si>
  <si>
    <t>FP1401501MA216QAE</t>
  </si>
  <si>
    <t>G710977381</t>
  </si>
  <si>
    <t>HYQV95M4D9</t>
  </si>
  <si>
    <t>G709518601</t>
  </si>
  <si>
    <t>F8Y6011C4GJ20J9B5</t>
  </si>
  <si>
    <t>F8Y23961K6H20JC2Q</t>
  </si>
  <si>
    <t>G706738021</t>
  </si>
  <si>
    <t>KYHN47XH9F</t>
  </si>
  <si>
    <t>MR4T9049Q6</t>
  </si>
  <si>
    <t>G705325415</t>
  </si>
  <si>
    <t>F8Y5455C02813XCB2</t>
  </si>
  <si>
    <t>F8Y20460HWX13XC86</t>
  </si>
  <si>
    <t>G702790929</t>
  </si>
  <si>
    <t>F8Y5506CDCP18FKBT</t>
  </si>
  <si>
    <t>FG920660V2B18FM41</t>
  </si>
  <si>
    <t>G702787189</t>
  </si>
  <si>
    <t>FNHF95NVWN</t>
  </si>
  <si>
    <t>M5766QWGXM</t>
  </si>
  <si>
    <t>G702271087</t>
  </si>
  <si>
    <t>F8Y5456C6XB18FKB9</t>
  </si>
  <si>
    <t>F8Y22561JDR18FLAF</t>
  </si>
  <si>
    <t>G702148349</t>
  </si>
  <si>
    <t>F8Y5501C24A13XCBA</t>
  </si>
  <si>
    <t>F5D20411JSG13X99U</t>
  </si>
  <si>
    <t>G701047725</t>
  </si>
  <si>
    <t>F8Y5445C7DG18FKBT</t>
  </si>
  <si>
    <t>F8Y135416YB18FKAP</t>
  </si>
  <si>
    <t>G698191673</t>
  </si>
  <si>
    <t>F8Y5356C8ED13RHCX</t>
  </si>
  <si>
    <t>F5D1456DC8313RJ9X</t>
  </si>
  <si>
    <t>G714071017</t>
  </si>
  <si>
    <t>F8Y5502C3CX13RHC7</t>
  </si>
  <si>
    <t>F8Y13960ADM13RHBV</t>
  </si>
  <si>
    <t>G713972451</t>
  </si>
  <si>
    <t>D865182N20DPJYRB1</t>
  </si>
  <si>
    <t>D863335A678PJYRA2</t>
  </si>
  <si>
    <t>G713478107</t>
  </si>
  <si>
    <t>GH3HRT01AU90000MUZ</t>
  </si>
  <si>
    <t>G9NHL1M67GT0000MUY</t>
  </si>
  <si>
    <t>G694508752</t>
  </si>
  <si>
    <t>F8Y6126C8J120J9B3</t>
  </si>
  <si>
    <t>F5D239685GM20J79V</t>
  </si>
  <si>
    <t>G711883235</t>
  </si>
  <si>
    <t>F8Y5455C6Q413XCB2</t>
  </si>
  <si>
    <t>F5D13930ZBF13X99B</t>
  </si>
  <si>
    <t>G711216625</t>
  </si>
  <si>
    <t>GX0KRXGHWG</t>
  </si>
  <si>
    <t>MN95FVV2XW</t>
  </si>
  <si>
    <t>G706498955</t>
  </si>
  <si>
    <t>F8Y5501C5ZKQ4C2BA</t>
  </si>
  <si>
    <t>F8Y04732MVXQ4C29P</t>
  </si>
  <si>
    <t>G706327345</t>
  </si>
  <si>
    <t>F8Y5447C5GP18FKBB</t>
  </si>
  <si>
    <t>FG9224415UU18FMAH</t>
  </si>
  <si>
    <t>G703024969</t>
  </si>
  <si>
    <t>KHKQYX423R</t>
  </si>
  <si>
    <t>JCWJXML9PC</t>
  </si>
  <si>
    <t>G701527407</t>
  </si>
  <si>
    <t>HT24QK0JHM</t>
  </si>
  <si>
    <t>K99MPP4QF9</t>
  </si>
  <si>
    <t>G684636030</t>
  </si>
  <si>
    <t>F8Y5515CAES13XCBH</t>
  </si>
  <si>
    <t>F5D2156645313X9AP</t>
  </si>
  <si>
    <t>G683108030</t>
  </si>
  <si>
    <t>G9P5326Q8RV1PHRAW</t>
  </si>
  <si>
    <t>GH340870ELT1PHTAS</t>
  </si>
  <si>
    <t>G699455727</t>
  </si>
  <si>
    <t>F8Y5433C83ZM6YNDU</t>
  </si>
  <si>
    <t>F8Y247700JGM6YMBA</t>
  </si>
  <si>
    <t>G713940979</t>
  </si>
  <si>
    <t>F8Y6135C14414LWCG</t>
  </si>
  <si>
    <t>F5D22632VR614LXAQ</t>
  </si>
  <si>
    <t>G713379783</t>
  </si>
  <si>
    <t>F8Y6177C609231LB4</t>
  </si>
  <si>
    <t>F8Y24540H27217X7U</t>
  </si>
  <si>
    <t>G711850141</t>
  </si>
  <si>
    <t>F8Y6031N0FQ13QFCB</t>
  </si>
  <si>
    <t>F8Y4273LZ0Z13QFCA</t>
  </si>
  <si>
    <t>G711734399</t>
  </si>
  <si>
    <t>F8YHRND09QV00006TP</t>
  </si>
  <si>
    <t>F5DGXW008AK00006TQ</t>
  </si>
  <si>
    <t>G693142370</t>
  </si>
  <si>
    <t>J9KHS6001KD0000XXL</t>
  </si>
  <si>
    <t>DR8HKS0022X0001AWY</t>
  </si>
  <si>
    <t>G709840695</t>
  </si>
  <si>
    <t>G0NHJK007M20000HKZ</t>
  </si>
  <si>
    <t>FNJHC5B05MY0000BXF</t>
  </si>
  <si>
    <t>G690005924</t>
  </si>
  <si>
    <t>G0NHN80338G0000YJ1</t>
  </si>
  <si>
    <t>DTTHMT01LUV0000QTV</t>
  </si>
  <si>
    <t>G707472265</t>
  </si>
  <si>
    <t>F8Y6057CG5N18FKBY</t>
  </si>
  <si>
    <t>FG933450C1M18FMAU</t>
  </si>
  <si>
    <t>G705923615</t>
  </si>
  <si>
    <t>GHQ603600782FT8AD</t>
  </si>
  <si>
    <t>GHQ132201MW167PAQ</t>
  </si>
  <si>
    <t>G703721055</t>
  </si>
  <si>
    <t>G9PHKLG2ESY00005DP</t>
  </si>
  <si>
    <t>GVCHEL0103H00005DQ</t>
  </si>
  <si>
    <t>G702996101</t>
  </si>
  <si>
    <t>KH79QF2HCG</t>
  </si>
  <si>
    <t>FWKG32V3QH</t>
  </si>
  <si>
    <t>G686103530</t>
  </si>
  <si>
    <t>F8Y5507C5QK18FKB2</t>
  </si>
  <si>
    <t>F8Y23910JKG18FLA1</t>
  </si>
  <si>
    <t>G702206017</t>
  </si>
  <si>
    <t>LQ4GN4K4G9</t>
  </si>
  <si>
    <t>F9GQJ3DGC5</t>
  </si>
  <si>
    <t>G701557221</t>
  </si>
  <si>
    <t>F8Y5464C85H217WBT</t>
  </si>
  <si>
    <t>F5D2415F77621PK7G</t>
  </si>
  <si>
    <t>G700702603</t>
  </si>
  <si>
    <t>F8Y5433C2KAM6YND9</t>
  </si>
  <si>
    <t>F8Y31210DCVM6YNBN</t>
  </si>
  <si>
    <t>G699143663</t>
  </si>
  <si>
    <t>F8Y5442C3TR13XCBF</t>
  </si>
  <si>
    <t>F5D14170F7213X995</t>
  </si>
  <si>
    <t>G698560503</t>
  </si>
  <si>
    <t>D7D0C5W6T0</t>
  </si>
  <si>
    <t>JC41PY4P4Y</t>
  </si>
  <si>
    <t>G682294242</t>
  </si>
  <si>
    <t>F8Y5462C28120J9BX</t>
  </si>
  <si>
    <t>F5D32077H2B20J8AQ</t>
  </si>
  <si>
    <t>G9P5261NFLN14YDAX</t>
  </si>
  <si>
    <t>GVC3152175B14YFAE</t>
  </si>
  <si>
    <t>G716552185</t>
  </si>
  <si>
    <t>F8Y6184CA3918FKBG</t>
  </si>
  <si>
    <t>FG9413606CW18FMBQ</t>
  </si>
  <si>
    <t>G714629173</t>
  </si>
  <si>
    <t>F8Y6136C1DLM6YNDF</t>
  </si>
  <si>
    <t>FG915270HMMM6YRCN</t>
  </si>
  <si>
    <t>G713082403</t>
  </si>
  <si>
    <t>G9PHLXT187H00005DP</t>
  </si>
  <si>
    <t>GVCHDT00BR900005DQ</t>
  </si>
  <si>
    <t>G710340333</t>
  </si>
  <si>
    <t>F8YHN4C0ERN00006TP</t>
  </si>
  <si>
    <t>F5DGYT003G900006TN</t>
  </si>
  <si>
    <t>G691510280</t>
  </si>
  <si>
    <t>F8Y6061C3HN18FKBC</t>
  </si>
  <si>
    <t>F8Y14823AVX18FLAT</t>
  </si>
  <si>
    <t>G709261593</t>
  </si>
  <si>
    <t>HFLFF41K4H</t>
  </si>
  <si>
    <t>F71XL7KXNV</t>
  </si>
  <si>
    <t>G690916956</t>
  </si>
  <si>
    <t>F8Y6053C9RS18FKBD</t>
  </si>
  <si>
    <t>FG9411608L118FMBZ</t>
  </si>
  <si>
    <t>G707289577</t>
  </si>
  <si>
    <t>F8Y5514C8KY18FKB1</t>
  </si>
  <si>
    <t>F8Y24211QUJ18FLAH</t>
  </si>
  <si>
    <t>G687457194</t>
  </si>
  <si>
    <t>F8Y5421C3FS18FKBR</t>
  </si>
  <si>
    <t>F8Y1462169018FKAZ</t>
  </si>
  <si>
    <t>G704465837</t>
  </si>
  <si>
    <t>M5JCY50471</t>
  </si>
  <si>
    <t>G704255133</t>
  </si>
  <si>
    <t>F8YHN0C0DRP00006TP</t>
  </si>
  <si>
    <t>F8YGYH30C9X00006TR</t>
  </si>
  <si>
    <t>G686670016</t>
  </si>
  <si>
    <t>HKY23360J361LK1AY</t>
  </si>
  <si>
    <t>HKY331604X91LK1AW</t>
  </si>
  <si>
    <t>DNL512107CA1986BN</t>
  </si>
  <si>
    <t>DNL3343183A1986B7</t>
  </si>
  <si>
    <t>G702642567</t>
  </si>
  <si>
    <t>F8Y5466CA0218FKB2</t>
  </si>
  <si>
    <t>FG92036040818FN56</t>
  </si>
  <si>
    <t>G701522659</t>
  </si>
  <si>
    <t>G9PHJ7U0G2R00005DR</t>
  </si>
  <si>
    <t>GH3HDV0176W00005DS</t>
  </si>
  <si>
    <t>G701410037</t>
  </si>
  <si>
    <t>G1C206YXYM</t>
  </si>
  <si>
    <t>H0GFP6HXD0</t>
  </si>
  <si>
    <t>G684389588</t>
  </si>
  <si>
    <t>GMG545400PX1J88AQ</t>
  </si>
  <si>
    <t>GMG406303S91J87A6</t>
  </si>
  <si>
    <t>G683110082</t>
  </si>
  <si>
    <t>FV95157019Z0W9FLY</t>
  </si>
  <si>
    <t>G698561505</t>
  </si>
  <si>
    <t>CVVWHYW6KQ</t>
  </si>
  <si>
    <t>MVQ4FC4L9F</t>
  </si>
  <si>
    <t>G698327581</t>
  </si>
  <si>
    <t>FV9517500N00W9FLP</t>
  </si>
  <si>
    <t>FV9539504D80W9GLV</t>
  </si>
  <si>
    <t>G698320931</t>
  </si>
  <si>
    <t>G9P5363M5AQPQCLA2</t>
  </si>
  <si>
    <t>G9P2076MA2EPQCLA3</t>
  </si>
  <si>
    <t>G713386573</t>
  </si>
  <si>
    <t>Top Case, ANSI, Space Black, MBP (14-in, M4 Pro/Max, 2024)</t>
  </si>
  <si>
    <t>F8YHPJN08PK0000FWL</t>
  </si>
  <si>
    <t>F5DHAZ001Y40000FWH</t>
  </si>
  <si>
    <t>FMXHRL000NQ00006J3</t>
  </si>
  <si>
    <t>FP1HAU008AN0000FQX</t>
  </si>
  <si>
    <t>G713154727</t>
  </si>
  <si>
    <t>F8Y5472N04313QFCH</t>
  </si>
  <si>
    <t>F8Y409205U913QFC1</t>
  </si>
  <si>
    <t>G692814256</t>
  </si>
  <si>
    <t>SC5Y6DW7M6M</t>
  </si>
  <si>
    <t>D6X6D9X7Q0</t>
  </si>
  <si>
    <t>G710543603</t>
  </si>
  <si>
    <t>J22R39TG26K0</t>
  </si>
  <si>
    <t>G709296077</t>
  </si>
  <si>
    <t>F8Y6105C16TQ687BM</t>
  </si>
  <si>
    <t>FG9045409J2Q68C3P</t>
  </si>
  <si>
    <t>G706294993</t>
  </si>
  <si>
    <t>F8Y5366CK5G14LWC8</t>
  </si>
  <si>
    <t>F8Y14960PJ314LW8U</t>
  </si>
  <si>
    <t>GVC32060FK0Q2PHAE</t>
  </si>
  <si>
    <t>GVC13912L2QQ2PHAD</t>
  </si>
  <si>
    <t>G702474215</t>
  </si>
  <si>
    <t>F8Y5501C27T13XCBJ</t>
  </si>
  <si>
    <t>F8Y22850DB413XC8D</t>
  </si>
  <si>
    <t>G701538707</t>
  </si>
  <si>
    <t>F8Y5353CFM413RHCF</t>
  </si>
  <si>
    <t>F5D21349YL013RJAV</t>
  </si>
  <si>
    <t>G700862315</t>
  </si>
  <si>
    <t>J37NP42GCY</t>
  </si>
  <si>
    <t>X1M4HQG4ML</t>
  </si>
  <si>
    <t>G700206379</t>
  </si>
  <si>
    <t>G9P5211PHR914YCA6</t>
  </si>
  <si>
    <t>G9P2512Q81K14YCAB</t>
  </si>
  <si>
    <t>G699907601</t>
  </si>
  <si>
    <t>F8Y5433CB4EM6YND7</t>
  </si>
  <si>
    <t>FG993910DLPM6YR82</t>
  </si>
  <si>
    <t>G698997399</t>
  </si>
  <si>
    <t>GMG541300RC1J88AG</t>
  </si>
  <si>
    <t>FP15032047B25YTAV</t>
  </si>
  <si>
    <t>G711560149</t>
  </si>
  <si>
    <t>GMGHLG002GT0000GVK</t>
  </si>
  <si>
    <t>GMGHPC0035F0000GVK</t>
  </si>
  <si>
    <t>G710982423</t>
  </si>
  <si>
    <t>F8YHRSD003400006TP</t>
  </si>
  <si>
    <t>F8YH043108200006TR</t>
  </si>
  <si>
    <t>G690809624</t>
  </si>
  <si>
    <t>C02HD0000EV0000P0R</t>
  </si>
  <si>
    <t>C02HD8000F80000KL3</t>
  </si>
  <si>
    <t>F8YHRDN02MA0000G43</t>
  </si>
  <si>
    <t>F5DHBY0088J0000G45</t>
  </si>
  <si>
    <t>GMGHLG005ZT0000GVL</t>
  </si>
  <si>
    <t>FP1HD4006GL0000G2A</t>
  </si>
  <si>
    <t>661-50109</t>
  </si>
  <si>
    <t>Lid Angle Sensor, MBA (13-in, M4, 2025)</t>
  </si>
  <si>
    <t>CKXHKD066N400009JU</t>
  </si>
  <si>
    <t>FM7HMT0AE690000J45</t>
  </si>
  <si>
    <t>923-12398</t>
  </si>
  <si>
    <t>Bottom Case, Starlight, MBA (13-in, M4, 2025)</t>
  </si>
  <si>
    <t>FKSHMF0010Y0000PBK</t>
  </si>
  <si>
    <t>G706451459</t>
  </si>
  <si>
    <t>F8Y5493C2D7217WBB</t>
  </si>
  <si>
    <t>F8Y32340C3N217WAC</t>
  </si>
  <si>
    <t>G705804263</t>
  </si>
  <si>
    <t>G0NHKR00ZGC0000YJ1</t>
  </si>
  <si>
    <t>GMHHJG00U0D0000QSK</t>
  </si>
  <si>
    <t>G704998453</t>
  </si>
  <si>
    <t>G9PHLXT0QW300005DP</t>
  </si>
  <si>
    <t>G9NHA4J1XLB00005DP</t>
  </si>
  <si>
    <t>G703766507</t>
  </si>
  <si>
    <t>KTCY49Q17R</t>
  </si>
  <si>
    <t>LJFGVJ4LRL</t>
  </si>
  <si>
    <t>G703517037</t>
  </si>
  <si>
    <t>F8Y5502C2Y013RHCD</t>
  </si>
  <si>
    <t>F5D14868HYH13RJ9E</t>
  </si>
  <si>
    <t>G700935325</t>
  </si>
  <si>
    <t>F8Y5483C6G5Q4C2BF</t>
  </si>
  <si>
    <t>F5D10740Y9WQ4929E</t>
  </si>
  <si>
    <t>G698536183</t>
  </si>
  <si>
    <t>J9KHJL00GX50000FD3</t>
  </si>
  <si>
    <t>FNJH9HK0SPE0000882</t>
  </si>
  <si>
    <t>G698300523</t>
  </si>
  <si>
    <t>D957P66H3Y</t>
  </si>
  <si>
    <t>MWJXV49XJN</t>
  </si>
  <si>
    <t>G710196357</t>
  </si>
  <si>
    <t>F8Y5366C56CQ687BE</t>
  </si>
  <si>
    <t>FG90375FAZ4Q6893V</t>
  </si>
  <si>
    <t>G715279237</t>
  </si>
  <si>
    <t>G9Q5177PNEVPR5QA6</t>
  </si>
  <si>
    <t>GVH51011RFRPR5PAB</t>
  </si>
  <si>
    <t>G714536033</t>
  </si>
  <si>
    <t>F8Y6162C1NZ18FKBL</t>
  </si>
  <si>
    <t>FG941940N9Q18FMB7</t>
  </si>
  <si>
    <t>G712351583</t>
  </si>
  <si>
    <t>DRCHR9005B80000WDL</t>
  </si>
  <si>
    <t>DRCHNS000DR0000WDL</t>
  </si>
  <si>
    <t>GCFHPF09AWA0000QT9</t>
  </si>
  <si>
    <t>GCFHP60474R0000QT9</t>
  </si>
  <si>
    <t>DNPHR001JNG0001BHN</t>
  </si>
  <si>
    <t>GMHHNC03LJA0000M4H</t>
  </si>
  <si>
    <t>GVCHP301BSX0000U6M</t>
  </si>
  <si>
    <t>G9PHP3K1XVF0000MTE</t>
  </si>
  <si>
    <t>G702038117</t>
  </si>
  <si>
    <t>G9P5456SPJ421KHAY</t>
  </si>
  <si>
    <t>GVH435215HE1PHLAN</t>
  </si>
  <si>
    <t>G700462747</t>
  </si>
  <si>
    <t>GVH509506MSPR5PAJ</t>
  </si>
  <si>
    <t>GVH50852TC8PR5PA5</t>
  </si>
  <si>
    <t>G700195823</t>
  </si>
  <si>
    <t>FG9HM60065L00006TT</t>
  </si>
  <si>
    <t>F5DH6E002YT00006TU</t>
  </si>
  <si>
    <t>G716066071</t>
  </si>
  <si>
    <t>G9P5385MD0TPQCLAD</t>
  </si>
  <si>
    <t>G9P2123S5KPPQCLAJ</t>
  </si>
  <si>
    <t>G715453623</t>
  </si>
  <si>
    <t>661-15956</t>
  </si>
  <si>
    <t>F8Y6156N0PRJ7PYD4</t>
  </si>
  <si>
    <t>F8Y021202VHJ7PYCS</t>
  </si>
  <si>
    <t>G715076561</t>
  </si>
  <si>
    <t>FG9HP7003DX00006TT</t>
  </si>
  <si>
    <t>F5DGZK01R6V00006TU</t>
  </si>
  <si>
    <t>G704474109</t>
  </si>
  <si>
    <t>F5D42722ASULTDMBS</t>
  </si>
  <si>
    <t>F5D945272BXLTDM8R</t>
  </si>
  <si>
    <t>G713179121</t>
  </si>
  <si>
    <t>DRCHL8003FX0000U64</t>
  </si>
  <si>
    <t>DRCHEZ00PSG0000U64</t>
  </si>
  <si>
    <t>G9PHJVS1WQT00005DR</t>
  </si>
  <si>
    <t>GVCHES02X4T00005DS</t>
  </si>
  <si>
    <t>G712892609</t>
  </si>
  <si>
    <t>FMXHQ300D1R00006J3</t>
  </si>
  <si>
    <t>FMXHFJ0016M00006J3</t>
  </si>
  <si>
    <t>G706500561</t>
  </si>
  <si>
    <t>G9P4222MP4BPQCLAY</t>
  </si>
  <si>
    <t>G9N1441UAQYPQCLAE</t>
  </si>
  <si>
    <t>G706485215</t>
  </si>
  <si>
    <t>G9NHF8P27BZ00005DR</t>
  </si>
  <si>
    <t>GH3H9Y01F5Q00005DS</t>
  </si>
  <si>
    <t>G706126009</t>
  </si>
  <si>
    <t>F8Y5455C0CT13XCBM</t>
  </si>
  <si>
    <t>F5D20913L3313XD9F</t>
  </si>
  <si>
    <t>G700981193</t>
  </si>
  <si>
    <t>D865435N0WEPJYRBP</t>
  </si>
  <si>
    <t>G699889873</t>
  </si>
  <si>
    <t>D90LQXLRWM</t>
  </si>
  <si>
    <t>G27W179VNT</t>
  </si>
  <si>
    <t>G716558433</t>
  </si>
  <si>
    <t>F8Y6095C1MV13RHCQ</t>
  </si>
  <si>
    <t>F5D13811U9E13RK9Z</t>
  </si>
  <si>
    <t>G711445009</t>
  </si>
  <si>
    <t>F8Y6142C2YF18FKBD</t>
  </si>
  <si>
    <t>F8Y41130KFQ18FLBK</t>
  </si>
  <si>
    <t>G709866381</t>
  </si>
  <si>
    <t>G9P5162LFS8PQCKA1</t>
  </si>
  <si>
    <t>G9P2071J46GPQCKAA</t>
  </si>
  <si>
    <t>F8Y6023C2H613RHCD</t>
  </si>
  <si>
    <t>F8Y203107KK13RFB7</t>
  </si>
  <si>
    <t>G704833417</t>
  </si>
  <si>
    <t>L2G9TM76KR</t>
  </si>
  <si>
    <t>G708590399</t>
  </si>
  <si>
    <t>K0GQMHHD4M</t>
  </si>
  <si>
    <t>G706298291</t>
  </si>
  <si>
    <t>JWT57KT790</t>
  </si>
  <si>
    <t>G702707085</t>
  </si>
  <si>
    <t>F8Y31930AX4M6YNB4</t>
  </si>
  <si>
    <t>F8Y3186093RM6YNB0</t>
  </si>
  <si>
    <t>G700727033</t>
  </si>
  <si>
    <t>HKGQX266GWTJ</t>
  </si>
  <si>
    <t>G683105778</t>
  </si>
  <si>
    <t>F8Y5451C08P13XCB7</t>
  </si>
  <si>
    <t>F8Y20251F0W13XC81</t>
  </si>
  <si>
    <t>G712678449</t>
  </si>
  <si>
    <t>FV9518308TZ0W9GLZ</t>
  </si>
  <si>
    <t>G710525411</t>
  </si>
  <si>
    <t>C4PHRQD277A0000J14</t>
  </si>
  <si>
    <t>G709764241</t>
  </si>
  <si>
    <t>G9PHKXT3C0700005DP</t>
  </si>
  <si>
    <t>GVCHG101QC700005DQ</t>
  </si>
  <si>
    <t>G707632947</t>
  </si>
  <si>
    <t>HWJMVMD4TL</t>
  </si>
  <si>
    <t>G688442066</t>
  </si>
  <si>
    <t>HKGR32LQGWTJ</t>
  </si>
  <si>
    <t>G702003703</t>
  </si>
  <si>
    <t>G9P5386M1DSPQCLAL</t>
  </si>
  <si>
    <t>G9Q1391XKC7PQCLA7</t>
  </si>
  <si>
    <t>G699373295</t>
  </si>
  <si>
    <t>F0YHMJ0034A0000UJX</t>
  </si>
  <si>
    <t>F0YHJV001JG0000UJX</t>
  </si>
  <si>
    <t>G682552820</t>
  </si>
  <si>
    <t>ZP661-12702</t>
  </si>
  <si>
    <t>iPad mini (5th gen), Wi-Fi, 256GB, Space Gray, ITP</t>
  </si>
  <si>
    <t>F6QKH01PLM99</t>
  </si>
  <si>
    <t>G714625333</t>
  </si>
  <si>
    <t>G9P4231MCN3PQCLAV</t>
  </si>
  <si>
    <t>G9N133429Q7PQCLAH</t>
  </si>
  <si>
    <t>G694482106</t>
  </si>
  <si>
    <t>F0Y611600X32526AE</t>
  </si>
  <si>
    <t>FP1414607G5216RAG</t>
  </si>
  <si>
    <t>G690516322</t>
  </si>
  <si>
    <t>D9F9654H22</t>
  </si>
  <si>
    <t>L200224TKX</t>
  </si>
  <si>
    <t>G702693903</t>
  </si>
  <si>
    <t>F8YGY800CLM00006TP</t>
  </si>
  <si>
    <t>F8YH1Q339G800006TR</t>
  </si>
  <si>
    <t>G702146137</t>
  </si>
  <si>
    <t>F8Y5043CA2WQ687BF</t>
  </si>
  <si>
    <t>F8Y05221LC0Q6872E</t>
  </si>
  <si>
    <t>G9P0422QA1RLQHKA2</t>
  </si>
  <si>
    <t>G9P1016EFHFLQHKAP</t>
  </si>
  <si>
    <t>G698419299</t>
  </si>
  <si>
    <t>F8Y5393C2KH18FKB1</t>
  </si>
  <si>
    <t>F8Y15021J2T18FLAX</t>
  </si>
  <si>
    <t>G713819021</t>
  </si>
  <si>
    <t>PP661-28927</t>
  </si>
  <si>
    <t>Yellow, iPad 10th generation, 64GB, Cellular, Philippines</t>
  </si>
  <si>
    <t>K0G9YPWHHJ</t>
  </si>
  <si>
    <t>G694199136</t>
  </si>
  <si>
    <t>F8Y6154C49V18FKBT</t>
  </si>
  <si>
    <t>FG9422401B218FMBW</t>
  </si>
  <si>
    <t>G709999939</t>
  </si>
  <si>
    <t>F8Y6055CH6T18FKBR</t>
  </si>
  <si>
    <t>FG932730EVF18FMAA</t>
  </si>
  <si>
    <t>G706852207</t>
  </si>
  <si>
    <t>D865507N0Q0PJYRBT</t>
  </si>
  <si>
    <t>F5D50241RF3PJYVCG</t>
  </si>
  <si>
    <t>G706489537</t>
  </si>
  <si>
    <t>H472MKHCQ3</t>
  </si>
  <si>
    <t>G704879133</t>
  </si>
  <si>
    <t>D865433N4AL1LP9C9</t>
  </si>
  <si>
    <t>F5D30751Z5V1LPF6P</t>
  </si>
  <si>
    <t>G704119231</t>
  </si>
  <si>
    <t>F8Y5507C2NM18FKB9</t>
  </si>
  <si>
    <t>FG921742PWH18FMAT</t>
  </si>
  <si>
    <t>G702627069</t>
  </si>
  <si>
    <t>F8Y5451C1AR13XCBY</t>
  </si>
  <si>
    <t>F8Y20520V3513X884</t>
  </si>
  <si>
    <t>G712664053</t>
  </si>
  <si>
    <t>JJQH2J0QW2</t>
  </si>
  <si>
    <t>G708602557</t>
  </si>
  <si>
    <t>F8Y5426C7WP18FKB8</t>
  </si>
  <si>
    <t>F8Y31770M8218FLAA</t>
  </si>
  <si>
    <t>G687754616</t>
  </si>
  <si>
    <t>GMG544301YX1J88A0</t>
  </si>
  <si>
    <t>GMG412305ML1J87AK</t>
  </si>
  <si>
    <t>G691490148</t>
  </si>
  <si>
    <t>D1QR41TVX9</t>
  </si>
  <si>
    <t>M4KL4QTMQ6</t>
  </si>
  <si>
    <t>G704743069</t>
  </si>
  <si>
    <t>F8Y5495C18V217WB3</t>
  </si>
  <si>
    <t>F5D233544S721PK7P</t>
  </si>
  <si>
    <t>G683836996</t>
  </si>
  <si>
    <t>GMG548702MSNR89BF</t>
  </si>
  <si>
    <t>FP1135309Y8P3WWAY</t>
  </si>
  <si>
    <t>G683125358</t>
  </si>
  <si>
    <t>G9Q5413XG531502AD</t>
  </si>
  <si>
    <t>GVC437509VT1503AL</t>
  </si>
  <si>
    <t>G698299047</t>
  </si>
  <si>
    <t>H4PQ46NX5F</t>
  </si>
  <si>
    <t>GVK0DHFF74</t>
  </si>
  <si>
    <t>G698291807</t>
  </si>
  <si>
    <t>G9PHK2S2EA700005DR</t>
  </si>
  <si>
    <t>GH3H8A01VK200005DS</t>
  </si>
  <si>
    <t>G709960257</t>
  </si>
  <si>
    <t>F8Y5426C7M518FKBK</t>
  </si>
  <si>
    <t>FG930461FW418FNAM</t>
  </si>
  <si>
    <t>G701782473</t>
  </si>
  <si>
    <t>GMG5443027X1J87A7</t>
  </si>
  <si>
    <t>FP1503305D225YVAG</t>
  </si>
  <si>
    <t>G714769103</t>
  </si>
  <si>
    <t>GH3HE2001KP00005DS</t>
  </si>
  <si>
    <t>GH3HDZ02D6G00005DS</t>
  </si>
  <si>
    <t>G693901378</t>
  </si>
  <si>
    <t>F0T519311CV0V7CAP</t>
  </si>
  <si>
    <t>G708492047</t>
  </si>
  <si>
    <t>G9PHJ6U0DRK00005DR</t>
  </si>
  <si>
    <t>GH3HER00GB600005DS</t>
  </si>
  <si>
    <t>G685787514</t>
  </si>
  <si>
    <t>F8Y6051C07LJKGTC8</t>
  </si>
  <si>
    <t>FG991230SR2JKGXAE</t>
  </si>
  <si>
    <t>DXY4223CJBLJHYK4A</t>
  </si>
  <si>
    <t>DXY91053HZWJHYK4L</t>
  </si>
  <si>
    <t>G702090843</t>
  </si>
  <si>
    <t>G9P5346MJ7PPQCLA2</t>
  </si>
  <si>
    <t>G9P1506TM0QPQCLAP</t>
  </si>
  <si>
    <t>G710285313</t>
  </si>
  <si>
    <t>DRCHRX001AA0000AY0</t>
  </si>
  <si>
    <t>HKYGWB00HH20000AY0</t>
  </si>
  <si>
    <t>G708240187</t>
  </si>
  <si>
    <t>F8Y6042C7MF217WBR</t>
  </si>
  <si>
    <t>F8Y323411PU217WAN</t>
  </si>
  <si>
    <t>G701204285</t>
  </si>
  <si>
    <t>GNP42F2G40</t>
  </si>
  <si>
    <t>G701076025</t>
  </si>
  <si>
    <t>F8YHN4C0RS000006TP</t>
  </si>
  <si>
    <t>F5DGZA00VAT00006TQ</t>
  </si>
  <si>
    <t>G683209288</t>
  </si>
  <si>
    <t>K5VX0M91C3</t>
  </si>
  <si>
    <t>G699138383</t>
  </si>
  <si>
    <t>GMGHLH000DA0000GVK</t>
  </si>
  <si>
    <t>FP1HHC002T40000G2A</t>
  </si>
  <si>
    <t>G694631620</t>
  </si>
  <si>
    <t>C4X7C2GVV0</t>
  </si>
  <si>
    <t>LPF76R40XD</t>
  </si>
  <si>
    <t>G710640963</t>
  </si>
  <si>
    <t>GMGHLJ0055E0000GVL</t>
  </si>
  <si>
    <t>GMGHET003A10000GVK</t>
  </si>
  <si>
    <t>G709998931</t>
  </si>
  <si>
    <t>F8Y6024C28FQ4C2BH</t>
  </si>
  <si>
    <t>F5D11336YTVQ4929P</t>
  </si>
  <si>
    <t>G707406509</t>
  </si>
  <si>
    <t>F760N9KRFW</t>
  </si>
  <si>
    <t>G707066391</t>
  </si>
  <si>
    <t>F8Y5465C2DN20J9BS</t>
  </si>
  <si>
    <t>F5D2514CS6J20J79K</t>
  </si>
  <si>
    <t>G9P4083N0DY14YDAL</t>
  </si>
  <si>
    <t>G9N2494Z0AG14YDAB</t>
  </si>
  <si>
    <t>G702128789</t>
  </si>
  <si>
    <t>F8Y5371C2K7Q4C2BE</t>
  </si>
  <si>
    <t>F8Y334403VHQ4C2AQ</t>
  </si>
  <si>
    <t>G715554913</t>
  </si>
  <si>
    <t>F8Y6182C7KD18FKB3</t>
  </si>
  <si>
    <t>FG922121KGJ18FMAS</t>
  </si>
  <si>
    <t>G715304937</t>
  </si>
  <si>
    <t>G9P5384MM63PQCLAC</t>
  </si>
  <si>
    <t>G9P2113R2KRPQCLAR</t>
  </si>
  <si>
    <t>G714086913</t>
  </si>
  <si>
    <t>F8Y6172C2AC18FKB5</t>
  </si>
  <si>
    <t>FG922270QFB18FMAS</t>
  </si>
  <si>
    <t>G711335247</t>
  </si>
  <si>
    <t>HKGRH58KGWTJ</t>
  </si>
  <si>
    <t>G704082429</t>
  </si>
  <si>
    <t>F8Y5456C8WD18FKB8</t>
  </si>
  <si>
    <t>FG932740P7L18FMAT</t>
  </si>
  <si>
    <t>G702982551</t>
  </si>
  <si>
    <t>F8YHN4C0ESG00006TP</t>
  </si>
  <si>
    <t>F8YGZ200ZG300006TP</t>
  </si>
  <si>
    <t>G685238346</t>
  </si>
  <si>
    <t>F8Y5455C5WY13XCBR</t>
  </si>
  <si>
    <t>F8Y21560U9N13XC8V</t>
  </si>
  <si>
    <t>G716310389</t>
  </si>
  <si>
    <t>G9PHJUT00RU00005DP</t>
  </si>
  <si>
    <t>GVCHGF01G2N00005DQ</t>
  </si>
  <si>
    <t>G716178635</t>
  </si>
  <si>
    <t>F8Y5365C32613RHC9</t>
  </si>
  <si>
    <t>F8Y14540YJV13RFBZ</t>
  </si>
  <si>
    <t>G716089779</t>
  </si>
  <si>
    <t>F8Y6045C4GZ18FKB5</t>
  </si>
  <si>
    <t>FG93203010018FMAA</t>
  </si>
  <si>
    <t>G9P5471C04VPR5QAT</t>
  </si>
  <si>
    <t>G9Q3083BB8MPR5QAK</t>
  </si>
  <si>
    <t>G713165989</t>
  </si>
  <si>
    <t>F8Y5475C56K14LWCD</t>
  </si>
  <si>
    <t>F8Y139127GR14LW8U</t>
  </si>
  <si>
    <t>G712333335</t>
  </si>
  <si>
    <t>F8Y5274C7D513XCBW</t>
  </si>
  <si>
    <t>F8Y222601HE13XC8E</t>
  </si>
  <si>
    <t>G711888233</t>
  </si>
  <si>
    <t>G0NHCW017HA0000HKZ</t>
  </si>
  <si>
    <t>GMHHBU02E4X0000BXF</t>
  </si>
  <si>
    <t>G704828687</t>
  </si>
  <si>
    <t>F8Y5515C7D013XCBF</t>
  </si>
  <si>
    <t>F8Y22011CKH13XC82</t>
  </si>
  <si>
    <t>G699869369</t>
  </si>
  <si>
    <t>D865435N07UPJYRBA</t>
  </si>
  <si>
    <t>F5D448405BVPJYVC6</t>
  </si>
  <si>
    <t>G699753095</t>
  </si>
  <si>
    <t>G9NHGLH0W8P00004Y7</t>
  </si>
  <si>
    <t>G9QH8RX1FQD00004Y7</t>
  </si>
  <si>
    <t>G698875155</t>
  </si>
  <si>
    <t>H2CQW0881JG7</t>
  </si>
  <si>
    <t>H2CP89YK1JG7</t>
  </si>
  <si>
    <t>G698307779</t>
  </si>
  <si>
    <t>F8Y5433C5BR18FKBX</t>
  </si>
  <si>
    <t>FG941150U3M18FMBB</t>
  </si>
  <si>
    <t>G712334713</t>
  </si>
  <si>
    <t>F8Y6121C0ML217WBZ</t>
  </si>
  <si>
    <t>F5D2367H9JY21PK71</t>
  </si>
  <si>
    <t>G692804956</t>
  </si>
  <si>
    <t>C12GW0JQ30</t>
  </si>
  <si>
    <t>CX344HN2G7</t>
  </si>
  <si>
    <t>G710174293</t>
  </si>
  <si>
    <t>HKGRH0QZGWTJ</t>
  </si>
  <si>
    <t>G705014669</t>
  </si>
  <si>
    <t>M46JJ4C73H</t>
  </si>
  <si>
    <t>G704718189</t>
  </si>
  <si>
    <t>DH3QYRQFL7</t>
  </si>
  <si>
    <t>G702543217</t>
  </si>
  <si>
    <t>F8Y5503C38Z18FKB8</t>
  </si>
  <si>
    <t>FG92422090M18FMAB</t>
  </si>
  <si>
    <t>G683493084</t>
  </si>
  <si>
    <t>F8Y5462C4X3217WB3</t>
  </si>
  <si>
    <t>F5D2527349521PK7A</t>
  </si>
  <si>
    <t>G714389313</t>
  </si>
  <si>
    <t>G9PHJXS0Q1K00005DR</t>
  </si>
  <si>
    <t>GH3HFQ003WT00005DS</t>
  </si>
  <si>
    <t>G710552365</t>
  </si>
  <si>
    <t>FV9HAZ009BB0000HER</t>
  </si>
  <si>
    <t>FV9HGH002800000HER</t>
  </si>
  <si>
    <t>G709835491</t>
  </si>
  <si>
    <t>FG9HP7001CC00006TT</t>
  </si>
  <si>
    <t>FG9H4E0148800006TT</t>
  </si>
  <si>
    <t>G709273533</t>
  </si>
  <si>
    <t>F8Y6105C7PQQ687B1</t>
  </si>
  <si>
    <t>FG90411356ZQ68937</t>
  </si>
  <si>
    <t>G9P1394FAK3LQHKA6</t>
  </si>
  <si>
    <t>GVC03821HB7LQHLAK</t>
  </si>
  <si>
    <t>G709148143</t>
  </si>
  <si>
    <t>F8YHPNC044W00006TP</t>
  </si>
  <si>
    <t>F5DGYL00K7D00006TQ</t>
  </si>
  <si>
    <t>G707051897</t>
  </si>
  <si>
    <t>FG9HNR005HZ00006TT</t>
  </si>
  <si>
    <t>F5DH2800SXL00006TU</t>
  </si>
  <si>
    <t>G705705343</t>
  </si>
  <si>
    <t>GMGHM6000DA0000HX2</t>
  </si>
  <si>
    <t>GMGHFB002J70000HX2</t>
  </si>
  <si>
    <t>G705600417</t>
  </si>
  <si>
    <t>J0H0G7XT2L</t>
  </si>
  <si>
    <t>G704683231</t>
  </si>
  <si>
    <t>J94454KWHV</t>
  </si>
  <si>
    <t>G704629349</t>
  </si>
  <si>
    <t>F0Y543201LY1J87AL</t>
  </si>
  <si>
    <t>FP15413022C25YVAA</t>
  </si>
  <si>
    <t>G702933077</t>
  </si>
  <si>
    <t>D865317N0DYPJYRBT</t>
  </si>
  <si>
    <t>D861107A9WYPJYRAP</t>
  </si>
  <si>
    <t>G698438499</t>
  </si>
  <si>
    <t>F8Y5281C0RH217WB8</t>
  </si>
  <si>
    <t>F5D312430BT21PKAF</t>
  </si>
  <si>
    <t>G714050707</t>
  </si>
  <si>
    <t>F8YHNTC0MBH00006TP</t>
  </si>
  <si>
    <t>F5DH3000HSL00006TQ</t>
  </si>
  <si>
    <t>G705862553</t>
  </si>
  <si>
    <t>G9NHQEH0N3T0000L4B</t>
  </si>
  <si>
    <t>G9PHLCY77W80000L4B</t>
  </si>
  <si>
    <t>G703481157</t>
  </si>
  <si>
    <t>F8Y5445C6H418FKBU</t>
  </si>
  <si>
    <t>FG920970M2K18FM4R</t>
  </si>
  <si>
    <t>G700468033</t>
  </si>
  <si>
    <t>F0YHLM000A900006J1</t>
  </si>
  <si>
    <t>F0YHDH0021V00006J1</t>
  </si>
  <si>
    <t>G699560721</t>
  </si>
  <si>
    <t>F8Y5475C53218FKBW</t>
  </si>
  <si>
    <t>FG934560MEW18FMA0</t>
  </si>
  <si>
    <t>G714064659</t>
  </si>
  <si>
    <t>JG2PKX36CX</t>
  </si>
  <si>
    <t>C34CW09GQW</t>
  </si>
  <si>
    <t>G712679019</t>
  </si>
  <si>
    <t>661-58362</t>
  </si>
  <si>
    <t>Logic Board, 10-core CPU, 8-core GPU, 16GB, 512GB</t>
  </si>
  <si>
    <t>C02HRK001M70000ZW0</t>
  </si>
  <si>
    <t>C02HPZ002DL0000ZVY</t>
  </si>
  <si>
    <t>G712067809</t>
  </si>
  <si>
    <t>HKGRJ3BSGWTJ</t>
  </si>
  <si>
    <t>G709306523</t>
  </si>
  <si>
    <t>CKYVGQ2MX0</t>
  </si>
  <si>
    <t>G7FW9100YH</t>
  </si>
  <si>
    <t>G706718861</t>
  </si>
  <si>
    <t>ZP661-29106</t>
  </si>
  <si>
    <t>Silver, iPad Pro 12.9-inch 6th gen, 256GB, Wi-Fi, ITP</t>
  </si>
  <si>
    <t>M9FC42JCDQ</t>
  </si>
  <si>
    <t>PDQ4G6XY72</t>
  </si>
  <si>
    <t>G700173941</t>
  </si>
  <si>
    <t>GMG541301FS1J87AY</t>
  </si>
  <si>
    <t>FP14492059V25YTAK</t>
  </si>
  <si>
    <t>FV9516404340W9FL8</t>
  </si>
  <si>
    <t>G714302969</t>
  </si>
  <si>
    <t>D63RJPFCYV</t>
  </si>
  <si>
    <t>P79N41CXPK</t>
  </si>
  <si>
    <t>G713692951</t>
  </si>
  <si>
    <t>G9QHF4M13RD00004Y9</t>
  </si>
  <si>
    <t>G9NHGVL480H00004Y9</t>
  </si>
  <si>
    <t>G690001996</t>
  </si>
  <si>
    <t>C02HD8000NN0000KL3</t>
  </si>
  <si>
    <t>J33HFL02EL50000KL3</t>
  </si>
  <si>
    <t>G706469947</t>
  </si>
  <si>
    <t>PA661-46780</t>
  </si>
  <si>
    <t>Power Adapter, 143W, Green, PAC</t>
  </si>
  <si>
    <t>C4H444300CG2DDYAU</t>
  </si>
  <si>
    <t>C4H444300FY2DDYA3</t>
  </si>
  <si>
    <t>G703573895</t>
  </si>
  <si>
    <t>F8Y5374C7KB14LWCG</t>
  </si>
  <si>
    <t>F8Y14021CK814LW8R</t>
  </si>
  <si>
    <t>G703007931</t>
  </si>
  <si>
    <t>G9PHK8G0HNA00005DP</t>
  </si>
  <si>
    <t>GVCH7500G8B00005DQ</t>
  </si>
  <si>
    <t>G713742085</t>
  </si>
  <si>
    <t>GHQ6153003H2FT6AE</t>
  </si>
  <si>
    <t>GHQ230200TF167RAP</t>
  </si>
  <si>
    <t>G710089079</t>
  </si>
  <si>
    <t>F8Y6053C90S18FKBL</t>
  </si>
  <si>
    <t>FG920431R8118FM43</t>
  </si>
  <si>
    <t>G701553557</t>
  </si>
  <si>
    <t>F8Y5466C51Q18FKBG</t>
  </si>
  <si>
    <t>FG940460LGV18FMBX</t>
  </si>
  <si>
    <t>G699224129</t>
  </si>
  <si>
    <t>G9PHK9T08DQ00005DP</t>
  </si>
  <si>
    <t>GVCHDV02URP00005DQ</t>
  </si>
  <si>
    <t>G706707145</t>
  </si>
  <si>
    <t>PA661-42161</t>
  </si>
  <si>
    <t>Beats Solo Buds, Right, Purple, CI/AR, PAC</t>
  </si>
  <si>
    <t>HNYHPX0015S0000JT5</t>
  </si>
  <si>
    <t>HNYHET0064G0000JT5</t>
  </si>
  <si>
    <t>G716666217</t>
  </si>
  <si>
    <t>FG9HP60042E00006TT</t>
  </si>
  <si>
    <t>F5DGYJ00KUA00006TS</t>
  </si>
  <si>
    <t>G714862383</t>
  </si>
  <si>
    <t>GH3HPV00WZY0000MUZ</t>
  </si>
  <si>
    <t>GH3HMZ00XDB0000MUZ</t>
  </si>
  <si>
    <t>G711344369</t>
  </si>
  <si>
    <t>HQL3XL9TTF</t>
  </si>
  <si>
    <t>G707704825</t>
  </si>
  <si>
    <t>F8Y5503C3X713RHC7</t>
  </si>
  <si>
    <t>F5D15024FJM13RJ9R</t>
  </si>
  <si>
    <t>G704980671</t>
  </si>
  <si>
    <t>GVH45011AUSPR5PAK</t>
  </si>
  <si>
    <t>G9Q5161P3D0PR5QAY</t>
  </si>
  <si>
    <t>G687363510</t>
  </si>
  <si>
    <t>TA661-45268</t>
  </si>
  <si>
    <t>512GB, Natural Titanium, ROW, iPhone 16 Pro Max, CI/AR</t>
  </si>
  <si>
    <t>KG3RMQKXR6</t>
  </si>
  <si>
    <t>G715228811</t>
  </si>
  <si>
    <t>F8Y6146N0GP13QFC0</t>
  </si>
  <si>
    <t>F8Y426307K310X2CZ</t>
  </si>
  <si>
    <t>G713190103</t>
  </si>
  <si>
    <t>GCFH8308FUH00005LT</t>
  </si>
  <si>
    <t>DNMHBL007AR000048L</t>
  </si>
  <si>
    <t>G708240747</t>
  </si>
  <si>
    <t>F8Y6042C1AH217WBU</t>
  </si>
  <si>
    <t>F8Y323505DC217WAY</t>
  </si>
  <si>
    <t>G686886628</t>
  </si>
  <si>
    <t>GMGHLE004YH0000GVL</t>
  </si>
  <si>
    <t>FP1HGR001RC0000G29</t>
  </si>
  <si>
    <t>G712911627</t>
  </si>
  <si>
    <t>661-27718</t>
  </si>
  <si>
    <t>Logic Board, 12-core CPU, 30-core GPU, 32GB, 4TB</t>
  </si>
  <si>
    <t>C02349300021M80AZ</t>
  </si>
  <si>
    <t>FV9252300WW1M80B8</t>
  </si>
  <si>
    <t>G710669923</t>
  </si>
  <si>
    <t>F8Y5445N04413QFCN</t>
  </si>
  <si>
    <t>F8Y31220EJH13QFB6</t>
  </si>
  <si>
    <t>G710059023</t>
  </si>
  <si>
    <t>923-08354</t>
  </si>
  <si>
    <t>SIM Tray, Single, Space Black, iPhone 14 Pro/Pro Max</t>
  </si>
  <si>
    <t>G705988439</t>
  </si>
  <si>
    <t>F8YHN4C0C4900006TP</t>
  </si>
  <si>
    <t>F5DH7300THP00006TN</t>
  </si>
  <si>
    <t>G702629637</t>
  </si>
  <si>
    <t>F8Y5486C4DR20J9BE</t>
  </si>
  <si>
    <t>F8Y25363UG320JC29</t>
  </si>
  <si>
    <t>G700957287</t>
  </si>
  <si>
    <t>661-21973</t>
  </si>
  <si>
    <t>F8Y5262N44VQ1LTBW</t>
  </si>
  <si>
    <t>F8Y2204H9JJQ1LTA3</t>
  </si>
  <si>
    <t>G683223862</t>
  </si>
  <si>
    <t>G9P5352M445PQCLAA</t>
  </si>
  <si>
    <t>G9P2102MCGNPQCLA9</t>
  </si>
  <si>
    <t>G716325483</t>
  </si>
  <si>
    <t>G9P5095M0M9PQCLAF</t>
  </si>
  <si>
    <t>G9P2125S35XPQCLAJ</t>
  </si>
  <si>
    <t>G711390765</t>
  </si>
  <si>
    <t>PP661-22206</t>
  </si>
  <si>
    <t>Starlight, 256 GB, iPad mini 6th Generation, Cellular, Philippines</t>
  </si>
  <si>
    <t>GKYCX14Y9R</t>
  </si>
  <si>
    <t>J74FV56KMH</t>
  </si>
  <si>
    <t>G710412781</t>
  </si>
  <si>
    <t>F8Y6025C7GL217WB4</t>
  </si>
  <si>
    <t>F5D24121M8N21PK7U</t>
  </si>
  <si>
    <t>G709984387</t>
  </si>
  <si>
    <t>F8Y6024C3DJQ4C2BY</t>
  </si>
  <si>
    <t>F5D0522BTL7Q4C09J</t>
  </si>
  <si>
    <t>G9Q5252B8SCMRY1AV</t>
  </si>
  <si>
    <t>G9N0507M17EMRY1AH</t>
  </si>
  <si>
    <t>G708272929</t>
  </si>
  <si>
    <t>F8Y5421C3D818FKBF</t>
  </si>
  <si>
    <t>F8Y347504B218FLAH</t>
  </si>
  <si>
    <t>G705865473</t>
  </si>
  <si>
    <t>G52T192K9D</t>
  </si>
  <si>
    <t>G705832977</t>
  </si>
  <si>
    <t>F8Y5493C3QZ217WBK</t>
  </si>
  <si>
    <t>F8Y24521Y8Y217W74</t>
  </si>
  <si>
    <t>G704767991</t>
  </si>
  <si>
    <t>J73YXT0H3H</t>
  </si>
  <si>
    <t>J26TJYMPV6</t>
  </si>
  <si>
    <t>G704374629</t>
  </si>
  <si>
    <t>G9P5352MC0EPQCLA5</t>
  </si>
  <si>
    <t>G9N2194MNJAPQCLAB</t>
  </si>
  <si>
    <t>G701135773</t>
  </si>
  <si>
    <t>F2LWR7QXN9</t>
  </si>
  <si>
    <t>G699103853</t>
  </si>
  <si>
    <t>F8Y5442C1BNQ4C2BX</t>
  </si>
  <si>
    <t>F8Y05021WG2Q4C294</t>
  </si>
  <si>
    <t>G9Q5245B399MRY1AL</t>
  </si>
  <si>
    <t>G9N1025L4QXMRY1AF</t>
  </si>
  <si>
    <t>G714630459</t>
  </si>
  <si>
    <t>F8Y5433C8JEM6YND2</t>
  </si>
  <si>
    <t>F8Y312708T8M6YNBX</t>
  </si>
  <si>
    <t>G689091394</t>
  </si>
  <si>
    <t>GMGGT4000CQ00000CQ</t>
  </si>
  <si>
    <t>FP1GUS005J400000CM</t>
  </si>
  <si>
    <t>G706707217</t>
  </si>
  <si>
    <t>G9PHHWK0GTU00005DR</t>
  </si>
  <si>
    <t>GH3HBP00Y3000005DS</t>
  </si>
  <si>
    <t>G688947616</t>
  </si>
  <si>
    <t>H6RYM4G6CG</t>
  </si>
  <si>
    <t>L61XY3RCYF</t>
  </si>
  <si>
    <t>G706305371</t>
  </si>
  <si>
    <t>JLJTGDTQYP</t>
  </si>
  <si>
    <t>G704262793</t>
  </si>
  <si>
    <t>D865386N1AZPJYRBE</t>
  </si>
  <si>
    <t>D864133A3V9PJYRB4</t>
  </si>
  <si>
    <t>G686181282</t>
  </si>
  <si>
    <t>F8Y5464C8BQ217WB2</t>
  </si>
  <si>
    <t>F8Y24661U1T217W7T</t>
  </si>
  <si>
    <t>G702711845</t>
  </si>
  <si>
    <t>F8Y5366C91P13RHCN</t>
  </si>
  <si>
    <t>F5D14160KTF13RJ96</t>
  </si>
  <si>
    <t>G702626643</t>
  </si>
  <si>
    <t>F8Y5483C5C9Q4C2BQ</t>
  </si>
  <si>
    <t>F5D04946K2GQ4C09W</t>
  </si>
  <si>
    <t>G700714633</t>
  </si>
  <si>
    <t>F8Y3373050618FLAE</t>
  </si>
  <si>
    <t>F8Y14771AR618FLA0</t>
  </si>
  <si>
    <t>G712238637</t>
  </si>
  <si>
    <t>G0WFWM43QJ</t>
  </si>
  <si>
    <t>G710519979</t>
  </si>
  <si>
    <t>F8Y6121C0B6217WB9</t>
  </si>
  <si>
    <t>F8Y25241QZY217W7B</t>
  </si>
  <si>
    <t>G710095977</t>
  </si>
  <si>
    <t>F8YHRUD06WR00006TP</t>
  </si>
  <si>
    <t>F8YH1B312MW00006TR</t>
  </si>
  <si>
    <t>G707269651</t>
  </si>
  <si>
    <t>FG9HNR006Y000006TT</t>
  </si>
  <si>
    <t>FG9GZ1026GJ00006TV</t>
  </si>
  <si>
    <t>G706722293</t>
  </si>
  <si>
    <t>C4H4443010R2DDWAN</t>
  </si>
  <si>
    <t>C4H3292007E2C93AU</t>
  </si>
  <si>
    <t>G706153625</t>
  </si>
  <si>
    <t>F8Y5516CCY913RHCM</t>
  </si>
  <si>
    <t>F5D1415H7AL13RJ9E</t>
  </si>
  <si>
    <t>G705470083</t>
  </si>
  <si>
    <t>FV9HED00ZGY0000PCD</t>
  </si>
  <si>
    <t>FV9HEY00J7E00003T3</t>
  </si>
  <si>
    <t>G705115207</t>
  </si>
  <si>
    <t>F8Y5474C0AT13RHCY</t>
  </si>
  <si>
    <t>F5D135399RP13RJ9D</t>
  </si>
  <si>
    <t>G704769267</t>
  </si>
  <si>
    <t>G9PHK2F0P3G00005DP</t>
  </si>
  <si>
    <t>GVCHC501RRT00005DQ</t>
  </si>
  <si>
    <t>G704490625</t>
  </si>
  <si>
    <t>L3DG4R636W</t>
  </si>
  <si>
    <t>G693151970</t>
  </si>
  <si>
    <t>GH3HQR00WS00000MUZ</t>
  </si>
  <si>
    <t>GH3HKU01ZK20000MUZ</t>
  </si>
  <si>
    <t>G692209234</t>
  </si>
  <si>
    <t>FV933930ARV0W9GDV</t>
  </si>
  <si>
    <t>FV951060F400W9FLE</t>
  </si>
  <si>
    <t>G708518429</t>
  </si>
  <si>
    <t>F8Y5437N00FJ7PYDL</t>
  </si>
  <si>
    <t>F8Y033702P2J7PYCD</t>
  </si>
  <si>
    <t>G707492097</t>
  </si>
  <si>
    <t>MF4K76VK7T</t>
  </si>
  <si>
    <t>K9PK9GNF7V</t>
  </si>
  <si>
    <t>G703642037</t>
  </si>
  <si>
    <t>F8Y5471C3YR20J9B0</t>
  </si>
  <si>
    <t>F5D302750G320J79D</t>
  </si>
  <si>
    <t>G9P5207N1FB14YDAF</t>
  </si>
  <si>
    <t>GVC3033188M14YFA0</t>
  </si>
  <si>
    <t>G702609981</t>
  </si>
  <si>
    <t>F8Y6051C0A4JKGTCF</t>
  </si>
  <si>
    <t>FG9043103J3JKGXB9</t>
  </si>
  <si>
    <t>DXY4223CJFNJHYK4W</t>
  </si>
  <si>
    <t>DXY0304A8R8JHYK4C</t>
  </si>
  <si>
    <t>G700245753</t>
  </si>
  <si>
    <t>LT7MWP4WMF</t>
  </si>
  <si>
    <t>GKQ3NF6KQX</t>
  </si>
  <si>
    <t>G714300207</t>
  </si>
  <si>
    <t>F8Y6184C012JKGTCX</t>
  </si>
  <si>
    <t>FG984672LAHJKGX59</t>
  </si>
  <si>
    <t>DXY4223CJCDJHYK4E</t>
  </si>
  <si>
    <t>DXY903534XVJHYK4Y</t>
  </si>
  <si>
    <t>G690275244</t>
  </si>
  <si>
    <t>FV9528302QF0W9FLY</t>
  </si>
  <si>
    <t>FV950360NHN0W9FL6</t>
  </si>
  <si>
    <t>F8Y6096N33G13QFCV</t>
  </si>
  <si>
    <t>F5D45051UQ410DLDZ</t>
  </si>
  <si>
    <t>G698936509</t>
  </si>
  <si>
    <t>HFF470RTJ9</t>
  </si>
  <si>
    <t>J3G4FWV4C1</t>
  </si>
  <si>
    <t>G713613459</t>
  </si>
  <si>
    <t>H7X5HHH2L3</t>
  </si>
  <si>
    <t>MM49C942X4</t>
  </si>
  <si>
    <t>G710234443</t>
  </si>
  <si>
    <t>G9Q5173EK021502AU</t>
  </si>
  <si>
    <t>GVC443702DL1503AP</t>
  </si>
  <si>
    <t>DXY50741MJX1JJL68</t>
  </si>
  <si>
    <t>CTH44771HV51JJJAK</t>
  </si>
  <si>
    <t>G709653903</t>
  </si>
  <si>
    <t>F0Y416100812526AD</t>
  </si>
  <si>
    <t>FP141160457216RAR</t>
  </si>
  <si>
    <t>G706859161</t>
  </si>
  <si>
    <t>JVXLM4XTQD</t>
  </si>
  <si>
    <t>HN40TY6WF7</t>
  </si>
  <si>
    <t>G706045329</t>
  </si>
  <si>
    <t>C02HC5000AZ0000F6W</t>
  </si>
  <si>
    <t>C02HAA003U4000059L</t>
  </si>
  <si>
    <t>G688035130</t>
  </si>
  <si>
    <t>C3JXG0G4WX</t>
  </si>
  <si>
    <t>WHMVWLNFQ6</t>
  </si>
  <si>
    <t>G687827936</t>
  </si>
  <si>
    <t>FV944370BUG0W9GLM</t>
  </si>
  <si>
    <t>J3353050FET0W9GPT</t>
  </si>
  <si>
    <t>G695410990</t>
  </si>
  <si>
    <t>F8Y5455C78T13XCBS</t>
  </si>
  <si>
    <t>F8Y21561G3D13XC8X</t>
  </si>
  <si>
    <t>G713620593</t>
  </si>
  <si>
    <t>661-59608</t>
  </si>
  <si>
    <t>GMGHPW0047L0000Y56</t>
  </si>
  <si>
    <t>FP1HMN003PC0000Y58</t>
  </si>
  <si>
    <t>G710348453</t>
  </si>
  <si>
    <t>F12QGD2KLJ</t>
  </si>
  <si>
    <t>M4PYL21NHT</t>
  </si>
  <si>
    <t>G706930719</t>
  </si>
  <si>
    <t>C60QPP9LFJ</t>
  </si>
  <si>
    <t>H6JM993QPR</t>
  </si>
  <si>
    <t>G705110849</t>
  </si>
  <si>
    <t>F8Y5455C5RN13XCBG</t>
  </si>
  <si>
    <t>F5D2043A5E313X99T</t>
  </si>
  <si>
    <t>G704575209</t>
  </si>
  <si>
    <t>F8Y6011C2E020J9BX</t>
  </si>
  <si>
    <t>F8Y245405KT20J928</t>
  </si>
  <si>
    <t>F8Y5466C2X020J9BT</t>
  </si>
  <si>
    <t>G703857171</t>
  </si>
  <si>
    <t>F8Y5527N0S60J9TBF</t>
  </si>
  <si>
    <t>F5D307326ZCQ1LWBD</t>
  </si>
  <si>
    <t>661-32188</t>
  </si>
  <si>
    <t>Display, Silver, MBP (16-in, 2023)</t>
  </si>
  <si>
    <t>F0Y610700DM278VA9</t>
  </si>
  <si>
    <t>F0Y6111007B278VA6</t>
  </si>
  <si>
    <t>F0Y610700C0278VAZ</t>
  </si>
  <si>
    <t>F0Y301300K0PP61AC</t>
  </si>
  <si>
    <t>G702774795</t>
  </si>
  <si>
    <t>ZP661-40063</t>
  </si>
  <si>
    <t>Purple, iPad Air 11-inch (M2), 512GB, Wi-Fi, ITP</t>
  </si>
  <si>
    <t>C9C2HL2LK3</t>
  </si>
  <si>
    <t>MQC4V376PG</t>
  </si>
  <si>
    <t>G714714193</t>
  </si>
  <si>
    <t>F8Y6036C9MA20J9BG</t>
  </si>
  <si>
    <t>F5D252521LN20J89P</t>
  </si>
  <si>
    <t>G692979882</t>
  </si>
  <si>
    <t>F8Y5503C1KJ13RHC0</t>
  </si>
  <si>
    <t>F5D21633JCW13RKAC</t>
  </si>
  <si>
    <t>G710780831</t>
  </si>
  <si>
    <t>F8Y6053CSW018FKB7</t>
  </si>
  <si>
    <t>FG9419200BR18FMBQ</t>
  </si>
  <si>
    <t>G691898780</t>
  </si>
  <si>
    <t>DNL53030KAJ1986AD</t>
  </si>
  <si>
    <t>DNL41150C4N1986BX</t>
  </si>
  <si>
    <t>G691887054</t>
  </si>
  <si>
    <t>FY8HPB00H3T00017C0</t>
  </si>
  <si>
    <t>A83HMQB023R0001AH4</t>
  </si>
  <si>
    <t>G708471305</t>
  </si>
  <si>
    <t>F2FPM2D6G4</t>
  </si>
  <si>
    <t>HJXK1HQD42</t>
  </si>
  <si>
    <t>G702605011</t>
  </si>
  <si>
    <t>FMXHMH0002H00006J3</t>
  </si>
  <si>
    <t>FMXHD20047E00006J3</t>
  </si>
  <si>
    <t>G698867145</t>
  </si>
  <si>
    <t>HGHPT2GEP0GV</t>
  </si>
  <si>
    <t>HGFP7D4SP0GV</t>
  </si>
  <si>
    <t>G708514131</t>
  </si>
  <si>
    <t>J6XP24W02H</t>
  </si>
  <si>
    <t>FHHJ024GD7</t>
  </si>
  <si>
    <t>G706284725</t>
  </si>
  <si>
    <t>F8Y5502C2SN13RHC9</t>
  </si>
  <si>
    <t>F5D1516CES013RK9R</t>
  </si>
  <si>
    <t>G700112971</t>
  </si>
  <si>
    <t>H9XNKQF099</t>
  </si>
  <si>
    <t>JGC9FFG7PD</t>
  </si>
  <si>
    <t>G691703746</t>
  </si>
  <si>
    <t>F8Y5527C5C820J9BF</t>
  </si>
  <si>
    <t>F8Y237108NY20J92P</t>
  </si>
  <si>
    <t>G705593781</t>
  </si>
  <si>
    <t>D865433N5S61LP9C8</t>
  </si>
  <si>
    <t>F5D31410DRE1LPF6D</t>
  </si>
  <si>
    <t>G705329007</t>
  </si>
  <si>
    <t>M6M21WGP0W</t>
  </si>
  <si>
    <t>JYKDQ079FX</t>
  </si>
  <si>
    <t>G704575711</t>
  </si>
  <si>
    <t>C7WRLYK6DK</t>
  </si>
  <si>
    <t>GPFQQWQP5F</t>
  </si>
  <si>
    <t>G702265369</t>
  </si>
  <si>
    <t>F8Y5516C5UF13RHC0</t>
  </si>
  <si>
    <t>F5D14535XW013RJ9A</t>
  </si>
  <si>
    <t>G701900591</t>
  </si>
  <si>
    <t>F0WHJT02QKT0000JS7</t>
  </si>
  <si>
    <t>DN8HMM0681P0000RYQ</t>
  </si>
  <si>
    <t>GONHKY00JGJ0000YJ1</t>
  </si>
  <si>
    <t>DTTHLD00XA70000QTV</t>
  </si>
  <si>
    <t>G700019847</t>
  </si>
  <si>
    <t>G9NHF7P0QYN00005DR</t>
  </si>
  <si>
    <t>GH3HEQ01Y4A00005DS</t>
  </si>
  <si>
    <t>G0NHKL0016N0000HKZ</t>
  </si>
  <si>
    <t>FNJHDZB0J8H0000BXF</t>
  </si>
  <si>
    <t>G698870349</t>
  </si>
  <si>
    <t>F8Y5445CG2G18FKBH</t>
  </si>
  <si>
    <t>FG933560KX218FMAE</t>
  </si>
  <si>
    <t>G698803667</t>
  </si>
  <si>
    <t>D865386N19APJYRB6</t>
  </si>
  <si>
    <t>F5D41220XPPPJYVBA</t>
  </si>
  <si>
    <t>G695589486</t>
  </si>
  <si>
    <t>F8Y6135C15K14LWCY</t>
  </si>
  <si>
    <t>F8Y13411UHP14LW7T</t>
  </si>
  <si>
    <t>G693469576</t>
  </si>
  <si>
    <t>F8Y5433C5RJM6YNDE</t>
  </si>
  <si>
    <t>F8Y94252VFUM6YN7D</t>
  </si>
  <si>
    <t>G706279991</t>
  </si>
  <si>
    <t>FY9N44NY0P</t>
  </si>
  <si>
    <t>DV691CWDMP</t>
  </si>
  <si>
    <t>G688164670</t>
  </si>
  <si>
    <t>F8Y5507CFRK18FKBP</t>
  </si>
  <si>
    <t>F8Y137426UL18FKAH</t>
  </si>
  <si>
    <t>G702638297</t>
  </si>
  <si>
    <t>F8Y5496C5C613XCBQ</t>
  </si>
  <si>
    <t>F8Y14940E1B13X884</t>
  </si>
  <si>
    <t>G701580583</t>
  </si>
  <si>
    <t>HXK401305UL1WP0DB</t>
  </si>
  <si>
    <t>HXK507502DD1N08G1</t>
  </si>
  <si>
    <t>G700855109</t>
  </si>
  <si>
    <t>JVX0WX2CDK</t>
  </si>
  <si>
    <t>G046Q6JPGY</t>
  </si>
  <si>
    <t>G698194521</t>
  </si>
  <si>
    <t>FMX542506HENTJHA4</t>
  </si>
  <si>
    <t>FMX2215048BNTJJAF</t>
  </si>
  <si>
    <t>G689416208</t>
  </si>
  <si>
    <t>F8Y6056C0J118FKBX</t>
  </si>
  <si>
    <t>FG941730TKY18FMB5</t>
  </si>
  <si>
    <t>G700963121</t>
  </si>
  <si>
    <t>GMG5453012N1J88AU</t>
  </si>
  <si>
    <t>F0Y510700N81J88AB</t>
  </si>
  <si>
    <t>G708744687</t>
  </si>
  <si>
    <t>C02249407FB1TY4AU</t>
  </si>
  <si>
    <t>C02303201X91TY4A9</t>
  </si>
  <si>
    <t>G703710313</t>
  </si>
  <si>
    <t>F8Y5506CE4V18FKBA</t>
  </si>
  <si>
    <t>FG922161J0R18FMAW</t>
  </si>
  <si>
    <t>G685230546</t>
  </si>
  <si>
    <t>F8Y5216N0CU0J9TB8</t>
  </si>
  <si>
    <t>F5D2047640V0VC5BG</t>
  </si>
  <si>
    <t>G691510510</t>
  </si>
  <si>
    <t>G9NHPXR50FK0000L4B</t>
  </si>
  <si>
    <t>G9PHLWU1KYK0000L4B</t>
  </si>
  <si>
    <t>G690379710</t>
  </si>
  <si>
    <t>F8Y6057CJG418FKBF</t>
  </si>
  <si>
    <t>F8Y34950R0T18FLAY</t>
  </si>
  <si>
    <t>G714645907</t>
  </si>
  <si>
    <t>G9PHJ9K0L6P00005DR</t>
  </si>
  <si>
    <t>F5DHE4006Q80000UMG</t>
  </si>
  <si>
    <t>G698462757</t>
  </si>
  <si>
    <t>LY6JXV62MT</t>
  </si>
  <si>
    <t>JLHYHJT7FK</t>
  </si>
  <si>
    <t>G694127208</t>
  </si>
  <si>
    <t>F8Y5462C14P217WBZ</t>
  </si>
  <si>
    <t>F5D2434D6K121PK7M</t>
  </si>
  <si>
    <t>G708971629</t>
  </si>
  <si>
    <t>C02HK0002KA0000P0R</t>
  </si>
  <si>
    <t>C02HEG007T30000P0R</t>
  </si>
  <si>
    <t>G690529568</t>
  </si>
  <si>
    <t>GH3HPV01FDB0000MUZ</t>
  </si>
  <si>
    <t>G9NHLBN4YK00000MUY</t>
  </si>
  <si>
    <t>DR9HPS00J4600014XS</t>
  </si>
  <si>
    <t>DR9HKS006RE00013S6</t>
  </si>
  <si>
    <t>G701264165</t>
  </si>
  <si>
    <t>D865435N16SPJYRBE</t>
  </si>
  <si>
    <t>D864193A75ZPJYRBW</t>
  </si>
  <si>
    <t>G683617182</t>
  </si>
  <si>
    <t>FMXHNL000ZE00006J3</t>
  </si>
  <si>
    <t>FMXH9Z004FG00006J3</t>
  </si>
  <si>
    <t>G715784505</t>
  </si>
  <si>
    <t>F8Y5442CBRZM6YNDR</t>
  </si>
  <si>
    <t>F8Y02741YUSM6YNBD</t>
  </si>
  <si>
    <t>G715092897</t>
  </si>
  <si>
    <t>GH3HRR01YXW0000MUZ</t>
  </si>
  <si>
    <t>GH3HKT01R5G0000MUZ</t>
  </si>
  <si>
    <t>G0NHPS03FDM0000YJ1</t>
  </si>
  <si>
    <t>FNJHKDM0QE50000QSK</t>
  </si>
  <si>
    <t>G692825080</t>
  </si>
  <si>
    <t>F8Y6032C3N620J9BT</t>
  </si>
  <si>
    <t>F8Y302606U220JC2A</t>
  </si>
  <si>
    <t>G707641381</t>
  </si>
  <si>
    <t>D865507N0MPPJYRBD</t>
  </si>
  <si>
    <t>D861483ASDNPJYRAA</t>
  </si>
  <si>
    <t>G705679823</t>
  </si>
  <si>
    <t>FMW0VT43YN</t>
  </si>
  <si>
    <t>Y9Y790CKF0</t>
  </si>
  <si>
    <t>G687074386</t>
  </si>
  <si>
    <t>GVCHMA00M0W0000U6M</t>
  </si>
  <si>
    <t>GVCHPD03UZM0000U6M</t>
  </si>
  <si>
    <t>DNPHMG01HAE0000WDA</t>
  </si>
  <si>
    <t>FNJHNTL0G990000MMB</t>
  </si>
  <si>
    <t>DNMHNL03FDM0000QTE</t>
  </si>
  <si>
    <t>F0WHP801YTQ0000S1F</t>
  </si>
  <si>
    <t>G701756483</t>
  </si>
  <si>
    <t>H7KR106K1059</t>
  </si>
  <si>
    <t>H6TJ614Z1059</t>
  </si>
  <si>
    <t>G699956849</t>
  </si>
  <si>
    <t>ZP661-39197</t>
  </si>
  <si>
    <t>Silver, iPad Pro 11-inch (M4), 1TB, Wi-Fi, ITP</t>
  </si>
  <si>
    <t>LVVMJYJGXW</t>
  </si>
  <si>
    <t>D0QTC2DPW9</t>
  </si>
  <si>
    <t>G691902190</t>
  </si>
  <si>
    <t>F8Y6026CBPX20J9BQ</t>
  </si>
  <si>
    <t>F8Y243204LN20J92K</t>
  </si>
  <si>
    <t>G691873376</t>
  </si>
  <si>
    <t>F8Y5512C06G231LB7</t>
  </si>
  <si>
    <t>FG92415044D22XP6B</t>
  </si>
  <si>
    <t>G706032085</t>
  </si>
  <si>
    <t>DNPHQ700A8A0000FER</t>
  </si>
  <si>
    <t>FNJHD3F1FMZ00006SV</t>
  </si>
  <si>
    <t>G716448729</t>
  </si>
  <si>
    <t>F8Y6155C0VL13RHCM</t>
  </si>
  <si>
    <t>F8Y14820FBN13RHB1</t>
  </si>
  <si>
    <t>G715458553</t>
  </si>
  <si>
    <t>GHQ5465009E2FT6AU</t>
  </si>
  <si>
    <t>G710524825</t>
  </si>
  <si>
    <t>LMVQQ316T5</t>
  </si>
  <si>
    <t>KH6R5XWMR9</t>
  </si>
  <si>
    <t>G688145952</t>
  </si>
  <si>
    <t>FMXHNM002LY00006J3</t>
  </si>
  <si>
    <t>FMXHFH000SR00006J3</t>
  </si>
  <si>
    <t>G688036592</t>
  </si>
  <si>
    <t>F8Y5425C8HQ18FKBC</t>
  </si>
  <si>
    <t>FG922431CJ118FMA0</t>
  </si>
  <si>
    <t>G703898161</t>
  </si>
  <si>
    <t>F8Y5473C3BC14LWC9</t>
  </si>
  <si>
    <t>F5D13851KEC14LX9T</t>
  </si>
  <si>
    <t>G702560529</t>
  </si>
  <si>
    <t>FG9HNR005HJ00006TT</t>
  </si>
  <si>
    <t>F5DGYQ020H400006TU</t>
  </si>
  <si>
    <t>G683209908</t>
  </si>
  <si>
    <t>F8YHGLN075R00000E5</t>
  </si>
  <si>
    <t>F8YH9E0042F00000E5</t>
  </si>
  <si>
    <t>G709091851</t>
  </si>
  <si>
    <t>H97R47UUJKM9</t>
  </si>
  <si>
    <t>H97QM67EJKM9</t>
  </si>
  <si>
    <t>G690271926</t>
  </si>
  <si>
    <t>F8Y6011C5D420J9BT</t>
  </si>
  <si>
    <t>F8Y303622LQ20JC27</t>
  </si>
  <si>
    <t>G705427617</t>
  </si>
  <si>
    <t>GMG545302E41J87AA</t>
  </si>
  <si>
    <t>F0Y434700D31J88AY</t>
  </si>
  <si>
    <t>G704511325</t>
  </si>
  <si>
    <t>JTJHWD4K7R</t>
  </si>
  <si>
    <t>KCWTW24GGK</t>
  </si>
  <si>
    <t>G711134041</t>
  </si>
  <si>
    <t>F8Y6155C1BSM6YNDA</t>
  </si>
  <si>
    <t>F8Y02851U9BM6YNBH</t>
  </si>
  <si>
    <t>G692982346</t>
  </si>
  <si>
    <t>G9PHJFS0VSX00005DR</t>
  </si>
  <si>
    <t>GH3HGD006FA00005DS</t>
  </si>
  <si>
    <t>G706697593</t>
  </si>
  <si>
    <t>F8Y5444C116JKGTC4</t>
  </si>
  <si>
    <t>F8Y92450MHRJKGTAG</t>
  </si>
  <si>
    <t>DXY4224B778JHYK4D</t>
  </si>
  <si>
    <t>DXY92226N22JHYK4M</t>
  </si>
  <si>
    <t>G704640595</t>
  </si>
  <si>
    <t>G0NHPS02XQ00000YJ1</t>
  </si>
  <si>
    <t>G0NHKW015LA0000YJ1</t>
  </si>
  <si>
    <t>FNJHMC71PCT0000KDF</t>
  </si>
  <si>
    <t>F0WHJG01N2P0000JS7</t>
  </si>
  <si>
    <t>DN8HMX0CYLU0000RYQ</t>
  </si>
  <si>
    <t>G702838477</t>
  </si>
  <si>
    <t>F8Y5463C74C217WB3</t>
  </si>
  <si>
    <t>F5D24567ZGF21PK7Z</t>
  </si>
  <si>
    <t>G708468153</t>
  </si>
  <si>
    <t>G9Q5181EHFD1502A7</t>
  </si>
  <si>
    <t>GVH35061RXS1501AE</t>
  </si>
  <si>
    <t>G704503245</t>
  </si>
  <si>
    <t>F8Y5455C6RH18FKBN</t>
  </si>
  <si>
    <t>F8Y34951AS118FLAS</t>
  </si>
  <si>
    <t>G702643705</t>
  </si>
  <si>
    <t>G9PHF5J24DH00005DR</t>
  </si>
  <si>
    <t>G9NHBRT0A1C00005DR</t>
  </si>
  <si>
    <t>G701524051</t>
  </si>
  <si>
    <t>C6CR993CY7</t>
  </si>
  <si>
    <t>K0XD9YG2VD</t>
  </si>
  <si>
    <t>G694962844</t>
  </si>
  <si>
    <t>661-15737</t>
  </si>
  <si>
    <t>F5D6037N1PSKGGJFK</t>
  </si>
  <si>
    <t>D860255A0SLL3L2EE</t>
  </si>
  <si>
    <t>G692449844</t>
  </si>
  <si>
    <t>G9PHKGG0ZR900005DP</t>
  </si>
  <si>
    <t>GVCHEF00N5L00005DQ</t>
  </si>
  <si>
    <t>G705250149</t>
  </si>
  <si>
    <t>G9Q5177E9F31502AN</t>
  </si>
  <si>
    <t>GVC4452044L1503AD</t>
  </si>
  <si>
    <t>G702806285</t>
  </si>
  <si>
    <t>GMGHLF0082D0000GVL</t>
  </si>
  <si>
    <t>GMGHEW004MT0000GVK</t>
  </si>
  <si>
    <t>G709539045</t>
  </si>
  <si>
    <t>D04KJTWCLQ</t>
  </si>
  <si>
    <t>FKW3RF4XCC</t>
  </si>
  <si>
    <t>G691291298</t>
  </si>
  <si>
    <t>F8Y6011C3Z520J9B2</t>
  </si>
  <si>
    <t>F5D3023E3XD20J790</t>
  </si>
  <si>
    <t>G690600538</t>
  </si>
  <si>
    <t>D865322A0MZF90KHM</t>
  </si>
  <si>
    <t>C019517050BF90MFD</t>
  </si>
  <si>
    <t>G699866645</t>
  </si>
  <si>
    <t>661-14132</t>
  </si>
  <si>
    <t>Logic Board, i9, 2.3GHz, 16GB, 1TB, 5500M 4GB</t>
  </si>
  <si>
    <t>C0243420016NJ2YA0</t>
  </si>
  <si>
    <t>C02101401C1NJ2Y1H</t>
  </si>
  <si>
    <t>G682981784</t>
  </si>
  <si>
    <t>F0Y4156017Q2525AR</t>
  </si>
  <si>
    <t>FP1415600NC216RAV</t>
  </si>
  <si>
    <t>G711334797</t>
  </si>
  <si>
    <t>DNPHP202Y370000WDA</t>
  </si>
  <si>
    <t>FNJHMAV09SU0000M4H</t>
  </si>
  <si>
    <t>G704514499</t>
  </si>
  <si>
    <t>C02HH700DG20000KL3</t>
  </si>
  <si>
    <t>C02HHB005YB0000KL4</t>
  </si>
  <si>
    <t>GMGHLH009H70000GVL</t>
  </si>
  <si>
    <t>FP1HGR0080B0000G2A</t>
  </si>
  <si>
    <t>G707515271</t>
  </si>
  <si>
    <t>CQ5M6PVQ0F</t>
  </si>
  <si>
    <t>H2NWWNVLXC</t>
  </si>
  <si>
    <t>G689419984</t>
  </si>
  <si>
    <t>F8Y5527C5AJ20J9BB</t>
  </si>
  <si>
    <t>F5D24658UX320J79N</t>
  </si>
  <si>
    <t>G687350648</t>
  </si>
  <si>
    <t>G9NHPQJ52PL0000L4B</t>
  </si>
  <si>
    <t>G9NHKQW6MJN0000L4B</t>
  </si>
  <si>
    <t>J9KHNS01WL60001BKQ</t>
  </si>
  <si>
    <t>FNJHHBF0T5Y0000QTS</t>
  </si>
  <si>
    <t>G700876841</t>
  </si>
  <si>
    <t>MCWCF9TD40</t>
  </si>
  <si>
    <t>DFXWR675VQ</t>
  </si>
  <si>
    <t>G700745643</t>
  </si>
  <si>
    <t>KFX4Y0Q9WX</t>
  </si>
  <si>
    <t>DK290H967G</t>
  </si>
  <si>
    <t>G716416435</t>
  </si>
  <si>
    <t>F8Y6122C2TL231LB4</t>
  </si>
  <si>
    <t>FG923862JAK22XP6E</t>
  </si>
  <si>
    <t>G695777412</t>
  </si>
  <si>
    <t>F8Y6057C4YJ18FKB1</t>
  </si>
  <si>
    <t>FG9140601VL18FM4Q</t>
  </si>
  <si>
    <t>G695598798</t>
  </si>
  <si>
    <t>DNPHR5007Q90001BHN</t>
  </si>
  <si>
    <t>FNJHP3K0N160000MMB</t>
  </si>
  <si>
    <t>G713460497</t>
  </si>
  <si>
    <t>C02HFF002U30000P0R</t>
  </si>
  <si>
    <t>J33HKJ03ELR0000P0R</t>
  </si>
  <si>
    <t>G694392124</t>
  </si>
  <si>
    <t>F8Y5495C70F217WB1</t>
  </si>
  <si>
    <t>F5D24431MN721PK7R</t>
  </si>
  <si>
    <t>G712530703</t>
  </si>
  <si>
    <t>661-14163</t>
  </si>
  <si>
    <t>Logic Board, i9, 2.4GHz, 16GB, 1TB, 5500M 8GB</t>
  </si>
  <si>
    <t>C021254000RNMNT1S</t>
  </si>
  <si>
    <t>C0202140045NJ271W</t>
  </si>
  <si>
    <t>G705137441</t>
  </si>
  <si>
    <t>FK1HMY00F0C00001A2</t>
  </si>
  <si>
    <t>DTTHCG03W2K000004D</t>
  </si>
  <si>
    <t>G704706775</t>
  </si>
  <si>
    <t>F8Y5472C0MC20J9BE</t>
  </si>
  <si>
    <t>F8Y24372EKQ20J92Z</t>
  </si>
  <si>
    <t>G715312193</t>
  </si>
  <si>
    <t>GH3HRR00SKW0000MUZ</t>
  </si>
  <si>
    <t>G9NHQTM6MZG0000MUY</t>
  </si>
  <si>
    <t>G708394667</t>
  </si>
  <si>
    <t>C02HL000AQR0000PNB</t>
  </si>
  <si>
    <t>C02HJD004F20000PNB</t>
  </si>
  <si>
    <t>G706281329</t>
  </si>
  <si>
    <t>G3499PW340</t>
  </si>
  <si>
    <t>GXJJN54G51</t>
  </si>
  <si>
    <t>G704636039</t>
  </si>
  <si>
    <t>F8Y5506CRQV18FKB7</t>
  </si>
  <si>
    <t>FG922661VNV18FMA2</t>
  </si>
  <si>
    <t>G704089373</t>
  </si>
  <si>
    <t>DQ0Q9DQH5W</t>
  </si>
  <si>
    <t>DLW9CWQWKN</t>
  </si>
  <si>
    <t>G708983851</t>
  </si>
  <si>
    <t>M7LG6FYC30</t>
  </si>
  <si>
    <t>MV5HK90Q42</t>
  </si>
  <si>
    <t>G690810906</t>
  </si>
  <si>
    <t>SVNR</t>
  </si>
  <si>
    <t>661-00681</t>
  </si>
  <si>
    <t>Power Adapter, MagSafe 2, 60W</t>
  </si>
  <si>
    <t>C0404261WVQH1T0A1</t>
  </si>
  <si>
    <t>G705800869</t>
  </si>
  <si>
    <t>G9P4467MJK5PQCLAD</t>
  </si>
  <si>
    <t>G9Q2242YCHGPQCLAZ</t>
  </si>
  <si>
    <t>G688346666</t>
  </si>
  <si>
    <t>F8Y6056CALN18FKBU</t>
  </si>
  <si>
    <t>FG94133095418FMB3</t>
  </si>
  <si>
    <t>G686224538</t>
  </si>
  <si>
    <t>GKXG5X6XX1</t>
  </si>
  <si>
    <t>D9359527MM</t>
  </si>
  <si>
    <t>G701767043</t>
  </si>
  <si>
    <t>F8Y5442CB0RM6YND6</t>
  </si>
  <si>
    <t>F8Y0101DNV1M6YNA3</t>
  </si>
  <si>
    <t>G701512851</t>
  </si>
  <si>
    <t>FG9HP4004VF00006TT</t>
  </si>
  <si>
    <t>F5DH0Q023FZ00006TS</t>
  </si>
  <si>
    <t>G693918588</t>
  </si>
  <si>
    <t>F8Y6037C1FY20J9BK</t>
  </si>
  <si>
    <t>F5D30456LZ420J792</t>
  </si>
  <si>
    <t>G690010702</t>
  </si>
  <si>
    <t>GTDKVNHJ4K</t>
  </si>
  <si>
    <t>JRY6G61X75</t>
  </si>
  <si>
    <t>G689719142</t>
  </si>
  <si>
    <t>F8Y6056CAWD18FKB7</t>
  </si>
  <si>
    <t>F8Y23420FRK18FLAX</t>
  </si>
  <si>
    <t>G688449872</t>
  </si>
  <si>
    <t>F8Y6056CAWC18FKB8</t>
  </si>
  <si>
    <t>F8Y22510EL518FLAS</t>
  </si>
  <si>
    <t>G704092769</t>
  </si>
  <si>
    <t>G9P5362MP30PQCLAW</t>
  </si>
  <si>
    <t>G9N21942KAMPQCLAG</t>
  </si>
  <si>
    <t>G9P5222MP5VPQCLA8</t>
  </si>
  <si>
    <t>G703183817</t>
  </si>
  <si>
    <t>C020163005MNMNG1U</t>
  </si>
  <si>
    <t>C0201940050NMNG15</t>
  </si>
  <si>
    <t>G700585129</t>
  </si>
  <si>
    <t>G9PHKUF02G800005DP</t>
  </si>
  <si>
    <t>GVCH8U00PWY00005DQ</t>
  </si>
  <si>
    <t>G683108554</t>
  </si>
  <si>
    <t>G9PHKXF1TZC00005DP</t>
  </si>
  <si>
    <t>G9PHKVT09ZC00005DP</t>
  </si>
  <si>
    <t>G9PHKEF05ZW00005DP</t>
  </si>
  <si>
    <t>G693750336</t>
  </si>
  <si>
    <t>F8Y5473C68U14LWCZ</t>
  </si>
  <si>
    <t>F8Y2221005J14LW8Y</t>
  </si>
  <si>
    <t>G693243770</t>
  </si>
  <si>
    <t>F8Y6096C2MH13RHC0</t>
  </si>
  <si>
    <t>F5D1415EFEN13RJ91</t>
  </si>
  <si>
    <t>G706149983</t>
  </si>
  <si>
    <t>F8Y5497N1ARQ1LTB3</t>
  </si>
  <si>
    <t>F8Y2082HD0BQ1LTA6</t>
  </si>
  <si>
    <t>G705853181</t>
  </si>
  <si>
    <t>F8Y6053CRRS18FKBX</t>
  </si>
  <si>
    <t>FG920541PHU18FM4F</t>
  </si>
  <si>
    <t>G701551109</t>
  </si>
  <si>
    <t>F8Y5495N44D13QFCU</t>
  </si>
  <si>
    <t>F5D4332039Z10DLC8</t>
  </si>
  <si>
    <t>G701296157</t>
  </si>
  <si>
    <t>LDPW64X74K</t>
  </si>
  <si>
    <t>JJ996QCL9V</t>
  </si>
  <si>
    <t>G699346569</t>
  </si>
  <si>
    <t>FMXHMF0018F00006J3</t>
  </si>
  <si>
    <t>FMXHC100A5N00006J3</t>
  </si>
  <si>
    <t>G698386887</t>
  </si>
  <si>
    <t>FV951530A960W9FLL</t>
  </si>
  <si>
    <t>FV951540EN00W9FLG</t>
  </si>
  <si>
    <t>G715335995</t>
  </si>
  <si>
    <t>F8Y6113C5NN18FKB7</t>
  </si>
  <si>
    <t>FG914920QLP18FM42</t>
  </si>
  <si>
    <t>G709209603</t>
  </si>
  <si>
    <t>FK1HB5001YM00001WF</t>
  </si>
  <si>
    <t>GMH34820ZWC203RA0</t>
  </si>
  <si>
    <t>G702989813</t>
  </si>
  <si>
    <t>F8Y5322C32Z20J9BV</t>
  </si>
  <si>
    <t>F5D23770H4U20J896</t>
  </si>
  <si>
    <t>G702982663</t>
  </si>
  <si>
    <t>F8Y5486C3Z320J9BB</t>
  </si>
  <si>
    <t>F5D2417AE4S20J89Y</t>
  </si>
  <si>
    <t>G686211996</t>
  </si>
  <si>
    <t>C7GHX3WX40</t>
  </si>
  <si>
    <t>HTV5XW9MMX</t>
  </si>
  <si>
    <t>G699078573</t>
  </si>
  <si>
    <t>HNWJW3P064</t>
  </si>
  <si>
    <t>MGWYM24N92</t>
  </si>
  <si>
    <t>G698652679</t>
  </si>
  <si>
    <t>F8Y5444C17F18FKBK</t>
  </si>
  <si>
    <t>FG913940C3718FN58</t>
  </si>
  <si>
    <t>G715856359</t>
  </si>
  <si>
    <t>F8YHN8C02XK00006TW</t>
  </si>
  <si>
    <t>FG9GZ301BYU00006TZ</t>
  </si>
  <si>
    <t>G713603807</t>
  </si>
  <si>
    <t>CN99Y0J0NP</t>
  </si>
  <si>
    <t>CDH2Y4C0FV</t>
  </si>
  <si>
    <t>G710859529</t>
  </si>
  <si>
    <t>GMG539600JR1J87AZ</t>
  </si>
  <si>
    <t>F0Y515700731J88AC</t>
  </si>
  <si>
    <t>G716543075</t>
  </si>
  <si>
    <t>F8Y6036C9LN20J9B7</t>
  </si>
  <si>
    <t>F8Y24521ST820JC2C</t>
  </si>
  <si>
    <t>G711774965</t>
  </si>
  <si>
    <t>F8Y6136C8NW18FKBM</t>
  </si>
  <si>
    <t>FG940960CNB18FMBQ</t>
  </si>
  <si>
    <t>G709079311</t>
  </si>
  <si>
    <t>F8Y5514C30G18FKBB</t>
  </si>
  <si>
    <t>FG923950JYH18FMAP</t>
  </si>
  <si>
    <t>G706283475</t>
  </si>
  <si>
    <t>HJR06W6X43</t>
  </si>
  <si>
    <t>PWDQTQV3P5</t>
  </si>
  <si>
    <t>G702442237</t>
  </si>
  <si>
    <t>GMG549301V9NR8DB6</t>
  </si>
  <si>
    <t>GMG3126017CNR8DBU</t>
  </si>
  <si>
    <t>G715210037</t>
  </si>
  <si>
    <t>F8Y6066C4SR13XCB8</t>
  </si>
  <si>
    <t>F5D136694GT13X99S</t>
  </si>
  <si>
    <t>G704999825</t>
  </si>
  <si>
    <t>Display, Yellow</t>
  </si>
  <si>
    <t>GHQ6057000N2FT5AG</t>
  </si>
  <si>
    <t>GHQ139201YV167QA4</t>
  </si>
  <si>
    <t>G690618692</t>
  </si>
  <si>
    <t>661-40191</t>
  </si>
  <si>
    <t>Logic Board, 8-core CPU, 10-core GPU, 24 GB, 1 TB</t>
  </si>
  <si>
    <t>C02H4S0001Z0000590</t>
  </si>
  <si>
    <t>C02HAS001U60000590</t>
  </si>
  <si>
    <t>G715324185</t>
  </si>
  <si>
    <t>SH60LW9Q7HV</t>
  </si>
  <si>
    <t>KTXK5JTXH9</t>
  </si>
  <si>
    <t>G709273517</t>
  </si>
  <si>
    <t>F8Y6026C1QSQ4C2BR</t>
  </si>
  <si>
    <t>F5D11132G7DQ4929X</t>
  </si>
  <si>
    <t>G708861709</t>
  </si>
  <si>
    <t>CKX51731MRT1LD7A9</t>
  </si>
  <si>
    <t>F0Y541402G41J88AU</t>
  </si>
  <si>
    <t>GMG4131045S1J87AT</t>
  </si>
  <si>
    <t>F0Y5415015L1J88AB</t>
  </si>
  <si>
    <t>G690018276</t>
  </si>
  <si>
    <t>J9KHQD000QM0000FD3</t>
  </si>
  <si>
    <t>GMHHCA005BV0000882</t>
  </si>
  <si>
    <t>G689903632</t>
  </si>
  <si>
    <t>DM23VTM9P7</t>
  </si>
  <si>
    <t>HD7WPL77V6</t>
  </si>
  <si>
    <t>G707515971</t>
  </si>
  <si>
    <t>MKXJGX3Q1T</t>
  </si>
  <si>
    <t>GDYQT571F0</t>
  </si>
  <si>
    <t>G702826253</t>
  </si>
  <si>
    <t>MPGQD21PYG</t>
  </si>
  <si>
    <t>C7VRX6NNQJ</t>
  </si>
  <si>
    <t>G713954419</t>
  </si>
  <si>
    <t>JK7TY2DYQ1</t>
  </si>
  <si>
    <t>F26X0N29JD</t>
  </si>
  <si>
    <t>G712526269</t>
  </si>
  <si>
    <t>FP1418102CJ216RAD</t>
  </si>
  <si>
    <t>FMX34350PEAPP5CAE</t>
  </si>
  <si>
    <t>C4752636C6F2501AW</t>
  </si>
  <si>
    <t>G707612633</t>
  </si>
  <si>
    <t>F8Y6026C41ZQ687BM</t>
  </si>
  <si>
    <t>F8Y23960RKD10CL5Q</t>
  </si>
  <si>
    <t>G702530761</t>
  </si>
  <si>
    <t>FH9WVD9Y2J</t>
  </si>
  <si>
    <t>FQT4C12X4T</t>
  </si>
  <si>
    <t>G700583047</t>
  </si>
  <si>
    <t>DN8HJ702TUZ00006S2</t>
  </si>
  <si>
    <t>DTTHEA03BEG00006RY</t>
  </si>
  <si>
    <t>G706514141</t>
  </si>
  <si>
    <t>GMGHLH0044E0000GVL</t>
  </si>
  <si>
    <t>FP1HH400A9D0000G2A</t>
  </si>
  <si>
    <t>G701656151</t>
  </si>
  <si>
    <t>G9PHKPG2DJ700005DP</t>
  </si>
  <si>
    <t>GVCHEH01VCR00005DQ</t>
  </si>
  <si>
    <t>G703762735</t>
  </si>
  <si>
    <t>FG9HP8004UU00006TT</t>
  </si>
  <si>
    <t>F5DGYL020X800006TS</t>
  </si>
  <si>
    <t>G703322727</t>
  </si>
  <si>
    <t>DNMHNJ0057A0000QTE</t>
  </si>
  <si>
    <t>GCFHLS034HY0000QT9</t>
  </si>
  <si>
    <t>G699459283</t>
  </si>
  <si>
    <t>GVCHKA02BF70000U6M</t>
  </si>
  <si>
    <t>G9QHN0Q2E4L0000MTE</t>
  </si>
  <si>
    <t>G713738295</t>
  </si>
  <si>
    <t>C02HFJ000JX0000MSX</t>
  </si>
  <si>
    <t>J97HED00WTC0000MSX</t>
  </si>
  <si>
    <t>G703755145</t>
  </si>
  <si>
    <t>LV47DCWH2V</t>
  </si>
  <si>
    <t>CN4GNF04GK</t>
  </si>
  <si>
    <t>G702127309</t>
  </si>
  <si>
    <t>G9PHKYT2JGC00005DP</t>
  </si>
  <si>
    <t>GVCHFT010Z300005DQ</t>
  </si>
  <si>
    <t>G707373217</t>
  </si>
  <si>
    <t>F8Y5503C1X313RHCD</t>
  </si>
  <si>
    <t>F5D21636AY013RKAF</t>
  </si>
  <si>
    <t>G714043967</t>
  </si>
  <si>
    <t>G9NHPLJ5SJA0000L4B</t>
  </si>
  <si>
    <t>J5VHNH00JUF0000L4C</t>
  </si>
  <si>
    <t>G705104741</t>
  </si>
  <si>
    <t>G072KQXGJM</t>
  </si>
  <si>
    <t>GR7YGXNP6J</t>
  </si>
  <si>
    <t>G699682157</t>
  </si>
  <si>
    <t>F8Y5467C6N020J9BF</t>
  </si>
  <si>
    <t>F5D252682KY20J89W</t>
  </si>
  <si>
    <t>G713502031</t>
  </si>
  <si>
    <t>F8YHP7C0H3V00006TP</t>
  </si>
  <si>
    <t>F8YGZP0265K00006TP</t>
  </si>
  <si>
    <t>G709660443</t>
  </si>
  <si>
    <t>FGJ5075RLVW2DP5AK</t>
  </si>
  <si>
    <t>G705796555</t>
  </si>
  <si>
    <t>GMG544200SB1J88A6</t>
  </si>
  <si>
    <t>GMG245100NJ1J88AJ</t>
  </si>
  <si>
    <t>G716427467</t>
  </si>
  <si>
    <t>G9PHK1F119700005DP</t>
  </si>
  <si>
    <t>G9NHDBL0MFU00005DP</t>
  </si>
  <si>
    <t>G714327541</t>
  </si>
  <si>
    <t>Display, Midnight, MBA (13-in, M3, 2024)</t>
  </si>
  <si>
    <t>GMG615501091J87AC</t>
  </si>
  <si>
    <t>FP143510CL025YVAL</t>
  </si>
  <si>
    <t>G692584450</t>
  </si>
  <si>
    <t>M26XJ1WRJV</t>
  </si>
  <si>
    <t>F56TH0X449</t>
  </si>
  <si>
    <t>G708093035</t>
  </si>
  <si>
    <t>F8Y6056CDXJ18FKBW</t>
  </si>
  <si>
    <t>FG9236216Y818FMAK</t>
  </si>
  <si>
    <t>G704989131</t>
  </si>
  <si>
    <t>F8Y5506CNH318FKBP</t>
  </si>
  <si>
    <t>FG920740DEF18FM4A</t>
  </si>
  <si>
    <t>G702617843</t>
  </si>
  <si>
    <t>F8Y5486C3Z220J9BC</t>
  </si>
  <si>
    <t>F5D2415FV3L20J89D</t>
  </si>
  <si>
    <t>G701174973</t>
  </si>
  <si>
    <t>F8YHN5C0H0Y00006TP</t>
  </si>
  <si>
    <t>F5DGZR00MSK00006TQ</t>
  </si>
  <si>
    <t>G713264545</t>
  </si>
  <si>
    <t>GMG615500P21J88AJ</t>
  </si>
  <si>
    <t>F0Y5076005X1J88AL</t>
  </si>
  <si>
    <t>G710667213</t>
  </si>
  <si>
    <t>F8Y5341C06X237KB3</t>
  </si>
  <si>
    <t>FQ123571HV522HQ1P</t>
  </si>
  <si>
    <t>G703635813</t>
  </si>
  <si>
    <t>GMGHNT000HJ00000CQ</t>
  </si>
  <si>
    <t>GMGHC3002S400000CQ</t>
  </si>
  <si>
    <t>G697251716</t>
  </si>
  <si>
    <t>G9PHHTG0LU700005DP</t>
  </si>
  <si>
    <t>GVCHAP00EUK00005DQ</t>
  </si>
  <si>
    <t>G712821571</t>
  </si>
  <si>
    <t>JQVXWC9LQJ</t>
  </si>
  <si>
    <t>NFNWR4GTJJ</t>
  </si>
  <si>
    <t>G709884331</t>
  </si>
  <si>
    <t>F0YHNG000CY0000UJX</t>
  </si>
  <si>
    <t>FP1HJE005TW0000UJW</t>
  </si>
  <si>
    <t>G709634193</t>
  </si>
  <si>
    <t>FG9HNR006XS00006TT</t>
  </si>
  <si>
    <t>F5DH0800PD800006TU</t>
  </si>
  <si>
    <t>G708826891</t>
  </si>
  <si>
    <t>FTFKWNYPVP</t>
  </si>
  <si>
    <t>H4H163FWM4</t>
  </si>
  <si>
    <t>G708696463</t>
  </si>
  <si>
    <t>DWP9PTPX7V</t>
  </si>
  <si>
    <t>MKF6W7X699</t>
  </si>
  <si>
    <t>G708604059</t>
  </si>
  <si>
    <t>GH3HPS01W1F0000MUZ</t>
  </si>
  <si>
    <t>G9NHLSPAB2S0000MUY</t>
  </si>
  <si>
    <t>G702933455</t>
  </si>
  <si>
    <t>F0Y542101CB1J88A0</t>
  </si>
  <si>
    <t>FP15043013825YTA9</t>
  </si>
  <si>
    <t>GMG521100E51J88AS</t>
  </si>
  <si>
    <t>G701542981</t>
  </si>
  <si>
    <t>G0NHKL003WT0000HKZ</t>
  </si>
  <si>
    <t>GMHHAZ039MK0000BXF</t>
  </si>
  <si>
    <t>G710975881</t>
  </si>
  <si>
    <t>F8Y6057CH0G18FKBJ</t>
  </si>
  <si>
    <t>FG913912CYA18FM4M</t>
  </si>
  <si>
    <t>G709420735</t>
  </si>
  <si>
    <t>G9PHLZT2ET700005DP</t>
  </si>
  <si>
    <t>GVCHAG011G900005DQ</t>
  </si>
  <si>
    <t>G702697673</t>
  </si>
  <si>
    <t>GMGHLG004YU0000GVL</t>
  </si>
  <si>
    <t>FP1HKZ000AM0000G2A</t>
  </si>
  <si>
    <t>G700358841</t>
  </si>
  <si>
    <t>G9P5162L9R5PQCKAD</t>
  </si>
  <si>
    <t>G9P2302KKE8PQCKAT</t>
  </si>
  <si>
    <t>G9P5153LH2APQCKA3</t>
  </si>
  <si>
    <t>G714520977</t>
  </si>
  <si>
    <t>G9P5454Q9BA1PHPAG</t>
  </si>
  <si>
    <t>G9N3382J9411PHPAX</t>
  </si>
  <si>
    <t>G709866839</t>
  </si>
  <si>
    <t>GH3HPX00VNY0000MUZ</t>
  </si>
  <si>
    <t>G9NHJGQ1DTL0000MUY</t>
  </si>
  <si>
    <t>G709317725</t>
  </si>
  <si>
    <t>Top Case, Space Gray, ANSI, MBP (14-in, 2023)</t>
  </si>
  <si>
    <t>F8Y3024H1MAQ1LTA3</t>
  </si>
  <si>
    <t>G704984365</t>
  </si>
  <si>
    <t>F8Y5467C1KE20J9BF</t>
  </si>
  <si>
    <t>F8Y2447068H20JC2D</t>
  </si>
  <si>
    <t>G683137828</t>
  </si>
  <si>
    <t>GLV3XVY172</t>
  </si>
  <si>
    <t>H14WPRXF6G</t>
  </si>
  <si>
    <t>G710125169</t>
  </si>
  <si>
    <t>H2CR905G1JG7</t>
  </si>
  <si>
    <t>N0P69RWXYJ</t>
  </si>
  <si>
    <t>G706698989</t>
  </si>
  <si>
    <t>F8Y6055C9AB18FKB3</t>
  </si>
  <si>
    <t>FG921672REY18FMAQ</t>
  </si>
  <si>
    <t>G688623050</t>
  </si>
  <si>
    <t>F8Y5172C2RYM6YNDV</t>
  </si>
  <si>
    <t>FG9149504KUM6YRCG</t>
  </si>
  <si>
    <t>G715431603</t>
  </si>
  <si>
    <t>G9Q5394U8FZ21KHAB</t>
  </si>
  <si>
    <t>GVH51212MWD1PHLA8</t>
  </si>
  <si>
    <t>G683694532</t>
  </si>
  <si>
    <t>C6LQ4CV2YY</t>
  </si>
  <si>
    <t>HTX31765WY</t>
  </si>
  <si>
    <t>G683102802</t>
  </si>
  <si>
    <t>G9PHP3Y5WAG0000L4B</t>
  </si>
  <si>
    <t>G9QHL5M0M720000L4B</t>
  </si>
  <si>
    <t>G708969905</t>
  </si>
  <si>
    <t>F8Y6066C7S813XCBN</t>
  </si>
  <si>
    <t>F8Y216624PL13XC84</t>
  </si>
  <si>
    <t>G708484985</t>
  </si>
  <si>
    <t>K0235WX1YV</t>
  </si>
  <si>
    <t>D1HW0HKF1V</t>
  </si>
  <si>
    <t>G706623681</t>
  </si>
  <si>
    <t>J0MHKJ0078Y0000U64</t>
  </si>
  <si>
    <t>J0MH8700Q260000U64</t>
  </si>
  <si>
    <t>G703750469</t>
  </si>
  <si>
    <t>DNMHG701EC9000048L</t>
  </si>
  <si>
    <t>GCFHF900DQR000049K</t>
  </si>
  <si>
    <t>G715202627</t>
  </si>
  <si>
    <t>GMG615501M41J88AM</t>
  </si>
  <si>
    <t>FP1437501WT25YTA0</t>
  </si>
  <si>
    <t>G708516027</t>
  </si>
  <si>
    <t>H2CHN7000TP0000XFU</t>
  </si>
  <si>
    <t>H2CHKB0007R0000XFU</t>
  </si>
  <si>
    <t>H2CHR8001VT0000XFQ</t>
  </si>
  <si>
    <t>H2CHJR002LB0000XFQ</t>
  </si>
  <si>
    <t>G704703653</t>
  </si>
  <si>
    <t>ZA661-45768</t>
  </si>
  <si>
    <t>Silver, Magic Mouse, USB-C, ITS</t>
  </si>
  <si>
    <t>CC2HFB001FA0000530</t>
  </si>
  <si>
    <t>CC2HLG0170A0000530</t>
  </si>
  <si>
    <t>G704119215</t>
  </si>
  <si>
    <t>F0YHMQ002HM0000GVL</t>
  </si>
  <si>
    <t>GMGHLV002K70000GVK</t>
  </si>
  <si>
    <t>G709857091</t>
  </si>
  <si>
    <t>F8Y5527C58C20J9BP</t>
  </si>
  <si>
    <t>F5D30141S5X20J79A</t>
  </si>
  <si>
    <t>G702452119</t>
  </si>
  <si>
    <t>FG9HP4005QC00006TT</t>
  </si>
  <si>
    <t>FG9GZP00RNU00006TV</t>
  </si>
  <si>
    <t>G701210125</t>
  </si>
  <si>
    <t>KLQ95QMT4R</t>
  </si>
  <si>
    <t>FH775X9NMC</t>
  </si>
  <si>
    <t>G708301317</t>
  </si>
  <si>
    <t>F8Y6057CJLJ18FKBP</t>
  </si>
  <si>
    <t>FG932330V7A18FMAA</t>
  </si>
  <si>
    <t>G705801305</t>
  </si>
  <si>
    <t>F8Y5506CNHH18FKB9</t>
  </si>
  <si>
    <t>FG914873GW518FM4M</t>
  </si>
  <si>
    <t>G701547953</t>
  </si>
  <si>
    <t>G9Q5173WJFU1502AC</t>
  </si>
  <si>
    <t>GVH3037A91U1501AJ</t>
  </si>
  <si>
    <t>G699130171</t>
  </si>
  <si>
    <t>G9PHKZT05RE00005DP</t>
  </si>
  <si>
    <t>GVCHFP010ZP00005DQ</t>
  </si>
  <si>
    <t>G708820697</t>
  </si>
  <si>
    <t>HY7QG2SC26K0</t>
  </si>
  <si>
    <t>G710448151</t>
  </si>
  <si>
    <t>F8Y5515C7KP18FKBA</t>
  </si>
  <si>
    <t>FG9329201VL18FMAD</t>
  </si>
  <si>
    <t>G708943091</t>
  </si>
  <si>
    <t>G9P5364MC62PQCLAU</t>
  </si>
  <si>
    <t>G9P2186PC60PQCLAT</t>
  </si>
  <si>
    <t>G708306035</t>
  </si>
  <si>
    <t>F8YHP8C0T5400006TP</t>
  </si>
  <si>
    <t>F5DH0S0057E00006TQ</t>
  </si>
  <si>
    <t>G702724759</t>
  </si>
  <si>
    <t>GMGHMP000J90000GVL</t>
  </si>
  <si>
    <t>F0YHHM000KF0000GVK</t>
  </si>
  <si>
    <t>G684526110</t>
  </si>
  <si>
    <t>C023154021Y1TY4AY</t>
  </si>
  <si>
    <t>C02246204CY1TY4AW</t>
  </si>
  <si>
    <t>G698997369</t>
  </si>
  <si>
    <t>GNWD41G2JJ</t>
  </si>
  <si>
    <t>MVPQLK30RF</t>
  </si>
  <si>
    <t>G698328593</t>
  </si>
  <si>
    <t>DT7N7R6LW4</t>
  </si>
  <si>
    <t>GHXFCG7X0V</t>
  </si>
  <si>
    <t>G713716361</t>
  </si>
  <si>
    <t>G9PHK6S0VQ400005DR</t>
  </si>
  <si>
    <t>GVCHCC02ZVY00005DS</t>
  </si>
  <si>
    <t>G710573813</t>
  </si>
  <si>
    <t>DJ79LH300P</t>
  </si>
  <si>
    <t>M2PL47PWKY</t>
  </si>
  <si>
    <t>G699585733</t>
  </si>
  <si>
    <t>HFF2RC621C</t>
  </si>
  <si>
    <t>LJ9CYKM1QW</t>
  </si>
  <si>
    <t>G714164933</t>
  </si>
  <si>
    <t>C4H515303NNQ41CAK</t>
  </si>
  <si>
    <t>C4H5223060X16YCAM</t>
  </si>
  <si>
    <t>G710446277</t>
  </si>
  <si>
    <t>DHCQ47CX6D</t>
  </si>
  <si>
    <t>FQ2D79TXPW</t>
  </si>
  <si>
    <t>G690615040</t>
  </si>
  <si>
    <t>DNL5301051J1986AN</t>
  </si>
  <si>
    <t>DNL34310D9F1986BL</t>
  </si>
  <si>
    <t>G708266263</t>
  </si>
  <si>
    <t>F8YHN3C06TR00006TP</t>
  </si>
  <si>
    <t>F5DH2B009S100006TQ</t>
  </si>
  <si>
    <t>G716329431</t>
  </si>
  <si>
    <t>G9Q6042U7C921KHAU</t>
  </si>
  <si>
    <t>GVH52540LH91PHLAB</t>
  </si>
  <si>
    <t>G697420934</t>
  </si>
  <si>
    <t>GVCHP10014M0000U6M</t>
  </si>
  <si>
    <t>GVCHR602GBW0000U6M</t>
  </si>
  <si>
    <t>G714441875</t>
  </si>
  <si>
    <t>F8Y6172C5EC18FKBQ</t>
  </si>
  <si>
    <t>F8Y23010JR218FLAQ</t>
  </si>
  <si>
    <t>G711084417</t>
  </si>
  <si>
    <t>FG9HRG0017900006TT</t>
  </si>
  <si>
    <t>F5DGZM00XBT00006TU</t>
  </si>
  <si>
    <t>G710585379</t>
  </si>
  <si>
    <t>D971D450W9</t>
  </si>
  <si>
    <t>HJYN4KTWWH</t>
  </si>
  <si>
    <t>G698269153</t>
  </si>
  <si>
    <t>G9P5347MC51PQCLA1</t>
  </si>
  <si>
    <t>G9N2085NPN0PQCLA8</t>
  </si>
  <si>
    <t>G714827757</t>
  </si>
  <si>
    <t>FMXHRK0049R00006J3</t>
  </si>
  <si>
    <t>FMXHK3003G800006J3</t>
  </si>
  <si>
    <t>G712346525</t>
  </si>
  <si>
    <t>F0Y5433011Y1J88A7</t>
  </si>
  <si>
    <t>FP1441602JK25YTAR</t>
  </si>
  <si>
    <t>G708856097</t>
  </si>
  <si>
    <t>G4DCJX2H0W</t>
  </si>
  <si>
    <t>JGP76CC4DD</t>
  </si>
  <si>
    <t>G706518825</t>
  </si>
  <si>
    <t>F8Y5496C5CK13XCBB</t>
  </si>
  <si>
    <t>F5D14068RZR13X99A</t>
  </si>
  <si>
    <t>G685094198</t>
  </si>
  <si>
    <t>GMGHMR002PG0000GVL</t>
  </si>
  <si>
    <t>FP1HDR009X80000G2A</t>
  </si>
  <si>
    <t>G695966728</t>
  </si>
  <si>
    <t>F8Y5256CAX813XCB8</t>
  </si>
  <si>
    <t>F5D13850T0Y13X990</t>
  </si>
  <si>
    <t>G9P5094M6DRPQCLAJ</t>
  </si>
  <si>
    <t>G9Q1376XD8NPQCLAB</t>
  </si>
  <si>
    <t>G702809063</t>
  </si>
  <si>
    <t>MJ27YXV6WV</t>
  </si>
  <si>
    <t>J3Q0TLW6LF</t>
  </si>
  <si>
    <t>G702531617</t>
  </si>
  <si>
    <t>GMGHLG003PT0000GVL</t>
  </si>
  <si>
    <t>FP1HFS001TR0000G29</t>
  </si>
  <si>
    <t>G701428111</t>
  </si>
  <si>
    <t>GMGHNT000C400000CP</t>
  </si>
  <si>
    <t>FP1HCR0015300000CM</t>
  </si>
  <si>
    <t>G712477383</t>
  </si>
  <si>
    <t>F8Y6066C6DB13XCBR</t>
  </si>
  <si>
    <t>F8Y21811R3M13XC8A</t>
  </si>
  <si>
    <t>G710787973</t>
  </si>
  <si>
    <t>ML4MD2JVGJ</t>
  </si>
  <si>
    <t>KHQ2LDYRLY</t>
  </si>
  <si>
    <t>G709058461</t>
  </si>
  <si>
    <t>FD7JL7N4K7</t>
  </si>
  <si>
    <t>FJ424RGXTT</t>
  </si>
  <si>
    <t>G708162781</t>
  </si>
  <si>
    <t>F8Y6053CADD18FKBT</t>
  </si>
  <si>
    <t>FG93285040418FMAB</t>
  </si>
  <si>
    <t>G690006024</t>
  </si>
  <si>
    <t>FMXHQ3006JT00006J3</t>
  </si>
  <si>
    <t>FP1HBN006Y70000FQX</t>
  </si>
  <si>
    <t>G702787103</t>
  </si>
  <si>
    <t>G9P3335M6EBPQCLAF</t>
  </si>
  <si>
    <t>G9N2151PHM2PQCLAQ</t>
  </si>
  <si>
    <t>DN84206HT60Q1NMD6</t>
  </si>
  <si>
    <t>DN82175H6LYKGRP2W</t>
  </si>
  <si>
    <t>G702644671</t>
  </si>
  <si>
    <t>F8Y5463C53M217WBZ</t>
  </si>
  <si>
    <t>F5D30341PXY21PK78</t>
  </si>
  <si>
    <t>G702204703</t>
  </si>
  <si>
    <t>J0W9J561JH</t>
  </si>
  <si>
    <t>CQQ6XRFP6N</t>
  </si>
  <si>
    <t>G683109456</t>
  </si>
  <si>
    <t>G9P5386M0D3PQCLAA</t>
  </si>
  <si>
    <t>G9P2241M40UPQCLAD</t>
  </si>
  <si>
    <t>G714962609</t>
  </si>
  <si>
    <t>F8Y6176C3R518FKBW</t>
  </si>
  <si>
    <t>FG922330W6218FMAP</t>
  </si>
  <si>
    <t>G713931745</t>
  </si>
  <si>
    <t>L2H7Q67N36</t>
  </si>
  <si>
    <t>M2P3J56G1V</t>
  </si>
  <si>
    <t>G694496918</t>
  </si>
  <si>
    <t>F8Y6163C02U18FKBH</t>
  </si>
  <si>
    <t>FG941870THN18FMBE</t>
  </si>
  <si>
    <t>G694474408</t>
  </si>
  <si>
    <t>F8Y6162C5LR18FKBW</t>
  </si>
  <si>
    <t>FG923040B5718FMAD</t>
  </si>
  <si>
    <t>G711207075</t>
  </si>
  <si>
    <t>F8Y6114C3LP18FKBD</t>
  </si>
  <si>
    <t>FG922710A9W18FMAW</t>
  </si>
  <si>
    <t>G710127691</t>
  </si>
  <si>
    <t>JFRX0QJ4MG</t>
  </si>
  <si>
    <t>KFJ66FC2TK</t>
  </si>
  <si>
    <t>G707511479</t>
  </si>
  <si>
    <t>F8YHN2C05HX00006TW</t>
  </si>
  <si>
    <t>F8YH0B22TAQ00006TY</t>
  </si>
  <si>
    <t>G707499515</t>
  </si>
  <si>
    <t>F8Y5496C5CH13XCBD</t>
  </si>
  <si>
    <t>F5D13452AEU13X99K</t>
  </si>
  <si>
    <t>G701163763</t>
  </si>
  <si>
    <t>G0NHJ501D270000HKZ</t>
  </si>
  <si>
    <t>GMHHBF024HY0000BXF</t>
  </si>
  <si>
    <t>G698403283</t>
  </si>
  <si>
    <t>L9Y4WN1WFC</t>
  </si>
  <si>
    <t>Y4GPH3H9MQ</t>
  </si>
  <si>
    <t>G697259242</t>
  </si>
  <si>
    <t>F8YHNVC03LH00006U0</t>
  </si>
  <si>
    <t>F8YGX71096M00006U2</t>
  </si>
  <si>
    <t>G712890423</t>
  </si>
  <si>
    <t>F8Y6153C6JP20J9BB</t>
  </si>
  <si>
    <t>F8Y236704DP20J92S</t>
  </si>
  <si>
    <t>G712255039</t>
  </si>
  <si>
    <t>G9PHFDH0HVY00005DR</t>
  </si>
  <si>
    <t>G9PHD9K0G0S00005DR</t>
  </si>
  <si>
    <t>DN8HJX00PLY00006S2</t>
  </si>
  <si>
    <t>DN8HEV0APFG00006S2</t>
  </si>
  <si>
    <t>DN8HJX0310J00006S2</t>
  </si>
  <si>
    <t>G712238745</t>
  </si>
  <si>
    <t>F8Y6141C375Q687BW</t>
  </si>
  <si>
    <t>FG90515357SQ68936</t>
  </si>
  <si>
    <t>G711903591</t>
  </si>
  <si>
    <t>FHYCX3Q266</t>
  </si>
  <si>
    <t>KXTPX2T2CW</t>
  </si>
  <si>
    <t>G710795165</t>
  </si>
  <si>
    <t>K0F32VNT4N</t>
  </si>
  <si>
    <t>J02FVX674Y</t>
  </si>
  <si>
    <t>G708571589</t>
  </si>
  <si>
    <t>FVNNXNVN6X</t>
  </si>
  <si>
    <t>MN9KD7JXKH</t>
  </si>
  <si>
    <t>G707303357</t>
  </si>
  <si>
    <t>G3QPGF69M1</t>
  </si>
  <si>
    <t>G706591065</t>
  </si>
  <si>
    <t>G9P5165LGAPPQCKAW</t>
  </si>
  <si>
    <t>G9P2271K60EPQCKAP</t>
  </si>
  <si>
    <t>G702719201</t>
  </si>
  <si>
    <t>F8Y5527C964Q687BT</t>
  </si>
  <si>
    <t>F8Y103210STQ6872Y</t>
  </si>
  <si>
    <t>G9P1047NBLNLQHKAB</t>
  </si>
  <si>
    <t>G9P1042N64DLQHKAA</t>
  </si>
  <si>
    <t>G701209187</t>
  </si>
  <si>
    <t>FG9547601VNN2YLBX</t>
  </si>
  <si>
    <t>FG9037615CJN2YLAW</t>
  </si>
  <si>
    <t>G699863997</t>
  </si>
  <si>
    <t>GMGHLE009Z60000GVL</t>
  </si>
  <si>
    <t>GMGHM0000P90000GVK</t>
  </si>
  <si>
    <t>G698585399</t>
  </si>
  <si>
    <t>GCFHCC05UCN00005LU</t>
  </si>
  <si>
    <t>GCFHF8074ED00005LU</t>
  </si>
  <si>
    <t>G710989045</t>
  </si>
  <si>
    <t>MQGX6D546P</t>
  </si>
  <si>
    <t>LPVK9LV14W</t>
  </si>
  <si>
    <t>G700172325</t>
  </si>
  <si>
    <t>F8Y5506CNBU18FKBG</t>
  </si>
  <si>
    <t>FG9152311ZM18FM44</t>
  </si>
  <si>
    <t>G714827041</t>
  </si>
  <si>
    <t>G0LHMW0042400017C0</t>
  </si>
  <si>
    <t>A83HLT17R600001AH4</t>
  </si>
  <si>
    <t>G714444605</t>
  </si>
  <si>
    <t>F8Y6033C0MR231LBG</t>
  </si>
  <si>
    <t>FG923640KCD22XP6T</t>
  </si>
  <si>
    <t>G713740911</t>
  </si>
  <si>
    <t>F8YHRPD07D000006TP</t>
  </si>
  <si>
    <t>F8YGZN304TU00006TR</t>
  </si>
  <si>
    <t>G692473688</t>
  </si>
  <si>
    <t>F8Y6096C2MR13RHCS</t>
  </si>
  <si>
    <t>F8Y14230BE413RHBX</t>
  </si>
  <si>
    <t>G691478492</t>
  </si>
  <si>
    <t>GMGHLF00ARF0000GVL</t>
  </si>
  <si>
    <t>GMGHNK0030S0000GVL</t>
  </si>
  <si>
    <t>G708275315</t>
  </si>
  <si>
    <t>GX1HQ908B6D0000B2Z</t>
  </si>
  <si>
    <t>G702106441</t>
  </si>
  <si>
    <t>F8Y5455C5TG13XCBG</t>
  </si>
  <si>
    <t>F5D136795S213X99K</t>
  </si>
  <si>
    <t>G714869303</t>
  </si>
  <si>
    <t>F8Y6157CBKF217WBJ</t>
  </si>
  <si>
    <t>F5D24336KV521PK7W</t>
  </si>
  <si>
    <t>G709729371</t>
  </si>
  <si>
    <t>GT2W9PCVVQ</t>
  </si>
  <si>
    <t>K2CN7HGKCG</t>
  </si>
  <si>
    <t>G708739899</t>
  </si>
  <si>
    <t>JG4JJN99T5</t>
  </si>
  <si>
    <t>H73RVW76CQ</t>
  </si>
  <si>
    <t>G708088577</t>
  </si>
  <si>
    <t>FHQH2QH06J</t>
  </si>
  <si>
    <t>D2Q6C6HFYF</t>
  </si>
  <si>
    <t>G705533669</t>
  </si>
  <si>
    <t>GMGGT3000EE00000CP</t>
  </si>
  <si>
    <t>FP1GXK000J100000CM</t>
  </si>
  <si>
    <t>G704896823</t>
  </si>
  <si>
    <t>GH3HP100F1F0000MUZ</t>
  </si>
  <si>
    <t>G9PHNFG4GL40000MUY</t>
  </si>
  <si>
    <t>G698803763</t>
  </si>
  <si>
    <t>F8Y5441C2WC13XCBM</t>
  </si>
  <si>
    <t>F5D1493HKV713XD9R</t>
  </si>
  <si>
    <t>G9P5364MCD3PQCLA6</t>
  </si>
  <si>
    <t>G9P1503R15ZPQCLAU</t>
  </si>
  <si>
    <t>G698544681</t>
  </si>
  <si>
    <t>DNM538107071QDC7G</t>
  </si>
  <si>
    <t>DNM3292159D1QDC20</t>
  </si>
  <si>
    <t>G716018287</t>
  </si>
  <si>
    <t>F8Y6173C4D518FKB0</t>
  </si>
  <si>
    <t>FG9223717N318FMAQ</t>
  </si>
  <si>
    <t>G708861737</t>
  </si>
  <si>
    <t>GH3HPD006UK0000MUZ</t>
  </si>
  <si>
    <t>G9NHLRM1K480000MUY</t>
  </si>
  <si>
    <t>G711192407</t>
  </si>
  <si>
    <t>G9PHLXT33PL00005DP</t>
  </si>
  <si>
    <t>GVCHB2039L600005DQ</t>
  </si>
  <si>
    <t>G711082287</t>
  </si>
  <si>
    <t>FK1H1A01S4W00001A2</t>
  </si>
  <si>
    <t>DTTHGY03LUE000004D</t>
  </si>
  <si>
    <t>G707383007</t>
  </si>
  <si>
    <t>GX1HPZ04USL0000B2Z</t>
  </si>
  <si>
    <t>G688632264</t>
  </si>
  <si>
    <t>F8Y5423C31Y18FKBR</t>
  </si>
  <si>
    <t>FG9409702AV18FMBH</t>
  </si>
  <si>
    <t>G698309861</t>
  </si>
  <si>
    <t>JPG230R0GC</t>
  </si>
  <si>
    <t>MJFFVYMPJ9</t>
  </si>
  <si>
    <t>G710235561</t>
  </si>
  <si>
    <t>F8Y6096N2X913QFCM</t>
  </si>
  <si>
    <t>F5D51170HGR13QGDE</t>
  </si>
  <si>
    <t>G705303911</t>
  </si>
  <si>
    <t>CWTNV2RL7N</t>
  </si>
  <si>
    <t>J56HP500JKR00019MT</t>
  </si>
  <si>
    <t>G704102355</t>
  </si>
  <si>
    <t>G7V5JYVQJ9</t>
  </si>
  <si>
    <t>LCLQ63LGYH</t>
  </si>
  <si>
    <t>G704033433</t>
  </si>
  <si>
    <t>G9PHFAU1C6T00005DR</t>
  </si>
  <si>
    <t>GH3HFP00LHY00005DS</t>
  </si>
  <si>
    <t>G699439029</t>
  </si>
  <si>
    <t>F8Y5437C1L3Q4C2BM</t>
  </si>
  <si>
    <t>F5D0445CVCHQ4C09K</t>
  </si>
  <si>
    <t>G714857209</t>
  </si>
  <si>
    <t>F8Y6163C0Q118FKBC</t>
  </si>
  <si>
    <t>FG921541MJJ18FMA5</t>
  </si>
  <si>
    <t>G710469819</t>
  </si>
  <si>
    <t>GH3HR8027EY0000MUZ</t>
  </si>
  <si>
    <t>G9NHLFY9VQM0000MUY</t>
  </si>
  <si>
    <t>G709090521</t>
  </si>
  <si>
    <t>F8Y6026C1Q9Q4C2B8</t>
  </si>
  <si>
    <t>F5D10215V20Q4C09W</t>
  </si>
  <si>
    <t>G706510649</t>
  </si>
  <si>
    <t>ZP923-13773</t>
  </si>
  <si>
    <t>Mist Blue, Enclosure, iPhone 17, ROW</t>
  </si>
  <si>
    <t>FP2HLC006AK0000WDT</t>
  </si>
  <si>
    <t>FP2HK7002YN0000WDT</t>
  </si>
  <si>
    <t>F8YHKQ00SQG0001510</t>
  </si>
  <si>
    <t>FQ1HKY01M47000150Y</t>
  </si>
  <si>
    <t>G702622209</t>
  </si>
  <si>
    <t>F8Y5456C5AA18FKB6</t>
  </si>
  <si>
    <t>FG922171Z7X18FMAM</t>
  </si>
  <si>
    <t>G683510436</t>
  </si>
  <si>
    <t>DNM53710G0E1QDC73</t>
  </si>
  <si>
    <t>DNM53321U201QDC1R</t>
  </si>
  <si>
    <t>G698437947</t>
  </si>
  <si>
    <t>F8Y5445CDFG18FKBF</t>
  </si>
  <si>
    <t>F8Y1376081E18FKA4</t>
  </si>
  <si>
    <t>G712121199</t>
  </si>
  <si>
    <t>661-42546</t>
  </si>
  <si>
    <t>Trackpad, Space Black, MBP (14-in, M4, 2024)</t>
  </si>
  <si>
    <t>FM7HKH0B96V00003ME</t>
  </si>
  <si>
    <t>HXMHDZ00C0N0000W5J</t>
  </si>
  <si>
    <t>FV9HKB002290000PC8</t>
  </si>
  <si>
    <t>FV9HEH00DZ80000PC9</t>
  </si>
  <si>
    <t>G708685571</t>
  </si>
  <si>
    <t>F8YHP6C0VQN00006TW</t>
  </si>
  <si>
    <t>FG9H0P0090D00006TZ</t>
  </si>
  <si>
    <t>G706121437</t>
  </si>
  <si>
    <t>DNMHG3013J8000048L</t>
  </si>
  <si>
    <t>GCFHJ802BX200005LT</t>
  </si>
  <si>
    <t>G706014085</t>
  </si>
  <si>
    <t>DNPHLU02LB80000WDA</t>
  </si>
  <si>
    <t>FNJHMVU0DRQ0000M4H</t>
  </si>
  <si>
    <t>G713844491</t>
  </si>
  <si>
    <t>L9GDGC9237</t>
  </si>
  <si>
    <t>HCX76LV2P5</t>
  </si>
  <si>
    <t>G708955077</t>
  </si>
  <si>
    <t>DN8HE403QF000006S2</t>
  </si>
  <si>
    <t>F0WHGL00Q8L000064R</t>
  </si>
  <si>
    <t>G708738991</t>
  </si>
  <si>
    <t>H7G02T2QVF</t>
  </si>
  <si>
    <t>K4PM6710D9</t>
  </si>
  <si>
    <t>G704342351</t>
  </si>
  <si>
    <t>HF4NDQRW1V</t>
  </si>
  <si>
    <t>GXP366NWYV</t>
  </si>
  <si>
    <t>G701702933</t>
  </si>
  <si>
    <t>G0NHJ5018ZN0000HKZ</t>
  </si>
  <si>
    <t>FNJHEZA0N0E0000BXF</t>
  </si>
  <si>
    <t>DN8HEL055M900006S2</t>
  </si>
  <si>
    <t>DN8HEY0CT1P00006S2</t>
  </si>
  <si>
    <t>G715320285</t>
  </si>
  <si>
    <t>GMGHQ1000RR00013N5</t>
  </si>
  <si>
    <t>FP1HPS009YN00013N7</t>
  </si>
  <si>
    <t>G715307467</t>
  </si>
  <si>
    <t>GMGHLF005C50000GVL</t>
  </si>
  <si>
    <t>GMGHER000RB0000GVK</t>
  </si>
  <si>
    <t>G711315297</t>
  </si>
  <si>
    <t>GVCHP203BDG0000U6M</t>
  </si>
  <si>
    <t>GVCHNR04M7C0000U6M</t>
  </si>
  <si>
    <t>DNPHP101ER60000WDA</t>
  </si>
  <si>
    <t>FNJHP0V1HG40000M4H</t>
  </si>
  <si>
    <t>DNMHQ503EJU0000QTE</t>
  </si>
  <si>
    <t>DNMHPP00K9R0000QTE</t>
  </si>
  <si>
    <t>G708300561</t>
  </si>
  <si>
    <t>F8Y5455C94513XCBQ</t>
  </si>
  <si>
    <t>F5D1461DAL613XD9H</t>
  </si>
  <si>
    <t>G706465353</t>
  </si>
  <si>
    <t>F8Y6011C5AH20J9BP</t>
  </si>
  <si>
    <t>F8Y3213153320JCAU</t>
  </si>
  <si>
    <t>G704854133</t>
  </si>
  <si>
    <t>FK1HQM002ND00001A2</t>
  </si>
  <si>
    <t>FNJHHTC0DEZ000004D</t>
  </si>
  <si>
    <t>G704277985</t>
  </si>
  <si>
    <t>G9Q5174PF71PR5QAX</t>
  </si>
  <si>
    <t>GVH512102Q6PR5PAP</t>
  </si>
  <si>
    <t>G711231389</t>
  </si>
  <si>
    <t>M5WDJ6H7NF</t>
  </si>
  <si>
    <t>L7CXGKG929</t>
  </si>
  <si>
    <t>G709262061</t>
  </si>
  <si>
    <t>F8Y6026C17WQ4C2B4</t>
  </si>
  <si>
    <t>F5D1105117LQ49299</t>
  </si>
  <si>
    <t>G708361843</t>
  </si>
  <si>
    <t>L69K70FN66</t>
  </si>
  <si>
    <t>KHK949KG77</t>
  </si>
  <si>
    <t>G706849215</t>
  </si>
  <si>
    <t>GMGHLD002AC0000GVL</t>
  </si>
  <si>
    <t>FP1HF4003160000G2A</t>
  </si>
  <si>
    <t>G704368915</t>
  </si>
  <si>
    <t>F8Y5512C0EH231LBG</t>
  </si>
  <si>
    <t>FG930931BKH22WLAT</t>
  </si>
  <si>
    <t>G703982753</t>
  </si>
  <si>
    <t>F8Y5474C94A18FKBG</t>
  </si>
  <si>
    <t>FG922130LY018FMAX</t>
  </si>
  <si>
    <t>G702642961</t>
  </si>
  <si>
    <t>F8Y5473C68414LWCP</t>
  </si>
  <si>
    <t>F5D2216535614LXAB</t>
  </si>
  <si>
    <t>G702477053</t>
  </si>
  <si>
    <t>F8Y5506CKB718FKB6</t>
  </si>
  <si>
    <t>FG9215629X418FMAM</t>
  </si>
  <si>
    <t>G702035633</t>
  </si>
  <si>
    <t>923-11058</t>
  </si>
  <si>
    <t>Bottom Speaker, iPhone 16</t>
  </si>
  <si>
    <t>DXYHJV82CDG0000CZG</t>
  </si>
  <si>
    <t>CTHHD3826UP0000CZE</t>
  </si>
  <si>
    <t>G682728244</t>
  </si>
  <si>
    <t>F0Y543200EQ1J87AD</t>
  </si>
  <si>
    <t>FP1440502L525YTA3</t>
  </si>
  <si>
    <t>F0Y541100RH1J87AU</t>
  </si>
  <si>
    <t>F0Y541100T41J87A1</t>
  </si>
  <si>
    <t>G698404539</t>
  </si>
  <si>
    <t>F8Y5433CD62M6YNDB</t>
  </si>
  <si>
    <t>F8Y302627J9M6YNBL</t>
  </si>
  <si>
    <t>G713983813</t>
  </si>
  <si>
    <t>G0NHC301K7A0000HKZ</t>
  </si>
  <si>
    <t>GMHHGX02PZ00000BXF</t>
  </si>
  <si>
    <t>G693904600</t>
  </si>
  <si>
    <t>F8Y6126C8JU18FKB4</t>
  </si>
  <si>
    <t>FG941870KZ918FMBM</t>
  </si>
  <si>
    <t>G711106899</t>
  </si>
  <si>
    <t>F8Y6045C77B18FKBH</t>
  </si>
  <si>
    <t>FG9333606B118FMAS</t>
  </si>
  <si>
    <t>G706824095</t>
  </si>
  <si>
    <t>F8Y5495C70V217WBM</t>
  </si>
  <si>
    <t>F5D236627SN21PK71</t>
  </si>
  <si>
    <t>G705811053</t>
  </si>
  <si>
    <t>GD9C9XWFHQ</t>
  </si>
  <si>
    <t>DQ7FVMV396</t>
  </si>
  <si>
    <t>G704391557</t>
  </si>
  <si>
    <t>F0Y541501VJ1J87AA</t>
  </si>
  <si>
    <t>GMG243401QK1J88AD</t>
  </si>
  <si>
    <t>G698996905</t>
  </si>
  <si>
    <t>FJ7M0HY5F2</t>
  </si>
  <si>
    <t>GQ4KDPG96T</t>
  </si>
  <si>
    <t>G695960828</t>
  </si>
  <si>
    <t>F8Y6096C8CN13RHCG</t>
  </si>
  <si>
    <t>F5D2024D7RF13RJ9K</t>
  </si>
  <si>
    <t>G692090880</t>
  </si>
  <si>
    <t>F5D6037N1ERKGGJFD</t>
  </si>
  <si>
    <t>D861013A6ZNL3L2EY</t>
  </si>
  <si>
    <t>G708963403</t>
  </si>
  <si>
    <t>LD6P3JPQ2K</t>
  </si>
  <si>
    <t>G3MP7GVCQM</t>
  </si>
  <si>
    <t>G703901481</t>
  </si>
  <si>
    <t>F8Y6011C58C20J9B0</t>
  </si>
  <si>
    <t>F8Y23740U4W20J92N</t>
  </si>
  <si>
    <t>G700488915</t>
  </si>
  <si>
    <t>F8Y5442CAT1M6YNDJ</t>
  </si>
  <si>
    <t>F8Y240104RUM6YMB0</t>
  </si>
  <si>
    <t>G716323139</t>
  </si>
  <si>
    <t>G9P4441MMQAPQCLA2</t>
  </si>
  <si>
    <t>G9N2254VN22PQCLAL</t>
  </si>
  <si>
    <t>G709967131</t>
  </si>
  <si>
    <t>CTHHJG64NYG0000UV3</t>
  </si>
  <si>
    <t>CTHHQQ614RH0000UV3</t>
  </si>
  <si>
    <t>G707643701</t>
  </si>
  <si>
    <t>F8Y5502C2RP13RHCB</t>
  </si>
  <si>
    <t>F5D20424KGK13RJ9K</t>
  </si>
  <si>
    <t>G703640275</t>
  </si>
  <si>
    <t>F8YHN4C0EEW00006TP</t>
  </si>
  <si>
    <t>F8YH0D314DC00006TR</t>
  </si>
  <si>
    <t>G702140167</t>
  </si>
  <si>
    <t>G9NHFCP345F00005DR</t>
  </si>
  <si>
    <t>GH3HCQ005E200005DS</t>
  </si>
  <si>
    <t>G697192938</t>
  </si>
  <si>
    <t>F8Y6066C79013XCBD</t>
  </si>
  <si>
    <t>F8Y202409LH13X882</t>
  </si>
  <si>
    <t>G715195697</t>
  </si>
  <si>
    <t>F8Y6176C98C18FKB0</t>
  </si>
  <si>
    <t>FG934340MQT18FMAF</t>
  </si>
  <si>
    <t>G9P5471C9MUPR5QA2</t>
  </si>
  <si>
    <t>GVH33050CJMPR5PAN</t>
  </si>
  <si>
    <t>G710296617</t>
  </si>
  <si>
    <t>CWWT3C0FPG</t>
  </si>
  <si>
    <t>FRQ9M3GHQG</t>
  </si>
  <si>
    <t>G704396621</t>
  </si>
  <si>
    <t>KV2L4YN0JP</t>
  </si>
  <si>
    <t>JNRJX6723Q</t>
  </si>
  <si>
    <t>G703020549</t>
  </si>
  <si>
    <t>F8YHN4C0EE000006TP</t>
  </si>
  <si>
    <t>F5DH0P004Q500006TQ</t>
  </si>
  <si>
    <t>G702130167</t>
  </si>
  <si>
    <t>GVC34133N192DGNAA</t>
  </si>
  <si>
    <t>G700503749</t>
  </si>
  <si>
    <t>G9YJK7L9RM</t>
  </si>
  <si>
    <t>D0259XP9RX</t>
  </si>
  <si>
    <t>G700093603</t>
  </si>
  <si>
    <t>J9KHNP0047Q0000FD3</t>
  </si>
  <si>
    <t>FNJHB2K1E9V0000882</t>
  </si>
  <si>
    <t>G695954408</t>
  </si>
  <si>
    <t>FG9HNR0061X00006TT</t>
  </si>
  <si>
    <t>F5DH0D014G500006TU</t>
  </si>
  <si>
    <t>G713603891</t>
  </si>
  <si>
    <t>F8Y6184C0ALJKGTCL</t>
  </si>
  <si>
    <t>FG99093194XJKGXA8</t>
  </si>
  <si>
    <t>DXY4224CEREJHYK4B</t>
  </si>
  <si>
    <t>DXY91225CU5JHYK4N</t>
  </si>
  <si>
    <t>G711963423</t>
  </si>
  <si>
    <t>GMG535302AZ1J88AT</t>
  </si>
  <si>
    <t>FP1436306V625YTAQ</t>
  </si>
  <si>
    <t>C47HGEA02SF00005MV+A</t>
  </si>
  <si>
    <t>G702643067</t>
  </si>
  <si>
    <t>F8Y5456C5RK18FKBL</t>
  </si>
  <si>
    <t>FG9408207UX18FNBX</t>
  </si>
  <si>
    <t>G700677811</t>
  </si>
  <si>
    <t>GVCHMD01SU50000MUZ</t>
  </si>
  <si>
    <t>GH3HJE00SAE0000MUZ</t>
  </si>
  <si>
    <t>G711232027</t>
  </si>
  <si>
    <t>DNPHP101AAU0000WDA</t>
  </si>
  <si>
    <t>GMHHNE04LYZ0000M4H</t>
  </si>
  <si>
    <t>G715331743</t>
  </si>
  <si>
    <t>G9P5024M7GHPQCLA3</t>
  </si>
  <si>
    <t>G9N2262MKEVPQCLAH</t>
  </si>
  <si>
    <t>G711351145</t>
  </si>
  <si>
    <t>MX5471KHH2</t>
  </si>
  <si>
    <t>C7V2TLP7XX</t>
  </si>
  <si>
    <t>G701208663</t>
  </si>
  <si>
    <t>F8Y5464C3NQ217WB8</t>
  </si>
  <si>
    <t>F8Y30252LJP217W7Z</t>
  </si>
  <si>
    <t>G684519526</t>
  </si>
  <si>
    <t>G9NHF6P0KM700005DR</t>
  </si>
  <si>
    <t>G9PH9LW1M5V00005DR</t>
  </si>
  <si>
    <t>G713482545</t>
  </si>
  <si>
    <t>F8Y6156C11H18FKBW</t>
  </si>
  <si>
    <t>FG9419507W618FMBA</t>
  </si>
  <si>
    <t>G711630699</t>
  </si>
  <si>
    <t>D865123N03QPJYRB0</t>
  </si>
  <si>
    <t>D862394AAG0PJYRAZ</t>
  </si>
  <si>
    <t>G709988815</t>
  </si>
  <si>
    <t>F8Y6155C1DTM6YND3</t>
  </si>
  <si>
    <t>FG994651GFAM6YR8U</t>
  </si>
  <si>
    <t>G705803221</t>
  </si>
  <si>
    <t>GH3HPM01CDY0000MUZ</t>
  </si>
  <si>
    <t>GVCHKH04G990000MUZ</t>
  </si>
  <si>
    <t>G704283167</t>
  </si>
  <si>
    <t>FJLYCW6NF2</t>
  </si>
  <si>
    <t>GG3H54HQF9</t>
  </si>
  <si>
    <t>G686199706</t>
  </si>
  <si>
    <t>F8Y5457C22L237KBE</t>
  </si>
  <si>
    <t>F8Y23540G38237K3E</t>
  </si>
  <si>
    <t>G702252427</t>
  </si>
  <si>
    <t>DX46MT4NG4</t>
  </si>
  <si>
    <t>WN9066N9YP</t>
  </si>
  <si>
    <t>G701689189</t>
  </si>
  <si>
    <t>CG6HF2NVN7</t>
  </si>
  <si>
    <t>K7J6CN294N</t>
  </si>
  <si>
    <t>CD2TG9HQX0</t>
  </si>
  <si>
    <t>G700173177</t>
  </si>
  <si>
    <t>G9P5364MBQDPQCLAY</t>
  </si>
  <si>
    <t>G9P2181QDBMPQCLAS</t>
  </si>
  <si>
    <t>G698191105</t>
  </si>
  <si>
    <t>JJ40K0H222</t>
  </si>
  <si>
    <t>M42Q32V2K9</t>
  </si>
  <si>
    <t>G716669837</t>
  </si>
  <si>
    <t>G9NHPMJ1BA10000L4B</t>
  </si>
  <si>
    <t>G9NHJRT0YAX0000L4B</t>
  </si>
  <si>
    <t>G715306987</t>
  </si>
  <si>
    <t>DRCHL9005040000U64</t>
  </si>
  <si>
    <t>J0MHE700P3H0000U64</t>
  </si>
  <si>
    <t>G713397275</t>
  </si>
  <si>
    <t>F8Y6025C8ZD217WBT</t>
  </si>
  <si>
    <t>F8Y30550XHV217W7G</t>
  </si>
  <si>
    <t>G712013377</t>
  </si>
  <si>
    <t>G9PHK8T2PN400005DP</t>
  </si>
  <si>
    <t>GVCHE700CE900005DQ</t>
  </si>
  <si>
    <t>G711865819</t>
  </si>
  <si>
    <t>F8Y6126C9FZ18FKB7</t>
  </si>
  <si>
    <t>FG914140G4D18FM4N</t>
  </si>
  <si>
    <t>G711088925</t>
  </si>
  <si>
    <t>FHC9KYHX4K</t>
  </si>
  <si>
    <t>KX7TJYDJ60</t>
  </si>
  <si>
    <t>G708824595</t>
  </si>
  <si>
    <t>F8Y6096N31D13QFC4</t>
  </si>
  <si>
    <t>F8Y343400L413QFBK</t>
  </si>
  <si>
    <t>G708377331</t>
  </si>
  <si>
    <t>F8Y6032C09320J9B4</t>
  </si>
  <si>
    <t>F8Y243728EN20J92N</t>
  </si>
  <si>
    <t>G704381595</t>
  </si>
  <si>
    <t>F8Y5473CBLF14LWC5</t>
  </si>
  <si>
    <t>F8Y23140ECE14LW80</t>
  </si>
  <si>
    <t>G698419355</t>
  </si>
  <si>
    <t>661-25677</t>
  </si>
  <si>
    <t>Logic Board, 8-core CPU, 10-core GPU, 16GB, 1TB</t>
  </si>
  <si>
    <t>FV9443200GV1D1CCQ</t>
  </si>
  <si>
    <t>C023385003D1D1CAY</t>
  </si>
  <si>
    <t>F5D5245N1J3KGGJFP</t>
  </si>
  <si>
    <t>F5D33773CJJKGGJBS</t>
  </si>
  <si>
    <t>G714644417</t>
  </si>
  <si>
    <t>HWY722XT2F</t>
  </si>
  <si>
    <t>LPH9V9QR74</t>
  </si>
  <si>
    <t>G713510695</t>
  </si>
  <si>
    <t>G9PHKAT1YC100005DP</t>
  </si>
  <si>
    <t>G9NH9XG0DZ300005DP</t>
  </si>
  <si>
    <t>G691298890</t>
  </si>
  <si>
    <t>F8Y6054CMV718FKB7</t>
  </si>
  <si>
    <t>FG9235723QU18FMAM</t>
  </si>
  <si>
    <t>G709040805</t>
  </si>
  <si>
    <t>FK1HQ200PG000001A2</t>
  </si>
  <si>
    <t>FNJHLYC0P1D000004D</t>
  </si>
  <si>
    <t>G706274065</t>
  </si>
  <si>
    <t>G9P5386M2D8PQCLA3</t>
  </si>
  <si>
    <t>G9N2145QKRNPQCLAL</t>
  </si>
  <si>
    <t>G700061151</t>
  </si>
  <si>
    <t>HQYXVKHM2L</t>
  </si>
  <si>
    <t>LHQH9FYW0Y</t>
  </si>
  <si>
    <t>G699144249</t>
  </si>
  <si>
    <t>PA661-53142</t>
  </si>
  <si>
    <t>Powerbeats Fit, Right, Gray, CI/AR</t>
  </si>
  <si>
    <t>H2CHL2003J300013H9</t>
  </si>
  <si>
    <t>H2CHL20026E00013H9</t>
  </si>
  <si>
    <t>PA661-53141</t>
  </si>
  <si>
    <t>Powerbeats Fit, Left, Gray, CI/AR</t>
  </si>
  <si>
    <t>H2CHLE001FH00013HA</t>
  </si>
  <si>
    <t>H2CHL2003A900013HA</t>
  </si>
  <si>
    <t>G698668399</t>
  </si>
  <si>
    <t>F8Y5373C20TQ4C2BF</t>
  </si>
  <si>
    <t>F5D10115RDLQ4C09J</t>
  </si>
  <si>
    <t>G710580545</t>
  </si>
  <si>
    <t>661-60190</t>
  </si>
  <si>
    <t>Midnight, AirPods Max 2, Set</t>
  </si>
  <si>
    <t>F929D6NRHF</t>
  </si>
  <si>
    <t>KH50M59LGF</t>
  </si>
  <si>
    <t>G706712165</t>
  </si>
  <si>
    <t>G9PHKGF1JN400005DP</t>
  </si>
  <si>
    <t>GVCHBP01MZ700005DQ</t>
  </si>
  <si>
    <t>G702638783</t>
  </si>
  <si>
    <t>F8Y5456C71E18FKBT</t>
  </si>
  <si>
    <t>F8Y14020XSG18FLAV</t>
  </si>
  <si>
    <t>G702460089</t>
  </si>
  <si>
    <t>F8Y5506CDCH18FKBZ</t>
  </si>
  <si>
    <t>F8Y22711CW118FLAT</t>
  </si>
  <si>
    <t>G702139403</t>
  </si>
  <si>
    <t>F0WHFR039NW0000488</t>
  </si>
  <si>
    <t>DN8HEB03DMD00005KQ</t>
  </si>
  <si>
    <t>G698888267</t>
  </si>
  <si>
    <t>GMG545101ZUNR89BT</t>
  </si>
  <si>
    <t>FP1437402AB249XA6</t>
  </si>
  <si>
    <t>G694471274</t>
  </si>
  <si>
    <t>C9VF6DN71C</t>
  </si>
  <si>
    <t>DNWK6QR6KD</t>
  </si>
  <si>
    <t>G692978434</t>
  </si>
  <si>
    <t>F8Y6036C9DU20J9BN</t>
  </si>
  <si>
    <t>F8Y304617SJ20J92T</t>
  </si>
  <si>
    <t>G709780583</t>
  </si>
  <si>
    <t>F8YHN3C068300006TP</t>
  </si>
  <si>
    <t>F8YH5400PTS00006TP</t>
  </si>
  <si>
    <t>G691619620</t>
  </si>
  <si>
    <t>F8Y6036C6DZ20J9BL</t>
  </si>
  <si>
    <t>F5D25343V2920J79Q</t>
  </si>
  <si>
    <t>G708101269</t>
  </si>
  <si>
    <t>K707Y766NR</t>
  </si>
  <si>
    <t>YCP4DXLCWP</t>
  </si>
  <si>
    <t>G704133475</t>
  </si>
  <si>
    <t>GH3HLL00BGG0000MUZ</t>
  </si>
  <si>
    <t>G9NHKJZ2R1Q0000MUY</t>
  </si>
  <si>
    <t>GH3HMG00DND0000MUZ</t>
  </si>
  <si>
    <t>G702437489</t>
  </si>
  <si>
    <t>F8Y5486C4AD20J9B1</t>
  </si>
  <si>
    <t>F5D236264G720J89U</t>
  </si>
  <si>
    <t>G699235479</t>
  </si>
  <si>
    <t>G9Q5434W1Q21502A2</t>
  </si>
  <si>
    <t>GVC43160D0J1503AT</t>
  </si>
  <si>
    <t>G712460619</t>
  </si>
  <si>
    <t>F8Y6157C48U18FKBU</t>
  </si>
  <si>
    <t>FG9241704HQ18FMAU</t>
  </si>
  <si>
    <t>G691486726</t>
  </si>
  <si>
    <t>GRQ261GXLV</t>
  </si>
  <si>
    <t>FJCN90QXNK</t>
  </si>
  <si>
    <t>G708575199</t>
  </si>
  <si>
    <t>HX6304XC6X</t>
  </si>
  <si>
    <t>YMQ1CJ4RR4</t>
  </si>
  <si>
    <t>G708194075</t>
  </si>
  <si>
    <t>G9PHJGS06B000005DR</t>
  </si>
  <si>
    <t>G9NHB0S5LYH00005DR</t>
  </si>
  <si>
    <t>G707294165</t>
  </si>
  <si>
    <t>F8Y5446C5AX18FKBN</t>
  </si>
  <si>
    <t>FG92174011F18FMA8</t>
  </si>
  <si>
    <t>G704237119</t>
  </si>
  <si>
    <t>F8Y5384A7A4217XBS</t>
  </si>
  <si>
    <t>F8Y2535090H231L7V</t>
  </si>
  <si>
    <t>661-30413</t>
  </si>
  <si>
    <t>Midnight, Back Glass, iPhone 14</t>
  </si>
  <si>
    <t>FP2521302KE1TPNA7</t>
  </si>
  <si>
    <t>FP225350GRR1TPNAW</t>
  </si>
  <si>
    <t>G698405801</t>
  </si>
  <si>
    <t>F8Y5445C6EG18FKBR</t>
  </si>
  <si>
    <t>F8Y13912YPH18FKA6</t>
  </si>
  <si>
    <t>G714989459</t>
  </si>
  <si>
    <t>F8Y6177C0MJ18FKBX</t>
  </si>
  <si>
    <t>FG933850AAW18FMAG</t>
  </si>
  <si>
    <t>G692296984</t>
  </si>
  <si>
    <t>F8Y6057C7X418FKBF</t>
  </si>
  <si>
    <t>F8Y139219CF18FKAY</t>
  </si>
  <si>
    <t>G707732093</t>
  </si>
  <si>
    <t>GMG548701Y1NR89B8</t>
  </si>
  <si>
    <t>GMG20910220NR89BC</t>
  </si>
  <si>
    <t>G707054189</t>
  </si>
  <si>
    <t>HWGRT7VWQ5</t>
  </si>
  <si>
    <t>JV6Q6Y0C7G</t>
  </si>
  <si>
    <t>G705445857</t>
  </si>
  <si>
    <t>F8Y5501C0NE13XCBN</t>
  </si>
  <si>
    <t>F5D13525CW713X99F</t>
  </si>
  <si>
    <t>G699439549</t>
  </si>
  <si>
    <t>F8Y5495C4B418FKBZ</t>
  </si>
  <si>
    <t>F8Y20450B3N18FLAW</t>
  </si>
  <si>
    <t>G698469951</t>
  </si>
  <si>
    <t>G9P5347M54GPQCLAW</t>
  </si>
  <si>
    <t>G9N1385MB11PQCLAH</t>
  </si>
  <si>
    <t>G715210005</t>
  </si>
  <si>
    <t>F8YHSED0H1V00006TP</t>
  </si>
  <si>
    <t>F5DGZW0049Z00006TQ</t>
  </si>
  <si>
    <t>G710776119</t>
  </si>
  <si>
    <t>GJ4MK67WNJ</t>
  </si>
  <si>
    <t>CTGPGQ0NR2</t>
  </si>
  <si>
    <t>G709861601</t>
  </si>
  <si>
    <t>G9P5306MGGAPQCLA2</t>
  </si>
  <si>
    <t>G9Q2132YD01PQCLA0</t>
  </si>
  <si>
    <t>G704640845</t>
  </si>
  <si>
    <t>G9PHK1S12NP00005DR</t>
  </si>
  <si>
    <t>G9PHGUH0U3A00005DR</t>
  </si>
  <si>
    <t>G704115245</t>
  </si>
  <si>
    <t>F8Y5474CAJQ18FKBT</t>
  </si>
  <si>
    <t>FG9409402ZT18FMBM</t>
  </si>
  <si>
    <t>G701787647</t>
  </si>
  <si>
    <t>661-56061</t>
  </si>
  <si>
    <t>Sage, Back Glass, iPhone 17</t>
  </si>
  <si>
    <t>DRCHMD001LE0000WDP</t>
  </si>
  <si>
    <t>DRCHND00HMY0000WDP</t>
  </si>
  <si>
    <t>G701699699</t>
  </si>
  <si>
    <t>F8Y5507CJFH18FKBJ</t>
  </si>
  <si>
    <t>F8Y21360YDN18FLAE</t>
  </si>
  <si>
    <t>G706932063</t>
  </si>
  <si>
    <t>ZP661-39198</t>
  </si>
  <si>
    <t>Space Black, iPad Pro 11-inch (M4), 2TB, Wi-Fi, ITP</t>
  </si>
  <si>
    <t>G4GJ6YPX2R</t>
  </si>
  <si>
    <t>WJ19DLVM9M</t>
  </si>
  <si>
    <t>G704393969</t>
  </si>
  <si>
    <t>F8Y5447C5J518FKBP</t>
  </si>
  <si>
    <t>F8Y22530G2L18FKAU</t>
  </si>
  <si>
    <t>G704076445</t>
  </si>
  <si>
    <t>G4WFNMV32X</t>
  </si>
  <si>
    <t>CWQT670202</t>
  </si>
  <si>
    <t>G686469072</t>
  </si>
  <si>
    <t>F8Y5522CAN620J9BM</t>
  </si>
  <si>
    <t>F5D23332T2S20J79F</t>
  </si>
  <si>
    <t>G700020939</t>
  </si>
  <si>
    <t>G9PHFAU17DT00005DR</t>
  </si>
  <si>
    <t>G9PHGPS0Q3100005DR</t>
  </si>
  <si>
    <t>G712263241</t>
  </si>
  <si>
    <t>DN8HJX0163S00006S2</t>
  </si>
  <si>
    <t>DN8HDZ02SKU00006S2</t>
  </si>
  <si>
    <t>G709293809</t>
  </si>
  <si>
    <t>F8YHN8C02XV00006TW</t>
  </si>
  <si>
    <t>F8YGZS20GST00006TY</t>
  </si>
  <si>
    <t>G709082093</t>
  </si>
  <si>
    <t>Display, Space Gray, MBP (16-in, 2023)</t>
  </si>
  <si>
    <t>F0Y60950033278WAY</t>
  </si>
  <si>
    <t>F0Y247502D7PP60A1</t>
  </si>
  <si>
    <t>Lid Angle Sensor, MBP (16-in, 2021)</t>
  </si>
  <si>
    <t>C4753953C1SPXWKA4</t>
  </si>
  <si>
    <t>G708987739</t>
  </si>
  <si>
    <t>FV9HAB000L20000DXD</t>
  </si>
  <si>
    <t>FV9HFG000370000DXD</t>
  </si>
  <si>
    <t>G708979399</t>
  </si>
  <si>
    <t>MV34NK6HC2</t>
  </si>
  <si>
    <t>FHRPKPQWW3</t>
  </si>
  <si>
    <t>G706047865</t>
  </si>
  <si>
    <t>G9QHQLM1PP50000L4B</t>
  </si>
  <si>
    <t>J5VHMA00MKX0000L4C</t>
  </si>
  <si>
    <t>G704577305</t>
  </si>
  <si>
    <t>F8Y5527C1RWQ687BL</t>
  </si>
  <si>
    <t>FG9048431U9Q6893D</t>
  </si>
  <si>
    <t>G703987075</t>
  </si>
  <si>
    <t>GVH53370HXNPR5PAU</t>
  </si>
  <si>
    <t>GVH50740BK1PR5PAH</t>
  </si>
  <si>
    <t>G703320289</t>
  </si>
  <si>
    <t>DNPH9S01XD30000FER</t>
  </si>
  <si>
    <t>FNJHLDE0ZBC00006SX</t>
  </si>
  <si>
    <t>G703109197</t>
  </si>
  <si>
    <t>G9NHF9P05R100005DR</t>
  </si>
  <si>
    <t>GH3HCZ00PTY00005DS</t>
  </si>
  <si>
    <t>G701658785</t>
  </si>
  <si>
    <t>GVCHNB03C8J0000MUZ</t>
  </si>
  <si>
    <t>G9NHKPY2N8Z0000MUY</t>
  </si>
  <si>
    <t>G700875607</t>
  </si>
  <si>
    <t>TA661-45328</t>
  </si>
  <si>
    <t>512GB, Natural Titanium, ROW, iPhone 16 Pro Max, Logic Board Assy Mid Sy</t>
  </si>
  <si>
    <t>FG7YXQJFP0</t>
  </si>
  <si>
    <t>DCWY166X76</t>
  </si>
  <si>
    <t>G700477543</t>
  </si>
  <si>
    <t>FV9HNC0002D0000HER</t>
  </si>
  <si>
    <t>FV9HB700FSD0000HER</t>
  </si>
  <si>
    <t>G700227683</t>
  </si>
  <si>
    <t>F8Y5465CCJA217WBQ</t>
  </si>
  <si>
    <t>F5D24161FMN21PK7R</t>
  </si>
  <si>
    <t>G711993295</t>
  </si>
  <si>
    <t>GX8HA70F22V0000B2Z</t>
  </si>
  <si>
    <t>GX8HA90G3NP0000B31</t>
  </si>
  <si>
    <t>G707047683</t>
  </si>
  <si>
    <t>F8Y5455C87F13XCB6</t>
  </si>
  <si>
    <t>F5D1492BDAV13XD9H</t>
  </si>
  <si>
    <t>G701312955</t>
  </si>
  <si>
    <t>F8Y5262C30H02JNBX</t>
  </si>
  <si>
    <t>F5D044325V902JK77</t>
  </si>
  <si>
    <t>G699899229</t>
  </si>
  <si>
    <t>G9Q4487AL3UPRRDAV</t>
  </si>
  <si>
    <t>GVC139705DKQ2PHA0</t>
  </si>
  <si>
    <t>F8Y5372C4PS14LWCU</t>
  </si>
  <si>
    <t>F5D1385D19M14LX9F</t>
  </si>
  <si>
    <t>G715878277</t>
  </si>
  <si>
    <t>F8Y6117C5NF217WBT</t>
  </si>
  <si>
    <t>F8Y23810P8Y217W79</t>
  </si>
  <si>
    <t>G715445199</t>
  </si>
  <si>
    <t>F8Y6176C99B14LWC7</t>
  </si>
  <si>
    <t>F8Y1395058714LW86</t>
  </si>
  <si>
    <t>G713256879</t>
  </si>
  <si>
    <t>F8Y6026CAQ020J9BK</t>
  </si>
  <si>
    <t>F5D2356F9L020J89Q</t>
  </si>
  <si>
    <t>G712897299</t>
  </si>
  <si>
    <t>F16515201BN0J9VAM</t>
  </si>
  <si>
    <t>HVY40450Q3D27HDAN</t>
  </si>
  <si>
    <t>G709772293</t>
  </si>
  <si>
    <t>G9NHFDQ11GF00005DR</t>
  </si>
  <si>
    <t>GH3HCP00M9F00005DS</t>
  </si>
  <si>
    <t>G708927387</t>
  </si>
  <si>
    <t>F8Y6051C3H5M6YNDG</t>
  </si>
  <si>
    <t>F8Y94411SLCM6YP7H</t>
  </si>
  <si>
    <t>G689032996</t>
  </si>
  <si>
    <t>G9PHJBU0B7Q00005DR</t>
  </si>
  <si>
    <t>GVCHEP00B9U00005DS</t>
  </si>
  <si>
    <t>G706624039</t>
  </si>
  <si>
    <t>DNL44420P961986BC</t>
  </si>
  <si>
    <t>DNL40950N4K1986B1</t>
  </si>
  <si>
    <t>G706038993</t>
  </si>
  <si>
    <t>F8Y6054C3HQ18FKBA</t>
  </si>
  <si>
    <t>F8Y22370ETX18FLAD</t>
  </si>
  <si>
    <t>DTV131670PD080355</t>
  </si>
  <si>
    <t>DTV21368GD50803A2</t>
  </si>
  <si>
    <t>G704897033</t>
  </si>
  <si>
    <t>G9P5152MA71PQCLA1</t>
  </si>
  <si>
    <t>G9N2121V57FPQCLAN</t>
  </si>
  <si>
    <t>G704009791</t>
  </si>
  <si>
    <t>LTJWM2Y2C1</t>
  </si>
  <si>
    <t>D2JRDC2C0H</t>
  </si>
  <si>
    <t>G703843795</t>
  </si>
  <si>
    <t>F22XVWHN76</t>
  </si>
  <si>
    <t>K775D7XTLD</t>
  </si>
  <si>
    <t>G685106340</t>
  </si>
  <si>
    <t>F8Y5451C38213XCBR</t>
  </si>
  <si>
    <t>F5D13643DE313X99Z</t>
  </si>
  <si>
    <t>G699973863</t>
  </si>
  <si>
    <t>MWXY6HCWT0</t>
  </si>
  <si>
    <t>G699897533</t>
  </si>
  <si>
    <t>G9P5351M0GCPQCLA6</t>
  </si>
  <si>
    <t>G9P2192R49RPQCLAW</t>
  </si>
  <si>
    <t>G699886603</t>
  </si>
  <si>
    <t>MGY94FL4RD</t>
  </si>
  <si>
    <t>L60TFD92WY</t>
  </si>
  <si>
    <t>G698996575</t>
  </si>
  <si>
    <t>C4H536301XEQ41CAX</t>
  </si>
  <si>
    <t>C4H5224054316YCA3</t>
  </si>
  <si>
    <t>G698697407</t>
  </si>
  <si>
    <t>PP661-12787</t>
  </si>
  <si>
    <t>iPad mini (5th gen), Cellular, 64GB, Gold, PPN</t>
  </si>
  <si>
    <t>F6PN2005LMT9</t>
  </si>
  <si>
    <t>DMPYX048LMT9</t>
  </si>
  <si>
    <t>G715339139</t>
  </si>
  <si>
    <t>H3G4V3XCVM</t>
  </si>
  <si>
    <t>GXKWR7T279</t>
  </si>
  <si>
    <t>G714196085</t>
  </si>
  <si>
    <t>JYY49XXRX9</t>
  </si>
  <si>
    <t>G9X9GY2934</t>
  </si>
  <si>
    <t>G709651965</t>
  </si>
  <si>
    <t>D9PQV4CY3Q</t>
  </si>
  <si>
    <t>FHLWF79VQ5</t>
  </si>
  <si>
    <t>G707299715</t>
  </si>
  <si>
    <t>ZP661-20074</t>
  </si>
  <si>
    <t>Silver, 128 GB, iPad Pro 11-inch, 3rd gen, Wi-Fi, ITP</t>
  </si>
  <si>
    <t>G32W7KFGPC</t>
  </si>
  <si>
    <t>F46N797XVY</t>
  </si>
  <si>
    <t>G706842831</t>
  </si>
  <si>
    <t>F8Y6057CHM018FKB5</t>
  </si>
  <si>
    <t>F8Y3186017D18FLAL</t>
  </si>
  <si>
    <t>G706837137</t>
  </si>
  <si>
    <t>FFRVPYWH0Y</t>
  </si>
  <si>
    <t>G703891757</t>
  </si>
  <si>
    <t>FG9603600SWN2YLBC</t>
  </si>
  <si>
    <t>FG9018209P3N2YL31</t>
  </si>
  <si>
    <t>G702480441</t>
  </si>
  <si>
    <t>F8Y5373C4J6Q4C2BE</t>
  </si>
  <si>
    <t>F5D0376AF3PQ4C09H</t>
  </si>
  <si>
    <t>G702111573</t>
  </si>
  <si>
    <t>GVH53820E07PR5PAT</t>
  </si>
  <si>
    <t>GVH5033173MPR5PAR</t>
  </si>
  <si>
    <t>G700810455</t>
  </si>
  <si>
    <t>F8Y5506CKWW18FKBU</t>
  </si>
  <si>
    <t>FG9221307YW18FMAE</t>
  </si>
  <si>
    <t>G699251539</t>
  </si>
  <si>
    <t>F8YHN8C04AC00006TW</t>
  </si>
  <si>
    <t>F8YGXM20JNR00006TY</t>
  </si>
  <si>
    <t>G698875187</t>
  </si>
  <si>
    <t>GMG541300SB1J88AE</t>
  </si>
  <si>
    <t>GMG410404X81J88A6</t>
  </si>
  <si>
    <t>G698323053</t>
  </si>
  <si>
    <t>G9P5386M0EBPQCLAZ</t>
  </si>
  <si>
    <t>G9N2102Q46CPQCLAF</t>
  </si>
  <si>
    <t>G715230409</t>
  </si>
  <si>
    <t>F8Y6136C7BQM6YNDB</t>
  </si>
  <si>
    <t>F8Y0016XNY1M6YNA1</t>
  </si>
  <si>
    <t>G714337489</t>
  </si>
  <si>
    <t>DN86056A3J91W23D3</t>
  </si>
  <si>
    <t>GCF34732C5Z1RXLPU</t>
  </si>
  <si>
    <t>G709599515</t>
  </si>
  <si>
    <t>GHY2FNP25L</t>
  </si>
  <si>
    <t>CL256N72QL</t>
  </si>
  <si>
    <t>G708742399</t>
  </si>
  <si>
    <t>F8Y6026C488Q687BR</t>
  </si>
  <si>
    <t>F8Y10452ANJQ68720</t>
  </si>
  <si>
    <t>G708093505</t>
  </si>
  <si>
    <t>DNM53441T5W1QDC1G</t>
  </si>
  <si>
    <t>DNM53820F2E1QDC7U</t>
  </si>
  <si>
    <t>G703246145</t>
  </si>
  <si>
    <t>F0Y542101NR1J87AR</t>
  </si>
  <si>
    <t>FP15027057125YVA0</t>
  </si>
  <si>
    <t>G702093961</t>
  </si>
  <si>
    <t>F8Y5507C8RZ18FKBG</t>
  </si>
  <si>
    <t>FG921732CZU18FMAK</t>
  </si>
  <si>
    <t>G699972211</t>
  </si>
  <si>
    <t>G9PHFRJ268Z00005DR</t>
  </si>
  <si>
    <t>GVCHFL01UU100005DS</t>
  </si>
  <si>
    <t>G699137323</t>
  </si>
  <si>
    <t>F8Y5456CCGV217WBD</t>
  </si>
  <si>
    <t>F5D2423HN1W21PK7N</t>
  </si>
  <si>
    <t>G699103235</t>
  </si>
  <si>
    <t>GHQ439401B71R7TBK</t>
  </si>
  <si>
    <t>GHQ332200281R7TB4</t>
  </si>
  <si>
    <t>G714871991</t>
  </si>
  <si>
    <t>F8Y6136C42W18FKBH</t>
  </si>
  <si>
    <t>FG9230501YG18FMA0</t>
  </si>
  <si>
    <t>G713506999</t>
  </si>
  <si>
    <t>F8Y5516CJVE13RHCK</t>
  </si>
  <si>
    <t>F5D15145V2513RK9Y</t>
  </si>
  <si>
    <t>G707305065</t>
  </si>
  <si>
    <t>MKG24D3K7N</t>
  </si>
  <si>
    <t>M94QL4HW6P</t>
  </si>
  <si>
    <t>G705735509</t>
  </si>
  <si>
    <t>G9P5133ME6LPQCLAL</t>
  </si>
  <si>
    <t>G9N2233V4QVPQCLAL</t>
  </si>
  <si>
    <t>G704574869</t>
  </si>
  <si>
    <t>F8Y5486C5FM20J9BB</t>
  </si>
  <si>
    <t>F5D3196897D20J8AM</t>
  </si>
  <si>
    <t>G703743179</t>
  </si>
  <si>
    <t>F0Y552401YR2525AM</t>
  </si>
  <si>
    <t>DCN407102FW2525A4</t>
  </si>
  <si>
    <t>G702637007</t>
  </si>
  <si>
    <t>G9QHNXT06S200004Y9</t>
  </si>
  <si>
    <t>G9QHFLL4UQP00004Y9</t>
  </si>
  <si>
    <t>G701571257</t>
  </si>
  <si>
    <t>F8Y5334C15814LWCB</t>
  </si>
  <si>
    <t>F5D216597ZS14LXAE</t>
  </si>
  <si>
    <t>G700020463</t>
  </si>
  <si>
    <t>F8Y5475CCLA13RHC6</t>
  </si>
  <si>
    <t>F8Y20260MVU13RHBJ</t>
  </si>
  <si>
    <t>G698327391</t>
  </si>
  <si>
    <t>GD6CX67LDT</t>
  </si>
  <si>
    <t>LQ5233N9RR</t>
  </si>
  <si>
    <t>G697410944</t>
  </si>
  <si>
    <t>F8Y6153C87F20J9BG</t>
  </si>
  <si>
    <t>F5D24941W4920J895</t>
  </si>
  <si>
    <t>G697261564</t>
  </si>
  <si>
    <t>G9PHPUD2BC90000L4B</t>
  </si>
  <si>
    <t>G9QHSPM05MN0000L4B</t>
  </si>
  <si>
    <t>G715774957</t>
  </si>
  <si>
    <t>F8Y6183C1W218FKBL</t>
  </si>
  <si>
    <t>F8Y41150DR018FLBH</t>
  </si>
  <si>
    <t>G711563175</t>
  </si>
  <si>
    <t>G9PHJ6K0V6U00005DR</t>
  </si>
  <si>
    <t>GH3HBQ02LQ500005DS</t>
  </si>
  <si>
    <t>G711324855</t>
  </si>
  <si>
    <t>F8Y5325C3R9Q687B9</t>
  </si>
  <si>
    <t>FG9216301UNQ689AS</t>
  </si>
  <si>
    <t>G711202379</t>
  </si>
  <si>
    <t>G9P5267Q90D1PHRA6</t>
  </si>
  <si>
    <t>GH334621MCC1PHTAX</t>
  </si>
  <si>
    <t>G709652119</t>
  </si>
  <si>
    <t>F8Y6024C1S6217WBV</t>
  </si>
  <si>
    <t>F8Y30531UYD217W7P</t>
  </si>
  <si>
    <t>G708305655</t>
  </si>
  <si>
    <t>F8Y6056C1JU18FKB3</t>
  </si>
  <si>
    <t>FG914230L5W18FM4W</t>
  </si>
  <si>
    <t>G689538488</t>
  </si>
  <si>
    <t>G9P5385MP40PQCLAJ</t>
  </si>
  <si>
    <t>G9N1501RGRUPQCLAV</t>
  </si>
  <si>
    <t>G706495971</t>
  </si>
  <si>
    <t>C3X4LDJTJW</t>
  </si>
  <si>
    <t>KTWD761D4K</t>
  </si>
  <si>
    <t>G704257897</t>
  </si>
  <si>
    <t>G9P5154L3BVPQCKA4</t>
  </si>
  <si>
    <t>G9Q2133T4FXPQCKAH</t>
  </si>
  <si>
    <t>G703036219</t>
  </si>
  <si>
    <t>GMG548700HQNR8DBT</t>
  </si>
  <si>
    <t>FP1224102BWP3WVBD</t>
  </si>
  <si>
    <t>G700013039</t>
  </si>
  <si>
    <t>F8Y5433C9GWM6YNDR</t>
  </si>
  <si>
    <t>FG9140204X8M6YQB0</t>
  </si>
  <si>
    <t>G699704899</t>
  </si>
  <si>
    <t>DQ6R93FY6V</t>
  </si>
  <si>
    <t>FQF2Q3CQ46</t>
  </si>
  <si>
    <t>G683127730</t>
  </si>
  <si>
    <t>G9QHNQM54VA0000L4B</t>
  </si>
  <si>
    <t>G9NHL3H4LVT0000L4B</t>
  </si>
  <si>
    <t>G699269815</t>
  </si>
  <si>
    <t>G9P5351MBBYPQCLAQ</t>
  </si>
  <si>
    <t>G9P2053QLGVPQCLA4</t>
  </si>
  <si>
    <t>G713044917</t>
  </si>
  <si>
    <t>F0YHM1000T80000GVK</t>
  </si>
  <si>
    <t>FP1HDZ000GA0000G2A</t>
  </si>
  <si>
    <t>G693349846</t>
  </si>
  <si>
    <t>D865123N05HPJYRB1</t>
  </si>
  <si>
    <t>D861456A38APJYRAY</t>
  </si>
  <si>
    <t>G710205215</t>
  </si>
  <si>
    <t>F8Y6096N30L13QFC0</t>
  </si>
  <si>
    <t>F8Y31630BC210X2BQ</t>
  </si>
  <si>
    <t>G708822121</t>
  </si>
  <si>
    <t>F8Y6026C41Q217WBD</t>
  </si>
  <si>
    <t>F8Y302626U5217W70</t>
  </si>
  <si>
    <t>G708678219</t>
  </si>
  <si>
    <t>GH3HPJ01AAF0000MUZ</t>
  </si>
  <si>
    <t>G9PHL9V1DGN0000MUY</t>
  </si>
  <si>
    <t>G707697223</t>
  </si>
  <si>
    <t>F8Y6032N239Q1LTBV</t>
  </si>
  <si>
    <t>F8Y2207H328Q1LTAW</t>
  </si>
  <si>
    <t>G706113373</t>
  </si>
  <si>
    <t>F8Y5455C66K13XCB7</t>
  </si>
  <si>
    <t>F5D229244XJ13XDAR</t>
  </si>
  <si>
    <t>G703211977</t>
  </si>
  <si>
    <t>F8Y5442C1V3M6YNDK</t>
  </si>
  <si>
    <t>FG914971285M6YRC1</t>
  </si>
  <si>
    <t>G702615925</t>
  </si>
  <si>
    <t>F8Y5467C0WD20J9BJ</t>
  </si>
  <si>
    <t>F8Y23740L7Y20J92K</t>
  </si>
  <si>
    <t>G701167491</t>
  </si>
  <si>
    <t>GMG536601F3NR8DBT</t>
  </si>
  <si>
    <t>FP11162015GP3WVAC</t>
  </si>
  <si>
    <t>G700976421</t>
  </si>
  <si>
    <t>L29RYGJFD2</t>
  </si>
  <si>
    <t>MM4J739QGN</t>
  </si>
  <si>
    <t>G700833079</t>
  </si>
  <si>
    <t>D865435N0ASPJYRB3</t>
  </si>
  <si>
    <t>D864153A3SNPJYRBU</t>
  </si>
  <si>
    <t>G713089667</t>
  </si>
  <si>
    <t>GH3HPV00FDF0000MUZ</t>
  </si>
  <si>
    <t>G9NHPYM30350000MUY</t>
  </si>
  <si>
    <t>GH3HS401T4E0000MUZ</t>
  </si>
  <si>
    <t>G712880807</t>
  </si>
  <si>
    <t>GMGHLF005M30000GVK</t>
  </si>
  <si>
    <t>FP1HDS0079N0000G29</t>
  </si>
  <si>
    <t>G712231773</t>
  </si>
  <si>
    <t>HQQ2QDJX1C</t>
  </si>
  <si>
    <t>LGP9N4C23T</t>
  </si>
  <si>
    <t>G708629063</t>
  </si>
  <si>
    <t>TA661-36901</t>
  </si>
  <si>
    <t>Blue, iPhone 15 Pro Max, 512GB, ROW, CI/AR, Taiwan</t>
  </si>
  <si>
    <t>HQ66Y9MT94</t>
  </si>
  <si>
    <t>CV0XQGQTJY</t>
  </si>
  <si>
    <t>G707593315</t>
  </si>
  <si>
    <t>G9P4327M6Q7PQCLAM</t>
  </si>
  <si>
    <t>G9P2106MG6UPQCLAR</t>
  </si>
  <si>
    <t>G706836547</t>
  </si>
  <si>
    <t>G9P5134M44CPQCLA9</t>
  </si>
  <si>
    <t>G9P2272M94EPQCLA0</t>
  </si>
  <si>
    <t>G686469718</t>
  </si>
  <si>
    <t>G9PHKEG0YPV00005DP</t>
  </si>
  <si>
    <t>GVCHE501LC800005DQ</t>
  </si>
  <si>
    <t>G686175850</t>
  </si>
  <si>
    <t>FG9HNR005HC00006TT</t>
  </si>
  <si>
    <t>FG9H0H003S400006TV</t>
  </si>
  <si>
    <t>G702540249</t>
  </si>
  <si>
    <t>J9Q547600EW0GKWAL</t>
  </si>
  <si>
    <t>J9Q529600HV0GKWA8</t>
  </si>
  <si>
    <t>FNJ5112TB8NQ274AM</t>
  </si>
  <si>
    <t>G701071097</t>
  </si>
  <si>
    <t>G9P5186MN3XPQCLAS</t>
  </si>
  <si>
    <t>G9P2267P7NLPQCLA2</t>
  </si>
  <si>
    <t>G700190537</t>
  </si>
  <si>
    <t>F8Y5442C0WGM6YND4</t>
  </si>
  <si>
    <t>F8Y114403JRM6YMBG</t>
  </si>
  <si>
    <t>G698198843</t>
  </si>
  <si>
    <t>F8Y5462C6CZ20J9BH</t>
  </si>
  <si>
    <t>F8Y30471CTM20JC2C</t>
  </si>
  <si>
    <t>G715565523</t>
  </si>
  <si>
    <t>F8YHP7C0H3600006TP</t>
  </si>
  <si>
    <t>F8YGZ431WWK00006TR</t>
  </si>
  <si>
    <t>G694468648</t>
  </si>
  <si>
    <t>F8Y5256CAXE13XCB2</t>
  </si>
  <si>
    <t>F5D20752QNM13X99D</t>
  </si>
  <si>
    <t>G712021475</t>
  </si>
  <si>
    <t>DN8HJW07LNT00006S2</t>
  </si>
  <si>
    <t>DN8HF705EGV00006S2</t>
  </si>
  <si>
    <t>G694305852</t>
  </si>
  <si>
    <t>DN8HMB028XK00006S2</t>
  </si>
  <si>
    <t>GTJQNW4QYL</t>
  </si>
  <si>
    <t>MTXV4GCXV9</t>
  </si>
  <si>
    <t>G710690287</t>
  </si>
  <si>
    <t>G0NHJG00ZWH0000HKZ</t>
  </si>
  <si>
    <t>GMHHGP01JQT0000BXF</t>
  </si>
  <si>
    <t>G709196875</t>
  </si>
  <si>
    <t>K254QJT697</t>
  </si>
  <si>
    <t>G706519647</t>
  </si>
  <si>
    <t>GMGHLH007580000GVL</t>
  </si>
  <si>
    <t>GMGHFN004GY0000GVK</t>
  </si>
  <si>
    <t>G705707877</t>
  </si>
  <si>
    <t>G9PHKGT0QHA00005DP</t>
  </si>
  <si>
    <t>GVCHDW00WUL00005DQ</t>
  </si>
  <si>
    <t>G702908053</t>
  </si>
  <si>
    <t>G0NHKL008TM0000HKZ</t>
  </si>
  <si>
    <t>GMHH9U027K50000BXF</t>
  </si>
  <si>
    <t>G700103239</t>
  </si>
  <si>
    <t>F8Y5454C3WM20J9BD</t>
  </si>
  <si>
    <t>F8Y23030MWW20JC24</t>
  </si>
  <si>
    <t>G714441015</t>
  </si>
  <si>
    <t>J9KHH6009HN0000FD3</t>
  </si>
  <si>
    <t>FNJHG4708YF0000882</t>
  </si>
  <si>
    <t>G690732648</t>
  </si>
  <si>
    <t>Display, Silver, iMac (24-in, 2023)</t>
  </si>
  <si>
    <t>GHQ6153003E2FRWBW</t>
  </si>
  <si>
    <t>GHQ420302CC1R7TB5</t>
  </si>
  <si>
    <t>G709312593</t>
  </si>
  <si>
    <t>GN3HRZ0JXJ90000B2Z</t>
  </si>
  <si>
    <t>HY5HC104WV50000B2Z</t>
  </si>
  <si>
    <t>G708970047</t>
  </si>
  <si>
    <t>F8Y5437C5EYQ4C2B6</t>
  </si>
  <si>
    <t>F5D04334NRCQ4C09M</t>
  </si>
  <si>
    <t>G708178647</t>
  </si>
  <si>
    <t>F8Y5442CA06M6YNDS</t>
  </si>
  <si>
    <t>FG93292034KM6YRC2</t>
  </si>
  <si>
    <t>G705449569</t>
  </si>
  <si>
    <t>F8Y5455C05F13XCBL</t>
  </si>
  <si>
    <t>F8Y208304NS13X889</t>
  </si>
  <si>
    <t>G704724069</t>
  </si>
  <si>
    <t>FMXHNJ0005200006J3</t>
  </si>
  <si>
    <t>FP1HC6002RP0000FQX</t>
  </si>
  <si>
    <t>FV9HH00047M0000HER</t>
  </si>
  <si>
    <t>FV9HCE009SH0000HER</t>
  </si>
  <si>
    <t>G704118929</t>
  </si>
  <si>
    <t>FMXHMH0001J00006J3</t>
  </si>
  <si>
    <t>FP1HF2000TV0000FQX</t>
  </si>
  <si>
    <t>G702720011</t>
  </si>
  <si>
    <t>F8Y5372C3Z314LWCN</t>
  </si>
  <si>
    <t>F8Y14940LCZ14LW8M</t>
  </si>
  <si>
    <t>G699687655</t>
  </si>
  <si>
    <t>KKXDNJ76WG</t>
  </si>
  <si>
    <t>G699596115</t>
  </si>
  <si>
    <t>C02H19001NF0000H9E</t>
  </si>
  <si>
    <t>C02350604KL23YJA4</t>
  </si>
  <si>
    <t>G698323015</t>
  </si>
  <si>
    <t>F8Y5415C02XJKGTCK</t>
  </si>
  <si>
    <t>F8Y84173E0YJKGV75</t>
  </si>
  <si>
    <t>DXY4215BGDMJHYK49</t>
  </si>
  <si>
    <t>DXY84221CXJJHYK4C</t>
  </si>
  <si>
    <t>G714450257</t>
  </si>
  <si>
    <t>F8Y6157C15MQ687BD</t>
  </si>
  <si>
    <t>FG9042443H0Q68930</t>
  </si>
  <si>
    <t>G710589861</t>
  </si>
  <si>
    <t>PA661-42148</t>
  </si>
  <si>
    <t>Beats Solo Buds, Left, Black, CI/AR, PAC</t>
  </si>
  <si>
    <t>HNYHJ000BWZ0000JT8</t>
  </si>
  <si>
    <t>HNYHGD004C40000JT8</t>
  </si>
  <si>
    <t>G709420821</t>
  </si>
  <si>
    <t>F8Y6155C4HAM6YND5</t>
  </si>
  <si>
    <t>F8Y93850KFJM6YM7P</t>
  </si>
  <si>
    <t>G709043329</t>
  </si>
  <si>
    <t>F8Y5527C917Q687B5</t>
  </si>
  <si>
    <t>FG904040R2BQ6893W</t>
  </si>
  <si>
    <t>G706745251</t>
  </si>
  <si>
    <t>LFQDRY2P2R</t>
  </si>
  <si>
    <t>HGGV46PGXX</t>
  </si>
  <si>
    <t>G705459023</t>
  </si>
  <si>
    <t>FMXHNK001CZ00006J3</t>
  </si>
  <si>
    <t>FMXHCY0021700006J3</t>
  </si>
  <si>
    <t>G705121781</t>
  </si>
  <si>
    <t>F8Y5457C27S217WBJ</t>
  </si>
  <si>
    <t>F5D2352493W21PK7T</t>
  </si>
  <si>
    <t>G703903347</t>
  </si>
  <si>
    <t>DNPHP500AZR0000FER</t>
  </si>
  <si>
    <t>FNJHBMS1BLM00006SX</t>
  </si>
  <si>
    <t>G686467114</t>
  </si>
  <si>
    <t>ZP661-39828</t>
  </si>
  <si>
    <t>Purple, iPad Air 13-inch (M2), 128GB, Wi-Fi, ITP</t>
  </si>
  <si>
    <t>HKC4WRRY6G</t>
  </si>
  <si>
    <t>KP9F3999R5</t>
  </si>
  <si>
    <t>G700613631</t>
  </si>
  <si>
    <t>F8YHGKN00KJ00000E5</t>
  </si>
  <si>
    <t>F5DHCY001AC00000E6</t>
  </si>
  <si>
    <t>G700608217</t>
  </si>
  <si>
    <t>F8Y5431C6TZQ687BA</t>
  </si>
  <si>
    <t>F8Y04642DFNQ68728</t>
  </si>
  <si>
    <t>G699140567</t>
  </si>
  <si>
    <t>F0YHL4000M600006J1</t>
  </si>
  <si>
    <t>FMXHEC009BJ00006J3</t>
  </si>
  <si>
    <t>G714559287</t>
  </si>
  <si>
    <t>GH3HDJ01EEP00005DS</t>
  </si>
  <si>
    <t>GH3HB301JV600005DS</t>
  </si>
  <si>
    <t>G713857591</t>
  </si>
  <si>
    <t>F8Y6167C1YQ18FKBU</t>
  </si>
  <si>
    <t>FG942860L7P18FMBG</t>
  </si>
  <si>
    <t>G712020417</t>
  </si>
  <si>
    <t>DTQD75QFY0</t>
  </si>
  <si>
    <t>MPVYQPNXHL</t>
  </si>
  <si>
    <t>G711669845</t>
  </si>
  <si>
    <t>F8YHN0C178000006TW</t>
  </si>
  <si>
    <t>F8YGWU10ENU00006TY</t>
  </si>
  <si>
    <t>G710904959</t>
  </si>
  <si>
    <t>L4K4WTGF5H</t>
  </si>
  <si>
    <t>MN6JD9W7X4</t>
  </si>
  <si>
    <t>G709781257</t>
  </si>
  <si>
    <t>ZP661-50239</t>
  </si>
  <si>
    <t>iPad (A16) Wi-Fi + Cellular, ROW, 128GB, Blue, CI/AR, CN</t>
  </si>
  <si>
    <t>L03K9NF9Q1</t>
  </si>
  <si>
    <t>GG9M26J17W</t>
  </si>
  <si>
    <t>G709740991</t>
  </si>
  <si>
    <t>DNL52940A3Y1986A2</t>
  </si>
  <si>
    <t>DNL32332M481986BU</t>
  </si>
  <si>
    <t>G708836783</t>
  </si>
  <si>
    <t>F8Y6011C10K20J9BM</t>
  </si>
  <si>
    <t>F5D2406CQLB20J89M</t>
  </si>
  <si>
    <t>G708717269</t>
  </si>
  <si>
    <t>D865505N18CPJYRBW</t>
  </si>
  <si>
    <t>D864206A12SPJYRB7</t>
  </si>
  <si>
    <t>G705794739</t>
  </si>
  <si>
    <t>J2R45RWPXF</t>
  </si>
  <si>
    <t>K006RYQ2JY</t>
  </si>
  <si>
    <t>G704848033</t>
  </si>
  <si>
    <t>F8Y5527C5BN20J9B4</t>
  </si>
  <si>
    <t>F8Y24371U8G20J92V</t>
  </si>
  <si>
    <t>G704518793</t>
  </si>
  <si>
    <t>DNMHP802L930000QTE</t>
  </si>
  <si>
    <t>DNMHNG00XGP0000QTE</t>
  </si>
  <si>
    <t>G703603735</t>
  </si>
  <si>
    <t>F8YHN8C02V600006TW</t>
  </si>
  <si>
    <t>FG9HCX00J9800006TZ</t>
  </si>
  <si>
    <t>G686182112</t>
  </si>
  <si>
    <t>G9P5351MD7BPQCLAM</t>
  </si>
  <si>
    <t>G9P2051NKNXPQCLAT</t>
  </si>
  <si>
    <t>G701291429</t>
  </si>
  <si>
    <t>F8Y5433CE33M6YNDJ</t>
  </si>
  <si>
    <t>FG902951LEVM6YRBK</t>
  </si>
  <si>
    <t>G700381973</t>
  </si>
  <si>
    <t>F8Y5506CJ2118FKB6</t>
  </si>
  <si>
    <t>FG920751U4Y18FM44</t>
  </si>
  <si>
    <t>G698258897</t>
  </si>
  <si>
    <t>ZP661-50284</t>
  </si>
  <si>
    <t>iPad Air 11-inch (M3) Wi-Fi + Cellular, ROW, 256GB, Starlight, CI/AR, CN</t>
  </si>
  <si>
    <t>CV2RYP4HWY</t>
  </si>
  <si>
    <t>FXL2525XK6</t>
  </si>
  <si>
    <t>G716089089</t>
  </si>
  <si>
    <t>F8Y6183C7RX18FKB0</t>
  </si>
  <si>
    <t>FG922171DZ218FMAS</t>
  </si>
  <si>
    <t>G715218075</t>
  </si>
  <si>
    <t>F8Y6152C9EG20J9BU</t>
  </si>
  <si>
    <t>F8Y24532CQJ20J92Q</t>
  </si>
  <si>
    <t>G714208311</t>
  </si>
  <si>
    <t>F8Y6136C341M6YNDR</t>
  </si>
  <si>
    <t>FG9114302E2M6YQBF</t>
  </si>
  <si>
    <t>G713390215</t>
  </si>
  <si>
    <t>C7CP453JQC</t>
  </si>
  <si>
    <t>H7HMF2F2V2</t>
  </si>
  <si>
    <t>G707075327</t>
  </si>
  <si>
    <t>F8Y6053CMMM18FKBJ</t>
  </si>
  <si>
    <t>FG9251309BY18FMA2</t>
  </si>
  <si>
    <t>GVH51672HKKPR5PAL</t>
  </si>
  <si>
    <t>GVC24951HK0PR5RAA</t>
  </si>
  <si>
    <t>G704017685</t>
  </si>
  <si>
    <t>H97QM6UEJKM9</t>
  </si>
  <si>
    <t>H97MJMSTJKM9</t>
  </si>
  <si>
    <t>G702645419</t>
  </si>
  <si>
    <t>661-42857</t>
  </si>
  <si>
    <t>Logic Board, 8-Core CPU, 8-Core GPU, 16GB, 256GB</t>
  </si>
  <si>
    <t>H41HH40002N0000NZN</t>
  </si>
  <si>
    <t>C02HAE0019R0000NZP</t>
  </si>
  <si>
    <t>661-42932</t>
  </si>
  <si>
    <t>GHQHNT000AA0001A6Y</t>
  </si>
  <si>
    <t>GHQHA10028B0000EN9</t>
  </si>
  <si>
    <t>G699259241</t>
  </si>
  <si>
    <t>MX9TF99FNN</t>
  </si>
  <si>
    <t>HW947WYKJY</t>
  </si>
  <si>
    <t>G699219381</t>
  </si>
  <si>
    <t>LFC6QYD900</t>
  </si>
  <si>
    <t>CTXRMQJNQK</t>
  </si>
  <si>
    <t>G698393865</t>
  </si>
  <si>
    <t>J9PQFP7L2R</t>
  </si>
  <si>
    <t>HHXWJGD220</t>
  </si>
  <si>
    <t>G715677013</t>
  </si>
  <si>
    <t>DN84507AT071CDK9X</t>
  </si>
  <si>
    <t>DN82447EV471CDK2M</t>
  </si>
  <si>
    <t>F8Y6166C6H820J9BP</t>
  </si>
  <si>
    <t>F8Y242311MU20J92C</t>
  </si>
  <si>
    <t>G714345111</t>
  </si>
  <si>
    <t>HN7322J1QW</t>
  </si>
  <si>
    <t>G709780127</t>
  </si>
  <si>
    <t>H1GXW5Y69F</t>
  </si>
  <si>
    <t>K4HDFD2RJ6</t>
  </si>
  <si>
    <t>G708868173</t>
  </si>
  <si>
    <t>D865505N1AZPJYRB3</t>
  </si>
  <si>
    <t>D863173A8Q5PJYRAC</t>
  </si>
  <si>
    <t>G705602555</t>
  </si>
  <si>
    <t>FC4HXPQMGV</t>
  </si>
  <si>
    <t>G703773575</t>
  </si>
  <si>
    <t>D61N63YFQL</t>
  </si>
  <si>
    <t>G703148371</t>
  </si>
  <si>
    <t>HYWQWYQL2J</t>
  </si>
  <si>
    <t>CKG4VG9YVK</t>
  </si>
  <si>
    <t>G702466953</t>
  </si>
  <si>
    <t>DNMHK201ZS40000RYP</t>
  </si>
  <si>
    <t>DN8HKC03ZAV0000RYQ</t>
  </si>
  <si>
    <t>G711733409</t>
  </si>
  <si>
    <t>F8Y6125C65Z18FKB7</t>
  </si>
  <si>
    <t>F8Y13442UXQ18FKAR</t>
  </si>
  <si>
    <t>G711224307</t>
  </si>
  <si>
    <t>F5D61150BJJ1KLFBP</t>
  </si>
  <si>
    <t>F5D21264UUK1KLF8E</t>
  </si>
  <si>
    <t>G707523163</t>
  </si>
  <si>
    <t>F8Y6056CNN818FKBQ</t>
  </si>
  <si>
    <t>FG9244319JH18FNAJ</t>
  </si>
  <si>
    <t>G701753701</t>
  </si>
  <si>
    <t>F8Y6031C04P237KBL</t>
  </si>
  <si>
    <t>F8Y23851BG2237K37</t>
  </si>
  <si>
    <t>G699576759</t>
  </si>
  <si>
    <t>G9P5385M6QGPQCLAT</t>
  </si>
  <si>
    <t>F8Y5501C2HC13XCB3</t>
  </si>
  <si>
    <t>F5D20855WQC13XD9U</t>
  </si>
  <si>
    <t>G9P5346ME3NPQCLAK</t>
  </si>
  <si>
    <t>G9P2104U5CPPQCLA4</t>
  </si>
  <si>
    <t>G699228643</t>
  </si>
  <si>
    <t>F8Y5465C0CY20J9BM</t>
  </si>
  <si>
    <t>F5D32235BA920J8AC</t>
  </si>
  <si>
    <t>G698870041</t>
  </si>
  <si>
    <t>F8Y5415C06TQ4C2BE</t>
  </si>
  <si>
    <t>F8Y11421ANCQ49Y9Y</t>
  </si>
  <si>
    <t>G710468333</t>
  </si>
  <si>
    <t>FW9W36564C</t>
  </si>
  <si>
    <t>L40T7P7QF1</t>
  </si>
  <si>
    <t>G709784427</t>
  </si>
  <si>
    <t>H97Q34J4JKM9</t>
  </si>
  <si>
    <t>H97P2HCMJKM9</t>
  </si>
  <si>
    <t>G709207715</t>
  </si>
  <si>
    <t>F8Y5172C68YM6YND8</t>
  </si>
  <si>
    <t>FG903351UEMM6YRB2</t>
  </si>
  <si>
    <t>G707268171</t>
  </si>
  <si>
    <t>G0NH9A01A5B0000HKZ</t>
  </si>
  <si>
    <t>GMHHEU02WKM0000BXF</t>
  </si>
  <si>
    <t>G706627743</t>
  </si>
  <si>
    <t>K337L7443N</t>
  </si>
  <si>
    <t>F4NLH7XQ64</t>
  </si>
  <si>
    <t>G705116997</t>
  </si>
  <si>
    <t>661-21323</t>
  </si>
  <si>
    <t>Logic Board, 10-Core CPU, 24-Core GPU, 64GB Memory, 4TB SSD</t>
  </si>
  <si>
    <t>C021444000K185VAV</t>
  </si>
  <si>
    <t>C0222020009185PAQ</t>
  </si>
  <si>
    <t>G701323713</t>
  </si>
  <si>
    <t>D865435N0Y4PJYRBT</t>
  </si>
  <si>
    <t>D862213A58PPJYRAX</t>
  </si>
  <si>
    <t>G700233617</t>
  </si>
  <si>
    <t>F8Y5475CB1D13RHCT</t>
  </si>
  <si>
    <t>F5D21638D8413RKA6</t>
  </si>
  <si>
    <t>G715785795</t>
  </si>
  <si>
    <t>F8Y6096C5VVQ4C2BG</t>
  </si>
  <si>
    <t>F5D0504ARKLQ4C09H</t>
  </si>
  <si>
    <t>G713652473</t>
  </si>
  <si>
    <t>FP1HPY009TM00013N7</t>
  </si>
  <si>
    <t>CYVHPQ01CBR000186G</t>
  </si>
  <si>
    <t>G712763347</t>
  </si>
  <si>
    <t>661-15942</t>
  </si>
  <si>
    <t>Logic Board, 2.0 GHz,32 GB, 512 GB</t>
  </si>
  <si>
    <t>C021123007UP9L21K</t>
  </si>
  <si>
    <t>C020512028WP9KC18</t>
  </si>
  <si>
    <t>G710293629</t>
  </si>
  <si>
    <t>F8Y6041C7HU217WBR</t>
  </si>
  <si>
    <t>F8Y2403042X217W70</t>
  </si>
  <si>
    <t>G709291491</t>
  </si>
  <si>
    <t>G9Q5174EL1Q1502A1</t>
  </si>
  <si>
    <t>G9Q4515DDCK1502AZ</t>
  </si>
  <si>
    <t>G707402169</t>
  </si>
  <si>
    <t>FJVNCW71TW</t>
  </si>
  <si>
    <t>CP9PP7PQJX</t>
  </si>
  <si>
    <t>G704267655</t>
  </si>
  <si>
    <t>F8Y5425C1FR18FKBQ</t>
  </si>
  <si>
    <t>F8Y40460F2K18FLBN</t>
  </si>
  <si>
    <t>G704021975</t>
  </si>
  <si>
    <t>G9P5353LC4NPQCKAN</t>
  </si>
  <si>
    <t>G9N2095WCQ2PQCKAK</t>
  </si>
  <si>
    <t>G702129687</t>
  </si>
  <si>
    <t>F8Y5501C28N13XCBL</t>
  </si>
  <si>
    <t>F5D20632PLR13XD9H</t>
  </si>
  <si>
    <t>G700334873</t>
  </si>
  <si>
    <t>FMXHNK000HV00006J3</t>
  </si>
  <si>
    <t>FMXH9G007AC00006J3</t>
  </si>
  <si>
    <t>G699874769</t>
  </si>
  <si>
    <t>F8Y5447C5Q318FKB7</t>
  </si>
  <si>
    <t>FG9209617F918FM48</t>
  </si>
  <si>
    <t>G698860453</t>
  </si>
  <si>
    <t>J37WM2RKX1</t>
  </si>
  <si>
    <t>MV4CM9QTWL</t>
  </si>
  <si>
    <t>G715742499</t>
  </si>
  <si>
    <t>FG9HP4003KV00006TT</t>
  </si>
  <si>
    <t>FG9GX800BGK00006TT</t>
  </si>
  <si>
    <t>G714944231</t>
  </si>
  <si>
    <t>F8Y6152C99520J9BL</t>
  </si>
  <si>
    <t>F8Y3024289220JC2T</t>
  </si>
  <si>
    <t>G712569085</t>
  </si>
  <si>
    <t>CV7YVPH40K</t>
  </si>
  <si>
    <t>F6LLJJR3XW</t>
  </si>
  <si>
    <t>G711665991</t>
  </si>
  <si>
    <t>C02326200151R9LAC</t>
  </si>
  <si>
    <t>C02312500DA1R9LAF</t>
  </si>
  <si>
    <t>G710992375</t>
  </si>
  <si>
    <t>F8Y6066C4G613XCBP</t>
  </si>
  <si>
    <t>F5D1313971N13XD8N</t>
  </si>
  <si>
    <t>G692589156</t>
  </si>
  <si>
    <t>923-13532</t>
  </si>
  <si>
    <t>AirPods Pro 3, Eartips, S</t>
  </si>
  <si>
    <t>GFH53562UF</t>
  </si>
  <si>
    <t>G710018015</t>
  </si>
  <si>
    <t>923-08172</t>
  </si>
  <si>
    <t>AirPods Pro 2, Ear Tips, Large</t>
  </si>
  <si>
    <t>GXD51731RH</t>
  </si>
  <si>
    <t>G706001961</t>
  </si>
  <si>
    <t>MV0MM9R2C1</t>
  </si>
  <si>
    <t>L34W3THWLJ</t>
  </si>
  <si>
    <t>G704855213</t>
  </si>
  <si>
    <t>G9P5133MLLAPQCLAG</t>
  </si>
  <si>
    <t>G9P2232QF0KPQCLA4</t>
  </si>
  <si>
    <t>G702854233</t>
  </si>
  <si>
    <t>J9KHN7007MX0000FD3</t>
  </si>
  <si>
    <t>GMHH9T0063C0000882</t>
  </si>
  <si>
    <t>G702626653</t>
  </si>
  <si>
    <t>F8Y5366C90JQ687BN</t>
  </si>
  <si>
    <t>FG904950K80Q68C3Y</t>
  </si>
  <si>
    <t>G701573077</t>
  </si>
  <si>
    <t>F8Y5433C00LM6YNDQ</t>
  </si>
  <si>
    <t>FG910140K6HM6YRBF</t>
  </si>
  <si>
    <t>G700842093</t>
  </si>
  <si>
    <t>G9P5264LJ48PQCKAT</t>
  </si>
  <si>
    <t>G9P2222KKPBPQCKAS</t>
  </si>
  <si>
    <t>G698331665</t>
  </si>
  <si>
    <t>LL2GQYJH7Y</t>
  </si>
  <si>
    <t>MVCY6WH2YC</t>
  </si>
  <si>
    <t>G716008017</t>
  </si>
  <si>
    <t>GMG545305W41J87AT</t>
  </si>
  <si>
    <t>FP1508600DE25YTAT</t>
  </si>
  <si>
    <t>G711995971</t>
  </si>
  <si>
    <t>GXD503424L</t>
  </si>
  <si>
    <t>G710228689</t>
  </si>
  <si>
    <t>FV9532301JA0W9FL5</t>
  </si>
  <si>
    <t>FV951270SWB0W9FL9</t>
  </si>
  <si>
    <t>G709503173</t>
  </si>
  <si>
    <t>CYW7QFGVMF</t>
  </si>
  <si>
    <t>G691208142</t>
  </si>
  <si>
    <t>ZA661-45776</t>
  </si>
  <si>
    <t>Black, Magic Mouse, USB-C, ITS</t>
  </si>
  <si>
    <t>CC2HSD00N5A000054Y</t>
  </si>
  <si>
    <t>CC2HBD00N4A000054Y</t>
  </si>
  <si>
    <t>G705867925</t>
  </si>
  <si>
    <t>J5RX0Q7XNK</t>
  </si>
  <si>
    <t>J4X4VMVKGQ</t>
  </si>
  <si>
    <t>G705141561</t>
  </si>
  <si>
    <t>D865125N0H21LPDCA</t>
  </si>
  <si>
    <t>D864282A1NB1LPDC8</t>
  </si>
  <si>
    <t>G704874855</t>
  </si>
  <si>
    <t>F8Y5516C0ZV13RHCA</t>
  </si>
  <si>
    <t>F5D218610PY13RJAT</t>
  </si>
  <si>
    <t>G704480393</t>
  </si>
  <si>
    <t>F0YHMA000W10000GVK</t>
  </si>
  <si>
    <t>GMGHK8002Q10000GVL</t>
  </si>
  <si>
    <t>G686886582</t>
  </si>
  <si>
    <t>F8Y5433CD55M6YNDB</t>
  </si>
  <si>
    <t>FG901032PBDM6YRB0</t>
  </si>
  <si>
    <t>G703119479</t>
  </si>
  <si>
    <t>FV944660G570W9GLJ</t>
  </si>
  <si>
    <t>J33540304270W9FPU</t>
  </si>
  <si>
    <t>G699252401</t>
  </si>
  <si>
    <t>D865386N1C2PJYRB5</t>
  </si>
  <si>
    <t>F5D5023207ZPJYVCZ</t>
  </si>
  <si>
    <t>G714828121</t>
  </si>
  <si>
    <t>GCF50212X0517RQUG</t>
  </si>
  <si>
    <t>DNL551209A717RRCQ</t>
  </si>
  <si>
    <t>661-30371</t>
  </si>
  <si>
    <t>True Depth Camera, iPhone 14</t>
  </si>
  <si>
    <t>DX66133007S1L03AS</t>
  </si>
  <si>
    <t>GMH53510UYG17HHAW</t>
  </si>
  <si>
    <t>GCF502206WV17RQU0</t>
  </si>
  <si>
    <t>G712976367</t>
  </si>
  <si>
    <t>HNXQC031Q1HL</t>
  </si>
  <si>
    <t>HNXQR164Q1HL</t>
  </si>
  <si>
    <t>G710221899</t>
  </si>
  <si>
    <t>G9P5152MBLBPQCLAK</t>
  </si>
  <si>
    <t>G9N2142NDHQPQCLAP</t>
  </si>
  <si>
    <t>G710017931</t>
  </si>
  <si>
    <t>H7FHPU022HM0000UHZ</t>
  </si>
  <si>
    <t>G709783833</t>
  </si>
  <si>
    <t>GMGHMR0026D0000GVL</t>
  </si>
  <si>
    <t>FP1HNZ003CY0000G2A</t>
  </si>
  <si>
    <t>G688658084</t>
  </si>
  <si>
    <t>H2DQC0V21JG5</t>
  </si>
  <si>
    <t>H2DPK0M51JG5</t>
  </si>
  <si>
    <t>H2CQC0YW1JG6</t>
  </si>
  <si>
    <t>H2DPK2NU1JG6</t>
  </si>
  <si>
    <t>G700491123</t>
  </si>
  <si>
    <t>F8Y5441C34113XCB7</t>
  </si>
  <si>
    <t>F5D14924VWL13X999</t>
  </si>
  <si>
    <t>G698307583</t>
  </si>
  <si>
    <t>KGTQXQF7MT</t>
  </si>
  <si>
    <t>G6TK9D14M1</t>
  </si>
  <si>
    <t>G716201339</t>
  </si>
  <si>
    <t>G9P4443MCN2PQCLAP</t>
  </si>
  <si>
    <t>G9P2195MBKHPQCLAA</t>
  </si>
  <si>
    <t>G714834105</t>
  </si>
  <si>
    <t>DR9HS3000D300014XS</t>
  </si>
  <si>
    <t>G714077473</t>
  </si>
  <si>
    <t>G9P5205NKA614YDAK</t>
  </si>
  <si>
    <t>GVC31850HG314YFA4</t>
  </si>
  <si>
    <t>G709317849</t>
  </si>
  <si>
    <t>F8Y6032C26M20J9BT</t>
  </si>
  <si>
    <t>F8Y23671G2T20J926</t>
  </si>
  <si>
    <t>G706862269</t>
  </si>
  <si>
    <t>G9NHFDQ30S900005DR</t>
  </si>
  <si>
    <t>GH3H97030R400005DS</t>
  </si>
  <si>
    <t>G688629064</t>
  </si>
  <si>
    <t>M7QTF322D2</t>
  </si>
  <si>
    <t>JP7L4YQXX1</t>
  </si>
  <si>
    <t>G699876769</t>
  </si>
  <si>
    <t>F8Y5372C4F214LWC8</t>
  </si>
  <si>
    <t>F5D21610UZZ14LXAH</t>
  </si>
  <si>
    <t>G699849967</t>
  </si>
  <si>
    <t>GD62M4CVH6</t>
  </si>
  <si>
    <t>LXWXVT9JY1</t>
  </si>
  <si>
    <t>G716161789</t>
  </si>
  <si>
    <t>FG9HSY0006R00006TT</t>
  </si>
  <si>
    <t>FG9GYH00U7C00006TV</t>
  </si>
  <si>
    <t>G713741505</t>
  </si>
  <si>
    <t>GH3HS80082P0000MUZ</t>
  </si>
  <si>
    <t>GH3HKD00GR00000MUZ</t>
  </si>
  <si>
    <t>G713362281</t>
  </si>
  <si>
    <t>F8Y5527C5BY20J9BU</t>
  </si>
  <si>
    <t>F8Y24261M1P20JC2H</t>
  </si>
  <si>
    <t>G692388050</t>
  </si>
  <si>
    <t>Display, Silver, iMac (24-in, M1, 2021)</t>
  </si>
  <si>
    <t>GHQ6075001N2FT4AA</t>
  </si>
  <si>
    <t>GHQ2127032H167NAK</t>
  </si>
  <si>
    <t>G710429879</t>
  </si>
  <si>
    <t>G9Q5173EJD51502AM</t>
  </si>
  <si>
    <t>G9P5266B42T1502AM</t>
  </si>
  <si>
    <t>G710310207</t>
  </si>
  <si>
    <t>G9P4443MBPPPQCLA0</t>
  </si>
  <si>
    <t>G9P2495MN9DPQCLAW</t>
  </si>
  <si>
    <t>G708948541</t>
  </si>
  <si>
    <t>GVCHPU02BT00000MUZ</t>
  </si>
  <si>
    <t>GH3HP5037FB0000MUZ</t>
  </si>
  <si>
    <t>G708232747</t>
  </si>
  <si>
    <t>H17R206WJJNW</t>
  </si>
  <si>
    <t>G708211061</t>
  </si>
  <si>
    <t>H97Q340NJKM9</t>
  </si>
  <si>
    <t>H97PR1ZLJKM9</t>
  </si>
  <si>
    <t>G690007578</t>
  </si>
  <si>
    <t>F8Y6096N0SBQ1LTB6</t>
  </si>
  <si>
    <t>F8Y3112H8TPQ1LTA3</t>
  </si>
  <si>
    <t>G707704847</t>
  </si>
  <si>
    <t>F8Y5486C4DE20J9BR</t>
  </si>
  <si>
    <t>F5D2384J24V20J890</t>
  </si>
  <si>
    <t>G707500451</t>
  </si>
  <si>
    <t>C125WWF2FH</t>
  </si>
  <si>
    <t>LR9D2PWN2P</t>
  </si>
  <si>
    <t>G688649480</t>
  </si>
  <si>
    <t>F8Y5495C3SC217WBY</t>
  </si>
  <si>
    <t>F5D2426J1V921PK78</t>
  </si>
  <si>
    <t>G704771301</t>
  </si>
  <si>
    <t>F8Y5527C5BS20J9B0</t>
  </si>
  <si>
    <t>F8Y24332CA020JC2K</t>
  </si>
  <si>
    <t>G704572903</t>
  </si>
  <si>
    <t>G9PHK9G0Z6500005DP</t>
  </si>
  <si>
    <t>GVCHAP04KSC00005DQ</t>
  </si>
  <si>
    <t>G704396487</t>
  </si>
  <si>
    <t>C02328600E60W9GAY</t>
  </si>
  <si>
    <t>J33539102EK0W9GPR</t>
  </si>
  <si>
    <t>G686883174</t>
  </si>
  <si>
    <t>J9PHQ000B2F0000HK9</t>
  </si>
  <si>
    <t>GMHH9D00R8J00007BV</t>
  </si>
  <si>
    <t>G9QHNMT038F00004Y9</t>
  </si>
  <si>
    <t>G9QHAXQ0TQU00004Y9</t>
  </si>
  <si>
    <t>G702641321</t>
  </si>
  <si>
    <t>F8Y5497C4R913RHCS</t>
  </si>
  <si>
    <t>F5D14153KXA13RJ9R</t>
  </si>
  <si>
    <t>G701518663</t>
  </si>
  <si>
    <t>F8Y5426C583Q687BU</t>
  </si>
  <si>
    <t>FG9101105KHQ68C3R</t>
  </si>
  <si>
    <t>G700872927</t>
  </si>
  <si>
    <t>F8YHN0C0QG800006TP</t>
  </si>
  <si>
    <t>F5DGZW00A9300006TN</t>
  </si>
  <si>
    <t>G700617993</t>
  </si>
  <si>
    <t>GVCHJY03T2F0000MUZ</t>
  </si>
  <si>
    <t>GH3HN400RLN0000MUZ</t>
  </si>
  <si>
    <t>G683117680</t>
  </si>
  <si>
    <t>DNL44420C9N1986B7</t>
  </si>
  <si>
    <t>DNL4054103W1986BR</t>
  </si>
  <si>
    <t>HKY419102U61LK1AQ</t>
  </si>
  <si>
    <t>HKY404705Q01LK1AF</t>
  </si>
  <si>
    <t>G699339169</t>
  </si>
  <si>
    <t>G9P5351MKFCPQCLAQ</t>
  </si>
  <si>
    <t>G9N1506RFAVPQCLA1</t>
  </si>
  <si>
    <t>G711519615</t>
  </si>
  <si>
    <t>F8Y5516C8M013RHCZ</t>
  </si>
  <si>
    <t>F8Y15020SLX13RFBD</t>
  </si>
  <si>
    <t>G708985383</t>
  </si>
  <si>
    <t>DNPHPP00JS80000WDA</t>
  </si>
  <si>
    <t>FNJHMGV08940000M4H</t>
  </si>
  <si>
    <t>G708213503</t>
  </si>
  <si>
    <t>F8Y6026CC8V20J9B2</t>
  </si>
  <si>
    <t>F8Y237508H020J92Y</t>
  </si>
  <si>
    <t>G704255735</t>
  </si>
  <si>
    <t>F8YHN4C0MRX00006TP</t>
  </si>
  <si>
    <t>F5DGYN008LW00006TQ</t>
  </si>
  <si>
    <t>661-35696</t>
  </si>
  <si>
    <t>Camera , iPhone 15 Pro</t>
  </si>
  <si>
    <t>DN85164A3LZ1RXK1E</t>
  </si>
  <si>
    <t>G702801309</t>
  </si>
  <si>
    <t>F8Y5506CRZX18FKBC</t>
  </si>
  <si>
    <t>FG92254148H18FMAJ</t>
  </si>
  <si>
    <t>G700873255</t>
  </si>
  <si>
    <t>M2WFX0KQL0</t>
  </si>
  <si>
    <t>GTJV9PXKVY</t>
  </si>
  <si>
    <t>G700599081</t>
  </si>
  <si>
    <t>G0NHJ600KWW0000HKZ</t>
  </si>
  <si>
    <t>GMHH8U00GS80000BXF</t>
  </si>
  <si>
    <t>G699132699</t>
  </si>
  <si>
    <t>FMX5443038W278YA7</t>
  </si>
  <si>
    <t>FMX30860FHJPP65AX</t>
  </si>
  <si>
    <t>F8Y5297N0SS0J9TBB</t>
  </si>
  <si>
    <t>F8Y3234H0980VC4AS</t>
  </si>
  <si>
    <t>G713194083</t>
  </si>
  <si>
    <t>G9Q5177FJPXPR5QA5</t>
  </si>
  <si>
    <t>GVC40451RV0PR5RAK</t>
  </si>
  <si>
    <t>G713075239</t>
  </si>
  <si>
    <t>K2YKTVJFH3</t>
  </si>
  <si>
    <t>T4RV2LMWDJ</t>
  </si>
  <si>
    <t>G694490236</t>
  </si>
  <si>
    <t>F8Y6143C4FJ217WB7</t>
  </si>
  <si>
    <t>F8Y236207F0217W77</t>
  </si>
  <si>
    <t>DN85255A43K12J51K</t>
  </si>
  <si>
    <t>GCF2366423H15F94Q</t>
  </si>
  <si>
    <t>G712369751</t>
  </si>
  <si>
    <t>G9PHMKT26HZ00005DP</t>
  </si>
  <si>
    <t>GVCHDY023R000005DQ</t>
  </si>
  <si>
    <t>G710870595</t>
  </si>
  <si>
    <t>GX1HS40P6HV0000B2Z</t>
  </si>
  <si>
    <t>G709060107</t>
  </si>
  <si>
    <t>GN3HRP0GKHV0000B31</t>
  </si>
  <si>
    <t>G690011088</t>
  </si>
  <si>
    <t>FGXFQFPFWC</t>
  </si>
  <si>
    <t>DKH9YLH9CD</t>
  </si>
  <si>
    <t>G707045095</t>
  </si>
  <si>
    <t>F8Y5442CBLGM6YNDP</t>
  </si>
  <si>
    <t>F8Y11611AFTM6YMBA</t>
  </si>
  <si>
    <t>G706916093</t>
  </si>
  <si>
    <t>F8YHN4C11FE00006TP</t>
  </si>
  <si>
    <t>F5DGYY016ZX00006TN</t>
  </si>
  <si>
    <t>G704689925</t>
  </si>
  <si>
    <t>GHQ603700RU2FT9A5</t>
  </si>
  <si>
    <t>GHQ1286006X167VA8</t>
  </si>
  <si>
    <t>G704478201</t>
  </si>
  <si>
    <t>G9P5134M1DMPQCLAA</t>
  </si>
  <si>
    <t>G9P2065S7ETPQCLAE</t>
  </si>
  <si>
    <t>G703973191</t>
  </si>
  <si>
    <t>GPTP6RP61X</t>
  </si>
  <si>
    <t>GHFNKGYQT3</t>
  </si>
  <si>
    <t>G699491609</t>
  </si>
  <si>
    <t>661-55839</t>
  </si>
  <si>
    <t>Logic Board, 1TB, iPhone Air</t>
  </si>
  <si>
    <t>KT6YHKHQ7X</t>
  </si>
  <si>
    <t>CV43XJP2LC</t>
  </si>
  <si>
    <t>G699345461</t>
  </si>
  <si>
    <t>F8Y5244C8ZG02JNB0</t>
  </si>
  <si>
    <t>F8Y04436E7902JN7M</t>
  </si>
  <si>
    <t>G698998035</t>
  </si>
  <si>
    <t>G0NHGK0150N0000HKZ</t>
  </si>
  <si>
    <t>FNJHDCU05LT0000BXF</t>
  </si>
  <si>
    <t>G716568505</t>
  </si>
  <si>
    <t>F8YHRDC09X800006TW</t>
  </si>
  <si>
    <t>FG9H3U00LRA00006TX</t>
  </si>
  <si>
    <t>G711131263</t>
  </si>
  <si>
    <t>G6K25G9HKN</t>
  </si>
  <si>
    <t>C69TYX9GK7</t>
  </si>
  <si>
    <t>G710586443</t>
  </si>
  <si>
    <t>661-14105</t>
  </si>
  <si>
    <t>Logic Board, i7, 2.6GHz, 16GB, 1TB, 5300M</t>
  </si>
  <si>
    <t>C023503000NNFLCA2</t>
  </si>
  <si>
    <t>C02947304FXNFHT1V</t>
  </si>
  <si>
    <t>G709849973</t>
  </si>
  <si>
    <t>F8Y6053C7WQ18FKB2</t>
  </si>
  <si>
    <t>FG922061F4N18FMAT</t>
  </si>
  <si>
    <t>G709204297</t>
  </si>
  <si>
    <t>J22QT7TN26K0</t>
  </si>
  <si>
    <t>G690521180</t>
  </si>
  <si>
    <t>GMG5487001TNR89B8</t>
  </si>
  <si>
    <t>FP11354095BP3WWA7</t>
  </si>
  <si>
    <t>G707283725</t>
  </si>
  <si>
    <t>G9QHPJN7TQD0000L4B</t>
  </si>
  <si>
    <t>G9NHL3W2X750000L4B</t>
  </si>
  <si>
    <t>G703109205</t>
  </si>
  <si>
    <t>F8Y5457C261217WBC</t>
  </si>
  <si>
    <t>F8Y23320B0M217W72</t>
  </si>
  <si>
    <t>G702918131</t>
  </si>
  <si>
    <t>F8Y5442C1AHM6YNDU</t>
  </si>
  <si>
    <t>FG914930L0EM6YRC5</t>
  </si>
  <si>
    <t>G700705389</t>
  </si>
  <si>
    <t>KG45F65M7V</t>
  </si>
  <si>
    <t>DX69XJ5WP4</t>
  </si>
  <si>
    <t>G698976589</t>
  </si>
  <si>
    <t>G9NHK920XEC00004Y7</t>
  </si>
  <si>
    <t>G9NHGEJ40MV00004Y7</t>
  </si>
  <si>
    <t>G698329131</t>
  </si>
  <si>
    <t>F8Y5433CFH0M6YNDC</t>
  </si>
  <si>
    <t>F8Y12533C0VM6YNBA</t>
  </si>
  <si>
    <t>G714160587</t>
  </si>
  <si>
    <t>CQ2CX64HGG</t>
  </si>
  <si>
    <t>K4WPMQMM2G</t>
  </si>
  <si>
    <t>G713729463</t>
  </si>
  <si>
    <t>F8Y6153C69W20J9BX</t>
  </si>
  <si>
    <t>F8Y2446133X20J92J</t>
  </si>
  <si>
    <t>G9P5255NP6214YDAG</t>
  </si>
  <si>
    <t>G9N2485K14F14YDA5</t>
  </si>
  <si>
    <t>G713542961</t>
  </si>
  <si>
    <t>F8Y5516C8NS13RHC4</t>
  </si>
  <si>
    <t>F5D2035BUN913RK9E</t>
  </si>
  <si>
    <t>G713265543</t>
  </si>
  <si>
    <t>F2D7F7TJ73</t>
  </si>
  <si>
    <t>F7KMVF64PC</t>
  </si>
  <si>
    <t>G694535408</t>
  </si>
  <si>
    <t>LR9WLFFGJ7</t>
  </si>
  <si>
    <t>G708460145</t>
  </si>
  <si>
    <t>G9P5164L1J3PQCKA8</t>
  </si>
  <si>
    <t>G9P2097WJDLPQCKAR</t>
  </si>
  <si>
    <t>G708270637</t>
  </si>
  <si>
    <t>F8Y5493CF3R14LWC2</t>
  </si>
  <si>
    <t>F8Y2397114514LW8G</t>
  </si>
  <si>
    <t>G706698535</t>
  </si>
  <si>
    <t>G9P5152M7MMPQCLAA</t>
  </si>
  <si>
    <t>G9P2305N63ZPQCLA1</t>
  </si>
  <si>
    <t>G706588061</t>
  </si>
  <si>
    <t>661-37214</t>
  </si>
  <si>
    <t>TrueDepth Camera, iPhone 15 Plus</t>
  </si>
  <si>
    <t>F6WGYA00HRR00001MB</t>
  </si>
  <si>
    <t>DTTHEA01P9E000004C</t>
  </si>
  <si>
    <t>G704740229</t>
  </si>
  <si>
    <t>H7KQK02P1059</t>
  </si>
  <si>
    <t>H1CJ60G01059</t>
  </si>
  <si>
    <t>G702830269</t>
  </si>
  <si>
    <t>KMWJ229VQ7</t>
  </si>
  <si>
    <t>F9KVMM7046</t>
  </si>
  <si>
    <t>G702781045</t>
  </si>
  <si>
    <t>G0NHKJ00E8F0000HKZ</t>
  </si>
  <si>
    <t>FNJHB8C0N480000BXF</t>
  </si>
  <si>
    <t>DN8HJT088Y200006S2</t>
  </si>
  <si>
    <t>DN8HC70ENW900006S2</t>
  </si>
  <si>
    <t>G702467619</t>
  </si>
  <si>
    <t>F8Y5497C4RG13RHCK</t>
  </si>
  <si>
    <t>F5D1495EY6W13RJ9A</t>
  </si>
  <si>
    <t>G702367107</t>
  </si>
  <si>
    <t>F8Y5375C48P02JNBT</t>
  </si>
  <si>
    <t>F8Y0414534K02JN78</t>
  </si>
  <si>
    <t>G700059887</t>
  </si>
  <si>
    <t>F8Y5445CJ8B18FKB2</t>
  </si>
  <si>
    <t>FG915021AKE18FM4H</t>
  </si>
  <si>
    <t>G699875899</t>
  </si>
  <si>
    <t>F8YHNDN08600000G42</t>
  </si>
  <si>
    <t>F5DHGJ006E70000G45</t>
  </si>
  <si>
    <t>G715570563</t>
  </si>
  <si>
    <t>FMXHRL003FB00006J3</t>
  </si>
  <si>
    <t>FMXHAY002JY00006J3</t>
  </si>
  <si>
    <t>G695954038</t>
  </si>
  <si>
    <t>GH3HRK00DFM0000MUZ</t>
  </si>
  <si>
    <t>GH3HPX026SH0000MUZ</t>
  </si>
  <si>
    <t>G692464650</t>
  </si>
  <si>
    <t>FY12NFG6MR</t>
  </si>
  <si>
    <t>LM4G52MHH7</t>
  </si>
  <si>
    <t>G710419921</t>
  </si>
  <si>
    <t>F8Y5274C0MM13XCBX</t>
  </si>
  <si>
    <t>F5D1395BE8T13XD9N</t>
  </si>
  <si>
    <t>G709888605</t>
  </si>
  <si>
    <t>F8Y5402C5RZ02JNBN</t>
  </si>
  <si>
    <t>F8Y039644J302JN7T</t>
  </si>
  <si>
    <t>G709056343</t>
  </si>
  <si>
    <t>G9PHF5J0WJP00005DR</t>
  </si>
  <si>
    <t>GH3HE9009X900005DS</t>
  </si>
  <si>
    <t>G708085145</t>
  </si>
  <si>
    <t>F8Y6025C6BV217WBB</t>
  </si>
  <si>
    <t>F8Y24731PJ3217W75</t>
  </si>
  <si>
    <t>G706167037</t>
  </si>
  <si>
    <t>FMX548206BZNTJJAM</t>
  </si>
  <si>
    <t>FMX23411N3KNTJJAV</t>
  </si>
  <si>
    <t>G705459491</t>
  </si>
  <si>
    <t>F8Y5445N0PC13QFCR</t>
  </si>
  <si>
    <t>F8Y2515012E13QFB1</t>
  </si>
  <si>
    <t>G704848157</t>
  </si>
  <si>
    <t>F8Y5527C1MLQ687B8</t>
  </si>
  <si>
    <t>F8Y04413FQDQ6882T</t>
  </si>
  <si>
    <t>G703635105</t>
  </si>
  <si>
    <t>G9PHKWF0F1H00005DP</t>
  </si>
  <si>
    <t>GVCHBB02LLN00005DQ</t>
  </si>
  <si>
    <t>G703517107</t>
  </si>
  <si>
    <t>J9PHFD019930000HK9</t>
  </si>
  <si>
    <t>GMHHBX00W7U00007BV</t>
  </si>
  <si>
    <t>G703130011</t>
  </si>
  <si>
    <t>G9P5114LFNXPQCKA3</t>
  </si>
  <si>
    <t>F8Y5516C0T013RHCP</t>
  </si>
  <si>
    <t>F5D15050KLL13RK9Q</t>
  </si>
  <si>
    <t>G9P5265L79VPQCKA1</t>
  </si>
  <si>
    <t>G9P2327LBK9PQCKA5</t>
  </si>
  <si>
    <t>G703114021</t>
  </si>
  <si>
    <t>F9L3HQH4PP</t>
  </si>
  <si>
    <t>HNWQMWNWYX</t>
  </si>
  <si>
    <t>G700078687</t>
  </si>
  <si>
    <t>F8Y5347C7KEQ687BA</t>
  </si>
  <si>
    <t>F8Y121216AXQ688AF</t>
  </si>
  <si>
    <t>G700008387</t>
  </si>
  <si>
    <t>GDT93679Y1</t>
  </si>
  <si>
    <t>HTX2LDY7G7</t>
  </si>
  <si>
    <t>G699060749</t>
  </si>
  <si>
    <t>GHQ6037014K2FT7AA</t>
  </si>
  <si>
    <t>G713836949</t>
  </si>
  <si>
    <t>F8Y6066C5UC13XCBE</t>
  </si>
  <si>
    <t>F5D218654BU13XDA4</t>
  </si>
  <si>
    <t>G712888719</t>
  </si>
  <si>
    <t>F8Y6156C2B918FKB7</t>
  </si>
  <si>
    <t>F8Y3475033G18FLAU</t>
  </si>
  <si>
    <t>G712478471</t>
  </si>
  <si>
    <t>KXVHMXY50H</t>
  </si>
  <si>
    <t>JC22YT0HJ2</t>
  </si>
  <si>
    <t>G712476221</t>
  </si>
  <si>
    <t>F8Y6042C2TT20J9BP</t>
  </si>
  <si>
    <t>F5D303648YH20J79C</t>
  </si>
  <si>
    <t>G710290301</t>
  </si>
  <si>
    <t>JQ40YJW0Y9</t>
  </si>
  <si>
    <t>FQDQ14N6YT</t>
  </si>
  <si>
    <t>G708180353</t>
  </si>
  <si>
    <t>DNPHQ600GF20000WDA</t>
  </si>
  <si>
    <t>FNJHL8V1TB50000M4H</t>
  </si>
  <si>
    <t>G707625281</t>
  </si>
  <si>
    <t>HXK43850GDS1N08F8</t>
  </si>
  <si>
    <t>FV925240R8F1WP0D3</t>
  </si>
  <si>
    <t>G703898759</t>
  </si>
  <si>
    <t>F8Y5506CDC518FKBB</t>
  </si>
  <si>
    <t>F8Y324408BM18FLA6</t>
  </si>
  <si>
    <t>G686217488</t>
  </si>
  <si>
    <t>TA661-35552</t>
  </si>
  <si>
    <t>Black, iPhone 15 Pro, 128GB, ROW, CI/AR, Taiwan</t>
  </si>
  <si>
    <t>MM6N99RKX9</t>
  </si>
  <si>
    <t>KQWX62M9HM</t>
  </si>
  <si>
    <t>G702630797</t>
  </si>
  <si>
    <t>D865324N0Q7PJYRBK</t>
  </si>
  <si>
    <t>D862176AJP2PJYRA8</t>
  </si>
  <si>
    <t>G700364437</t>
  </si>
  <si>
    <t>F8Y5433C8T618FKBZ</t>
  </si>
  <si>
    <t>F8Y3247061U18FLAU</t>
  </si>
  <si>
    <t>G699332043</t>
  </si>
  <si>
    <t>F8Y5447C7MVQ687BN</t>
  </si>
  <si>
    <t>FG904961H9VQ68C3Y</t>
  </si>
  <si>
    <t>G714651523</t>
  </si>
  <si>
    <t>Display, Space Gray, MBA (13-in, M3, 2024)</t>
  </si>
  <si>
    <t>F0Y541300FQ1J88AE</t>
  </si>
  <si>
    <t>F0Y4295031Y1J87AR</t>
  </si>
  <si>
    <t>G707270955</t>
  </si>
  <si>
    <t>F8Y6061C7XU18FKBU</t>
  </si>
  <si>
    <t>F8Y213506UE18FLA4</t>
  </si>
  <si>
    <t>G705256123</t>
  </si>
  <si>
    <t>GMG545201ZV1J87AY</t>
  </si>
  <si>
    <t>FP1248204E21J89AK</t>
  </si>
  <si>
    <t>G704591615</t>
  </si>
  <si>
    <t>F8Y6011C18U20J9BN</t>
  </si>
  <si>
    <t>F5D3022877G20J79G</t>
  </si>
  <si>
    <t>G704024389</t>
  </si>
  <si>
    <t>GMG548701RNNR8DB4</t>
  </si>
  <si>
    <t>FP1146606A5P3WWAV</t>
  </si>
  <si>
    <t>G703320845</t>
  </si>
  <si>
    <t>F8Y5497C42W13RHC6</t>
  </si>
  <si>
    <t>F5D1463JC1913RK9W</t>
  </si>
  <si>
    <t>G703212921</t>
  </si>
  <si>
    <t>HXK5075079E1N08G7</t>
  </si>
  <si>
    <t>G702788255</t>
  </si>
  <si>
    <t>F8Y5474C8HN18FKB0</t>
  </si>
  <si>
    <t>F8Y21740G7B18FLAF</t>
  </si>
  <si>
    <t>G684530026</t>
  </si>
  <si>
    <t>F8Y5373C0NYQ4C2BE</t>
  </si>
  <si>
    <t>F5D12340MAFQ492AA</t>
  </si>
  <si>
    <t>G700824455</t>
  </si>
  <si>
    <t>KFWRDYYK2Q</t>
  </si>
  <si>
    <t>GQWGDLJLY2</t>
  </si>
  <si>
    <t>G700211815</t>
  </si>
  <si>
    <t>G9P5353L4SAPQCKAA</t>
  </si>
  <si>
    <t>G9P2484LJEEPQCKAS</t>
  </si>
  <si>
    <t>F8Y5473C4XJ13RHC9</t>
  </si>
  <si>
    <t>F5D1506BB8Z13RK9M</t>
  </si>
  <si>
    <t>G715651479</t>
  </si>
  <si>
    <t>D865182N1DYPJYRBC</t>
  </si>
  <si>
    <t>D860514A3CBPJYRA1</t>
  </si>
  <si>
    <t>G714992677</t>
  </si>
  <si>
    <t>F8Y6153C7AH20J9B6</t>
  </si>
  <si>
    <t>F8Y24510HVM20J929</t>
  </si>
  <si>
    <t>G714774947</t>
  </si>
  <si>
    <t>F8Y6167C4EZ20J9B8</t>
  </si>
  <si>
    <t>F8Y24511LE120J920</t>
  </si>
  <si>
    <t>G9P5364N80N14YDAS</t>
  </si>
  <si>
    <t>G9N2486Y8F114YDA7</t>
  </si>
  <si>
    <t>G713746065</t>
  </si>
  <si>
    <t>TA661-35503</t>
  </si>
  <si>
    <t>Blue, iPhone 15 Plus, 512GB, ROW, CI/AR, Taiwan</t>
  </si>
  <si>
    <t>KFQMJQ1WNR</t>
  </si>
  <si>
    <t>D3JV0023KD</t>
  </si>
  <si>
    <t>G711394867</t>
  </si>
  <si>
    <t>661-15948</t>
  </si>
  <si>
    <t>Logic Board, 2.3 GHz, 16 GB, 2 TB</t>
  </si>
  <si>
    <t>C0203120018PCFW1C</t>
  </si>
  <si>
    <t>C020354027ZP9GH10</t>
  </si>
  <si>
    <t>G711297705</t>
  </si>
  <si>
    <t>G9PHK3S00FV00005DR</t>
  </si>
  <si>
    <t>GH3HGF01WAJ00005DS</t>
  </si>
  <si>
    <t>G692827808</t>
  </si>
  <si>
    <t>F8Y6054C9L918FKBA</t>
  </si>
  <si>
    <t>F8Y22870PQW18FLAZ</t>
  </si>
  <si>
    <t>G710198025</t>
  </si>
  <si>
    <t>D73HG3W61D</t>
  </si>
  <si>
    <t>HXLFQ4V029</t>
  </si>
  <si>
    <t>G706950563</t>
  </si>
  <si>
    <t>PA661-46165</t>
  </si>
  <si>
    <t>Studio Buds +, Right, Ivory, CI/AR, VN</t>
  </si>
  <si>
    <t>HNYQX03424G7</t>
  </si>
  <si>
    <t>HNYNP36Y24G7</t>
  </si>
  <si>
    <t>PA661-46159</t>
  </si>
  <si>
    <t>Studio Buds +, Left, Ivory, CI/AR, VN</t>
  </si>
  <si>
    <t>HNYQW46Q24G8</t>
  </si>
  <si>
    <t>HNYNQ4KA24G8</t>
  </si>
  <si>
    <t>G706697681</t>
  </si>
  <si>
    <t>F8Y5425C89Y18FKBU</t>
  </si>
  <si>
    <t>F8Y32610F9918FLAE</t>
  </si>
  <si>
    <t>G703823401</t>
  </si>
  <si>
    <t>HR7XV1WWY1</t>
  </si>
  <si>
    <t>HT7TTVK669</t>
  </si>
  <si>
    <t>G702918171</t>
  </si>
  <si>
    <t>F8Y5456C5CG18FKBU</t>
  </si>
  <si>
    <t>F8Y41640Q5818FLBA</t>
  </si>
  <si>
    <t>G702730725</t>
  </si>
  <si>
    <t>F8Y5503C17E13RHC6</t>
  </si>
  <si>
    <t>F8Y14910D5213RFB7</t>
  </si>
  <si>
    <t>G702607447</t>
  </si>
  <si>
    <t>F0Y415600462526AJ</t>
  </si>
  <si>
    <t>DCN2106020CPP59AU</t>
  </si>
  <si>
    <t>G702485123</t>
  </si>
  <si>
    <t>G9Q5175E6PN1502AJ</t>
  </si>
  <si>
    <t>GVC4475037E1503A2</t>
  </si>
  <si>
    <t>G701075979</t>
  </si>
  <si>
    <t>F8Y5464C3VX217WBE</t>
  </si>
  <si>
    <t>F5D2533874S21PK7M</t>
  </si>
  <si>
    <t>G699981115</t>
  </si>
  <si>
    <t>G9NHGMN33MW00004Y7</t>
  </si>
  <si>
    <t>J5VHKS00KKY00004Y8</t>
  </si>
  <si>
    <t>G715678999</t>
  </si>
  <si>
    <t>G9PHMGT0XP400005DP</t>
  </si>
  <si>
    <t>GVCHFD003BM00005DQ</t>
  </si>
  <si>
    <t>G710475103</t>
  </si>
  <si>
    <t>G9PHJHS07E900005DR</t>
  </si>
  <si>
    <t>GH3HHX00FNG00005DS</t>
  </si>
  <si>
    <t>G692094128</t>
  </si>
  <si>
    <t>HYYTW4JJDW</t>
  </si>
  <si>
    <t>MJ7KV0R7M6</t>
  </si>
  <si>
    <t>G708874609</t>
  </si>
  <si>
    <t>LM970CNF47</t>
  </si>
  <si>
    <t>C97X9RW0J3</t>
  </si>
  <si>
    <t>G702100363</t>
  </si>
  <si>
    <t>PA661-46157</t>
  </si>
  <si>
    <t>Studio Buds +, Left, Black/Gold, CI/AR, VN</t>
  </si>
  <si>
    <t>HNYQW26024G6</t>
  </si>
  <si>
    <t>HNYQN2472456</t>
  </si>
  <si>
    <t>PA661-46163</t>
  </si>
  <si>
    <t>Studio Buds +, Right, Black/Gold, CI/AR, VN</t>
  </si>
  <si>
    <t>HNYNW48924G5</t>
  </si>
  <si>
    <t>HNYQN0YF24G5</t>
  </si>
  <si>
    <t>G690022546</t>
  </si>
  <si>
    <t>GMG545101KYNR89BX</t>
  </si>
  <si>
    <t>GMG350401G2NR89BK</t>
  </si>
  <si>
    <t>G710554737</t>
  </si>
  <si>
    <t>GMGHLC005J40000GVL</t>
  </si>
  <si>
    <t>FP1HJZ005WY0000G29</t>
  </si>
  <si>
    <t>G704111767</t>
  </si>
  <si>
    <t>F8Y5516CG5C13RHCT</t>
  </si>
  <si>
    <t>F8Y141609WR13RFB0</t>
  </si>
  <si>
    <t>G701448297</t>
  </si>
  <si>
    <t>DN8HEB0514M00006S2</t>
  </si>
  <si>
    <t>DN8HHP0BA8L00006S2</t>
  </si>
  <si>
    <t>G711227119</t>
  </si>
  <si>
    <t>L04JW2K936</t>
  </si>
  <si>
    <t>F4R3F66FPK</t>
  </si>
  <si>
    <t>G708497073</t>
  </si>
  <si>
    <t>CJ9NJ42XKF</t>
  </si>
  <si>
    <t>HPJ96T4757</t>
  </si>
  <si>
    <t>G701779897</t>
  </si>
  <si>
    <t>F0YHMP001MK0000UJX</t>
  </si>
  <si>
    <t>FP1HHK002SV0000UJW</t>
  </si>
  <si>
    <t>G712681235</t>
  </si>
  <si>
    <t>G9QHRQN2NBN0000L4B</t>
  </si>
  <si>
    <t>G9NHPJH6V4W0000L4B</t>
  </si>
  <si>
    <t>G711671145</t>
  </si>
  <si>
    <t>FMXHKA0027N00006J3</t>
  </si>
  <si>
    <t>FMXHER005EM00006J3</t>
  </si>
  <si>
    <t>G708275509</t>
  </si>
  <si>
    <t>G9P5306MCK1PQCLA6</t>
  </si>
  <si>
    <t>G9N2081NDH0PQCLA3</t>
  </si>
  <si>
    <t>G707642037</t>
  </si>
  <si>
    <t>F8Y5364C4HU02JNBZ</t>
  </si>
  <si>
    <t>F8Y231203CS02JNAE</t>
  </si>
  <si>
    <t>G703509215</t>
  </si>
  <si>
    <t>G9Q5174CLKCPR5QAC</t>
  </si>
  <si>
    <t>GVH53360MGQPR5PA0</t>
  </si>
  <si>
    <t>G686404932</t>
  </si>
  <si>
    <t>CC2HP800V5A000054X</t>
  </si>
  <si>
    <t>CC2HER02L0A000054X</t>
  </si>
  <si>
    <t>G702214743</t>
  </si>
  <si>
    <t>F8YHN3C08UA00006TP</t>
  </si>
  <si>
    <t>F5DH0K00E0L00006TQ</t>
  </si>
  <si>
    <t>G710016173</t>
  </si>
  <si>
    <t>F8Y5286C1J613RHCR</t>
  </si>
  <si>
    <t>F5D22574M3E13RKAD</t>
  </si>
  <si>
    <t>G707155303</t>
  </si>
  <si>
    <t>F3CQ0MVF23</t>
  </si>
  <si>
    <t>F9W34RT25F</t>
  </si>
  <si>
    <t>G712703233</t>
  </si>
  <si>
    <t>FNJHM0E0BE300007BV</t>
  </si>
  <si>
    <t>GMHHGF00TE700007BV</t>
  </si>
  <si>
    <t>G709648699</t>
  </si>
  <si>
    <t>MT2WF0KG72</t>
  </si>
  <si>
    <t>MK4HW4CFG2</t>
  </si>
  <si>
    <t>G710792685</t>
  </si>
  <si>
    <t>J42H0Y3LXX</t>
  </si>
  <si>
    <t>C77K7J4W3G</t>
  </si>
  <si>
    <t>G708297051</t>
  </si>
  <si>
    <t>F8Y5447C5KTQ687BY</t>
  </si>
  <si>
    <t>FG9034503VWQ68938</t>
  </si>
  <si>
    <t>G703518297</t>
  </si>
  <si>
    <t>G9PHK3T03F300005DP</t>
  </si>
  <si>
    <t>GVCHAF006LF00005DQ</t>
  </si>
  <si>
    <t>G708863921</t>
  </si>
  <si>
    <t>CL6GP1VXFG</t>
  </si>
  <si>
    <t>DQ0VYQ6FKX</t>
  </si>
  <si>
    <t>G704260177</t>
  </si>
  <si>
    <t>F8Y5501C4XAQ4C2BS</t>
  </si>
  <si>
    <t>F8Y301701G0Q4C2AP</t>
  </si>
  <si>
    <t>G703904319</t>
  </si>
  <si>
    <t>F8YHPDN009600000E5</t>
  </si>
  <si>
    <t>F5DHDW0037H00000E6</t>
  </si>
  <si>
    <t>G701579215</t>
  </si>
  <si>
    <t>DNL522207871986B1</t>
  </si>
  <si>
    <t>DNL33420Q4D1986BP</t>
  </si>
  <si>
    <t>G699657113</t>
  </si>
  <si>
    <t>KYFJ6W2349</t>
  </si>
  <si>
    <t>F7P2DY4H6N</t>
  </si>
  <si>
    <t>G682734804</t>
  </si>
  <si>
    <t>F0Y416501F32525AL</t>
  </si>
  <si>
    <t>DCN4117010P2525A0</t>
  </si>
  <si>
    <t>G715413399</t>
  </si>
  <si>
    <t>G9P4441MB20PQCLAL</t>
  </si>
  <si>
    <t>G9N1502VDL6PQCLAN</t>
  </si>
  <si>
    <t>G713498361</t>
  </si>
  <si>
    <t>GH3HPX017NL0000MUZ</t>
  </si>
  <si>
    <t>GH3HN30050G0000MUZ</t>
  </si>
  <si>
    <t>G712473311</t>
  </si>
  <si>
    <t>G9NHPLR3P0R0000L4B</t>
  </si>
  <si>
    <t>G9PHLBD7N680000L4B</t>
  </si>
  <si>
    <t>G707304187</t>
  </si>
  <si>
    <t>F0WHFR01KL60000488</t>
  </si>
  <si>
    <t>DN8HC700ADR00005KQ</t>
  </si>
  <si>
    <t>G705138181</t>
  </si>
  <si>
    <t>G9P5385MFKBPQCLA4</t>
  </si>
  <si>
    <t>G9N23012B8MPQCLAQ</t>
  </si>
  <si>
    <t>G711349807</t>
  </si>
  <si>
    <t>C02HMG001G50000P0S</t>
  </si>
  <si>
    <t>C02HL9000BG0000P0R</t>
  </si>
  <si>
    <t>G706975647</t>
  </si>
  <si>
    <t>FNJHHDF0HNJ0000QTV</t>
  </si>
  <si>
    <t>GMHHLN012WL0000QSK</t>
  </si>
  <si>
    <t>G706721877</t>
  </si>
  <si>
    <t>G9PHMFT22L200005DP</t>
  </si>
  <si>
    <t>GVCH9401YJH00005DQ</t>
  </si>
  <si>
    <t>G704483929</t>
  </si>
  <si>
    <t>FMXHMH000K100006J3</t>
  </si>
  <si>
    <t>FP1HE500ALV0000FQX</t>
  </si>
  <si>
    <t>G704262727</t>
  </si>
  <si>
    <t>DNM50910MAY1QDC7F</t>
  </si>
  <si>
    <t>DNM531320481QDC7P</t>
  </si>
  <si>
    <t>G711876293</t>
  </si>
  <si>
    <t>F8Y6056CH7L18FKBU</t>
  </si>
  <si>
    <t>F8Y22140P1A18FLAA</t>
  </si>
  <si>
    <t>G708197225</t>
  </si>
  <si>
    <t>FV9433200GK0W9GHC</t>
  </si>
  <si>
    <t>FV9517607CE0W9GLW</t>
  </si>
  <si>
    <t>G707710929</t>
  </si>
  <si>
    <t>FG9HNR0070100006TT</t>
  </si>
  <si>
    <t>FG9H00009FY00006TV</t>
  </si>
  <si>
    <t>G701405965</t>
  </si>
  <si>
    <t>F8Y5455C12W13XCBD</t>
  </si>
  <si>
    <t>F5D23237W7F13X9AL</t>
  </si>
  <si>
    <t>G710688649</t>
  </si>
  <si>
    <t>GN1HS20N9UX0000B32</t>
  </si>
  <si>
    <t>G709544459</t>
  </si>
  <si>
    <t>GN3HRZ0JZP30000B2Z</t>
  </si>
  <si>
    <t>HXXHKD03C2A0000B2Z</t>
  </si>
  <si>
    <t>G706976857</t>
  </si>
  <si>
    <t>DNL53910ACG17RRCM</t>
  </si>
  <si>
    <t>DNL53160N9X17RRCN</t>
  </si>
  <si>
    <t>GMH42630EFM17HHAM</t>
  </si>
  <si>
    <t>GMH5324090N17HHA9</t>
  </si>
  <si>
    <t>G687347628</t>
  </si>
  <si>
    <t>D865386N19LPJYRBW</t>
  </si>
  <si>
    <t>D863361A0A2PJYRA0</t>
  </si>
  <si>
    <t>G706630587</t>
  </si>
  <si>
    <t>661-40256</t>
  </si>
  <si>
    <t>GMGHNT0001C00000CP</t>
  </si>
  <si>
    <t>GMGHC6000TY00000CP</t>
  </si>
  <si>
    <t>G704902987</t>
  </si>
  <si>
    <t>G9PHJ9K0E0900005DR</t>
  </si>
  <si>
    <t>GVCHAL05NVD00005DS</t>
  </si>
  <si>
    <t>G709208373</t>
  </si>
  <si>
    <t>H7FHPF19FCQ0000UHY</t>
  </si>
  <si>
    <t>G698538967</t>
  </si>
  <si>
    <t>FV9HNH0000V0000HG2</t>
  </si>
  <si>
    <t>FV9HB301C3V0000HG2</t>
  </si>
  <si>
    <t>G710439101</t>
  </si>
  <si>
    <t>FV9HB600AS600003T3</t>
  </si>
  <si>
    <t>FV9HE500QYG0000PCD</t>
  </si>
  <si>
    <t>G710334819</t>
  </si>
  <si>
    <t>H04J03LT90</t>
  </si>
  <si>
    <t>JKX74X5VVJ</t>
  </si>
  <si>
    <t>G707413393</t>
  </si>
  <si>
    <t>HY0CW5LQ4G</t>
  </si>
  <si>
    <t>FXPW6134QG</t>
  </si>
  <si>
    <t>G706271109</t>
  </si>
  <si>
    <t>G9PHK1S2A1400005DR</t>
  </si>
  <si>
    <t>G9NHA2Z4HRX00005DR</t>
  </si>
  <si>
    <t>G702160915</t>
  </si>
  <si>
    <t>F0Y543101UR1J87A4</t>
  </si>
  <si>
    <t>FP14056038N25YVA7</t>
  </si>
  <si>
    <t>C02HE10001D0000FJV</t>
  </si>
  <si>
    <t>HXKH51001J10000FJV</t>
  </si>
  <si>
    <t>G715332823</t>
  </si>
  <si>
    <t>GH3HRP01WXT0000MUZ</t>
  </si>
  <si>
    <t>GVCHLS01QPR0000MUZ</t>
  </si>
  <si>
    <t>GH3HRR016MW0000MUZ</t>
  </si>
  <si>
    <t>G709766247</t>
  </si>
  <si>
    <t>FG9HP7003FT00006TT</t>
  </si>
  <si>
    <t>F5DGYR02D7G00006TS</t>
  </si>
  <si>
    <t>G705203677</t>
  </si>
  <si>
    <t>F8YHN3C09YJ00006TP</t>
  </si>
  <si>
    <t>F8YGZQ303B500006TR</t>
  </si>
  <si>
    <t>G715001947</t>
  </si>
  <si>
    <t>G9Q5252B59UMRY1AZ</t>
  </si>
  <si>
    <t>G9N0526Q5J5MRY1A9</t>
  </si>
  <si>
    <t>F8Y6112C0T3Q4C2BC</t>
  </si>
  <si>
    <t>F5D052214RHQ4C09C</t>
  </si>
  <si>
    <t>G712465247</t>
  </si>
  <si>
    <t>JNXNDX6QHG</t>
  </si>
  <si>
    <t>FY69YWQFYK</t>
  </si>
  <si>
    <t>G708978191</t>
  </si>
  <si>
    <t>GVH51661FFUPR5PAV</t>
  </si>
  <si>
    <t>GVH51721ZRPR5PAM</t>
  </si>
  <si>
    <t>G706735621</t>
  </si>
  <si>
    <t>F8Y5421C3DR18FKBY</t>
  </si>
  <si>
    <t>FG91475123N18FM48</t>
  </si>
  <si>
    <t>G701802957</t>
  </si>
  <si>
    <t>FMX431606HJNTJJA5</t>
  </si>
  <si>
    <t>FMX2384191BNTJJA7</t>
  </si>
  <si>
    <t>G692567588</t>
  </si>
  <si>
    <t>FNJHMZD08F300006SX</t>
  </si>
  <si>
    <t>GMHHHJ018QU00006SX</t>
  </si>
  <si>
    <t>G704144071</t>
  </si>
  <si>
    <t>F0Y541601N61J87A8</t>
  </si>
  <si>
    <t>GMG5273009N1J88A4</t>
  </si>
  <si>
    <t>G712092945</t>
  </si>
  <si>
    <t>F8Y5457C2H8237KBF</t>
  </si>
  <si>
    <t>FQ123232MNJ237L12</t>
  </si>
  <si>
    <t>G711648405</t>
  </si>
  <si>
    <t>HG0FHC6KMT</t>
  </si>
  <si>
    <t>JGHVYTH94T</t>
  </si>
  <si>
    <t>G703460665</t>
  </si>
  <si>
    <t>F8Y6011C1ZH20J9BS</t>
  </si>
  <si>
    <t>F8Y30120FZM20JC28</t>
  </si>
  <si>
    <t>G702127579</t>
  </si>
  <si>
    <t>FV9HNR0000Z00002W7</t>
  </si>
  <si>
    <t>C023473004125HQAQ</t>
  </si>
  <si>
    <t>F8YHPDN010300000E5</t>
  </si>
  <si>
    <t>F5DH0S002KA00000E6</t>
  </si>
  <si>
    <t>F0Y552401Z72525A2</t>
  </si>
  <si>
    <t>FMX3417057QPP5CA9</t>
  </si>
  <si>
    <t>G701577663</t>
  </si>
  <si>
    <t>C75H4G14H3</t>
  </si>
  <si>
    <t>G698671023</t>
  </si>
  <si>
    <t>G9PHLGT11MJ00005DP</t>
  </si>
  <si>
    <t>GVCHD200ALW00005DQ</t>
  </si>
  <si>
    <t>G707395743</t>
  </si>
  <si>
    <t>F8Y6057CH9518FKB2</t>
  </si>
  <si>
    <t>F8Y41150CJX18FLB8</t>
  </si>
  <si>
    <t>G704637613</t>
  </si>
  <si>
    <t>GMGHLD0073V0000GVL</t>
  </si>
  <si>
    <t>FP1HL80077D0000G29</t>
  </si>
  <si>
    <t>G704401853</t>
  </si>
  <si>
    <t>G9P5162LK8EPQCKAB</t>
  </si>
  <si>
    <t>G9P2133L0H4PQCKAW</t>
  </si>
  <si>
    <t>F8Y5516CD0213RHCM</t>
  </si>
  <si>
    <t>F5D204257TQ13RJ9Q</t>
  </si>
  <si>
    <t>G709073057</t>
  </si>
  <si>
    <t>F8Y5455C0EM13XCBM</t>
  </si>
  <si>
    <t>F5D2125BMX413XD9P</t>
  </si>
  <si>
    <t>G700252987</t>
  </si>
  <si>
    <t>J9KHNP001WD0000FD3</t>
  </si>
  <si>
    <t>GMHH9S00GNN0000882</t>
  </si>
  <si>
    <t>923-10746</t>
  </si>
  <si>
    <t>Bottom Speaker, iPhone 16 Pro</t>
  </si>
  <si>
    <t>J9KHNL001TR0000FD9</t>
  </si>
  <si>
    <t>DTVH6N9250C0000CZ0</t>
  </si>
  <si>
    <t>G683117578</t>
  </si>
  <si>
    <t>H22M6JXXW2</t>
  </si>
  <si>
    <t>LXW07JJ9JX</t>
  </si>
  <si>
    <t>G713085017</t>
  </si>
  <si>
    <t>F8Y5514C29C231LBY</t>
  </si>
  <si>
    <t>FG923751LGG22XP64</t>
  </si>
  <si>
    <t>G712253287</t>
  </si>
  <si>
    <t>F8YHN7C09KD00006TP</t>
  </si>
  <si>
    <t>F5DGWU00Q9400006TN</t>
  </si>
  <si>
    <t>G707313495</t>
  </si>
  <si>
    <t>F8YHN2C0LFL00006TP</t>
  </si>
  <si>
    <t>F8YH1P32N2100006TR</t>
  </si>
  <si>
    <t>G703903981</t>
  </si>
  <si>
    <t>F8Y5424C2XL18FKBF</t>
  </si>
  <si>
    <t>F8Y20940C5C18FLAK</t>
  </si>
  <si>
    <t>G709305863</t>
  </si>
  <si>
    <t>HKGRH696GWTJ</t>
  </si>
  <si>
    <t>HKGNL451GWTJ</t>
  </si>
  <si>
    <t>G708489145</t>
  </si>
  <si>
    <t>MC75PX0XYY</t>
  </si>
  <si>
    <t>GHQ7L522H0</t>
  </si>
  <si>
    <t>G706721769</t>
  </si>
  <si>
    <t>F8Y6096C2AZ13RHCH</t>
  </si>
  <si>
    <t>F8Y1336194L13RH9B</t>
  </si>
  <si>
    <t>G709632769</t>
  </si>
  <si>
    <t>G607Q5X656</t>
  </si>
  <si>
    <t>DY9F5Y7PV2</t>
  </si>
  <si>
    <t>G701439525</t>
  </si>
  <si>
    <t>DNL5307283D17RRC0</t>
  </si>
  <si>
    <t>DNL33371X2B17RRCG</t>
  </si>
  <si>
    <t>G708216729</t>
  </si>
  <si>
    <t>G9P5214RG0D1PHPAG</t>
  </si>
  <si>
    <t>GVC3407165S1PHQAQ</t>
  </si>
  <si>
    <t>DN85523AANF1RXK5G</t>
  </si>
  <si>
    <t>GCF34831DXD23412F</t>
  </si>
  <si>
    <t>G700829951</t>
  </si>
  <si>
    <t>C4H506505DALV74AV</t>
  </si>
  <si>
    <t>C06520207N71695AG</t>
  </si>
  <si>
    <t>G700613319</t>
  </si>
  <si>
    <t>LV227DTWFD</t>
  </si>
  <si>
    <t>F3GTQ4QKHX</t>
  </si>
  <si>
    <t>G710323919</t>
  </si>
  <si>
    <t>LXJHKWYH9G</t>
  </si>
  <si>
    <t>LP6J273FM6</t>
  </si>
  <si>
    <t>G704262103</t>
  </si>
  <si>
    <t>G9Q6035UJ4321KHAD</t>
  </si>
  <si>
    <t>GVH54160KHP1PHLA6</t>
  </si>
  <si>
    <t>G703108315</t>
  </si>
  <si>
    <t>C7RF0HFJ2K</t>
  </si>
  <si>
    <t>HTQWWQVCF3</t>
  </si>
  <si>
    <t>G702033097</t>
  </si>
  <si>
    <t>F8Y5505C02H18FKB9</t>
  </si>
  <si>
    <t>F8Y22750QR718FLAP</t>
  </si>
  <si>
    <t>G710220931</t>
  </si>
  <si>
    <t>G9PHLFT04VW00005DP</t>
  </si>
  <si>
    <t>GVCHBP015DV00005DQ</t>
  </si>
  <si>
    <t>G705480223</t>
  </si>
  <si>
    <t>G9P5322QCCK1PHRAB</t>
  </si>
  <si>
    <t>G9P3291QCHC1PHRAQ</t>
  </si>
  <si>
    <t>G701689075</t>
  </si>
  <si>
    <t>F79FVJ9LXW</t>
  </si>
  <si>
    <t>MVPF3DHKY4</t>
  </si>
  <si>
    <t>G701080825</t>
  </si>
  <si>
    <t>GMG536501QHNR8DBM</t>
  </si>
  <si>
    <t>GMG436400ZFNR89B5</t>
  </si>
  <si>
    <t>G713367637</t>
  </si>
  <si>
    <t>G9P4472M19DPQCLAL</t>
  </si>
  <si>
    <t>G9N2137SE1EPQCLAY</t>
  </si>
  <si>
    <t>G693915920</t>
  </si>
  <si>
    <t>GFP9G960R6</t>
  </si>
  <si>
    <t>G708085711</t>
  </si>
  <si>
    <t>H3VHNP0DSAS0000UHY</t>
  </si>
  <si>
    <t>G715309273</t>
  </si>
  <si>
    <t>661-56055</t>
  </si>
  <si>
    <t>Deep Blue, Back Glass, iPhone 17 Pro Max</t>
  </si>
  <si>
    <t>FY5HJC003TF00016WT</t>
  </si>
  <si>
    <t>FXLHL10EDCM0001AH6</t>
  </si>
  <si>
    <t>GH3HS90102B0000MUZ</t>
  </si>
  <si>
    <t>G9NHLTZ9D6Q0000MUY</t>
  </si>
  <si>
    <t>G704349919</t>
  </si>
  <si>
    <t>G9P5352MARWPQCLAJ</t>
  </si>
  <si>
    <t>G9N229120EWPQCLAG</t>
  </si>
  <si>
    <t>G712895709</t>
  </si>
  <si>
    <t>TA661-36294</t>
  </si>
  <si>
    <t>Blue, iPhone 15, 256GB, ROW, CI/AR, Taiwan</t>
  </si>
  <si>
    <t>G3X6QGCJYH</t>
  </si>
  <si>
    <t>J3F5X7VWR3</t>
  </si>
  <si>
    <t>G690015218</t>
  </si>
  <si>
    <t>GVH52340B4SPR5PAD</t>
  </si>
  <si>
    <t>GVH50470A6APR5PAL</t>
  </si>
  <si>
    <t>G700730115</t>
  </si>
  <si>
    <t>C4KGPY6YM4</t>
  </si>
  <si>
    <t>DL7YTQNYVV</t>
  </si>
  <si>
    <t>G700750579</t>
  </si>
  <si>
    <t>FY9HK200B1M00016WT</t>
  </si>
  <si>
    <t>FXLHKQ08XLE0001AH6</t>
  </si>
  <si>
    <t>GH3HMD00GQ90000MUZ</t>
  </si>
  <si>
    <t>G9NHL9Z6ZMU0000MUY</t>
  </si>
  <si>
    <t>G699359493</t>
  </si>
  <si>
    <t>C62C96V6VR</t>
  </si>
  <si>
    <t>H0C4F639Q3</t>
  </si>
  <si>
    <t>G714942771</t>
  </si>
  <si>
    <t>G9QHRQT08H600004Y9</t>
  </si>
  <si>
    <t>G9NHFAL2Y0V00004Y9</t>
  </si>
  <si>
    <t>G716550349</t>
  </si>
  <si>
    <t>FG903711AY5Q68939</t>
  </si>
  <si>
    <t>G716560121</t>
  </si>
  <si>
    <t>F8Y5431C32FQ687B4</t>
  </si>
  <si>
    <t>G708270173</t>
  </si>
  <si>
    <t>HY7QG1MT26K0</t>
  </si>
  <si>
    <t>G703189707</t>
  </si>
  <si>
    <t>F8Y4346C82RQ4C2BE</t>
  </si>
  <si>
    <t>GJQ03838CH2PXFKA1</t>
  </si>
  <si>
    <t>G686179486</t>
  </si>
  <si>
    <t>KK7JJGXJXF</t>
  </si>
  <si>
    <t>JTGG9VKG6C</t>
  </si>
  <si>
    <t>G702693915</t>
  </si>
  <si>
    <t>FWDD204345</t>
  </si>
  <si>
    <t>CDV4Q0F59F</t>
  </si>
  <si>
    <t>G699780363</t>
  </si>
  <si>
    <t>DT23Q049V6</t>
  </si>
  <si>
    <t>LXP40VNL2D</t>
  </si>
  <si>
    <t>G703723477</t>
  </si>
  <si>
    <t>K3XCD6HTF9</t>
  </si>
  <si>
    <t>J3V66G3Q24</t>
  </si>
  <si>
    <t>G707064811</t>
  </si>
  <si>
    <t>D0YVXYRX7D</t>
  </si>
  <si>
    <t>FN71CM226P</t>
  </si>
  <si>
    <t>G710405189</t>
  </si>
  <si>
    <t>GN1HS20NKBG0000B32</t>
  </si>
  <si>
    <t>G2PKF2F7QX</t>
  </si>
  <si>
    <t>LWQNJK2LLQ</t>
  </si>
  <si>
    <t>G703863993</t>
  </si>
  <si>
    <t>J39JRM2GXJ</t>
  </si>
  <si>
    <t>G715111829</t>
  </si>
  <si>
    <t>F8Y6097C0UW13RHC1</t>
  </si>
  <si>
    <t>F5D1506BRXQ13RK9F</t>
  </si>
  <si>
    <t>G709501757</t>
  </si>
  <si>
    <t>H7QT3YGWGF</t>
  </si>
  <si>
    <t>FYFPG322JL</t>
  </si>
  <si>
    <t>G707405807</t>
  </si>
  <si>
    <t>KD4954T0L9</t>
  </si>
  <si>
    <t>JVX97QG527</t>
  </si>
  <si>
    <t>G703327105</t>
  </si>
  <si>
    <t>G9NHF8P1R6W0000DR</t>
  </si>
  <si>
    <t>GH3HFK00WHW00005DS</t>
  </si>
  <si>
    <t>G701745105</t>
  </si>
  <si>
    <t>G9PHJGK0QCM00005DR</t>
  </si>
  <si>
    <t>GH3HGL0107700005DS</t>
  </si>
  <si>
    <t>G698871171</t>
  </si>
  <si>
    <t>RX6JXRG7MJ</t>
  </si>
  <si>
    <t>LXQV3FWFHY</t>
  </si>
  <si>
    <t>G698818697</t>
  </si>
  <si>
    <t>CYJJFY1237</t>
  </si>
  <si>
    <t>HC5VJ140QK</t>
  </si>
  <si>
    <t>G713043651</t>
  </si>
  <si>
    <t>G6020H92RL</t>
  </si>
  <si>
    <t>G9QKQQXL3X</t>
  </si>
  <si>
    <t>G708690133</t>
  </si>
  <si>
    <t>GWW13HRWHL</t>
  </si>
  <si>
    <t>GP41QN9GVP</t>
  </si>
  <si>
    <t>D14991V717</t>
  </si>
  <si>
    <t>G700833211</t>
  </si>
  <si>
    <t>N7LPWN9XVK</t>
  </si>
  <si>
    <t>M7W5P4V576</t>
  </si>
  <si>
    <t>G714431145</t>
  </si>
  <si>
    <t>F8Y5501C0CSQ4C2B3</t>
  </si>
  <si>
    <t>F5D04169RFSQ4929V</t>
  </si>
  <si>
    <t>G708261365</t>
  </si>
  <si>
    <t>C6VMPHXVVT</t>
  </si>
  <si>
    <t>F297YG76RW</t>
  </si>
  <si>
    <t>G704081693</t>
  </si>
  <si>
    <t>DN8HNT09BA20000RYQ</t>
  </si>
  <si>
    <t>DNMHMC04JFM0000RYP</t>
  </si>
  <si>
    <t>DN8HMH0KAKD0000RYQ</t>
  </si>
  <si>
    <t>G701274119</t>
  </si>
  <si>
    <t>J39KFJJVK2</t>
  </si>
  <si>
    <t>L9N29CYKQY</t>
  </si>
  <si>
    <t>G698981757</t>
  </si>
  <si>
    <t>L2GQJWHCW5</t>
  </si>
  <si>
    <t>L5WKXJVDH4</t>
  </si>
  <si>
    <t>G706968617</t>
  </si>
  <si>
    <t>G9P5024MF21PQCLAK</t>
  </si>
  <si>
    <t>G9N2264V055PQCLAT</t>
  </si>
  <si>
    <t>G705675613</t>
  </si>
  <si>
    <t>GMGHLH007MQ0000GVL</t>
  </si>
  <si>
    <t>FP1HJ300CE60000G29</t>
  </si>
  <si>
    <t>G688151920</t>
  </si>
  <si>
    <t>N14Q7FRHYW</t>
  </si>
  <si>
    <t>TXLY2DQHH4</t>
  </si>
  <si>
    <t>G702710165</t>
  </si>
  <si>
    <t>FG92516090FM6YRCY</t>
  </si>
  <si>
    <t>G702715033</t>
  </si>
  <si>
    <t>F8Y4464C0QEM6YNDK</t>
  </si>
  <si>
    <t>G701783811</t>
  </si>
  <si>
    <t>DNL52230B011986BS</t>
  </si>
  <si>
    <t>DNL33430MA61986BE</t>
  </si>
  <si>
    <t>G709740891</t>
  </si>
  <si>
    <t>GCFHQ208PHB00005LU</t>
  </si>
  <si>
    <t>GCFHDA01PBT00005LU</t>
  </si>
  <si>
    <t>G707807505</t>
  </si>
  <si>
    <t>GJ4TCPQL4X</t>
  </si>
  <si>
    <t>C30HC4ND90</t>
  </si>
  <si>
    <t>G700338947</t>
  </si>
  <si>
    <t>CJJML9W96L</t>
  </si>
  <si>
    <t>HQRXJ6KV6L</t>
  </si>
  <si>
    <t>KH6790QWDT</t>
  </si>
  <si>
    <t>G700022891</t>
  </si>
  <si>
    <t>F8Y5453C79J20J9B8</t>
  </si>
  <si>
    <t>F8Y24550Y0020J92W</t>
  </si>
  <si>
    <t>G714209237</t>
  </si>
  <si>
    <t>G9P4444MNLLPQCLA0</t>
  </si>
  <si>
    <t>G9N231229RTPQCLAZ</t>
  </si>
  <si>
    <t>G707646513</t>
  </si>
  <si>
    <t>F8Y5322C1E413RHCS</t>
  </si>
  <si>
    <t>F5D1456GE3M13RJ9H</t>
  </si>
  <si>
    <t>G705478863</t>
  </si>
  <si>
    <t>DNM5091043D1QDC74</t>
  </si>
  <si>
    <t>DNM51710HDK1QDC29</t>
  </si>
  <si>
    <t>G702840969</t>
  </si>
  <si>
    <t>G9PHPSD0ZAN0000L4B</t>
  </si>
  <si>
    <t>G9PHLTD9Q4E0000L4B</t>
  </si>
  <si>
    <t>G712753571</t>
  </si>
  <si>
    <t>ML9VY796NJ</t>
  </si>
  <si>
    <t>G712260769</t>
  </si>
  <si>
    <t>K09FK34M4Q</t>
  </si>
  <si>
    <t>DWV2JQQ6DJ</t>
  </si>
  <si>
    <t>G706272379</t>
  </si>
  <si>
    <t>W26P54G9LR</t>
  </si>
  <si>
    <t>G705997503</t>
  </si>
  <si>
    <t>F452GLX25N</t>
  </si>
  <si>
    <t>G713817643</t>
  </si>
  <si>
    <t>F0Y541700RC1J88AS</t>
  </si>
  <si>
    <t>F0Y4187032N1J88AZ</t>
  </si>
  <si>
    <t>G706797491</t>
  </si>
  <si>
    <t>FV9518301C80W9GL8</t>
  </si>
  <si>
    <t>FV950660K7J0W9GLZ</t>
  </si>
  <si>
    <t>F0Y5432015R1J87A4</t>
  </si>
  <si>
    <t>FP1504304C625YVAD</t>
  </si>
  <si>
    <t>CR152540J0F1LD7AG</t>
  </si>
  <si>
    <t>G706724179</t>
  </si>
  <si>
    <t>J17L4HHKWG</t>
  </si>
  <si>
    <t>N2M2DWF27W</t>
  </si>
  <si>
    <t>G715078891</t>
  </si>
  <si>
    <t>F8Y4103071102JNAY</t>
  </si>
  <si>
    <t>F8Y0432672702JN7F</t>
  </si>
  <si>
    <t>G712575175</t>
  </si>
  <si>
    <t>J6F4T2QT7J</t>
  </si>
  <si>
    <t>MWJCXXG206</t>
  </si>
  <si>
    <t>G711651995</t>
  </si>
  <si>
    <t>JQWG42WMQK</t>
  </si>
  <si>
    <t>DJGQ29671Q</t>
  </si>
  <si>
    <t>G711232239</t>
  </si>
  <si>
    <t>F8Y6122C1BE231LBR</t>
  </si>
  <si>
    <t>FG923530EUB22XP6Q</t>
  </si>
  <si>
    <t>G705424599</t>
  </si>
  <si>
    <t>JP2YM2J0VH</t>
  </si>
  <si>
    <t>LRP22MH9NN</t>
  </si>
  <si>
    <t>G710094363</t>
  </si>
  <si>
    <t>JTJX9R3667</t>
  </si>
  <si>
    <t>G707412315</t>
  </si>
  <si>
    <t>KX0N76JH7X</t>
  </si>
  <si>
    <t>G705246573</t>
  </si>
  <si>
    <t>JMH6FM63VY</t>
  </si>
  <si>
    <t>G711220229</t>
  </si>
  <si>
    <t>L7HN472DPG</t>
  </si>
  <si>
    <t>JNXNR7939V</t>
  </si>
  <si>
    <t>G700180159</t>
  </si>
  <si>
    <t>DXHC7M6YN4</t>
  </si>
  <si>
    <t>G712568221</t>
  </si>
  <si>
    <t>G9P4467MLBDPQCLAT</t>
  </si>
  <si>
    <t>G9N2193MF00PQCLAF</t>
  </si>
  <si>
    <t>G710964741</t>
  </si>
  <si>
    <t>G9Q5483V7B01502AS</t>
  </si>
  <si>
    <t>GVC43550G191503AK</t>
  </si>
  <si>
    <t>G708274497</t>
  </si>
  <si>
    <t>G9P5371NLMM14YDAL</t>
  </si>
  <si>
    <t>G9N2441NE7314YDA2</t>
  </si>
  <si>
    <t>G711232981</t>
  </si>
  <si>
    <t>G9QHQMM59JM0000L4B</t>
  </si>
  <si>
    <t>G9NHPFJ5WTE0000L4B</t>
  </si>
  <si>
    <t>G706165493</t>
  </si>
  <si>
    <t>G9P4435M00JZPQCLAH</t>
  </si>
  <si>
    <t>G9P2285M2NFPQCLAE</t>
  </si>
  <si>
    <t>G700869265</t>
  </si>
  <si>
    <t>F8Y5191C3GN18FKB8</t>
  </si>
  <si>
    <t>FG9319203Z018FNAK</t>
  </si>
  <si>
    <t>G698927915</t>
  </si>
  <si>
    <t>J33TM2NK60</t>
  </si>
  <si>
    <t>KVWTGPLQ9K</t>
  </si>
  <si>
    <t>G708602367</t>
  </si>
  <si>
    <t>F0YHMA003W30000GVK</t>
  </si>
  <si>
    <t>FP1HGL008CF0000G29</t>
  </si>
  <si>
    <t>G708368283</t>
  </si>
  <si>
    <t>FV2XQD9LQH</t>
  </si>
  <si>
    <t>G705677937</t>
  </si>
  <si>
    <t>F44CVDX4C0</t>
  </si>
  <si>
    <t>HP220J4327</t>
  </si>
  <si>
    <t>G704121133</t>
  </si>
  <si>
    <t>FTJYXM3WNT</t>
  </si>
  <si>
    <t>G700737213</t>
  </si>
  <si>
    <t>D865435N0B5PJYRBM</t>
  </si>
  <si>
    <t>D864153A3YWPJYRB2</t>
  </si>
  <si>
    <t>G714340661</t>
  </si>
  <si>
    <t>F8Y6152CCXL20J9B4</t>
  </si>
  <si>
    <t>F5D240553PX20J891</t>
  </si>
  <si>
    <t>G9P5294NMAP14YDA8</t>
  </si>
  <si>
    <t>G9N2411R5K914YDA3</t>
  </si>
  <si>
    <t>G713507369</t>
  </si>
  <si>
    <t>F8Y6167C23118FKB1</t>
  </si>
  <si>
    <t>F8Y31960B9C18FLA2</t>
  </si>
  <si>
    <t>G712447353</t>
  </si>
  <si>
    <t>J3M2G99V1W</t>
  </si>
  <si>
    <t>G712108563</t>
  </si>
  <si>
    <t>LGY6XXWM46</t>
  </si>
  <si>
    <t>CQK790WMQX</t>
  </si>
  <si>
    <t>G711778247</t>
  </si>
  <si>
    <t>L90YWQMR73</t>
  </si>
  <si>
    <t>MQ266FGQCR</t>
  </si>
  <si>
    <t>G711658913</t>
  </si>
  <si>
    <t>F8Y6136C9LT18FKBV</t>
  </si>
  <si>
    <t>FG92341023518FMAM</t>
  </si>
  <si>
    <t>G710570527</t>
  </si>
  <si>
    <t>D2TDXV2773</t>
  </si>
  <si>
    <t>H4N242T1P6</t>
  </si>
  <si>
    <t>G710117225</t>
  </si>
  <si>
    <t>ZP661-42987</t>
  </si>
  <si>
    <t>Blue, 256GB, iPad mini, Cellular, CI/AR, ITP</t>
  </si>
  <si>
    <t>MPYHC93124</t>
  </si>
  <si>
    <t>H1WHG3F0QH</t>
  </si>
  <si>
    <t>G709193243</t>
  </si>
  <si>
    <t>HCYJYK3V6J</t>
  </si>
  <si>
    <t>CVPP92NM2J</t>
  </si>
  <si>
    <t>G708514865</t>
  </si>
  <si>
    <t>J3JKFX6VT3</t>
  </si>
  <si>
    <t>LQ7QRPHK4H</t>
  </si>
  <si>
    <t>G708282507</t>
  </si>
  <si>
    <t>G9Q4526SB2G1PHMA5</t>
  </si>
  <si>
    <t>G9Q4386SFBC1PHMAW</t>
  </si>
  <si>
    <t>G707424549</t>
  </si>
  <si>
    <t>G0NHD001C1Z0000HKZ</t>
  </si>
  <si>
    <t>GMHH8M02GMT0000BXF</t>
  </si>
  <si>
    <t>DN8HM90GCRA00006S2</t>
  </si>
  <si>
    <t>DN8HAQ06TVW00006S2</t>
  </si>
  <si>
    <t>G706510975</t>
  </si>
  <si>
    <t>HNXQV3RDQ1HJ</t>
  </si>
  <si>
    <t>HNXP29Y0Q1HJ</t>
  </si>
  <si>
    <t>G706136889</t>
  </si>
  <si>
    <t>FT717K022J</t>
  </si>
  <si>
    <t>HK2R060DCF</t>
  </si>
  <si>
    <t>G704902817</t>
  </si>
  <si>
    <t>JJHP90FHRV</t>
  </si>
  <si>
    <t>FX7QMYYFP2</t>
  </si>
  <si>
    <t>G703971629</t>
  </si>
  <si>
    <t>GMGHLH001300000GVL</t>
  </si>
  <si>
    <t>GMGHHZ001CK0000GVK</t>
  </si>
  <si>
    <t>C02HFC000MW0000PNL</t>
  </si>
  <si>
    <t>C02HJD004JV0000PNB</t>
  </si>
  <si>
    <t>G700116973</t>
  </si>
  <si>
    <t>J92W1TXY6P</t>
  </si>
  <si>
    <t>HJK62M7JX6</t>
  </si>
  <si>
    <t>G700100025</t>
  </si>
  <si>
    <t>G2HF2RPKWF</t>
  </si>
  <si>
    <t>DKG3G7252N</t>
  </si>
  <si>
    <t>G699628099</t>
  </si>
  <si>
    <t>F8Y5475CB0V13RHCE</t>
  </si>
  <si>
    <t>F8Y2156061713RHBS</t>
  </si>
  <si>
    <t>G683133252</t>
  </si>
  <si>
    <t>F8Y5471C1JV20J9B6</t>
  </si>
  <si>
    <t>F8Y253129W620J92U</t>
  </si>
  <si>
    <t>G683123006</t>
  </si>
  <si>
    <t>GCFHK900KTR00005LU</t>
  </si>
  <si>
    <t>DNMHE5015MW00005LS</t>
  </si>
  <si>
    <t>G699343737</t>
  </si>
  <si>
    <t>GVH515515TMPR5PAE</t>
  </si>
  <si>
    <t>G9Q4526F14JPR5QA5</t>
  </si>
  <si>
    <t>G698845591</t>
  </si>
  <si>
    <t>GVH516525GKPR5PA9</t>
  </si>
  <si>
    <t>GVH508703GEPR5PAF</t>
  </si>
  <si>
    <t>G698432519</t>
  </si>
  <si>
    <t>F8Y5456CF4F217WBS</t>
  </si>
  <si>
    <t>F5D2297C2YS21PK7D</t>
  </si>
  <si>
    <t>G698385371</t>
  </si>
  <si>
    <t>Q1V6XRWJRW</t>
  </si>
  <si>
    <t>JLV32XV79C</t>
  </si>
  <si>
    <t>661-30416</t>
  </si>
  <si>
    <t>Blue, Back Glass, iPhone 14</t>
  </si>
  <si>
    <t>FP2520402B3238GAE</t>
  </si>
  <si>
    <t>FP2515607XW238GA8</t>
  </si>
  <si>
    <t>G715457003</t>
  </si>
  <si>
    <t>G9P5473CKJ4PR5QAP</t>
  </si>
  <si>
    <t>GVH523416E7PR5PA4</t>
  </si>
  <si>
    <t>G715310769</t>
  </si>
  <si>
    <t>F8Y6185C2A618FKB5</t>
  </si>
  <si>
    <t>F8Y41950AWV18FLBL</t>
  </si>
  <si>
    <t>G713305485</t>
  </si>
  <si>
    <t>J9KHS1007L90000XXL</t>
  </si>
  <si>
    <t>DR8HJ1000EG000172W</t>
  </si>
  <si>
    <t>G713246283</t>
  </si>
  <si>
    <t>G9PHRKD0LSN0000L4B</t>
  </si>
  <si>
    <t>G9PHHSD1CAE0000L4B</t>
  </si>
  <si>
    <t>G712350971</t>
  </si>
  <si>
    <t>JRQ323473Y</t>
  </si>
  <si>
    <t>MD36GMWKY3</t>
  </si>
  <si>
    <t>G712320661</t>
  </si>
  <si>
    <t>F8Y6156C15S18FKB9</t>
  </si>
  <si>
    <t>FG922551MLA18FMA5</t>
  </si>
  <si>
    <t>G693922958</t>
  </si>
  <si>
    <t>KG9W262NPN</t>
  </si>
  <si>
    <t>HHFWXDYR2X</t>
  </si>
  <si>
    <t>G712240365</t>
  </si>
  <si>
    <t>G9NHQU21CX400004Y7</t>
  </si>
  <si>
    <t>J5VHLF00EE600004Y8</t>
  </si>
  <si>
    <t>G692574340</t>
  </si>
  <si>
    <t>F8Y6126C0SE20J9B8</t>
  </si>
  <si>
    <t>F5D30274J8A20J89E</t>
  </si>
  <si>
    <t>G710432155</t>
  </si>
  <si>
    <t>F8Y5515C7LN18FKB8</t>
  </si>
  <si>
    <t>F8Y22711L0A18FLAY</t>
  </si>
  <si>
    <t>G709757299</t>
  </si>
  <si>
    <t>ZP661-50523</t>
  </si>
  <si>
    <t>Apple Watch Series 11, GPS, ROW, 42mm, Aluminum, Silver, CI/AR, CN</t>
  </si>
  <si>
    <t>FHXCNVD769</t>
  </si>
  <si>
    <t>KWMW3XHWVJ</t>
  </si>
  <si>
    <t>G691406288</t>
  </si>
  <si>
    <t>L4NW72VGTW</t>
  </si>
  <si>
    <t>JPWM3W322L</t>
  </si>
  <si>
    <t>G707303093</t>
  </si>
  <si>
    <t>JH1G239GGF</t>
  </si>
  <si>
    <t>G93NTH4X5J</t>
  </si>
  <si>
    <t>G707050531</t>
  </si>
  <si>
    <t>F5QNP00X60</t>
  </si>
  <si>
    <t>FPYK54TJY2</t>
  </si>
  <si>
    <t>G706279229</t>
  </si>
  <si>
    <t>G9QHM8T0APD00004Y9</t>
  </si>
  <si>
    <t>G9QHAZK4YYE00004Y9</t>
  </si>
  <si>
    <t>G706155573</t>
  </si>
  <si>
    <t>G9Q5163FLRVPR5QA6</t>
  </si>
  <si>
    <t>G9Q5125CN8BPR5QAQ</t>
  </si>
  <si>
    <t>G706104375</t>
  </si>
  <si>
    <t>FVCV4PXDCR</t>
  </si>
  <si>
    <t>G2Q3VH60G6</t>
  </si>
  <si>
    <t>G688159596</t>
  </si>
  <si>
    <t>D865505N18PPJYRBK</t>
  </si>
  <si>
    <t>F5D35160W1RPJYVB5</t>
  </si>
  <si>
    <t>G704883833</t>
  </si>
  <si>
    <t>D93THQ3XC0</t>
  </si>
  <si>
    <t>LY6764G72P</t>
  </si>
  <si>
    <t>FM7HPG00T2T00014QY</t>
  </si>
  <si>
    <t>G704881851</t>
  </si>
  <si>
    <t>G9QHQ2R11SL00004Y7</t>
  </si>
  <si>
    <t>G9QHKFY0HE900004Y7</t>
  </si>
  <si>
    <t>G704850813</t>
  </si>
  <si>
    <t>CQ233DD41V</t>
  </si>
  <si>
    <t>DRY71P9HV6</t>
  </si>
  <si>
    <t>G704107151</t>
  </si>
  <si>
    <t>D1Q241FJXK</t>
  </si>
  <si>
    <t>KV20HW72N2</t>
  </si>
  <si>
    <t>G703117439</t>
  </si>
  <si>
    <t>F8Y5516C95E13RHCY</t>
  </si>
  <si>
    <t>F5D216323MU13RKA5</t>
  </si>
  <si>
    <t>G702630595</t>
  </si>
  <si>
    <t>F4DMC7X96W</t>
  </si>
  <si>
    <t>GYGH4K0D6V</t>
  </si>
  <si>
    <t>G702611341</t>
  </si>
  <si>
    <t>FV931870U431WP1D3</t>
  </si>
  <si>
    <t>HXK4407091M1N08F9</t>
  </si>
  <si>
    <t>G702558837</t>
  </si>
  <si>
    <t>K0DTHW3HP4</t>
  </si>
  <si>
    <t>WGF00N9VHT</t>
  </si>
  <si>
    <t>G702382111</t>
  </si>
  <si>
    <t>QC77NDHFRV</t>
  </si>
  <si>
    <t>DXXPJL9M64</t>
  </si>
  <si>
    <t>G701324251</t>
  </si>
  <si>
    <t>C02HB70013L0000F6Y</t>
  </si>
  <si>
    <t>C02HDS0034S0000FAQ</t>
  </si>
  <si>
    <t>G701211951</t>
  </si>
  <si>
    <t>GMG527600UY1J87A3</t>
  </si>
  <si>
    <t>F0Y511600JA1J87AL</t>
  </si>
  <si>
    <t>G699216227</t>
  </si>
  <si>
    <t>F8Y5472C0K213RHCY</t>
  </si>
  <si>
    <t>F5D2067279613RK9R</t>
  </si>
  <si>
    <t>G698823955</t>
  </si>
  <si>
    <t>C72JQ6NVQH</t>
  </si>
  <si>
    <t>K6YF7DVPXM</t>
  </si>
  <si>
    <t>G698421497</t>
  </si>
  <si>
    <t>GVCHJ802AGA0000MUZ</t>
  </si>
  <si>
    <t>GH3HLZ01GP10000MUZ</t>
  </si>
  <si>
    <t>G712898373</t>
  </si>
  <si>
    <t>K9KHRV90J7</t>
  </si>
  <si>
    <t>JW2M27R5V4</t>
  </si>
  <si>
    <t>G712777129</t>
  </si>
  <si>
    <t>F8Y6157C48N18FKB0</t>
  </si>
  <si>
    <t>FG922341D9W18FMAZ</t>
  </si>
  <si>
    <t>G711722083</t>
  </si>
  <si>
    <t>G9PHH1S0F6T00005DR</t>
  </si>
  <si>
    <t>GH3H9501NS100005DS</t>
  </si>
  <si>
    <t>G711235053</t>
  </si>
  <si>
    <t>G9NHFEQ0BEC00005DR</t>
  </si>
  <si>
    <t>GVCH8C01A3Y00005DS</t>
  </si>
  <si>
    <t>G711124243</t>
  </si>
  <si>
    <t>HVHMV32V66</t>
  </si>
  <si>
    <t>DRYWP4FVTK</t>
  </si>
  <si>
    <t>G709772065</t>
  </si>
  <si>
    <t>F367Q24FDH</t>
  </si>
  <si>
    <t>H2Y5JLVX0R</t>
  </si>
  <si>
    <t>G708613569</t>
  </si>
  <si>
    <t>C77MJXN9PG</t>
  </si>
  <si>
    <t>H7TY7DYV4K</t>
  </si>
  <si>
    <t>G708507089</t>
  </si>
  <si>
    <t>J9KHNC008AA0000FD3</t>
  </si>
  <si>
    <t>FNJHA1K1P1P0000882</t>
  </si>
  <si>
    <t>G706496447</t>
  </si>
  <si>
    <t>FMXHMG000GC00006J3</t>
  </si>
  <si>
    <t>FP1HDK0036B0000FQX</t>
  </si>
  <si>
    <t>G705580419</t>
  </si>
  <si>
    <t>HWYQHGYFPQ</t>
  </si>
  <si>
    <t>LX623GV44M</t>
  </si>
  <si>
    <t>G704273691</t>
  </si>
  <si>
    <t>MT63544TXR</t>
  </si>
  <si>
    <t>K7K04Q5Y0P</t>
  </si>
  <si>
    <t>G704016147</t>
  </si>
  <si>
    <t>MY527NYF63</t>
  </si>
  <si>
    <t>CCWT45JQ9D</t>
  </si>
  <si>
    <t>G703831175</t>
  </si>
  <si>
    <t>DT60FC2LX7</t>
  </si>
  <si>
    <t>J7TWV6F20R</t>
  </si>
  <si>
    <t>G701188767</t>
  </si>
  <si>
    <t>HWM7RQKR93</t>
  </si>
  <si>
    <t>J9K2QKG6HM</t>
  </si>
  <si>
    <t>G700180253</t>
  </si>
  <si>
    <t>G4957R12FH</t>
  </si>
  <si>
    <t>GHQ634LL73</t>
  </si>
  <si>
    <t>G699897007</t>
  </si>
  <si>
    <t>KQDWN12LPM</t>
  </si>
  <si>
    <t>F5W0NMQY6G</t>
  </si>
  <si>
    <t>G699842221</t>
  </si>
  <si>
    <t>F8Y5417C00FQ4C2B8</t>
  </si>
  <si>
    <t>F5D10731V9MQ4C09H</t>
  </si>
  <si>
    <t>G698556545</t>
  </si>
  <si>
    <t>G9Q5153FM5RPR5QA4</t>
  </si>
  <si>
    <t>GVH44860D97PR5PAZ</t>
  </si>
  <si>
    <t>G698323083</t>
  </si>
  <si>
    <t>DC26FYR02D</t>
  </si>
  <si>
    <t>M2FVNPMXKR</t>
  </si>
  <si>
    <t>G711661133</t>
  </si>
  <si>
    <t>DMW9P97P4Y</t>
  </si>
  <si>
    <t>CFJ49WQFG4</t>
  </si>
  <si>
    <t>G709536089</t>
  </si>
  <si>
    <t>G9PHK1S1VC700005DR</t>
  </si>
  <si>
    <t>G9NH9UW2FFL00005DR</t>
  </si>
  <si>
    <t>G708039011</t>
  </si>
  <si>
    <t>D865507N0NAPJYRBP</t>
  </si>
  <si>
    <t>D862383A7EPPJYRAP</t>
  </si>
  <si>
    <t>G690015148</t>
  </si>
  <si>
    <t>F8Y6054C9K318FKBK</t>
  </si>
  <si>
    <t>F8Y3416085N1YP05F</t>
  </si>
  <si>
    <t>G706040849</t>
  </si>
  <si>
    <t>GVH51631NRTPR5PAW</t>
  </si>
  <si>
    <t>G9Q5181CGMTPR5QAV</t>
  </si>
  <si>
    <t>G705316337</t>
  </si>
  <si>
    <t>FMXHQ300AFR00006J3</t>
  </si>
  <si>
    <t>FP1HAQ006HC0000FQX</t>
  </si>
  <si>
    <t>G703388115</t>
  </si>
  <si>
    <t>F2LJDVWJ3X</t>
  </si>
  <si>
    <t>M2VP42VHJN</t>
  </si>
  <si>
    <t>G702548743</t>
  </si>
  <si>
    <t>GCF45050R2ZQ59TBP</t>
  </si>
  <si>
    <t>GCF51351J16Q59TBF</t>
  </si>
  <si>
    <t>G685532126</t>
  </si>
  <si>
    <t>DR9HPX000QS00014XS</t>
  </si>
  <si>
    <t>G684527616</t>
  </si>
  <si>
    <t>FG9HMB000XT00006TT</t>
  </si>
  <si>
    <t>F5DGZH010BM00006TU</t>
  </si>
  <si>
    <t>G700955595</t>
  </si>
  <si>
    <t>F8Y5451C2YG13XCB8</t>
  </si>
  <si>
    <t>F5D1504GL9V13XD9N</t>
  </si>
  <si>
    <t>G700120763</t>
  </si>
  <si>
    <t>G9QHPFN3MUP0000L4B</t>
  </si>
  <si>
    <t>G9QHLFM3CPZ0000L4B</t>
  </si>
  <si>
    <t>G683510276</t>
  </si>
  <si>
    <t>G063PXVWWQ</t>
  </si>
  <si>
    <t>KYV0RMFW1M</t>
  </si>
  <si>
    <t>G698955553</t>
  </si>
  <si>
    <t>F8Y5445C7CV18FKBH</t>
  </si>
  <si>
    <t>F8Y20940C3Y18FLA5</t>
  </si>
  <si>
    <t>G682418768</t>
  </si>
  <si>
    <t>G2QXRL4HPH</t>
  </si>
  <si>
    <t>G9MY5Q9WMK</t>
  </si>
  <si>
    <t>G698458663</t>
  </si>
  <si>
    <t>G9Q5433V0JQ1502A3</t>
  </si>
  <si>
    <t>G9P4337C2H61502A6</t>
  </si>
  <si>
    <t>G714181487</t>
  </si>
  <si>
    <t>F8Y6155C1HC13RHCW</t>
  </si>
  <si>
    <t>F5D23025Q6013RKAX</t>
  </si>
  <si>
    <t>G714161149</t>
  </si>
  <si>
    <t>F8Y6172C29Y18FKBN</t>
  </si>
  <si>
    <t>F8Y222711XE18FLAX</t>
  </si>
  <si>
    <t>G713411593</t>
  </si>
  <si>
    <t>F8Y6153C0GA20J9B2</t>
  </si>
  <si>
    <t>F5D315102AH20J8AN</t>
  </si>
  <si>
    <t>G713250109</t>
  </si>
  <si>
    <t>F8Y6163C0VJ18FKBE</t>
  </si>
  <si>
    <t>FG940350D3Y18FMBA</t>
  </si>
  <si>
    <t>G713083579</t>
  </si>
  <si>
    <t>LL62THRVGG</t>
  </si>
  <si>
    <t>FHYYJPKX37</t>
  </si>
  <si>
    <t>G712810027</t>
  </si>
  <si>
    <t>L9PW45CY4W</t>
  </si>
  <si>
    <t>HXT9799173</t>
  </si>
  <si>
    <t>G711886091</t>
  </si>
  <si>
    <t>JQ967YC77T</t>
  </si>
  <si>
    <t>KG2XT97VP7</t>
  </si>
  <si>
    <t>G711731491</t>
  </si>
  <si>
    <t>F8Y5256CAX413XCBC</t>
  </si>
  <si>
    <t>F5D13453EDT13X99G</t>
  </si>
  <si>
    <t>G690482228</t>
  </si>
  <si>
    <t>G9P4437MKKZPQCLAT</t>
  </si>
  <si>
    <t>G9Q2276Y0DTPQCLAZ</t>
  </si>
  <si>
    <t>G708301053</t>
  </si>
  <si>
    <t>H9L9NHR703</t>
  </si>
  <si>
    <t>DJFP907F24</t>
  </si>
  <si>
    <t>G706108067</t>
  </si>
  <si>
    <t>FMXHQ300A8N00006J3</t>
  </si>
  <si>
    <t>FP1HBV0022V0000FQX</t>
  </si>
  <si>
    <t>G705191855</t>
  </si>
  <si>
    <t>DNL52220H6J1986BL</t>
  </si>
  <si>
    <t>DNL334517511986B9</t>
  </si>
  <si>
    <t>G702683309</t>
  </si>
  <si>
    <t>DH4FTVKW7X</t>
  </si>
  <si>
    <t>G701172081</t>
  </si>
  <si>
    <t>M2F6YRWCCX</t>
  </si>
  <si>
    <t>L16MK0JM2T</t>
  </si>
  <si>
    <t>G700093123</t>
  </si>
  <si>
    <t>MCY7RW6VHG</t>
  </si>
  <si>
    <t>NHFQM9QQJV</t>
  </si>
  <si>
    <t>G698307403</t>
  </si>
  <si>
    <t>F8Y5445CJ8C18FKB1</t>
  </si>
  <si>
    <t>FG9224619L018FMAV</t>
  </si>
  <si>
    <t>G698286101</t>
  </si>
  <si>
    <t>HHGWX9G799</t>
  </si>
  <si>
    <t>KP6LQGVKWX</t>
  </si>
  <si>
    <t>G715410939</t>
  </si>
  <si>
    <t>MQ40XNH2VF</t>
  </si>
  <si>
    <t>F4XR03H94R</t>
  </si>
  <si>
    <t>G713724345</t>
  </si>
  <si>
    <t>G9Q4486A1AVPRRDAT</t>
  </si>
  <si>
    <t>GVC13432A6GQ2PHAY</t>
  </si>
  <si>
    <t>G711548297</t>
  </si>
  <si>
    <t>F8Y6136C49E18FKBC</t>
  </si>
  <si>
    <t>FG941151GJW18FMB0</t>
  </si>
  <si>
    <t>G707529801</t>
  </si>
  <si>
    <t>F8Y6056CNPX18FKBY</t>
  </si>
  <si>
    <t>FG9419508XS18FMBL</t>
  </si>
  <si>
    <t>G706314969</t>
  </si>
  <si>
    <t>FPW0MRWCNQ</t>
  </si>
  <si>
    <t>JQ3J9J6WW6</t>
  </si>
  <si>
    <t>G704773053</t>
  </si>
  <si>
    <t>F8Y5506CF7418FKBR</t>
  </si>
  <si>
    <t>F8Y419708Z818FLBY</t>
  </si>
  <si>
    <t>G704008695</t>
  </si>
  <si>
    <t>F8Y5506CGU818FKBR</t>
  </si>
  <si>
    <t>F8Y150327B418FLA0</t>
  </si>
  <si>
    <t>G703837223</t>
  </si>
  <si>
    <t>G9QHQ1Y0Y9U00004Y7</t>
  </si>
  <si>
    <t>G9NHGMM26X400004Y7</t>
  </si>
  <si>
    <t>G704638035</t>
  </si>
  <si>
    <t>TA661-43502</t>
  </si>
  <si>
    <t>128GB, Teal, ROW, iPhone 16, CI/AR</t>
  </si>
  <si>
    <t>M69LP7ND46</t>
  </si>
  <si>
    <t>JNQQ363G27</t>
  </si>
  <si>
    <t>G703119049</t>
  </si>
  <si>
    <t>M61QXG45Y9</t>
  </si>
  <si>
    <t>C6K62QTP2K</t>
  </si>
  <si>
    <t>G702386869</t>
  </si>
  <si>
    <t>G9P5352MJD8PQCLA0</t>
  </si>
  <si>
    <t>G9P1432N1N0PQCLAC</t>
  </si>
  <si>
    <t>G702355855</t>
  </si>
  <si>
    <t>G9Q5153PKBKPR5QA4</t>
  </si>
  <si>
    <t>G700200389</t>
  </si>
  <si>
    <t>F8Y5506CMX218FKBH</t>
  </si>
  <si>
    <t>F8Y32710HC218FLA7</t>
  </si>
  <si>
    <t>G699349437</t>
  </si>
  <si>
    <t>G0NHGK00DAV0000HKZ</t>
  </si>
  <si>
    <t>FNJHB6B105H0000BXF</t>
  </si>
  <si>
    <t>G715785539</t>
  </si>
  <si>
    <t>FK1HT2004Q300001A2</t>
  </si>
  <si>
    <t>DTTHMB02CZK000004D</t>
  </si>
  <si>
    <t>G714455087</t>
  </si>
  <si>
    <t>F8Y6173C0W418FKBN</t>
  </si>
  <si>
    <t>F8Y228111Z318FLAQ</t>
  </si>
  <si>
    <t>G712924481</t>
  </si>
  <si>
    <t>G9QHQUD006600004Y7</t>
  </si>
  <si>
    <t>GVHHH300LWX00004Y8</t>
  </si>
  <si>
    <t>G712690489</t>
  </si>
  <si>
    <t>DCP6WY90RD</t>
  </si>
  <si>
    <t>KLWHHWY3C7</t>
  </si>
  <si>
    <t>G692815884</t>
  </si>
  <si>
    <t>GMGHLD001N50000GVL</t>
  </si>
  <si>
    <t>GMGHF0001GZ0000GVK</t>
  </si>
  <si>
    <t>C02HMG001J60000P0S</t>
  </si>
  <si>
    <t>J33HFG0010T0000P0R</t>
  </si>
  <si>
    <t>G710985655</t>
  </si>
  <si>
    <t>GMG5396013F1J87AK</t>
  </si>
  <si>
    <t>FP15266005Y25YVA1</t>
  </si>
  <si>
    <t>G710887333</t>
  </si>
  <si>
    <t>G9PHLUT07FW00005DP</t>
  </si>
  <si>
    <t>GVCHGT00T7N00005DQ</t>
  </si>
  <si>
    <t>G710168135</t>
  </si>
  <si>
    <t>G9PHLTT1L5F00005DP</t>
  </si>
  <si>
    <t>GVCHA902THY00005DQ</t>
  </si>
  <si>
    <t>G709995563</t>
  </si>
  <si>
    <t>DDWR393XXF</t>
  </si>
  <si>
    <t>GVCFDFJ0XK</t>
  </si>
  <si>
    <t>G708958169</t>
  </si>
  <si>
    <t>KM9K12MRWQ</t>
  </si>
  <si>
    <t>MMQTCXCWPJ</t>
  </si>
  <si>
    <t>G706479383</t>
  </si>
  <si>
    <t>F0Y552401YB2525A1</t>
  </si>
  <si>
    <t>DCN404203YX2526AS</t>
  </si>
  <si>
    <t>G706448013</t>
  </si>
  <si>
    <t>K14GFC40CF</t>
  </si>
  <si>
    <t>HXY0M6WW5J</t>
  </si>
  <si>
    <t>G705850911</t>
  </si>
  <si>
    <t>F8Y6054CNG818FKBA</t>
  </si>
  <si>
    <t>FG9335205YQ18FMA7</t>
  </si>
  <si>
    <t>G705195009</t>
  </si>
  <si>
    <t>CM44XD07YH</t>
  </si>
  <si>
    <t>CM241H7Y2G</t>
  </si>
  <si>
    <t>G704479079</t>
  </si>
  <si>
    <t>HGHPT1R7P0GV</t>
  </si>
  <si>
    <t>HGRQ5D3LP0GV</t>
  </si>
  <si>
    <t>G703843625</t>
  </si>
  <si>
    <t>F3H7C2T6JN</t>
  </si>
  <si>
    <t>H7R64JR73V</t>
  </si>
  <si>
    <t>G703585567</t>
  </si>
  <si>
    <t>FQ1VVGVYJ0</t>
  </si>
  <si>
    <t>MC2C6KH2G4</t>
  </si>
  <si>
    <t>G702476205</t>
  </si>
  <si>
    <t>G9PHFBK3C2000005DR</t>
  </si>
  <si>
    <t>GH3HBC02HSX00005DS</t>
  </si>
  <si>
    <t>G702390305</t>
  </si>
  <si>
    <t>ZP661-50312</t>
  </si>
  <si>
    <t>iPad Air 13-inch (M3) Wi-Fi, 128GB, Starlight, CI/AR, CN</t>
  </si>
  <si>
    <t>LPXCK96D6Q</t>
  </si>
  <si>
    <t>DQDFPQV75F</t>
  </si>
  <si>
    <t>G702387633</t>
  </si>
  <si>
    <t>GH3HPW0069P0000MUZ</t>
  </si>
  <si>
    <t>GH3HKS00SVE0000MUZ</t>
  </si>
  <si>
    <t>G685263562</t>
  </si>
  <si>
    <t>F8Y5507CJKT18FKBW</t>
  </si>
  <si>
    <t>F8Y33720HAQ18FLAP</t>
  </si>
  <si>
    <t>G685253706</t>
  </si>
  <si>
    <t>J33HNP000FL0000PC8</t>
  </si>
  <si>
    <t>FV9HK2001PK0000PC8</t>
  </si>
  <si>
    <t>G685224670</t>
  </si>
  <si>
    <t>TY42F23LFM</t>
  </si>
  <si>
    <t>G4L36H1H2N</t>
  </si>
  <si>
    <t>G700869277</t>
  </si>
  <si>
    <t>GCFHN10BA8200005LU</t>
  </si>
  <si>
    <t>DNMHCD00JA400005LS</t>
  </si>
  <si>
    <t>G700693865</t>
  </si>
  <si>
    <t>L414R9W1VX</t>
  </si>
  <si>
    <t>R7QCJQX27X</t>
  </si>
  <si>
    <t>G699882899</t>
  </si>
  <si>
    <t>DXVD9XQ49Y</t>
  </si>
  <si>
    <t>C3Y2LH6T7F</t>
  </si>
  <si>
    <t>G699881075</t>
  </si>
  <si>
    <t>F8Y5445C7NC18FKB4</t>
  </si>
  <si>
    <t>F8Y13871X1918FKAD</t>
  </si>
  <si>
    <t>G699489761</t>
  </si>
  <si>
    <t>FYY00HM67K</t>
  </si>
  <si>
    <t>MYPJC46J2Y</t>
  </si>
  <si>
    <t>G711634095</t>
  </si>
  <si>
    <t>F5D60950AAF1KLFBU</t>
  </si>
  <si>
    <t>F5D2123508X1KLF8N</t>
  </si>
  <si>
    <t>G711514801</t>
  </si>
  <si>
    <t>LLK9QWQYTX</t>
  </si>
  <si>
    <t>HC3H4P4545</t>
  </si>
  <si>
    <t>G711444455</t>
  </si>
  <si>
    <t>FF7GK1007N</t>
  </si>
  <si>
    <t>LWTWJVXH6N</t>
  </si>
  <si>
    <t>G711307289</t>
  </si>
  <si>
    <t>C02HEB000QB0000P9K</t>
  </si>
  <si>
    <t>C02HJV000SJ0000WZJ</t>
  </si>
  <si>
    <t>G709992855</t>
  </si>
  <si>
    <t>F0Y541401X01J88AN</t>
  </si>
  <si>
    <t>FP1542101B625YTAR</t>
  </si>
  <si>
    <t>G709888277</t>
  </si>
  <si>
    <t>DWMCFVH3WH</t>
  </si>
  <si>
    <t>G709520555</t>
  </si>
  <si>
    <t>FYX3DJ77KL</t>
  </si>
  <si>
    <t>MJF93974LQ</t>
  </si>
  <si>
    <t>G709417999</t>
  </si>
  <si>
    <t>FM7HNL00ARX00014QY</t>
  </si>
  <si>
    <t>G709206099</t>
  </si>
  <si>
    <t>JXJ6GVM2WX</t>
  </si>
  <si>
    <t>C5FCM9124G</t>
  </si>
  <si>
    <t>G708618071</t>
  </si>
  <si>
    <t>CQQXRK6DJM</t>
  </si>
  <si>
    <t>MVTJ432H6D</t>
  </si>
  <si>
    <t>G688674778</t>
  </si>
  <si>
    <t>G9PHJYG26EH00005DP</t>
  </si>
  <si>
    <t>GVCHCA00SRJ00005DQ</t>
  </si>
  <si>
    <t>G703895087</t>
  </si>
  <si>
    <t>CNQXMX9Q55</t>
  </si>
  <si>
    <t>GJQ2JNW9J3</t>
  </si>
  <si>
    <t>G702363533</t>
  </si>
  <si>
    <t>923-13631</t>
  </si>
  <si>
    <t>Top Speaker, iPhone 17 Pro</t>
  </si>
  <si>
    <t>DXYHN7632UZ0000UUW</t>
  </si>
  <si>
    <t>CTHHN064MAF0000UUU</t>
  </si>
  <si>
    <t>923-13628</t>
  </si>
  <si>
    <t>Speaker, pSIM, iPhone 17 Pro</t>
  </si>
  <si>
    <t>J9KHQ101LPU0000XXY</t>
  </si>
  <si>
    <t>DTVHK363FFF0000UUS</t>
  </si>
  <si>
    <t>G702111857</t>
  </si>
  <si>
    <t>F8Y5507CE1A18FKB3</t>
  </si>
  <si>
    <t>FG923961UZH18FMA6</t>
  </si>
  <si>
    <t>G701306667</t>
  </si>
  <si>
    <t>G9Q5152PB5NPR5QAU</t>
  </si>
  <si>
    <t>GVH524119FFPR5PAQ</t>
  </si>
  <si>
    <t>G700208131</t>
  </si>
  <si>
    <t>CHX9WQ2QGQ</t>
  </si>
  <si>
    <t>LT17N2JTG7</t>
  </si>
  <si>
    <t>G699339961</t>
  </si>
  <si>
    <t>GVH51651UP8PR5PAD</t>
  </si>
  <si>
    <t>GVH50270Y6GPR5PAY</t>
  </si>
  <si>
    <t>G714648817</t>
  </si>
  <si>
    <t>F8Y6172C29X18FKBP</t>
  </si>
  <si>
    <t>FG941950BW818FMB4</t>
  </si>
  <si>
    <t>G695584584</t>
  </si>
  <si>
    <t>G9NHQV2188V00004Y7</t>
  </si>
  <si>
    <t>G9QHGGN0ZP300004Y7</t>
  </si>
  <si>
    <t>G712348353</t>
  </si>
  <si>
    <t>G9NHQP20NHQ00004Y7</t>
  </si>
  <si>
    <t>G9PHE4Z0R5M00004Y7</t>
  </si>
  <si>
    <t>G710451043</t>
  </si>
  <si>
    <t>J6GR4H5WYV</t>
  </si>
  <si>
    <t>MP6G7MYK7N</t>
  </si>
  <si>
    <t>G709598903</t>
  </si>
  <si>
    <t>HXHG0W6HFH</t>
  </si>
  <si>
    <t>C4XM6V1Y4F</t>
  </si>
  <si>
    <t>G709183513</t>
  </si>
  <si>
    <t>D02RGQTFK9</t>
  </si>
  <si>
    <t>JQ41629KN1</t>
  </si>
  <si>
    <t>G708945013</t>
  </si>
  <si>
    <t>F8Y6066C26W13XCBX</t>
  </si>
  <si>
    <t>F5D202263PW13X99U</t>
  </si>
  <si>
    <t>G707631695</t>
  </si>
  <si>
    <t>MVYQKGLC32</t>
  </si>
  <si>
    <t>XH9319HN6K</t>
  </si>
  <si>
    <t>G707503723</t>
  </si>
  <si>
    <t>C9VX3G5JHX</t>
  </si>
  <si>
    <t>H7XL691751</t>
  </si>
  <si>
    <t>G688633896</t>
  </si>
  <si>
    <t>FN0G92Y20Q</t>
  </si>
  <si>
    <t>JGCTXTGW4X</t>
  </si>
  <si>
    <t>G704965353</t>
  </si>
  <si>
    <t>DNL52220NAC1986B9</t>
  </si>
  <si>
    <t>DNL40250AAS1986B9</t>
  </si>
  <si>
    <t>G704471365</t>
  </si>
  <si>
    <t>CT99KH4VJ0</t>
  </si>
  <si>
    <t>LD0C6LJ4J0</t>
  </si>
  <si>
    <t>G703880209</t>
  </si>
  <si>
    <t>KFLF70MQ16</t>
  </si>
  <si>
    <t>P097LWX9M3</t>
  </si>
  <si>
    <t>G702778373</t>
  </si>
  <si>
    <t>JX44052240</t>
  </si>
  <si>
    <t>HQ2GQV9PNH</t>
  </si>
  <si>
    <t>G702146121</t>
  </si>
  <si>
    <t>JXYJ4WF6G0</t>
  </si>
  <si>
    <t>G701074945</t>
  </si>
  <si>
    <t>F1QXYP7MR7</t>
  </si>
  <si>
    <t>DG9QHNF2R2</t>
  </si>
  <si>
    <t>G700871729</t>
  </si>
  <si>
    <t>G9Q5181CLP8PR5QA4</t>
  </si>
  <si>
    <t>GVH51121HVTPR5PA5</t>
  </si>
  <si>
    <t>G699662371</t>
  </si>
  <si>
    <t>G9NHNPR6FE50000L4B</t>
  </si>
  <si>
    <t>G9NHM5S5F0S0000L4B</t>
  </si>
  <si>
    <t>G698874117</t>
  </si>
  <si>
    <t>MNQF7TP9K4</t>
  </si>
  <si>
    <t>G07X4J2L99</t>
  </si>
  <si>
    <t>G698305639</t>
  </si>
  <si>
    <t>G9Q5391UA1V21KHAQ</t>
  </si>
  <si>
    <t>G9Q5202U77321KHAU</t>
  </si>
  <si>
    <t>G698269597</t>
  </si>
  <si>
    <t>GKJ6K5JM22</t>
  </si>
  <si>
    <t>K7WK2MRX0Q</t>
  </si>
  <si>
    <t>G714535893</t>
  </si>
  <si>
    <t>FG9HSD002HS00006TT</t>
  </si>
  <si>
    <t>FG9GYM01FB800006TV</t>
  </si>
  <si>
    <t>G712755121</t>
  </si>
  <si>
    <t>G9PHMHT07L600005DP</t>
  </si>
  <si>
    <t>GVCHDZ02AU800005DQ</t>
  </si>
  <si>
    <t>G712348747</t>
  </si>
  <si>
    <t>ZP661-39280</t>
  </si>
  <si>
    <t>Space Black, iPad Pro 13-inch (M4), 256GB, Cellular, ITP</t>
  </si>
  <si>
    <t>L0YJKX7XCJ</t>
  </si>
  <si>
    <t>JTXYP9NKQP</t>
  </si>
  <si>
    <t>G712256973</t>
  </si>
  <si>
    <t>G0NHJG00XA00000HKZ</t>
  </si>
  <si>
    <t>FNJHDCV15440000BXF</t>
  </si>
  <si>
    <t>G710651419</t>
  </si>
  <si>
    <t>F8Y6056CAMB18FKB2</t>
  </si>
  <si>
    <t>F8Y34730PCT18FKA7</t>
  </si>
  <si>
    <t>G709657959</t>
  </si>
  <si>
    <t>GFJ7MNP2LX</t>
  </si>
  <si>
    <t>F6FR93492L</t>
  </si>
  <si>
    <t>G708287099</t>
  </si>
  <si>
    <t>G9Q5162F75KPR5QAN</t>
  </si>
  <si>
    <t>G709148419</t>
  </si>
  <si>
    <t>HXC360257N</t>
  </si>
  <si>
    <t>H46V21QQRC</t>
  </si>
  <si>
    <t>G708268061</t>
  </si>
  <si>
    <t>F8Y6042C23F217WBG</t>
  </si>
  <si>
    <t>F8Y23642LU9217W76</t>
  </si>
  <si>
    <t>G707690521</t>
  </si>
  <si>
    <t>G9NHFEQ1TMP00005DR</t>
  </si>
  <si>
    <t>GVCH8H00GB400005DS</t>
  </si>
  <si>
    <t>G707637091</t>
  </si>
  <si>
    <t>GVCHNK03QVW0000MUZ</t>
  </si>
  <si>
    <t>G9PHL7V5Z7V0000MUY</t>
  </si>
  <si>
    <t>G708619227</t>
  </si>
  <si>
    <t>JC9M6T2DF9</t>
  </si>
  <si>
    <t>FP1Q67H9T3</t>
  </si>
  <si>
    <t>G706734631</t>
  </si>
  <si>
    <t>F8Y5455C3QM13XCBN</t>
  </si>
  <si>
    <t>F5D1492EJJ713XD91</t>
  </si>
  <si>
    <t>G705614173</t>
  </si>
  <si>
    <t>DH9V37RVVC</t>
  </si>
  <si>
    <t>GDL44DCWGC</t>
  </si>
  <si>
    <t>G705116157</t>
  </si>
  <si>
    <t>DGJHJ6H0QY</t>
  </si>
  <si>
    <t>K40766GVJ9</t>
  </si>
  <si>
    <t>G704707183</t>
  </si>
  <si>
    <t>FMX535302CR278YAZ</t>
  </si>
  <si>
    <t>FMX23030G26PP65AC</t>
  </si>
  <si>
    <t>G704495595</t>
  </si>
  <si>
    <t>K06P34C3WP</t>
  </si>
  <si>
    <t>HH9TVXTDJJ</t>
  </si>
  <si>
    <t>G703105959</t>
  </si>
  <si>
    <t>F8Y5466C9YZ18FKBC</t>
  </si>
  <si>
    <t>FG922930C4Z18FMAY</t>
  </si>
  <si>
    <t>G703042825</t>
  </si>
  <si>
    <t>ZP661-42985</t>
  </si>
  <si>
    <t>Purple, 128GB, iPad mini, Cellular, CI/AR, ITP</t>
  </si>
  <si>
    <t>J6FMJXDK06</t>
  </si>
  <si>
    <t>MK00JWKPFJ</t>
  </si>
  <si>
    <t>G702018277</t>
  </si>
  <si>
    <t>HXKHAY0028V0000598</t>
  </si>
  <si>
    <t>C02HDJ0016C0000FAQ</t>
  </si>
  <si>
    <t>G701044595</t>
  </si>
  <si>
    <t>F8Y5474C8HV18FKBT</t>
  </si>
  <si>
    <t>FG921542QLY18FMAD</t>
  </si>
  <si>
    <t>G700070805</t>
  </si>
  <si>
    <t>F0Y5431018T1J87AU</t>
  </si>
  <si>
    <t>GMG529700VK1J88A5</t>
  </si>
  <si>
    <t>G699646779</t>
  </si>
  <si>
    <t>DWV3FV1XLG</t>
  </si>
  <si>
    <t>FRX40GJ4GL</t>
  </si>
  <si>
    <t>G699563839</t>
  </si>
  <si>
    <t>LY6RTFJCQV</t>
  </si>
  <si>
    <t>J71KVDJN17</t>
  </si>
  <si>
    <t>G699443331</t>
  </si>
  <si>
    <t>CQ7LMJYMHJ</t>
  </si>
  <si>
    <t>FQGC2H06LN</t>
  </si>
  <si>
    <t>G699325345</t>
  </si>
  <si>
    <t>F8Y5433C64XM6YNDV</t>
  </si>
  <si>
    <t>F8Y24010275M6YMBB</t>
  </si>
  <si>
    <t>G698419795</t>
  </si>
  <si>
    <t>F5D5246N0J3KGGJFP</t>
  </si>
  <si>
    <t>D860345A4W8L3L2EC</t>
  </si>
  <si>
    <t>G712909855</t>
  </si>
  <si>
    <t>F8Y6096C6ML13RHCT</t>
  </si>
  <si>
    <t>F8Y20830A8Q13RFBF</t>
  </si>
  <si>
    <t>G712526721</t>
  </si>
  <si>
    <t>F8Y6157C4NX18FKBH</t>
  </si>
  <si>
    <t>FG9415302SM18FMBS</t>
  </si>
  <si>
    <t>G711958957</t>
  </si>
  <si>
    <t>F8Y5516CKET13RHCG</t>
  </si>
  <si>
    <t>F5D13960QLJ13RK9V</t>
  </si>
  <si>
    <t>G711339005</t>
  </si>
  <si>
    <t>DKMWD72NLJ</t>
  </si>
  <si>
    <t>K059FV4CJ2</t>
  </si>
  <si>
    <t>G711209205</t>
  </si>
  <si>
    <t>G9QHQLM5GTL0000L4B</t>
  </si>
  <si>
    <t>G9NHMNW0LLU0000L4B</t>
  </si>
  <si>
    <t>G710471715</t>
  </si>
  <si>
    <t>L9N7P614QV</t>
  </si>
  <si>
    <t>XQHY0FVP6Q</t>
  </si>
  <si>
    <t>G710169075</t>
  </si>
  <si>
    <t>DRCHLU003JR0000U65</t>
  </si>
  <si>
    <t>J0MHEC004970000U65</t>
  </si>
  <si>
    <t>G709533571</t>
  </si>
  <si>
    <t>KM4C5KKQLM</t>
  </si>
  <si>
    <t>G4Y1JH1W2C</t>
  </si>
  <si>
    <t>G708287513</t>
  </si>
  <si>
    <t>LCQ4XY24G2</t>
  </si>
  <si>
    <t>MWPXCR26FQ</t>
  </si>
  <si>
    <t>G708247547</t>
  </si>
  <si>
    <t>H436JXVR77</t>
  </si>
  <si>
    <t>LRYW207XW2</t>
  </si>
  <si>
    <t>G707078829</t>
  </si>
  <si>
    <t>RRJ41D61DW</t>
  </si>
  <si>
    <t>J9HW4KM091</t>
  </si>
  <si>
    <t>G706691153</t>
  </si>
  <si>
    <t>LJ4NJ12CWR</t>
  </si>
  <si>
    <t>JJV9R6QQJ0</t>
  </si>
  <si>
    <t>G705555647</t>
  </si>
  <si>
    <t>F8Y6056C97N18FKB0</t>
  </si>
  <si>
    <t>F8Y32530SJ518FLAF</t>
  </si>
  <si>
    <t>G705235263</t>
  </si>
  <si>
    <t>F8Y5455C06Z13XCBZ</t>
  </si>
  <si>
    <t>F8Y34770CRQ13XC8G</t>
  </si>
  <si>
    <t>G704271151</t>
  </si>
  <si>
    <t>GH3HP800ZEJ0000MUZ</t>
  </si>
  <si>
    <t>G9PHL3V7EVJ0000MUY</t>
  </si>
  <si>
    <t>G703352959</t>
  </si>
  <si>
    <t>F8Y5384A3JF217XBV</t>
  </si>
  <si>
    <t>FG924460J4S22WL6E</t>
  </si>
  <si>
    <t>G702927901</t>
  </si>
  <si>
    <t>G9Q5182PPC6PR5QA2</t>
  </si>
  <si>
    <t>GVC35031UUWPR5RA1</t>
  </si>
  <si>
    <t>G701331509</t>
  </si>
  <si>
    <t>C7R3J256TG</t>
  </si>
  <si>
    <t>J2KN2R6DC0</t>
  </si>
  <si>
    <t>G700493361</t>
  </si>
  <si>
    <t>G9Q5345UPK821KHAP</t>
  </si>
  <si>
    <t>G9Q5223U74821KHAR</t>
  </si>
  <si>
    <t>G700488669</t>
  </si>
  <si>
    <t>CHQ4XNVV3Y</t>
  </si>
  <si>
    <t>D76CF910JG</t>
  </si>
  <si>
    <t>G699269833</t>
  </si>
  <si>
    <t>F0Y543100ZM1J87AU</t>
  </si>
  <si>
    <t>FP15047027E25YTAL</t>
  </si>
  <si>
    <t>G682550468</t>
  </si>
  <si>
    <t>HV76CFLQHC</t>
  </si>
  <si>
    <t>FW9G331WVK</t>
  </si>
  <si>
    <t>G698393637</t>
  </si>
  <si>
    <t>H0QNCGP7J9</t>
  </si>
  <si>
    <t>K94CR41XMV</t>
  </si>
  <si>
    <t>G713839193</t>
  </si>
  <si>
    <t>G9PHLTT1H3C00005DP</t>
  </si>
  <si>
    <t>GVCHDX00MKK00005DQ</t>
  </si>
  <si>
    <t>G713407243</t>
  </si>
  <si>
    <t>F8Y6167C3JZ18FKBR</t>
  </si>
  <si>
    <t>F8Y32150DD918FLAF</t>
  </si>
  <si>
    <t>G711748869</t>
  </si>
  <si>
    <t>GMG61470132NR8DB0</t>
  </si>
  <si>
    <t>GMG20720BYTNR8DAS</t>
  </si>
  <si>
    <t>G692598006</t>
  </si>
  <si>
    <t>F8Y6114C12S18FKBY</t>
  </si>
  <si>
    <t>FG9252202JN18FMAW</t>
  </si>
  <si>
    <t>G710573071</t>
  </si>
  <si>
    <t>F2J4TVQJQQ</t>
  </si>
  <si>
    <t>K7RJWT2L74</t>
  </si>
  <si>
    <t>G709955599</t>
  </si>
  <si>
    <t>HKGW0MH4XR</t>
  </si>
  <si>
    <t>LK3GHQ4N44</t>
  </si>
  <si>
    <t>G708154983</t>
  </si>
  <si>
    <t>G9Q5183E4LQ1502AS</t>
  </si>
  <si>
    <t>GVC44210F3M1503AE</t>
  </si>
  <si>
    <t>G708087973</t>
  </si>
  <si>
    <t>TA661-36469</t>
  </si>
  <si>
    <t>15 Plus, Blue, 128GB, Logic Board Assy Mid System, ROW</t>
  </si>
  <si>
    <t>KM79TWQMYK</t>
  </si>
  <si>
    <t>LTJCWYXL9M</t>
  </si>
  <si>
    <t>G707717597</t>
  </si>
  <si>
    <t>F8Y6054C9KA18FKBC</t>
  </si>
  <si>
    <t>FG940350EFP18FMBG</t>
  </si>
  <si>
    <t>G705933429</t>
  </si>
  <si>
    <t>FD9PQ6QC71</t>
  </si>
  <si>
    <t>D0CQ4M14DP</t>
  </si>
  <si>
    <t>G705824449</t>
  </si>
  <si>
    <t>F8Y5474C3P518FKB4</t>
  </si>
  <si>
    <t>FG9205507VA18FM4F</t>
  </si>
  <si>
    <t>G705338429</t>
  </si>
  <si>
    <t>FCYXDYFMJ4</t>
  </si>
  <si>
    <t>G7CD45PWF5</t>
  </si>
  <si>
    <t>G705252563</t>
  </si>
  <si>
    <t>C02HJY0001D0000MSX</t>
  </si>
  <si>
    <t>J97HJ000DFY0000MSX</t>
  </si>
  <si>
    <t>G703968911</t>
  </si>
  <si>
    <t>G9P5206L0HFPQCKAF</t>
  </si>
  <si>
    <t>G9N2215ZB6BPQCKAA</t>
  </si>
  <si>
    <t>F8Y5516CFYQ13RHC3</t>
  </si>
  <si>
    <t>F5D21966SQX13RKAE</t>
  </si>
  <si>
    <t>G703851373</t>
  </si>
  <si>
    <t>M2M5JQHVKP</t>
  </si>
  <si>
    <t>Y6W2YFPQDW</t>
  </si>
  <si>
    <t>G703328447</t>
  </si>
  <si>
    <t>G9NHF4P1C4700005DR</t>
  </si>
  <si>
    <t>GH3HEC02AC300005DS</t>
  </si>
  <si>
    <t>G702150409</t>
  </si>
  <si>
    <t>F5X2FVJ3DW</t>
  </si>
  <si>
    <t>G0493TH42Y</t>
  </si>
  <si>
    <t>G701701121</t>
  </si>
  <si>
    <t>661-34305</t>
  </si>
  <si>
    <t>Logic Board, M2, 8-core CPU, 10-core GPU, 8 GB, 512 GB</t>
  </si>
  <si>
    <t>FV931761TV92309AJ</t>
  </si>
  <si>
    <t>G701061877</t>
  </si>
  <si>
    <t>J0CFQCG65D</t>
  </si>
  <si>
    <t>MH2VNVQM59</t>
  </si>
  <si>
    <t>G700856347</t>
  </si>
  <si>
    <t>K1F6DW1H4T</t>
  </si>
  <si>
    <t>M4QL21XW06</t>
  </si>
  <si>
    <t>G700853243</t>
  </si>
  <si>
    <t>JWY7KWHKW5</t>
  </si>
  <si>
    <t>H6Y2KQXW09</t>
  </si>
  <si>
    <t>G700848403</t>
  </si>
  <si>
    <t>J0MHK40034L0000U64</t>
  </si>
  <si>
    <t>J0MHDH0100F0000U64</t>
  </si>
  <si>
    <t>DN8HHX07CJP00006S2</t>
  </si>
  <si>
    <t>F0WHCP0027T000064R</t>
  </si>
  <si>
    <t>G700723909</t>
  </si>
  <si>
    <t>G9NHFBS2W3Q00005DR</t>
  </si>
  <si>
    <t>GVCHB4026N200005DS</t>
  </si>
  <si>
    <t>G700090559</t>
  </si>
  <si>
    <t>DNMHK1002KH0000QTE</t>
  </si>
  <si>
    <t>DNMHMX01VGP0000QTE</t>
  </si>
  <si>
    <t>DNPHNP03UA60001BHN</t>
  </si>
  <si>
    <t>FNJHM0N0WFS0000M4H</t>
  </si>
  <si>
    <t>G701139269</t>
  </si>
  <si>
    <t>D2MGGQW9VW</t>
  </si>
  <si>
    <t>LKXYXQRYQW</t>
  </si>
  <si>
    <t>G683495584</t>
  </si>
  <si>
    <t>F7K4FT206R</t>
  </si>
  <si>
    <t>WGP647KG7Y</t>
  </si>
  <si>
    <t>G699265499</t>
  </si>
  <si>
    <t>G9P5352MCA9PQCLAE</t>
  </si>
  <si>
    <t>G9N2102SL27PQCLAA</t>
  </si>
  <si>
    <t>G713489005</t>
  </si>
  <si>
    <t>GCF544705Q9Q59TBK</t>
  </si>
  <si>
    <t>GCF51321TPNQ59TBV</t>
  </si>
  <si>
    <t>J9L612700HG0GKWA9</t>
  </si>
  <si>
    <t>FNJ5084SH60Q274AQ</t>
  </si>
  <si>
    <t>G714434129</t>
  </si>
  <si>
    <t>H620CH2T2D</t>
  </si>
  <si>
    <t>G6TW6V60W7</t>
  </si>
  <si>
    <t>G713072501</t>
  </si>
  <si>
    <t>C02322400610W9GAD</t>
  </si>
  <si>
    <t>FV9537301EG0W9FLW</t>
  </si>
  <si>
    <t>G712762227</t>
  </si>
  <si>
    <t>J9L612700CT0GKWAD</t>
  </si>
  <si>
    <t>FNJ5262B6JTQ274AP</t>
  </si>
  <si>
    <t>GCF54310LM8Q59TBP</t>
  </si>
  <si>
    <t>GCF537300QMQ59TB8</t>
  </si>
  <si>
    <t>G711243649</t>
  </si>
  <si>
    <t>DN85331AE6C1RXK5W</t>
  </si>
  <si>
    <t>GCF33746JMT23413B</t>
  </si>
  <si>
    <t>F8YHRND0AAP00006TP</t>
  </si>
  <si>
    <t>F8YGZ0303UM00006TR</t>
  </si>
  <si>
    <t>G709731655</t>
  </si>
  <si>
    <t>F8Y6066C2XN13XCBY</t>
  </si>
  <si>
    <t>F8Y220100BM13XC83</t>
  </si>
  <si>
    <t>G708735909</t>
  </si>
  <si>
    <t>GWYY44927L</t>
  </si>
  <si>
    <t>KR4TD4N770</t>
  </si>
  <si>
    <t>G706519507</t>
  </si>
  <si>
    <t>LFG3XVPDYD</t>
  </si>
  <si>
    <t>HKWF0KJ3J4</t>
  </si>
  <si>
    <t>G705719411</t>
  </si>
  <si>
    <t>F8Y6054CNGB18FKB7</t>
  </si>
  <si>
    <t>F8Y4094040R18FLBL</t>
  </si>
  <si>
    <t>G704260871</t>
  </si>
  <si>
    <t>G6NJHQV2M6</t>
  </si>
  <si>
    <t>GMVM79CDXM</t>
  </si>
  <si>
    <t>G702545195</t>
  </si>
  <si>
    <t>H57TTH6Q1C</t>
  </si>
  <si>
    <t>MJXWDKWQ3J</t>
  </si>
  <si>
    <t>G701696993</t>
  </si>
  <si>
    <t>G9PHKSF2R5K00005DP</t>
  </si>
  <si>
    <t>G9PHCJG693200005DP</t>
  </si>
  <si>
    <t>G701156027</t>
  </si>
  <si>
    <t>F8Y5431C364Q687B3</t>
  </si>
  <si>
    <t>FG9129311RUQ689AK</t>
  </si>
  <si>
    <t>G700845235</t>
  </si>
  <si>
    <t>F3QTRQ7GYG</t>
  </si>
  <si>
    <t>FV2VPC49NN</t>
  </si>
  <si>
    <t>G700750375</t>
  </si>
  <si>
    <t>TA661-35708</t>
  </si>
  <si>
    <t>Top Case with Battery, Space Gray, ANSI, Chinese (Zhuyin)</t>
  </si>
  <si>
    <t>F8Y5497N02MQ1LTBY</t>
  </si>
  <si>
    <t>F8Y4466D2SQQ1LTBV</t>
  </si>
  <si>
    <t>G700181267</t>
  </si>
  <si>
    <t>FMX54830128NTJHAA</t>
  </si>
  <si>
    <t>DCN41330220NTJGA9</t>
  </si>
  <si>
    <t>G699682739</t>
  </si>
  <si>
    <t>DY2HPL71NP</t>
  </si>
  <si>
    <t>DXDX29N75L</t>
  </si>
  <si>
    <t>G714161871</t>
  </si>
  <si>
    <t>F0Y611600V82526AF</t>
  </si>
  <si>
    <t>FP1343601HH216RAA</t>
  </si>
  <si>
    <t>G711095379</t>
  </si>
  <si>
    <t>M94T6YVDL6</t>
  </si>
  <si>
    <t>CDCQCL40NV</t>
  </si>
  <si>
    <t>G710962763</t>
  </si>
  <si>
    <t>F17HPS00FWM0000NBH</t>
  </si>
  <si>
    <t>GMHHDG00EJ50000C1D</t>
  </si>
  <si>
    <t>G710422579</t>
  </si>
  <si>
    <t>F8Y5514CAX218FKBT</t>
  </si>
  <si>
    <t>FG932630DJM18FMA7</t>
  </si>
  <si>
    <t>G707519809</t>
  </si>
  <si>
    <t>GMG5414000V1J87A6</t>
  </si>
  <si>
    <t>FP15026092625YVA7</t>
  </si>
  <si>
    <t>G707399551</t>
  </si>
  <si>
    <t>FMXHQ40030J00006J3</t>
  </si>
  <si>
    <t>FP1HB3004FY0000FQX</t>
  </si>
  <si>
    <t>G706845223</t>
  </si>
  <si>
    <t>G9Q5183C6QPPR5QAY</t>
  </si>
  <si>
    <t>GVH53350DWYPR5PAT</t>
  </si>
  <si>
    <t>G706626451</t>
  </si>
  <si>
    <t>CYXQM61C4J</t>
  </si>
  <si>
    <t>H3971JXDKV</t>
  </si>
  <si>
    <t>G706442505</t>
  </si>
  <si>
    <t>XX6C2W7M3G</t>
  </si>
  <si>
    <t>JYWM3QHDJQ</t>
  </si>
  <si>
    <t>G705413143</t>
  </si>
  <si>
    <t>J0MHKC005RY0000U65</t>
  </si>
  <si>
    <t>DRCHAG007XJ0000U65</t>
  </si>
  <si>
    <t>G704769965</t>
  </si>
  <si>
    <t>KN60VVGM45</t>
  </si>
  <si>
    <t>HVH37RTJWY</t>
  </si>
  <si>
    <t>G704485497</t>
  </si>
  <si>
    <t>F8Y6011C2RR20J9B7</t>
  </si>
  <si>
    <t>F8Y2462055420JC21</t>
  </si>
  <si>
    <t>G704464955</t>
  </si>
  <si>
    <t>G2MVWWVR4J</t>
  </si>
  <si>
    <t>G703857141</t>
  </si>
  <si>
    <t>GH3HPN024EN0000MUZ</t>
  </si>
  <si>
    <t>GH3HKB0289S0000MUZ</t>
  </si>
  <si>
    <t>G703215609</t>
  </si>
  <si>
    <t>GVH51260V02PR5PAZ</t>
  </si>
  <si>
    <t>G703039585</t>
  </si>
  <si>
    <t>JQ69CW93QM</t>
  </si>
  <si>
    <t>J2MGW31279</t>
  </si>
  <si>
    <t>G702373871</t>
  </si>
  <si>
    <t>FMXHMF001XZ00006J3</t>
  </si>
  <si>
    <t>FP1HB300A6H0000FQX</t>
  </si>
  <si>
    <t>G698549629</t>
  </si>
  <si>
    <t>G9PHNNY18XN0000L4B</t>
  </si>
  <si>
    <t>G9PHJJD0E9T0000L4B</t>
  </si>
  <si>
    <t>G715564977</t>
  </si>
  <si>
    <t>F8Y6183C9QL18FKBC</t>
  </si>
  <si>
    <t>F8Y41630ACT18FLBK</t>
  </si>
  <si>
    <t>G714559433</t>
  </si>
  <si>
    <t>F8Y5456C1MNQ4C2BU</t>
  </si>
  <si>
    <t>F8Y04861UTHQ4C29Z</t>
  </si>
  <si>
    <t>G711118715</t>
  </si>
  <si>
    <t>GMG606200JVNR89B1</t>
  </si>
  <si>
    <t>FP1049204YXP3WV99</t>
  </si>
  <si>
    <t>G708304553</t>
  </si>
  <si>
    <t>FV951550NR50W9FLT</t>
  </si>
  <si>
    <t>J3353050FA70W9GPR</t>
  </si>
  <si>
    <t>G705732417</t>
  </si>
  <si>
    <t>GX1W4M6D39</t>
  </si>
  <si>
    <t>FNPWVD76P2</t>
  </si>
  <si>
    <t>G704902045</t>
  </si>
  <si>
    <t>G4N24546D1</t>
  </si>
  <si>
    <t>LF7WGY4DX7</t>
  </si>
  <si>
    <t>G703904677</t>
  </si>
  <si>
    <t>F8Y5472CC5FQ687B7</t>
  </si>
  <si>
    <t>FG9103405VMQ68C3G</t>
  </si>
  <si>
    <t>G702552903</t>
  </si>
  <si>
    <t>F8Y5502C2YX13RHCG</t>
  </si>
  <si>
    <t>F5D205508CT13RK95</t>
  </si>
  <si>
    <t>G702248799</t>
  </si>
  <si>
    <t>F8Y5497C4RK13RHCG</t>
  </si>
  <si>
    <t>F8Y1483060013RHBW</t>
  </si>
  <si>
    <t>G701778351</t>
  </si>
  <si>
    <t>CDK6X12QQQ</t>
  </si>
  <si>
    <t>KWWC9QPMQV</t>
  </si>
  <si>
    <t>G701292945</t>
  </si>
  <si>
    <t>GVH517120K6PR5PAK</t>
  </si>
  <si>
    <t>GVH52070SJJPR5PA4</t>
  </si>
  <si>
    <t>G700453531</t>
  </si>
  <si>
    <t>F8Y5502C0U913RHCJ</t>
  </si>
  <si>
    <t>F5D1486H4MK13RK9W</t>
  </si>
  <si>
    <t>G699961887</t>
  </si>
  <si>
    <t>G9P5134M0QCPQCLAM</t>
  </si>
  <si>
    <t>G9P2247QP6WPQCLAT</t>
  </si>
  <si>
    <t>G698990773</t>
  </si>
  <si>
    <t>MQV46DFHK7</t>
  </si>
  <si>
    <t>HL602WVWDM</t>
  </si>
  <si>
    <t>G698969759</t>
  </si>
  <si>
    <t>LQ5L6DJ6G5</t>
  </si>
  <si>
    <t>C26CV4M0G0</t>
  </si>
  <si>
    <t>G698562003</t>
  </si>
  <si>
    <t>VK42K7YFKH</t>
  </si>
  <si>
    <t>NJFJYQMXVQ</t>
  </si>
  <si>
    <t>G714179791</t>
  </si>
  <si>
    <t>G9QHQNP2MNS0000L4B</t>
  </si>
  <si>
    <t>G9NHLRV35CH0000L4B</t>
  </si>
  <si>
    <t>G713281507</t>
  </si>
  <si>
    <t>F0Y543300PM1J88AM</t>
  </si>
  <si>
    <t>GMG406400831J88AZ</t>
  </si>
  <si>
    <t>G694472588</t>
  </si>
  <si>
    <t>FL7K79HYTX</t>
  </si>
  <si>
    <t>K4TJ9CXXGY</t>
  </si>
  <si>
    <t>G712770057</t>
  </si>
  <si>
    <t>GH3HSA01FQB0000MUZ</t>
  </si>
  <si>
    <t>G9NHM0L7Q5B0000MUY</t>
  </si>
  <si>
    <t>G712667419</t>
  </si>
  <si>
    <t>G9Q6043SN1V21KHAX</t>
  </si>
  <si>
    <t>GVH53030F3N1PHLAS</t>
  </si>
  <si>
    <t>G711243541</t>
  </si>
  <si>
    <t>ZP661-53461</t>
  </si>
  <si>
    <t>Apple Watch SE 3, GPS, ROW, 44mm, Aluminum, Starlight, CI/AR, TH</t>
  </si>
  <si>
    <t>CYXTH50X3K</t>
  </si>
  <si>
    <t>HWJ9NQXK62</t>
  </si>
  <si>
    <t>G710586331</t>
  </si>
  <si>
    <t>G2FQN4P16N</t>
  </si>
  <si>
    <t>M0XQ4VP26G</t>
  </si>
  <si>
    <t>G709856615</t>
  </si>
  <si>
    <t>G9P5024MJD8PQCLAA</t>
  </si>
  <si>
    <t>G9N2064TA5TPQCLA3</t>
  </si>
  <si>
    <t>F8Y6066C3MV13XCBL</t>
  </si>
  <si>
    <t>F8Y2033106213XC8R</t>
  </si>
  <si>
    <t>G708930213</t>
  </si>
  <si>
    <t>GH3HPP013Y10000MUZ</t>
  </si>
  <si>
    <t>GH3HQN005AC0000MUZ</t>
  </si>
  <si>
    <t>G708735505</t>
  </si>
  <si>
    <t>FYGRX9JGR9</t>
  </si>
  <si>
    <t>FWKNX92CW7</t>
  </si>
  <si>
    <t>G708042053</t>
  </si>
  <si>
    <t>D865507N0NLPJYRBD</t>
  </si>
  <si>
    <t>D863102A32VPJYRAD</t>
  </si>
  <si>
    <t>G707065401</t>
  </si>
  <si>
    <t>J9Q5476000E0GKWAA</t>
  </si>
  <si>
    <t>FNJ4495FTLRQ274A9</t>
  </si>
  <si>
    <t>G706848979</t>
  </si>
  <si>
    <t>M6Y33R09DD</t>
  </si>
  <si>
    <t>GY79C754W0</t>
  </si>
  <si>
    <t>G706617099</t>
  </si>
  <si>
    <t>KXV9XQL0RX</t>
  </si>
  <si>
    <t>CWGYXN1WQ4</t>
  </si>
  <si>
    <t>G706510089</t>
  </si>
  <si>
    <t>ZP661-42980</t>
  </si>
  <si>
    <t>Starlight, 512GB, iPad mini, Wi-Fi, CI/AR, ITP</t>
  </si>
  <si>
    <t>D5VF99T7QM</t>
  </si>
  <si>
    <t>KHHCQT3WPP</t>
  </si>
  <si>
    <t>G704504629</t>
  </si>
  <si>
    <t>M3V6XDFWPV</t>
  </si>
  <si>
    <t>JQG9FQLK3G</t>
  </si>
  <si>
    <t>G703390195</t>
  </si>
  <si>
    <t>DN8HJT059JC00006S2</t>
  </si>
  <si>
    <t>DN8HA40D0TB00006S2</t>
  </si>
  <si>
    <t>G703132055</t>
  </si>
  <si>
    <t>DNL52220TBG1986BX</t>
  </si>
  <si>
    <t>DNL402201481986BP</t>
  </si>
  <si>
    <t>G702728235</t>
  </si>
  <si>
    <t>F8Y5527C2HUQ687BB</t>
  </si>
  <si>
    <t>FG905270P6YQ6893P</t>
  </si>
  <si>
    <t>G702484213</t>
  </si>
  <si>
    <t>G621DVJ4JY</t>
  </si>
  <si>
    <t>D4VFMPFQ7G</t>
  </si>
  <si>
    <t>G702334609</t>
  </si>
  <si>
    <t>MJKGWJYD6D</t>
  </si>
  <si>
    <t>KR4N5JQ9W5</t>
  </si>
  <si>
    <t>G701288751</t>
  </si>
  <si>
    <t>MP4K6CQVWN</t>
  </si>
  <si>
    <t>H0Q63MT6F7</t>
  </si>
  <si>
    <t>G701169171</t>
  </si>
  <si>
    <t>G1HJY44LYP</t>
  </si>
  <si>
    <t>HHQ0V4X46K</t>
  </si>
  <si>
    <t>G701140587</t>
  </si>
  <si>
    <t>D865435N0XFPJYRBK</t>
  </si>
  <si>
    <t>F5D33352N53PJYVAH</t>
  </si>
  <si>
    <t>G702039291</t>
  </si>
  <si>
    <t>D865317N1DNPJYRB2</t>
  </si>
  <si>
    <t>D865324N0QFPJYRBB</t>
  </si>
  <si>
    <t>FV923971MZG1WP1BD</t>
  </si>
  <si>
    <t>HXK33650NKB1WP0DD</t>
  </si>
  <si>
    <t>G700203801</t>
  </si>
  <si>
    <t>HF39NPJL9R</t>
  </si>
  <si>
    <t>M0YT7Q3142</t>
  </si>
  <si>
    <t>G699643535</t>
  </si>
  <si>
    <t>HCRW1D2NLV</t>
  </si>
  <si>
    <t>C96LQL75H6</t>
  </si>
  <si>
    <t>G716000077</t>
  </si>
  <si>
    <t>F8Y6165C18S13XCBW</t>
  </si>
  <si>
    <t>F8Y15010S4U13X88V</t>
  </si>
  <si>
    <t>G715090201</t>
  </si>
  <si>
    <t>F8Y6166C8QHQ687BK</t>
  </si>
  <si>
    <t>F8Y10840PZRQ68829</t>
  </si>
  <si>
    <t>G713930785</t>
  </si>
  <si>
    <t>F8Y6066C4LR13XCBS</t>
  </si>
  <si>
    <t>F8Y20860M4P13X88C</t>
  </si>
  <si>
    <t>G713243215</t>
  </si>
  <si>
    <t>G9P5325QMAN1PHRA2</t>
  </si>
  <si>
    <t>G9N3374P5BD1PHRAL</t>
  </si>
  <si>
    <t>G712901151</t>
  </si>
  <si>
    <t>CJCDKJ4VV2</t>
  </si>
  <si>
    <t>LVQ07QX40P</t>
  </si>
  <si>
    <t>G712769367</t>
  </si>
  <si>
    <t>MW2GD7Q2NW</t>
  </si>
  <si>
    <t>MHH0G344WH</t>
  </si>
  <si>
    <t>G709046981</t>
  </si>
  <si>
    <t>G9Q5177WNJU1502AV</t>
  </si>
  <si>
    <t>G9P4305CGH01502A9</t>
  </si>
  <si>
    <t>G708959771</t>
  </si>
  <si>
    <t>F8Y5473C3P114LWCJ</t>
  </si>
  <si>
    <t>F8Y1384053514LW8T</t>
  </si>
  <si>
    <t>G707168457</t>
  </si>
  <si>
    <t>G9Q5174CD5PPR5QAG</t>
  </si>
  <si>
    <t>GVH523610CPPR5PAY</t>
  </si>
  <si>
    <t>G705932073</t>
  </si>
  <si>
    <t>F8Y6056CC0Z18FKB7</t>
  </si>
  <si>
    <t>FG940960ECU18FMB1</t>
  </si>
  <si>
    <t>G704763183</t>
  </si>
  <si>
    <t>JQJQYCPHXT</t>
  </si>
  <si>
    <t>CY3D2JKF29</t>
  </si>
  <si>
    <t>G704480783</t>
  </si>
  <si>
    <t>MD4T4GYWV7</t>
  </si>
  <si>
    <t>JRQHGK2FF6</t>
  </si>
  <si>
    <t>G703601471</t>
  </si>
  <si>
    <t>FG9547601BSN2YLBD</t>
  </si>
  <si>
    <t>F5D03066PLLN2YN43</t>
  </si>
  <si>
    <t>G686209558</t>
  </si>
  <si>
    <t>F47RWPH2P2</t>
  </si>
  <si>
    <t>MMVRPK67R6</t>
  </si>
  <si>
    <t>G686198794</t>
  </si>
  <si>
    <t>FV951540GSW0W9FL6</t>
  </si>
  <si>
    <t>J33525306RH0W9GP1</t>
  </si>
  <si>
    <t>G702622353</t>
  </si>
  <si>
    <t>F8Y5431C040M6YND0</t>
  </si>
  <si>
    <t>F8Y5036C084M6YNDH</t>
  </si>
  <si>
    <t>G701531491</t>
  </si>
  <si>
    <t>GPXPF74517</t>
  </si>
  <si>
    <t>JTJQ3X7JK3</t>
  </si>
  <si>
    <t>G700842135</t>
  </si>
  <si>
    <t>DNPHNR00UKJ0000FER</t>
  </si>
  <si>
    <t>GMHHHF02F5G00006SX</t>
  </si>
  <si>
    <t>G700576663</t>
  </si>
  <si>
    <t>FV9HNC0002S0000HER</t>
  </si>
  <si>
    <t>FV9HB700GZN0000HER</t>
  </si>
  <si>
    <t>G700121343</t>
  </si>
  <si>
    <t>GX0XW7N40Q</t>
  </si>
  <si>
    <t>DJJ67TDJJT</t>
  </si>
  <si>
    <t>G699699229</t>
  </si>
  <si>
    <t>VJCXH4JNWJ</t>
  </si>
  <si>
    <t>LHFG22V90X</t>
  </si>
  <si>
    <t>G715562593</t>
  </si>
  <si>
    <t>G9QHQWY00P100004Y7</t>
  </si>
  <si>
    <t>G9NHHLM0LJ400004Y7</t>
  </si>
  <si>
    <t>G713920613</t>
  </si>
  <si>
    <t>GH3HS801Q4W0000MUZ</t>
  </si>
  <si>
    <t>GVCHL6016VR0000MUZ</t>
  </si>
  <si>
    <t>G711233989</t>
  </si>
  <si>
    <t>L7MXDLCQ54</t>
  </si>
  <si>
    <t>J7NQYR3G2R</t>
  </si>
  <si>
    <t>G708613429</t>
  </si>
  <si>
    <t>C2XWGPKTMV</t>
  </si>
  <si>
    <t>LNHYGHJYW4</t>
  </si>
  <si>
    <t>G708281629</t>
  </si>
  <si>
    <t>DN8HPT06PXH0000RYQ</t>
  </si>
  <si>
    <t>J9KHQE00JH20000XXS</t>
  </si>
  <si>
    <t>DTTHHU03CXV0000QTS</t>
  </si>
  <si>
    <t>G705019735</t>
  </si>
  <si>
    <t>LVHP659L73</t>
  </si>
  <si>
    <t>C0WWHCX67W</t>
  </si>
  <si>
    <t>G704575757</t>
  </si>
  <si>
    <t>F8Y5515C2N213RHC1</t>
  </si>
  <si>
    <t>F5D1446F64N13RJ9T</t>
  </si>
  <si>
    <t>G704023773</t>
  </si>
  <si>
    <t>H5FV6G5F9C</t>
  </si>
  <si>
    <t>JC0FHC2WQL</t>
  </si>
  <si>
    <t>G703226999</t>
  </si>
  <si>
    <t>HGJ43JP74Q</t>
  </si>
  <si>
    <t>MQQN4KVFWV</t>
  </si>
  <si>
    <t>G702483209</t>
  </si>
  <si>
    <t>G9PHHWU0M3Z00005DR</t>
  </si>
  <si>
    <t>GH3HGY01EHB00005DS</t>
  </si>
  <si>
    <t>G702342199</t>
  </si>
  <si>
    <t>LMC4MXWT04</t>
  </si>
  <si>
    <t>JRQX3TKPX6</t>
  </si>
  <si>
    <t>G701554055</t>
  </si>
  <si>
    <t>F8Y5456C5BVQ4C2BD</t>
  </si>
  <si>
    <t>F5D12961JM3Q492A3</t>
  </si>
  <si>
    <t>G700676441</t>
  </si>
  <si>
    <t>GMG527502DN1J87AP</t>
  </si>
  <si>
    <t>F0Y511600SP1J87AH</t>
  </si>
  <si>
    <t>G700350899</t>
  </si>
  <si>
    <t>F8Y5471C3PA20J9B8</t>
  </si>
  <si>
    <t>F8Y238112UY20JC22</t>
  </si>
  <si>
    <t>G700174955</t>
  </si>
  <si>
    <t>F8Y5445N0ZU13QFCD</t>
  </si>
  <si>
    <t>F8Y351702DC10X2CQ</t>
  </si>
  <si>
    <t>G700104783</t>
  </si>
  <si>
    <t>F8Y5453C79N20J9B4</t>
  </si>
  <si>
    <t>F5D2435DKH920J79T</t>
  </si>
  <si>
    <t>G699913269</t>
  </si>
  <si>
    <t>J5VHJA0097400004Y8</t>
  </si>
  <si>
    <t>G683137190</t>
  </si>
  <si>
    <t>F8Y5445CHDL18FKBD</t>
  </si>
  <si>
    <t>FG9328511YE18FMA7</t>
  </si>
  <si>
    <t>G683111140</t>
  </si>
  <si>
    <t>M769XQ2DJ6</t>
  </si>
  <si>
    <t>LF463WFN94</t>
  </si>
  <si>
    <t>G698294993</t>
  </si>
  <si>
    <t>GVH532702CSPR5PAX</t>
  </si>
  <si>
    <t>GVH52340CLAPR5PAE</t>
  </si>
  <si>
    <t>G714968949</t>
  </si>
  <si>
    <t>CTHHQB657Y60000UUZ</t>
  </si>
  <si>
    <t>CTHHLN627KS0000UUZ</t>
  </si>
  <si>
    <t>G712335385</t>
  </si>
  <si>
    <t>F8Y6102C4XK13XCBL</t>
  </si>
  <si>
    <t>F8Y20421JJ013XC85</t>
  </si>
  <si>
    <t>G710586073</t>
  </si>
  <si>
    <t>661-50140</t>
  </si>
  <si>
    <t>Trackpad, Midnight, MBA (15-in, M4, 2025)</t>
  </si>
  <si>
    <t>HXMHMQ0081X0000J49</t>
  </si>
  <si>
    <t>G709731283</t>
  </si>
  <si>
    <t>F8Y5446C67U18FKBZ</t>
  </si>
  <si>
    <t>F8Y24150LCS18FLAV</t>
  </si>
  <si>
    <t>G709521203</t>
  </si>
  <si>
    <t>HC3FWXWFV7</t>
  </si>
  <si>
    <t>F49HYFJHL4</t>
  </si>
  <si>
    <t>G691488498</t>
  </si>
  <si>
    <t>661-21276</t>
  </si>
  <si>
    <t>Logic Board, 10-Core CPU, 16-Core GPU, 16GB Memory, 1TB SSD</t>
  </si>
  <si>
    <t>C02139500S7043918</t>
  </si>
  <si>
    <t>G689413442</t>
  </si>
  <si>
    <t>GMGHL6009F00000GVL</t>
  </si>
  <si>
    <t>FP1HE4003KY0000G29</t>
  </si>
  <si>
    <t>G706823407</t>
  </si>
  <si>
    <t>F8Y5501C22TQ4C2BW</t>
  </si>
  <si>
    <t>F8Y1133137CQ49Y9J</t>
  </si>
  <si>
    <t>G705833433</t>
  </si>
  <si>
    <t>LR9J0FGXMH</t>
  </si>
  <si>
    <t>F4YWD7QL9R</t>
  </si>
  <si>
    <t>G705303195</t>
  </si>
  <si>
    <t>F8Y5372C5E614LWC6</t>
  </si>
  <si>
    <t>F5D2485B6QK14LXA0</t>
  </si>
  <si>
    <t>G704489239</t>
  </si>
  <si>
    <t>DCVHXD6Y3F</t>
  </si>
  <si>
    <t>K3H90T6KQ6</t>
  </si>
  <si>
    <t>G704466667</t>
  </si>
  <si>
    <t>G9PHKBF2N4G00005DP</t>
  </si>
  <si>
    <t>GVCHC803DJH00005DQ</t>
  </si>
  <si>
    <t>G704007999</t>
  </si>
  <si>
    <t>G9PHKLT2K3700005DP</t>
  </si>
  <si>
    <t>GVCH9001JD900005DQ</t>
  </si>
  <si>
    <t>G686216162</t>
  </si>
  <si>
    <t>HF9LFY7R91</t>
  </si>
  <si>
    <t>CTFGXJWWMR</t>
  </si>
  <si>
    <t>G701188425</t>
  </si>
  <si>
    <t>C54R79CNGJ</t>
  </si>
  <si>
    <t>G699900991</t>
  </si>
  <si>
    <t>M21W49CL47</t>
  </si>
  <si>
    <t>MVFYCHGJ3F</t>
  </si>
  <si>
    <t>G699892743</t>
  </si>
  <si>
    <t>J940P26KGY</t>
  </si>
  <si>
    <t>KL7HJPXF5H</t>
  </si>
  <si>
    <t>G683210484</t>
  </si>
  <si>
    <t>G9P5385MD3XPQCLA0</t>
  </si>
  <si>
    <t>G9N22732HHTPQCLAX</t>
  </si>
  <si>
    <t>G698997657</t>
  </si>
  <si>
    <t>GMG545101VJNR89BF</t>
  </si>
  <si>
    <t>GMG140709ZKNR89AJ</t>
  </si>
  <si>
    <t>G713691507</t>
  </si>
  <si>
    <t>DN8HJB047TV0000JS5</t>
  </si>
  <si>
    <t>DN8HML09Q320000RYQ</t>
  </si>
  <si>
    <t>G0NHSQ008VM0000YJ1</t>
  </si>
  <si>
    <t>FNJHLHU0EXD0000QTV</t>
  </si>
  <si>
    <t>G713256755</t>
  </si>
  <si>
    <t>F8Y6163C0W318FKBS</t>
  </si>
  <si>
    <t>FG941760BMM18FMBP</t>
  </si>
  <si>
    <t>G713082197</t>
  </si>
  <si>
    <t>K27HQH72PC</t>
  </si>
  <si>
    <t>G694499370</t>
  </si>
  <si>
    <t>G9QHQMR18M600004Y7</t>
  </si>
  <si>
    <t>J5VHHG00CT500004Y8</t>
  </si>
  <si>
    <t>G710906313</t>
  </si>
  <si>
    <t>PA661-42514</t>
  </si>
  <si>
    <t>Beats Pill, Matte Black, CI/AR, CN</t>
  </si>
  <si>
    <t>DVXVGXRM4Q</t>
  </si>
  <si>
    <t>F6JJC4P7M2</t>
  </si>
  <si>
    <t>G710683403</t>
  </si>
  <si>
    <t>FG9HP6000A000006TT</t>
  </si>
  <si>
    <t>F5DH0K038M300006TS</t>
  </si>
  <si>
    <t>G709837963</t>
  </si>
  <si>
    <t>F8Y5442C4DRM6YND8</t>
  </si>
  <si>
    <t>F8Y13451L2CM6YNBK</t>
  </si>
  <si>
    <t>G691497318</t>
  </si>
  <si>
    <t>LK6WM6XYJP</t>
  </si>
  <si>
    <t>JK4DQYYHT2</t>
  </si>
  <si>
    <t>G709377411</t>
  </si>
  <si>
    <t>G9P5024MFDYPQCLAP</t>
  </si>
  <si>
    <t>G9P2256NKL0PQCLAP</t>
  </si>
  <si>
    <t>G708814433</t>
  </si>
  <si>
    <t>923-13533</t>
  </si>
  <si>
    <t>AirPods Pro 3, Eartips, M</t>
  </si>
  <si>
    <t>GFH613316N</t>
  </si>
  <si>
    <t>G708392267</t>
  </si>
  <si>
    <t>FHWJGPX9VG</t>
  </si>
  <si>
    <t>G0HX0F5W9K</t>
  </si>
  <si>
    <t>G706840405</t>
  </si>
  <si>
    <t>F2WY95Y25H</t>
  </si>
  <si>
    <t>DXWTLD7K4K</t>
  </si>
  <si>
    <t>G703975301</t>
  </si>
  <si>
    <t>F8Y5425C8J018FKBZ</t>
  </si>
  <si>
    <t>FG921732KLP18FMAN</t>
  </si>
  <si>
    <t>G703147727</t>
  </si>
  <si>
    <t>CQ44YWJT7Q</t>
  </si>
  <si>
    <t>H7G07Y0F57</t>
  </si>
  <si>
    <t>G702779333</t>
  </si>
  <si>
    <t>F8YHPDN00BG00000E5</t>
  </si>
  <si>
    <t>F8YHHTG05Z500000E4</t>
  </si>
  <si>
    <t>FM7HMT0CERW00003ME</t>
  </si>
  <si>
    <t>FM7HHT0ARBV00003ME</t>
  </si>
  <si>
    <t>G702389063</t>
  </si>
  <si>
    <t>G9Q5156PNACPR5QA8</t>
  </si>
  <si>
    <t>GVH521114ATPR5PA7</t>
  </si>
  <si>
    <t>G702262219</t>
  </si>
  <si>
    <t>F8Y5456C6MR18FKBR</t>
  </si>
  <si>
    <t>F8Y419605WR18FLBU</t>
  </si>
  <si>
    <t>G702221971</t>
  </si>
  <si>
    <t>F8Y5506CQFC18FKBJ</t>
  </si>
  <si>
    <t>FG920373Q5V18FM4C</t>
  </si>
  <si>
    <t>G700826679</t>
  </si>
  <si>
    <t>HFK34VLKH9</t>
  </si>
  <si>
    <t>H1FWLTXV12</t>
  </si>
  <si>
    <t>G700674065</t>
  </si>
  <si>
    <t>J2G7X457Y4</t>
  </si>
  <si>
    <t>FMMPCGJMVD</t>
  </si>
  <si>
    <t>G700579147</t>
  </si>
  <si>
    <t>FV951550NAE0W9FLV</t>
  </si>
  <si>
    <t>J33526207M60W9GPM</t>
  </si>
  <si>
    <t>G683127726</t>
  </si>
  <si>
    <t>FX039RQ2CR</t>
  </si>
  <si>
    <t>G698269461</t>
  </si>
  <si>
    <t>F8Y5415C052Q4C2B8</t>
  </si>
  <si>
    <t>F5D12940CA5Q492AB</t>
  </si>
  <si>
    <t>G712113979</t>
  </si>
  <si>
    <t>DX66165009N1L03AD</t>
  </si>
  <si>
    <t>DTT53530JZX17RMA1</t>
  </si>
  <si>
    <t>G712005359</t>
  </si>
  <si>
    <t>MP6G61275K</t>
  </si>
  <si>
    <t>L02NXD67F1</t>
  </si>
  <si>
    <t>G711649887</t>
  </si>
  <si>
    <t>D2QLCXLCY2</t>
  </si>
  <si>
    <t>J9HFQWNVVR</t>
  </si>
  <si>
    <t>G693362206</t>
  </si>
  <si>
    <t>F0Y541501RU1J88AB</t>
  </si>
  <si>
    <t>FP1526701MP25YTAW</t>
  </si>
  <si>
    <t>FV9529506BC0W9FLX</t>
  </si>
  <si>
    <t>G711237379</t>
  </si>
  <si>
    <t>HCV5KJ221W</t>
  </si>
  <si>
    <t>F99KY0T7R3</t>
  </si>
  <si>
    <t>G710855849</t>
  </si>
  <si>
    <t>F8Y5256C7AD13XCB1</t>
  </si>
  <si>
    <t>F5D1384A73313X99B</t>
  </si>
  <si>
    <t>G707300897</t>
  </si>
  <si>
    <t>923-10802</t>
  </si>
  <si>
    <t>Bottom Speaker, iPhone 16 Plus</t>
  </si>
  <si>
    <t>F4KH9100LJY0000HKK</t>
  </si>
  <si>
    <t>DXYHH062N5N0000CZQ</t>
  </si>
  <si>
    <t>F4KH940131J0000HKF</t>
  </si>
  <si>
    <t>DXYHMX617Y70000CZU</t>
  </si>
  <si>
    <t>G690011790</t>
  </si>
  <si>
    <t>TA661-44053</t>
  </si>
  <si>
    <t>128GB, Ultramarine, ROW, iPhone 16 Plus, CI/AR</t>
  </si>
  <si>
    <t>D146YPYH3W</t>
  </si>
  <si>
    <t>K2JCH0QPHK</t>
  </si>
  <si>
    <t>G707169473</t>
  </si>
  <si>
    <t>GK1J9G233H</t>
  </si>
  <si>
    <t>HWK63F3FC9</t>
  </si>
  <si>
    <t>G706961525</t>
  </si>
  <si>
    <t>HJFWGGJ7Q3</t>
  </si>
  <si>
    <t>K2N0HXFTJ9</t>
  </si>
  <si>
    <t>G703473643</t>
  </si>
  <si>
    <t>F8Y5497C2Z713RHC6</t>
  </si>
  <si>
    <t>F8Y15150L0N13RFBE</t>
  </si>
  <si>
    <t>G703146787</t>
  </si>
  <si>
    <t>F8Y5495C3S9217WB1</t>
  </si>
  <si>
    <t>F5D32275WA621PKAZ</t>
  </si>
  <si>
    <t>G702131981</t>
  </si>
  <si>
    <t>LPXMMCX765</t>
  </si>
  <si>
    <t>FVJQ176143</t>
  </si>
  <si>
    <t>G700992861</t>
  </si>
  <si>
    <t>MCY3R7302M</t>
  </si>
  <si>
    <t>F9TDWF59XY</t>
  </si>
  <si>
    <t>G683840614</t>
  </si>
  <si>
    <t>F8Y5445CCLV18FKBN</t>
  </si>
  <si>
    <t>F8Y22120AN218FLA4</t>
  </si>
  <si>
    <t>G699248521</t>
  </si>
  <si>
    <t>F8Y5451C2YJ13XCB6</t>
  </si>
  <si>
    <t>F5D20953CWA13X993</t>
  </si>
  <si>
    <t>G713475209</t>
  </si>
  <si>
    <t>G9P4471MBLHPQCLA8</t>
  </si>
  <si>
    <t>G9P2162NK73PQCLAT</t>
  </si>
  <si>
    <t>F8Y6066C77Y13XCBM</t>
  </si>
  <si>
    <t>F5D21565KTF13X9A1</t>
  </si>
  <si>
    <t>G713297541</t>
  </si>
  <si>
    <t>DC7FWL4P3M</t>
  </si>
  <si>
    <t>DY2F6JGH09</t>
  </si>
  <si>
    <t>G713271017</t>
  </si>
  <si>
    <t>F8Y6163C0UQ18FKBB</t>
  </si>
  <si>
    <t>FG9337603UP18FMAC</t>
  </si>
  <si>
    <t>G712324633</t>
  </si>
  <si>
    <t>TA661-45234</t>
  </si>
  <si>
    <t>128GB, Ultramarine, ROW, iPhone 16 Plus, Logic Board Assy Mid System</t>
  </si>
  <si>
    <t>MHVFD6XLFQ</t>
  </si>
  <si>
    <t>CJW1D91LQG</t>
  </si>
  <si>
    <t>G712022553</t>
  </si>
  <si>
    <t>MFJVJLXYP9</t>
  </si>
  <si>
    <t>CX3P07YRY6</t>
  </si>
  <si>
    <t>G711519179</t>
  </si>
  <si>
    <t>661-16835</t>
  </si>
  <si>
    <t>Gold, Top Case, ANSI, MBA (M1, 2020)</t>
  </si>
  <si>
    <t>FPW5393L06EQ1GQBA</t>
  </si>
  <si>
    <t>G711436189</t>
  </si>
  <si>
    <t>CJG90KYW42</t>
  </si>
  <si>
    <t>LF6QGHV4FN</t>
  </si>
  <si>
    <t>G710169981</t>
  </si>
  <si>
    <t>GH3HR601CPY0000MUZ</t>
  </si>
  <si>
    <t>GH3HMP00PX10000MUZ</t>
  </si>
  <si>
    <t>G709879745</t>
  </si>
  <si>
    <t>F8Y6105CEX6Q687BN</t>
  </si>
  <si>
    <t>F8Y12123G0XQ687AW</t>
  </si>
  <si>
    <t>G709755209</t>
  </si>
  <si>
    <t>GW53W10GQQ</t>
  </si>
  <si>
    <t>K5QYRYQ422</t>
  </si>
  <si>
    <t>G708606695</t>
  </si>
  <si>
    <t>L19793HH5K</t>
  </si>
  <si>
    <t>M9F3G7YM7L</t>
  </si>
  <si>
    <t>G705597641</t>
  </si>
  <si>
    <t>F71H8Z00E8N0000HK9</t>
  </si>
  <si>
    <t>FNJHCFE045L00007BV</t>
  </si>
  <si>
    <t>G705334883</t>
  </si>
  <si>
    <t>M492KDQ6CJ</t>
  </si>
  <si>
    <t>GT23F7L6GP</t>
  </si>
  <si>
    <t>G705117063</t>
  </si>
  <si>
    <t>923-08128</t>
  </si>
  <si>
    <t>Top Speaker, iPhone 14 Pro</t>
  </si>
  <si>
    <t>CTH234226V91G3K60</t>
  </si>
  <si>
    <t>CTH24312ABW1G3K6Y</t>
  </si>
  <si>
    <t>F8Y5517C0NZ217WBD</t>
  </si>
  <si>
    <t>F5D2423DJRW21PK70</t>
  </si>
  <si>
    <t>G705803743</t>
  </si>
  <si>
    <t>PP661-28219</t>
  </si>
  <si>
    <t>Gold, iPhone 14 Pro, 512GB, ROW, CI/AR, Philippines</t>
  </si>
  <si>
    <t>K2K441CJH0</t>
  </si>
  <si>
    <t>LX4NM7G7XN</t>
  </si>
  <si>
    <t>G704756793</t>
  </si>
  <si>
    <t>LXP024DL96</t>
  </si>
  <si>
    <t>C3F2X5VKQ9</t>
  </si>
  <si>
    <t>G704627963</t>
  </si>
  <si>
    <t>CH9WM2TVPD</t>
  </si>
  <si>
    <t>HH9N3LP9KJ</t>
  </si>
  <si>
    <t>G703852009</t>
  </si>
  <si>
    <t>G0NHPU00LPH0000YJ1</t>
  </si>
  <si>
    <t>G703620117</t>
  </si>
  <si>
    <t>F8Y5464C1AW217WB6</t>
  </si>
  <si>
    <t>F8Y24360GNS217W7P</t>
  </si>
  <si>
    <t>G703368545</t>
  </si>
  <si>
    <t>DQV4FL9345</t>
  </si>
  <si>
    <t>LWRM76X59J</t>
  </si>
  <si>
    <t>G702831381</t>
  </si>
  <si>
    <t>Y4WR7RX25K</t>
  </si>
  <si>
    <t>C2GRXMQ92N</t>
  </si>
  <si>
    <t>G702726947</t>
  </si>
  <si>
    <t>F8Y5446CDF018FKBW</t>
  </si>
  <si>
    <t>FG914230L2N18FM4D</t>
  </si>
  <si>
    <t>G702241641</t>
  </si>
  <si>
    <t>GCF51331MT0Q59TBA</t>
  </si>
  <si>
    <t>GCF513504P7Q59TBZ</t>
  </si>
  <si>
    <t>G701139987</t>
  </si>
  <si>
    <t>CXT6FDFVLY</t>
  </si>
  <si>
    <t>HVQ09HM211</t>
  </si>
  <si>
    <t>G684530336</t>
  </si>
  <si>
    <t>C52215FV2X</t>
  </si>
  <si>
    <t>G700921731</t>
  </si>
  <si>
    <t>CN6JQWP9YQ</t>
  </si>
  <si>
    <t>M2D44N4LFF</t>
  </si>
  <si>
    <t>G700816741</t>
  </si>
  <si>
    <t>F8Y5426C37SQ687BA</t>
  </si>
  <si>
    <t>F8Y036309RNQ6882P</t>
  </si>
  <si>
    <t>G700477163</t>
  </si>
  <si>
    <t>F8Y5506CND318FKB1</t>
  </si>
  <si>
    <t>FG9147318W118FM4C</t>
  </si>
  <si>
    <t>G700469989</t>
  </si>
  <si>
    <t>MLHF54F07Y</t>
  </si>
  <si>
    <t>ML2VG3X9JD</t>
  </si>
  <si>
    <t>G700112131</t>
  </si>
  <si>
    <t>GVH51670EQ7PR5PAS</t>
  </si>
  <si>
    <t>GVH53260JWXPR5PAR</t>
  </si>
  <si>
    <t>G699570955</t>
  </si>
  <si>
    <t>J4LFVW27M9</t>
  </si>
  <si>
    <t>G9YGY00FGF</t>
  </si>
  <si>
    <t>G698437765</t>
  </si>
  <si>
    <t>JV27PYDF0J</t>
  </si>
  <si>
    <t>MNQ77XKQ9Y</t>
  </si>
  <si>
    <t>G713411615</t>
  </si>
  <si>
    <t>F8Y6167C3XG18FKB3</t>
  </si>
  <si>
    <t>FG923160AKF18FMAT</t>
  </si>
  <si>
    <t>G712905925</t>
  </si>
  <si>
    <t>CLQ53F2TMC</t>
  </si>
  <si>
    <t>DR27QWC9D3</t>
  </si>
  <si>
    <t>G711851815</t>
  </si>
  <si>
    <t>MQ74MH76KF</t>
  </si>
  <si>
    <t>R2JY9N7FMG</t>
  </si>
  <si>
    <t>G711772617</t>
  </si>
  <si>
    <t>GMGHMK001M70000GVL</t>
  </si>
  <si>
    <t>GMGHL60021T0000GVK</t>
  </si>
  <si>
    <t>G708675457</t>
  </si>
  <si>
    <t>G02Q22DF4G</t>
  </si>
  <si>
    <t>C6F9W2P4JP</t>
  </si>
  <si>
    <t>G708246165</t>
  </si>
  <si>
    <t>G0NHGH00ZR20000HKZ</t>
  </si>
  <si>
    <t>GMHHG900WC00000BXF</t>
  </si>
  <si>
    <t>G706507865</t>
  </si>
  <si>
    <t>GH3HQ100PF40000MUZ</t>
  </si>
  <si>
    <t>G9NHPCN3XSQ0000MUY</t>
  </si>
  <si>
    <t>G706335913</t>
  </si>
  <si>
    <t>F8Y6053C83E18FKBQ</t>
  </si>
  <si>
    <t>FG9224319WZ18FMA3</t>
  </si>
  <si>
    <t>G705799279</t>
  </si>
  <si>
    <t>G9PHKYT1DM300005DP</t>
  </si>
  <si>
    <t>GVCHAV044MQ00005DQ</t>
  </si>
  <si>
    <t>G705238623</t>
  </si>
  <si>
    <t>F8Y5495C4QG217WBZ</t>
  </si>
  <si>
    <t>F5D2415EJT421PK7J</t>
  </si>
  <si>
    <t>G703032647</t>
  </si>
  <si>
    <t>F8YHN4C0DUE00006TP</t>
  </si>
  <si>
    <t>F5DGZJ009LF00006TQ</t>
  </si>
  <si>
    <t>G686196374</t>
  </si>
  <si>
    <t>JW69P9Q1K7</t>
  </si>
  <si>
    <t>KY617V2163</t>
  </si>
  <si>
    <t>G701158717</t>
  </si>
  <si>
    <t>MG3YGVQ4CT</t>
  </si>
  <si>
    <t>LXMJW7VJW6</t>
  </si>
  <si>
    <t>G683103138</t>
  </si>
  <si>
    <t>C02H9L006PP0000F74</t>
  </si>
  <si>
    <t>C02H5C0038F0000F74</t>
  </si>
  <si>
    <t>G698563713</t>
  </si>
  <si>
    <t>C9XLPW4G9K</t>
  </si>
  <si>
    <t>DT9WP66MGC</t>
  </si>
  <si>
    <t>G682426794</t>
  </si>
  <si>
    <t>F8Y5433C8ZWM6YND9</t>
  </si>
  <si>
    <t>FG900830PXLM6YR8T</t>
  </si>
  <si>
    <t>G714335127</t>
  </si>
  <si>
    <t>F8Y6066C7L113XCBD</t>
  </si>
  <si>
    <t>F5D1486HTRY13XD94</t>
  </si>
  <si>
    <t>G714187093</t>
  </si>
  <si>
    <t>DD74CR6T0C</t>
  </si>
  <si>
    <t>F99QTD40MP</t>
  </si>
  <si>
    <t>G713966143</t>
  </si>
  <si>
    <t>GVCHSB021LY0000U6M</t>
  </si>
  <si>
    <t>G9QHR7J2S8U0000MTE</t>
  </si>
  <si>
    <t>G712883727</t>
  </si>
  <si>
    <t>GVH51670YKMPR5PA9</t>
  </si>
  <si>
    <t>GVH51160W8WPR5PAH</t>
  </si>
  <si>
    <t>G692600062</t>
  </si>
  <si>
    <t>M6J52MJ6PF</t>
  </si>
  <si>
    <t>G709602269</t>
  </si>
  <si>
    <t>G9PHFDJ2R0A00005DR</t>
  </si>
  <si>
    <t>GH3HGY00RHW00005DS</t>
  </si>
  <si>
    <t>G708609115</t>
  </si>
  <si>
    <t>H4DWVJ3W2W</t>
  </si>
  <si>
    <t>C62P274190</t>
  </si>
  <si>
    <t>G707494129</t>
  </si>
  <si>
    <t>G9PHJQS164U00005DR</t>
  </si>
  <si>
    <t>GVCH8R0259Q00005DS</t>
  </si>
  <si>
    <t>G0NHD001D3Q0000HKZ</t>
  </si>
  <si>
    <t>FNJH7PG07ZT0000BXF</t>
  </si>
  <si>
    <t>G705336267</t>
  </si>
  <si>
    <t>G0NHBX024D10000HKZ</t>
  </si>
  <si>
    <t>GMHHG400LM00000BXF</t>
  </si>
  <si>
    <t>G703137403</t>
  </si>
  <si>
    <t>DNL53950K2617RRCE</t>
  </si>
  <si>
    <t>GCF50231N3K17RQU3</t>
  </si>
  <si>
    <t>DX3411604CB1L03A0</t>
  </si>
  <si>
    <t>GMH502400GX17HHAY</t>
  </si>
  <si>
    <t>G703977627</t>
  </si>
  <si>
    <t>WTLC926GTW</t>
  </si>
  <si>
    <t>DWR4X7XWDP</t>
  </si>
  <si>
    <t>G702373081</t>
  </si>
  <si>
    <t>GVCHPZ00R420000MUZ</t>
  </si>
  <si>
    <t>G9NHLLN70140000MUY</t>
  </si>
  <si>
    <t>G701510671</t>
  </si>
  <si>
    <t>DX353760AHH1L03AJ</t>
  </si>
  <si>
    <t>GMH51961U5D17HHAU</t>
  </si>
  <si>
    <t>G701300551</t>
  </si>
  <si>
    <t>G9Q5175E9SD1502AF</t>
  </si>
  <si>
    <t>GVC44440A1P1503AE</t>
  </si>
  <si>
    <t>G701279395</t>
  </si>
  <si>
    <t>G9P5152M4ASPQCLA7</t>
  </si>
  <si>
    <t>G9P2493MEFRPQCLAA</t>
  </si>
  <si>
    <t>G701082979</t>
  </si>
  <si>
    <t>G9P5186MNF0PQCLAM</t>
  </si>
  <si>
    <t>G9N2156Q2P2PQCLAR</t>
  </si>
  <si>
    <t>G698400005</t>
  </si>
  <si>
    <t>F8Y5451C06518FKBZ</t>
  </si>
  <si>
    <t>F8Y411302TM18FLB3</t>
  </si>
  <si>
    <t>G714955395</t>
  </si>
  <si>
    <t>G9Q5526SKC121KHAW</t>
  </si>
  <si>
    <t>G9Q5425S2B621KHAD</t>
  </si>
  <si>
    <t>G713187525</t>
  </si>
  <si>
    <t>TA661-45331</t>
  </si>
  <si>
    <t>1TB, Desert Titanium, ROW, iPhone 16 Pro Max, Logic Board Assy Mid Syste</t>
  </si>
  <si>
    <t>DXF09FC6C6</t>
  </si>
  <si>
    <t>FH0Q532WV6</t>
  </si>
  <si>
    <t>G711238157</t>
  </si>
  <si>
    <t>F8Y5325C3RGQ687B2</t>
  </si>
  <si>
    <t>F8Y04847LTKQ6872F</t>
  </si>
  <si>
    <t>G711010267</t>
  </si>
  <si>
    <t>FVHRWX5VQH</t>
  </si>
  <si>
    <t>DXW5Y7C9CN</t>
  </si>
  <si>
    <t>G710684351</t>
  </si>
  <si>
    <t>JDV701KPV9</t>
  </si>
  <si>
    <t>GJN12TNF60</t>
  </si>
  <si>
    <t>G692448250</t>
  </si>
  <si>
    <t>F8Y5516CG6B13RHCR</t>
  </si>
  <si>
    <t>F5D20337U4713RJ9H</t>
  </si>
  <si>
    <t>G709982861</t>
  </si>
  <si>
    <t>F8YHKQ00WWP0001510</t>
  </si>
  <si>
    <t>F8YHNJ008800001510</t>
  </si>
  <si>
    <t>G709525193</t>
  </si>
  <si>
    <t>G9NHFAS2G5W00005DR</t>
  </si>
  <si>
    <t>G9PHA0W1FQY00005DR</t>
  </si>
  <si>
    <t>G708962721</t>
  </si>
  <si>
    <t>G9PHJRS09Q600005DR</t>
  </si>
  <si>
    <t>GH3HFJ004CA00005DS</t>
  </si>
  <si>
    <t>G707301857</t>
  </si>
  <si>
    <t>TA661-55098</t>
  </si>
  <si>
    <t>Space Black, 256GB, iPhone Air, ROW, Taiwan, CI/AR</t>
  </si>
  <si>
    <t>K9H9K6L0MQ</t>
  </si>
  <si>
    <t>G706619109</t>
  </si>
  <si>
    <t>G9P5385M2JHPQCLAE</t>
  </si>
  <si>
    <t>G9N2171M0QSPQCLA8</t>
  </si>
  <si>
    <t>G703572059</t>
  </si>
  <si>
    <t>J7RTF39K9D</t>
  </si>
  <si>
    <t>HF3WH4CWCG</t>
  </si>
  <si>
    <t>G701518645</t>
  </si>
  <si>
    <t>HMQQW31C3F</t>
  </si>
  <si>
    <t>DX46MC2VKC</t>
  </si>
  <si>
    <t>G701209989</t>
  </si>
  <si>
    <t>C02H7Y000MD0000FN6</t>
  </si>
  <si>
    <t>FV9HD200MHY0000FN6</t>
  </si>
  <si>
    <t>C02HHC0009Q0000FN6</t>
  </si>
  <si>
    <t>G699577503</t>
  </si>
  <si>
    <t>F8Y5496CGXN18FKBA</t>
  </si>
  <si>
    <t>FG920541D9X18FM4C</t>
  </si>
  <si>
    <t>G698559093</t>
  </si>
  <si>
    <t>M4CQYW96JR</t>
  </si>
  <si>
    <t>K1VP9FL7T7</t>
  </si>
  <si>
    <t>G698541901</t>
  </si>
  <si>
    <t>G9P5263LDKQPQCKA6</t>
  </si>
  <si>
    <t>G9N1291YHG0PQCKA5</t>
  </si>
  <si>
    <t>G713960121</t>
  </si>
  <si>
    <t>MN75JTJCXG</t>
  </si>
  <si>
    <t>HQQJQNDF9R</t>
  </si>
  <si>
    <t>G713403609</t>
  </si>
  <si>
    <t>GH3HRT01P650000MUZ</t>
  </si>
  <si>
    <t>G9NHMMZ7EXB0000MUY</t>
  </si>
  <si>
    <t>G711456519</t>
  </si>
  <si>
    <t>F8Y6136C1AC18FKBE</t>
  </si>
  <si>
    <t>F8Y41630KSM18FLB8</t>
  </si>
  <si>
    <t>G710390331</t>
  </si>
  <si>
    <t>FK67X6K5WR</t>
  </si>
  <si>
    <t>G709058235</t>
  </si>
  <si>
    <t>DHW7T742YD</t>
  </si>
  <si>
    <t>G57LD7NR2Q</t>
  </si>
  <si>
    <t>G690022658</t>
  </si>
  <si>
    <t>G02H2XJYXJ</t>
  </si>
  <si>
    <t>GPP9GK7653</t>
  </si>
  <si>
    <t>G704503025</t>
  </si>
  <si>
    <t>F8Y6011C0MD20J9BZ</t>
  </si>
  <si>
    <t>F8Y30271BGA20JC2V</t>
  </si>
  <si>
    <t>G702270819</t>
  </si>
  <si>
    <t>RXN7XT6TYJ</t>
  </si>
  <si>
    <t>F3CHHGX54W</t>
  </si>
  <si>
    <t>G702044153</t>
  </si>
  <si>
    <t>GV9TH5KQ3Q</t>
  </si>
  <si>
    <t>G3XX5Q76V0</t>
  </si>
  <si>
    <t>G702043305</t>
  </si>
  <si>
    <t>FP406N4CLQ</t>
  </si>
  <si>
    <t>L52WG9KP67</t>
  </si>
  <si>
    <t>G684518132</t>
  </si>
  <si>
    <t>G9PHL0T236K00005DP</t>
  </si>
  <si>
    <t>G9PHC8D1PYU00005DP</t>
  </si>
  <si>
    <t>G700952367</t>
  </si>
  <si>
    <t>MF2T7H3KPF</t>
  </si>
  <si>
    <t>GXXVDKW7F9</t>
  </si>
  <si>
    <t>G698877127</t>
  </si>
  <si>
    <t>MD670X4WQC</t>
  </si>
  <si>
    <t>KWV2FF422G</t>
  </si>
  <si>
    <t>G715739013</t>
  </si>
  <si>
    <t>FMXHRR001UR00006J3</t>
  </si>
  <si>
    <t>F0YHGP0028000006J1</t>
  </si>
  <si>
    <t>G712926799</t>
  </si>
  <si>
    <t>CTHHQF1A06S0000NUR</t>
  </si>
  <si>
    <t>G711729833</t>
  </si>
  <si>
    <t>FV95344012P0W9GLY</t>
  </si>
  <si>
    <t>FV9544501QG0W9FL6</t>
  </si>
  <si>
    <t>G711238347</t>
  </si>
  <si>
    <t>KDPX7MQFJC</t>
  </si>
  <si>
    <t>DGP3HX21PH</t>
  </si>
  <si>
    <t>G711201911</t>
  </si>
  <si>
    <t>F8Y5442C3FCM6YNDG</t>
  </si>
  <si>
    <t>F8Y027637UAM6YNBC</t>
  </si>
  <si>
    <t>G709999327</t>
  </si>
  <si>
    <t>F8Y6122C15F231LB8</t>
  </si>
  <si>
    <t>FG9236313ZP22XP62</t>
  </si>
  <si>
    <t>G709764713</t>
  </si>
  <si>
    <t>G9Q5177EDNK1502AF</t>
  </si>
  <si>
    <t>GVC435408411503AT</t>
  </si>
  <si>
    <t>G709296899</t>
  </si>
  <si>
    <t>L9X7F50C4P</t>
  </si>
  <si>
    <t>H7YWXQP22L</t>
  </si>
  <si>
    <t>G690475624</t>
  </si>
  <si>
    <t>FQYR2CFXFG</t>
  </si>
  <si>
    <t>JRKYPNY9Y5</t>
  </si>
  <si>
    <t>G708275225</t>
  </si>
  <si>
    <t>H9XR06HQRY</t>
  </si>
  <si>
    <t>WC1749XR23</t>
  </si>
  <si>
    <t>G705615071</t>
  </si>
  <si>
    <t>CYPQ9L4XKN</t>
  </si>
  <si>
    <t>J6Y69WJT69</t>
  </si>
  <si>
    <t>G703379769</t>
  </si>
  <si>
    <t>F8Y5425C12J18FKB2</t>
  </si>
  <si>
    <t>F8Y227410P218FLAN</t>
  </si>
  <si>
    <t>G686489870</t>
  </si>
  <si>
    <t>D865386N173PJYRBK</t>
  </si>
  <si>
    <t>D863354A47LPJYRAM</t>
  </si>
  <si>
    <t>D865386N185PJYRBE</t>
  </si>
  <si>
    <t>D865507N0S7PJYRBE</t>
  </si>
  <si>
    <t>G702343067</t>
  </si>
  <si>
    <t>G9Q5155F10FPR5QAD</t>
  </si>
  <si>
    <t>G9P5283C4KFPR5QAP</t>
  </si>
  <si>
    <t>G702223835</t>
  </si>
  <si>
    <t>G9NHFBQ1TPW00005DR</t>
  </si>
  <si>
    <t>GH3HAS02FVC00005DS</t>
  </si>
  <si>
    <t>G716590719</t>
  </si>
  <si>
    <t>F5D346208LE10DLBK</t>
  </si>
  <si>
    <t>G713541681</t>
  </si>
  <si>
    <t>DM064V06PF</t>
  </si>
  <si>
    <t>H2K6V3Y63H</t>
  </si>
  <si>
    <t>G713079409</t>
  </si>
  <si>
    <t>TA661-45243</t>
  </si>
  <si>
    <t>512GB, Pink, ROW, iPhone 16 Plus, Logic Board Assy Mid System</t>
  </si>
  <si>
    <t>H6X35729N3</t>
  </si>
  <si>
    <t>K46J76L46F</t>
  </si>
  <si>
    <t>G694517550</t>
  </si>
  <si>
    <t>F8Y6153C19X20J9B1</t>
  </si>
  <si>
    <t>F8Y241616U320J92B</t>
  </si>
  <si>
    <t>G711781567</t>
  </si>
  <si>
    <t>F8Y6127C1ZK217WBR</t>
  </si>
  <si>
    <t>F5D2447CX6U21PK75</t>
  </si>
  <si>
    <t>G711117375</t>
  </si>
  <si>
    <t>F8Y6125C66J18FKBK</t>
  </si>
  <si>
    <t>F8Y22810UQE18FLAG</t>
  </si>
  <si>
    <t>G710334805</t>
  </si>
  <si>
    <t>KJJCXFWYXC</t>
  </si>
  <si>
    <t>G709992587</t>
  </si>
  <si>
    <t>FYDT6XD2D0</t>
  </si>
  <si>
    <t>D764C5XQWG</t>
  </si>
  <si>
    <t>G708291157</t>
  </si>
  <si>
    <t>F8Y5447C2N9Q687BA</t>
  </si>
  <si>
    <t>F8Y11760N04Q6882U</t>
  </si>
  <si>
    <t>G707422747</t>
  </si>
  <si>
    <t>GMW0MXJ6HC</t>
  </si>
  <si>
    <t>H5H160QWP0</t>
  </si>
  <si>
    <t>G706328445</t>
  </si>
  <si>
    <t>G9QHQLM4A9Q0000L4B</t>
  </si>
  <si>
    <t>G9NHLEJ6D2N0000L4B</t>
  </si>
  <si>
    <t>G705254529</t>
  </si>
  <si>
    <t>K6MX70GPVX</t>
  </si>
  <si>
    <t>MG76XQT6R4</t>
  </si>
  <si>
    <t>G703900505</t>
  </si>
  <si>
    <t>XLJP9XNG4N</t>
  </si>
  <si>
    <t>TJ2VH66R72</t>
  </si>
  <si>
    <t>G703578435</t>
  </si>
  <si>
    <t>DNPHMR00D620000FER</t>
  </si>
  <si>
    <t>FNJHFZB0AVY00006SX</t>
  </si>
  <si>
    <t>G702481587</t>
  </si>
  <si>
    <t>J9Q547600EB0GKWA5</t>
  </si>
  <si>
    <t>FNJ5256BPMYQ274AR</t>
  </si>
  <si>
    <t>GCF3131A3J6Q59TBW</t>
  </si>
  <si>
    <t>GCF53830QNMQ59TBM</t>
  </si>
  <si>
    <t>G701276601</t>
  </si>
  <si>
    <t>F8Y5483C8KKQ4C2BQ</t>
  </si>
  <si>
    <t>F8Y103617KXQ4C29C</t>
  </si>
  <si>
    <t>G701076927</t>
  </si>
  <si>
    <t>661-15939</t>
  </si>
  <si>
    <t>Logic Board, 2.0 GHz,16 GB, 1 TB</t>
  </si>
  <si>
    <t>C021276029EP8NQ1D</t>
  </si>
  <si>
    <t>G700117513</t>
  </si>
  <si>
    <t>G9P5364MB3JPQCLAN</t>
  </si>
  <si>
    <t>G9P1504Q5DPPQCLAC</t>
  </si>
  <si>
    <t>G699871689</t>
  </si>
  <si>
    <t>HQY4TWPYXL</t>
  </si>
  <si>
    <t>DK9D566GJM</t>
  </si>
  <si>
    <t>G699681069</t>
  </si>
  <si>
    <t>F8Y5462C34H217WB3</t>
  </si>
  <si>
    <t>F5D24434QMB21PK7C</t>
  </si>
  <si>
    <t>G683140548</t>
  </si>
  <si>
    <t>LT9GF7GW17</t>
  </si>
  <si>
    <t>DP9X6YDPW7</t>
  </si>
  <si>
    <t>G699235845</t>
  </si>
  <si>
    <t>H0XDFXXVWY</t>
  </si>
  <si>
    <t>JCG2Y9HXY7</t>
  </si>
  <si>
    <t>G699235017</t>
  </si>
  <si>
    <t>Y6VC26Q6GR</t>
  </si>
  <si>
    <t>Q1KH3Y30QQ</t>
  </si>
  <si>
    <t>G698998457</t>
  </si>
  <si>
    <t>GMG549100K5NR89BD</t>
  </si>
  <si>
    <t>FP11471030CP3WVAQ</t>
  </si>
  <si>
    <t>G682414192</t>
  </si>
  <si>
    <t>G9PHKVF043X00005DP</t>
  </si>
  <si>
    <t>G9PHCCT38W400005DP</t>
  </si>
  <si>
    <t>G715538641</t>
  </si>
  <si>
    <t>GVCHKL03Y6F0000HU9</t>
  </si>
  <si>
    <t>G9QHK7J0F3D0000HU8</t>
  </si>
  <si>
    <t>G715301411</t>
  </si>
  <si>
    <t>F8Y6171C12E13XCBT</t>
  </si>
  <si>
    <t>F5D21521RLY13X9AF</t>
  </si>
  <si>
    <t>G712239013</t>
  </si>
  <si>
    <t>PP661-18120</t>
  </si>
  <si>
    <t>Blue, 128GB, iPhone 12 mini, ROW, Philippines, CI/AR</t>
  </si>
  <si>
    <t>H9PNL0090GQ0</t>
  </si>
  <si>
    <t>FFWDNR4K0GQ0</t>
  </si>
  <si>
    <t>G711193249</t>
  </si>
  <si>
    <t>GDY2WTQ6F5</t>
  </si>
  <si>
    <t>D76N9N92TC</t>
  </si>
  <si>
    <t>G710231467</t>
  </si>
  <si>
    <t>F8Y6045C4FQ18FKBH</t>
  </si>
  <si>
    <t>F8Y34940K3418FLAK</t>
  </si>
  <si>
    <t>G691480440</t>
  </si>
  <si>
    <t>G9Q5173C944PR5QA9</t>
  </si>
  <si>
    <t>GVH50933PEKPR5PAN</t>
  </si>
  <si>
    <t>G709283153</t>
  </si>
  <si>
    <t>HF4DK73FCN</t>
  </si>
  <si>
    <t>K29XWHG2X3</t>
  </si>
  <si>
    <t>G708962349</t>
  </si>
  <si>
    <t>JMH9YYG67W</t>
  </si>
  <si>
    <t>M0WMM74297</t>
  </si>
  <si>
    <t>G708071843</t>
  </si>
  <si>
    <t>CCWD02R594</t>
  </si>
  <si>
    <t>J4RT9RL0V4</t>
  </si>
  <si>
    <t>G707619661</t>
  </si>
  <si>
    <t>JG26K7JK7Q</t>
  </si>
  <si>
    <t>K63HCW76TY</t>
  </si>
  <si>
    <t>G707416137</t>
  </si>
  <si>
    <t>DXYHB481BKL0000CZG</t>
  </si>
  <si>
    <t>CTHHCP82NXJ0000CZE</t>
  </si>
  <si>
    <t>G690020494</t>
  </si>
  <si>
    <t>DRWK2XXFQC</t>
  </si>
  <si>
    <t>M6VTDF07H9</t>
  </si>
  <si>
    <t>G703898309</t>
  </si>
  <si>
    <t>F8Y6011C1Q220J9B0</t>
  </si>
  <si>
    <t>F8Y30142DDF20JC20</t>
  </si>
  <si>
    <t>G703577445</t>
  </si>
  <si>
    <t>G9NHQ2J1V0Z0000L4B</t>
  </si>
  <si>
    <t>G9NHHVX0U430000L4B</t>
  </si>
  <si>
    <t>G702360557</t>
  </si>
  <si>
    <t>L6HYDV0FGW</t>
  </si>
  <si>
    <t>H2R9THCWWD</t>
  </si>
  <si>
    <t>G701316123</t>
  </si>
  <si>
    <t>GPXK16RGPF</t>
  </si>
  <si>
    <t>DXTJY1Q7NL</t>
  </si>
  <si>
    <t>G700874685</t>
  </si>
  <si>
    <t>F0YHKB000K10000GVK</t>
  </si>
  <si>
    <t>FP1HFR003DJ0000G29</t>
  </si>
  <si>
    <t>G698999193</t>
  </si>
  <si>
    <t>D865386N11MPJYRBK</t>
  </si>
  <si>
    <t>D864193A1LNPJYRB2</t>
  </si>
  <si>
    <t>G698258297</t>
  </si>
  <si>
    <t>GVKQD97W6N</t>
  </si>
  <si>
    <t>ML43446LQW</t>
  </si>
  <si>
    <t>G714557907</t>
  </si>
  <si>
    <t>F8Y6172C6WM18FKB0</t>
  </si>
  <si>
    <t>F8Y41340TQD18FLBN</t>
  </si>
  <si>
    <t>G713366899</t>
  </si>
  <si>
    <t>F8Y6114C10018FKBW</t>
  </si>
  <si>
    <t>FG914230MHD18FM4A</t>
  </si>
  <si>
    <t>G713263463</t>
  </si>
  <si>
    <t>G9QHRTM183U0000L4B</t>
  </si>
  <si>
    <t>G9QHLED37PJ0000L4B</t>
  </si>
  <si>
    <t>G712798437</t>
  </si>
  <si>
    <t>F8Y6052C4DA18FKB3</t>
  </si>
  <si>
    <t>FG9317502X318FNAS</t>
  </si>
  <si>
    <t>G712789785</t>
  </si>
  <si>
    <t>DQFQF0637F</t>
  </si>
  <si>
    <t>G712445419</t>
  </si>
  <si>
    <t>M614NK97RL</t>
  </si>
  <si>
    <t>G7T54733CM</t>
  </si>
  <si>
    <t>GVCHKD048PK0000HU9</t>
  </si>
  <si>
    <t>G9QHLFJ04WE0000HU8</t>
  </si>
  <si>
    <t>G711778611</t>
  </si>
  <si>
    <t>FQ66WKMVTQ</t>
  </si>
  <si>
    <t>HKWWM47X2H</t>
  </si>
  <si>
    <t>G711717049</t>
  </si>
  <si>
    <t>D4WXC4FN96</t>
  </si>
  <si>
    <t>HKVX6970QK</t>
  </si>
  <si>
    <t>G709889859</t>
  </si>
  <si>
    <t>L5Y0G94DH7</t>
  </si>
  <si>
    <t>L4L7RMXM2G</t>
  </si>
  <si>
    <t>G708194915</t>
  </si>
  <si>
    <t>F8Y6056C74T18FKB6</t>
  </si>
  <si>
    <t>F8Y22330T1118FLAA</t>
  </si>
  <si>
    <t>G708185435</t>
  </si>
  <si>
    <t>G9PHJUS2CWP00005DR</t>
  </si>
  <si>
    <t>GH3HFQ019YK00005DS</t>
  </si>
  <si>
    <t>G708566673</t>
  </si>
  <si>
    <t>NVM5QYJTJY</t>
  </si>
  <si>
    <t>J64Y4QP9HR</t>
  </si>
  <si>
    <t>G705733079</t>
  </si>
  <si>
    <t>G9PHK5S26M700005DR</t>
  </si>
  <si>
    <t>G9PHHTS1MUB00005DR</t>
  </si>
  <si>
    <t>G703865959</t>
  </si>
  <si>
    <t>F8Y5433C0DAM6YNDV</t>
  </si>
  <si>
    <t>FG915150P5CM6YRCA</t>
  </si>
  <si>
    <t>G703039003</t>
  </si>
  <si>
    <t>G0NHP600Q1G0000YJ1</t>
  </si>
  <si>
    <t>DTTHMN01JA00000QTV</t>
  </si>
  <si>
    <t>DN8HJE05DAJ0000JS5</t>
  </si>
  <si>
    <t>G703959939</t>
  </si>
  <si>
    <t>LGVL70NK22</t>
  </si>
  <si>
    <t>CDHJDQV6TL</t>
  </si>
  <si>
    <t>G702372005</t>
  </si>
  <si>
    <t>JWCFX1XMNX</t>
  </si>
  <si>
    <t>G3JV7YNR45</t>
  </si>
  <si>
    <t>G702227441</t>
  </si>
  <si>
    <t>G37TN4YP20</t>
  </si>
  <si>
    <t>KXLYC2F4KK</t>
  </si>
  <si>
    <t>G701781045</t>
  </si>
  <si>
    <t>G0NHKJ00BXM0000HKZ</t>
  </si>
  <si>
    <t>GMHHDX021ZT0000BXF</t>
  </si>
  <si>
    <t>DN8HEE08Z8500006S2</t>
  </si>
  <si>
    <t>DN8HHF081QN00006S2</t>
  </si>
  <si>
    <t>J0MHKC006C90000U65</t>
  </si>
  <si>
    <t>J0MHEF00FGT0000U65</t>
  </si>
  <si>
    <t>G701161431</t>
  </si>
  <si>
    <t>F8Y5441C2D313XCBD</t>
  </si>
  <si>
    <t>F5D14246UXZ13XD93</t>
  </si>
  <si>
    <t>G684517124</t>
  </si>
  <si>
    <t>DJ29Q7DV4Y</t>
  </si>
  <si>
    <t>J60CCPWNNV</t>
  </si>
  <si>
    <t>G700708725</t>
  </si>
  <si>
    <t>F8Y5433C79WM6YNDE</t>
  </si>
  <si>
    <t>F8Y93921TFZM6YM7X</t>
  </si>
  <si>
    <t>G699984503</t>
  </si>
  <si>
    <t>F8Y5467C6U913RHCQ</t>
  </si>
  <si>
    <t>F8Y209306HH13RHBU</t>
  </si>
  <si>
    <t>G698692409</t>
  </si>
  <si>
    <t>G9QHEUM2SKM00004Y9</t>
  </si>
  <si>
    <t>G9QHBPP15VU00004Y9</t>
  </si>
  <si>
    <t>G714338451</t>
  </si>
  <si>
    <t>F8Y6172C0K318FKBP</t>
  </si>
  <si>
    <t>FG922651B3918FMAW</t>
  </si>
  <si>
    <t>G714214415</t>
  </si>
  <si>
    <t>C9YQRXDQJF</t>
  </si>
  <si>
    <t>FN7QGQ69J0</t>
  </si>
  <si>
    <t>G713290089</t>
  </si>
  <si>
    <t>DDHQFHXMRW</t>
  </si>
  <si>
    <t>DHP6KMRQLX</t>
  </si>
  <si>
    <t>G711892975</t>
  </si>
  <si>
    <t>F8Y6132C0GHQ687BW</t>
  </si>
  <si>
    <t>F8Y10132FBPQ6882Z</t>
  </si>
  <si>
    <t>G711458799</t>
  </si>
  <si>
    <t>G9QHP9T06YB00004Y9</t>
  </si>
  <si>
    <t>G9QHEGQ18WW00004Y9</t>
  </si>
  <si>
    <t>G709286261</t>
  </si>
  <si>
    <t>KW9P7J6WQR</t>
  </si>
  <si>
    <t>G709059607</t>
  </si>
  <si>
    <t>GVCHPY03FM20000MUZ</t>
  </si>
  <si>
    <t>GH3HM002H510000MUZ</t>
  </si>
  <si>
    <t>G708736309</t>
  </si>
  <si>
    <t>F8Y6042C0AF20J9BL</t>
  </si>
  <si>
    <t>F8Y24520B5E20JC2N</t>
  </si>
  <si>
    <t>G708615003</t>
  </si>
  <si>
    <t>923-11061</t>
  </si>
  <si>
    <t>Main Microphone, iPhone 16</t>
  </si>
  <si>
    <t>DNPH9D00A2W0000FET</t>
  </si>
  <si>
    <t>G709371855</t>
  </si>
  <si>
    <t>TA661-43503</t>
  </si>
  <si>
    <t>256GB, Black, ROW, iPhone 16, CI/AR</t>
  </si>
  <si>
    <t>J0V9JQ0WP9</t>
  </si>
  <si>
    <t>M36XKFC9C1</t>
  </si>
  <si>
    <t>G708496689</t>
  </si>
  <si>
    <t>JX6Y44D990</t>
  </si>
  <si>
    <t>Q9NMV4022V</t>
  </si>
  <si>
    <t>G707308159</t>
  </si>
  <si>
    <t>J21QREX826JY</t>
  </si>
  <si>
    <t>G707127577</t>
  </si>
  <si>
    <t>ZP661-20443</t>
  </si>
  <si>
    <t>Space Gray, 256 GB, iPad Pro 12.9-inch, 5th gen, Cellular, ITP</t>
  </si>
  <si>
    <t>KJ6Q0YTY2T</t>
  </si>
  <si>
    <t>P6Y429QRY6</t>
  </si>
  <si>
    <t>G706514151</t>
  </si>
  <si>
    <t>GC20G4Y9PC</t>
  </si>
  <si>
    <t>MTF9RMW4JG</t>
  </si>
  <si>
    <t>G706165555</t>
  </si>
  <si>
    <t>F8Y5425C4R514LWCL</t>
  </si>
  <si>
    <t>F5D20314FFC14LX94</t>
  </si>
  <si>
    <t>G705018089</t>
  </si>
  <si>
    <t>KJW6Y4NJ5T</t>
  </si>
  <si>
    <t>HNG61VWTK6</t>
  </si>
  <si>
    <t>G702840049</t>
  </si>
  <si>
    <t>G67FY2LPDP</t>
  </si>
  <si>
    <t>JR4HRWPWQ9</t>
  </si>
  <si>
    <t>G702775655</t>
  </si>
  <si>
    <t>H099V9C2DC</t>
  </si>
  <si>
    <t>LFY7GYD62T</t>
  </si>
  <si>
    <t>G702471205</t>
  </si>
  <si>
    <t>L1Q2NDXWV9</t>
  </si>
  <si>
    <t>C6GJWL4JFH</t>
  </si>
  <si>
    <t>G701634679</t>
  </si>
  <si>
    <t>F8Y5506CGQG18FKBV</t>
  </si>
  <si>
    <t>F8Y221407KL18FLAW</t>
  </si>
  <si>
    <t>G701183843</t>
  </si>
  <si>
    <t>J9Q5296003D0GKWAY</t>
  </si>
  <si>
    <t>GMH45221H93Q189AZ</t>
  </si>
  <si>
    <t>G700861641</t>
  </si>
  <si>
    <t>G9PHKJG1JX100005DP</t>
  </si>
  <si>
    <t>GVCHAC01KUZ00005DQ</t>
  </si>
  <si>
    <t>G700430907</t>
  </si>
  <si>
    <t>GVCHND01GKB0000MUZ</t>
  </si>
  <si>
    <t>G9NHM4L9KVJ0000MUY</t>
  </si>
  <si>
    <t>G699669975</t>
  </si>
  <si>
    <t>TA661-35495</t>
  </si>
  <si>
    <t>Black, iPhone 15 Plus, 256GB, ROW, CI/AR, Taiwan</t>
  </si>
  <si>
    <t>M2NPG20J32</t>
  </si>
  <si>
    <t>G699263155</t>
  </si>
  <si>
    <t>F8Y5445CAAX28FKBJ</t>
  </si>
  <si>
    <t>F8Y32520CPY18FLAN</t>
  </si>
  <si>
    <t>G714832969</t>
  </si>
  <si>
    <t>G9P5266QDCE1PHRA0</t>
  </si>
  <si>
    <t>GH341131AXZ1PHTAC</t>
  </si>
  <si>
    <t>G712323679</t>
  </si>
  <si>
    <t>F8Y6156C30K18FKBV</t>
  </si>
  <si>
    <t>FG9347409XR18FMAW</t>
  </si>
  <si>
    <t>G711414665</t>
  </si>
  <si>
    <t>F8Y6136C00D18FKBA</t>
  </si>
  <si>
    <t>F8Y41130DKY18FLB5</t>
  </si>
  <si>
    <t>G710985895</t>
  </si>
  <si>
    <t>F8Y5516CAX413RHCX</t>
  </si>
  <si>
    <t>F5D20159FUN13RJ99</t>
  </si>
  <si>
    <t>G706305423</t>
  </si>
  <si>
    <t>HHJNRYWDJY</t>
  </si>
  <si>
    <t>FRJPV6D065</t>
  </si>
  <si>
    <t>G705291861</t>
  </si>
  <si>
    <t>ZP661-50318</t>
  </si>
  <si>
    <t>iPad Air 13-inch (M3) Wi-Fi, 512GB, Space Gray, CI/AR, CN</t>
  </si>
  <si>
    <t>KQVRK273J2</t>
  </si>
  <si>
    <t>LW9DH5X99H</t>
  </si>
  <si>
    <t>G703862479</t>
  </si>
  <si>
    <t>F8Y5441C3CX13XCBM</t>
  </si>
  <si>
    <t>F8Y13771L4M13XC8A</t>
  </si>
  <si>
    <t>G703438747</t>
  </si>
  <si>
    <t>GHQ603700Q52FT7AZ</t>
  </si>
  <si>
    <t>GHQ128402K8167TAU</t>
  </si>
  <si>
    <t>G684320784</t>
  </si>
  <si>
    <t>DNL522203D21986BV</t>
  </si>
  <si>
    <t>DNL34610BC51986BE</t>
  </si>
  <si>
    <t>G699972587</t>
  </si>
  <si>
    <t>G9Q5381U5L721KHAX</t>
  </si>
  <si>
    <t>GVH51061ZJJ1PHLAX</t>
  </si>
  <si>
    <t>G699898195</t>
  </si>
  <si>
    <t>GH9760XWFH</t>
  </si>
  <si>
    <t>HQ7GJDGYQ4</t>
  </si>
  <si>
    <t>G715055801</t>
  </si>
  <si>
    <t>G9Q6036UGRM21KHA1</t>
  </si>
  <si>
    <t>G9Q5317VCMT21KHAD</t>
  </si>
  <si>
    <t>G714397981</t>
  </si>
  <si>
    <t>G9NHQJH206N0000L4B</t>
  </si>
  <si>
    <t>G9QHMDF2N8A0000L4B</t>
  </si>
  <si>
    <t>J9KHQ80096V0000XXS</t>
  </si>
  <si>
    <t>FNJHM0M098J0000QTS</t>
  </si>
  <si>
    <t>G711459839</t>
  </si>
  <si>
    <t>DNL5301041P1986AJ</t>
  </si>
  <si>
    <t>DNL31831W9V1986B6</t>
  </si>
  <si>
    <t>G709081139</t>
  </si>
  <si>
    <t>G9NHFDS0K5H00005DR</t>
  </si>
  <si>
    <t>G9NHBXQ0S6D00005DR</t>
  </si>
  <si>
    <t>G708982513</t>
  </si>
  <si>
    <t>F8Y6057CHR918FKBJ</t>
  </si>
  <si>
    <t>F8Y20111U7A18FKAQ</t>
  </si>
  <si>
    <t>G703501571</t>
  </si>
  <si>
    <t>F8Y5034C2TCM6YNDL</t>
  </si>
  <si>
    <t>F8Y94340N31M6YP7J</t>
  </si>
  <si>
    <t>G700500209</t>
  </si>
  <si>
    <t>GMGHLZ000JT0000HX2</t>
  </si>
  <si>
    <t>F0YHJ7001GF0000HX2</t>
  </si>
  <si>
    <t>G709633527</t>
  </si>
  <si>
    <t>F8Y5433CCFAM6YNDB</t>
  </si>
  <si>
    <t>F8Y2535080BM6YNB5</t>
  </si>
  <si>
    <t>G704108003</t>
  </si>
  <si>
    <t>F8Y5455C0TM13XCBG</t>
  </si>
  <si>
    <t>F5D1492JXEW13X993</t>
  </si>
  <si>
    <t>G700868899</t>
  </si>
  <si>
    <t>PA661-42160</t>
  </si>
  <si>
    <t>Beats Solo Buds, Right, Black, CI/AR, PAC</t>
  </si>
  <si>
    <t>HNYHJE00N7Q0000JT4</t>
  </si>
  <si>
    <t>JJ3FJC09GN</t>
  </si>
  <si>
    <t>G700095017</t>
  </si>
  <si>
    <t>G0NHCQ00E0P0000HKZ</t>
  </si>
  <si>
    <t>GMHHEV01XRK0000BXF</t>
  </si>
  <si>
    <t>G710758967</t>
  </si>
  <si>
    <t>DQV6HFD7LD</t>
  </si>
  <si>
    <t>G710662263</t>
  </si>
  <si>
    <t>H3VHPW0076V0000UHZ</t>
  </si>
  <si>
    <t>G709030809</t>
  </si>
  <si>
    <t>F8Y5455C0D913XCB2</t>
  </si>
  <si>
    <t>F8Y22140JK713X887</t>
  </si>
  <si>
    <t>G9P5222M3EYPQCLAY</t>
  </si>
  <si>
    <t>G9N2211M937PQCLAW</t>
  </si>
  <si>
    <t>G690021812</t>
  </si>
  <si>
    <t>G9PHK7S0DB200005DR</t>
  </si>
  <si>
    <t>GVCHCJ01TMA00005DS</t>
  </si>
  <si>
    <t>G705451581</t>
  </si>
  <si>
    <t>M7QW4YQT09</t>
  </si>
  <si>
    <t>GX5TXNLC71</t>
  </si>
  <si>
    <t>G704728705</t>
  </si>
  <si>
    <t>HJ0HFHYW1Y</t>
  </si>
  <si>
    <t>F20WQKQNVL</t>
  </si>
  <si>
    <t>G702990411</t>
  </si>
  <si>
    <t>G9P5152M08SPQCLAH</t>
  </si>
  <si>
    <t>G9P2152PCF2PQCLAB</t>
  </si>
  <si>
    <t>G702837093</t>
  </si>
  <si>
    <t>G9P5162LP6KPQCKA8</t>
  </si>
  <si>
    <t>G9P2282L2A2PQCKA2</t>
  </si>
  <si>
    <t>G702695523</t>
  </si>
  <si>
    <t>HT961FX07K</t>
  </si>
  <si>
    <t>JK9GWL22Y3</t>
  </si>
  <si>
    <t>G702694823</t>
  </si>
  <si>
    <t>DNMHG301Z2L000048L</t>
  </si>
  <si>
    <t>GCFHJX0BA3S00005LT</t>
  </si>
  <si>
    <t>G701154833</t>
  </si>
  <si>
    <t>LN4J75YX3H</t>
  </si>
  <si>
    <t>JVNM7JXDWV</t>
  </si>
  <si>
    <t>G700666453</t>
  </si>
  <si>
    <t>JLGW796NN6</t>
  </si>
  <si>
    <t>HXNV9DG6FQ</t>
  </si>
  <si>
    <t>G699127343</t>
  </si>
  <si>
    <t>C02HEB0038D0000P12</t>
  </si>
  <si>
    <t>J33HKL00CH30000P11</t>
  </si>
  <si>
    <t>G698632155</t>
  </si>
  <si>
    <t>FWXYMFQCWM</t>
  </si>
  <si>
    <t>JWCL6F6V7L</t>
  </si>
  <si>
    <t>G710893359</t>
  </si>
  <si>
    <t>F8Y6126C5QC20J9BB</t>
  </si>
  <si>
    <t>F8Y24530K7H20J927</t>
  </si>
  <si>
    <t>G709422385</t>
  </si>
  <si>
    <t>FG9HRG003D600006TT</t>
  </si>
  <si>
    <t>FG9H0600J7R00006TV</t>
  </si>
  <si>
    <t>G9P5284QD1P1PHRAL</t>
  </si>
  <si>
    <t>G9N3415SN8D1PHRAK</t>
  </si>
  <si>
    <t>G688632346</t>
  </si>
  <si>
    <t>F8Y6053CR3018FKBM</t>
  </si>
  <si>
    <t>F8Y41640X8N18FLBE</t>
  </si>
  <si>
    <t>G704108513</t>
  </si>
  <si>
    <t>F8Y5243C12R13RHC1</t>
  </si>
  <si>
    <t>F8Y14730FY713RFBR</t>
  </si>
  <si>
    <t>G703712975</t>
  </si>
  <si>
    <t>F8Y5527N1570J9TB8</t>
  </si>
  <si>
    <t>F8Y142400WG0J9TAA</t>
  </si>
  <si>
    <t>G701981403</t>
  </si>
  <si>
    <t>GD7QW1Y1266W</t>
  </si>
  <si>
    <t>J95PNKVS266W</t>
  </si>
  <si>
    <t>G700956043</t>
  </si>
  <si>
    <t>G9P5163LA03PQCKAL</t>
  </si>
  <si>
    <t>G9P2191KKBAPQCKAA</t>
  </si>
  <si>
    <t>G713733509</t>
  </si>
  <si>
    <t>J65JL792GT</t>
  </si>
  <si>
    <t>L7MJQFFWYX</t>
  </si>
  <si>
    <t>G712460171</t>
  </si>
  <si>
    <t>G9P4472M0C7PQCLAJ</t>
  </si>
  <si>
    <t>G9P2096M0BBPQCLAH</t>
  </si>
  <si>
    <t>G711418687</t>
  </si>
  <si>
    <t>JPVH1QGQQK</t>
  </si>
  <si>
    <t>FXWV2XWJ4K</t>
  </si>
  <si>
    <t>G710904053</t>
  </si>
  <si>
    <t>PA661-52488</t>
  </si>
  <si>
    <t>Beats Studio Pro Wireless, Sand Stone, CI/AR, VN</t>
  </si>
  <si>
    <t>HNYRJ0XM266Y</t>
  </si>
  <si>
    <t>GD7NWXHX266Y</t>
  </si>
  <si>
    <t>G710187781</t>
  </si>
  <si>
    <t>F8Y6024C0RYQ4C2BK</t>
  </si>
  <si>
    <t>F5D10721UHUQ4C09N</t>
  </si>
  <si>
    <t>G709869947</t>
  </si>
  <si>
    <t>F8Y6054C9LJ18FKB1</t>
  </si>
  <si>
    <t>FG9224315TA18FMA5</t>
  </si>
  <si>
    <t>G709734007</t>
  </si>
  <si>
    <t>GH3HQM015H60000MUZ</t>
  </si>
  <si>
    <t>G9NHL2Y3L4T0000MUY</t>
  </si>
  <si>
    <t>G709376859</t>
  </si>
  <si>
    <t>923-12436</t>
  </si>
  <si>
    <t>MagSafe 3 Board, Midnight, MBA (15-in, M4, 2025)</t>
  </si>
  <si>
    <t>GQ4HMKH05JS0000VTQ+A</t>
  </si>
  <si>
    <t>G709205797</t>
  </si>
  <si>
    <t>KJKFW09GXY</t>
  </si>
  <si>
    <t>G707703947</t>
  </si>
  <si>
    <t>F8Y6101C07F231LBA</t>
  </si>
  <si>
    <t>FG932870CG022XPAC</t>
  </si>
  <si>
    <t>G706730401</t>
  </si>
  <si>
    <t>F8Y6056CA9V18FKBL</t>
  </si>
  <si>
    <t>F8Y13962A5X18FLAU</t>
  </si>
  <si>
    <t>G703609797</t>
  </si>
  <si>
    <t>F924GQ9XC6</t>
  </si>
  <si>
    <t>KY9F6C1K7M</t>
  </si>
  <si>
    <t>G698843345</t>
  </si>
  <si>
    <t>F0YHL20007E00006J1</t>
  </si>
  <si>
    <t>FP1HDR004VD0000FQX</t>
  </si>
  <si>
    <t>G698673775</t>
  </si>
  <si>
    <t>F8Y5453N1G1Q1LTBR</t>
  </si>
  <si>
    <t>F8Y2505H1XBQ1LTA9</t>
  </si>
  <si>
    <t>G694206830</t>
  </si>
  <si>
    <t>F8Y6101C04X13XCBS</t>
  </si>
  <si>
    <t>F5D14021MNT13X992</t>
  </si>
  <si>
    <t>G709381747</t>
  </si>
  <si>
    <t>J9Q5476009B0GKWAL</t>
  </si>
  <si>
    <t>GMH51660AJDQ189AR</t>
  </si>
  <si>
    <t>G707303653</t>
  </si>
  <si>
    <t>J9Q547600AS0GKWA2</t>
  </si>
  <si>
    <t>GMH51561G8TQ189A1</t>
  </si>
  <si>
    <t>G705200889</t>
  </si>
  <si>
    <t>F8YHQ0H05WC0000UMJ</t>
  </si>
  <si>
    <t>F8YHHTH0NTN0000UMJ</t>
  </si>
  <si>
    <t>G702912657</t>
  </si>
  <si>
    <t>F8Y5433C4SLM6YNDA</t>
  </si>
  <si>
    <t>FG920420SZGM6YRCH</t>
  </si>
  <si>
    <t>G700927243</t>
  </si>
  <si>
    <t>661-30399</t>
  </si>
  <si>
    <t>True Depth Camera, iPhone 14 Pro Max</t>
  </si>
  <si>
    <t>FK132970Y7C1LJMAV</t>
  </si>
  <si>
    <t>GMH23873FW817R04K</t>
  </si>
  <si>
    <t>DN85265A6891CDK9A</t>
  </si>
  <si>
    <t>DN82414TK051CDK2J</t>
  </si>
  <si>
    <t>PP661-30082</t>
  </si>
  <si>
    <t>Space Black, iPhone 14 Pro Max, 256GB, ROW, CI/AR, Philippines</t>
  </si>
  <si>
    <t>HFYXLT0XL1</t>
  </si>
  <si>
    <t>G683128550</t>
  </si>
  <si>
    <t>GMG544300XH1J87AK</t>
  </si>
  <si>
    <t>FP1415201P125YVAN</t>
  </si>
  <si>
    <t>G698817707</t>
  </si>
  <si>
    <t>F8Y5235C0F213XCBB</t>
  </si>
  <si>
    <t>F8Y13730E0D13XC89</t>
  </si>
  <si>
    <t>G715314667</t>
  </si>
  <si>
    <t>DNMHPW039Y50000QTE</t>
  </si>
  <si>
    <t>DNMHRK0198A0000QTE</t>
  </si>
  <si>
    <t>G715210241</t>
  </si>
  <si>
    <t>G9Q5176EC7K1502AU</t>
  </si>
  <si>
    <t>GVH52640RGF1501AL</t>
  </si>
  <si>
    <t>G714522697</t>
  </si>
  <si>
    <t>661-13161</t>
  </si>
  <si>
    <t>D866177N15HK7LND0</t>
  </si>
  <si>
    <t>D869385N1ELK7LN5G</t>
  </si>
  <si>
    <t>G694480956</t>
  </si>
  <si>
    <t>J33HNH00D0P0000P0R</t>
  </si>
  <si>
    <t>C02HHE00K7X0000KL4</t>
  </si>
  <si>
    <t>G711223797</t>
  </si>
  <si>
    <t>HKGRH556GWTJ</t>
  </si>
  <si>
    <t>HKHMRGNLGWTJ</t>
  </si>
  <si>
    <t>G708696975</t>
  </si>
  <si>
    <t>LX6J02M196</t>
  </si>
  <si>
    <t>H9PH6GXL6J</t>
  </si>
  <si>
    <t>G707063809</t>
  </si>
  <si>
    <t>FG9603604TSN2YLB9</t>
  </si>
  <si>
    <t>F5D11726WGZN2YN4B</t>
  </si>
  <si>
    <t>G688611646</t>
  </si>
  <si>
    <t>F8Y5274C6RQ13XCBA</t>
  </si>
  <si>
    <t>F5D13638XKG13X997</t>
  </si>
  <si>
    <t>G705677081</t>
  </si>
  <si>
    <t>GHQ5364001D167RA6</t>
  </si>
  <si>
    <t>GHQ2284007R167RAE</t>
  </si>
  <si>
    <t>G702776399</t>
  </si>
  <si>
    <t>GVCHPY005H70000MUZ</t>
  </si>
  <si>
    <t>G9PHLUE8G630000MUY</t>
  </si>
  <si>
    <t>G701781739</t>
  </si>
  <si>
    <t>F8Y5442C3BPM6YNDH</t>
  </si>
  <si>
    <t>FG900450CCVM6YR8U</t>
  </si>
  <si>
    <t>G701523775</t>
  </si>
  <si>
    <t>F8Y5165C0CRM6YND9</t>
  </si>
  <si>
    <t>FG9039500ASM6YQBP</t>
  </si>
  <si>
    <t>G716071845</t>
  </si>
  <si>
    <t>GMGHRT004HL0000Y57</t>
  </si>
  <si>
    <t>FP1HNZ0023V0000Y58</t>
  </si>
  <si>
    <t>G715670625</t>
  </si>
  <si>
    <t>DNMHPH02HLC0000QTE</t>
  </si>
  <si>
    <t>GCFHR50AF2P0000QT9</t>
  </si>
  <si>
    <t>G709535155</t>
  </si>
  <si>
    <t>J3YLCY42LL</t>
  </si>
  <si>
    <t>J7PJWNJTW5</t>
  </si>
  <si>
    <t>MY9640C0H4</t>
  </si>
  <si>
    <t>G705297721</t>
  </si>
  <si>
    <t>GVH5171032SPR5PAK</t>
  </si>
  <si>
    <t>G9Q5133F4MRPR5QAD</t>
  </si>
  <si>
    <t>G704609047</t>
  </si>
  <si>
    <t>F8Y5527C1S8Q687B5</t>
  </si>
  <si>
    <t>F8Y1214207BQ687AC</t>
  </si>
  <si>
    <t>G702974051</t>
  </si>
  <si>
    <t>G9P5254P52114YCAC</t>
  </si>
  <si>
    <t>G9P3012V4CK14YCA3</t>
  </si>
  <si>
    <t>G701667173</t>
  </si>
  <si>
    <t>GVCHND029680000MUZ</t>
  </si>
  <si>
    <t>G9NHLEN1DZU0000MUY</t>
  </si>
  <si>
    <t>G701573863</t>
  </si>
  <si>
    <t>F5D5483N0F6KGGJFJ</t>
  </si>
  <si>
    <t>D862321A60VL3L2EF</t>
  </si>
  <si>
    <t>G700615141</t>
  </si>
  <si>
    <t>K6G54VJM2W</t>
  </si>
  <si>
    <t>GVX3YLWC7N</t>
  </si>
  <si>
    <t>G699136433</t>
  </si>
  <si>
    <t>JMGXK7G5C3</t>
  </si>
  <si>
    <t>G698320065</t>
  </si>
  <si>
    <t>GMG54450023NR89AC</t>
  </si>
  <si>
    <t>GMG117307X2NR89AV</t>
  </si>
  <si>
    <t>G715957977</t>
  </si>
  <si>
    <t>F8Y6101C00ZQ4C2BZ</t>
  </si>
  <si>
    <t>F5D03840HH0Q4C09R</t>
  </si>
  <si>
    <t>G710545799</t>
  </si>
  <si>
    <t>HY7QD6RH26JY</t>
  </si>
  <si>
    <t>JX7W1RYL9L</t>
  </si>
  <si>
    <t>KGXTR41JXF</t>
  </si>
  <si>
    <t>G692303198</t>
  </si>
  <si>
    <t>923-11998</t>
  </si>
  <si>
    <t>Hermes Orange Sport Band 42mm</t>
  </si>
  <si>
    <t>G691488330</t>
  </si>
  <si>
    <t>F8Y5467C4GU20J9B7</t>
  </si>
  <si>
    <t>F8Y243512W520JC2Z</t>
  </si>
  <si>
    <t>G9P5181NEDN14YDAE</t>
  </si>
  <si>
    <t>G9N2437Z78P14YDAJ</t>
  </si>
  <si>
    <t>G709412321</t>
  </si>
  <si>
    <t>HY8HPH0060S0000UHY</t>
  </si>
  <si>
    <t>G704898885</t>
  </si>
  <si>
    <t>GH3HMD02ENH0000MUZ</t>
  </si>
  <si>
    <t>G702777163</t>
  </si>
  <si>
    <t>F8Y5455C06U13XCB4</t>
  </si>
  <si>
    <t>F5D20379AFJ13XD92</t>
  </si>
  <si>
    <t>G701899861</t>
  </si>
  <si>
    <t>F8Y5507CDJH18FKBE</t>
  </si>
  <si>
    <t>FG92345167X18FMA6</t>
  </si>
  <si>
    <t>G701688985</t>
  </si>
  <si>
    <t>GMGHLH008BQ0000GVL</t>
  </si>
  <si>
    <t>GMGHFR00AK30000GVL</t>
  </si>
  <si>
    <t>G701551733</t>
  </si>
  <si>
    <t>GFC4QR1WFW</t>
  </si>
  <si>
    <t>JF79G1VF39</t>
  </si>
  <si>
    <t>G700878677</t>
  </si>
  <si>
    <t>FV951440G6J0W9FLD</t>
  </si>
  <si>
    <t>FV9519303GC0W9GLM</t>
  </si>
  <si>
    <t>G714056677</t>
  </si>
  <si>
    <t>GH3HS800QDT0000MUZ</t>
  </si>
  <si>
    <t>G9NHNLQ25GY0000MUY</t>
  </si>
  <si>
    <t>G713407557</t>
  </si>
  <si>
    <t>F8Y6026C18CQ4C2BK</t>
  </si>
  <si>
    <t>F8Y04932MK9Q4C291</t>
  </si>
  <si>
    <t>G709163785</t>
  </si>
  <si>
    <t>F8Y6056C4HM18FKBA</t>
  </si>
  <si>
    <t>FG9420305QK18FMBB</t>
  </si>
  <si>
    <t>G706461109</t>
  </si>
  <si>
    <t>F8Y5371C1RHQ687BS</t>
  </si>
  <si>
    <t>FG9103205NRQ68934</t>
  </si>
  <si>
    <t>G687558662</t>
  </si>
  <si>
    <t>KKXX40M7ML</t>
  </si>
  <si>
    <t>G700497247</t>
  </si>
  <si>
    <t>MXDV4GCYD7</t>
  </si>
  <si>
    <t>DDJYWXGFYR</t>
  </si>
  <si>
    <t>G700182911</t>
  </si>
  <si>
    <t>KGTPYX95PQ</t>
  </si>
  <si>
    <t>DKY4X2Y50D</t>
  </si>
  <si>
    <t>G700094637</t>
  </si>
  <si>
    <t>K5QMR40P4N</t>
  </si>
  <si>
    <t>FW5XFYXXKV</t>
  </si>
  <si>
    <t>G699589415</t>
  </si>
  <si>
    <t>JF2WD2Y71H</t>
  </si>
  <si>
    <t>G699252231</t>
  </si>
  <si>
    <t>F2CG9640J4</t>
  </si>
  <si>
    <t>G698443617</t>
  </si>
  <si>
    <t>F0Y415300BA2525AX</t>
  </si>
  <si>
    <t>DCN409201NW2526AA</t>
  </si>
  <si>
    <t>G713271447</t>
  </si>
  <si>
    <t>C02HF8000270000MSX</t>
  </si>
  <si>
    <t>J97HN9003RJ0000PFG</t>
  </si>
  <si>
    <t>G713161143</t>
  </si>
  <si>
    <t>F8Y6027C8HD231LBX</t>
  </si>
  <si>
    <t>FG923751F2F22XP6J</t>
  </si>
  <si>
    <t>G712757223</t>
  </si>
  <si>
    <t>GMGHLJ006C90000GVK</t>
  </si>
  <si>
    <t>GMGHNL004460000GVL</t>
  </si>
  <si>
    <t>C02HHU008W90000P0S</t>
  </si>
  <si>
    <t>JKDHPZ004420000P0S</t>
  </si>
  <si>
    <t>G711402123</t>
  </si>
  <si>
    <t>DXYHK262FSN0000UV5</t>
  </si>
  <si>
    <t>DXYHP36269L0000UV5</t>
  </si>
  <si>
    <t>G711092259</t>
  </si>
  <si>
    <t>GMG5395003A1J87AS</t>
  </si>
  <si>
    <t>GMG531202MR1J88AF</t>
  </si>
  <si>
    <t>CR1539205ZV1LD7A7</t>
  </si>
  <si>
    <t>F0Y541700LU1J88AR</t>
  </si>
  <si>
    <t>G692456506</t>
  </si>
  <si>
    <t>J22R3CGJ26K0</t>
  </si>
  <si>
    <t>G710330713</t>
  </si>
  <si>
    <t>FTL543502J42C78AL</t>
  </si>
  <si>
    <t>G709871479</t>
  </si>
  <si>
    <t>661-15957</t>
  </si>
  <si>
    <t>F8Y5482N01HJ7PYD5</t>
  </si>
  <si>
    <t>F8Y0212006RJ7PYCM</t>
  </si>
  <si>
    <t>G708701307</t>
  </si>
  <si>
    <t>F8Y5512C4N1231LB4</t>
  </si>
  <si>
    <t>F8Y3057191S231L78</t>
  </si>
  <si>
    <t>G708621611</t>
  </si>
  <si>
    <t>FXYXGG72VV</t>
  </si>
  <si>
    <t>CMWF42LXY5</t>
  </si>
  <si>
    <t>G708265627</t>
  </si>
  <si>
    <t>GX1HPZ04TYC0000B2Z</t>
  </si>
  <si>
    <t>G707614247</t>
  </si>
  <si>
    <t>FP0GLCXKLF</t>
  </si>
  <si>
    <t>G706840675</t>
  </si>
  <si>
    <t>D865507N0DNPJYRB4</t>
  </si>
  <si>
    <t>D864164A6SVPJYRBE</t>
  </si>
  <si>
    <t>G705964531</t>
  </si>
  <si>
    <t>F0WHJL03DLL0000JS7</t>
  </si>
  <si>
    <t>DNMHMB04Z8R0000RYP</t>
  </si>
  <si>
    <t>G704623739</t>
  </si>
  <si>
    <t>F8Y5456C60418FKB7</t>
  </si>
  <si>
    <t>FG94047055Q18FMBF</t>
  </si>
  <si>
    <t>G686189416</t>
  </si>
  <si>
    <t>CM4KT40XYY</t>
  </si>
  <si>
    <t>MTXT4MFP2H</t>
  </si>
  <si>
    <t>G702927499</t>
  </si>
  <si>
    <t>C79N6VXGJW</t>
  </si>
  <si>
    <t>K749MMW5Y2</t>
  </si>
  <si>
    <t>G702715743</t>
  </si>
  <si>
    <t>F8Y5084C2A5Q4C2B6</t>
  </si>
  <si>
    <t>F8Y11331H8SQ49Y9M</t>
  </si>
  <si>
    <t>G685248450</t>
  </si>
  <si>
    <t>LCQ4HWCF63</t>
  </si>
  <si>
    <t>KY2XXWKWWC</t>
  </si>
  <si>
    <t>G701266345</t>
  </si>
  <si>
    <t>TA661-45265</t>
  </si>
  <si>
    <t>512GB, Black Titanium, ROW, iPhone 16 Pro Max, CI/AR</t>
  </si>
  <si>
    <t>JY4DW75XKL</t>
  </si>
  <si>
    <t>VKP71Q403W</t>
  </si>
  <si>
    <t>G700877257</t>
  </si>
  <si>
    <t>C21K3HM7RY</t>
  </si>
  <si>
    <t>CTP4D9YW1M</t>
  </si>
  <si>
    <t>G714441007</t>
  </si>
  <si>
    <t>DLP4RGWF12</t>
  </si>
  <si>
    <t>M143R4RW71</t>
  </si>
  <si>
    <t>G710550509</t>
  </si>
  <si>
    <t>G9P5265L7BVPQCKAV</t>
  </si>
  <si>
    <t>G9N2085Z0BVPQCKA3</t>
  </si>
  <si>
    <t>G708955845</t>
  </si>
  <si>
    <t>G9P5025MKG5PQCLA2</t>
  </si>
  <si>
    <t>G9P2122RH91PQCLAU</t>
  </si>
  <si>
    <t>G708687461</t>
  </si>
  <si>
    <t>F8Y6096C11313RHC7</t>
  </si>
  <si>
    <t>F5D141452Z513RK91</t>
  </si>
  <si>
    <t>G708232125</t>
  </si>
  <si>
    <t>F8Y6026C32R217WBA</t>
  </si>
  <si>
    <t>F5D25068JZE21PK79</t>
  </si>
  <si>
    <t>G703736155</t>
  </si>
  <si>
    <t>F8Y5501C1NXQ4C2B1</t>
  </si>
  <si>
    <t>F8Y04573HYMQ4C29T</t>
  </si>
  <si>
    <t>G702120753</t>
  </si>
  <si>
    <t>FV9HA9015ZY0000HER</t>
  </si>
  <si>
    <t>FV9HCE009ZQ0000HER</t>
  </si>
  <si>
    <t>FMXHNK000CA00006J3</t>
  </si>
  <si>
    <t>FP1HC6004060000FQX</t>
  </si>
  <si>
    <t>G701195803</t>
  </si>
  <si>
    <t>FV9501307H50W9GLC</t>
  </si>
  <si>
    <t>FV951440DHL0W9FLF</t>
  </si>
  <si>
    <t>G683250910</t>
  </si>
  <si>
    <t>G9PHP8U5T3G0000L4B</t>
  </si>
  <si>
    <t>G9PHL5D7PM80000L4B</t>
  </si>
  <si>
    <t>G713958505</t>
  </si>
  <si>
    <t>F8Y6167C2BL18FKBS</t>
  </si>
  <si>
    <t>F8Y411404RZ18FLBU</t>
  </si>
  <si>
    <t>G712794579</t>
  </si>
  <si>
    <t>C02HMG001QW0000P0S</t>
  </si>
  <si>
    <t>HXKHM90060K0000P0R</t>
  </si>
  <si>
    <t>G712680457</t>
  </si>
  <si>
    <t>FNQCFMQ9VM</t>
  </si>
  <si>
    <t>F1QM9FNVCQ</t>
  </si>
  <si>
    <t>G708621439</t>
  </si>
  <si>
    <t>HY8HPH0002H0000UHY</t>
  </si>
  <si>
    <t>G708512007</t>
  </si>
  <si>
    <t>F8Y6062C47Y18FKBW</t>
  </si>
  <si>
    <t>FG92206171618FMAS</t>
  </si>
  <si>
    <t>G706511603</t>
  </si>
  <si>
    <t>F0WHQ5029HP0000JS7</t>
  </si>
  <si>
    <t>DNMHPE00S200000RYP</t>
  </si>
  <si>
    <t>G705299789</t>
  </si>
  <si>
    <t>F8Y6053CHYW18FKBE</t>
  </si>
  <si>
    <t>FG91366211J18FN5F</t>
  </si>
  <si>
    <t>G700701627</t>
  </si>
  <si>
    <t>G9P5352ME1UPQCLAL</t>
  </si>
  <si>
    <t>G9Q1431WJ6FPQCLA4</t>
  </si>
  <si>
    <t>G699446535</t>
  </si>
  <si>
    <t>GVH5165054ZPR5PA3</t>
  </si>
  <si>
    <t>GVH451603NKPR5PAC</t>
  </si>
  <si>
    <t>G699446153</t>
  </si>
  <si>
    <t>F8Y5466C8GB217WBY</t>
  </si>
  <si>
    <t>F5D242782RV21PK7U</t>
  </si>
  <si>
    <t>G698859613</t>
  </si>
  <si>
    <t>KCQWKQYY39</t>
  </si>
  <si>
    <t>G682404794</t>
  </si>
  <si>
    <t>F0Y543101CC1J87AX</t>
  </si>
  <si>
    <t>GMG235200DL1J88A9</t>
  </si>
  <si>
    <t>G698431117</t>
  </si>
  <si>
    <t>FRXRL49WLY</t>
  </si>
  <si>
    <t>G714879041</t>
  </si>
  <si>
    <t>DNMHQR01BLS0000QTE</t>
  </si>
  <si>
    <t>GCFHPC01HPS0000QT9</t>
  </si>
  <si>
    <t>G713618169</t>
  </si>
  <si>
    <t>C02HJ10007X0000FAQ</t>
  </si>
  <si>
    <t>C02HH70001M0000FAQ</t>
  </si>
  <si>
    <t>G713546249</t>
  </si>
  <si>
    <t>F8Y6167C66N18FKB1</t>
  </si>
  <si>
    <t>FG941170BXY18FMBZ</t>
  </si>
  <si>
    <t>G713059935</t>
  </si>
  <si>
    <t>KWFM9GX3TX</t>
  </si>
  <si>
    <t>K10F3V63K7</t>
  </si>
  <si>
    <t>G694453710</t>
  </si>
  <si>
    <t>G9P4442MBQGPQCLA5</t>
  </si>
  <si>
    <t>G9Q2334Y89JPQCLAR</t>
  </si>
  <si>
    <t>G710872309</t>
  </si>
  <si>
    <t>F8Y5426C7U418FKBZ</t>
  </si>
  <si>
    <t>F8Y1481452218FLA4</t>
  </si>
  <si>
    <t>G710309403</t>
  </si>
  <si>
    <t>GX1HS20NZE10000B2Z</t>
  </si>
  <si>
    <t>G710003029</t>
  </si>
  <si>
    <t>F8Y6056CQU218FKBA</t>
  </si>
  <si>
    <t>FG933250H9D18FMAD</t>
  </si>
  <si>
    <t>G708459793</t>
  </si>
  <si>
    <t>G9P5025MGDKPQCLA0</t>
  </si>
  <si>
    <t>G9N2046TL26PQCLAT</t>
  </si>
  <si>
    <t>G705453265</t>
  </si>
  <si>
    <t>CNW3WYQRK7</t>
  </si>
  <si>
    <t>TMVV9KXYR0</t>
  </si>
  <si>
    <t>G702821243</t>
  </si>
  <si>
    <t>G9PHF9K11CK00005DR</t>
  </si>
  <si>
    <t>G9NHB6U3TA300005DR</t>
  </si>
  <si>
    <t>G701556563</t>
  </si>
  <si>
    <t>FLK2XR922P</t>
  </si>
  <si>
    <t>MR7YKV94RP</t>
  </si>
  <si>
    <t>G699591375</t>
  </si>
  <si>
    <t>GMGHLG00B5G0000GVK</t>
  </si>
  <si>
    <t>FP1HLK0080X0000G29</t>
  </si>
  <si>
    <t>G714708393</t>
  </si>
  <si>
    <t>F8Y6101C0L513XCB4</t>
  </si>
  <si>
    <t>F8Y20470EH513X889</t>
  </si>
  <si>
    <t>G711628911</t>
  </si>
  <si>
    <t>F8Y5455C90513XCB2</t>
  </si>
  <si>
    <t>F5D23312QDH13X9AL</t>
  </si>
  <si>
    <t>G709206807</t>
  </si>
  <si>
    <t>F8Y6056CCV518FKBG</t>
  </si>
  <si>
    <t>F8Y413607A918FLBJ</t>
  </si>
  <si>
    <t>G707037915</t>
  </si>
  <si>
    <t>923-09579</t>
  </si>
  <si>
    <t>Top Speaker, iPhone 15</t>
  </si>
  <si>
    <t>CTHGYH280DE00000DV</t>
  </si>
  <si>
    <t>CTHHL538JRM00000DV</t>
  </si>
  <si>
    <t>G706034061</t>
  </si>
  <si>
    <t>F8Y5527N0NF0J9TBJ</t>
  </si>
  <si>
    <t>G705540243</t>
  </si>
  <si>
    <t>F8Y5092C14014LWC9</t>
  </si>
  <si>
    <t>F5D31242X8N14LXAY</t>
  </si>
  <si>
    <t>G704890303</t>
  </si>
  <si>
    <t>F8Y5336CJG502JNBJ</t>
  </si>
  <si>
    <t>F8Y0457CC8U02JN7A</t>
  </si>
  <si>
    <t>G702829541</t>
  </si>
  <si>
    <t>DN8HNT017PH0000RYQ</t>
  </si>
  <si>
    <t>FNJHNDG05J90000KDF</t>
  </si>
  <si>
    <t>G702371471</t>
  </si>
  <si>
    <t>GF59YYW6GC</t>
  </si>
  <si>
    <t>GTW1YPKP4Q</t>
  </si>
  <si>
    <t>G713196981</t>
  </si>
  <si>
    <t>F8Y6152CF4120J9BZ</t>
  </si>
  <si>
    <t>F5D243695AF20J89Y</t>
  </si>
  <si>
    <t>G9P5255NFRP14YDAE</t>
  </si>
  <si>
    <t>G9N2434YFNK14YDAC</t>
  </si>
  <si>
    <t>G711745371</t>
  </si>
  <si>
    <t>DNL530104BU1986AH</t>
  </si>
  <si>
    <t>DNL353305101986BW</t>
  </si>
  <si>
    <t>G710429743</t>
  </si>
  <si>
    <t>F8Y6126C5P720J9BK</t>
  </si>
  <si>
    <t>F8Y23850HVM20JC2U</t>
  </si>
  <si>
    <t>G9P5257NHD914YDAS</t>
  </si>
  <si>
    <t>G9N2385UL3J14YDAU</t>
  </si>
  <si>
    <t>G709717887</t>
  </si>
  <si>
    <t>HW1RH4PKPF</t>
  </si>
  <si>
    <t>JDGCYM4MDP</t>
  </si>
  <si>
    <t>G708083259</t>
  </si>
  <si>
    <t>F8YHP7C033F00006TW</t>
  </si>
  <si>
    <t>F8YGWR10XEE00006TY</t>
  </si>
  <si>
    <t>G707309731</t>
  </si>
  <si>
    <t>F8Y6056CAM018FKBD</t>
  </si>
  <si>
    <t>F8Y22870NLB18FLAX</t>
  </si>
  <si>
    <t>G703887761</t>
  </si>
  <si>
    <t>F8Y5275C1B313XCB9</t>
  </si>
  <si>
    <t>F8Y13411J6X13X88F</t>
  </si>
  <si>
    <t>G703038349</t>
  </si>
  <si>
    <t>F8Y5512C06P231LB0</t>
  </si>
  <si>
    <t>F8Y24611T4E231L7V</t>
  </si>
  <si>
    <t>G702800757</t>
  </si>
  <si>
    <t>F8Y5456C4B418FKBA</t>
  </si>
  <si>
    <t>FG921750U9G18FMAP</t>
  </si>
  <si>
    <t>G701893965</t>
  </si>
  <si>
    <t>GMG5492015TNR8DBT</t>
  </si>
  <si>
    <t>FP15017005R249XAQ</t>
  </si>
  <si>
    <t>G701676759</t>
  </si>
  <si>
    <t>FXGFDY20K4</t>
  </si>
  <si>
    <t>L664FX2NVL</t>
  </si>
  <si>
    <t>G700698223</t>
  </si>
  <si>
    <t>LT2M3WTJ9H</t>
  </si>
  <si>
    <t>JV944PQWWM</t>
  </si>
  <si>
    <t>G700101969</t>
  </si>
  <si>
    <t>F8Y5421C13318FKBJ</t>
  </si>
  <si>
    <t>FG914930T5Z18FM4Z</t>
  </si>
  <si>
    <t>G699567087</t>
  </si>
  <si>
    <t>GVCHKZ04M5P0000U6M</t>
  </si>
  <si>
    <t>GVCHNC00UQV0000U6M</t>
  </si>
  <si>
    <t>G713197457</t>
  </si>
  <si>
    <t>FG9HM5003ER0000R3T</t>
  </si>
  <si>
    <t>FG9HCP006M20000R3T</t>
  </si>
  <si>
    <t>G711232915</t>
  </si>
  <si>
    <t>FTL612302T42C78AY</t>
  </si>
  <si>
    <t>G709735835</t>
  </si>
  <si>
    <t>TA661-55154</t>
  </si>
  <si>
    <t>Deep Blue, 512GB, iPhone 17 Pro, ROW, CI/AR, Taiwan</t>
  </si>
  <si>
    <t>X26VVGD9Q0</t>
  </si>
  <si>
    <t>G689523826</t>
  </si>
  <si>
    <t>G9P5506MK72PQCKAZ</t>
  </si>
  <si>
    <t>G9P2072H4MNPQCKAV</t>
  </si>
  <si>
    <t>G706729941</t>
  </si>
  <si>
    <t>F8YHPPC00L100006TP</t>
  </si>
  <si>
    <t>F8YH65012AD00006TP</t>
  </si>
  <si>
    <t>G703591159</t>
  </si>
  <si>
    <t>F0YHM10032S0000GVK</t>
  </si>
  <si>
    <t>GMGHBD0015Z0000GVL</t>
  </si>
  <si>
    <t>G703347513</t>
  </si>
  <si>
    <t>FG9HP8002MZ00006TT</t>
  </si>
  <si>
    <t>FG9H0800S4A00006TV</t>
  </si>
  <si>
    <t>G701898167</t>
  </si>
  <si>
    <t>G9Q5165F2LKPR5QAD</t>
  </si>
  <si>
    <t>GVH50360TD2PR5PAU</t>
  </si>
  <si>
    <t>G701695693</t>
  </si>
  <si>
    <t>KJQ799LMW2</t>
  </si>
  <si>
    <t>G701659471</t>
  </si>
  <si>
    <t>GMGHFC001380000HX2</t>
  </si>
  <si>
    <t>F0YHFP000CQ0000HX2</t>
  </si>
  <si>
    <t>G701178745</t>
  </si>
  <si>
    <t>GFQP2VWYQF</t>
  </si>
  <si>
    <t>C7RQDJY4M3</t>
  </si>
  <si>
    <t>G684520432</t>
  </si>
  <si>
    <t>H6W222G0PV</t>
  </si>
  <si>
    <t>DRXFL911CP</t>
  </si>
  <si>
    <t>G683831232</t>
  </si>
  <si>
    <t>M067G77Q1Y</t>
  </si>
  <si>
    <t>J6764F4JVV</t>
  </si>
  <si>
    <t>G699236421</t>
  </si>
  <si>
    <t>F4KH9F00TTJ0000HKF</t>
  </si>
  <si>
    <t>DXYHFD617KH0000CZU</t>
  </si>
  <si>
    <t>G698466491</t>
  </si>
  <si>
    <t>DNL52220F8A1986BQ</t>
  </si>
  <si>
    <t>DNL508709AA1986B3</t>
  </si>
  <si>
    <t>G698323939</t>
  </si>
  <si>
    <t>G9P5353L36NPQCKAR</t>
  </si>
  <si>
    <t>G9P2215K1FRPQCKAL</t>
  </si>
  <si>
    <t>G716426465</t>
  </si>
  <si>
    <t>C02H680008G0000F7C</t>
  </si>
  <si>
    <t>G697416038</t>
  </si>
  <si>
    <t>F8Y6185C08518FKBE</t>
  </si>
  <si>
    <t>F8Y41640CT418FLBU</t>
  </si>
  <si>
    <t>G714192363</t>
  </si>
  <si>
    <t>PA661-26380</t>
  </si>
  <si>
    <t>SVC,BEATS FLEX(VN),FLAME BLUE-PAC</t>
  </si>
  <si>
    <t>HNYR700QQ1HM</t>
  </si>
  <si>
    <t>HNXPL197Q1HM</t>
  </si>
  <si>
    <t>G710984769</t>
  </si>
  <si>
    <t>DNL51940VB21986BM</t>
  </si>
  <si>
    <t>DNL34140T481986BX</t>
  </si>
  <si>
    <t>G710904147</t>
  </si>
  <si>
    <t>F8Y5514C0UH18FKBX</t>
  </si>
  <si>
    <t>F8Y34930RY118FLAY</t>
  </si>
  <si>
    <t>G710894455</t>
  </si>
  <si>
    <t>F8Y6126C8J218FKBW</t>
  </si>
  <si>
    <t>FG941720JKS18FMBM</t>
  </si>
  <si>
    <t>G708090059</t>
  </si>
  <si>
    <t>G9P5024MLCKPQCLA0</t>
  </si>
  <si>
    <t>G9P2137R2PTPQCLA1</t>
  </si>
  <si>
    <t>G706332301</t>
  </si>
  <si>
    <t>DNPHP403ABN0001BHN</t>
  </si>
  <si>
    <t>GMHHLT02GG20000M4H</t>
  </si>
  <si>
    <t>G703836181</t>
  </si>
  <si>
    <t>DNL53150B2F17RRC3</t>
  </si>
  <si>
    <t>DNL5137054P17RRBS</t>
  </si>
  <si>
    <t>G702553009</t>
  </si>
  <si>
    <t>F8Y5497C0MW20J9BK</t>
  </si>
  <si>
    <t>F8Y23670K8W20J92K</t>
  </si>
  <si>
    <t>G700492897</t>
  </si>
  <si>
    <t>GVH53820FVHPR5PAX</t>
  </si>
  <si>
    <t>GVH4526152QPR5PAR</t>
  </si>
  <si>
    <t>G683484612</t>
  </si>
  <si>
    <t>F5D5483N229KGGJFJ</t>
  </si>
  <si>
    <t>D860231A03RL3L2EL</t>
  </si>
  <si>
    <t>F5D5015N46LKGGJFG</t>
  </si>
  <si>
    <t>G698958275</t>
  </si>
  <si>
    <t>F8Y5433C16J18FKBP</t>
  </si>
  <si>
    <t>F8Y15021LXB18FKAT</t>
  </si>
  <si>
    <t>G716456321</t>
  </si>
  <si>
    <t>G9P5386M1HXPQCLA3</t>
  </si>
  <si>
    <t>G9P2295M46RPQCLAD</t>
  </si>
  <si>
    <t>G694492422</t>
  </si>
  <si>
    <t>G0NHD900F650000HKZ</t>
  </si>
  <si>
    <t>GMHH9D01RGB0000BXF</t>
  </si>
  <si>
    <t>G710582299</t>
  </si>
  <si>
    <t>661-50050</t>
  </si>
  <si>
    <t>Logic Board, M4, 10-core CPU, 10-core GPU, 16 GB, 1TB</t>
  </si>
  <si>
    <t>C02HKP000AM0000P13</t>
  </si>
  <si>
    <t>C02HFZ000BS0000P13</t>
  </si>
  <si>
    <t>G710388161</t>
  </si>
  <si>
    <t>PA661-46767</t>
  </si>
  <si>
    <t>Power Adapter with Ethernet, 143W, Green, PAC</t>
  </si>
  <si>
    <t>C4H4452061X2D5MA5</t>
  </si>
  <si>
    <t>C4H442406BM2D5MAS</t>
  </si>
  <si>
    <t>PP923-05141</t>
  </si>
  <si>
    <t>AC Power Cord, USA</t>
  </si>
  <si>
    <t>G710309165</t>
  </si>
  <si>
    <t>G9P5386M0QXPQCLAH</t>
  </si>
  <si>
    <t>G9P2013QMRBPQCLA6</t>
  </si>
  <si>
    <t>G709886137</t>
  </si>
  <si>
    <t>F8Y6026C0Y5Q4C2BP</t>
  </si>
  <si>
    <t>F8Y11421UX7Q49Y9S</t>
  </si>
  <si>
    <t>G709782289</t>
  </si>
  <si>
    <t>G9Q5181E6DF1502AN</t>
  </si>
  <si>
    <t>G9Q5336XEA11502AU</t>
  </si>
  <si>
    <t>DXY507526SF1JJL6B</t>
  </si>
  <si>
    <t>DXY51321BN91JJL67</t>
  </si>
  <si>
    <t>G703029247</t>
  </si>
  <si>
    <t>G9P5263MMEMPQCLAC</t>
  </si>
  <si>
    <t>G9P2052RMPNPQCLAM</t>
  </si>
  <si>
    <t>G702548829</t>
  </si>
  <si>
    <t>F8Y5445CJA018FKB7</t>
  </si>
  <si>
    <t>F8Y147706RV18FKAK</t>
  </si>
  <si>
    <t>G702536409</t>
  </si>
  <si>
    <t>HNXQJ24CQ1HL</t>
  </si>
  <si>
    <t>HNXPL3HRQ1HL</t>
  </si>
  <si>
    <t>G701672117</t>
  </si>
  <si>
    <t>JRWJ7MWDWD</t>
  </si>
  <si>
    <t>M9HYH2RXG9</t>
  </si>
  <si>
    <t>G699982379</t>
  </si>
  <si>
    <t>GH3HP5035KJ0000MUZ</t>
  </si>
  <si>
    <t>GH3HJF00ZRG0000MUZ</t>
  </si>
  <si>
    <t>G699688279</t>
  </si>
  <si>
    <t>GMGHLK002GS0000GVL</t>
  </si>
  <si>
    <t>GMGHME001M70000GVK</t>
  </si>
  <si>
    <t>G698568825</t>
  </si>
  <si>
    <t>G9P5386M9QCPQCLAT</t>
  </si>
  <si>
    <t>G9N2056V489PQCLAD</t>
  </si>
  <si>
    <t>G715117665</t>
  </si>
  <si>
    <t>GMG545305VZ1J87A1</t>
  </si>
  <si>
    <t>GMG425209N01J88AN</t>
  </si>
  <si>
    <t>G714507961</t>
  </si>
  <si>
    <t>K6W0NM27NC</t>
  </si>
  <si>
    <t>LY4F33CNGY</t>
  </si>
  <si>
    <t>G713917429</t>
  </si>
  <si>
    <t>KJ402TW0QG</t>
  </si>
  <si>
    <t>G712744485</t>
  </si>
  <si>
    <t>G9PHMET1NJ800005DP</t>
  </si>
  <si>
    <t>GVCH8Y01DFE00005DQ</t>
  </si>
  <si>
    <t>G692451414</t>
  </si>
  <si>
    <t>F8Y5455C0TP13XCBE</t>
  </si>
  <si>
    <t>F8Y2042005W13XC81</t>
  </si>
  <si>
    <t>G709869933</t>
  </si>
  <si>
    <t>F8Y5255C0FLQ4C2BJ</t>
  </si>
  <si>
    <t>F5D050220MFQ4C09Z</t>
  </si>
  <si>
    <t>G709204435</t>
  </si>
  <si>
    <t>GP6GN4324V</t>
  </si>
  <si>
    <t>G708287347</t>
  </si>
  <si>
    <t>G0NHGH00Q2X0000HKZ</t>
  </si>
  <si>
    <t>FNJHB8F11820000BXF</t>
  </si>
  <si>
    <t>G704777701</t>
  </si>
  <si>
    <t>F8Y5456C5QB18FKBX</t>
  </si>
  <si>
    <t>FG940460KDL18FMBG</t>
  </si>
  <si>
    <t>HQ0MX70MVY</t>
  </si>
  <si>
    <t>L6RCWG2F7T</t>
  </si>
  <si>
    <t>G704559203</t>
  </si>
  <si>
    <t>G3X0Q2VHG3</t>
  </si>
  <si>
    <t>G7VL652Q0G</t>
  </si>
  <si>
    <t>G713732775</t>
  </si>
  <si>
    <t>GMG614702A0NR89BJ</t>
  </si>
  <si>
    <t>FP1524201RV249YAL</t>
  </si>
  <si>
    <t>G688607186</t>
  </si>
  <si>
    <t>F8Y6046C3QZM6YNDZ</t>
  </si>
  <si>
    <t>F8Y326314TFM6YNBG</t>
  </si>
  <si>
    <t>G702803555</t>
  </si>
  <si>
    <t>F8Y5462C5BL20J9B0</t>
  </si>
  <si>
    <t>G9P5263NG8C14YDA6</t>
  </si>
  <si>
    <t>G9N2434Y30U14YDAD</t>
  </si>
  <si>
    <t>G701144517</t>
  </si>
  <si>
    <t>G22TXDP63Q</t>
  </si>
  <si>
    <t>FMFXC6TT7Q</t>
  </si>
  <si>
    <t>G684517314</t>
  </si>
  <si>
    <t>G9P5222MBP1PQCLAU</t>
  </si>
  <si>
    <t>G9P2102UBGYPQCLAD</t>
  </si>
  <si>
    <t>G699096499</t>
  </si>
  <si>
    <t>DH3C42XX42</t>
  </si>
  <si>
    <t>K4RH2P065N</t>
  </si>
  <si>
    <t>G698678127</t>
  </si>
  <si>
    <t>G9P5386MBN8PQCLA1</t>
  </si>
  <si>
    <t>G9N1293MJD1PQCLA8</t>
  </si>
  <si>
    <t>G713957937</t>
  </si>
  <si>
    <t>F8Y6164C0F218FKB3</t>
  </si>
  <si>
    <t>FG94194065Q18FMB1</t>
  </si>
  <si>
    <t>G712131183</t>
  </si>
  <si>
    <t>D865514N4721LP9D3</t>
  </si>
  <si>
    <t>F5D31432F251LPF6D</t>
  </si>
  <si>
    <t>G711671625</t>
  </si>
  <si>
    <t>FTL615507PB279JAA</t>
  </si>
  <si>
    <t>G709779597</t>
  </si>
  <si>
    <t>F8Y6155C1BDM6YNDP</t>
  </si>
  <si>
    <t>FG900851164M6YQ80</t>
  </si>
  <si>
    <t>G709180313</t>
  </si>
  <si>
    <t>KC0Y2JKGWJ</t>
  </si>
  <si>
    <t>C06Y7KM965</t>
  </si>
  <si>
    <t>G708928441</t>
  </si>
  <si>
    <t>G9NHQU21NMS00004Y7</t>
  </si>
  <si>
    <t>GVHHHN00GLF00004Y8</t>
  </si>
  <si>
    <t>G707475663</t>
  </si>
  <si>
    <t>ZP661-14691</t>
  </si>
  <si>
    <t>AirTag, ITP, 1PK</t>
  </si>
  <si>
    <t>HGQQ4W4LP0GV</t>
  </si>
  <si>
    <t>HGJP7YCUP0GV</t>
  </si>
  <si>
    <t>G706612273</t>
  </si>
  <si>
    <t>GVCHPF016310000U6M</t>
  </si>
  <si>
    <t>GVCHMH03BYB0000U6M</t>
  </si>
  <si>
    <t>G706129351</t>
  </si>
  <si>
    <t>F8Y5457C27W217WBE</t>
  </si>
  <si>
    <t>F8Y23651A0A217W7Z</t>
  </si>
  <si>
    <t>G704112207</t>
  </si>
  <si>
    <t>G9P5185MHR9PQCLAN</t>
  </si>
  <si>
    <t>G9N23222NCSPQCLAP</t>
  </si>
  <si>
    <t>G703896769</t>
  </si>
  <si>
    <t>FMX544206XK278YAF</t>
  </si>
  <si>
    <t>F0Y4095009Q278WAZ</t>
  </si>
  <si>
    <t>G703363925</t>
  </si>
  <si>
    <t>D7Y1VVCQNK</t>
  </si>
  <si>
    <t>K362KM2PGX</t>
  </si>
  <si>
    <t>G702637093</t>
  </si>
  <si>
    <t>MQCYLCYRLV</t>
  </si>
  <si>
    <t>JV4NQ962C6</t>
  </si>
  <si>
    <t>G701663369</t>
  </si>
  <si>
    <t>G9P5223MDR0PQCLAL</t>
  </si>
  <si>
    <t>G9N2134M2LNPQCLAX</t>
  </si>
  <si>
    <t>G699757499</t>
  </si>
  <si>
    <t>J66733QM2R</t>
  </si>
  <si>
    <t>F6LG9DVPQL</t>
  </si>
  <si>
    <t>G698285097</t>
  </si>
  <si>
    <t>CN73HHVGWV</t>
  </si>
  <si>
    <t>JWP47N6VCC</t>
  </si>
  <si>
    <t>G715790687</t>
  </si>
  <si>
    <t>F8Y5366C4E1Q687B2</t>
  </si>
  <si>
    <t>F8Y124622LGQ688AN</t>
  </si>
  <si>
    <t>G714634889</t>
  </si>
  <si>
    <t>G9P5352M258PQCLA6</t>
  </si>
  <si>
    <t>G9N2153Q2BNPQCLAA</t>
  </si>
  <si>
    <t>G711971317</t>
  </si>
  <si>
    <t>GVH513404JCPR5PAT</t>
  </si>
  <si>
    <t>G9Q5027FDHAPR5QAX</t>
  </si>
  <si>
    <t>G711658837</t>
  </si>
  <si>
    <t>DT2W354K6R</t>
  </si>
  <si>
    <t>G711627509</t>
  </si>
  <si>
    <t>F0WHB00003X0000488</t>
  </si>
  <si>
    <t>F0WH85017Q100005KR</t>
  </si>
  <si>
    <t>J9KHQE002FU0000FD3</t>
  </si>
  <si>
    <t>GMHH8Z040GQ0000882</t>
  </si>
  <si>
    <t>G711404025</t>
  </si>
  <si>
    <t>DN8HM70G5WL00006S2</t>
  </si>
  <si>
    <t>F0WHC9007T4000064R</t>
  </si>
  <si>
    <t>G711126169</t>
  </si>
  <si>
    <t>G9QHQVY186H00004Y7</t>
  </si>
  <si>
    <t>GVHHG2009K200004Y8</t>
  </si>
  <si>
    <t>G707702399</t>
  </si>
  <si>
    <t>F8Y6051C5G314LWCA</t>
  </si>
  <si>
    <t>F8Y13730FGJ14LW83</t>
  </si>
  <si>
    <t>G703375211</t>
  </si>
  <si>
    <t>J4X90THVKG</t>
  </si>
  <si>
    <t>F40GXNVG62</t>
  </si>
  <si>
    <t>G703372085</t>
  </si>
  <si>
    <t>F8Y5463C5FF217WB3</t>
  </si>
  <si>
    <t>F5D323431Q821PKAQ</t>
  </si>
  <si>
    <t>G702624781</t>
  </si>
  <si>
    <t>F8Y5243C2K413RHC4</t>
  </si>
  <si>
    <t>F8Y15140W8H13RFBL</t>
  </si>
  <si>
    <t>G701311619</t>
  </si>
  <si>
    <t>F8Y5466C52818FKBV</t>
  </si>
  <si>
    <t>F8Y34950PRT18FLAT</t>
  </si>
  <si>
    <t>G700008263</t>
  </si>
  <si>
    <t>JX2T2D4Y7P</t>
  </si>
  <si>
    <t>G683214946</t>
  </si>
  <si>
    <t>JXY07VD9YP</t>
  </si>
  <si>
    <t>G699069685</t>
  </si>
  <si>
    <t>F8Y5514C2EM231LB8</t>
  </si>
  <si>
    <t>F8Y253609KL231L72</t>
  </si>
  <si>
    <t>G714832803</t>
  </si>
  <si>
    <t>F8YHSWD00JM00006TP</t>
  </si>
  <si>
    <t>F8YH6P0255900006TP</t>
  </si>
  <si>
    <t>G713063199</t>
  </si>
  <si>
    <t>K69JJNXQDV</t>
  </si>
  <si>
    <t>F24M3W3J43</t>
  </si>
  <si>
    <t>G712240829</t>
  </si>
  <si>
    <t>F8Y6155C43PM6YND0</t>
  </si>
  <si>
    <t>FG922240ME0M6YRCV</t>
  </si>
  <si>
    <t>G712202155</t>
  </si>
  <si>
    <t>C21XM27QNF</t>
  </si>
  <si>
    <t>G709999743</t>
  </si>
  <si>
    <t>F8Y6052C4DB18FKB2</t>
  </si>
  <si>
    <t>GRY14213KFW18FLAC</t>
  </si>
  <si>
    <t>G705341247</t>
  </si>
  <si>
    <t>DN8HHY068GB0000JS5</t>
  </si>
  <si>
    <t>DN8HM30KJ330000RYQ</t>
  </si>
  <si>
    <t>G702550585</t>
  </si>
  <si>
    <t>F8Y5506CD3118FKB8</t>
  </si>
  <si>
    <t>FG9312700LH18FNAS</t>
  </si>
  <si>
    <t>G700618771</t>
  </si>
  <si>
    <t>C4T1Y464WV</t>
  </si>
  <si>
    <t>GFJ0K21VVG</t>
  </si>
  <si>
    <t>G699260527</t>
  </si>
  <si>
    <t>L2Y4WFNJ5Y</t>
  </si>
  <si>
    <t>G711518163</t>
  </si>
  <si>
    <t>F8Y6096C9SK13RHCA</t>
  </si>
  <si>
    <t>F8Y20960CG713RFB0</t>
  </si>
  <si>
    <t>G711125221</t>
  </si>
  <si>
    <t>G9Q5493VG361502AY</t>
  </si>
  <si>
    <t>GVC44620EW91503A1</t>
  </si>
  <si>
    <t>G709887271</t>
  </si>
  <si>
    <t>F8Y6054C9LB18FKB8</t>
  </si>
  <si>
    <t>F8Y20521CVP18FLAF</t>
  </si>
  <si>
    <t>G708508083</t>
  </si>
  <si>
    <t>GH3HQ40035C0000MUZ</t>
  </si>
  <si>
    <t>G9NHMWL1WDS0000MUY</t>
  </si>
  <si>
    <t>G707157635</t>
  </si>
  <si>
    <t>F8Y5527C8UGQ687BJ</t>
  </si>
  <si>
    <t>FG9245202YWQ689A6</t>
  </si>
  <si>
    <t>G706518399</t>
  </si>
  <si>
    <t>D7HQV6293T</t>
  </si>
  <si>
    <t>MVNQQY4T02</t>
  </si>
  <si>
    <t>G705017523</t>
  </si>
  <si>
    <t>L06XQP4YYF</t>
  </si>
  <si>
    <t>KT9F9H2YFG</t>
  </si>
  <si>
    <t>G702801857</t>
  </si>
  <si>
    <t>F8Y5501C1G7Q4C2B9</t>
  </si>
  <si>
    <t>F5D0445BJANQ4C090</t>
  </si>
  <si>
    <t>G702214285</t>
  </si>
  <si>
    <t>GMGHLH009PL0000GVL</t>
  </si>
  <si>
    <t>FP1HDZ0012L0000G29</t>
  </si>
  <si>
    <t>G701090207</t>
  </si>
  <si>
    <t>F8Y5466C50218FKB7</t>
  </si>
  <si>
    <t>FG923551MLW18FMAJ</t>
  </si>
  <si>
    <t>G700853291</t>
  </si>
  <si>
    <t>LF2GXGP7V0</t>
  </si>
  <si>
    <t>HM6D7NWH4V</t>
  </si>
  <si>
    <t>G715420447</t>
  </si>
  <si>
    <t>G9P5223MKD8PQCLA8</t>
  </si>
  <si>
    <t>G9P2187PPD8PQCLAL</t>
  </si>
  <si>
    <t>G714335683</t>
  </si>
  <si>
    <t>G9P5471CC8EPR5QAJ</t>
  </si>
  <si>
    <t>G9P5362C06NPR5QAX</t>
  </si>
  <si>
    <t>G713538203</t>
  </si>
  <si>
    <t>M947VYD4R0</t>
  </si>
  <si>
    <t>MQD7D6CVJ7</t>
  </si>
  <si>
    <t>G713281519</t>
  </si>
  <si>
    <t>FG9HNR0062200006TT</t>
  </si>
  <si>
    <t>FG9GYM01G2K00006TV</t>
  </si>
  <si>
    <t>G709160273</t>
  </si>
  <si>
    <t>F0Y552400G72526AK</t>
  </si>
  <si>
    <t>DCN4092010S2525AD</t>
  </si>
  <si>
    <t>G702542347</t>
  </si>
  <si>
    <t>DJ2M3PHW2X</t>
  </si>
  <si>
    <t>G700715975</t>
  </si>
  <si>
    <t>F8Y5467C43R18FKB9</t>
  </si>
  <si>
    <t>FG914733KX118FM4S</t>
  </si>
  <si>
    <t>G711737429</t>
  </si>
  <si>
    <t>Display, Space Black, MBP (16-in, 2024)</t>
  </si>
  <si>
    <t>FMXHPK000C600006GW</t>
  </si>
  <si>
    <t>F0YHG7000BE00006GT</t>
  </si>
  <si>
    <t>G710440987</t>
  </si>
  <si>
    <t>661-35877</t>
  </si>
  <si>
    <t>Display, Blue, iMac (24-in, 2023)</t>
  </si>
  <si>
    <t>GHQ615300062FT0B3</t>
  </si>
  <si>
    <t>GHQ410403GB1R7XBP</t>
  </si>
  <si>
    <t>G705447689</t>
  </si>
  <si>
    <t>G9Q5165FMFJPR5QAA</t>
  </si>
  <si>
    <t>GVH50350VVMPR5PAU</t>
  </si>
  <si>
    <t>G704617471</t>
  </si>
  <si>
    <t>J9Q547600250GKWAD</t>
  </si>
  <si>
    <t>GMH51320PSMQ189AT</t>
  </si>
  <si>
    <t>G704377331</t>
  </si>
  <si>
    <t>F8Y6011C1LQ20J9BQ</t>
  </si>
  <si>
    <t>F5D236153WD20J89K</t>
  </si>
  <si>
    <t>G704372007</t>
  </si>
  <si>
    <t>F0YHLH002HQ0000GVL</t>
  </si>
  <si>
    <t>GMGHFW009LQ0000GVL</t>
  </si>
  <si>
    <t>G703976017</t>
  </si>
  <si>
    <t>H97QM6QHJKM9</t>
  </si>
  <si>
    <t>H97NXF19JKM9</t>
  </si>
  <si>
    <t>G703879653</t>
  </si>
  <si>
    <t>G0NHJ3019ZS0000HKZ</t>
  </si>
  <si>
    <t>GMHHC300W0P0000BXF</t>
  </si>
  <si>
    <t>G701688829</t>
  </si>
  <si>
    <t>FMXHMF001A900006J3</t>
  </si>
  <si>
    <t>FP1HFE002CY0000FQX</t>
  </si>
  <si>
    <t>G701263999</t>
  </si>
  <si>
    <t>FG9547601V6N2YLBD</t>
  </si>
  <si>
    <t>FG902441F0LN2YL3K</t>
  </si>
  <si>
    <t>G700612399</t>
  </si>
  <si>
    <t>M2FJQW072P</t>
  </si>
  <si>
    <t>KN4RT69G26</t>
  </si>
  <si>
    <t>G715402401</t>
  </si>
  <si>
    <t>D865182N16ZPJYRBY</t>
  </si>
  <si>
    <t>D860454A98YPJYRA9</t>
  </si>
  <si>
    <t>G715340543</t>
  </si>
  <si>
    <t>F8Y6184C5YU18FKBH</t>
  </si>
  <si>
    <t>FG913140XJ418FN3B</t>
  </si>
  <si>
    <t>G715301927</t>
  </si>
  <si>
    <t>F8Y6184C5U118FKBN</t>
  </si>
  <si>
    <t>F8Y23060DZY18FLA4</t>
  </si>
  <si>
    <t>G712471603</t>
  </si>
  <si>
    <t>FMXHJR0009U00006J3</t>
  </si>
  <si>
    <t>FMXHEU003R000006J3</t>
  </si>
  <si>
    <t>G709378275</t>
  </si>
  <si>
    <t>F8Y6056CCA418FKB6</t>
  </si>
  <si>
    <t>FG920572H0S18FM40</t>
  </si>
  <si>
    <t>G708865001</t>
  </si>
  <si>
    <t>GVCHPY02L1B0000MUZ</t>
  </si>
  <si>
    <t>G9NHNYY59K10000MUY</t>
  </si>
  <si>
    <t>G704987573</t>
  </si>
  <si>
    <t>G9P5223MH09PQCLAE</t>
  </si>
  <si>
    <t>G9P2222P0NAPQCLA2</t>
  </si>
  <si>
    <t>G704473845</t>
  </si>
  <si>
    <t>G9Q5177FDLJPR5QAY</t>
  </si>
  <si>
    <t>G9Q5057F3K3PR5QAZ</t>
  </si>
  <si>
    <t>G703905259</t>
  </si>
  <si>
    <t>J9PHKR00EZE0000HK9</t>
  </si>
  <si>
    <t>FNJHF5D0U1T00007BV</t>
  </si>
  <si>
    <t>G703873585</t>
  </si>
  <si>
    <t>G9Q5181EBA41502A3</t>
  </si>
  <si>
    <t>GVC42820FVA1503AY</t>
  </si>
  <si>
    <t>G686467026</t>
  </si>
  <si>
    <t>GVH508618TQPR5PAZ</t>
  </si>
  <si>
    <t>GVH51260TWZPR5PAG</t>
  </si>
  <si>
    <t>G701324111</t>
  </si>
  <si>
    <t>F0Y416600BX2525A4</t>
  </si>
  <si>
    <t>G700848693</t>
  </si>
  <si>
    <t>G9PHJAK0HFC00005DR</t>
  </si>
  <si>
    <t>G9PHGCJ0ES100005DR</t>
  </si>
  <si>
    <t>G698329921</t>
  </si>
  <si>
    <t>FP1527402S425YVAX</t>
  </si>
  <si>
    <t>FP15071030K25YTAY</t>
  </si>
  <si>
    <t>G716107061</t>
  </si>
  <si>
    <t>J9PHHR00MWN0000HK9</t>
  </si>
  <si>
    <t>FNJHAQD0YWY00007BV</t>
  </si>
  <si>
    <t>G712026851</t>
  </si>
  <si>
    <t>GFH613316R</t>
  </si>
  <si>
    <t>G693556828</t>
  </si>
  <si>
    <t>F16515203YY0J9VAE</t>
  </si>
  <si>
    <t>JW37Q7WMY9</t>
  </si>
  <si>
    <t>G710425153</t>
  </si>
  <si>
    <t>G9Q6034SAF821KHAQ</t>
  </si>
  <si>
    <t>GVH41172T121PHLAY</t>
  </si>
  <si>
    <t>G710409047</t>
  </si>
  <si>
    <t>FV95222019823YJAF</t>
  </si>
  <si>
    <t>C02H2W001YP0000H9E</t>
  </si>
  <si>
    <t>G708152031</t>
  </si>
  <si>
    <t>Camera, iPhone 16e/iPhone 17e</t>
  </si>
  <si>
    <t>DN8HAW0JN510000G3X</t>
  </si>
  <si>
    <t>DN8HDR0D1XL0000G3X</t>
  </si>
  <si>
    <t>G706685087</t>
  </si>
  <si>
    <t>F8Y6056CAAN18FKBQ</t>
  </si>
  <si>
    <t>FG941950RPZ18FMBL</t>
  </si>
  <si>
    <t>G706442785</t>
  </si>
  <si>
    <t>GHQ439300U51R7TB6</t>
  </si>
  <si>
    <t>GHQ4246025B1R7TBC</t>
  </si>
  <si>
    <t>G705603695</t>
  </si>
  <si>
    <t>L1JWTPWWM4</t>
  </si>
  <si>
    <t>K5C94HN2V9</t>
  </si>
  <si>
    <t>G704256433</t>
  </si>
  <si>
    <t>G9P4442MBD0PQCLAL</t>
  </si>
  <si>
    <t>G9N2214M3BGPQCLA0</t>
  </si>
  <si>
    <t>G703891953</t>
  </si>
  <si>
    <t>F8Y5433C7ZTM6YNDD</t>
  </si>
  <si>
    <t>FG993860K3FM6YQ8L</t>
  </si>
  <si>
    <t>G699566579</t>
  </si>
  <si>
    <t>F8Y5496C9KA18FKBX</t>
  </si>
  <si>
    <t>F8Y34931GUW18FLAM</t>
  </si>
  <si>
    <t>G698967103</t>
  </si>
  <si>
    <t>F8Y5463C41A217WBH</t>
  </si>
  <si>
    <t>F8Y253311DE217W78</t>
  </si>
  <si>
    <t>G715739383</t>
  </si>
  <si>
    <t>F8Y6184C1B118FKB9</t>
  </si>
  <si>
    <t>F8Y328500D418FLAC</t>
  </si>
  <si>
    <t>G715724491</t>
  </si>
  <si>
    <t>GMG6155024M1J88AL</t>
  </si>
  <si>
    <t>FP1404602G025YTAB</t>
  </si>
  <si>
    <t>G712425391</t>
  </si>
  <si>
    <t>F8Y5501C2MGQ4C2BJ</t>
  </si>
  <si>
    <t>F5D0523212PQ4C096</t>
  </si>
  <si>
    <t>G711849475</t>
  </si>
  <si>
    <t>F8Y6125C2KJ18FKBJ</t>
  </si>
  <si>
    <t>F8Y21760DCH18FLAV</t>
  </si>
  <si>
    <t>G710538519</t>
  </si>
  <si>
    <t>FG9HP60048600006TT</t>
  </si>
  <si>
    <t>F5DGZ101X7E00006TS</t>
  </si>
  <si>
    <t>G709667327</t>
  </si>
  <si>
    <t>PA661-17020</t>
  </si>
  <si>
    <t>Black, Left, Powerbeats Pro, PAC, Carry-in</t>
  </si>
  <si>
    <t>H2CPT19EQ7C4</t>
  </si>
  <si>
    <t>H2CL4100PXLL</t>
  </si>
  <si>
    <t>G708196553</t>
  </si>
  <si>
    <t>F8Y6052C96P18FKB6</t>
  </si>
  <si>
    <t>F8Y22630LQ218FLA6</t>
  </si>
  <si>
    <t>G707737575</t>
  </si>
  <si>
    <t>G9PHK7S1R5400005DR</t>
  </si>
  <si>
    <t>GH3HCH023AN00005DS</t>
  </si>
  <si>
    <t>G705732933</t>
  </si>
  <si>
    <t>F6MPP9590P</t>
  </si>
  <si>
    <t>M4GGY7K49C</t>
  </si>
  <si>
    <t>G704087707</t>
  </si>
  <si>
    <t>K91Y09KT2Y</t>
  </si>
  <si>
    <t>H7M79HG3MG</t>
  </si>
  <si>
    <t>G703712777</t>
  </si>
  <si>
    <t>JY22FGY6G2</t>
  </si>
  <si>
    <t>G700802833</t>
  </si>
  <si>
    <t>J9746YDWDH</t>
  </si>
  <si>
    <t>HTF4F14NJG</t>
  </si>
  <si>
    <t>G712687805</t>
  </si>
  <si>
    <t>C5PWGXHF7X</t>
  </si>
  <si>
    <t>CL7KM20C3G</t>
  </si>
  <si>
    <t>G712336683</t>
  </si>
  <si>
    <t>FMYH59Y6QL</t>
  </si>
  <si>
    <t>J7QJV69KWK</t>
  </si>
  <si>
    <t>G710542573</t>
  </si>
  <si>
    <t>FG9HP7000J700006TT</t>
  </si>
  <si>
    <t>F5DH0301MT700006TU</t>
  </si>
  <si>
    <t>G709861493</t>
  </si>
  <si>
    <t>GH3HQH009N90000MUZ</t>
  </si>
  <si>
    <t>G9PHLSZ957Y0000MUY</t>
  </si>
  <si>
    <t>G707248687</t>
  </si>
  <si>
    <t>TA661-43499</t>
  </si>
  <si>
    <t>128GB, White, ROW, iPhone 16, CI/AR</t>
  </si>
  <si>
    <t>HPG91JJKG4</t>
  </si>
  <si>
    <t>JNPY615QDL</t>
  </si>
  <si>
    <t>G704234155</t>
  </si>
  <si>
    <t>GMG5487029KNR8DBL</t>
  </si>
  <si>
    <t>FP1502101YE249XAQ</t>
  </si>
  <si>
    <t>G714760421</t>
  </si>
  <si>
    <t>D865182N1D2PJYRB8</t>
  </si>
  <si>
    <t>D861363A8SVPJYRAP</t>
  </si>
  <si>
    <t>G714528605</t>
  </si>
  <si>
    <t>F8Y6171C22R18FKBH</t>
  </si>
  <si>
    <t>FG941440AUS18FMB9</t>
  </si>
  <si>
    <t>G693357922</t>
  </si>
  <si>
    <t>FV9HD200D7T0000HG2</t>
  </si>
  <si>
    <t>FV9HFR00A360000HG2</t>
  </si>
  <si>
    <t>G710648577</t>
  </si>
  <si>
    <t>DNPHNY049QF0000WDA</t>
  </si>
  <si>
    <t>FNJHN4V1GVY0000M4H</t>
  </si>
  <si>
    <t>G707609781</t>
  </si>
  <si>
    <t>C6K674W9C0</t>
  </si>
  <si>
    <t>MD41FWQC37</t>
  </si>
  <si>
    <t>G705591483</t>
  </si>
  <si>
    <t>F8Y6053CMN418FKBY</t>
  </si>
  <si>
    <t>FG9412607ME18FMBF</t>
  </si>
  <si>
    <t>G704128165</t>
  </si>
  <si>
    <t>DVXQF6FNJM</t>
  </si>
  <si>
    <t>G712860637</t>
  </si>
  <si>
    <t>F0Y5432013B1J87AQ</t>
  </si>
  <si>
    <t>GMG242702Z81J87AX</t>
  </si>
  <si>
    <t>G709873775</t>
  </si>
  <si>
    <t>FGW9PRFGPP</t>
  </si>
  <si>
    <t>JV76G63Y9V</t>
  </si>
  <si>
    <t>G699651729</t>
  </si>
  <si>
    <t>G9Q5397UP9X21KHAD</t>
  </si>
  <si>
    <t>G9Q5062U2HC21KHAC</t>
  </si>
  <si>
    <t>G699575497</t>
  </si>
  <si>
    <t>CFH4Y9WKQD</t>
  </si>
  <si>
    <t>F7FXJJXWPJ</t>
  </si>
  <si>
    <t>G698560125</t>
  </si>
  <si>
    <t>HKHPKDUTGWTJ</t>
  </si>
  <si>
    <t>HKGMV1X4GWTJ</t>
  </si>
  <si>
    <t>G697252978</t>
  </si>
  <si>
    <t>GMG615500AA1J88AF</t>
  </si>
  <si>
    <t>FP143510DPB25YTA1</t>
  </si>
  <si>
    <t>G714617583</t>
  </si>
  <si>
    <t>F8Y6173C3GX18FKB0</t>
  </si>
  <si>
    <t>FG93176027L18FMAD</t>
  </si>
  <si>
    <t>G713269083</t>
  </si>
  <si>
    <t>C021482010PPXD9AP</t>
  </si>
  <si>
    <t>C02GR0K0Q6W6</t>
  </si>
  <si>
    <t>G709528257</t>
  </si>
  <si>
    <t>FP9XPWF6DP</t>
  </si>
  <si>
    <t>KJGTD2KPY6</t>
  </si>
  <si>
    <t>G709414879</t>
  </si>
  <si>
    <t>F3W02T66KF</t>
  </si>
  <si>
    <t>HK4YG3R7FC</t>
  </si>
  <si>
    <t>G708520885</t>
  </si>
  <si>
    <t>K7TJ1Q402L</t>
  </si>
  <si>
    <t>HYJ3FRQGXH</t>
  </si>
  <si>
    <t>G707137769</t>
  </si>
  <si>
    <t>KL24RVHHYD</t>
  </si>
  <si>
    <t>HQFF64TF5Y</t>
  </si>
  <si>
    <t>G686101394</t>
  </si>
  <si>
    <t>JFRW4RY4T3</t>
  </si>
  <si>
    <t>K9Q0WFQJ1W</t>
  </si>
  <si>
    <t>J2N57XJHF6</t>
  </si>
  <si>
    <t>HL64FYCY76</t>
  </si>
  <si>
    <t>G700476355</t>
  </si>
  <si>
    <t>F8Y5372C7EU14LWCG</t>
  </si>
  <si>
    <t>F8Y1486179P14LW8H</t>
  </si>
  <si>
    <t>G699859865</t>
  </si>
  <si>
    <t>GMGHLH0092N0000GVL</t>
  </si>
  <si>
    <t>GMGHM3000GJ0000GVL</t>
  </si>
  <si>
    <t>G710558609</t>
  </si>
  <si>
    <t>GVH51632BHDPR5PA8</t>
  </si>
  <si>
    <t>GVH53710WZFPR5PAA</t>
  </si>
  <si>
    <t>G709422351</t>
  </si>
  <si>
    <t>J6CYNRWW5D</t>
  </si>
  <si>
    <t>LWXLQL09DQ</t>
  </si>
  <si>
    <t>G704010519</t>
  </si>
  <si>
    <t>F8Y6054CN8J18FKBQ</t>
  </si>
  <si>
    <t>FG932730NMP18FMAJ</t>
  </si>
  <si>
    <t>G703895481</t>
  </si>
  <si>
    <t>F8Y6057C4RV18FKBB</t>
  </si>
  <si>
    <t>F8Y32460M3E18FLAN</t>
  </si>
  <si>
    <t>G702620553</t>
  </si>
  <si>
    <t>LYKYP39N65</t>
  </si>
  <si>
    <t>DT2MGD4H51</t>
  </si>
  <si>
    <t>M69MPXQV5P</t>
  </si>
  <si>
    <t>G701636957</t>
  </si>
  <si>
    <t>DNL52220S301986B4</t>
  </si>
  <si>
    <t>DNL30640Z5A1986B9</t>
  </si>
  <si>
    <t>661-30384</t>
  </si>
  <si>
    <t>Starlight, Back Glass, iPhone 14 Plus</t>
  </si>
  <si>
    <t>HKY437703WG237NA0</t>
  </si>
  <si>
    <t>HKY24240499237NAQ</t>
  </si>
  <si>
    <t>G700826741</t>
  </si>
  <si>
    <t>M57VJ630C5</t>
  </si>
  <si>
    <t>L6C46FHC2R</t>
  </si>
  <si>
    <t>G700072623</t>
  </si>
  <si>
    <t>F8Y5502C3VZ13RHCN</t>
  </si>
  <si>
    <t>F8Y142202C413RHBD</t>
  </si>
  <si>
    <t>G709068989</t>
  </si>
  <si>
    <t>D7PFMKF49F</t>
  </si>
  <si>
    <t>J7564C37WD</t>
  </si>
  <si>
    <t>G708614957</t>
  </si>
  <si>
    <t>JH3W4KT9TK</t>
  </si>
  <si>
    <t>GD93520W2K</t>
  </si>
  <si>
    <t>G707707379</t>
  </si>
  <si>
    <t>TA661-36475</t>
  </si>
  <si>
    <t>15 Plus, Green, 256GB, Logic Board Assy Mid System, ROW</t>
  </si>
  <si>
    <t>J9P4WPWV93</t>
  </si>
  <si>
    <t>K92RHVC3H5</t>
  </si>
  <si>
    <t>G705548363</t>
  </si>
  <si>
    <t>HKGR324XGWTJ</t>
  </si>
  <si>
    <t>HKHP96BPGWTJ</t>
  </si>
  <si>
    <t>G704870849</t>
  </si>
  <si>
    <t>GN2HKT1CERB0000B30</t>
  </si>
  <si>
    <t>GN2HQ4055570000B30</t>
  </si>
  <si>
    <t>G704268043</t>
  </si>
  <si>
    <t>DP4P6H1W1R</t>
  </si>
  <si>
    <t>FNV3711QNR</t>
  </si>
  <si>
    <t>G700007053</t>
  </si>
  <si>
    <t>DNPHJN01USY0000FER</t>
  </si>
  <si>
    <t>GMHHHJ02KPP00006SX</t>
  </si>
  <si>
    <t>G699859091</t>
  </si>
  <si>
    <t>GMGGT5000C900000CQ</t>
  </si>
  <si>
    <t>GMGGUN001ZH00000CQ</t>
  </si>
  <si>
    <t>G699253737</t>
  </si>
  <si>
    <t>J9KHNH002280000FD3</t>
  </si>
  <si>
    <t>FNJHB4L02930000882</t>
  </si>
  <si>
    <t>G713480659</t>
  </si>
  <si>
    <t>GQTCFXCQWL</t>
  </si>
  <si>
    <t>CM770J973C</t>
  </si>
  <si>
    <t>G713370047</t>
  </si>
  <si>
    <t>Z661-55848</t>
  </si>
  <si>
    <t>Logic Board, 1TB, iPhone Air, ROW</t>
  </si>
  <si>
    <t>F0WTJJPXWJ</t>
  </si>
  <si>
    <t>F9PJC9119J</t>
  </si>
  <si>
    <t>G711567741</t>
  </si>
  <si>
    <t>J9PHRV002480000HK9</t>
  </si>
  <si>
    <t>GMHHMF026XG00007BV</t>
  </si>
  <si>
    <t>G711349507</t>
  </si>
  <si>
    <t>DN8HFZ05P7X00002MW</t>
  </si>
  <si>
    <t>DN8HE90597M00005KQ</t>
  </si>
  <si>
    <t>G707600593</t>
  </si>
  <si>
    <t>FG9HP7001BX00006TT</t>
  </si>
  <si>
    <t>FG9GYN00RNV00006TV</t>
  </si>
  <si>
    <t>G689414694</t>
  </si>
  <si>
    <t>GR7JR0J1W0</t>
  </si>
  <si>
    <t>MGV9R79CL6</t>
  </si>
  <si>
    <t>G706451443</t>
  </si>
  <si>
    <t>GMGHLH0062T0000GVL</t>
  </si>
  <si>
    <t>FP1HCQ009GH0000G2A</t>
  </si>
  <si>
    <t>G705778623</t>
  </si>
  <si>
    <t>G9Q5177P8RYPR5QAJ</t>
  </si>
  <si>
    <t>GVH52070WQBPR5PAP</t>
  </si>
  <si>
    <t>G704560137</t>
  </si>
  <si>
    <t>F4F0VYJGPR</t>
  </si>
  <si>
    <t>FPK4MX2JYT</t>
  </si>
  <si>
    <t>G698257883</t>
  </si>
  <si>
    <t>HL722TLHDP</t>
  </si>
  <si>
    <t>DN2T6MGK1W</t>
  </si>
  <si>
    <t>G715434729</t>
  </si>
  <si>
    <t>G0NHSR00P8B0000YJ1</t>
  </si>
  <si>
    <t>FNJHKJT1BB90000QTV</t>
  </si>
  <si>
    <t>G712232527</t>
  </si>
  <si>
    <t>DV7Y9WNFWG</t>
  </si>
  <si>
    <t>DDHDP9322N</t>
  </si>
  <si>
    <t>G708955353</t>
  </si>
  <si>
    <t>GXQVY21H7C</t>
  </si>
  <si>
    <t>H6T43LJ6DX</t>
  </si>
  <si>
    <t>G701811901</t>
  </si>
  <si>
    <t>DNMHJT00Q5D0000QTE</t>
  </si>
  <si>
    <t>F0WHNJ028Q20000S1F</t>
  </si>
  <si>
    <t>G701669949</t>
  </si>
  <si>
    <t>G675P4CX4V</t>
  </si>
  <si>
    <t>MXH91Q62QM</t>
  </si>
  <si>
    <t>G701624127</t>
  </si>
  <si>
    <t>G9QHMMY02YA00004Y7</t>
  </si>
  <si>
    <t>G9QHBNX3PPP00004Y7</t>
  </si>
  <si>
    <t>G701380203</t>
  </si>
  <si>
    <t>DLVRW54D9F</t>
  </si>
  <si>
    <t>HY44V5XF1Y</t>
  </si>
  <si>
    <t>G699188891</t>
  </si>
  <si>
    <t>GMGHLG0018J0000GVL</t>
  </si>
  <si>
    <t>GMGHB8002M20000GVK</t>
  </si>
  <si>
    <t>G712869537</t>
  </si>
  <si>
    <t>C02238708NV0W8QA7</t>
  </si>
  <si>
    <t>C02242607540W8QA0</t>
  </si>
  <si>
    <t>G712015281</t>
  </si>
  <si>
    <t>DL699K90QR</t>
  </si>
  <si>
    <t>KPM6Q49X5R</t>
  </si>
  <si>
    <t>G711395147</t>
  </si>
  <si>
    <t>GVH51652F3MPR5PA2</t>
  </si>
  <si>
    <t>GVH51161Y70PR5PAB</t>
  </si>
  <si>
    <t>G709399735</t>
  </si>
  <si>
    <t>CGY21X2YF4</t>
  </si>
  <si>
    <t>CVX133XH1J</t>
  </si>
  <si>
    <t>G701566959</t>
  </si>
  <si>
    <t>JJJ9P9N5G4</t>
  </si>
  <si>
    <t>HKX96VX06Y</t>
  </si>
  <si>
    <t>G703204531</t>
  </si>
  <si>
    <t>J1QJDW9JN7</t>
  </si>
  <si>
    <t>G705178151</t>
  </si>
  <si>
    <t>D6V6FK0FFH</t>
  </si>
  <si>
    <t>G710691645</t>
  </si>
  <si>
    <t>CTWVMMWYDF</t>
  </si>
  <si>
    <t>G711674713</t>
  </si>
  <si>
    <t>H2JVQ0Q1XT</t>
  </si>
  <si>
    <t>GXX417VQKH</t>
  </si>
  <si>
    <t>G701978855</t>
  </si>
  <si>
    <t>F0YHMR001BS0000GVK</t>
  </si>
  <si>
    <t>FP1HLB005YR0000G29</t>
  </si>
  <si>
    <t>G705296905</t>
  </si>
  <si>
    <t>F8Y5527C63FQ687BU</t>
  </si>
  <si>
    <t>FG904662L7QQ68C3C</t>
  </si>
  <si>
    <t>G714757227</t>
  </si>
  <si>
    <t>G9PHRJD4F8E0000L4B</t>
  </si>
  <si>
    <t>J5VHQT00H820000L4C</t>
  </si>
  <si>
    <t>G713090131</t>
  </si>
  <si>
    <t>F8Y6182C0LG231LBD</t>
  </si>
  <si>
    <t>FG930931A1Q22WLA7</t>
  </si>
  <si>
    <t>G706807079</t>
  </si>
  <si>
    <t>ZP661-25145</t>
  </si>
  <si>
    <t>Blue, 256 GB, iPad Air 5th generation, Wi-Fi, ITP</t>
  </si>
  <si>
    <t>GY969T96GG</t>
  </si>
  <si>
    <t>LPYX030PJC</t>
  </si>
  <si>
    <t>G706449315</t>
  </si>
  <si>
    <t>DXYHK062PMQ0000UV5</t>
  </si>
  <si>
    <t>CTHHN861ACS0000UV3</t>
  </si>
  <si>
    <t>G706165565</t>
  </si>
  <si>
    <t>G9Q5131C154PR5QAU</t>
  </si>
  <si>
    <t>GVH50350XQBPR5PAH</t>
  </si>
  <si>
    <t>G703137119</t>
  </si>
  <si>
    <t>HHVWD06LXH</t>
  </si>
  <si>
    <t>HD74M3Q269</t>
  </si>
  <si>
    <t>G702484425</t>
  </si>
  <si>
    <t>GMG527600X61J87AL</t>
  </si>
  <si>
    <t>F0Y541502831J87AK</t>
  </si>
  <si>
    <t>G698418737</t>
  </si>
  <si>
    <t>G21C71G97X</t>
  </si>
  <si>
    <t>K4KQWWFC9R</t>
  </si>
  <si>
    <t>G708264719</t>
  </si>
  <si>
    <t>F8Y6096N2V913QFCT</t>
  </si>
  <si>
    <t>F8Y311707D513QFB4</t>
  </si>
  <si>
    <t>G700985529</t>
  </si>
  <si>
    <t>HKYHD4000RX0000V5V</t>
  </si>
  <si>
    <t>HKYHGK0049X0000V5V</t>
  </si>
  <si>
    <t>G682545656</t>
  </si>
  <si>
    <t>DNL522305781986B4</t>
  </si>
  <si>
    <t>DNL401414341986BR</t>
  </si>
  <si>
    <t>G711295575</t>
  </si>
  <si>
    <t>KRQN30X7HV</t>
  </si>
  <si>
    <t>M7YQDTYXML</t>
  </si>
  <si>
    <t>G705814795</t>
  </si>
  <si>
    <t>G9QHQGR1MAG00004Y7</t>
  </si>
  <si>
    <t>G704677881</t>
  </si>
  <si>
    <t>TA661-42897</t>
  </si>
  <si>
    <t>128GB, Black Titanium, ROW, iPhone 16 Pro, CI/AR</t>
  </si>
  <si>
    <t>FFXCTWWVR2</t>
  </si>
  <si>
    <t>D23RW7QCRW</t>
  </si>
  <si>
    <t>G701215097</t>
  </si>
  <si>
    <t>PA661-34695</t>
  </si>
  <si>
    <t>Beats Studio Buds +, Transparent, Case, CI/AR, PAC</t>
  </si>
  <si>
    <t>KWNWRTX1YP</t>
  </si>
  <si>
    <t>KTC9LY6N4P</t>
  </si>
  <si>
    <t>HNYQX07Y24G9</t>
  </si>
  <si>
    <t>FL6LRLW8246G9</t>
  </si>
  <si>
    <t>G700188941</t>
  </si>
  <si>
    <t>DTVHK681AEF0000CZ8</t>
  </si>
  <si>
    <t>CTHHBE857JX0000CZ6</t>
  </si>
  <si>
    <t>G698870909</t>
  </si>
  <si>
    <t>JFTPFPN457</t>
  </si>
  <si>
    <t>J6593K34WC</t>
  </si>
  <si>
    <t>G714221379</t>
  </si>
  <si>
    <t>F8Y6172C88H18FKB0</t>
  </si>
  <si>
    <t>FG932850FTN18FMA3</t>
  </si>
  <si>
    <t>G712137943</t>
  </si>
  <si>
    <t>D4DDVV44XH</t>
  </si>
  <si>
    <t>DD94KWQ6WT</t>
  </si>
  <si>
    <t>G710119563</t>
  </si>
  <si>
    <t>DN84522AA1F1MCN3B</t>
  </si>
  <si>
    <t>DNM55222KGY1QDC3L</t>
  </si>
  <si>
    <t>G709526205</t>
  </si>
  <si>
    <t>F8Y6056CHG718FKBE</t>
  </si>
  <si>
    <t>FG914341DG918FM4J</t>
  </si>
  <si>
    <t>G708475759</t>
  </si>
  <si>
    <t>MFH0246R40</t>
  </si>
  <si>
    <t>M09M7HRVJL</t>
  </si>
  <si>
    <t>G708281161</t>
  </si>
  <si>
    <t>C02HG6003740000P9K</t>
  </si>
  <si>
    <t>Q61Q62HD2X</t>
  </si>
  <si>
    <t>G707079663</t>
  </si>
  <si>
    <t>M7V43YL7L1</t>
  </si>
  <si>
    <t>GQ943V2NQL</t>
  </si>
  <si>
    <t>G683113688</t>
  </si>
  <si>
    <t>H0Q9L2XP2H</t>
  </si>
  <si>
    <t>G713178303</t>
  </si>
  <si>
    <t>GQ060H6W60</t>
  </si>
  <si>
    <t>L5CX7KP9HX</t>
  </si>
  <si>
    <t>G708811517</t>
  </si>
  <si>
    <t>J4RVMWHXNY</t>
  </si>
  <si>
    <t>G708387901</t>
  </si>
  <si>
    <t>GH3HPU02EGG0000MUZ</t>
  </si>
  <si>
    <t>GH3HP5036530000MUZ</t>
  </si>
  <si>
    <t>G702836159</t>
  </si>
  <si>
    <t>J3CDP6W3QM</t>
  </si>
  <si>
    <t>FCX12LNX66</t>
  </si>
  <si>
    <t>G702616129</t>
  </si>
  <si>
    <t>CFNJ57D196</t>
  </si>
  <si>
    <t>DYYG3RJCWX</t>
  </si>
  <si>
    <t>G702516459</t>
  </si>
  <si>
    <t>FV6NVWQL9G</t>
  </si>
  <si>
    <t>G4KMWN9Y3P</t>
  </si>
  <si>
    <t>G702252789</t>
  </si>
  <si>
    <t>GF4RPWW16N</t>
  </si>
  <si>
    <t>M4DWWYK2G7</t>
  </si>
  <si>
    <t>G711874125</t>
  </si>
  <si>
    <t>F8Y6126C6C218FKBG</t>
  </si>
  <si>
    <t>F8Y41760ANX18FLBD</t>
  </si>
  <si>
    <t>G710318031</t>
  </si>
  <si>
    <t>M12P7XFK60</t>
  </si>
  <si>
    <t>H2QYVMXWH0</t>
  </si>
  <si>
    <t>G708834529</t>
  </si>
  <si>
    <t>F27K6J2QLG</t>
  </si>
  <si>
    <t>F7JQG956TD</t>
  </si>
  <si>
    <t>G703983967</t>
  </si>
  <si>
    <t>J9PHQ0000PC0000HK9</t>
  </si>
  <si>
    <t>FNJHE580QLX00007BV</t>
  </si>
  <si>
    <t>G703833053</t>
  </si>
  <si>
    <t>F8Y6057C4TQ18FKBA</t>
  </si>
  <si>
    <t>FG914371AF118FM4V</t>
  </si>
  <si>
    <t>G703562163</t>
  </si>
  <si>
    <t>661-56124</t>
  </si>
  <si>
    <t>Deep Blue, Back Glass, iPhone 17 Pro</t>
  </si>
  <si>
    <t>FY8HKP00DQJ00017C1</t>
  </si>
  <si>
    <t>JVD2R70CVX</t>
  </si>
  <si>
    <t>G702920437</t>
  </si>
  <si>
    <t>F8Y5433C0MHM6YNDY</t>
  </si>
  <si>
    <t>FG900461GW7M6YQ8P</t>
  </si>
  <si>
    <t>G713165095</t>
  </si>
  <si>
    <t>M4YY000K9N</t>
  </si>
  <si>
    <t>HGWFTP4RGC</t>
  </si>
  <si>
    <t>G710000339</t>
  </si>
  <si>
    <t>GP6QHF4G57</t>
  </si>
  <si>
    <t>Q146VK2L7D</t>
  </si>
  <si>
    <t>G707149627</t>
  </si>
  <si>
    <t>F8Y6057CCHY18FKBQ</t>
  </si>
  <si>
    <t>FG93227066P18FMAN</t>
  </si>
  <si>
    <t>G705818199</t>
  </si>
  <si>
    <t>F8Y5455C5DQ13XCBG</t>
  </si>
  <si>
    <t>F5D1407AQCF13X999</t>
  </si>
  <si>
    <t>G9Q5154E3DY1502AE</t>
  </si>
  <si>
    <t>G9Q2337YE04PQCLAP</t>
  </si>
  <si>
    <t>G9P4327M83CPQCLA9</t>
  </si>
  <si>
    <t>G703897323</t>
  </si>
  <si>
    <t>FMXHNL0015300006J3</t>
  </si>
  <si>
    <t>FMXHEQ002KP00006J3</t>
  </si>
  <si>
    <t>FMXHMG0014700006J3</t>
  </si>
  <si>
    <t>FV9HF500TQF00003T3</t>
  </si>
  <si>
    <t>FV9HF000WMX00003T3</t>
  </si>
  <si>
    <t>G702034021</t>
  </si>
  <si>
    <t>C02HE400WSA0000KL4</t>
  </si>
  <si>
    <t>HXKHMD001860000P0R</t>
  </si>
  <si>
    <t>G700321475</t>
  </si>
  <si>
    <t>FG9HNR005HQ00006TT</t>
  </si>
  <si>
    <t>F5DGYH005WS00006TU</t>
  </si>
  <si>
    <t>G713405103</t>
  </si>
  <si>
    <t>GH3HS401M470000MUZ</t>
  </si>
  <si>
    <t>GH3HM0024SQ0000MUZ</t>
  </si>
  <si>
    <t>G705856545</t>
  </si>
  <si>
    <t>HFWNV2GQTN</t>
  </si>
  <si>
    <t>F65Y93K4YC</t>
  </si>
  <si>
    <t>G700050891</t>
  </si>
  <si>
    <t>K9R97PDPFW</t>
  </si>
  <si>
    <t>M3GDWFG271</t>
  </si>
  <si>
    <t>G698298365</t>
  </si>
  <si>
    <t>G9Q4391TAL021KHA2</t>
  </si>
  <si>
    <t>GVH51150Q051PHLA6</t>
  </si>
  <si>
    <t>G715307773</t>
  </si>
  <si>
    <t>F8Y6183C09T18FKBR</t>
  </si>
  <si>
    <t>FG940870DK118FMBA</t>
  </si>
  <si>
    <t>G711619975</t>
  </si>
  <si>
    <t>LVPY2737HR</t>
  </si>
  <si>
    <t>H09DQKPW1F</t>
  </si>
  <si>
    <t>G709755961</t>
  </si>
  <si>
    <t>ZP661-38969</t>
  </si>
  <si>
    <t>Space Black, iPad Pro 13-inch (M4), 1TB, Wi-Fi, ITP</t>
  </si>
  <si>
    <t>G2DRHV6J6K</t>
  </si>
  <si>
    <t>J7FW1C90GF</t>
  </si>
  <si>
    <t>G709167031</t>
  </si>
  <si>
    <t>C4WYG4YJ6N</t>
  </si>
  <si>
    <t>D2T09CY6QT</t>
  </si>
  <si>
    <t>G705108445</t>
  </si>
  <si>
    <t>HQT0J97TTH</t>
  </si>
  <si>
    <t>M07FL2PQ4R</t>
  </si>
  <si>
    <t>G712800411</t>
  </si>
  <si>
    <t>HXF226Q6DC</t>
  </si>
  <si>
    <t>L4MXFM6G9F</t>
  </si>
  <si>
    <t>G709036573</t>
  </si>
  <si>
    <t>F8Y6057CH0H18FKBH</t>
  </si>
  <si>
    <t>FG9349107K218FNAK</t>
  </si>
  <si>
    <t>G705000513</t>
  </si>
  <si>
    <t>F8Y6056CATW18FKBZ</t>
  </si>
  <si>
    <t>FG9147509SY18FN5P</t>
  </si>
  <si>
    <t>G704402105</t>
  </si>
  <si>
    <t>MD2T6FLYQN</t>
  </si>
  <si>
    <t>DJW4JYMPXN</t>
  </si>
  <si>
    <t>G713526395</t>
  </si>
  <si>
    <t>GVCHCL02F3P00005DS</t>
  </si>
  <si>
    <t>GH3HFF014X700005DS</t>
  </si>
  <si>
    <t>G692471898</t>
  </si>
  <si>
    <t>DWX7W5T7VV</t>
  </si>
  <si>
    <t>HXH4QM522C</t>
  </si>
  <si>
    <t>G707713503</t>
  </si>
  <si>
    <t>HYWFMWVF63</t>
  </si>
  <si>
    <t>GJ3F65N2PD</t>
  </si>
  <si>
    <t>G707248111</t>
  </si>
  <si>
    <t>KJ5D26RQKP</t>
  </si>
  <si>
    <t>FWHW0J004L</t>
  </si>
  <si>
    <t>G705930245</t>
  </si>
  <si>
    <t>J72357T74W</t>
  </si>
  <si>
    <t>D0G4TCQ996</t>
  </si>
  <si>
    <t>G701421275</t>
  </si>
  <si>
    <t>F8Y6031C0L8237KBM</t>
  </si>
  <si>
    <t>F8Y24950GEB237K3Y</t>
  </si>
  <si>
    <t>G698431177</t>
  </si>
  <si>
    <t>LH47LLQG5G</t>
  </si>
  <si>
    <t>GCP21X2462</t>
  </si>
  <si>
    <t>G704105551</t>
  </si>
  <si>
    <t>FG9HP40018E00006TT</t>
  </si>
  <si>
    <t>F5DGYK003C900006TU</t>
  </si>
  <si>
    <t>G703858971</t>
  </si>
  <si>
    <t>DN8HP40AYHT0000RYQ</t>
  </si>
  <si>
    <t>DN8HMB00SWG0000RYQ</t>
  </si>
  <si>
    <t>G702554483</t>
  </si>
  <si>
    <t>L474T2TR7M</t>
  </si>
  <si>
    <t>MWN71YNHG2</t>
  </si>
  <si>
    <t>G701691195</t>
  </si>
  <si>
    <t>DN8HGR04ZPC00006S2</t>
  </si>
  <si>
    <t>DN8HCF0DY4M00006S2</t>
  </si>
  <si>
    <t>G0NHKL000FL0000HKZ</t>
  </si>
  <si>
    <t>FNJHB6C0FPZ0000BXF</t>
  </si>
  <si>
    <t>G700988883</t>
  </si>
  <si>
    <t>K4K7X67WJ1</t>
  </si>
  <si>
    <t>JC659CJWYP</t>
  </si>
  <si>
    <t>G699839711</t>
  </si>
  <si>
    <t>HTXWP7K44G</t>
  </si>
  <si>
    <t>JCF6W2TXV0</t>
  </si>
  <si>
    <t>DKDHDXK9XY</t>
  </si>
  <si>
    <t>G699132519</t>
  </si>
  <si>
    <t>J9KHND006BC0000FD3</t>
  </si>
  <si>
    <t>GMHHBP02RPC0000882</t>
  </si>
  <si>
    <t>J9KHL7000NM0000FD3</t>
  </si>
  <si>
    <t>G698849541</t>
  </si>
  <si>
    <t>G9P5347MPMRPQCLAL</t>
  </si>
  <si>
    <t>G9P2242RGHQPQCLA9</t>
  </si>
  <si>
    <t>G711288197</t>
  </si>
  <si>
    <t>GMGHLF004J90000GVL</t>
  </si>
  <si>
    <t>FP1HLN00C6H0000G29</t>
  </si>
  <si>
    <t>G709988969</t>
  </si>
  <si>
    <t>F8Y6155C1BQM6YNDC</t>
  </si>
  <si>
    <t>FG901121BM1M6YRBV</t>
  </si>
  <si>
    <t>G704263907</t>
  </si>
  <si>
    <t>FQWQF9WK73</t>
  </si>
  <si>
    <t>DQ0VJMVMQP</t>
  </si>
  <si>
    <t>G702901495</t>
  </si>
  <si>
    <t>GMG548600C9NR89BU</t>
  </si>
  <si>
    <t>F0Y302401E4NR8DBY</t>
  </si>
  <si>
    <t>G686000480</t>
  </si>
  <si>
    <t>GXXMQ73V7W</t>
  </si>
  <si>
    <t>C74X44F9Q1</t>
  </si>
  <si>
    <t>G702604203</t>
  </si>
  <si>
    <t>CF6RFPV2J1</t>
  </si>
  <si>
    <t>F2QV6R2TKH</t>
  </si>
  <si>
    <t>G682430918</t>
  </si>
  <si>
    <t>G9PHLHT24WC00005DP</t>
  </si>
  <si>
    <t>GVCHA80007G00005DQ</t>
  </si>
  <si>
    <t>G713699631</t>
  </si>
  <si>
    <t>FVT61X71P9</t>
  </si>
  <si>
    <t>F9T17CFFHT</t>
  </si>
  <si>
    <t>G711966717</t>
  </si>
  <si>
    <t>M7YJJ4552R</t>
  </si>
  <si>
    <t>DKH21VQLTL</t>
  </si>
  <si>
    <t>G711886007</t>
  </si>
  <si>
    <t>KMWHFJY3K4</t>
  </si>
  <si>
    <t>D09FCVVNDF</t>
  </si>
  <si>
    <t>G705701835</t>
  </si>
  <si>
    <t>CXY41HYVK1</t>
  </si>
  <si>
    <t>HR6TR9F0H0</t>
  </si>
  <si>
    <t>G705253823</t>
  </si>
  <si>
    <t>F8Y5527C2DM20J9B2</t>
  </si>
  <si>
    <t>F8Y238111EB20JC2Y</t>
  </si>
  <si>
    <t>G704501677</t>
  </si>
  <si>
    <t>HPX2GXN71D</t>
  </si>
  <si>
    <t>L4PVXCQ0V6</t>
  </si>
  <si>
    <t>G686485610</t>
  </si>
  <si>
    <t>DN8HKB02XQU0000JS5</t>
  </si>
  <si>
    <t>DNMHPE024RX0000RYP</t>
  </si>
  <si>
    <t>G702630259</t>
  </si>
  <si>
    <t>J1Q29PH4M1</t>
  </si>
  <si>
    <t>DFCGJNQ6F4</t>
  </si>
  <si>
    <t>G702539025</t>
  </si>
  <si>
    <t>F0YHMR001NF0000GVK</t>
  </si>
  <si>
    <t>FP1HD500DC90000G29</t>
  </si>
  <si>
    <t>G701295395</t>
  </si>
  <si>
    <t>GVH51662C9FPR5PAS</t>
  </si>
  <si>
    <t>GVH50340VWUPR5PAK</t>
  </si>
  <si>
    <t>G700115849</t>
  </si>
  <si>
    <t>K56YQN4HLX</t>
  </si>
  <si>
    <t>LWW6JC3F64</t>
  </si>
  <si>
    <t>G709832151</t>
  </si>
  <si>
    <t>DN8HMY0F7P00000JS5</t>
  </si>
  <si>
    <t>DNMHL902NEW0000RYP</t>
  </si>
  <si>
    <t>G703947219</t>
  </si>
  <si>
    <t>FG9HP8004UQ00006TT</t>
  </si>
  <si>
    <t>FG9H0501KN500006TV</t>
  </si>
  <si>
    <t>G703332497</t>
  </si>
  <si>
    <t>F8YHN2C09EH00006TP</t>
  </si>
  <si>
    <t>F5DH28003QE00006TQ</t>
  </si>
  <si>
    <t>G702038935</t>
  </si>
  <si>
    <t>DV031YKHFH</t>
  </si>
  <si>
    <t>LY9YHJHXQV</t>
  </si>
  <si>
    <t>G698696747</t>
  </si>
  <si>
    <t>HVXKHRY3FX</t>
  </si>
  <si>
    <t>LW0NKJ4MG2</t>
  </si>
  <si>
    <t>G713304447</t>
  </si>
  <si>
    <t>H1H9L6T27H</t>
  </si>
  <si>
    <t>FY66JXGT7J</t>
  </si>
  <si>
    <t>G691876448</t>
  </si>
  <si>
    <t>H9GKYHP7FF</t>
  </si>
  <si>
    <t>MGWMJ2Q707</t>
  </si>
  <si>
    <t>G705868371</t>
  </si>
  <si>
    <t>J4W2DW6T79</t>
  </si>
  <si>
    <t>JG3WP3QCQR</t>
  </si>
  <si>
    <t>G702108635</t>
  </si>
  <si>
    <t>F8Y5442C3BAM6YNDW</t>
  </si>
  <si>
    <t>FG9305509SSM6YRC2</t>
  </si>
  <si>
    <t>G701498393</t>
  </si>
  <si>
    <t>F8Y5464C85C217WBY</t>
  </si>
  <si>
    <t>F5D24637A0121PK7G</t>
  </si>
  <si>
    <t>G683126674</t>
  </si>
  <si>
    <t>DN8HJP06Z5J00006S2</t>
  </si>
  <si>
    <t>DN8H9006YK600006S2</t>
  </si>
  <si>
    <t>G712797121</t>
  </si>
  <si>
    <t>M6XT6R406Q</t>
  </si>
  <si>
    <t>H1XQ6N19C7</t>
  </si>
  <si>
    <t>G712643651</t>
  </si>
  <si>
    <t>G9QHQVX12XV00004Y7</t>
  </si>
  <si>
    <t>J5VH9T00EML00004Y8</t>
  </si>
  <si>
    <t>G710887523</t>
  </si>
  <si>
    <t>G9P5164L1E3PQCKAL</t>
  </si>
  <si>
    <t>G9P1487HJE1PQCKAE</t>
  </si>
  <si>
    <t>F8Y5473C1CY13RHCM</t>
  </si>
  <si>
    <t>F8Y148209AB13RHBM</t>
  </si>
  <si>
    <t>G9P5511MFD2PQCKAM</t>
  </si>
  <si>
    <t>G715843769</t>
  </si>
  <si>
    <t>G9P5341R7BE1PHPAJ</t>
  </si>
  <si>
    <t>G9N3431H4071PHPAS</t>
  </si>
  <si>
    <t>G710583547</t>
  </si>
  <si>
    <t>GH3HRF01AMK0000MUZ</t>
  </si>
  <si>
    <t>G9NHK8Y0QTV0000MUY</t>
  </si>
  <si>
    <t>G705075839</t>
  </si>
  <si>
    <t>GX0Y6T27DP</t>
  </si>
  <si>
    <t>FYH27JXTKQ</t>
  </si>
  <si>
    <t>G700862323</t>
  </si>
  <si>
    <t>GK14V79N9L</t>
  </si>
  <si>
    <t>LHHFWV4R6H</t>
  </si>
  <si>
    <t>G699361995</t>
  </si>
  <si>
    <t>G9P5352LP0MPQCKAR</t>
  </si>
  <si>
    <t>G9N2226W6FSPQCKAC</t>
  </si>
  <si>
    <t>F8Y5497C4Z413RHC7</t>
  </si>
  <si>
    <t>F5D22571LQS13RKAG</t>
  </si>
  <si>
    <t>G699264185</t>
  </si>
  <si>
    <t>J5J245Y2HL</t>
  </si>
  <si>
    <t>JR2LFK4K95</t>
  </si>
  <si>
    <t>G698306665</t>
  </si>
  <si>
    <t>MW3014463M</t>
  </si>
  <si>
    <t>J4X4MJ4VPK</t>
  </si>
  <si>
    <t>G713742587</t>
  </si>
  <si>
    <t>G9P5264L69PPQCKA9</t>
  </si>
  <si>
    <t>G9P2095K2AYPQCKA5</t>
  </si>
  <si>
    <t>F8Y6155C28S13RHC8</t>
  </si>
  <si>
    <t>F5D20514FTV13RK9B</t>
  </si>
  <si>
    <t>G9P5225LPEXPQCKAE</t>
  </si>
  <si>
    <t>G694528942</t>
  </si>
  <si>
    <t>J0755HXMWD</t>
  </si>
  <si>
    <t>DRY3XVNTJ3</t>
  </si>
  <si>
    <t>G711451397</t>
  </si>
  <si>
    <t>GH3HRC00TAT0000MUZ</t>
  </si>
  <si>
    <t>G9PHNFF19RA0000MUY</t>
  </si>
  <si>
    <t>G710851179</t>
  </si>
  <si>
    <t>F8Y6126C56U18FKB9</t>
  </si>
  <si>
    <t>F8Y32520Q1W18FLAA</t>
  </si>
  <si>
    <t>G709857245</t>
  </si>
  <si>
    <t>FV912773HAGQ2DRDF</t>
  </si>
  <si>
    <t>C02KG4KWQ6L4</t>
  </si>
  <si>
    <t>G709146019</t>
  </si>
  <si>
    <t>F8Y6056CCVE18FKB7</t>
  </si>
  <si>
    <t>FG932740VSN18FMAW</t>
  </si>
  <si>
    <t>G709079993</t>
  </si>
  <si>
    <t>661-16543</t>
  </si>
  <si>
    <t>Logic Board, 8-core CPU, 8-core GPU, 8GB, 256GB</t>
  </si>
  <si>
    <t>C02116300QUNCML7K</t>
  </si>
  <si>
    <t>G690011722</t>
  </si>
  <si>
    <t>J365066P66</t>
  </si>
  <si>
    <t>MHGYXXPWR9</t>
  </si>
  <si>
    <t>G701323749</t>
  </si>
  <si>
    <t>F09D44673N</t>
  </si>
  <si>
    <t>G711399859</t>
  </si>
  <si>
    <t>J293D6V7YC</t>
  </si>
  <si>
    <t>FFQHFP9L4T</t>
  </si>
  <si>
    <t>G708829125</t>
  </si>
  <si>
    <t>CV22GWP2T0</t>
  </si>
  <si>
    <t>LDFCVXLC7X</t>
  </si>
  <si>
    <t>G708613283</t>
  </si>
  <si>
    <t>DN8HPV0FKX60000RYQ</t>
  </si>
  <si>
    <t>DN8HKN0CH1D0000RYQ</t>
  </si>
  <si>
    <t>G700476615</t>
  </si>
  <si>
    <t>C5YKHK64LR</t>
  </si>
  <si>
    <t>F0WDWKMXV4</t>
  </si>
  <si>
    <t>G683508948</t>
  </si>
  <si>
    <t>YY0991Y5W5</t>
  </si>
  <si>
    <t>VNWCX99JC9</t>
  </si>
  <si>
    <t>G713090159</t>
  </si>
  <si>
    <t>F8Y6157C1KQ18FKB2</t>
  </si>
  <si>
    <t>FG9253603PF18FMAE</t>
  </si>
  <si>
    <t>G693555874</t>
  </si>
  <si>
    <t>GVCHRN029V10000U6M</t>
  </si>
  <si>
    <t>GVCHQP01CH30000U6M</t>
  </si>
  <si>
    <t>G711765735</t>
  </si>
  <si>
    <t>CW90WH340L</t>
  </si>
  <si>
    <t>HG971242YD</t>
  </si>
  <si>
    <t>G711643605</t>
  </si>
  <si>
    <t>FTJXLYX3J9</t>
  </si>
  <si>
    <t>L9GQ16F6RQ</t>
  </si>
  <si>
    <t>G710753181</t>
  </si>
  <si>
    <t>G9Q5382VJ0B1502A5</t>
  </si>
  <si>
    <t>GVH50451CVG1501AX</t>
  </si>
  <si>
    <t>G692293692</t>
  </si>
  <si>
    <t>K57JPMXV5X</t>
  </si>
  <si>
    <t>J4JPDFW61J</t>
  </si>
  <si>
    <t>G708680075</t>
  </si>
  <si>
    <t>MNXMFQ6H2P</t>
  </si>
  <si>
    <t>HMFJCQL0QG</t>
  </si>
  <si>
    <t>G707581877</t>
  </si>
  <si>
    <t>KD6DPXH904</t>
  </si>
  <si>
    <t>JMVR76DD6C</t>
  </si>
  <si>
    <t>G706681369</t>
  </si>
  <si>
    <t>661-27776</t>
  </si>
  <si>
    <t>Logic Board, 12-core CPU, 38-core GPU, 64GB, 1TB</t>
  </si>
  <si>
    <t>C023263006K1LVFA0</t>
  </si>
  <si>
    <t>C02324400DW1LVFA7</t>
  </si>
  <si>
    <t>G700373509</t>
  </si>
  <si>
    <t>F8Y5435C197Q4C2BJ</t>
  </si>
  <si>
    <t>F8Y10661X9NQ4C29J</t>
  </si>
  <si>
    <t>G683605772</t>
  </si>
  <si>
    <t>WKJY5VJDFP</t>
  </si>
  <si>
    <t>CWW627LLF4</t>
  </si>
  <si>
    <t>G698401065</t>
  </si>
  <si>
    <t>HVHXRF62GJ</t>
  </si>
  <si>
    <t>CF2CJ7MYCD</t>
  </si>
  <si>
    <t>G698304633</t>
  </si>
  <si>
    <t>F8YHNDN08A70000G42</t>
  </si>
  <si>
    <t>F8YHD400MM20000G42</t>
  </si>
  <si>
    <t>G713303401</t>
  </si>
  <si>
    <t>F8Y6163C0V318FKBV</t>
  </si>
  <si>
    <t>F8Y32460CS118FLA9</t>
  </si>
  <si>
    <t>G708622271</t>
  </si>
  <si>
    <t>G9PHK7F2DS700005DP</t>
  </si>
  <si>
    <t>GVCHEB01LQK00005DQ</t>
  </si>
  <si>
    <t>G708387931</t>
  </si>
  <si>
    <t>J1YFW0KW4G</t>
  </si>
  <si>
    <t>L7PK2FH9RL</t>
  </si>
  <si>
    <t>G708208025</t>
  </si>
  <si>
    <t>TA661-35493</t>
  </si>
  <si>
    <t>Blue, iPhone 15 Plus, 128GB, ROW, CI/AR, Taiwan</t>
  </si>
  <si>
    <t>LRWF9DK6VN</t>
  </si>
  <si>
    <t>JG93H7N9C0</t>
  </si>
  <si>
    <t>G707236483</t>
  </si>
  <si>
    <t>K9XXVP6QH6</t>
  </si>
  <si>
    <t>VFT4JKT455</t>
  </si>
  <si>
    <t>G705320967</t>
  </si>
  <si>
    <t>GV4LXD4K0M</t>
  </si>
  <si>
    <t>GLVPJXLLPV</t>
  </si>
  <si>
    <t>G705189951</t>
  </si>
  <si>
    <t>F0WHJN00TSM0000JS7</t>
  </si>
  <si>
    <t>DN8HLE009SE0000RYQ</t>
  </si>
  <si>
    <t>G704521749</t>
  </si>
  <si>
    <t>FR4QRYCGPY</t>
  </si>
  <si>
    <t>J7M7543C60</t>
  </si>
  <si>
    <t>G703832869</t>
  </si>
  <si>
    <t>J9KHMS001MV0000FD3</t>
  </si>
  <si>
    <t>GMHHCC01F6U0000882</t>
  </si>
  <si>
    <t>F0WHGJ00Q300000488</t>
  </si>
  <si>
    <t>DN8HD60C2CH00005KQ</t>
  </si>
  <si>
    <t>G703328355</t>
  </si>
  <si>
    <t>LDWFF4JK6M</t>
  </si>
  <si>
    <t>KTWRP9WYFT</t>
  </si>
  <si>
    <t>G700374421</t>
  </si>
  <si>
    <t>F8Y5457C08E237KB4</t>
  </si>
  <si>
    <t>FQ131067MNV22HQ1D</t>
  </si>
  <si>
    <t>G700001243</t>
  </si>
  <si>
    <t>K09Q34JM4L</t>
  </si>
  <si>
    <t>FC6MYC60D4</t>
  </si>
  <si>
    <t>G699743211</t>
  </si>
  <si>
    <t>C4JC92YQMH</t>
  </si>
  <si>
    <t>HM96HTPWWW</t>
  </si>
  <si>
    <t>G683123634</t>
  </si>
  <si>
    <t>DNPHNR00UJ70000FER</t>
  </si>
  <si>
    <t>FNJHFZD0XWM00006SX</t>
  </si>
  <si>
    <t>G714762763</t>
  </si>
  <si>
    <t>F8Y6154C83713RHC3</t>
  </si>
  <si>
    <t>F8Y142602UH13RHBG</t>
  </si>
  <si>
    <t>G714051705</t>
  </si>
  <si>
    <t>CL2HH4GVVD</t>
  </si>
  <si>
    <t>MQ7HG0Q7MF</t>
  </si>
  <si>
    <t>G713853377</t>
  </si>
  <si>
    <t>FG9HRK000WK00006TT</t>
  </si>
  <si>
    <t>F5DH7C01WV000006TU</t>
  </si>
  <si>
    <t>G711531835</t>
  </si>
  <si>
    <t>JTJW2CLJ7K</t>
  </si>
  <si>
    <t>LPD9THMQG6</t>
  </si>
  <si>
    <t>G708971473</t>
  </si>
  <si>
    <t>H3HNWVWLYN</t>
  </si>
  <si>
    <t>C4N2HC4TMV</t>
  </si>
  <si>
    <t>G708146737</t>
  </si>
  <si>
    <t>G9P5015M5EQPQCLA6</t>
  </si>
  <si>
    <t>G9N2216V9RMPQCLAP</t>
  </si>
  <si>
    <t>G706168289</t>
  </si>
  <si>
    <t>F8Y6066C3YL13XCBW</t>
  </si>
  <si>
    <t>F8Y14120MP713XC8R</t>
  </si>
  <si>
    <t>G705327475</t>
  </si>
  <si>
    <t>FWG6Y2P2D2</t>
  </si>
  <si>
    <t>D6WNH09J7P</t>
  </si>
  <si>
    <t>G704898703</t>
  </si>
  <si>
    <t>JYC4MVYJ2Y</t>
  </si>
  <si>
    <t>C4XQKR9HWV</t>
  </si>
  <si>
    <t>G704395003</t>
  </si>
  <si>
    <t>F8Y6056C3H418FKBU</t>
  </si>
  <si>
    <t>FG923551R3N18FMA5</t>
  </si>
  <si>
    <t>G686201548</t>
  </si>
  <si>
    <t>D1HGG9XQGH</t>
  </si>
  <si>
    <t>J5Y24YT2HX</t>
  </si>
  <si>
    <t>G702387185</t>
  </si>
  <si>
    <t>GH3HPY02GZM0000MUZ</t>
  </si>
  <si>
    <t>G9PHLUZ2XWG0000MUY</t>
  </si>
  <si>
    <t>G701994371</t>
  </si>
  <si>
    <t>HTFVK770X5</t>
  </si>
  <si>
    <t>CX4XPD9LQJ</t>
  </si>
  <si>
    <t>G701785561</t>
  </si>
  <si>
    <t>F8Y5516C40F13RHCH</t>
  </si>
  <si>
    <t>F8Y20970BL113RHBS</t>
  </si>
  <si>
    <t>G701436413</t>
  </si>
  <si>
    <t>FFY1CQ4WP7</t>
  </si>
  <si>
    <t>GJ4HT9TXTN</t>
  </si>
  <si>
    <t>G700375921</t>
  </si>
  <si>
    <t>F8Y5506CDDY18FKBF</t>
  </si>
  <si>
    <t>F8Y347503HJ18FLAJ</t>
  </si>
  <si>
    <t>G699059811</t>
  </si>
  <si>
    <t>G9Q5433VN2V1502AQ</t>
  </si>
  <si>
    <t>GVC44740G381503A8</t>
  </si>
  <si>
    <t>G698813107</t>
  </si>
  <si>
    <t>LR7DDP452M</t>
  </si>
  <si>
    <t>KP6P41C7R5</t>
  </si>
  <si>
    <t>G710903375</t>
  </si>
  <si>
    <t>F8Y6102C4Y813XCBU</t>
  </si>
  <si>
    <t>F8Y215119VG13XC8W</t>
  </si>
  <si>
    <t>DN85242A6M5Q1NMDM</t>
  </si>
  <si>
    <t>DN82132JZTZQ1NMD5</t>
  </si>
  <si>
    <t>G690509500</t>
  </si>
  <si>
    <t>F8YHP7C0EVS00006TP</t>
  </si>
  <si>
    <t>F5DGZR00T3100006TQ</t>
  </si>
  <si>
    <t>G707081339</t>
  </si>
  <si>
    <t>F8Y6025C8M6217WB2</t>
  </si>
  <si>
    <t>F5D2344E6KP21PK7U</t>
  </si>
  <si>
    <t>G689415582</t>
  </si>
  <si>
    <t>CP99LHG0H2</t>
  </si>
  <si>
    <t>DNH2XN70JX</t>
  </si>
  <si>
    <t>G706821127</t>
  </si>
  <si>
    <t>C4RM62LWPD</t>
  </si>
  <si>
    <t>MC6DF6F6L2</t>
  </si>
  <si>
    <t>G706593173</t>
  </si>
  <si>
    <t>G9PHL7T2MV700005DP</t>
  </si>
  <si>
    <t>GVCHDW001HW00005DQ</t>
  </si>
  <si>
    <t>G704850361</t>
  </si>
  <si>
    <t>G34PWKF0W9</t>
  </si>
  <si>
    <t>GRWT3MY79F</t>
  </si>
  <si>
    <t>G704838425</t>
  </si>
  <si>
    <t>JHL6P7HWRX</t>
  </si>
  <si>
    <t>JH9M16XQ9P</t>
  </si>
  <si>
    <t>G704395221</t>
  </si>
  <si>
    <t>FG9HPX005X500006TT</t>
  </si>
  <si>
    <t>F5DH0700U4U00006TU</t>
  </si>
  <si>
    <t>G704106909</t>
  </si>
  <si>
    <t>G9W4J5XP9G</t>
  </si>
  <si>
    <t>J34733L4F1</t>
  </si>
  <si>
    <t>G703888759</t>
  </si>
  <si>
    <t>JJPM9W60XY</t>
  </si>
  <si>
    <t>K43V3Y4N37</t>
  </si>
  <si>
    <t>G703724325</t>
  </si>
  <si>
    <t>PL44M0WM6V</t>
  </si>
  <si>
    <t>FYP4P57V0M</t>
  </si>
  <si>
    <t>G703320893</t>
  </si>
  <si>
    <t>F8Y5425C39618FKBR</t>
  </si>
  <si>
    <t>FG922120FQT18FMA0</t>
  </si>
  <si>
    <t>G701383003</t>
  </si>
  <si>
    <t>CTQ77LG2PT</t>
  </si>
  <si>
    <t>YQF0C4CQMD</t>
  </si>
  <si>
    <t>G701208605</t>
  </si>
  <si>
    <t>GHQ603701412FT7AU</t>
  </si>
  <si>
    <t>GHQ146103F7167TAD</t>
  </si>
  <si>
    <t>G684525162</t>
  </si>
  <si>
    <t>M4XQXGV41F</t>
  </si>
  <si>
    <t>KXPYQ46KCQ</t>
  </si>
  <si>
    <t>G700805389</t>
  </si>
  <si>
    <t>G9P5266QF5P1PHRAA</t>
  </si>
  <si>
    <t>GH341121F6Y1PHTAG</t>
  </si>
  <si>
    <t>G700469187</t>
  </si>
  <si>
    <t>F8Y5506CDDT18FKBL</t>
  </si>
  <si>
    <t>FG933570UGE18FMA3</t>
  </si>
  <si>
    <t>G700376919</t>
  </si>
  <si>
    <t>F8Y5506CE6Y18FKB1</t>
  </si>
  <si>
    <t>FG914932QTR18FM46</t>
  </si>
  <si>
    <t>G700085215</t>
  </si>
  <si>
    <t>KVHR6YL4CP</t>
  </si>
  <si>
    <t>JRRWTVHXCR</t>
  </si>
  <si>
    <t>G700066099</t>
  </si>
  <si>
    <t>C02HDT003GT0000P0S</t>
  </si>
  <si>
    <t>G699981057</t>
  </si>
  <si>
    <t>G9Q5172C5FJPR5QA1</t>
  </si>
  <si>
    <t>GVH50810U2SPR5PAS</t>
  </si>
  <si>
    <t>G699974427</t>
  </si>
  <si>
    <t>J9Q54250T7A0GKWAG</t>
  </si>
  <si>
    <t>GMH452701RFQ189AM</t>
  </si>
  <si>
    <t>G699910323</t>
  </si>
  <si>
    <t>F8Y5506CPRE18FKBM</t>
  </si>
  <si>
    <t>FG9217416MP18FMA0</t>
  </si>
  <si>
    <t>G698191929</t>
  </si>
  <si>
    <t>DNL52220K5P1986BG</t>
  </si>
  <si>
    <t>DNL33820V8K1986BN</t>
  </si>
  <si>
    <t>G714998881</t>
  </si>
  <si>
    <t>F8Y6184CAMW18FKB9</t>
  </si>
  <si>
    <t>F5D32734MEB18FKAA</t>
  </si>
  <si>
    <t>G713864527</t>
  </si>
  <si>
    <t>FM7HSH00LMZ00014QY</t>
  </si>
  <si>
    <t>FM7HLG01PX900013S6</t>
  </si>
  <si>
    <t>G713853127</t>
  </si>
  <si>
    <t>GVCHSF02X020000U6M</t>
  </si>
  <si>
    <t>GVCHMC01W5F0000U6M</t>
  </si>
  <si>
    <t>G711075391</t>
  </si>
  <si>
    <t>GYNP2V63LD</t>
  </si>
  <si>
    <t>FW3FW9T1QH</t>
  </si>
  <si>
    <t>G710759639</t>
  </si>
  <si>
    <t>F6TY4YWW12</t>
  </si>
  <si>
    <t>CMXR0GPRF7</t>
  </si>
  <si>
    <t>G710452881</t>
  </si>
  <si>
    <t>F8Y6114C29C18FKBQ</t>
  </si>
  <si>
    <t>FG93475012D18FMA0</t>
  </si>
  <si>
    <t>G710316505</t>
  </si>
  <si>
    <t>HM4JV6MXXL</t>
  </si>
  <si>
    <t>CJ456JM346</t>
  </si>
  <si>
    <t>G710300597</t>
  </si>
  <si>
    <t>CR4VLF9J7K</t>
  </si>
  <si>
    <t>MVDL2XY622</t>
  </si>
  <si>
    <t>G691605890</t>
  </si>
  <si>
    <t>FMXHQ300APR00006J3</t>
  </si>
  <si>
    <t>F0YHE1000MQ00006J1</t>
  </si>
  <si>
    <t>G709537295</t>
  </si>
  <si>
    <t>DXP0QL59XF</t>
  </si>
  <si>
    <t>CKP6T29QGM</t>
  </si>
  <si>
    <t>C5790FHQWH</t>
  </si>
  <si>
    <t>G709388361</t>
  </si>
  <si>
    <t>HY7QF3K026K0</t>
  </si>
  <si>
    <t>G707287271</t>
  </si>
  <si>
    <t>GCFH7P074CC00005LT</t>
  </si>
  <si>
    <t>GCFHFH0CAUD00005LT</t>
  </si>
  <si>
    <t>G706970785</t>
  </si>
  <si>
    <t>F5D603601221KLFBP</t>
  </si>
  <si>
    <t>F5D205589AP1KLF8W</t>
  </si>
  <si>
    <t>G705464725</t>
  </si>
  <si>
    <t>DG7742MLHY</t>
  </si>
  <si>
    <t>LYKW4NTVVQ</t>
  </si>
  <si>
    <t>G703320591</t>
  </si>
  <si>
    <t>F8Y5456CBPS217WBW</t>
  </si>
  <si>
    <t>F8Y24771T8B217W7K</t>
  </si>
  <si>
    <t>G702023171</t>
  </si>
  <si>
    <t>CQWK9272MC</t>
  </si>
  <si>
    <t>GL6LN23Y7N</t>
  </si>
  <si>
    <t>G702006997</t>
  </si>
  <si>
    <t>CN2D9D2HQK</t>
  </si>
  <si>
    <t>MG2NY4X2PR</t>
  </si>
  <si>
    <t>G700376049</t>
  </si>
  <si>
    <t>F8Y5457C0ZK237KBS</t>
  </si>
  <si>
    <t>FQ12371BGJF237L1G</t>
  </si>
  <si>
    <t>G700372953</t>
  </si>
  <si>
    <t>F8Y5391N0UP10X2CJ</t>
  </si>
  <si>
    <t>F5D30536BAY13QGAM</t>
  </si>
  <si>
    <t>G700372325</t>
  </si>
  <si>
    <t>F8Y5442C9JRM6YNDN</t>
  </si>
  <si>
    <t>F8Y25150BR2M6YNBA</t>
  </si>
  <si>
    <t>G699955139</t>
  </si>
  <si>
    <t>GQ70YJ9M4R</t>
  </si>
  <si>
    <t>C6XNNQPF2V</t>
  </si>
  <si>
    <t>G699845889</t>
  </si>
  <si>
    <t>LKXT7F4NQK</t>
  </si>
  <si>
    <t>QVW3G9FGW5</t>
  </si>
  <si>
    <t>FDK02YLHXJ</t>
  </si>
  <si>
    <t>G683255098</t>
  </si>
  <si>
    <t>J6936HYJYR</t>
  </si>
  <si>
    <t>H6G199M4J5</t>
  </si>
  <si>
    <t>G699379057</t>
  </si>
  <si>
    <t>G9P5351MMPRPQCLAK</t>
  </si>
  <si>
    <t>G9P2134PC9MPQCLAE</t>
  </si>
  <si>
    <t>G698698795</t>
  </si>
  <si>
    <t>G9PHP2Y2HKY0000L4B</t>
  </si>
  <si>
    <t>G9NHM1X389C0000L4B</t>
  </si>
  <si>
    <t>G682407622</t>
  </si>
  <si>
    <t>F8Y5514C0Z9231LBZ</t>
  </si>
  <si>
    <t>FG9251300AQ22WL6T</t>
  </si>
  <si>
    <t>G698393721</t>
  </si>
  <si>
    <t>F8Y5457C2A6217WBV</t>
  </si>
  <si>
    <t>F5D242555R121PK7W</t>
  </si>
  <si>
    <t>G698392721</t>
  </si>
  <si>
    <t>F8Y5445CA5D18FKBH</t>
  </si>
  <si>
    <t>FG920821WQQ18FM4J</t>
  </si>
  <si>
    <t>G714881351</t>
  </si>
  <si>
    <t>GMGHKK004260000GVK</t>
  </si>
  <si>
    <t>FP1HGB006VY0000G29</t>
  </si>
  <si>
    <t>G713303141</t>
  </si>
  <si>
    <t>F18HNX00UUF00014XQ</t>
  </si>
  <si>
    <t>FM7HM700CM700013S6</t>
  </si>
  <si>
    <t>G709154529</t>
  </si>
  <si>
    <t>FJQDT69HKY</t>
  </si>
  <si>
    <t>H77VGX997G</t>
  </si>
  <si>
    <t>G709028673</t>
  </si>
  <si>
    <t>G9PHM0T14KR00005DP</t>
  </si>
  <si>
    <t>GVCHEM00NC800005DQ</t>
  </si>
  <si>
    <t>G708305347</t>
  </si>
  <si>
    <t>F8YHP6C0VPE00006TW</t>
  </si>
  <si>
    <t>FG9GYX0118R00006TX</t>
  </si>
  <si>
    <t>F8YHRDC07UY00006TW</t>
  </si>
  <si>
    <t>LWXXRGPK99</t>
  </si>
  <si>
    <t>CC40140QF0</t>
  </si>
  <si>
    <t>G707470757</t>
  </si>
  <si>
    <t>J0LC694F5Y</t>
  </si>
  <si>
    <t>LGJ42RYXN7</t>
  </si>
  <si>
    <t>G706497647</t>
  </si>
  <si>
    <t>JYJYQ4HW5P</t>
  </si>
  <si>
    <t>M14YH0KXQF</t>
  </si>
  <si>
    <t>G706296177</t>
  </si>
  <si>
    <t>JQLW9VQ0M5</t>
  </si>
  <si>
    <t>FWX4G2FNW0</t>
  </si>
  <si>
    <t>G704401197</t>
  </si>
  <si>
    <t>G0NHGX00LKU0000HKZ</t>
  </si>
  <si>
    <t>GMHH8200M0V0000BXF</t>
  </si>
  <si>
    <t>G703497721</t>
  </si>
  <si>
    <t>C73D3WQY45</t>
  </si>
  <si>
    <t>DP461XY6LL</t>
  </si>
  <si>
    <t>G703041737</t>
  </si>
  <si>
    <t>G30P96Q6N9</t>
  </si>
  <si>
    <t>LPG25CQRXG</t>
  </si>
  <si>
    <t>G702630519</t>
  </si>
  <si>
    <t>DRX72F34JF</t>
  </si>
  <si>
    <t>J5XWY6NWFD</t>
  </si>
  <si>
    <t>G685245386</t>
  </si>
  <si>
    <t>DHQVM9DM6Q</t>
  </si>
  <si>
    <t>JGPLW47J6J</t>
  </si>
  <si>
    <t>G701444729</t>
  </si>
  <si>
    <t>F8Y5503C14Q13RHC5</t>
  </si>
  <si>
    <t>F5D20763H8913RK9A</t>
  </si>
  <si>
    <t>G700551293</t>
  </si>
  <si>
    <t>F8Y5507C2MD18FKBL</t>
  </si>
  <si>
    <t>F8Y15131YZP18FLAS</t>
  </si>
  <si>
    <t>G699133161</t>
  </si>
  <si>
    <t>DNM508219S91QDC1K</t>
  </si>
  <si>
    <t>DNM51720FUV1QDC2P</t>
  </si>
  <si>
    <t>DNM52450PUN1QDC7C</t>
  </si>
  <si>
    <t>G711757153</t>
  </si>
  <si>
    <t>GCFHEU0394C00005LT</t>
  </si>
  <si>
    <t>GCFHLK0Q6Z800005LT</t>
  </si>
  <si>
    <t>G710234305</t>
  </si>
  <si>
    <t>GVH51660U72PR5PA1</t>
  </si>
  <si>
    <t>GVH51130KVFPR5PAH</t>
  </si>
  <si>
    <t>G708623397</t>
  </si>
  <si>
    <t>F4Q9YVT6W1</t>
  </si>
  <si>
    <t>H5MWW6P6VT</t>
  </si>
  <si>
    <t>G707363773</t>
  </si>
  <si>
    <t>G9QHQEY0AYJ00004Y7</t>
  </si>
  <si>
    <t>G9QHMRY0XAG00004Y7</t>
  </si>
  <si>
    <t>G707352325</t>
  </si>
  <si>
    <t>G09CV699ML</t>
  </si>
  <si>
    <t>MHTJJ9WQCF</t>
  </si>
  <si>
    <t>G707123563</t>
  </si>
  <si>
    <t>LTW6YHGHD6</t>
  </si>
  <si>
    <t>H3CN25WT2N</t>
  </si>
  <si>
    <t>G706837799</t>
  </si>
  <si>
    <t>GGWPY70GKL</t>
  </si>
  <si>
    <t>CJHWRVMYY6</t>
  </si>
  <si>
    <t>G706790917</t>
  </si>
  <si>
    <t>KWVQ6PF02C</t>
  </si>
  <si>
    <t>M94QHHGV1F</t>
  </si>
  <si>
    <t>G706126743</t>
  </si>
  <si>
    <t>D4Q2DJ9JD9</t>
  </si>
  <si>
    <t>G36QLYCTKX</t>
  </si>
  <si>
    <t>G705784245</t>
  </si>
  <si>
    <t>FMXHQ4003GY00006J3</t>
  </si>
  <si>
    <t>FP1HEB003RK0000FQX</t>
  </si>
  <si>
    <t>G705214721</t>
  </si>
  <si>
    <t>GVH51750NDLPR5PA3</t>
  </si>
  <si>
    <t>GVH5026165VPR5PAC</t>
  </si>
  <si>
    <t>G704465939</t>
  </si>
  <si>
    <t>J9Q54250T2J0GKWAP</t>
  </si>
  <si>
    <t>FNJ5367RD39Q274AX</t>
  </si>
  <si>
    <t>GCF542603MDQ59TBZ</t>
  </si>
  <si>
    <t>GCF54030ELVQ59TBJ</t>
  </si>
  <si>
    <t>G686978644</t>
  </si>
  <si>
    <t>GCF54310EVJQ59TBV</t>
  </si>
  <si>
    <t>GCF509317KAQ59TBM</t>
  </si>
  <si>
    <t>G703770817</t>
  </si>
  <si>
    <t>F8Y5455C05B13XCBQ</t>
  </si>
  <si>
    <t>F8Y141603DP13XC8K</t>
  </si>
  <si>
    <t>G703702269</t>
  </si>
  <si>
    <t>GX974506XY</t>
  </si>
  <si>
    <t>L19XKHVVW4</t>
  </si>
  <si>
    <t>G701786021</t>
  </si>
  <si>
    <t>DJX1259L3C</t>
  </si>
  <si>
    <t>WJGXT2HL2R</t>
  </si>
  <si>
    <t>G700821045</t>
  </si>
  <si>
    <t>G9Q5174C97WPR5QA7</t>
  </si>
  <si>
    <t>GVH4493381KPR5PA7</t>
  </si>
  <si>
    <t>G700469529</t>
  </si>
  <si>
    <t>F8Y5442C28MM6YNDV</t>
  </si>
  <si>
    <t>FG900952FCJM6YR8F</t>
  </si>
  <si>
    <t>G700373693</t>
  </si>
  <si>
    <t>F8Y5506CDC618FKBA</t>
  </si>
  <si>
    <t>F8Y409207TE18FLBH</t>
  </si>
  <si>
    <t>G700373275</t>
  </si>
  <si>
    <t>F8Y5506CDDA18FKB3</t>
  </si>
  <si>
    <t>F8Y13910HMU18FKAN</t>
  </si>
  <si>
    <t>G682559138</t>
  </si>
  <si>
    <t>G0NHG300QDA0000HKZ</t>
  </si>
  <si>
    <t>FNJH7EJ0E0E0000BXF</t>
  </si>
  <si>
    <t>G695287380</t>
  </si>
  <si>
    <t>GGVCX364FF</t>
  </si>
  <si>
    <t>MTFWKFCW5N</t>
  </si>
  <si>
    <t>G693141852</t>
  </si>
  <si>
    <t>FMKMGJVKHG</t>
  </si>
  <si>
    <t>H6TQCN4QN9</t>
  </si>
  <si>
    <t>G708462501</t>
  </si>
  <si>
    <t>F8Y6057CK7618FKB5</t>
  </si>
  <si>
    <t>F8Y225407T718FKA8</t>
  </si>
  <si>
    <t>G706168935</t>
  </si>
  <si>
    <t>F8Y6053C9PN18FKBP</t>
  </si>
  <si>
    <t>FG940960A6918FMB8</t>
  </si>
  <si>
    <t>G705569755</t>
  </si>
  <si>
    <t>G9P5097MMQ7PQCLAK</t>
  </si>
  <si>
    <t>G9P2242Q548PQCLAA</t>
  </si>
  <si>
    <t>G703041935</t>
  </si>
  <si>
    <t>DRCHKG0071G0000U64</t>
  </si>
  <si>
    <t>J0MH930055A0000U64</t>
  </si>
  <si>
    <t>G702019833</t>
  </si>
  <si>
    <t>L3VMFX23F6</t>
  </si>
  <si>
    <t>J0WY045QCD</t>
  </si>
  <si>
    <t>G701779743</t>
  </si>
  <si>
    <t>JCGY00RPW3</t>
  </si>
  <si>
    <t>M19TG6YTWG</t>
  </si>
  <si>
    <t>G700372605</t>
  </si>
  <si>
    <t>F8Y5506CDDS18FKBM</t>
  </si>
  <si>
    <t>FG933440RWR18FMAT</t>
  </si>
  <si>
    <t>G699853165</t>
  </si>
  <si>
    <t>GVCHNL01Y7W0000U6M</t>
  </si>
  <si>
    <t>G9PHMZW0HU20000MTE</t>
  </si>
  <si>
    <t>G699786273</t>
  </si>
  <si>
    <t>MNXMY7RGFW</t>
  </si>
  <si>
    <t>HFG29VXXYF</t>
  </si>
  <si>
    <t>G714302065</t>
  </si>
  <si>
    <t>M36F6J06F9</t>
  </si>
  <si>
    <t>L396GC9W2C</t>
  </si>
  <si>
    <t>G711635805</t>
  </si>
  <si>
    <t>F8Y6126C0WQ20J9BL</t>
  </si>
  <si>
    <t>F8Y238313TS20J92B</t>
  </si>
  <si>
    <t>G9P5183NMJE14YDAY</t>
  </si>
  <si>
    <t>G9N2381YPF214YDAX</t>
  </si>
  <si>
    <t>G692607960</t>
  </si>
  <si>
    <t>F8Y6135C6C414LWCM</t>
  </si>
  <si>
    <t>F5D31922LEA14LXAJ</t>
  </si>
  <si>
    <t>G690478116</t>
  </si>
  <si>
    <t>F5FPGJCJ4V</t>
  </si>
  <si>
    <t>F9D251XTWG</t>
  </si>
  <si>
    <t>G706568605</t>
  </si>
  <si>
    <t>F0WHPY01AK00000JS7</t>
  </si>
  <si>
    <t>DNMHLA02Q7W0000RYP</t>
  </si>
  <si>
    <t>G704278787</t>
  </si>
  <si>
    <t>FG9HP4002LK00006TT</t>
  </si>
  <si>
    <t>FG9GZ10283400006TV</t>
  </si>
  <si>
    <t>G686194046</t>
  </si>
  <si>
    <t>GQD2XXHNW7</t>
  </si>
  <si>
    <t>GQD6MPVVYP</t>
  </si>
  <si>
    <t>G701207767</t>
  </si>
  <si>
    <t>F8Y5507C8T518FKB4</t>
  </si>
  <si>
    <t>FG9223214B918FMAR</t>
  </si>
  <si>
    <t>G701145993</t>
  </si>
  <si>
    <t>F8Y5366C24ZQ687B2</t>
  </si>
  <si>
    <t>FG904361W7MQ6893L</t>
  </si>
  <si>
    <t>G700875573</t>
  </si>
  <si>
    <t>G0XHVJ7M67</t>
  </si>
  <si>
    <t>D77FR2NFQF</t>
  </si>
  <si>
    <t>G700863231</t>
  </si>
  <si>
    <t>F2N274KL40</t>
  </si>
  <si>
    <t>H3JXVM0WGK</t>
  </si>
  <si>
    <t>G700369843</t>
  </si>
  <si>
    <t>DNM520607TC23383E</t>
  </si>
  <si>
    <t>DNM444108P623381X</t>
  </si>
  <si>
    <t>G699656445</t>
  </si>
  <si>
    <t>GVH516424KEPR5PA7</t>
  </si>
  <si>
    <t>G9P5297C334PR5QA8</t>
  </si>
  <si>
    <t>G699650899</t>
  </si>
  <si>
    <t>MTY2PGJ7TJ</t>
  </si>
  <si>
    <t>K9H165QQ62</t>
  </si>
  <si>
    <t>G9Q5182F549PR5QAX</t>
  </si>
  <si>
    <t>G9Q5137CH72PR5QA2</t>
  </si>
  <si>
    <t>G698397923</t>
  </si>
  <si>
    <t>F8Y5467C13B13RHC0</t>
  </si>
  <si>
    <t>F8Y2302087X13RFB1</t>
  </si>
  <si>
    <t>G693911120</t>
  </si>
  <si>
    <t>GH3HQW01FH40000MUZ</t>
  </si>
  <si>
    <t>GH3HQS003SN0000MUZ</t>
  </si>
  <si>
    <t>G712116637</t>
  </si>
  <si>
    <t>QTW6RK0GYV</t>
  </si>
  <si>
    <t>JQ9G19YR7J</t>
  </si>
  <si>
    <t>DNMHFV00PNY000048L</t>
  </si>
  <si>
    <t>DNMHJS008AP000048L</t>
  </si>
  <si>
    <t>G711558421</t>
  </si>
  <si>
    <t>F0WHRG01QA60000JS7</t>
  </si>
  <si>
    <t>DN8HQ60G6GA0000RYQ</t>
  </si>
  <si>
    <t>G710006821</t>
  </si>
  <si>
    <t>JJ7427NCVM</t>
  </si>
  <si>
    <t>FG6KY3DP4V</t>
  </si>
  <si>
    <t>G709607379</t>
  </si>
  <si>
    <t>GVH51730YC8PR5PAA</t>
  </si>
  <si>
    <t>G9Q5081FLESPR5QA5</t>
  </si>
  <si>
    <t>G709381967</t>
  </si>
  <si>
    <t>D865514N4NS1LP9D2</t>
  </si>
  <si>
    <t>G709201307</t>
  </si>
  <si>
    <t>F0YHNB007ED0000UJX</t>
  </si>
  <si>
    <t>FP1HKZ004BP0000UJW</t>
  </si>
  <si>
    <t>G708928621</t>
  </si>
  <si>
    <t>FXLJXLRHF4</t>
  </si>
  <si>
    <t>CRQFLXPXYY</t>
  </si>
  <si>
    <t>G690523054</t>
  </si>
  <si>
    <t>K2X4Y0HHH2</t>
  </si>
  <si>
    <t>J90C2VFVDK</t>
  </si>
  <si>
    <t>G707576029</t>
  </si>
  <si>
    <t>LT9FRXNWY2</t>
  </si>
  <si>
    <t>PN2RRXFYCR</t>
  </si>
  <si>
    <t>G706269783</t>
  </si>
  <si>
    <t>F8Y6053C9NP18FKBR</t>
  </si>
  <si>
    <t>F8Y5417C2UP18FKBM</t>
  </si>
  <si>
    <t>G706038859</t>
  </si>
  <si>
    <t>DNM53710CR41QDC7A</t>
  </si>
  <si>
    <t>DNM52331C951QDC7X</t>
  </si>
  <si>
    <t>G688442572</t>
  </si>
  <si>
    <t>M0D62LD6NM</t>
  </si>
  <si>
    <t>F9D9DP43J4</t>
  </si>
  <si>
    <t>G705477391</t>
  </si>
  <si>
    <t>FVVYFCN9FC</t>
  </si>
  <si>
    <t>GDHVVVL2T9</t>
  </si>
  <si>
    <t>G702451867</t>
  </si>
  <si>
    <t>F8Y5474C8KY18FKBJ</t>
  </si>
  <si>
    <t>FG932330Z5618FMAG</t>
  </si>
  <si>
    <t>G702342441</t>
  </si>
  <si>
    <t>LTPGX2MQ6P</t>
  </si>
  <si>
    <t>L26N5DYHH2</t>
  </si>
  <si>
    <t>G701979133</t>
  </si>
  <si>
    <t>F8Y5497C2UR13RHC3</t>
  </si>
  <si>
    <t>F8Y13650K4T13RHBH</t>
  </si>
  <si>
    <t>G699732249</t>
  </si>
  <si>
    <t>G9P5384BBL91502A7</t>
  </si>
  <si>
    <t>GVH50842M8E1501A5</t>
  </si>
  <si>
    <t>G699681165</t>
  </si>
  <si>
    <t>J0419XQT2W</t>
  </si>
  <si>
    <t>J3XRMC2KMW</t>
  </si>
  <si>
    <t>G697250890</t>
  </si>
  <si>
    <t>G0LHK60050W00017C1</t>
  </si>
  <si>
    <t>A83HNA4BM190001AH4</t>
  </si>
  <si>
    <t>G714336229</t>
  </si>
  <si>
    <t>F8Y6136C4X9M6YND3</t>
  </si>
  <si>
    <t>F8Y2447220PM6YNBP</t>
  </si>
  <si>
    <t>G713395091</t>
  </si>
  <si>
    <t>G9DCQ0N9P9</t>
  </si>
  <si>
    <t>L22NX4KP3M</t>
  </si>
  <si>
    <t>G694530640</t>
  </si>
  <si>
    <t>F8Y6155C0H318FKBY</t>
  </si>
  <si>
    <t>FG914060VXV18FM4F</t>
  </si>
  <si>
    <t>G711082883</t>
  </si>
  <si>
    <t>K0MHPVJXKV</t>
  </si>
  <si>
    <t>FQNH2T7161</t>
  </si>
  <si>
    <t>G691893642</t>
  </si>
  <si>
    <t>GMG545302971J87AN</t>
  </si>
  <si>
    <t>GMG419506SP1J87AB</t>
  </si>
  <si>
    <t>G709964615</t>
  </si>
  <si>
    <t>JNQQM6WDW0</t>
  </si>
  <si>
    <t>XFNJQ271LF</t>
  </si>
  <si>
    <t>G709274957</t>
  </si>
  <si>
    <t>GVH517402TBPR5PAR</t>
  </si>
  <si>
    <t>GVH50370998PR5PAH</t>
  </si>
  <si>
    <t>G708630157</t>
  </si>
  <si>
    <t>CFJXQ0WQML</t>
  </si>
  <si>
    <t>MHHXKCQ4CW</t>
  </si>
  <si>
    <t>G705915477</t>
  </si>
  <si>
    <t>G9PHQBU0K6Z0000L4B</t>
  </si>
  <si>
    <t>G9NHPGK0D8S0000L4B</t>
  </si>
  <si>
    <t>G9PHQLU3R5B0000L4B</t>
  </si>
  <si>
    <t>G705856519</t>
  </si>
  <si>
    <t>G9P5507MACDPQCKAF</t>
  </si>
  <si>
    <t>G9N1261Y41APQCKAU</t>
  </si>
  <si>
    <t>G705461751</t>
  </si>
  <si>
    <t>GC4HXY3XR2</t>
  </si>
  <si>
    <t>MVF7W934YG</t>
  </si>
  <si>
    <t>G685211948</t>
  </si>
  <si>
    <t>GW4M3XV52H</t>
  </si>
  <si>
    <t>JQ33YR2PFG</t>
  </si>
  <si>
    <t>G700871877</t>
  </si>
  <si>
    <t>G9Q5374UJLB21KHAE</t>
  </si>
  <si>
    <t>G9P4296FDAQ21KHA4</t>
  </si>
  <si>
    <t>G700870299</t>
  </si>
  <si>
    <t>MFV3T2VKCF</t>
  </si>
  <si>
    <t>F17P4J9V9N</t>
  </si>
  <si>
    <t>G700859349</t>
  </si>
  <si>
    <t>FV9515704430W9FL6</t>
  </si>
  <si>
    <t>FV950360N820W9FLK</t>
  </si>
  <si>
    <t>G699130101</t>
  </si>
  <si>
    <t>G9P5352M4RTPQCLAT</t>
  </si>
  <si>
    <t>G9N22972PHXPQCLAB</t>
  </si>
  <si>
    <t>G682731494</t>
  </si>
  <si>
    <t>K0XT2D23CT</t>
  </si>
  <si>
    <t>G949L2Q234</t>
  </si>
  <si>
    <t>G710193547</t>
  </si>
  <si>
    <t>GH3HR500G2V0000MUZ</t>
  </si>
  <si>
    <t>G9NHNGY3VZ60000MUY</t>
  </si>
  <si>
    <t>G706291203</t>
  </si>
  <si>
    <t>FH2KJTWKHH</t>
  </si>
  <si>
    <t>MJ90DP91CY</t>
  </si>
  <si>
    <t>G688045890</t>
  </si>
  <si>
    <t>DN85296AAUP1CDK45</t>
  </si>
  <si>
    <t>DN82404DPAG1CDK2J</t>
  </si>
  <si>
    <t>G705188789</t>
  </si>
  <si>
    <t>DN85165A4RY1RXK1Y</t>
  </si>
  <si>
    <t>GCF51321C0F23412J</t>
  </si>
  <si>
    <t>661-35697</t>
  </si>
  <si>
    <t>TrueDepth Camera, iPhone 15 Pro</t>
  </si>
  <si>
    <t>FK1HJC000NW000019S</t>
  </si>
  <si>
    <t>GMH40933NZQ203QAD</t>
  </si>
  <si>
    <t>G688661222</t>
  </si>
  <si>
    <t>TA661-35556</t>
  </si>
  <si>
    <t>Black, iPhone 15 Pro, 256GB, ROW, CI/AR, Taiwan</t>
  </si>
  <si>
    <t>FQYXV207MG</t>
  </si>
  <si>
    <t>JH9P9H41VY</t>
  </si>
  <si>
    <t>G687815448</t>
  </si>
  <si>
    <t>DNMHG301W31000048L</t>
  </si>
  <si>
    <t>GCFHBW0GKMF00005LT</t>
  </si>
  <si>
    <t>G704760359</t>
  </si>
  <si>
    <t>GVCHPW01Z480000MUZ</t>
  </si>
  <si>
    <t>G9PHNRZ6F5Z0000MUY</t>
  </si>
  <si>
    <t>G704521291</t>
  </si>
  <si>
    <t>F8Y5447C5GQ18FKBA</t>
  </si>
  <si>
    <t>FG934560MGL18FMA4</t>
  </si>
  <si>
    <t>G703226303</t>
  </si>
  <si>
    <t>G9P5162LBA7PQCKAL</t>
  </si>
  <si>
    <t>G9N2113W25BPQCKA0</t>
  </si>
  <si>
    <t>G703132581</t>
  </si>
  <si>
    <t>G9Q5173PMHYPR5QAZ</t>
  </si>
  <si>
    <t>GVH45111BF7PR5PA5</t>
  </si>
  <si>
    <t>G703110541</t>
  </si>
  <si>
    <t>JJM39JHH44</t>
  </si>
  <si>
    <t>J690VW2VFL</t>
  </si>
  <si>
    <t>G702816599</t>
  </si>
  <si>
    <t>G9P3261M0FDPQCLAC</t>
  </si>
  <si>
    <t>G9Q2273YMMWPQCLAN</t>
  </si>
  <si>
    <t>G701700219</t>
  </si>
  <si>
    <t>K1794Q7LFG</t>
  </si>
  <si>
    <t>FCM67DX19H</t>
  </si>
  <si>
    <t>G701445043</t>
  </si>
  <si>
    <t>F8Y5455C5RQ13XCBE</t>
  </si>
  <si>
    <t>F8Y23310C8C13X883</t>
  </si>
  <si>
    <t>G683501666</t>
  </si>
  <si>
    <t>F6506N12YL</t>
  </si>
  <si>
    <t>C2DV0G91G7</t>
  </si>
  <si>
    <t>G699455341</t>
  </si>
  <si>
    <t>F8Y5445N0LZ13QFCD</t>
  </si>
  <si>
    <t>F8Y23450H0B10X2AK</t>
  </si>
  <si>
    <t>G682731876</t>
  </si>
  <si>
    <t>F0WHCN00DF8000064R</t>
  </si>
  <si>
    <t>DN8HBJ01RS800006S2</t>
  </si>
  <si>
    <t>G694531196</t>
  </si>
  <si>
    <t>F8Y6066C2TT13XCB5</t>
  </si>
  <si>
    <t>F8Y137205PN13X88D</t>
  </si>
  <si>
    <t>G711532619</t>
  </si>
  <si>
    <t>DF66C2XKD2</t>
  </si>
  <si>
    <t>K9Q0NFQKFF</t>
  </si>
  <si>
    <t>G711335393</t>
  </si>
  <si>
    <t>GMGHLE002L00000GVL</t>
  </si>
  <si>
    <t>FP1HN50025D0000G2A</t>
  </si>
  <si>
    <t>G709395355</t>
  </si>
  <si>
    <t>DNMHQ20008B0000RYP</t>
  </si>
  <si>
    <t>DN8HLY0K9390000RYQ</t>
  </si>
  <si>
    <t>G707464875</t>
  </si>
  <si>
    <t>LT7Q4L721W</t>
  </si>
  <si>
    <t>CVX79791PX</t>
  </si>
  <si>
    <t>G706034871</t>
  </si>
  <si>
    <t>F8Y6023C4ZP13RHCE</t>
  </si>
  <si>
    <t>F8Y14260DCW13RFB8</t>
  </si>
  <si>
    <t>G706034635</t>
  </si>
  <si>
    <t>F8Y6053CPFV18FKBS</t>
  </si>
  <si>
    <t>FG94065062X18FMBC</t>
  </si>
  <si>
    <t>G705552145</t>
  </si>
  <si>
    <t>CWVWJ0CPWQ</t>
  </si>
  <si>
    <t>M149WMNVD2</t>
  </si>
  <si>
    <t>G704028069</t>
  </si>
  <si>
    <t>F8Y5501C1NHQ4C2BF</t>
  </si>
  <si>
    <t>F8Y04730TTFQ4C29B</t>
  </si>
  <si>
    <t>G704027809</t>
  </si>
  <si>
    <t>F8Y5455C07113XCBU</t>
  </si>
  <si>
    <t>F5D1345BWHF13X99A</t>
  </si>
  <si>
    <t>G703624151</t>
  </si>
  <si>
    <t>D4GL759RP2</t>
  </si>
  <si>
    <t>J6726V2DWL</t>
  </si>
  <si>
    <t>G703101811</t>
  </si>
  <si>
    <t>J9KHMS000DW0000FD3</t>
  </si>
  <si>
    <t>FNJH98L09JC0000882</t>
  </si>
  <si>
    <t>G701888775</t>
  </si>
  <si>
    <t>F8Y5442C3A1M6YND8</t>
  </si>
  <si>
    <t>FG900670BYBM6YQ8E</t>
  </si>
  <si>
    <t>G700469345</t>
  </si>
  <si>
    <t>F8Y5506CDCQ18FKBS</t>
  </si>
  <si>
    <t>FG922721JAX18FMAE</t>
  </si>
  <si>
    <t>G700376361</t>
  </si>
  <si>
    <t>F8Y5506CE4A18FKBV</t>
  </si>
  <si>
    <t>FG9326506TX18FMA9</t>
  </si>
  <si>
    <t>G700373553</t>
  </si>
  <si>
    <t>F8Y5437C5PAQ4C2B1</t>
  </si>
  <si>
    <t>F5D12132RMNQ492A1</t>
  </si>
  <si>
    <t>G700023315</t>
  </si>
  <si>
    <t>FMXHK7001S700006J3</t>
  </si>
  <si>
    <t>FMXHCY005QQ00006J3</t>
  </si>
  <si>
    <t>G699912979</t>
  </si>
  <si>
    <t>JKDMPYLXHX</t>
  </si>
  <si>
    <t>K9H5QDY2L2</t>
  </si>
  <si>
    <t>G683126588</t>
  </si>
  <si>
    <t>G4TT7P2Q0T</t>
  </si>
  <si>
    <t>YDWLPYJC29</t>
  </si>
  <si>
    <t>G698666761</t>
  </si>
  <si>
    <t>JJQH1F423V</t>
  </si>
  <si>
    <t>G694390894</t>
  </si>
  <si>
    <t>F8Y5457C6M2237KB5</t>
  </si>
  <si>
    <t>F8Y30820BYY237K33</t>
  </si>
  <si>
    <t>G692978476</t>
  </si>
  <si>
    <t>KTXDTWW512</t>
  </si>
  <si>
    <t>GWF7XJ59JL</t>
  </si>
  <si>
    <t>G692827830</t>
  </si>
  <si>
    <t>F2XWYQ73XQ</t>
  </si>
  <si>
    <t>D7HK7JPX09</t>
  </si>
  <si>
    <t>G709871493</t>
  </si>
  <si>
    <t>F8Y6057CG6T18FKBQ</t>
  </si>
  <si>
    <t>FG9205507GV18FM41</t>
  </si>
  <si>
    <t>G709047445</t>
  </si>
  <si>
    <t>FYW542W7XQ</t>
  </si>
  <si>
    <t>L4RK26NXCT</t>
  </si>
  <si>
    <t>G706315397</t>
  </si>
  <si>
    <t>MHV6PFWD22</t>
  </si>
  <si>
    <t>GK4FYVT74D</t>
  </si>
  <si>
    <t>G702984317</t>
  </si>
  <si>
    <t>TA661-44058</t>
  </si>
  <si>
    <t>256GB, Ultramarine, ROW, iPhone 16 Plus, CI/AR</t>
  </si>
  <si>
    <t>JMJYL2QJ9T</t>
  </si>
  <si>
    <t>H0Q3XPQ2XN</t>
  </si>
  <si>
    <t>G702772911</t>
  </si>
  <si>
    <t>LVT4LPWKL9</t>
  </si>
  <si>
    <t>GL64JFC4C4</t>
  </si>
  <si>
    <t>G702481323</t>
  </si>
  <si>
    <t>HWDPHYVXM2</t>
  </si>
  <si>
    <t>HW2PL6QC12</t>
  </si>
  <si>
    <t>G700375473</t>
  </si>
  <si>
    <t>F8Y5496C4HP13XCBT</t>
  </si>
  <si>
    <t>F8Y13630ZWQ13X88Y</t>
  </si>
  <si>
    <t>G699950091</t>
  </si>
  <si>
    <t>D7449Q36K5</t>
  </si>
  <si>
    <t>HQC9XCV9R6</t>
  </si>
  <si>
    <t>G683218786</t>
  </si>
  <si>
    <t>KVGQFJL7G9</t>
  </si>
  <si>
    <t>DG2V2CKP6R</t>
  </si>
  <si>
    <t>G698560253</t>
  </si>
  <si>
    <t>J9KHMN0029Q0000XXK</t>
  </si>
  <si>
    <t>FP2HH70025E00013KJ</t>
  </si>
  <si>
    <t>J9KHKU005ZW0001BKQ</t>
  </si>
  <si>
    <t>FNJHMCL10KP0000QTS</t>
  </si>
  <si>
    <t>G712007343</t>
  </si>
  <si>
    <t>G9NHQV211Y500004Y7</t>
  </si>
  <si>
    <t>J5VHM00044M00004Y8</t>
  </si>
  <si>
    <t>G711565639</t>
  </si>
  <si>
    <t>F8Y6136C33E18FKBX</t>
  </si>
  <si>
    <t>FG94176000S18FMBQ</t>
  </si>
  <si>
    <t>G710958495</t>
  </si>
  <si>
    <t>FCWJN7GVJ7</t>
  </si>
  <si>
    <t>HFY9LQ36DR</t>
  </si>
  <si>
    <t>G709869817</t>
  </si>
  <si>
    <t>C7G2PWDW16</t>
  </si>
  <si>
    <t>FJPJ407322</t>
  </si>
  <si>
    <t>G691405082</t>
  </si>
  <si>
    <t>GMG534701VS1J87AC</t>
  </si>
  <si>
    <t>F0Y427602A81J87AU</t>
  </si>
  <si>
    <t>G709374211</t>
  </si>
  <si>
    <t>F8Y6056CBXL18FKBW</t>
  </si>
  <si>
    <t>FG941250Y7X18FMBG</t>
  </si>
  <si>
    <t>G708158949</t>
  </si>
  <si>
    <t>GP2XP4QGGK</t>
  </si>
  <si>
    <t>JPVKCX60N1</t>
  </si>
  <si>
    <t>G707253795</t>
  </si>
  <si>
    <t>Z661-25441</t>
  </si>
  <si>
    <t>AirPods 3, Right, CI/AR, INT</t>
  </si>
  <si>
    <t>GN3PV03H0360</t>
  </si>
  <si>
    <t>G705973477</t>
  </si>
  <si>
    <t>ZP661-43548</t>
  </si>
  <si>
    <t>Watch Series 10 GPS, 42mm, Aluminum, Silver, CI/AR, CN, ITP</t>
  </si>
  <si>
    <t>GH06DVHWFG</t>
  </si>
  <si>
    <t>KJLQKQVXD9</t>
  </si>
  <si>
    <t>G700847227</t>
  </si>
  <si>
    <t>G9P5222MBNYPQCLA0</t>
  </si>
  <si>
    <t>G9P2204N882PQCLAH</t>
  </si>
  <si>
    <t>G700054573</t>
  </si>
  <si>
    <t>F0Y543101C21J87A7</t>
  </si>
  <si>
    <t>FP1452606AF25YVA9</t>
  </si>
  <si>
    <t>G699580139</t>
  </si>
  <si>
    <t>C1279LGW70</t>
  </si>
  <si>
    <t>JGXHHFY9FH</t>
  </si>
  <si>
    <t>G699256367</t>
  </si>
  <si>
    <t>H2CQC1KA1JG3</t>
  </si>
  <si>
    <t>H2DPQ11E1JG3</t>
  </si>
  <si>
    <t>H2CQW04F1JG4</t>
  </si>
  <si>
    <t>H2DPQ1641JG4</t>
  </si>
  <si>
    <t>G698287715</t>
  </si>
  <si>
    <t>CF6KJ6PQ7Y</t>
  </si>
  <si>
    <t>HL9QTPQQ6K</t>
  </si>
  <si>
    <t>G714612797</t>
  </si>
  <si>
    <t>HKGRK3A1GWTJ</t>
  </si>
  <si>
    <t>HKHND02LGWTJ</t>
  </si>
  <si>
    <t>G712359155</t>
  </si>
  <si>
    <t>C41FQLNQCR</t>
  </si>
  <si>
    <t>KPF2T64J0P</t>
  </si>
  <si>
    <t>G712200267</t>
  </si>
  <si>
    <t>G9NHF8Q1X8M00005DR</t>
  </si>
  <si>
    <t>G9NHB1P2CNE00005DR</t>
  </si>
  <si>
    <t>G711457369</t>
  </si>
  <si>
    <t>CXVLFPT241</t>
  </si>
  <si>
    <t>DC4LQQ2H1Q</t>
  </si>
  <si>
    <t>G711097839</t>
  </si>
  <si>
    <t>D865124N08RPJYRBH</t>
  </si>
  <si>
    <t>D861276A2S6PJYRAD</t>
  </si>
  <si>
    <t>G692461188</t>
  </si>
  <si>
    <t>G9Q5176WB841502AT</t>
  </si>
  <si>
    <t>GVC44430J721503AA</t>
  </si>
  <si>
    <t>G709528373</t>
  </si>
  <si>
    <t>DMWPFMYNJX</t>
  </si>
  <si>
    <t>CGPG2W9459</t>
  </si>
  <si>
    <t>G708206169</t>
  </si>
  <si>
    <t>G9NHF5P1ENF00005DR</t>
  </si>
  <si>
    <t>GH3HG901G9400005DS</t>
  </si>
  <si>
    <t>G708075709</t>
  </si>
  <si>
    <t>CH7M957TPC</t>
  </si>
  <si>
    <t>GWLM2C1JXF</t>
  </si>
  <si>
    <t>G706949121</t>
  </si>
  <si>
    <t>C3XX6N5701</t>
  </si>
  <si>
    <t>G9KPQCWGD6</t>
  </si>
  <si>
    <t>G706168189</t>
  </si>
  <si>
    <t>1GMG545101PYNR89BK</t>
  </si>
  <si>
    <t>GMG11660179NR8DAU</t>
  </si>
  <si>
    <t>G703881553</t>
  </si>
  <si>
    <t>FV951830AZL0W9GLS</t>
  </si>
  <si>
    <t>FV951530D4L0W9FLJ</t>
  </si>
  <si>
    <t>G702640999</t>
  </si>
  <si>
    <t>G9P5451SPMM21KHAB</t>
  </si>
  <si>
    <t>G9Q5244VB5121KHAF</t>
  </si>
  <si>
    <t>G9Q5261M30B21KHAF</t>
  </si>
  <si>
    <t>G702549477</t>
  </si>
  <si>
    <t>G9NHPZ2050E00004Y7</t>
  </si>
  <si>
    <t>G9NHJZ21LYC00004Y7</t>
  </si>
  <si>
    <t>G685108436</t>
  </si>
  <si>
    <t>J9Q54250SPG0GKWAX</t>
  </si>
  <si>
    <t>FNJ5296B4YNQ274A9</t>
  </si>
  <si>
    <t>G701772361</t>
  </si>
  <si>
    <t>G0H7L7KJH9</t>
  </si>
  <si>
    <t>MY7D9CC261</t>
  </si>
  <si>
    <t>G701043253</t>
  </si>
  <si>
    <t>JT6NW26X75</t>
  </si>
  <si>
    <t>M14V6CTFX4</t>
  </si>
  <si>
    <t>G683503836</t>
  </si>
  <si>
    <t>MYC7J641YQ</t>
  </si>
  <si>
    <t>HK6MXJR4PT</t>
  </si>
  <si>
    <t>G699454983</t>
  </si>
  <si>
    <t>F8Y5471C1ER20J9BN</t>
  </si>
  <si>
    <t>F5D25272Z6F20J795</t>
  </si>
  <si>
    <t>G699140595</t>
  </si>
  <si>
    <t>F8Y5464C0SV217WBU</t>
  </si>
  <si>
    <t>F8Y302304N4217W7W</t>
  </si>
  <si>
    <t>G699139511</t>
  </si>
  <si>
    <t>DM94CF57C0</t>
  </si>
  <si>
    <t>HK14F7MXMK</t>
  </si>
  <si>
    <t>G682729046</t>
  </si>
  <si>
    <t>HL2DMXKX0Y</t>
  </si>
  <si>
    <t>H20YTXY776</t>
  </si>
  <si>
    <t>G698840883</t>
  </si>
  <si>
    <t>CXK3W734QN</t>
  </si>
  <si>
    <t>G711441361</t>
  </si>
  <si>
    <t>F8Y6137C58R18FKB2</t>
  </si>
  <si>
    <t>FG932750U3U18FMAR</t>
  </si>
  <si>
    <t>G711310603</t>
  </si>
  <si>
    <t>LV7T7GC26T</t>
  </si>
  <si>
    <t>LCC790NH3X</t>
  </si>
  <si>
    <t>G710784465</t>
  </si>
  <si>
    <t>DNM542509KX1QDC7E</t>
  </si>
  <si>
    <t>DNM53111ZF01QDC74</t>
  </si>
  <si>
    <t>FK1HEW001T700001A2</t>
  </si>
  <si>
    <t>DTTHKK01TC3000004D</t>
  </si>
  <si>
    <t>G9Q5433SN7321KHA7</t>
  </si>
  <si>
    <t>G709627917</t>
  </si>
  <si>
    <t>DNL53020S651986AY</t>
  </si>
  <si>
    <t>DNL402406CS1986B8</t>
  </si>
  <si>
    <t>G709200293</t>
  </si>
  <si>
    <t>TA661-36898</t>
  </si>
  <si>
    <t>Black, iPhone 15 Pro Max, 512GB, ROW, CI/AR, Taiwan</t>
  </si>
  <si>
    <t>M69X5H7299</t>
  </si>
  <si>
    <t>K1FDF0JC6X</t>
  </si>
  <si>
    <t>G708624941</t>
  </si>
  <si>
    <t>G9Q5184E21Z1502A7</t>
  </si>
  <si>
    <t>G9P5351BEL61502AK</t>
  </si>
  <si>
    <t>G708282679</t>
  </si>
  <si>
    <t>661-55026</t>
  </si>
  <si>
    <t>SVC,ENCL,TCASE/KYBD,MDNGT-AS,ANSI,MBA,VN</t>
  </si>
  <si>
    <t>FPW6044L00H1RY5AQ</t>
  </si>
  <si>
    <t>G706453747</t>
  </si>
  <si>
    <t>J9QVVR6079</t>
  </si>
  <si>
    <t>F703QWXJJG</t>
  </si>
  <si>
    <t>G704394959</t>
  </si>
  <si>
    <t>F8Y6031C1G5237KB1</t>
  </si>
  <si>
    <t>FQ124253VNL22HQ1M</t>
  </si>
  <si>
    <t>G703722915</t>
  </si>
  <si>
    <t>F8Y5425C8HL18FKBG</t>
  </si>
  <si>
    <t>FG94016054T18FMBR</t>
  </si>
  <si>
    <t>G703320101</t>
  </si>
  <si>
    <t>GMG549100U7NR8DBE</t>
  </si>
  <si>
    <t>FP1344204C1249XAM</t>
  </si>
  <si>
    <t>G703105647</t>
  </si>
  <si>
    <t>M66XTK936M</t>
  </si>
  <si>
    <t>MVRCX4P6XK</t>
  </si>
  <si>
    <t>G701542703</t>
  </si>
  <si>
    <t>F8Y5366CCCGQ687BK</t>
  </si>
  <si>
    <t>FG912031HUPQ68CAP</t>
  </si>
  <si>
    <t>G9P1056K7CXLQHKA3</t>
  </si>
  <si>
    <t>GVC11722K2GLQHLA0</t>
  </si>
  <si>
    <t>G700874657</t>
  </si>
  <si>
    <t>G9P5352M6BTPQCLAZ</t>
  </si>
  <si>
    <t>G9P2171M224PQCLAR</t>
  </si>
  <si>
    <t>G699968591</t>
  </si>
  <si>
    <t>G9PHKHT187C00005DP</t>
  </si>
  <si>
    <t>G9PHHMF018600005DP</t>
  </si>
  <si>
    <t>G699645753</t>
  </si>
  <si>
    <t>F8Y5496CHRW18FKBK</t>
  </si>
  <si>
    <t>F8Y1387376Y18FKAT</t>
  </si>
  <si>
    <t>G713167325</t>
  </si>
  <si>
    <t>F4VNHFMW70</t>
  </si>
  <si>
    <t>G711127643</t>
  </si>
  <si>
    <t>JYG4737C76</t>
  </si>
  <si>
    <t>KH4LVVP6VJ</t>
  </si>
  <si>
    <t>G711097987</t>
  </si>
  <si>
    <t>HF37Q36M4H</t>
  </si>
  <si>
    <t>F65G21Q7K4</t>
  </si>
  <si>
    <t>G709400695</t>
  </si>
  <si>
    <t>DKKQND93CK</t>
  </si>
  <si>
    <t>KK7G6YM9W2</t>
  </si>
  <si>
    <t>G704394135</t>
  </si>
  <si>
    <t>KVXCC2NN7V</t>
  </si>
  <si>
    <t>L47KDXN239</t>
  </si>
  <si>
    <t>G686004524</t>
  </si>
  <si>
    <t>G9NHFCS3GG000005DR</t>
  </si>
  <si>
    <t>GVCHBC025PH00005DS</t>
  </si>
  <si>
    <t>G702710299</t>
  </si>
  <si>
    <t>G9PHLHT0KXA00005DP</t>
  </si>
  <si>
    <t>GVCHDX01L7S00005DQ</t>
  </si>
  <si>
    <t>G702554899</t>
  </si>
  <si>
    <t>FVXDV4CPQ4</t>
  </si>
  <si>
    <t>K14M3HR62M</t>
  </si>
  <si>
    <t>G699977267</t>
  </si>
  <si>
    <t>G9P5133MPBKPQCLAX</t>
  </si>
  <si>
    <t>G9N2181VJP0PQCLAS</t>
  </si>
  <si>
    <t>G683232264</t>
  </si>
  <si>
    <t>TA661-45269</t>
  </si>
  <si>
    <t>1TB, Black Titanium, ROW, iPhone 16 Pro Max, CI/AR</t>
  </si>
  <si>
    <t>LYVM6VG2Y7</t>
  </si>
  <si>
    <t>JQ3Q15FK36</t>
  </si>
  <si>
    <t>G683230218</t>
  </si>
  <si>
    <t>D6WW47LY7W</t>
  </si>
  <si>
    <t>C9KXTDY10D</t>
  </si>
  <si>
    <t>G698394471</t>
  </si>
  <si>
    <t>F8Y5457C2A0217WB1</t>
  </si>
  <si>
    <t>F8Y24322PG9217W7F</t>
  </si>
  <si>
    <t>G715639865</t>
  </si>
  <si>
    <t>G9P5493CGNVPR5QAH</t>
  </si>
  <si>
    <t>GVH5106256PPR5PAJ</t>
  </si>
  <si>
    <t>G712013271</t>
  </si>
  <si>
    <t>FCN7YQYWQK</t>
  </si>
  <si>
    <t>M99JX2V3RK</t>
  </si>
  <si>
    <t>G711521425</t>
  </si>
  <si>
    <t>F18HR50067V00014XQ</t>
  </si>
  <si>
    <t>F18HQ20064600013S6</t>
  </si>
  <si>
    <t>G709376767</t>
  </si>
  <si>
    <t>JJK4YN22HT</t>
  </si>
  <si>
    <t>DW46V47PC4</t>
  </si>
  <si>
    <t>G709374969</t>
  </si>
  <si>
    <t>F0Y541501ZG1J88AZ</t>
  </si>
  <si>
    <t>F0Y5117005W1J87A4</t>
  </si>
  <si>
    <t>G708842731</t>
  </si>
  <si>
    <t>F0Y541701661J88AL</t>
  </si>
  <si>
    <t>FP15074008125YVAQ</t>
  </si>
  <si>
    <t>F0Y5417016G1J88AA</t>
  </si>
  <si>
    <t>G708627031</t>
  </si>
  <si>
    <t>C029436009NNJ1W19</t>
  </si>
  <si>
    <t>C021274006UNJKQ1E</t>
  </si>
  <si>
    <t>G708394107</t>
  </si>
  <si>
    <t>G9Q6036S0RN21KHAN</t>
  </si>
  <si>
    <t>G9Q4382U05P21KHAZ</t>
  </si>
  <si>
    <t>G705134993</t>
  </si>
  <si>
    <t>G9P5364NCMZ14YDAG</t>
  </si>
  <si>
    <t>G9N2484N86014YDAZ</t>
  </si>
  <si>
    <t>F8Y6011C3X520J9B8</t>
  </si>
  <si>
    <t>F8Y24461E1520J925</t>
  </si>
  <si>
    <t>G704829001</t>
  </si>
  <si>
    <t>GVH51660SAKPR5PAB</t>
  </si>
  <si>
    <t>GVH50321RCVPR5PA7</t>
  </si>
  <si>
    <t>G704459797</t>
  </si>
  <si>
    <t>G9Q5177F92RPR5QAF</t>
  </si>
  <si>
    <t>GVH44372AZBPR5PA2</t>
  </si>
  <si>
    <t>G703959889</t>
  </si>
  <si>
    <t>G9P5223MFHJPQCLAQ</t>
  </si>
  <si>
    <t>G9P2315MJEXPQCLAS</t>
  </si>
  <si>
    <t>G702557721</t>
  </si>
  <si>
    <t>G9P4193MCDXPQCLA9</t>
  </si>
  <si>
    <t>G9Q2316YL3VPQCLAQ</t>
  </si>
  <si>
    <t>G700469655</t>
  </si>
  <si>
    <t>F8YHN4C0GL400006TP</t>
  </si>
  <si>
    <t>F8YGZ430SQG00006TR</t>
  </si>
  <si>
    <t>G699579353</t>
  </si>
  <si>
    <t>D692J3VNTD</t>
  </si>
  <si>
    <t>G0QP6XNW9D</t>
  </si>
  <si>
    <t>G698327903</t>
  </si>
  <si>
    <t>T6RV0KW3X1</t>
  </si>
  <si>
    <t>K04P4KL2HW</t>
  </si>
  <si>
    <t>G714161289</t>
  </si>
  <si>
    <t>G9P5116MPL3PQCLAP</t>
  </si>
  <si>
    <t>G9P2175RJ2APQCLAM</t>
  </si>
  <si>
    <t>G713364113</t>
  </si>
  <si>
    <t>DJ0KP9WV0W</t>
  </si>
  <si>
    <t>LV4NMC6YXM</t>
  </si>
  <si>
    <t>G713177143</t>
  </si>
  <si>
    <t>FP2HK10051R0000WDT</t>
  </si>
  <si>
    <t>FP2HKB003440000WDT</t>
  </si>
  <si>
    <t>F8YHRP00M0X0001510</t>
  </si>
  <si>
    <t>FQ1HM7006P8000150Y</t>
  </si>
  <si>
    <t>G708696631</t>
  </si>
  <si>
    <t>G9Q5196W3MZ1502AV</t>
  </si>
  <si>
    <t>GVH446409KP1501AL</t>
  </si>
  <si>
    <t>G708466865</t>
  </si>
  <si>
    <t>G9P4523M6Q5PQCLAR</t>
  </si>
  <si>
    <t>G9P2267MJDMPQCLAP</t>
  </si>
  <si>
    <t>G708261723</t>
  </si>
  <si>
    <t>G9P4436MA5XPQCLAD</t>
  </si>
  <si>
    <t>G9P2164SGHXPQCLAS</t>
  </si>
  <si>
    <t>G707051799</t>
  </si>
  <si>
    <t>ZP661-50559</t>
  </si>
  <si>
    <t>Apple Watch Series 11, GPS, ROW, 46mm, Aluminum, Silver, CI/AR, CN</t>
  </si>
  <si>
    <t>LWTPY3PJV0</t>
  </si>
  <si>
    <t>M70LHQC4K7</t>
  </si>
  <si>
    <t>G703042131</t>
  </si>
  <si>
    <t>DNPHNR00UKP0000FER</t>
  </si>
  <si>
    <t>FNJHE3C080500006SX</t>
  </si>
  <si>
    <t>G701887075</t>
  </si>
  <si>
    <t>F8Y5507C6D918FKBA</t>
  </si>
  <si>
    <t>FG935130K2U18FNBG</t>
  </si>
  <si>
    <t>G701779331</t>
  </si>
  <si>
    <t>CGQPYJXPNQ</t>
  </si>
  <si>
    <t>LF46F45PJY</t>
  </si>
  <si>
    <t>G699866801</t>
  </si>
  <si>
    <t>K7W3QD7HH0</t>
  </si>
  <si>
    <t>FQPX240M4K</t>
  </si>
  <si>
    <t>G699659779</t>
  </si>
  <si>
    <t>GVCHPB00DL30000MUZ</t>
  </si>
  <si>
    <t>G9PHLRE2S4L0000MUY</t>
  </si>
  <si>
    <t>G715571027</t>
  </si>
  <si>
    <t>DX6616300T91L03A8</t>
  </si>
  <si>
    <t>GMH535128PN17HHAX</t>
  </si>
  <si>
    <t>G713867881</t>
  </si>
  <si>
    <t>G7N2FG3PG9</t>
  </si>
  <si>
    <t>LP2NQHL2JJ</t>
  </si>
  <si>
    <t>G694530346</t>
  </si>
  <si>
    <t>F8Y6154C4A618FKBD</t>
  </si>
  <si>
    <t>FG94093004H18FMBK</t>
  </si>
  <si>
    <t>G712464415</t>
  </si>
  <si>
    <t>C67KW9469X</t>
  </si>
  <si>
    <t>JN1VRX77KV</t>
  </si>
  <si>
    <t>G712209651</t>
  </si>
  <si>
    <t>DFV21JX3R0</t>
  </si>
  <si>
    <t>MGYJ07LFX1</t>
  </si>
  <si>
    <t>G711567701</t>
  </si>
  <si>
    <t>DK02WTXP7J</t>
  </si>
  <si>
    <t>J0FPM0XX0X</t>
  </si>
  <si>
    <t>G711537805</t>
  </si>
  <si>
    <t>F8Y6125C2ZU20J9B6</t>
  </si>
  <si>
    <t>F5D3224830D20J8A2</t>
  </si>
  <si>
    <t>G711537487</t>
  </si>
  <si>
    <t>F8YHRND0AAR00006TP</t>
  </si>
  <si>
    <t>F5DGZQ00RFN00006TQ</t>
  </si>
  <si>
    <t>G691487406</t>
  </si>
  <si>
    <t>F8Y6057C2ZH18FKB1</t>
  </si>
  <si>
    <t>F8Y4144012018FLBN</t>
  </si>
  <si>
    <t>G706488919</t>
  </si>
  <si>
    <t>FXLR03W1G4</t>
  </si>
  <si>
    <t>D6N1FHX0RT</t>
  </si>
  <si>
    <t>G688345640</t>
  </si>
  <si>
    <t>G9PHLKT0YBB00005DP</t>
  </si>
  <si>
    <t>GVCHAB03YGR00005DQ</t>
  </si>
  <si>
    <t>DN8HKP0392100005KQ</t>
  </si>
  <si>
    <t>DN8H9Q04JJ200005KQ</t>
  </si>
  <si>
    <t>G705774995</t>
  </si>
  <si>
    <t>DMKQYVY4DY</t>
  </si>
  <si>
    <t>H6M7NXV26Y</t>
  </si>
  <si>
    <t>G703860601</t>
  </si>
  <si>
    <t>GTQK6RQ1XL</t>
  </si>
  <si>
    <t>CPYW1V4MR4</t>
  </si>
  <si>
    <t>G702916573</t>
  </si>
  <si>
    <t>G9Q5261QJ3B21KHAG</t>
  </si>
  <si>
    <t>G9Q5263Q93J21KHAG</t>
  </si>
  <si>
    <t>G9Q5392UFC921KHA5</t>
  </si>
  <si>
    <t>G700375799</t>
  </si>
  <si>
    <t>FMX548201CRNTJHAY</t>
  </si>
  <si>
    <t>FMX23661R5ANTJHAK</t>
  </si>
  <si>
    <t>FV92333073K1D15AH</t>
  </si>
  <si>
    <t>FV92373068H1D15AT</t>
  </si>
  <si>
    <t>G700095971</t>
  </si>
  <si>
    <t>GVH51650D5ZPR5PAS</t>
  </si>
  <si>
    <t>GVH51751U2XPR5PAG</t>
  </si>
  <si>
    <t>G699981289</t>
  </si>
  <si>
    <t>FK1HPU00D6S00001A2</t>
  </si>
  <si>
    <t>DTTHFX0145N000004D</t>
  </si>
  <si>
    <t>DNM53712B9J1QDC75</t>
  </si>
  <si>
    <t>DNM51710LA31QDC2X</t>
  </si>
  <si>
    <t>G699909969</t>
  </si>
  <si>
    <t>G9PHF7K0Q5200005DR</t>
  </si>
  <si>
    <t>GH3HD801HRE00005DS</t>
  </si>
  <si>
    <t>G699889321</t>
  </si>
  <si>
    <t>C7Y4DWQ6D4</t>
  </si>
  <si>
    <t>HP2RG90QQ7</t>
  </si>
  <si>
    <t>G714434219</t>
  </si>
  <si>
    <t>HNXQV1NJQ1HJ</t>
  </si>
  <si>
    <t>HNXP41WMQ1HJ</t>
  </si>
  <si>
    <t>G712749627</t>
  </si>
  <si>
    <t>KXMPYXXYQ1</t>
  </si>
  <si>
    <t>F14KXG1V6W</t>
  </si>
  <si>
    <t>G709967377</t>
  </si>
  <si>
    <t>M91JX1676R</t>
  </si>
  <si>
    <t>F7JWKK4HGL</t>
  </si>
  <si>
    <t>G707705501</t>
  </si>
  <si>
    <t>G9P5265L51TPQCKAV</t>
  </si>
  <si>
    <t>G9P1402K1EFPQCKA6</t>
  </si>
  <si>
    <t>G707134735</t>
  </si>
  <si>
    <t>HHCYPFVFMQ</t>
  </si>
  <si>
    <t>MNQ9K7FTHJ</t>
  </si>
  <si>
    <t>G706713653</t>
  </si>
  <si>
    <t>VX5WCX15V9</t>
  </si>
  <si>
    <t>JL46Y9K2LH</t>
  </si>
  <si>
    <t>G688675062</t>
  </si>
  <si>
    <t>F8Y6053CMN518FKBX</t>
  </si>
  <si>
    <t>F8Y324702RH18FLA5</t>
  </si>
  <si>
    <t>G705706681</t>
  </si>
  <si>
    <t>MNQ237YXYV</t>
  </si>
  <si>
    <t>K7GF32C2QM</t>
  </si>
  <si>
    <t>G704395493</t>
  </si>
  <si>
    <t>F8Y6056C3H218FKBW</t>
  </si>
  <si>
    <t>FG940960C8318FMB6</t>
  </si>
  <si>
    <t>G703973565</t>
  </si>
  <si>
    <t>JMQXL5F2NF</t>
  </si>
  <si>
    <t>F71FWNW4TF</t>
  </si>
  <si>
    <t>G703516329</t>
  </si>
  <si>
    <t>TA661-43613</t>
  </si>
  <si>
    <t>256GB, Ultramarine, ROW, iPhone 16, Logic Board Assy Mid System</t>
  </si>
  <si>
    <t>DTHD2N9J75</t>
  </si>
  <si>
    <t>FJVMXQX6T3</t>
  </si>
  <si>
    <t>G702628043</t>
  </si>
  <si>
    <t>LY9XFY9KV7</t>
  </si>
  <si>
    <t>G701773673</t>
  </si>
  <si>
    <t>F2LTVQM9J2</t>
  </si>
  <si>
    <t>HL04JFPY63</t>
  </si>
  <si>
    <t>G700368099</t>
  </si>
  <si>
    <t>F8Y5496C4J613XCB7</t>
  </si>
  <si>
    <t>F8Y2181207P13XC8J</t>
  </si>
  <si>
    <t>DN85243AK44Q1NMDR</t>
  </si>
  <si>
    <t>DN82156H94XQ1NMA0</t>
  </si>
  <si>
    <t>G715044503</t>
  </si>
  <si>
    <t>F8Y6177C39X18FKBH</t>
  </si>
  <si>
    <t>FG941340BDF18FMBZ</t>
  </si>
  <si>
    <t>G714999017</t>
  </si>
  <si>
    <t>F8Y6153C79U20J9BY</t>
  </si>
  <si>
    <t>F5D24529F1J20J89A</t>
  </si>
  <si>
    <t>G712455713</t>
  </si>
  <si>
    <t>F8Y6156C1J418FKBS</t>
  </si>
  <si>
    <t>F8Y21420AZQ18FLA9</t>
  </si>
  <si>
    <t>G711461561</t>
  </si>
  <si>
    <t>MM9VYW29KR</t>
  </si>
  <si>
    <t>D9JH067H95</t>
  </si>
  <si>
    <t>G710433181</t>
  </si>
  <si>
    <t>FM7HNY00AC900014XS</t>
  </si>
  <si>
    <t>FM7HJB0100D00013S6</t>
  </si>
  <si>
    <t>G710177891</t>
  </si>
  <si>
    <t>GT6Q3H5WD2</t>
  </si>
  <si>
    <t>JJ31WQGVQQ</t>
  </si>
  <si>
    <t>G705781851</t>
  </si>
  <si>
    <t>MP7LTQVDK7</t>
  </si>
  <si>
    <t>V4PXFQTWGM</t>
  </si>
  <si>
    <t>G705458063</t>
  </si>
  <si>
    <t>DV2644X2LD</t>
  </si>
  <si>
    <t>LHX26453F5</t>
  </si>
  <si>
    <t>G703718809</t>
  </si>
  <si>
    <t>L72VMWCR23</t>
  </si>
  <si>
    <t>MGYCTFQH5C</t>
  </si>
  <si>
    <t>G703639325</t>
  </si>
  <si>
    <t>G9PHKEG108800005DP</t>
  </si>
  <si>
    <t>GVCHDZ00EE800005DQ</t>
  </si>
  <si>
    <t>G703322949</t>
  </si>
  <si>
    <t>MXRF92HPQ3</t>
  </si>
  <si>
    <t>K6W2XKTP4G</t>
  </si>
  <si>
    <t>G703005011</t>
  </si>
  <si>
    <t>F8Y5495C3T1217WB6</t>
  </si>
  <si>
    <t>F5D23250ESG21PK7K</t>
  </si>
  <si>
    <t>G701989425</t>
  </si>
  <si>
    <t>HGD6CY3YKV</t>
  </si>
  <si>
    <t>F5M6VK4GH1</t>
  </si>
  <si>
    <t>G701140371</t>
  </si>
  <si>
    <t>H2CQC0AD1JG6</t>
  </si>
  <si>
    <t>H2CNT1L61JG6</t>
  </si>
  <si>
    <t>G699963817</t>
  </si>
  <si>
    <t>G9P5185MESFPQCLAG</t>
  </si>
  <si>
    <t>G9P2286NA5ZPQCLA1</t>
  </si>
  <si>
    <t>G699660525</t>
  </si>
  <si>
    <t>GVH51651TXJPR5PAE</t>
  </si>
  <si>
    <t>GVH512520F9PR5PA5</t>
  </si>
  <si>
    <t>G699646257</t>
  </si>
  <si>
    <t>GVH5166102EPR5PAV</t>
  </si>
  <si>
    <t>GVC339357VQPR5RAN</t>
  </si>
  <si>
    <t>G699141791</t>
  </si>
  <si>
    <t>G9NHF6P174L00005DR</t>
  </si>
  <si>
    <t>G9PHFKJ167600005DR</t>
  </si>
  <si>
    <t>G716398401</t>
  </si>
  <si>
    <t>J9KHT1002JG0000FD3</t>
  </si>
  <si>
    <t>GMHHCR015M20000882</t>
  </si>
  <si>
    <t>G715791487</t>
  </si>
  <si>
    <t>F8Y6183C26N18FKB3</t>
  </si>
  <si>
    <t>F8Y41620BF718FLBW</t>
  </si>
  <si>
    <t>G713196767</t>
  </si>
  <si>
    <t>F8Y6143C6SC217WBC</t>
  </si>
  <si>
    <t>F8Y252427FC217W7X</t>
  </si>
  <si>
    <t>G712812243</t>
  </si>
  <si>
    <t>HRWDX7YWCX</t>
  </si>
  <si>
    <t>GKPD9V66PW</t>
  </si>
  <si>
    <t>G693071354</t>
  </si>
  <si>
    <t>F00M41K7LY</t>
  </si>
  <si>
    <t>KYFFV9L492</t>
  </si>
  <si>
    <t>G711219823</t>
  </si>
  <si>
    <t>L4JNPFWQ0X</t>
  </si>
  <si>
    <t>JR04WQGGHW</t>
  </si>
  <si>
    <t>G710901793</t>
  </si>
  <si>
    <t>MG40K4J6V2</t>
  </si>
  <si>
    <t>G1WQM2G60P</t>
  </si>
  <si>
    <t>G709501289</t>
  </si>
  <si>
    <t>FC6W9NM6F0</t>
  </si>
  <si>
    <t>L7HVKXY45H</t>
  </si>
  <si>
    <t>G709410765</t>
  </si>
  <si>
    <t>G9Q5183F00XPR5QAR</t>
  </si>
  <si>
    <t>GVH51173D47PR5PAR</t>
  </si>
  <si>
    <t>G709040195</t>
  </si>
  <si>
    <t>J9PHQJ00EE50000HK9</t>
  </si>
  <si>
    <t>FNJHB3D02ES0000BYP</t>
  </si>
  <si>
    <t>G689790974</t>
  </si>
  <si>
    <t>CPVV6D17XP</t>
  </si>
  <si>
    <t>G79J09NL6G</t>
  </si>
  <si>
    <t>GT4LC9G9PR</t>
  </si>
  <si>
    <t>G688598328</t>
  </si>
  <si>
    <t>G9P5185MFRCPQCLAM</t>
  </si>
  <si>
    <t>G9N219224A4PQCLAG</t>
  </si>
  <si>
    <t>G705926475</t>
  </si>
  <si>
    <t>D9PK0GVK9H</t>
  </si>
  <si>
    <t>F2J72W7RMC</t>
  </si>
  <si>
    <t>G704877589</t>
  </si>
  <si>
    <t>J9C61DY4CF</t>
  </si>
  <si>
    <t>MN2M9YKWQY</t>
  </si>
  <si>
    <t>G704826421</t>
  </si>
  <si>
    <t>MKJ434KM4M</t>
  </si>
  <si>
    <t>CT4KWY17KJ</t>
  </si>
  <si>
    <t>G704689495</t>
  </si>
  <si>
    <t>G9NHQ621QMF00004Y7</t>
  </si>
  <si>
    <t>G9QH9VW454600004Y7</t>
  </si>
  <si>
    <t>G704145707</t>
  </si>
  <si>
    <t>G9PHJHS05TS00005DR</t>
  </si>
  <si>
    <t>GH3HA200QPB00005DS</t>
  </si>
  <si>
    <t>G703597663</t>
  </si>
  <si>
    <t>FK1HHR000FQ000019S</t>
  </si>
  <si>
    <t>GMH346557EW203QAB</t>
  </si>
  <si>
    <t>GCF3487FXW223415Q</t>
  </si>
  <si>
    <t>G686190336</t>
  </si>
  <si>
    <t>GLFXCXM7PQ</t>
  </si>
  <si>
    <t>M99LMX2602</t>
  </si>
  <si>
    <t>G702722313</t>
  </si>
  <si>
    <t>FG9315209R118FMAF</t>
  </si>
  <si>
    <t>G702332593</t>
  </si>
  <si>
    <t>MVF2LNQ900</t>
  </si>
  <si>
    <t>KD6FF6732C</t>
  </si>
  <si>
    <t>G701689735</t>
  </si>
  <si>
    <t>661-02397</t>
  </si>
  <si>
    <t>LCD, Display Module</t>
  </si>
  <si>
    <t>FP1122307HBGQR3AS</t>
  </si>
  <si>
    <t>FP1041505XVGQR3A4</t>
  </si>
  <si>
    <t>G701545949</t>
  </si>
  <si>
    <t>F8Y5464C78U217WB8</t>
  </si>
  <si>
    <t>F5D2372557V21PK7B</t>
  </si>
  <si>
    <t>G701444539</t>
  </si>
  <si>
    <t>F8Y5453C4H520J9B0</t>
  </si>
  <si>
    <t>F5D23370MCE20J795</t>
  </si>
  <si>
    <t>G701189143</t>
  </si>
  <si>
    <t>J0MHNK009S700006SP</t>
  </si>
  <si>
    <t>DRCHEF0095800006SP</t>
  </si>
  <si>
    <t>G700694837</t>
  </si>
  <si>
    <t>K0W314JNVJ</t>
  </si>
  <si>
    <t>H429LYQ4W3</t>
  </si>
  <si>
    <t>G700373949</t>
  </si>
  <si>
    <t>GH3HNA00NNA0000MUZ</t>
  </si>
  <si>
    <t>GH3HMY00CD90000MUZ</t>
  </si>
  <si>
    <t>G699907445</t>
  </si>
  <si>
    <t>MV7MWT6NX7</t>
  </si>
  <si>
    <t>G698448475</t>
  </si>
  <si>
    <t>F8Y5442C2APM6YNDM</t>
  </si>
  <si>
    <t>FG910520J8XM6YRBL</t>
  </si>
  <si>
    <t>G714338781</t>
  </si>
  <si>
    <t>F8Y6157C4FPQ687BC</t>
  </si>
  <si>
    <t>FG905143KAAQ68930</t>
  </si>
  <si>
    <t>G9P1047SD49LQHKAQ</t>
  </si>
  <si>
    <t>GVC10210DJKLQHLAC</t>
  </si>
  <si>
    <t>G710682739</t>
  </si>
  <si>
    <t>J22R3BMA26K0</t>
  </si>
  <si>
    <t>G708845153</t>
  </si>
  <si>
    <t>F8Y6041CCK0217WB8</t>
  </si>
  <si>
    <t>F5D24469PMB21PK7V</t>
  </si>
  <si>
    <t>G706804933</t>
  </si>
  <si>
    <t>ZP661-28980</t>
  </si>
  <si>
    <t>Silver, iPad Pro 11-inch 4th gen, 1TB, Wi-Fi, ITP</t>
  </si>
  <si>
    <t>VL63FLXY1F</t>
  </si>
  <si>
    <t>DGJF64XXRM</t>
  </si>
  <si>
    <t>G703017953</t>
  </si>
  <si>
    <t>F0YHM40001J0000GVK</t>
  </si>
  <si>
    <t>GMGHM90056H0000GVK</t>
  </si>
  <si>
    <t>G702639517</t>
  </si>
  <si>
    <t>GPVH624VQN</t>
  </si>
  <si>
    <t>C7LVVMG9HV</t>
  </si>
  <si>
    <t>G702013177</t>
  </si>
  <si>
    <t>L03R7HW012</t>
  </si>
  <si>
    <t>CDH6JY9H4M</t>
  </si>
  <si>
    <t>G701690303</t>
  </si>
  <si>
    <t>F8Y5437C6P2Q4C2B8</t>
  </si>
  <si>
    <t>F5D051745Q4Q4C09G</t>
  </si>
  <si>
    <t>G700371793</t>
  </si>
  <si>
    <t>F8Y5506CHKF18FKBA</t>
  </si>
  <si>
    <t>FG9327401FS18FMAK</t>
  </si>
  <si>
    <t>G698193947</t>
  </si>
  <si>
    <t>GVH532401SUPR5PAR</t>
  </si>
  <si>
    <t>GVH50811RZ2PR5PAR</t>
  </si>
  <si>
    <t>G715676291</t>
  </si>
  <si>
    <t>F0WHH0002K40000488</t>
  </si>
  <si>
    <t>F0WHF100UYS00005KR</t>
  </si>
  <si>
    <t>G714557911</t>
  </si>
  <si>
    <t>G9P5267QFPW1PHRAG</t>
  </si>
  <si>
    <t>GH3412713FL1PHTA5</t>
  </si>
  <si>
    <t>G694526968</t>
  </si>
  <si>
    <t>F8Y6162C46Y18FKBY</t>
  </si>
  <si>
    <t>FG942230AYD18FMBG</t>
  </si>
  <si>
    <t>G711658107</t>
  </si>
  <si>
    <t>F0Y542101871J88AG</t>
  </si>
  <si>
    <t>FP15422033L25YVAW</t>
  </si>
  <si>
    <t>G709031515</t>
  </si>
  <si>
    <t>K9DLXW03CK</t>
  </si>
  <si>
    <t>KM69CWG0H2</t>
  </si>
  <si>
    <t>G707363555</t>
  </si>
  <si>
    <t>FDH304YKQ1</t>
  </si>
  <si>
    <t>LY5XW44CHQ</t>
  </si>
  <si>
    <t>G707238129</t>
  </si>
  <si>
    <t>F8Y6057C36218FKBU</t>
  </si>
  <si>
    <t>FG934610AJA18FMAM</t>
  </si>
  <si>
    <t>G707058277</t>
  </si>
  <si>
    <t>FV9528402R70W9FL2</t>
  </si>
  <si>
    <t>FV95347003Y0W9GLJ</t>
  </si>
  <si>
    <t>G706955793</t>
  </si>
  <si>
    <t>HR2T07F95F</t>
  </si>
  <si>
    <t>KRXN4F0CW7</t>
  </si>
  <si>
    <t>G703830551</t>
  </si>
  <si>
    <t>G9P5222MGPUPQCLAW</t>
  </si>
  <si>
    <t>G9P2117RFHSPQCLAD</t>
  </si>
  <si>
    <t>G703712501</t>
  </si>
  <si>
    <t>GMG549300P6NR8DBU</t>
  </si>
  <si>
    <t>FP15025018R249XAD</t>
  </si>
  <si>
    <t>G702696931</t>
  </si>
  <si>
    <t>GVCHQ001PVF0000MUZ</t>
  </si>
  <si>
    <t>GH3HP000PTE0000MUZ</t>
  </si>
  <si>
    <t>G685250664</t>
  </si>
  <si>
    <t>JMVFWLY97M</t>
  </si>
  <si>
    <t>D437T6JXL6</t>
  </si>
  <si>
    <t>G701699459</t>
  </si>
  <si>
    <t>JW7WNJXCF1</t>
  </si>
  <si>
    <t>FWL90P973M</t>
  </si>
  <si>
    <t>G701510289</t>
  </si>
  <si>
    <t>C02031200MWNJ2Y1Y</t>
  </si>
  <si>
    <t>C021114033YNJ3C1T</t>
  </si>
  <si>
    <t>661-14136</t>
  </si>
  <si>
    <t>Logic Board, i9, 2.3GHz, 16GB, 1TB, 5500M 8GB</t>
  </si>
  <si>
    <t>G700370447</t>
  </si>
  <si>
    <t>F8Y5506CE7S18FKB4</t>
  </si>
  <si>
    <t>FG92042247T18FM4Z</t>
  </si>
  <si>
    <t>G700328119</t>
  </si>
  <si>
    <t>XW9T3YXVDL</t>
  </si>
  <si>
    <t>D4DJ4CJDVV</t>
  </si>
  <si>
    <t>G700008475</t>
  </si>
  <si>
    <t>GMG541302TL1J88A0</t>
  </si>
  <si>
    <t>FP1426705PK25YVAR</t>
  </si>
  <si>
    <t>G698438471</t>
  </si>
  <si>
    <t>K23N0TLF6L</t>
  </si>
  <si>
    <t>M7D69W2PK4</t>
  </si>
  <si>
    <t>G716293375</t>
  </si>
  <si>
    <t>G9QHRVT03UT00004Y9</t>
  </si>
  <si>
    <t>G9QHENL2ZHM00004Y9</t>
  </si>
  <si>
    <t>G715460153</t>
  </si>
  <si>
    <t>F8Y6183C9QA18FKBN</t>
  </si>
  <si>
    <t>FG9327401WK18FMAF</t>
  </si>
  <si>
    <t>G713853269</t>
  </si>
  <si>
    <t>DNMHHR00VLG000048L</t>
  </si>
  <si>
    <t>DNMH9502QYJ000048L</t>
  </si>
  <si>
    <t>G711762489</t>
  </si>
  <si>
    <t>C54R9W64HK</t>
  </si>
  <si>
    <t>F26GXT73GR</t>
  </si>
  <si>
    <t>G711130723</t>
  </si>
  <si>
    <t>G9QHE9L1JUF00004Y9</t>
  </si>
  <si>
    <t>G9QHFCQ45EU00004Y9</t>
  </si>
  <si>
    <t>G710562469</t>
  </si>
  <si>
    <t>D122TWV3G6</t>
  </si>
  <si>
    <t>D39GLF6N91</t>
  </si>
  <si>
    <t>G710216037</t>
  </si>
  <si>
    <t>XQ6KDHV7HF</t>
  </si>
  <si>
    <t>KT6V6KFKPW</t>
  </si>
  <si>
    <t>G708610461</t>
  </si>
  <si>
    <t>JPWPXM2YJ6</t>
  </si>
  <si>
    <t>KKFHQMM7FV</t>
  </si>
  <si>
    <t>G707738421</t>
  </si>
  <si>
    <t>G9PHJKS0KW900005DR</t>
  </si>
  <si>
    <t>GH3HDK024QB00005DS</t>
  </si>
  <si>
    <t>DN8HJT03SDR00006S2</t>
  </si>
  <si>
    <t>DN8HE00BFZ500006S2</t>
  </si>
  <si>
    <t>G704229757</t>
  </si>
  <si>
    <t>D865386N1M2PJYRBC</t>
  </si>
  <si>
    <t>D864335A25TPJYRBM</t>
  </si>
  <si>
    <t>G703733581</t>
  </si>
  <si>
    <t>J9KHMS0031N0000FD3</t>
  </si>
  <si>
    <t>FNJHB3K059W0000882</t>
  </si>
  <si>
    <t>G700834967</t>
  </si>
  <si>
    <t>G9P5351MP5ZPQCLAV</t>
  </si>
  <si>
    <t>G9Q1476X88HPQCLAL</t>
  </si>
  <si>
    <t>G700468947</t>
  </si>
  <si>
    <t>GFTG65D6LF</t>
  </si>
  <si>
    <t>C923P2V40H</t>
  </si>
  <si>
    <t>G700376023</t>
  </si>
  <si>
    <t>F8Y5431C2V1Q687B6</t>
  </si>
  <si>
    <t>F8Y10345U0UQ6872Z</t>
  </si>
  <si>
    <t>G715791555</t>
  </si>
  <si>
    <t>F8Y6183C26H18FKB8</t>
  </si>
  <si>
    <t>FG9422608CW18FMBQ</t>
  </si>
  <si>
    <t>G715236699</t>
  </si>
  <si>
    <t>F8Y6184C13K18FKBF</t>
  </si>
  <si>
    <t>F8Y20470BCV18FLAU</t>
  </si>
  <si>
    <t>G714521423</t>
  </si>
  <si>
    <t>D865182N0T8PJYRBV</t>
  </si>
  <si>
    <t>D862152ALQGPJYRAZ</t>
  </si>
  <si>
    <t>G711833987</t>
  </si>
  <si>
    <t>F8Y6133C2JQ18FKBE</t>
  </si>
  <si>
    <t>FG9411305B518FMBU</t>
  </si>
  <si>
    <t>G711402969</t>
  </si>
  <si>
    <t>HH7J12VV6J</t>
  </si>
  <si>
    <t>KMXV6T9J4Q</t>
  </si>
  <si>
    <t>G710989585</t>
  </si>
  <si>
    <t>F8Y6126C9GL18FKBH</t>
  </si>
  <si>
    <t>F8Y14830JDL18FLAJ</t>
  </si>
  <si>
    <t>G692449584</t>
  </si>
  <si>
    <t>F8Y6155C1BMM6YNDF</t>
  </si>
  <si>
    <t>F8Y001406TPM6YMA4</t>
  </si>
  <si>
    <t>G709531837</t>
  </si>
  <si>
    <t>J9Q5476005L0GKWAP</t>
  </si>
  <si>
    <t>FNJ5263AP4RQ274AJ</t>
  </si>
  <si>
    <t>G707066481</t>
  </si>
  <si>
    <t>DN8HK304PV60000JS5</t>
  </si>
  <si>
    <t>DN8HMJ0CU8W0000RYQ</t>
  </si>
  <si>
    <t>G703520709</t>
  </si>
  <si>
    <t>GCVVTQ6R22</t>
  </si>
  <si>
    <t>LQL7Y0XMY7</t>
  </si>
  <si>
    <t>G703219347</t>
  </si>
  <si>
    <t>G9P5155L02BPQCKAH</t>
  </si>
  <si>
    <t>G9P2281KCLNPQCKAE</t>
  </si>
  <si>
    <t>G686477690</t>
  </si>
  <si>
    <t>G9PHPTU43KT0000L4B</t>
  </si>
  <si>
    <t>G9QHLSMADNR0000L4B</t>
  </si>
  <si>
    <t>G702808407</t>
  </si>
  <si>
    <t>C4KYP0G0QK</t>
  </si>
  <si>
    <t>MQ6RQQD4H7</t>
  </si>
  <si>
    <t>G701544931</t>
  </si>
  <si>
    <t>HKF2TN977N</t>
  </si>
  <si>
    <t>DJJX7VQVXF</t>
  </si>
  <si>
    <t>G701154085</t>
  </si>
  <si>
    <t>KGF3WYYFQF</t>
  </si>
  <si>
    <t>L4LMXJKHKK</t>
  </si>
  <si>
    <t>G700173453</t>
  </si>
  <si>
    <t>FWC414XMDY</t>
  </si>
  <si>
    <t>G6NR637TMF</t>
  </si>
  <si>
    <t>G699140397</t>
  </si>
  <si>
    <t>F8Y5433CCX5M6YND2</t>
  </si>
  <si>
    <t>F8Y02613PTKM6YNBY</t>
  </si>
  <si>
    <t>G682410556</t>
  </si>
  <si>
    <t>GVCHJG01TE60000U6M</t>
  </si>
  <si>
    <t>G9PHMWK09ZV0000MTE</t>
  </si>
  <si>
    <t>GVCHKZ03S830000U6M</t>
  </si>
  <si>
    <t>G715861939</t>
  </si>
  <si>
    <t>G9P5491C584PR5QAV</t>
  </si>
  <si>
    <t>GVH50960TCGPR5PAZ</t>
  </si>
  <si>
    <t>G713257451</t>
  </si>
  <si>
    <t>H0XX6QXMVH</t>
  </si>
  <si>
    <t>KFGKX4CXXF</t>
  </si>
  <si>
    <t>G712241037</t>
  </si>
  <si>
    <t>FM7HP8005K900014XS</t>
  </si>
  <si>
    <t>G712087045</t>
  </si>
  <si>
    <t>F8Y6133C2JS18FKBC</t>
  </si>
  <si>
    <t>FG915072BE318FN5W</t>
  </si>
  <si>
    <t>G711742831</t>
  </si>
  <si>
    <t>DTVGYC3864V00000DT</t>
  </si>
  <si>
    <t>CTHHGU480RC00000DV</t>
  </si>
  <si>
    <t>G710667767</t>
  </si>
  <si>
    <t>MPYQHR7T0Y</t>
  </si>
  <si>
    <t>H4WT01CJ9H</t>
  </si>
  <si>
    <t>G709376145</t>
  </si>
  <si>
    <t>J027DN9GMY</t>
  </si>
  <si>
    <t>DP9M7FW03H</t>
  </si>
  <si>
    <t>G690474764</t>
  </si>
  <si>
    <t>DRCHLB000W40000U64</t>
  </si>
  <si>
    <t>J0MHBL009360000U64</t>
  </si>
  <si>
    <t>G708159075</t>
  </si>
  <si>
    <t>FFVGXNH6C7</t>
  </si>
  <si>
    <t>CLQLJQGKMJ</t>
  </si>
  <si>
    <t>G703318419</t>
  </si>
  <si>
    <t>F8Y5447C4H518FKBT</t>
  </si>
  <si>
    <t>F8Y21012F2Y18FLAU</t>
  </si>
  <si>
    <t>G686305710</t>
  </si>
  <si>
    <t>661-00529</t>
  </si>
  <si>
    <t>Power Adapter, MagSafe 2, 45W</t>
  </si>
  <si>
    <t>C06045460REGTM1BL</t>
  </si>
  <si>
    <t>G702014295</t>
  </si>
  <si>
    <t>F8Y5455C6D513XCB0</t>
  </si>
  <si>
    <t>F8Y22020P2013X88X</t>
  </si>
  <si>
    <t>G701208197</t>
  </si>
  <si>
    <t>F8Y5455C0TD13XCBQ</t>
  </si>
  <si>
    <t>F5D22045H9113X9AK</t>
  </si>
  <si>
    <t>G701207343</t>
  </si>
  <si>
    <t>FV3H4NG30K</t>
  </si>
  <si>
    <t>GQD6F7H22D</t>
  </si>
  <si>
    <t>G684516900</t>
  </si>
  <si>
    <t>G9P5263MACUPQCLAN</t>
  </si>
  <si>
    <t>G9N23172852PQCLAC</t>
  </si>
  <si>
    <t>G683139188</t>
  </si>
  <si>
    <t>F8Y5516C37713XCBV</t>
  </si>
  <si>
    <t>F5D14034BYU13X995</t>
  </si>
  <si>
    <t>G694528456</t>
  </si>
  <si>
    <t>G9P5203N49714YDA4</t>
  </si>
  <si>
    <t>GH324731ARS14YFA8</t>
  </si>
  <si>
    <t>G712881297</t>
  </si>
  <si>
    <t>F8Y5457C7AK237KBL</t>
  </si>
  <si>
    <t>FQ12465402722HQ16</t>
  </si>
  <si>
    <t>G712260447</t>
  </si>
  <si>
    <t>F8Y6107C27WQ4C2B7</t>
  </si>
  <si>
    <t>F8Y0484221HQ4C290</t>
  </si>
  <si>
    <t>G711858895</t>
  </si>
  <si>
    <t>KGQ2MM69HN</t>
  </si>
  <si>
    <t>FWDPWYYKQR</t>
  </si>
  <si>
    <t>G710553609</t>
  </si>
  <si>
    <t>FV95157032P0W9FLT</t>
  </si>
  <si>
    <t>FV951240FB10W9FLN</t>
  </si>
  <si>
    <t>G710175063</t>
  </si>
  <si>
    <t>DNMHGV00K59000048L</t>
  </si>
  <si>
    <t>GCFHLP0JLR200005LT</t>
  </si>
  <si>
    <t>G707356973</t>
  </si>
  <si>
    <t>KP72662QM1</t>
  </si>
  <si>
    <t>G706734793</t>
  </si>
  <si>
    <t>F8Y5341C1V8237KBQ</t>
  </si>
  <si>
    <t>F8Y23560JNX237K3Y</t>
  </si>
  <si>
    <t>G705598035</t>
  </si>
  <si>
    <t>DNM53810BZK1QDC73</t>
  </si>
  <si>
    <t>DNM53220Z8T1QDC1F</t>
  </si>
  <si>
    <t>FK1H1A01SDH00001A2</t>
  </si>
  <si>
    <t>FNJHHXB096N000004D</t>
  </si>
  <si>
    <t>FK1HNL00DQJ00001A2</t>
  </si>
  <si>
    <t>FNJGXUG035D000004D</t>
  </si>
  <si>
    <t>DNM53240M2L1QDC61</t>
  </si>
  <si>
    <t>G705481409</t>
  </si>
  <si>
    <t>F8Y5472CAMDQ687BX</t>
  </si>
  <si>
    <t>F8Y042167YNQ68720</t>
  </si>
  <si>
    <t>G705190415</t>
  </si>
  <si>
    <t>WYK6PWHD46</t>
  </si>
  <si>
    <t>NWYX1PXD6N</t>
  </si>
  <si>
    <t>G703905247</t>
  </si>
  <si>
    <t>FYGNWM2T27</t>
  </si>
  <si>
    <t>GR7X4D7C21</t>
  </si>
  <si>
    <t>G703489955</t>
  </si>
  <si>
    <t>C02331700QT0W9DA3</t>
  </si>
  <si>
    <t>J33540201600W9FPT</t>
  </si>
  <si>
    <t>G703320355</t>
  </si>
  <si>
    <t>F8Y5425C89C18FKBE</t>
  </si>
  <si>
    <t>FG921840E4718FMAR</t>
  </si>
  <si>
    <t>G702106731</t>
  </si>
  <si>
    <t>KHC6H2643Y</t>
  </si>
  <si>
    <t>J199Q5HHHG</t>
  </si>
  <si>
    <t>G702105877</t>
  </si>
  <si>
    <t>CTH5207B5Z9080060</t>
  </si>
  <si>
    <t>DTV450663Q30803AP</t>
  </si>
  <si>
    <t>G700374739</t>
  </si>
  <si>
    <t>F8Y5431C3UZQ687BA</t>
  </si>
  <si>
    <t>FG904950P61Q68C3Z</t>
  </si>
  <si>
    <t>G700372659</t>
  </si>
  <si>
    <t>F8Y5506CE6F18FKBJ</t>
  </si>
  <si>
    <t>FG914222WF018FM4F</t>
  </si>
  <si>
    <t>G698836673</t>
  </si>
  <si>
    <t>F4KH9400STA0000HKF</t>
  </si>
  <si>
    <t>DTVHBY610P80000CZS</t>
  </si>
  <si>
    <t>GCFHC608QLF00005LU</t>
  </si>
  <si>
    <t>GCFHCG04BHV00005LU</t>
  </si>
  <si>
    <t>G698396421</t>
  </si>
  <si>
    <t>F8Y5444C17518FKBV</t>
  </si>
  <si>
    <t>FG91475279H18FM4M</t>
  </si>
  <si>
    <t>G713848689</t>
  </si>
  <si>
    <t>LVJCXYKV7G</t>
  </si>
  <si>
    <t>G713589427</t>
  </si>
  <si>
    <t>GH3HS5023FV0000MUZ</t>
  </si>
  <si>
    <t>G9PHLHE22300000MUY</t>
  </si>
  <si>
    <t>G691406162</t>
  </si>
  <si>
    <t>DNL5387015E17RRCG</t>
  </si>
  <si>
    <t>DNL53850Y3T17RRCE</t>
  </si>
  <si>
    <t>DX6613300P41L03A0</t>
  </si>
  <si>
    <t>GMH52350XBG17HHAR</t>
  </si>
  <si>
    <t>G690510884</t>
  </si>
  <si>
    <t>GVH517304CCPR5PA0</t>
  </si>
  <si>
    <t>GVH512419XWPR5PAZ</t>
  </si>
  <si>
    <t>G706851165</t>
  </si>
  <si>
    <t>G9Q5156P13GPR5QAC</t>
  </si>
  <si>
    <t>GVH51072NQWPR5PA7</t>
  </si>
  <si>
    <t>G704395297</t>
  </si>
  <si>
    <t>F8Y6054CN8W18FKBC</t>
  </si>
  <si>
    <t>F8Y34940LFT18FLAT</t>
  </si>
  <si>
    <t>G703573651</t>
  </si>
  <si>
    <t>G9P5262MP89PQCLA7</t>
  </si>
  <si>
    <t>G9P2267MC00PQCLAM</t>
  </si>
  <si>
    <t>G703507715</t>
  </si>
  <si>
    <t>LT7R2RQ335</t>
  </si>
  <si>
    <t>CFXJJJ3X0Y</t>
  </si>
  <si>
    <t>G686477406</t>
  </si>
  <si>
    <t>F8Y5446CE4N18FKB6</t>
  </si>
  <si>
    <t>F8Y14761QSE18FKAB</t>
  </si>
  <si>
    <t>G702557357</t>
  </si>
  <si>
    <t>KR49DJ497N</t>
  </si>
  <si>
    <t>F170272WTX</t>
  </si>
  <si>
    <t>G700990977</t>
  </si>
  <si>
    <t>G9622MF623</t>
  </si>
  <si>
    <t>LTLHYF1YQK</t>
  </si>
  <si>
    <t>G700932889</t>
  </si>
  <si>
    <t>G9PHK7G1LVX00005DP</t>
  </si>
  <si>
    <t>G9NHBWH2AMP00005DP</t>
  </si>
  <si>
    <t>G700744073</t>
  </si>
  <si>
    <t>F0WHCQ018G40000488</t>
  </si>
  <si>
    <t>DN8HBK03F9K00005KQ</t>
  </si>
  <si>
    <t>TA661-45006</t>
  </si>
  <si>
    <t>512GB, Natural Titanium, ROW, iPhone 16 Pro, Logic Board Assy Mid System</t>
  </si>
  <si>
    <t>JRQD7HFH96</t>
  </si>
  <si>
    <t>PC6670VN46</t>
  </si>
  <si>
    <t>G700576541</t>
  </si>
  <si>
    <t>K9LQQW96N9</t>
  </si>
  <si>
    <t>KPVGGJHJMX</t>
  </si>
  <si>
    <t>G683512572</t>
  </si>
  <si>
    <t>F8Y5506CGJE18FKBF</t>
  </si>
  <si>
    <t>FG954150CQV18FNBH</t>
  </si>
  <si>
    <t>G699727557</t>
  </si>
  <si>
    <t>GD6CL44L30</t>
  </si>
  <si>
    <t>H7QMXMV2YJ</t>
  </si>
  <si>
    <t>G699260187</t>
  </si>
  <si>
    <t>ML44X21RP2</t>
  </si>
  <si>
    <t>F345LQC2VW</t>
  </si>
  <si>
    <t>G707532803</t>
  </si>
  <si>
    <t>G9P5341Q44E1PHRA9</t>
  </si>
  <si>
    <t>GH341472EF51PHTA0</t>
  </si>
  <si>
    <t>G696295128</t>
  </si>
  <si>
    <t>GMGHMN003SE0000HX1</t>
  </si>
  <si>
    <t>FP1HLF000MC0000HX0</t>
  </si>
  <si>
    <t>G692609260</t>
  </si>
  <si>
    <t>K0C9HVF6F2</t>
  </si>
  <si>
    <t>LVCQ4DYLHW</t>
  </si>
  <si>
    <t>G689518060</t>
  </si>
  <si>
    <t>G9PHHXU0WDZ00005DR</t>
  </si>
  <si>
    <t>GH3HF600M7800005DS</t>
  </si>
  <si>
    <t>G702632309</t>
  </si>
  <si>
    <t>F8Y5474C0BU18FKBL</t>
  </si>
  <si>
    <t>F8Y21420PS418FLA3</t>
  </si>
  <si>
    <t>G701655415</t>
  </si>
  <si>
    <t>GH3HND004840000MUZ</t>
  </si>
  <si>
    <t>GVCHM90297T0000MUZ</t>
  </si>
  <si>
    <t>G683904252</t>
  </si>
  <si>
    <t>G9PHJGS0ZMB00005DR</t>
  </si>
  <si>
    <t>GVCH9D02V6Q00005DS</t>
  </si>
  <si>
    <t>G695694174</t>
  </si>
  <si>
    <t>H66XH2DXHQ</t>
  </si>
  <si>
    <t>MTGCX4544K</t>
  </si>
  <si>
    <t>G712889755</t>
  </si>
  <si>
    <t>GVCHPY01W570000MUZ</t>
  </si>
  <si>
    <t>GH3HKU02C3Z0000MUZ</t>
  </si>
  <si>
    <t>G712876351</t>
  </si>
  <si>
    <t>J4KRQ4J661</t>
  </si>
  <si>
    <t>L9T1709L7F</t>
  </si>
  <si>
    <t>G701289397</t>
  </si>
  <si>
    <t>LR4DXW99L0</t>
  </si>
  <si>
    <t>G684319510</t>
  </si>
  <si>
    <t>LY6MXCYRLF</t>
  </si>
  <si>
    <t>G701688413</t>
  </si>
  <si>
    <t>FMXHMD002JT00006GW</t>
  </si>
  <si>
    <t>F0YHLR008D000006GT</t>
  </si>
  <si>
    <t>J4FHGP0000W0000NNL</t>
  </si>
  <si>
    <t>J4FHMN0000R0000NXD</t>
  </si>
  <si>
    <t>G690358324</t>
  </si>
  <si>
    <t>F8Y6052CARQ18FKBF</t>
  </si>
  <si>
    <t>FG9145203ZE18FM45</t>
  </si>
  <si>
    <t>G703775365</t>
  </si>
  <si>
    <t>G0NHKL009C00000HKZ</t>
  </si>
  <si>
    <t>GMHHB202T080000BXF</t>
  </si>
  <si>
    <t>G712089069</t>
  </si>
  <si>
    <t>HXXHC5071PM0000B2Z</t>
  </si>
  <si>
    <t>C7CK4KF6T9</t>
  </si>
  <si>
    <t>G710644881</t>
  </si>
  <si>
    <t>FX9J7VFJ4M</t>
  </si>
  <si>
    <t>F4R3F2336R</t>
  </si>
  <si>
    <t>G690711004</t>
  </si>
  <si>
    <t>G9P5024MDGHPQCLAX</t>
  </si>
  <si>
    <t>G9P1383N6CZPQCLAP</t>
  </si>
  <si>
    <t>G697099926</t>
  </si>
  <si>
    <t>F8Y6184C6W718FKB9</t>
  </si>
  <si>
    <t>FG920373YLX18FM4R</t>
  </si>
  <si>
    <t>G713864697</t>
  </si>
  <si>
    <t>CVGQM57N36</t>
  </si>
  <si>
    <t>HQ4W4Y23K2</t>
  </si>
  <si>
    <t>G712919005</t>
  </si>
  <si>
    <t>F8Y6153C6HR20J9BC</t>
  </si>
  <si>
    <t>F5D24958XP220J890</t>
  </si>
  <si>
    <t>G9P5183NN5C14YDA4</t>
  </si>
  <si>
    <t>G9N2484UMEU14YDAJ</t>
  </si>
  <si>
    <t>G709987479</t>
  </si>
  <si>
    <t>F0YHQR001SX0000UJX</t>
  </si>
  <si>
    <t>F0YHL0001ER0000UJX</t>
  </si>
  <si>
    <t>G691007926</t>
  </si>
  <si>
    <t>F8Y5326N0P210X2C2</t>
  </si>
  <si>
    <t>F5D42452Y2M10DLC1</t>
  </si>
  <si>
    <t>G706332303</t>
  </si>
  <si>
    <t>FV9HRF0002W0000NXD</t>
  </si>
  <si>
    <t>C02HDF0000E0000NNL</t>
  </si>
  <si>
    <t>FMXHMC002MN00006GW</t>
  </si>
  <si>
    <t>FMXHCP001EV00006GW</t>
  </si>
  <si>
    <t>661-42716</t>
  </si>
  <si>
    <t>F58516107632CKDAHG</t>
  </si>
  <si>
    <t>G703133781</t>
  </si>
  <si>
    <t>F8Y5462C3H4217WBB</t>
  </si>
  <si>
    <t>F8Y24230V92217W7B</t>
  </si>
  <si>
    <t>G682918966</t>
  </si>
  <si>
    <t>F8Y5457C18H237KB0</t>
  </si>
  <si>
    <t>FQ12356BJ0A237L16</t>
  </si>
  <si>
    <t>G693750556</t>
  </si>
  <si>
    <t>G0NHQS002AT0000YJ1</t>
  </si>
  <si>
    <t>FNJHLSK06XC0000QTV</t>
  </si>
  <si>
    <t>G709089883</t>
  </si>
  <si>
    <t>FMX43140BZKNTJJAM</t>
  </si>
  <si>
    <t>DCN141501SKNTJFAY</t>
  </si>
  <si>
    <t>G708198953</t>
  </si>
  <si>
    <t>HH7HMXKWCG</t>
  </si>
  <si>
    <t>L6QNKQD3CH</t>
  </si>
  <si>
    <t>G707707813</t>
  </si>
  <si>
    <t>FG9HP70012P00006TT</t>
  </si>
  <si>
    <t>F5DGYL02EL100006TS</t>
  </si>
  <si>
    <t>G685727938</t>
  </si>
  <si>
    <t>GXLKG4M43K</t>
  </si>
  <si>
    <t>CK2KWD4T24</t>
  </si>
  <si>
    <t>G692906862</t>
  </si>
  <si>
    <t>GVV37K43VP</t>
  </si>
  <si>
    <t>CNVWW7XXLH</t>
  </si>
  <si>
    <t>G704506125</t>
  </si>
  <si>
    <t>GCFHHS05HLJ00005LU</t>
  </si>
  <si>
    <t>GCFHCG0CAMB00005LU</t>
  </si>
  <si>
    <t>G702275041</t>
  </si>
  <si>
    <t>F8Y5456C49X18FKBP</t>
  </si>
  <si>
    <t>FG923170ASE18FMA6</t>
  </si>
  <si>
    <t>G699090933</t>
  </si>
  <si>
    <t>DLCQY7XYQG</t>
  </si>
  <si>
    <t>GH7H990FMG</t>
  </si>
  <si>
    <t>G682551190</t>
  </si>
  <si>
    <t>F8YHN6C0Q1300006TP</t>
  </si>
  <si>
    <t>F8YH2E01QCK00006TP</t>
  </si>
  <si>
    <t>G715217503</t>
  </si>
  <si>
    <t>HNFHQV0060T0000WDU</t>
  </si>
  <si>
    <t>FP2HLT00B5E0000WDU</t>
  </si>
  <si>
    <t>F8YHSE002R30001510</t>
  </si>
  <si>
    <t>FQ1HLK00JXT000150X</t>
  </si>
  <si>
    <t>G688617638</t>
  </si>
  <si>
    <t>MTFKXLQQ05</t>
  </si>
  <si>
    <t>KHVF49PXHN</t>
  </si>
  <si>
    <t>G705677355</t>
  </si>
  <si>
    <t>PA661-49989</t>
  </si>
  <si>
    <t>Powerbeats Pro 2, Right, Jet Black, VN, PAC</t>
  </si>
  <si>
    <t>H2CHP0001510000XFN</t>
  </si>
  <si>
    <t>H2CHFD000QU0000XFN</t>
  </si>
  <si>
    <t>G704592401</t>
  </si>
  <si>
    <t>GMGHLH006ER0000GVL</t>
  </si>
  <si>
    <t>FP1HJ50083D0000G2A</t>
  </si>
  <si>
    <t>G703097233</t>
  </si>
  <si>
    <t>H3THNC0695Q0000UHY</t>
  </si>
  <si>
    <t>G702345639</t>
  </si>
  <si>
    <t>J5JM7WY0VY</t>
  </si>
  <si>
    <t>M6MTPF4L1J</t>
  </si>
  <si>
    <t>G694957264</t>
  </si>
  <si>
    <t>GVH52120712PR5PAQ</t>
  </si>
  <si>
    <t>G9Q5176F8CJPR5QAU</t>
  </si>
  <si>
    <t>G712757753</t>
  </si>
  <si>
    <t>F8Y6101C03Y13XCBU</t>
  </si>
  <si>
    <t>F8Y141411W313XC8P</t>
  </si>
  <si>
    <t>G711860153</t>
  </si>
  <si>
    <t>FWDKXLJWYJ</t>
  </si>
  <si>
    <t>G07PM799GJ</t>
  </si>
  <si>
    <t>G706033737</t>
  </si>
  <si>
    <t>F0WHJQ004UM0000488</t>
  </si>
  <si>
    <t>DNMH9L0183U00002FN</t>
  </si>
  <si>
    <t>G699238273</t>
  </si>
  <si>
    <t>FG9HNL008X600006TT</t>
  </si>
  <si>
    <t>FG9H0J024AF00006TV</t>
  </si>
  <si>
    <t>G705108351</t>
  </si>
  <si>
    <t>ZP661-54822</t>
  </si>
  <si>
    <t>Space Black, Wi-Fi, 512GB, iPad Pro 13-inch (M5), CI/AR, CN</t>
  </si>
  <si>
    <t>L39Q57FX29</t>
  </si>
  <si>
    <t>CNF0HNWXYJ</t>
  </si>
  <si>
    <t>G683358978</t>
  </si>
  <si>
    <t>ZP661-39833</t>
  </si>
  <si>
    <t>Space Gray, iPad Air 13-inch (M2), 512GB, Wi-Fi, ITP</t>
  </si>
  <si>
    <t>GW7ML6X3JX</t>
  </si>
  <si>
    <t>FYJ9PWVQ0N</t>
  </si>
  <si>
    <t>G695140352</t>
  </si>
  <si>
    <t>D865182N1LTPJYRBW</t>
  </si>
  <si>
    <t>D861224AFVFPJYRAZ</t>
  </si>
  <si>
    <t>G693898286</t>
  </si>
  <si>
    <t>661-54592</t>
  </si>
  <si>
    <t>Logic Board, 12-core CPU, 38-core GPU, 96GB, 8TB, VN</t>
  </si>
  <si>
    <t>J4F539600291NX9A4</t>
  </si>
  <si>
    <t>C023054003V1NX9A1</t>
  </si>
  <si>
    <t>FMX615404XE278XAJ</t>
  </si>
  <si>
    <t>F0Y302601TDPP60A3</t>
  </si>
  <si>
    <t>G688652840</t>
  </si>
  <si>
    <t>J9KHP7000XG0000XXM</t>
  </si>
  <si>
    <t>DRCHHR005FL00013KJ</t>
  </si>
  <si>
    <t>DNMHPX048SM0000RYP</t>
  </si>
  <si>
    <t>DN8HJJ08APP0000RYQ</t>
  </si>
  <si>
    <t>G712923285</t>
  </si>
  <si>
    <t>F8Y6155C03JM6YND9</t>
  </si>
  <si>
    <t>FG912650E69M6YRBA</t>
  </si>
  <si>
    <t>G689720166</t>
  </si>
  <si>
    <t>FMXHQ300AFF00006J3</t>
  </si>
  <si>
    <t>F0YHDY002M200006J1</t>
  </si>
  <si>
    <t>G701805807</t>
  </si>
  <si>
    <t>F8Y5505CAZF18FKBA</t>
  </si>
  <si>
    <t>FG9422505XU18FMB7</t>
  </si>
  <si>
    <t>G702530153</t>
  </si>
  <si>
    <t>J4Q6LNQVMG</t>
  </si>
  <si>
    <t>MF43F70R73</t>
  </si>
  <si>
    <t>G685329204</t>
  </si>
  <si>
    <t>F0WH76001AL00005KR</t>
  </si>
  <si>
    <t>DNMH9U02U4P00002FN</t>
  </si>
  <si>
    <t>G697101136</t>
  </si>
  <si>
    <t>FMXHRZ001N200006J3</t>
  </si>
  <si>
    <t>FMXH9S0038L00006J3</t>
  </si>
  <si>
    <t>G704283967</t>
  </si>
  <si>
    <t>DN8HKA0AXRB0000JS5</t>
  </si>
  <si>
    <t>DN8HLG0FYMJ0000RYQ</t>
  </si>
  <si>
    <t>G702721777</t>
  </si>
  <si>
    <t>LKPX2JGDTQ</t>
  </si>
  <si>
    <t>G682222028</t>
  </si>
  <si>
    <t>DTDC2P46PX</t>
  </si>
  <si>
    <t>G696487986</t>
  </si>
  <si>
    <t>GMG615400HF1J87AR</t>
  </si>
  <si>
    <t>GMG405400GC1J88A3</t>
  </si>
  <si>
    <t>G712672745</t>
  </si>
  <si>
    <t>MTFJW066PW</t>
  </si>
  <si>
    <t>GYHWK3H07D</t>
  </si>
  <si>
    <t>G702552853</t>
  </si>
  <si>
    <t>Z661-16858</t>
  </si>
  <si>
    <t>AirPods Pro 1st gen, Wireless Charging Case only, CI/AR, INT</t>
  </si>
  <si>
    <t>H7KQ50KYLKKT</t>
  </si>
  <si>
    <t>GN1D7CPRLKKT</t>
  </si>
  <si>
    <t>G700179563</t>
  </si>
  <si>
    <t>F8Y5332C3KEQ687BN</t>
  </si>
  <si>
    <t>FG9244305UPQ689AQ</t>
  </si>
  <si>
    <t>G698416881</t>
  </si>
  <si>
    <t>H97QX1T8JKM9</t>
  </si>
  <si>
    <t>G695141064</t>
  </si>
  <si>
    <t>GMG539602C51J87A1</t>
  </si>
  <si>
    <t>F0Y5114005T1J88A9</t>
  </si>
  <si>
    <t>G691761000</t>
  </si>
  <si>
    <t>F8Y6105CEXBQ687BH</t>
  </si>
  <si>
    <t>FG910530DEVQ68C36</t>
  </si>
  <si>
    <t>G9N1044CJSDLQHKAV</t>
  </si>
  <si>
    <t>G709156101</t>
  </si>
  <si>
    <t>GHQ6116002M2FT9AK</t>
  </si>
  <si>
    <t>GHQ214301BN167VAE</t>
  </si>
  <si>
    <t>G707167411</t>
  </si>
  <si>
    <t>F8Y5457C0FC14LWC2</t>
  </si>
  <si>
    <t>F5D2481036T14LXAJ</t>
  </si>
  <si>
    <t>G702485993</t>
  </si>
  <si>
    <t>G0NHKL00BUM0000HKZ</t>
  </si>
  <si>
    <t>GMHH8U03UG40000BXF</t>
  </si>
  <si>
    <t>G684383552</t>
  </si>
  <si>
    <t>GMGGT40016P00000CP</t>
  </si>
  <si>
    <t>F0YGUQ000R300000CQ</t>
  </si>
  <si>
    <t>G708819381</t>
  </si>
  <si>
    <t>F8Y6121C71W217WB8</t>
  </si>
  <si>
    <t>F8Y24172PPP217W7F</t>
  </si>
  <si>
    <t>G700555781</t>
  </si>
  <si>
    <t>FG9HNR005FH00006TT</t>
  </si>
  <si>
    <t>F5DGZY02UTT00006TU</t>
  </si>
  <si>
    <t>G712660273</t>
  </si>
  <si>
    <t>ZP661-50242</t>
  </si>
  <si>
    <t>iPad (A16) Wi-Fi + Cellular, ROW, 256GB, Silver, CI/AR, CN</t>
  </si>
  <si>
    <t>CFV5K2F12M</t>
  </si>
  <si>
    <t>K661DHF0KX</t>
  </si>
  <si>
    <t>G709383019</t>
  </si>
  <si>
    <t>DNPHCP00H4W0000FER</t>
  </si>
  <si>
    <t>GMHHHD02Z8D00006SX</t>
  </si>
  <si>
    <t>G708849817</t>
  </si>
  <si>
    <t>FGQJT6VYNF</t>
  </si>
  <si>
    <t>G701776207</t>
  </si>
  <si>
    <t>F8Y5494C6A8217WBE</t>
  </si>
  <si>
    <t>F5D23742FH821PK7Z</t>
  </si>
  <si>
    <t>G683914934</t>
  </si>
  <si>
    <t>F8Y5506CDCD18FKB3</t>
  </si>
  <si>
    <t>FG9208307LL18FM4R</t>
  </si>
  <si>
    <t>G710418439</t>
  </si>
  <si>
    <t>ZP661-20447</t>
  </si>
  <si>
    <t>Space Gray, 1 TB, iPad Pro 12.9-inch, 5th gen, Cellular, ITP</t>
  </si>
  <si>
    <t>MP75M49C2Y</t>
  </si>
  <si>
    <t>G709155067</t>
  </si>
  <si>
    <t>FMX548203FHNTJHAV</t>
  </si>
  <si>
    <t>F0Y318700FSNTJFAP</t>
  </si>
  <si>
    <t>G684224066</t>
  </si>
  <si>
    <t>FMXHMF003J100006J3</t>
  </si>
  <si>
    <t>FP1HJ0000350000FQX</t>
  </si>
  <si>
    <t>G699578021</t>
  </si>
  <si>
    <t>F8Y5482N031J7PYDF</t>
  </si>
  <si>
    <t>F8Y025200YJJ7PYC6</t>
  </si>
  <si>
    <t>G693472336</t>
  </si>
  <si>
    <t>F8Y6054CR5V18FKBK</t>
  </si>
  <si>
    <t>F8Y40460KH818FLBJ</t>
  </si>
  <si>
    <t>G706806755</t>
  </si>
  <si>
    <t>J21QT8RH26JY</t>
  </si>
  <si>
    <t>G704007279</t>
  </si>
  <si>
    <t>FFYG4DPXTQ</t>
  </si>
  <si>
    <t>G702368217</t>
  </si>
  <si>
    <t>DN405YKDYC</t>
  </si>
  <si>
    <t>D5Q4DC4LCV</t>
  </si>
  <si>
    <t>G698574893</t>
  </si>
  <si>
    <t>FVP21KFH24</t>
  </si>
  <si>
    <t>L2C7YK292P</t>
  </si>
  <si>
    <t>G714528089</t>
  </si>
  <si>
    <t>661-37211</t>
  </si>
  <si>
    <t>Blue, Back Glass, iPhone 15 Plus</t>
  </si>
  <si>
    <t>HKYHL20069Q00009YK</t>
  </si>
  <si>
    <t>HKYGWZ0LPVA00000NW</t>
  </si>
  <si>
    <t>G710768979</t>
  </si>
  <si>
    <t>G9P5326Q0CQ1PHRAE</t>
  </si>
  <si>
    <t>G9Q3412JNAS1PHRAR</t>
  </si>
  <si>
    <t>G9P5331Q2RC1PHRAM</t>
  </si>
  <si>
    <t>G707481453</t>
  </si>
  <si>
    <t>GMGHMN0001P0000HX1</t>
  </si>
  <si>
    <t>F0YHHG000390000HX1</t>
  </si>
  <si>
    <t>G689718156</t>
  </si>
  <si>
    <t>DKVNC6X40Y</t>
  </si>
  <si>
    <t>G3467DVXRX</t>
  </si>
  <si>
    <t>G686212146</t>
  </si>
  <si>
    <t>HY7HNY00Q930000UHZ</t>
  </si>
  <si>
    <t>G684119464</t>
  </si>
  <si>
    <t>KXCN9YFVFL</t>
  </si>
  <si>
    <t>G1F332N7G9</t>
  </si>
  <si>
    <t>G698418095</t>
  </si>
  <si>
    <t>F8Y5435C3UQ18FKBF</t>
  </si>
  <si>
    <t>F8Y21021LAG18FLAH</t>
  </si>
  <si>
    <t>G702604469</t>
  </si>
  <si>
    <t>G9P5154L7PYPQCKAV</t>
  </si>
  <si>
    <t>G9N2081ZNR1PQCKA5</t>
  </si>
  <si>
    <t>G715295467</t>
  </si>
  <si>
    <t>DJGPFJL6DH</t>
  </si>
  <si>
    <t>CHGFQ7KQGK</t>
  </si>
  <si>
    <t>G699574741</t>
  </si>
  <si>
    <t>F0WHJX041MR0000JS7</t>
  </si>
  <si>
    <t>DNMHLT016QJ0000RYP</t>
  </si>
  <si>
    <t>G698831105</t>
  </si>
  <si>
    <t>GH3HMC008XR0000MUZ</t>
  </si>
  <si>
    <t>GVCHLY03FTX0000MUZ</t>
  </si>
  <si>
    <t>G714429929</t>
  </si>
  <si>
    <t>DN8HM80EV8400006S2</t>
  </si>
  <si>
    <t>DN8HAX0BJP700006S2</t>
  </si>
  <si>
    <t>G712813691</t>
  </si>
  <si>
    <t>C02H5Z000680000H9F</t>
  </si>
  <si>
    <t>C02H0M000PL0000H9F</t>
  </si>
  <si>
    <t>G690016456</t>
  </si>
  <si>
    <t>GX1HQK0APFH0000B31</t>
  </si>
  <si>
    <t>G685428204</t>
  </si>
  <si>
    <t>C06HKJ0PV2000009JP</t>
  </si>
  <si>
    <t>C06HF40859X00009JP</t>
  </si>
  <si>
    <t>C07HHV001JQ0000GYD</t>
  </si>
  <si>
    <t>C07HE8009690000GYA</t>
  </si>
  <si>
    <t>G712686835</t>
  </si>
  <si>
    <t>FV9HC700ASJ0000HG2</t>
  </si>
  <si>
    <t>FV9HFR009Z30000HG2</t>
  </si>
  <si>
    <t>G709771493</t>
  </si>
  <si>
    <t>G9PHKVT0Z0W00005DP</t>
  </si>
  <si>
    <t>GVCHEB01HKY00005DQ</t>
  </si>
  <si>
    <t>G691609794</t>
  </si>
  <si>
    <t>G9NHQ0J0NWD0000L4B</t>
  </si>
  <si>
    <t>G9PHMQY13FU0000L4B</t>
  </si>
  <si>
    <t>G704001381</t>
  </si>
  <si>
    <t>G9QHP7N2HLN0000L4B</t>
  </si>
  <si>
    <t>J5VHNJ014080000L4C</t>
  </si>
  <si>
    <t>G702703595</t>
  </si>
  <si>
    <t>D865324N0PNPJYRB7</t>
  </si>
  <si>
    <t>D862176ADUBPJYRAP</t>
  </si>
  <si>
    <t>G702915141</t>
  </si>
  <si>
    <t>K9JN7QN3WJ</t>
  </si>
  <si>
    <t>KW2FR2J9XR</t>
  </si>
  <si>
    <t>G684631096</t>
  </si>
  <si>
    <t>F8Y5464C3QY217WBU</t>
  </si>
  <si>
    <t>F5D243410BX21PK7P</t>
  </si>
  <si>
    <t>G704383981</t>
  </si>
  <si>
    <t>GMG544301VN1J87AK</t>
  </si>
  <si>
    <t>GMG418602GU1J87A8</t>
  </si>
  <si>
    <t>G703707693</t>
  </si>
  <si>
    <t>H5YY964VY6</t>
  </si>
  <si>
    <t>MY603KVHKW</t>
  </si>
  <si>
    <t>G698979489</t>
  </si>
  <si>
    <t>F8Y5447C2YJQ687B5</t>
  </si>
  <si>
    <t>G715777719</t>
  </si>
  <si>
    <t>F8Y6184C6WH18FKBZ</t>
  </si>
  <si>
    <t>F8Y149309RB18FKAY</t>
  </si>
  <si>
    <t>G713372845</t>
  </si>
  <si>
    <t>F8YHT0N08520000G43</t>
  </si>
  <si>
    <t>F5DHGK004C00000G45</t>
  </si>
  <si>
    <t>G707242245</t>
  </si>
  <si>
    <t>CY5CXQ1J76</t>
  </si>
  <si>
    <t>LW27KHHJ9V</t>
  </si>
  <si>
    <t>G704268883</t>
  </si>
  <si>
    <t>G9NHFAP012T00005DR</t>
  </si>
  <si>
    <t>G9NHE5S0Q8P00005DR</t>
  </si>
  <si>
    <t>G700490965</t>
  </si>
  <si>
    <t>GPNRHQKDHJ</t>
  </si>
  <si>
    <t>GQH771NY9K</t>
  </si>
  <si>
    <t>G700117879</t>
  </si>
  <si>
    <t>L6F65W4T1Q</t>
  </si>
  <si>
    <t>L560T7Y9F7</t>
  </si>
  <si>
    <t>G698263937</t>
  </si>
  <si>
    <t>D6WHWM3V3P</t>
  </si>
  <si>
    <t>FD9RDY9P02</t>
  </si>
  <si>
    <t>G714854189</t>
  </si>
  <si>
    <t>F8Y6146N0K313QFCB</t>
  </si>
  <si>
    <t>F8Y5045G1Y810X2CJ</t>
  </si>
  <si>
    <t>G708931099</t>
  </si>
  <si>
    <t>661-50128</t>
  </si>
  <si>
    <t>Lid Angle Sensor, MBA (15-in, M4, 2025)</t>
  </si>
  <si>
    <t>CKXHJ900LP70000D3M</t>
  </si>
  <si>
    <t>G705085973</t>
  </si>
  <si>
    <t>JMFDY6HQGL</t>
  </si>
  <si>
    <t>F722L22T16</t>
  </si>
  <si>
    <t>G704593219</t>
  </si>
  <si>
    <t>G9Q5181PL10PR5QAB</t>
  </si>
  <si>
    <t>GVH4484188NPR5PAR</t>
  </si>
  <si>
    <t>G701801101</t>
  </si>
  <si>
    <t>DN8HNA022A90000RYQ</t>
  </si>
  <si>
    <t>DN8HK205JEG0000RYQ</t>
  </si>
  <si>
    <t>G711995943</t>
  </si>
  <si>
    <t>G3WGJ2KV4V</t>
  </si>
  <si>
    <t>JC304XHT97</t>
  </si>
  <si>
    <t>G711061771</t>
  </si>
  <si>
    <t>K17714VJTH</t>
  </si>
  <si>
    <t>C2QTKQ434H</t>
  </si>
  <si>
    <t>G702531699</t>
  </si>
  <si>
    <t>661-35600</t>
  </si>
  <si>
    <t>Gold Stainless, Apple Watch Series 9, 41mm, Cellular, ROW, CI/AR</t>
  </si>
  <si>
    <t>DHGPKTX1QV</t>
  </si>
  <si>
    <t>DHPL43Q6NP</t>
  </si>
  <si>
    <t>G701533875</t>
  </si>
  <si>
    <t>F8Y5493CF4914LWCF</t>
  </si>
  <si>
    <t>XQVQ09HNHC</t>
  </si>
  <si>
    <t>G700875303</t>
  </si>
  <si>
    <t>H320JQLV9F</t>
  </si>
  <si>
    <t>LFYRYX27FM</t>
  </si>
  <si>
    <t>HP6D7GK2V9</t>
  </si>
  <si>
    <t>G683834002</t>
  </si>
  <si>
    <t>DNL52220UCV1986BE</t>
  </si>
  <si>
    <t>DNL40270EB01986BS</t>
  </si>
  <si>
    <t>G699562599</t>
  </si>
  <si>
    <t>GMGHLD0092D0000GVL</t>
  </si>
  <si>
    <t>FP1HH400ADR0000G29</t>
  </si>
  <si>
    <t>G698650017</t>
  </si>
  <si>
    <t>HM959TXYJV</t>
  </si>
  <si>
    <t>KFKQ721JDX</t>
  </si>
  <si>
    <t>G706738161</t>
  </si>
  <si>
    <t>GYFKP242C6</t>
  </si>
  <si>
    <t>CQD04VVNPJ</t>
  </si>
  <si>
    <t>G706132367</t>
  </si>
  <si>
    <t>F0YHM9001580000GVK</t>
  </si>
  <si>
    <t>FP1HF8002FY0000G2A</t>
  </si>
  <si>
    <t>G703518011</t>
  </si>
  <si>
    <t>G6QL6CJ4M1</t>
  </si>
  <si>
    <t>C7JJRHY6PM</t>
  </si>
  <si>
    <t>G711883461</t>
  </si>
  <si>
    <t>G9Q5175EE221502AR</t>
  </si>
  <si>
    <t>GVH52031NGF1501A5</t>
  </si>
  <si>
    <t>G708949281</t>
  </si>
  <si>
    <t>F8Y6066C2XL13XCB0</t>
  </si>
  <si>
    <t>F5D13741LG813X99J</t>
  </si>
  <si>
    <t>G702559223</t>
  </si>
  <si>
    <t>G9Q5174WEAT1502AX</t>
  </si>
  <si>
    <t>GVC440602K91503AS</t>
  </si>
  <si>
    <t>G701175259</t>
  </si>
  <si>
    <t>DQYJKGKJ26</t>
  </si>
  <si>
    <t>LDHWX9C34W</t>
  </si>
  <si>
    <t>G704480907</t>
  </si>
  <si>
    <t>F8Y6054CN8H18FKBR</t>
  </si>
  <si>
    <t>F8Y4113060J18FLBF</t>
  </si>
  <si>
    <t>G703328783</t>
  </si>
  <si>
    <t>G9PHL8T114J00005DP</t>
  </si>
  <si>
    <t>GVCHH000XW500005DQ</t>
  </si>
  <si>
    <t>G702219877</t>
  </si>
  <si>
    <t>JVQJH0GQCC</t>
  </si>
  <si>
    <t>J79K4NXWK9</t>
  </si>
  <si>
    <t>G698928635</t>
  </si>
  <si>
    <t>F8Y5447C57KQ687B8</t>
  </si>
  <si>
    <t>F8Y10730JQHQ6882K</t>
  </si>
  <si>
    <t>G711238477</t>
  </si>
  <si>
    <t>G9Q5493V8EY1502AF</t>
  </si>
  <si>
    <t>GVC42520JB71503AT</t>
  </si>
  <si>
    <t>G709417375</t>
  </si>
  <si>
    <t>JF7V2N371T</t>
  </si>
  <si>
    <t>LD9NTWD67V</t>
  </si>
  <si>
    <t>G708968331</t>
  </si>
  <si>
    <t>FPMWXFLV27</t>
  </si>
  <si>
    <t>GH9NF0XN92</t>
  </si>
  <si>
    <t>G703571521</t>
  </si>
  <si>
    <t>GVH51661978PR5PAB</t>
  </si>
  <si>
    <t>G9Q5155PABUPR5QA2</t>
  </si>
  <si>
    <t>G698460587</t>
  </si>
  <si>
    <t>L60F7563TF</t>
  </si>
  <si>
    <t>L3YNWKMT6Y</t>
  </si>
  <si>
    <t>G715066099</t>
  </si>
  <si>
    <t>G9Q6015U4S021KHA4</t>
  </si>
  <si>
    <t>GVH5434078C1PHLAJ</t>
  </si>
  <si>
    <t>G708819451</t>
  </si>
  <si>
    <t>F0Y5524001A2526AT</t>
  </si>
  <si>
    <t>DCN408302XB2525A4</t>
  </si>
  <si>
    <t>F8YHQMN011200000E5</t>
  </si>
  <si>
    <t>F8YH5700D8100000E4</t>
  </si>
  <si>
    <t>G704889179</t>
  </si>
  <si>
    <t>C4TGQ20H5M</t>
  </si>
  <si>
    <t>F7FJ7CWWQW</t>
  </si>
  <si>
    <t>G704499171</t>
  </si>
  <si>
    <t>QL7TQRWRN4</t>
  </si>
  <si>
    <t>WQ7LQCX7CM</t>
  </si>
  <si>
    <t>G703010935</t>
  </si>
  <si>
    <t>M7507QJ6X6</t>
  </si>
  <si>
    <t>XF69VX5WCX</t>
  </si>
  <si>
    <t>JTFWQ34K99</t>
  </si>
  <si>
    <t>G707645273</t>
  </si>
  <si>
    <t>HKPXGGFY3N</t>
  </si>
  <si>
    <t>DWL7F4P2YJ</t>
  </si>
  <si>
    <t>G702005199</t>
  </si>
  <si>
    <t>M4WW5FVXDV</t>
  </si>
  <si>
    <t>F17CFJ76DR</t>
  </si>
  <si>
    <t>G701073187</t>
  </si>
  <si>
    <t>GVH51660SFAPR5PA5</t>
  </si>
  <si>
    <t>GVH50221APNPR5PAZ</t>
  </si>
  <si>
    <t>G700441187</t>
  </si>
  <si>
    <t>G9P5296N74814YDAK</t>
  </si>
  <si>
    <t>G9N2433U00H14YDA6</t>
  </si>
  <si>
    <t>G698933375</t>
  </si>
  <si>
    <t>H97Q916RJKM9</t>
  </si>
  <si>
    <t>H97MN2UKJKM9</t>
  </si>
  <si>
    <t>G713357399</t>
  </si>
  <si>
    <t>F8Y5455C69B13XCB6</t>
  </si>
  <si>
    <t>F8Y140312LY13XC8T</t>
  </si>
  <si>
    <t>G711980097</t>
  </si>
  <si>
    <t>GC26WFY23J</t>
  </si>
  <si>
    <t>CT63HCQ612</t>
  </si>
  <si>
    <t>G711338195</t>
  </si>
  <si>
    <t>JTQ9LYQQR2</t>
  </si>
  <si>
    <t>F7TDJWFKQ7</t>
  </si>
  <si>
    <t>G711066337</t>
  </si>
  <si>
    <t>L3C6HY5562</t>
  </si>
  <si>
    <t>FC7X5GQVPK</t>
  </si>
  <si>
    <t>G709946229</t>
  </si>
  <si>
    <t>LT7GLXLQHJ</t>
  </si>
  <si>
    <t>FR77V2HFQ7</t>
  </si>
  <si>
    <t>G709425085</t>
  </si>
  <si>
    <t>C02HHU001B80000PFG</t>
  </si>
  <si>
    <t>C02HLG0005L0000PFF</t>
  </si>
  <si>
    <t>G709170521</t>
  </si>
  <si>
    <t>FTL51240BXF2DNGAG</t>
  </si>
  <si>
    <t>G708510049</t>
  </si>
  <si>
    <t>HC6KX722CN</t>
  </si>
  <si>
    <t>DXFJJ231C6</t>
  </si>
  <si>
    <t>G706143855</t>
  </si>
  <si>
    <t>DXYHB481BJM0000CZG</t>
  </si>
  <si>
    <t>DXYH9V848PW0000CZG</t>
  </si>
  <si>
    <t>G688641866</t>
  </si>
  <si>
    <t>C0YWCN7CQ6</t>
  </si>
  <si>
    <t>H0WJV0W9RJ</t>
  </si>
  <si>
    <t>G705613991</t>
  </si>
  <si>
    <t>F8Y6056CDWT18FKBQ</t>
  </si>
  <si>
    <t>F8Y1392128A18FKAN</t>
  </si>
  <si>
    <t>G703455591</t>
  </si>
  <si>
    <t>G9PHK2T0WHV00005DP</t>
  </si>
  <si>
    <t>GVCHFZ01ESY00005DQ</t>
  </si>
  <si>
    <t>G702328839</t>
  </si>
  <si>
    <t>MPY22JM7XR</t>
  </si>
  <si>
    <t>KJPX0XMX1X</t>
  </si>
  <si>
    <t>G709766627</t>
  </si>
  <si>
    <t>GVH51650592PR5PAK</t>
  </si>
  <si>
    <t>GVH507126TSPR5PA4</t>
  </si>
  <si>
    <t>G705213793</t>
  </si>
  <si>
    <t>G0NHBW018UQ0000HKZ</t>
  </si>
  <si>
    <t>FNJHDG90DCS0000BXF</t>
  </si>
  <si>
    <t>G686194810</t>
  </si>
  <si>
    <t>G9Q5151F5JDPR5QAV</t>
  </si>
  <si>
    <t>GVH50630Z2EPR5PA3</t>
  </si>
  <si>
    <t>G699442003</t>
  </si>
  <si>
    <t>G9Q5434XNJ01502AY</t>
  </si>
  <si>
    <t>GVC44910FCU1503AT</t>
  </si>
  <si>
    <t>G710063555</t>
  </si>
  <si>
    <t>GYXV91376W</t>
  </si>
  <si>
    <t>G709259505</t>
  </si>
  <si>
    <t>CQF7GTC21G</t>
  </si>
  <si>
    <t>KGY7CD2972</t>
  </si>
  <si>
    <t>G705459447</t>
  </si>
  <si>
    <t>J9KHNY000NJ0000FD9</t>
  </si>
  <si>
    <t>DTVHG3928R50000CZ0</t>
  </si>
  <si>
    <t>G703451373</t>
  </si>
  <si>
    <t>TA661-37196</t>
  </si>
  <si>
    <t>15 Pro Max, White, 256GB, Logic Board Assy Mid System, ROW</t>
  </si>
  <si>
    <t>J4Q592PXHG</t>
  </si>
  <si>
    <t>D9PGPM9025</t>
  </si>
  <si>
    <t>G701323787</t>
  </si>
  <si>
    <t>G9Q5181E5KT1502AT</t>
  </si>
  <si>
    <t>G9P4315C5MM1502AJ</t>
  </si>
  <si>
    <t>G712546709</t>
  </si>
  <si>
    <t>F74XT9R6FM</t>
  </si>
  <si>
    <t>MQ6KR65QP5</t>
  </si>
  <si>
    <t>G711552729</t>
  </si>
  <si>
    <t>K2GX00NQXH</t>
  </si>
  <si>
    <t>GRVGT9T0V4</t>
  </si>
  <si>
    <t>G706448105</t>
  </si>
  <si>
    <t>G9Q5124F6HYPR5QAJ</t>
  </si>
  <si>
    <t>G9Q5155C8D6PR5QAK</t>
  </si>
  <si>
    <t>G705600887</t>
  </si>
  <si>
    <t>LCDV04HW9K</t>
  </si>
  <si>
    <t>DL67XF601F</t>
  </si>
  <si>
    <t>G702920629</t>
  </si>
  <si>
    <t>J9Q5296002P0GKWAR</t>
  </si>
  <si>
    <t>GMH52620ZGPQ189A1</t>
  </si>
  <si>
    <t>G699264099</t>
  </si>
  <si>
    <t>LQ70N22T9P</t>
  </si>
  <si>
    <t>JJWR2WNVMM</t>
  </si>
  <si>
    <t>G698440035</t>
  </si>
  <si>
    <t>LHCV794DHK</t>
  </si>
  <si>
    <t>LWLJTY9YK3</t>
  </si>
  <si>
    <t>G711765287</t>
  </si>
  <si>
    <t>JQFG3436PW</t>
  </si>
  <si>
    <t>H9PKHW24M0</t>
  </si>
  <si>
    <t>G707290937</t>
  </si>
  <si>
    <t>DQDGG4YQPD</t>
  </si>
  <si>
    <t>MWP6DC9DKJ</t>
  </si>
  <si>
    <t>G689431666</t>
  </si>
  <si>
    <t>M4KP2JFCWM</t>
  </si>
  <si>
    <t>G2L9C39G4M</t>
  </si>
  <si>
    <t>G705112525</t>
  </si>
  <si>
    <t>M4RFYFPJVQ</t>
  </si>
  <si>
    <t>JL95N2MKC7</t>
  </si>
  <si>
    <t>G698814211</t>
  </si>
  <si>
    <t>M97463HM94</t>
  </si>
  <si>
    <t>JQH52F46J6</t>
  </si>
  <si>
    <t>G706515383</t>
  </si>
  <si>
    <t>PX7VV9Y4G3</t>
  </si>
  <si>
    <t>W471P2FGCJ</t>
  </si>
  <si>
    <t>G703201971</t>
  </si>
  <si>
    <t>DN8HJS00Z220000JS5</t>
  </si>
  <si>
    <t>DN8HKS0B1JK0000RYQ</t>
  </si>
  <si>
    <t>G686204314</t>
  </si>
  <si>
    <t>K600766GKC</t>
  </si>
  <si>
    <t>JD4C6HP21V</t>
  </si>
  <si>
    <t>G702551711</t>
  </si>
  <si>
    <t>GVHF76XCL2</t>
  </si>
  <si>
    <t>G49716HJX9</t>
  </si>
  <si>
    <t>G701081759</t>
  </si>
  <si>
    <t>CWCGQY4XWG</t>
  </si>
  <si>
    <t>G715198719</t>
  </si>
  <si>
    <t>G9Q5393V3PD1502AD</t>
  </si>
  <si>
    <t>GVH45170X271501A8</t>
  </si>
  <si>
    <t>G711240091</t>
  </si>
  <si>
    <t>G2G4W30CPW</t>
  </si>
  <si>
    <t>J95J20JXG1</t>
  </si>
  <si>
    <t>G706003337</t>
  </si>
  <si>
    <t>K7HQPPXH64</t>
  </si>
  <si>
    <t>JR7M3Y54D4</t>
  </si>
  <si>
    <t>G702979887</t>
  </si>
  <si>
    <t>HW7TYJ659X</t>
  </si>
  <si>
    <t>GYX4XLDV6R</t>
  </si>
  <si>
    <t>G709504459</t>
  </si>
  <si>
    <t>DW67KWQ4RT</t>
  </si>
  <si>
    <t>L0YFDV6C0Y</t>
  </si>
  <si>
    <t>G705679399</t>
  </si>
  <si>
    <t>C4H4452061W2D5MA6</t>
  </si>
  <si>
    <t>C4H448201S72D5MAJ</t>
  </si>
  <si>
    <t>G702640375</t>
  </si>
  <si>
    <t>G9Q5174E09C1502A9</t>
  </si>
  <si>
    <t>G9P4283DLMR1502AC</t>
  </si>
  <si>
    <t>G701385881</t>
  </si>
  <si>
    <t>661-46788</t>
  </si>
  <si>
    <t>Magic Keyboard, USB-C, Blue</t>
  </si>
  <si>
    <t>F0THCQ0BEYA0000CPT</t>
  </si>
  <si>
    <t>F0THGX0FJUA0000CPT</t>
  </si>
  <si>
    <t>G683492516</t>
  </si>
  <si>
    <t>H07PL456CD</t>
  </si>
  <si>
    <t>LP7H254QH6</t>
  </si>
  <si>
    <t>G699685375</t>
  </si>
  <si>
    <t>GVH516719EHPR5PAE</t>
  </si>
  <si>
    <t>GVH45153LSLPR5PA8</t>
  </si>
  <si>
    <t>G708052045</t>
  </si>
  <si>
    <t>F4FJQYJCDP</t>
  </si>
  <si>
    <t>J5CHP001MRA000124K</t>
  </si>
  <si>
    <t>G706938207</t>
  </si>
  <si>
    <t>D865507N0E0PJYRBP</t>
  </si>
  <si>
    <t>F5D50252PD7PJYVCG</t>
  </si>
  <si>
    <t>G706628479</t>
  </si>
  <si>
    <t>KY3PQMX9R2</t>
  </si>
  <si>
    <t>HR2J2N6RCP</t>
  </si>
  <si>
    <t>G706134595</t>
  </si>
  <si>
    <t>F8Y6056CC4N18FKB6</t>
  </si>
  <si>
    <t>FG940760BU818FMBG</t>
  </si>
  <si>
    <t>G704389665</t>
  </si>
  <si>
    <t>FK1HKG00CGQ00001A2</t>
  </si>
  <si>
    <t>DTTHLC01SHG000004D</t>
  </si>
  <si>
    <t>G703953163</t>
  </si>
  <si>
    <t>G9Q5181C76PPR5QAK</t>
  </si>
  <si>
    <t>GVH50120NB8PR5PA9</t>
  </si>
  <si>
    <t>G702268235</t>
  </si>
  <si>
    <t>LVXLKQ4KXT</t>
  </si>
  <si>
    <t>H92R21CXJJ</t>
  </si>
  <si>
    <t>G700593685</t>
  </si>
  <si>
    <t>G9Q5175CFNQPR5QAV</t>
  </si>
  <si>
    <t>GVH43960KN5PR5PAN</t>
  </si>
  <si>
    <t>G699241681</t>
  </si>
  <si>
    <t>GVH521312SFPR5PA5</t>
  </si>
  <si>
    <t>GVH503720TJPR5PAQ</t>
  </si>
  <si>
    <t>G711571621</t>
  </si>
  <si>
    <t>G9P4471MCELPQCLAN</t>
  </si>
  <si>
    <t>G9N2061UE4VPQCLA0</t>
  </si>
  <si>
    <t>G710323881</t>
  </si>
  <si>
    <t>GVH51651ZJUPR5PA3</t>
  </si>
  <si>
    <t>GVH51161D8UPR5PAZ</t>
  </si>
  <si>
    <t>G708297907</t>
  </si>
  <si>
    <t>HHG47X9VC4</t>
  </si>
  <si>
    <t>DDHQL2R377</t>
  </si>
  <si>
    <t>G686466392</t>
  </si>
  <si>
    <t>F8Y5455C6D613XCBZ</t>
  </si>
  <si>
    <t>F8Y22060TQK13XC82</t>
  </si>
  <si>
    <t>G701657513</t>
  </si>
  <si>
    <t>G9Q5476U20Q21KHA6</t>
  </si>
  <si>
    <t>GVH51050D851PHLAW</t>
  </si>
  <si>
    <t>G700378465</t>
  </si>
  <si>
    <t>FVVMXQ21VF</t>
  </si>
  <si>
    <t>G699748025</t>
  </si>
  <si>
    <t>M5J6L04YJF</t>
  </si>
  <si>
    <t>C3230H4427</t>
  </si>
  <si>
    <t>G711667585</t>
  </si>
  <si>
    <t>KQVFH2P6HC</t>
  </si>
  <si>
    <t>L6M6JNR207</t>
  </si>
  <si>
    <t>G709300947</t>
  </si>
  <si>
    <t>CV20LCVH70</t>
  </si>
  <si>
    <t>GH4V5RX9ML</t>
  </si>
  <si>
    <t>G706161767</t>
  </si>
  <si>
    <t>G9Q5152PHGPPR5QAN</t>
  </si>
  <si>
    <t>GVH50941HZ4PR5PAR</t>
  </si>
  <si>
    <t>G704991971</t>
  </si>
  <si>
    <t>H46V6LMQ4K</t>
  </si>
  <si>
    <t>G702270759</t>
  </si>
  <si>
    <t>DD9GX3LYH3</t>
  </si>
  <si>
    <t>FHJCY5CYVT</t>
  </si>
  <si>
    <t>G700344899</t>
  </si>
  <si>
    <t>MVGF21K64X</t>
  </si>
  <si>
    <t>G711063073</t>
  </si>
  <si>
    <t>DPHHDY0H61</t>
  </si>
  <si>
    <t>FGYN2XCLGP</t>
  </si>
  <si>
    <t>G707510555</t>
  </si>
  <si>
    <t>G9PHMGT1UZL00005DP</t>
  </si>
  <si>
    <t>G9NHBJG32RF00005DP</t>
  </si>
  <si>
    <t>G700732215</t>
  </si>
  <si>
    <t>GMG545301B71J88AG</t>
  </si>
  <si>
    <t>GMG439201LP1J88A0</t>
  </si>
  <si>
    <t>G712446439</t>
  </si>
  <si>
    <t>F8Y6156C13218FKB5</t>
  </si>
  <si>
    <t>F8Y32640UCE18FLAJ</t>
  </si>
  <si>
    <t>G708593537</t>
  </si>
  <si>
    <t>M7GWH4DH6R</t>
  </si>
  <si>
    <t>M6MW75WCXD</t>
  </si>
  <si>
    <t>G706445063</t>
  </si>
  <si>
    <t>G9Q5136C5CHPR5QAK</t>
  </si>
  <si>
    <t>GVH52070S1ZPR5PA6</t>
  </si>
  <si>
    <t>G685107554</t>
  </si>
  <si>
    <t>HXK436403F71N08F7</t>
  </si>
  <si>
    <t>HXK4482038Q1N08F6</t>
  </si>
  <si>
    <t>G683509912</t>
  </si>
  <si>
    <t>F8Y5507CAVT18FKB8</t>
  </si>
  <si>
    <t>FG9252303Q618FMAS</t>
  </si>
  <si>
    <t>G713846045</t>
  </si>
  <si>
    <t>DNM51424J0E1QDC1H</t>
  </si>
  <si>
    <t>DNM53712NVJ1QDC3E</t>
  </si>
  <si>
    <t>G710690261</t>
  </si>
  <si>
    <t>C02HJC00C8K0000P0R</t>
  </si>
  <si>
    <t>JKDHPQ0044G0000P0R</t>
  </si>
  <si>
    <t>G690812236</t>
  </si>
  <si>
    <t>D9704L17MJ</t>
  </si>
  <si>
    <t>FY4PRHWTXL</t>
  </si>
  <si>
    <t>G708593393</t>
  </si>
  <si>
    <t>C70H4C42FQ</t>
  </si>
  <si>
    <t>M9R35N457Q</t>
  </si>
  <si>
    <t>G699745851</t>
  </si>
  <si>
    <t>LLQVRWPYXH</t>
  </si>
  <si>
    <t>GLHW9H0JQM</t>
  </si>
  <si>
    <t>G693556528</t>
  </si>
  <si>
    <t>GVH519408B4PR5PA0</t>
  </si>
  <si>
    <t>GVH51140XAPPR5PAK</t>
  </si>
  <si>
    <t>G711093563</t>
  </si>
  <si>
    <t>F8Y6126C8JT18FKB5</t>
  </si>
  <si>
    <t>F8Y21761PR618FLAN</t>
  </si>
  <si>
    <t>G710549421</t>
  </si>
  <si>
    <t>C1FPW51QCC</t>
  </si>
  <si>
    <t>MN71YW2MWC</t>
  </si>
  <si>
    <t>G708608449</t>
  </si>
  <si>
    <t>JRM7C5H4V5</t>
  </si>
  <si>
    <t>MPMK437X47</t>
  </si>
  <si>
    <t>G705583453</t>
  </si>
  <si>
    <t>DLH7J6RDM6</t>
  </si>
  <si>
    <t>HK3KVMYXHN</t>
  </si>
  <si>
    <t>G701809495</t>
  </si>
  <si>
    <t>C02HCM003BB0000F6W</t>
  </si>
  <si>
    <t>C02H5T0052B0000F6W</t>
  </si>
  <si>
    <t>G712226275</t>
  </si>
  <si>
    <t>J6V04GHYQ4</t>
  </si>
  <si>
    <t>DKVKCDWVF3</t>
  </si>
  <si>
    <t>G704735983</t>
  </si>
  <si>
    <t>K41QHQ24NR</t>
  </si>
  <si>
    <t>CLFQPWQYXH</t>
  </si>
  <si>
    <t>G704254113</t>
  </si>
  <si>
    <t>G70210G29X</t>
  </si>
  <si>
    <t>H3X412M904</t>
  </si>
  <si>
    <t>G0NHKY00DYU0000YJ2</t>
  </si>
  <si>
    <t>FJ6HM6FNR6600014MJ</t>
  </si>
  <si>
    <t>G702990279</t>
  </si>
  <si>
    <t>G9Q5182WBSA1502A2</t>
  </si>
  <si>
    <t>GVC4473059M1503AP</t>
  </si>
  <si>
    <t>G702549217</t>
  </si>
  <si>
    <t>F6RXM67PV4</t>
  </si>
  <si>
    <t>F2V54CW2PC</t>
  </si>
  <si>
    <t>G700706589</t>
  </si>
  <si>
    <t>VM2QHGY7PP</t>
  </si>
  <si>
    <t>K4PK6KY0MJ</t>
  </si>
  <si>
    <t>G713089353</t>
  </si>
  <si>
    <t>F8Y6125C0FYQ4C2BD</t>
  </si>
  <si>
    <t>F8Y12970B5LQ4C2A6</t>
  </si>
  <si>
    <t>G709089173</t>
  </si>
  <si>
    <t>FPWHQ5G0S3B0000J14</t>
  </si>
  <si>
    <t>G702150915</t>
  </si>
  <si>
    <t>FV9HG5003R80000HG2</t>
  </si>
  <si>
    <t>G700177295</t>
  </si>
  <si>
    <t>PYVVV3R79D</t>
  </si>
  <si>
    <t>J3JRF2VVMF</t>
  </si>
  <si>
    <t>JG2RN2R730</t>
  </si>
  <si>
    <t>G699571705</t>
  </si>
  <si>
    <t>KW7P6F7GH6</t>
  </si>
  <si>
    <t>Y2W0VCYWGD</t>
  </si>
  <si>
    <t>G706678789</t>
  </si>
  <si>
    <t>F8Y6057CHL018FKB8</t>
  </si>
  <si>
    <t>F8Y203309AC18FLAS</t>
  </si>
  <si>
    <t>G704502635</t>
  </si>
  <si>
    <t>G9Q5177PA7PPR5QAB</t>
  </si>
  <si>
    <t>GVH3214EBVHPR5PAK</t>
  </si>
  <si>
    <t>G703864819</t>
  </si>
  <si>
    <t>JG9FDWM29V</t>
  </si>
  <si>
    <t>LHYXFHP772</t>
  </si>
  <si>
    <t>G703143683</t>
  </si>
  <si>
    <t>CXWGTGVPV7</t>
  </si>
  <si>
    <t>J96GYKT0JL</t>
  </si>
  <si>
    <t>G699990577</t>
  </si>
  <si>
    <t>DTVHL161L720000UV9</t>
  </si>
  <si>
    <t>DXYHL761A9C0000UV7</t>
  </si>
  <si>
    <t>G710326087</t>
  </si>
  <si>
    <t>F8Y5472C6W1Q687BL</t>
  </si>
  <si>
    <t>FG903621M2MQ68936</t>
  </si>
  <si>
    <t>G709593999</t>
  </si>
  <si>
    <t>GVH51710Z32PR5PAA</t>
  </si>
  <si>
    <t>GVH509417VQPR5PAT</t>
  </si>
  <si>
    <t>G705715775</t>
  </si>
  <si>
    <t>GVH51570HV1PR5PAH</t>
  </si>
  <si>
    <t>G9Q5146P1CBPR5QAT</t>
  </si>
  <si>
    <t>G703314221</t>
  </si>
  <si>
    <t>F8Y6011C1JV20J9BR</t>
  </si>
  <si>
    <t>F5D319614PB20J8A1</t>
  </si>
  <si>
    <t>G715231631</t>
  </si>
  <si>
    <t>F8Y6176CAD518FKBR</t>
  </si>
  <si>
    <t>FG9422201CD18FMBJ</t>
  </si>
  <si>
    <t>G707621007</t>
  </si>
  <si>
    <t>G9Q5123F5GDPR5QA8</t>
  </si>
  <si>
    <t>GVH45130KXZPR5PAS</t>
  </si>
  <si>
    <t>G707172637</t>
  </si>
  <si>
    <t>G9Q5176PJCLPR5QAS</t>
  </si>
  <si>
    <t>GVH5242101LPR5PA1</t>
  </si>
  <si>
    <t>G702351163</t>
  </si>
  <si>
    <t>GXW7JC5902</t>
  </si>
  <si>
    <t>LWTPXMY745</t>
  </si>
  <si>
    <t>G701749159</t>
  </si>
  <si>
    <t>HNXQ90GNQ1HJ</t>
  </si>
  <si>
    <t>HNXQ5AACQ1HJ</t>
  </si>
  <si>
    <t>G711844979</t>
  </si>
  <si>
    <t>HT9VHF26V4</t>
  </si>
  <si>
    <t>D9HXLXT467</t>
  </si>
  <si>
    <t>G708301693</t>
  </si>
  <si>
    <t>GMGHLJ0042X0000GVL</t>
  </si>
  <si>
    <t>GMGHF9000TY0000GVK</t>
  </si>
  <si>
    <t>G708173597</t>
  </si>
  <si>
    <t>FG9HQ200J1M0000R3T</t>
  </si>
  <si>
    <t>FG9HNL00KK40000R3U</t>
  </si>
  <si>
    <t>G708150833</t>
  </si>
  <si>
    <t>HXDX76FW27</t>
  </si>
  <si>
    <t>MR9XY1994Y</t>
  </si>
  <si>
    <t>G706293541</t>
  </si>
  <si>
    <t>ZP661-53460</t>
  </si>
  <si>
    <t>Apple Watch SE 3, GPS, ROW, 40mm, Aluminum, Midnight, CI/AR, TH</t>
  </si>
  <si>
    <t>HXQ74HV251</t>
  </si>
  <si>
    <t>H17VGP6Q40</t>
  </si>
  <si>
    <t>G705570851</t>
  </si>
  <si>
    <t>G9Q5385VL0T1502AJ</t>
  </si>
  <si>
    <t>GVH50672MG11501AX</t>
  </si>
  <si>
    <t>G705301285</t>
  </si>
  <si>
    <t>DX4PDW9190</t>
  </si>
  <si>
    <t>KVN7NTD9WC</t>
  </si>
  <si>
    <t>G704890293</t>
  </si>
  <si>
    <t>J4CXV3TFMY</t>
  </si>
  <si>
    <t>RJ45470WDT</t>
  </si>
  <si>
    <t>G700989459</t>
  </si>
  <si>
    <t>FV9H56006180000FN6</t>
  </si>
  <si>
    <t>FV9HDB017MR0000FN6</t>
  </si>
  <si>
    <t>C02HGT0007Y0000FQP</t>
  </si>
  <si>
    <t>GMGHNS0007100000CQ</t>
  </si>
  <si>
    <t>GMGHD9000E300000CQ</t>
  </si>
  <si>
    <t>G699734187</t>
  </si>
  <si>
    <t>FNL96NFQJ5</t>
  </si>
  <si>
    <t>DX3L2P9YLH</t>
  </si>
  <si>
    <t>G698959411</t>
  </si>
  <si>
    <t>GMGHLH004970000GVL</t>
  </si>
  <si>
    <t>FP1HHJ009HW0000G29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</si>
</sst>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  <scheme val="minor"/>
    </font>
    <font>
      <b/>
      <sz val="12.0"/>
      <color theme="1"/>
      <name val="Helvetica Neue"/>
    </font>
    <font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b/>
      <sz val="14.0"/>
      <color theme="1"/>
      <name val="Calibri"/>
    </font>
    <font>
      <b/>
      <sz val="12.0"/>
      <color rgb="FFFFFFFF"/>
      <name val="Calibri"/>
    </font>
    <font>
      <b/>
      <sz val="12.0"/>
      <color theme="1"/>
      <name val="Calibri"/>
    </font>
    <font>
      <b/>
      <color rgb="FFFFFFFF"/>
      <name val="Arial"/>
      <scheme val="minor"/>
    </font>
    <font>
      <sz val="11.0"/>
      <color rgb="FF000000"/>
      <name val="Calibri"/>
    </font>
    <font>
      <sz val="11.0"/>
      <color rgb="FFFFFFFF"/>
      <name val="Calibri"/>
    </font>
    <font/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</fills>
  <borders count="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FFFFFF"/>
      </bottom>
    </border>
    <border>
      <bottom style="thin">
        <color rgb="FF000000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2" fontId="5" numFmtId="0" xfId="0" applyAlignment="1" applyFill="1" applyFont="1">
      <alignment horizontal="center" vertical="bottom"/>
    </xf>
    <xf borderId="1" fillId="2" fontId="5" numFmtId="0" xfId="0" applyAlignment="1" applyBorder="1" applyFont="1">
      <alignment horizontal="center" vertical="bottom"/>
    </xf>
    <xf borderId="0" fillId="0" fontId="3" numFmtId="1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/>
    </xf>
    <xf borderId="0" fillId="3" fontId="1" numFmtId="0" xfId="0" applyAlignment="1" applyFill="1" applyFont="1">
      <alignment horizontal="center" vertical="top"/>
    </xf>
    <xf borderId="0" fillId="4" fontId="6" numFmtId="0" xfId="0" applyAlignment="1" applyFill="1" applyFont="1">
      <alignment horizontal="center" vertical="bottom"/>
    </xf>
    <xf borderId="0" fillId="4" fontId="6" numFmtId="0" xfId="0" applyAlignment="1" applyFont="1">
      <alignment horizontal="center" readingOrder="0" vertical="bottom"/>
    </xf>
    <xf borderId="0" fillId="2" fontId="7" numFmtId="0" xfId="0" applyAlignment="1" applyFont="1">
      <alignment horizontal="center" vertical="bottom"/>
    </xf>
    <xf borderId="0" fillId="3" fontId="8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2" fontId="9" numFmtId="0" xfId="0" applyAlignment="1" applyFont="1">
      <alignment horizontal="center" readingOrder="0"/>
    </xf>
    <xf borderId="0" fillId="2" fontId="10" numFmtId="0" xfId="0" applyAlignment="1" applyFont="1">
      <alignment horizontal="center" readingOrder="0" vertical="bottom"/>
    </xf>
    <xf borderId="2" fillId="2" fontId="11" numFmtId="0" xfId="0" applyAlignment="1" applyBorder="1" applyFont="1">
      <alignment horizontal="center" readingOrder="0" vertical="bottom"/>
    </xf>
    <xf borderId="2" fillId="2" fontId="11" numFmtId="0" xfId="0" applyAlignment="1" applyBorder="1" applyFont="1">
      <alignment horizontal="center" vertical="bottom"/>
    </xf>
    <xf borderId="0" fillId="0" fontId="2" numFmtId="0" xfId="0" applyFont="1"/>
    <xf borderId="2" fillId="2" fontId="5" numFmtId="0" xfId="0" applyAlignment="1" applyBorder="1" applyFont="1">
      <alignment horizontal="center" vertical="bottom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bottom"/>
    </xf>
    <xf borderId="0" fillId="5" fontId="3" numFmtId="0" xfId="0" applyAlignment="1" applyFill="1" applyFont="1">
      <alignment horizontal="center" vertical="top"/>
    </xf>
    <xf borderId="3" fillId="3" fontId="6" numFmtId="0" xfId="0" applyAlignment="1" applyBorder="1" applyFont="1">
      <alignment horizontal="center" vertical="bottom"/>
    </xf>
    <xf borderId="3" fillId="0" fontId="12" numFmtId="0" xfId="0" applyBorder="1" applyFont="1"/>
    <xf borderId="0" fillId="3" fontId="6" numFmtId="0" xfId="0" applyAlignment="1" applyFont="1">
      <alignment horizontal="center" vertical="bottom"/>
    </xf>
    <xf borderId="4" fillId="3" fontId="6" numFmtId="0" xfId="0" applyAlignment="1" applyBorder="1" applyFont="1">
      <alignment horizontal="center" vertical="bottom"/>
    </xf>
    <xf borderId="4" fillId="0" fontId="12" numFmtId="0" xfId="0" applyBorder="1" applyFont="1"/>
    <xf borderId="0" fillId="5" fontId="3" numFmtId="0" xfId="0" applyAlignment="1" applyFont="1">
      <alignment horizontal="center" vertical="bottom"/>
    </xf>
    <xf borderId="5" fillId="2" fontId="5" numFmtId="0" xfId="0" applyAlignment="1" applyBorder="1" applyFont="1">
      <alignment horizontal="center" vertical="bottom"/>
    </xf>
    <xf borderId="6" fillId="2" fontId="5" numFmtId="0" xfId="0" applyAlignment="1" applyBorder="1" applyFont="1">
      <alignment horizontal="center" vertical="bottom"/>
    </xf>
    <xf borderId="6" fillId="2" fontId="5" numFmtId="0" xfId="0" applyAlignment="1" applyBorder="1" applyFont="1">
      <alignment horizontal="center" readingOrder="0" vertical="bottom"/>
    </xf>
    <xf borderId="0" fillId="2" fontId="5" numFmtId="0" xfId="0" applyAlignment="1" applyFont="1">
      <alignment horizontal="center" readingOrder="0" vertical="bottom"/>
    </xf>
    <xf borderId="0" fillId="2" fontId="11" numFmtId="0" xfId="0" applyAlignment="1" applyFont="1">
      <alignment horizontal="center" readingOrder="0" vertical="bottom"/>
    </xf>
    <xf borderId="0" fillId="5" fontId="2" numFmtId="0" xfId="0" applyAlignment="1" applyFont="1">
      <alignment horizontal="center"/>
    </xf>
    <xf borderId="0" fillId="4" fontId="5" numFmtId="0" xfId="0" applyAlignment="1" applyFont="1">
      <alignment horizontal="center" vertical="bottom"/>
    </xf>
    <xf borderId="0" fillId="4" fontId="3" numFmtId="0" xfId="0" applyAlignment="1" applyFont="1">
      <alignment horizontal="center" vertical="bottom"/>
    </xf>
    <xf borderId="0" fillId="4" fontId="3" numFmtId="1" xfId="0" applyAlignment="1" applyFont="1" applyNumberFormat="1">
      <alignment horizontal="center" vertical="bottom"/>
    </xf>
    <xf borderId="0" fillId="4" fontId="4" numFmtId="1" xfId="0" applyAlignment="1" applyFont="1" applyNumberFormat="1">
      <alignment horizontal="center" vertical="bottom"/>
    </xf>
    <xf borderId="0" fillId="4" fontId="4" numFmtId="0" xfId="0" applyAlignment="1" applyFont="1">
      <alignment horizontal="right" vertical="bottom"/>
    </xf>
    <xf borderId="0" fillId="4" fontId="4" numFmtId="0" xfId="0" applyAlignment="1" applyFont="1">
      <alignment horizontal="center" vertical="bottom"/>
    </xf>
    <xf borderId="0" fillId="4" fontId="3" numFmtId="0" xfId="0" applyAlignment="1" applyFont="1">
      <alignment vertical="bottom"/>
    </xf>
    <xf borderId="0" fillId="0" fontId="13" numFmtId="0" xfId="0" applyAlignment="1" applyFont="1">
      <alignment horizontal="center" readingOrder="0"/>
    </xf>
    <xf borderId="0" fillId="0" fontId="13" numFmtId="1" xfId="0" applyAlignment="1" applyFont="1" applyNumberFormat="1">
      <alignment horizontal="center"/>
    </xf>
    <xf borderId="0" fillId="0" fontId="13" numFmtId="0" xfId="0" applyAlignment="1" applyFont="1">
      <alignment horizontal="center"/>
    </xf>
    <xf borderId="0" fillId="0" fontId="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Quantity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'Systems&amp;BackGlass'!$AA$1:$AA$2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'Systems&amp;BackGlass'!$Z$3:$Z$12</c:f>
            </c:strRef>
          </c:cat>
          <c:val>
            <c:numRef>
              <c:f>'Systems&amp;BackGlass'!$AA$3:$AA$12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'Systems&amp;BackGlass'!$Y$26:$Y$36</c:f>
            </c:strRef>
          </c:cat>
          <c:val>
            <c:numRef>
              <c:f>'Systems&amp;BackGlass'!$Z$26:$Z$36</c:f>
              <c:numCache/>
            </c:numRef>
          </c:val>
        </c:ser>
        <c:ser>
          <c:idx val="1"/>
          <c:order val="1"/>
          <c:cat>
            <c:strRef>
              <c:f>'Systems&amp;BackGlass'!$Y$26:$Y$36</c:f>
            </c:strRef>
          </c:cat>
          <c:val>
            <c:numRef>
              <c:f>'Systems&amp;BackGlass'!$AA$26:$AA$36</c:f>
              <c:numCache/>
            </c:numRef>
          </c:val>
        </c:ser>
        <c:axId val="1360567530"/>
        <c:axId val="1967968778"/>
      </c:barChart>
      <c:catAx>
        <c:axId val="13605675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7968778"/>
      </c:catAx>
      <c:valAx>
        <c:axId val="196796877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3605675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'Systems&amp;BackGlass'!$Z$60:$Z$64</c:f>
            </c:strRef>
          </c:cat>
          <c:val>
            <c:numRef>
              <c:f>'Systems&amp;BackGlass'!$AA$60:$AA$64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'Systems&amp;BackGlass'!$Z$79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'Systems&amp;BackGlass'!$Y$80:$Y$84</c:f>
            </c:strRef>
          </c:cat>
          <c:val>
            <c:numRef>
              <c:f>'Systems&amp;BackGlass'!$Z$80:$Z$84</c:f>
              <c:numCache/>
            </c:numRef>
          </c:val>
        </c:ser>
        <c:ser>
          <c:idx val="1"/>
          <c:order val="1"/>
          <c:tx>
            <c:strRef>
              <c:f>'Systems&amp;BackGlass'!$AA$79</c:f>
            </c:strRef>
          </c:tx>
          <c:cat>
            <c:strRef>
              <c:f>'Systems&amp;BackGlass'!$Y$80:$Y$84</c:f>
            </c:strRef>
          </c:cat>
          <c:val>
            <c:numRef>
              <c:f>'Systems&amp;BackGlass'!$AA$80:$AA$84</c:f>
              <c:numCache/>
            </c:numRef>
          </c:val>
        </c:ser>
        <c:axId val="2106447854"/>
        <c:axId val="1418374204"/>
      </c:barChart>
      <c:catAx>
        <c:axId val="21064478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8374204"/>
      </c:catAx>
      <c:valAx>
        <c:axId val="14183742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64478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Quantity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'Systems&amp;BackGlass'!$Q$1:$Q$2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'Systems&amp;BackGlass'!$P$3:$P$12</c:f>
            </c:strRef>
          </c:cat>
          <c:val>
            <c:numRef>
              <c:f>'Systems&amp;BackGlass'!$Q$3:$Q$12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'Systems&amp;BackGlass'!$P$26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'Systems&amp;BackGlass'!$O$27:$O$36</c:f>
            </c:strRef>
          </c:cat>
          <c:val>
            <c:numRef>
              <c:f>'Systems&amp;BackGlass'!$P$27:$P$36</c:f>
              <c:numCache/>
            </c:numRef>
          </c:val>
        </c:ser>
        <c:ser>
          <c:idx val="1"/>
          <c:order val="1"/>
          <c:tx>
            <c:strRef>
              <c:f>'Systems&amp;BackGlass'!$Q$26</c:f>
            </c:strRef>
          </c:tx>
          <c:cat>
            <c:strRef>
              <c:f>'Systems&amp;BackGlass'!$O$27:$O$36</c:f>
            </c:strRef>
          </c:cat>
          <c:val>
            <c:numRef>
              <c:f>'Systems&amp;BackGlass'!$Q$27:$Q$36</c:f>
              <c:numCache/>
            </c:numRef>
          </c:val>
        </c:ser>
        <c:axId val="1471839274"/>
        <c:axId val="273335066"/>
      </c:barChart>
      <c:catAx>
        <c:axId val="14718392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3335066"/>
      </c:catAx>
      <c:valAx>
        <c:axId val="2733350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18392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'Systems&amp;BackGlass'!$Q$81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'Systems&amp;BackGlass'!$P$82:$P$86</c:f>
            </c:strRef>
          </c:cat>
          <c:val>
            <c:numRef>
              <c:f>'Systems&amp;BackGlass'!$Q$82:$Q$86</c:f>
              <c:numCache/>
            </c:numRef>
          </c:val>
        </c:ser>
        <c:axId val="700597822"/>
        <c:axId val="30981648"/>
      </c:barChart>
      <c:catAx>
        <c:axId val="7005978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981648"/>
      </c:catAx>
      <c:valAx>
        <c:axId val="309816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05978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Quantity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'Systems&amp;BackGlass'!$Q$108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'Systems&amp;BackGlass'!$P$109:$P$113</c:f>
            </c:strRef>
          </c:cat>
          <c:val>
            <c:numRef>
              <c:f>'Systems&amp;BackGlass'!$Q$109:$Q$113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Quantity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'Systems&amp;BackGlass'!$V$1:$V$2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'Systems&amp;BackGlass'!$U$3:$U$12</c:f>
            </c:strRef>
          </c:cat>
          <c:val>
            <c:numRef>
              <c:f>'Systems&amp;BackGlass'!$V$3:$V$12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'Systems&amp;BackGlass'!$U$55:$U$57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'Systems&amp;BackGlass'!$T$58:$T$63</c:f>
            </c:strRef>
          </c:cat>
          <c:val>
            <c:numRef>
              <c:f>'Systems&amp;BackGlass'!$U$58:$U$63</c:f>
              <c:numCache/>
            </c:numRef>
          </c:val>
        </c:ser>
        <c:ser>
          <c:idx val="1"/>
          <c:order val="1"/>
          <c:tx>
            <c:strRef>
              <c:f>'Systems&amp;BackGlass'!$V$55:$V$57</c:f>
            </c:strRef>
          </c:tx>
          <c:cat>
            <c:strRef>
              <c:f>'Systems&amp;BackGlass'!$T$58:$T$63</c:f>
            </c:strRef>
          </c:cat>
          <c:val>
            <c:numRef>
              <c:f>'Systems&amp;BackGlass'!$V$58:$V$63</c:f>
              <c:numCache/>
            </c:numRef>
          </c:val>
        </c:ser>
        <c:axId val="1277581219"/>
        <c:axId val="1669035899"/>
      </c:barChart>
      <c:catAx>
        <c:axId val="12775812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9035899"/>
      </c:catAx>
      <c:valAx>
        <c:axId val="16690358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75812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'Systems&amp;BackGlass'!$U$30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'Systems&amp;BackGlass'!$T$31:$T$35</c:f>
            </c:strRef>
          </c:cat>
          <c:val>
            <c:numRef>
              <c:f>'Systems&amp;BackGlass'!$U$31:$U$35</c:f>
              <c:numCache/>
            </c:numRef>
          </c:val>
        </c:ser>
        <c:ser>
          <c:idx val="1"/>
          <c:order val="1"/>
          <c:tx>
            <c:strRef>
              <c:f>'Systems&amp;BackGlass'!$V$30</c:f>
            </c:strRef>
          </c:tx>
          <c:cat>
            <c:strRef>
              <c:f>'Systems&amp;BackGlass'!$T$31:$T$35</c:f>
            </c:strRef>
          </c:cat>
          <c:val>
            <c:numRef>
              <c:f>'Systems&amp;BackGlass'!$V$31:$V$35</c:f>
              <c:numCache/>
            </c:numRef>
          </c:val>
        </c:ser>
        <c:axId val="1474984998"/>
        <c:axId val="1763024279"/>
      </c:barChart>
      <c:catAx>
        <c:axId val="14749849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3024279"/>
      </c:catAx>
      <c:valAx>
        <c:axId val="17630242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49849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Quantity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'Systems&amp;BackGlass'!$V$80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'Systems&amp;BackGlass'!$U$81:$U$90</c:f>
            </c:strRef>
          </c:cat>
          <c:val>
            <c:numRef>
              <c:f>'Systems&amp;BackGlass'!$V$81:$V$90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Mid System Monthly Trend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Systems_Trends!$K$1:$K$2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Systems_Trends!$J$3:$J$8</c:f>
            </c:strRef>
          </c:cat>
          <c:val>
            <c:numRef>
              <c:f>Systems_Trends!$K$3:$K$8</c:f>
              <c:numCache/>
            </c:numRef>
          </c:val>
        </c:ser>
        <c:axId val="1443372710"/>
        <c:axId val="286903334"/>
      </c:barChart>
      <c:catAx>
        <c:axId val="14433727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6903334"/>
      </c:catAx>
      <c:valAx>
        <c:axId val="2869033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33727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Rear System Monthly Trend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Systems_Trends!$N$1:$N$2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Systems_Trends!$M$3:$M$8</c:f>
            </c:strRef>
          </c:cat>
          <c:val>
            <c:numRef>
              <c:f>Systems_Trends!$N$3:$N$8</c:f>
              <c:numCache/>
            </c:numRef>
          </c:val>
        </c:ser>
        <c:axId val="1743336274"/>
        <c:axId val="1782058827"/>
      </c:barChart>
      <c:catAx>
        <c:axId val="17433362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2058827"/>
      </c:catAx>
      <c:valAx>
        <c:axId val="17820588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33362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Quantity vs.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BackGlass_Trends!$H$1:$H$2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BackGlass_Trends!$G$3:$G$8</c:f>
            </c:strRef>
          </c:cat>
          <c:val>
            <c:numRef>
              <c:f>BackGlass_Trends!$H$3:$H$8</c:f>
              <c:numCache/>
            </c:numRef>
          </c:val>
        </c:ser>
        <c:axId val="1363168167"/>
        <c:axId val="717003591"/>
      </c:barChart>
      <c:catAx>
        <c:axId val="1363168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7003591"/>
      </c:catAx>
      <c:valAx>
        <c:axId val="7170035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31681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2" Type="http://schemas.openxmlformats.org/officeDocument/2006/relationships/chart" Target="../charts/chart12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447675</xdr:colOff>
      <xdr:row>2</xdr:row>
      <xdr:rowOff>0</xdr:rowOff>
    </xdr:from>
    <xdr:ext cx="5715000" cy="50196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27</xdr:col>
      <xdr:colOff>47625</xdr:colOff>
      <xdr:row>25</xdr:row>
      <xdr:rowOff>28575</xdr:rowOff>
    </xdr:from>
    <xdr:ext cx="6505575" cy="56769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27</xdr:col>
      <xdr:colOff>657225</xdr:colOff>
      <xdr:row>52</xdr:row>
      <xdr:rowOff>180975</xdr:rowOff>
    </xdr:from>
    <xdr:ext cx="4200525" cy="35814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28</xdr:col>
      <xdr:colOff>371475</xdr:colOff>
      <xdr:row>70</xdr:row>
      <xdr:rowOff>104775</xdr:rowOff>
    </xdr:from>
    <xdr:ext cx="6600825" cy="60674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17</xdr:col>
      <xdr:colOff>381000</xdr:colOff>
      <xdr:row>2</xdr:row>
      <xdr:rowOff>0</xdr:rowOff>
    </xdr:from>
    <xdr:ext cx="6010275" cy="49244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17</xdr:col>
      <xdr:colOff>238125</xdr:colOff>
      <xdr:row>24</xdr:row>
      <xdr:rowOff>200025</xdr:rowOff>
    </xdr:from>
    <xdr:ext cx="7572375" cy="64389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17</xdr:col>
      <xdr:colOff>238125</xdr:colOff>
      <xdr:row>80</xdr:row>
      <xdr:rowOff>152400</xdr:rowOff>
    </xdr:from>
    <xdr:ext cx="4762500" cy="42576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17</xdr:col>
      <xdr:colOff>180975</xdr:colOff>
      <xdr:row>102</xdr:row>
      <xdr:rowOff>200025</xdr:rowOff>
    </xdr:from>
    <xdr:ext cx="5715000" cy="54292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22</xdr:col>
      <xdr:colOff>561975</xdr:colOff>
      <xdr:row>2</xdr:row>
      <xdr:rowOff>0</xdr:rowOff>
    </xdr:from>
    <xdr:ext cx="6238875" cy="53244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22</xdr:col>
      <xdr:colOff>409575</xdr:colOff>
      <xdr:row>53</xdr:row>
      <xdr:rowOff>200025</xdr:rowOff>
    </xdr:from>
    <xdr:ext cx="5715000" cy="477202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22</xdr:col>
      <xdr:colOff>285750</xdr:colOff>
      <xdr:row>26</xdr:row>
      <xdr:rowOff>104775</xdr:rowOff>
    </xdr:from>
    <xdr:ext cx="6667500" cy="58578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22</xdr:col>
      <xdr:colOff>114300</xdr:colOff>
      <xdr:row>77</xdr:row>
      <xdr:rowOff>180975</xdr:rowOff>
    </xdr:from>
    <xdr:ext cx="7038975" cy="594360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514350</xdr:colOff>
      <xdr:row>9</xdr:row>
      <xdr:rowOff>0</xdr:rowOff>
    </xdr:from>
    <xdr:ext cx="4276725" cy="39433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28575</xdr:colOff>
      <xdr:row>9</xdr:row>
      <xdr:rowOff>0</xdr:rowOff>
    </xdr:from>
    <xdr:ext cx="4276725" cy="39433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333375</xdr:colOff>
      <xdr:row>0</xdr:row>
      <xdr:rowOff>0</xdr:rowOff>
    </xdr:from>
    <xdr:ext cx="5715000" cy="3533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34.0"/>
    <col customWidth="1" min="3" max="4" width="16.0"/>
    <col customWidth="1" min="5" max="6" width="15.38"/>
    <col customWidth="1" min="7" max="7" width="11.25"/>
    <col customWidth="1" min="8" max="8" width="57.63"/>
    <col customWidth="1" min="9" max="9" width="29.5"/>
    <col customWidth="1" min="10" max="10" width="21.25"/>
  </cols>
  <sheetData>
    <row r="1">
      <c r="A1" s="3" t="s">
        <v>1</v>
      </c>
    </row>
    <row r="2">
      <c r="A2" s="4" t="s">
        <v>2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</row>
    <row r="3">
      <c r="A3" s="7">
        <v>2.0062784E7</v>
      </c>
      <c r="B3" s="8" t="s">
        <v>14</v>
      </c>
      <c r="C3" s="8" t="s">
        <v>15</v>
      </c>
      <c r="D3" s="8" t="s">
        <v>16</v>
      </c>
      <c r="E3" s="8" t="s">
        <v>17</v>
      </c>
      <c r="F3" s="9">
        <v>46185.0</v>
      </c>
      <c r="G3" s="8" t="s">
        <v>18</v>
      </c>
      <c r="H3" s="8" t="s">
        <v>19</v>
      </c>
      <c r="I3" s="8" t="s">
        <v>20</v>
      </c>
      <c r="J3" s="8" t="s">
        <v>21</v>
      </c>
    </row>
    <row r="4">
      <c r="A4" s="7">
        <v>2.0056477E7</v>
      </c>
      <c r="B4" s="8" t="s">
        <v>14</v>
      </c>
      <c r="C4" s="8" t="s">
        <v>22</v>
      </c>
      <c r="D4" s="8" t="s">
        <v>16</v>
      </c>
      <c r="E4" s="8" t="s">
        <v>17</v>
      </c>
      <c r="F4" s="9">
        <v>46153.0</v>
      </c>
      <c r="G4" s="8" t="s">
        <v>25</v>
      </c>
      <c r="H4" s="8" t="s">
        <v>26</v>
      </c>
      <c r="I4" s="8" t="s">
        <v>27</v>
      </c>
      <c r="J4" s="8"/>
    </row>
    <row r="5">
      <c r="A5" s="7">
        <v>2.0055406E7</v>
      </c>
      <c r="B5" s="8" t="s">
        <v>14</v>
      </c>
      <c r="C5" s="8" t="s">
        <v>28</v>
      </c>
      <c r="D5" s="8" t="s">
        <v>16</v>
      </c>
      <c r="E5" s="8" t="s">
        <v>17</v>
      </c>
      <c r="F5" s="9">
        <v>46123.0</v>
      </c>
      <c r="G5" s="8" t="s">
        <v>29</v>
      </c>
      <c r="H5" s="8" t="s">
        <v>30</v>
      </c>
      <c r="I5" s="8" t="s">
        <v>31</v>
      </c>
      <c r="J5" s="8" t="s">
        <v>32</v>
      </c>
    </row>
    <row r="6">
      <c r="A6" s="7">
        <v>2.0054338E7</v>
      </c>
      <c r="B6" s="8" t="s">
        <v>14</v>
      </c>
      <c r="C6" s="8" t="s">
        <v>33</v>
      </c>
      <c r="D6" s="8" t="s">
        <v>16</v>
      </c>
      <c r="E6" s="8" t="s">
        <v>17</v>
      </c>
      <c r="F6" s="9">
        <v>46117.0</v>
      </c>
      <c r="G6" s="8" t="s">
        <v>34</v>
      </c>
      <c r="H6" s="8" t="s">
        <v>35</v>
      </c>
      <c r="I6" s="8" t="s">
        <v>36</v>
      </c>
      <c r="J6" s="8" t="s">
        <v>37</v>
      </c>
    </row>
    <row r="7">
      <c r="A7" s="7">
        <v>2.0047553E7</v>
      </c>
      <c r="B7" s="8" t="s">
        <v>14</v>
      </c>
      <c r="C7" s="8" t="s">
        <v>38</v>
      </c>
      <c r="D7" s="8" t="s">
        <v>16</v>
      </c>
      <c r="E7" s="8" t="s">
        <v>17</v>
      </c>
      <c r="F7" s="9">
        <v>46108.0</v>
      </c>
      <c r="G7" s="8" t="s">
        <v>39</v>
      </c>
      <c r="H7" s="8" t="s">
        <v>40</v>
      </c>
      <c r="I7" s="8" t="s">
        <v>41</v>
      </c>
      <c r="J7" s="8" t="s">
        <v>42</v>
      </c>
    </row>
    <row r="8">
      <c r="A8" s="7">
        <v>2.0047553E7</v>
      </c>
      <c r="B8" s="8" t="s">
        <v>14</v>
      </c>
      <c r="C8" s="8" t="s">
        <v>38</v>
      </c>
      <c r="D8" s="8" t="s">
        <v>16</v>
      </c>
      <c r="E8" s="8" t="s">
        <v>17</v>
      </c>
      <c r="F8" s="9">
        <v>46108.0</v>
      </c>
      <c r="G8" s="8" t="s">
        <v>43</v>
      </c>
      <c r="H8" s="8" t="s">
        <v>44</v>
      </c>
      <c r="I8" s="8" t="s">
        <v>45</v>
      </c>
      <c r="J8" s="8" t="s">
        <v>46</v>
      </c>
    </row>
    <row r="9">
      <c r="A9" s="7">
        <v>2.0047612E7</v>
      </c>
      <c r="B9" s="8" t="s">
        <v>14</v>
      </c>
      <c r="C9" s="8" t="s">
        <v>47</v>
      </c>
      <c r="D9" s="8" t="s">
        <v>16</v>
      </c>
      <c r="E9" s="8" t="s">
        <v>48</v>
      </c>
      <c r="F9" s="9">
        <v>46087.0</v>
      </c>
      <c r="G9" s="8" t="s">
        <v>49</v>
      </c>
      <c r="H9" s="8" t="s">
        <v>50</v>
      </c>
      <c r="I9" s="8" t="s">
        <v>51</v>
      </c>
      <c r="J9" s="8" t="s">
        <v>52</v>
      </c>
    </row>
    <row r="10">
      <c r="A10" s="7">
        <v>2.0036869E7</v>
      </c>
      <c r="B10" s="8" t="s">
        <v>14</v>
      </c>
      <c r="C10" s="8" t="s">
        <v>53</v>
      </c>
      <c r="D10" s="8" t="s">
        <v>16</v>
      </c>
      <c r="E10" s="8" t="s">
        <v>17</v>
      </c>
      <c r="F10" s="9">
        <v>46074.0</v>
      </c>
      <c r="G10" s="8" t="s">
        <v>54</v>
      </c>
      <c r="H10" s="8" t="s">
        <v>55</v>
      </c>
      <c r="I10" s="8" t="s">
        <v>56</v>
      </c>
      <c r="J10" s="8" t="s">
        <v>57</v>
      </c>
    </row>
    <row r="11">
      <c r="A11" s="7">
        <v>2.0040047E7</v>
      </c>
      <c r="B11" s="8" t="s">
        <v>14</v>
      </c>
      <c r="C11" s="8" t="s">
        <v>58</v>
      </c>
      <c r="D11" s="8" t="s">
        <v>16</v>
      </c>
      <c r="E11" s="8" t="s">
        <v>17</v>
      </c>
      <c r="F11" s="9">
        <v>46058.0</v>
      </c>
      <c r="G11" s="8" t="s">
        <v>59</v>
      </c>
      <c r="H11" s="8" t="s">
        <v>60</v>
      </c>
      <c r="I11" s="8" t="s">
        <v>61</v>
      </c>
      <c r="J11" s="8" t="s">
        <v>62</v>
      </c>
    </row>
    <row r="12">
      <c r="A12" s="7">
        <v>2.0037747E7</v>
      </c>
      <c r="B12" s="8" t="s">
        <v>14</v>
      </c>
      <c r="C12" s="8" t="s">
        <v>63</v>
      </c>
      <c r="D12" s="8" t="s">
        <v>16</v>
      </c>
      <c r="E12" s="8" t="s">
        <v>17</v>
      </c>
      <c r="F12" s="9">
        <v>46063.0</v>
      </c>
      <c r="G12" s="8" t="s">
        <v>64</v>
      </c>
      <c r="H12" s="8" t="s">
        <v>65</v>
      </c>
      <c r="I12" s="8" t="s">
        <v>66</v>
      </c>
      <c r="J12" s="8" t="s">
        <v>67</v>
      </c>
    </row>
    <row r="13">
      <c r="A13" s="7">
        <v>2.0033067E7</v>
      </c>
      <c r="B13" s="8" t="s">
        <v>14</v>
      </c>
      <c r="C13" s="8" t="s">
        <v>68</v>
      </c>
      <c r="D13" s="8" t="s">
        <v>16</v>
      </c>
      <c r="E13" s="8" t="s">
        <v>69</v>
      </c>
      <c r="F13" s="9">
        <v>46045.0</v>
      </c>
      <c r="G13" s="8" t="s">
        <v>70</v>
      </c>
      <c r="H13" s="8" t="s">
        <v>71</v>
      </c>
      <c r="I13" s="8" t="s">
        <v>72</v>
      </c>
      <c r="J13" s="8" t="s">
        <v>73</v>
      </c>
    </row>
    <row r="14">
      <c r="A14" s="7">
        <v>2.0033771E7</v>
      </c>
      <c r="B14" s="8" t="s">
        <v>14</v>
      </c>
      <c r="C14" s="8" t="s">
        <v>74</v>
      </c>
      <c r="D14" s="8" t="s">
        <v>16</v>
      </c>
      <c r="E14" s="8" t="s">
        <v>17</v>
      </c>
      <c r="F14" s="9">
        <v>46033.0</v>
      </c>
      <c r="G14" s="8" t="s">
        <v>75</v>
      </c>
      <c r="H14" s="8" t="s">
        <v>76</v>
      </c>
      <c r="I14" s="8" t="s">
        <v>77</v>
      </c>
      <c r="J14" s="8" t="s">
        <v>78</v>
      </c>
    </row>
    <row r="15">
      <c r="A15" s="7">
        <v>2.0032779E7</v>
      </c>
      <c r="B15" s="8" t="s">
        <v>14</v>
      </c>
      <c r="C15" s="8" t="s">
        <v>79</v>
      </c>
      <c r="D15" s="8" t="s">
        <v>16</v>
      </c>
      <c r="E15" s="8" t="s">
        <v>17</v>
      </c>
      <c r="F15" s="9">
        <v>46038.0</v>
      </c>
      <c r="G15" s="8" t="s">
        <v>59</v>
      </c>
      <c r="H15" s="8" t="s">
        <v>60</v>
      </c>
      <c r="I15" s="8" t="s">
        <v>80</v>
      </c>
      <c r="J15" s="8" t="s">
        <v>81</v>
      </c>
    </row>
    <row r="16">
      <c r="A16" s="7">
        <v>2.0032477E7</v>
      </c>
      <c r="B16" s="8" t="s">
        <v>14</v>
      </c>
      <c r="C16" s="8" t="s">
        <v>82</v>
      </c>
      <c r="D16" s="8" t="s">
        <v>16</v>
      </c>
      <c r="E16" s="8" t="s">
        <v>17</v>
      </c>
      <c r="F16" s="9">
        <v>46049.0</v>
      </c>
      <c r="G16" s="8" t="s">
        <v>29</v>
      </c>
      <c r="H16" s="8" t="s">
        <v>30</v>
      </c>
      <c r="I16" s="8" t="s">
        <v>83</v>
      </c>
      <c r="J16" s="8" t="s">
        <v>84</v>
      </c>
    </row>
    <row r="17">
      <c r="A17" s="7">
        <v>2.0032869E7</v>
      </c>
      <c r="B17" s="8" t="s">
        <v>14</v>
      </c>
      <c r="C17" s="8" t="s">
        <v>85</v>
      </c>
      <c r="D17" s="8" t="s">
        <v>16</v>
      </c>
      <c r="E17" s="8" t="s">
        <v>17</v>
      </c>
      <c r="F17" s="9">
        <v>46049.0</v>
      </c>
      <c r="G17" s="8" t="s">
        <v>86</v>
      </c>
      <c r="H17" s="8" t="s">
        <v>87</v>
      </c>
      <c r="I17" s="8" t="s">
        <v>88</v>
      </c>
      <c r="J17" s="8" t="s">
        <v>89</v>
      </c>
    </row>
    <row r="18">
      <c r="A18" s="7">
        <v>2.0032584E7</v>
      </c>
      <c r="B18" s="8" t="s">
        <v>14</v>
      </c>
      <c r="C18" s="8" t="s">
        <v>90</v>
      </c>
      <c r="D18" s="8" t="s">
        <v>16</v>
      </c>
      <c r="E18" s="8" t="s">
        <v>17</v>
      </c>
      <c r="F18" s="9">
        <v>46036.0</v>
      </c>
      <c r="G18" s="8" t="s">
        <v>91</v>
      </c>
      <c r="H18" s="8" t="s">
        <v>92</v>
      </c>
      <c r="I18" s="8" t="s">
        <v>93</v>
      </c>
      <c r="J18" s="8" t="s">
        <v>94</v>
      </c>
    </row>
    <row r="19">
      <c r="A19" s="7">
        <v>2.0033007E7</v>
      </c>
      <c r="B19" s="8" t="s">
        <v>14</v>
      </c>
      <c r="C19" s="8" t="s">
        <v>95</v>
      </c>
      <c r="D19" s="8" t="s">
        <v>16</v>
      </c>
      <c r="E19" s="8" t="s">
        <v>17</v>
      </c>
      <c r="F19" s="9">
        <v>46038.0</v>
      </c>
      <c r="G19" s="8" t="s">
        <v>59</v>
      </c>
      <c r="H19" s="8" t="s">
        <v>60</v>
      </c>
      <c r="I19" s="8" t="s">
        <v>96</v>
      </c>
      <c r="J19" s="8" t="s">
        <v>97</v>
      </c>
    </row>
    <row r="20">
      <c r="A20" s="7">
        <v>2.0033245E7</v>
      </c>
      <c r="B20" s="8" t="s">
        <v>14</v>
      </c>
      <c r="C20" s="8" t="s">
        <v>98</v>
      </c>
      <c r="D20" s="8" t="s">
        <v>16</v>
      </c>
      <c r="E20" s="8" t="s">
        <v>17</v>
      </c>
      <c r="F20" s="9">
        <v>46041.0</v>
      </c>
      <c r="G20" s="8" t="s">
        <v>99</v>
      </c>
      <c r="H20" s="8" t="s">
        <v>100</v>
      </c>
      <c r="I20" s="8" t="s">
        <v>101</v>
      </c>
      <c r="J20" s="8" t="s">
        <v>102</v>
      </c>
    </row>
    <row r="21">
      <c r="A21" s="7">
        <v>2.0032886E7</v>
      </c>
      <c r="B21" s="8" t="s">
        <v>14</v>
      </c>
      <c r="C21" s="8" t="s">
        <v>103</v>
      </c>
      <c r="D21" s="8" t="s">
        <v>16</v>
      </c>
      <c r="E21" s="8" t="s">
        <v>17</v>
      </c>
      <c r="F21" s="9">
        <v>46048.0</v>
      </c>
      <c r="G21" s="8" t="s">
        <v>104</v>
      </c>
      <c r="H21" s="8" t="s">
        <v>105</v>
      </c>
      <c r="I21" s="8" t="s">
        <v>106</v>
      </c>
      <c r="J21" s="8" t="s">
        <v>107</v>
      </c>
    </row>
    <row r="22">
      <c r="A22" s="7">
        <v>2.0033379E7</v>
      </c>
      <c r="B22" s="8" t="s">
        <v>14</v>
      </c>
      <c r="C22" s="8" t="s">
        <v>108</v>
      </c>
      <c r="D22" s="8" t="s">
        <v>16</v>
      </c>
      <c r="E22" s="8" t="s">
        <v>17</v>
      </c>
      <c r="F22" s="9">
        <v>46031.0</v>
      </c>
      <c r="G22" s="8" t="s">
        <v>109</v>
      </c>
      <c r="H22" s="8" t="s">
        <v>110</v>
      </c>
      <c r="I22" s="8" t="s">
        <v>111</v>
      </c>
      <c r="J22" s="8" t="s">
        <v>112</v>
      </c>
    </row>
    <row r="23">
      <c r="A23" s="7">
        <v>2.0032055E7</v>
      </c>
      <c r="B23" s="8" t="s">
        <v>14</v>
      </c>
      <c r="C23" s="8" t="s">
        <v>113</v>
      </c>
      <c r="D23" s="8" t="s">
        <v>16</v>
      </c>
      <c r="E23" s="8" t="s">
        <v>17</v>
      </c>
      <c r="F23" s="9">
        <v>46046.0</v>
      </c>
      <c r="G23" s="8" t="s">
        <v>114</v>
      </c>
      <c r="H23" s="8" t="s">
        <v>115</v>
      </c>
      <c r="I23" s="8" t="s">
        <v>116</v>
      </c>
      <c r="J23" s="8" t="s">
        <v>117</v>
      </c>
    </row>
    <row r="24">
      <c r="A24" s="7">
        <v>2.0031719E7</v>
      </c>
      <c r="B24" s="8" t="s">
        <v>14</v>
      </c>
      <c r="C24" s="8" t="s">
        <v>118</v>
      </c>
      <c r="D24" s="8" t="s">
        <v>16</v>
      </c>
      <c r="E24" s="8" t="s">
        <v>17</v>
      </c>
      <c r="F24" s="9">
        <v>46037.0</v>
      </c>
      <c r="G24" s="8" t="s">
        <v>119</v>
      </c>
      <c r="H24" s="8" t="s">
        <v>120</v>
      </c>
      <c r="I24" s="8" t="s">
        <v>121</v>
      </c>
      <c r="J24" s="8" t="s">
        <v>122</v>
      </c>
    </row>
    <row r="25">
      <c r="A25" s="7">
        <v>2.0032284E7</v>
      </c>
      <c r="B25" s="8" t="s">
        <v>14</v>
      </c>
      <c r="C25" s="8" t="s">
        <v>123</v>
      </c>
      <c r="D25" s="8" t="s">
        <v>16</v>
      </c>
      <c r="E25" s="8" t="s">
        <v>17</v>
      </c>
      <c r="F25" s="9">
        <v>46048.0</v>
      </c>
      <c r="G25" s="8" t="s">
        <v>124</v>
      </c>
      <c r="H25" s="8" t="s">
        <v>125</v>
      </c>
      <c r="I25" s="8" t="s">
        <v>126</v>
      </c>
      <c r="J25" s="8" t="s">
        <v>127</v>
      </c>
    </row>
    <row r="26">
      <c r="A26" s="7">
        <v>2.0032914E7</v>
      </c>
      <c r="B26" s="8" t="s">
        <v>14</v>
      </c>
      <c r="C26" s="8" t="s">
        <v>128</v>
      </c>
      <c r="D26" s="8" t="s">
        <v>16</v>
      </c>
      <c r="E26" s="8" t="s">
        <v>17</v>
      </c>
      <c r="F26" s="9">
        <v>46035.0</v>
      </c>
      <c r="G26" s="8" t="s">
        <v>91</v>
      </c>
      <c r="H26" s="8" t="s">
        <v>92</v>
      </c>
      <c r="I26" s="8" t="s">
        <v>129</v>
      </c>
      <c r="J26" s="8" t="s">
        <v>130</v>
      </c>
    </row>
    <row r="27">
      <c r="A27" s="7">
        <v>2.0031913E7</v>
      </c>
      <c r="B27" s="8" t="s">
        <v>14</v>
      </c>
      <c r="C27" s="8" t="s">
        <v>131</v>
      </c>
      <c r="D27" s="8" t="s">
        <v>16</v>
      </c>
      <c r="E27" s="8" t="s">
        <v>17</v>
      </c>
      <c r="F27" s="9">
        <v>46050.0</v>
      </c>
      <c r="G27" s="8" t="s">
        <v>132</v>
      </c>
      <c r="H27" s="8" t="s">
        <v>133</v>
      </c>
      <c r="I27" s="8" t="s">
        <v>134</v>
      </c>
      <c r="J27" s="8" t="s">
        <v>135</v>
      </c>
    </row>
    <row r="28">
      <c r="A28" s="7">
        <v>2.0032033E7</v>
      </c>
      <c r="B28" s="8" t="s">
        <v>14</v>
      </c>
      <c r="C28" s="8" t="s">
        <v>136</v>
      </c>
      <c r="D28" s="8" t="s">
        <v>16</v>
      </c>
      <c r="E28" s="8" t="s">
        <v>17</v>
      </c>
      <c r="F28" s="9">
        <v>46043.0</v>
      </c>
      <c r="G28" s="8" t="s">
        <v>137</v>
      </c>
      <c r="H28" s="8" t="s">
        <v>138</v>
      </c>
      <c r="I28" s="8" t="s">
        <v>139</v>
      </c>
      <c r="J28" s="8" t="s">
        <v>140</v>
      </c>
    </row>
    <row r="29">
      <c r="A29" s="7">
        <v>2.0032608E7</v>
      </c>
      <c r="B29" s="8" t="s">
        <v>14</v>
      </c>
      <c r="C29" s="8" t="s">
        <v>141</v>
      </c>
      <c r="D29" s="8" t="s">
        <v>16</v>
      </c>
      <c r="E29" s="8" t="s">
        <v>17</v>
      </c>
      <c r="F29" s="9">
        <v>46045.0</v>
      </c>
      <c r="G29" s="8" t="s">
        <v>18</v>
      </c>
      <c r="H29" s="8" t="s">
        <v>19</v>
      </c>
      <c r="I29" s="8" t="s">
        <v>142</v>
      </c>
      <c r="J29" s="8" t="s">
        <v>143</v>
      </c>
    </row>
    <row r="30">
      <c r="A30" s="7">
        <v>2.0032508E7</v>
      </c>
      <c r="B30" s="8" t="s">
        <v>14</v>
      </c>
      <c r="C30" s="8" t="s">
        <v>144</v>
      </c>
      <c r="D30" s="8" t="s">
        <v>16</v>
      </c>
      <c r="E30" s="8" t="s">
        <v>17</v>
      </c>
      <c r="F30" s="9">
        <v>46028.0</v>
      </c>
      <c r="G30" s="8" t="s">
        <v>59</v>
      </c>
      <c r="H30" s="8" t="s">
        <v>60</v>
      </c>
      <c r="I30" s="8" t="s">
        <v>145</v>
      </c>
      <c r="J30" s="8" t="s">
        <v>146</v>
      </c>
    </row>
    <row r="31">
      <c r="A31" s="7">
        <v>2.0032321E7</v>
      </c>
      <c r="B31" s="8" t="s">
        <v>14</v>
      </c>
      <c r="C31" s="8" t="s">
        <v>147</v>
      </c>
      <c r="D31" s="8" t="s">
        <v>16</v>
      </c>
      <c r="E31" s="8" t="s">
        <v>17</v>
      </c>
      <c r="F31" s="9">
        <v>46042.0</v>
      </c>
      <c r="G31" s="8" t="s">
        <v>148</v>
      </c>
      <c r="H31" s="8" t="s">
        <v>149</v>
      </c>
      <c r="I31" s="8" t="s">
        <v>150</v>
      </c>
      <c r="J31" s="8" t="s">
        <v>151</v>
      </c>
    </row>
    <row r="32">
      <c r="A32" s="7">
        <v>2.0026376E7</v>
      </c>
      <c r="B32" s="8" t="s">
        <v>14</v>
      </c>
      <c r="C32" s="8" t="s">
        <v>152</v>
      </c>
      <c r="D32" s="8" t="s">
        <v>16</v>
      </c>
      <c r="E32" s="8" t="s">
        <v>17</v>
      </c>
      <c r="F32" s="9">
        <v>46035.0</v>
      </c>
      <c r="G32" s="8" t="s">
        <v>153</v>
      </c>
      <c r="H32" s="8" t="s">
        <v>154</v>
      </c>
      <c r="I32" s="8" t="s">
        <v>155</v>
      </c>
      <c r="J32" s="8" t="s">
        <v>156</v>
      </c>
    </row>
    <row r="33">
      <c r="A33" s="7">
        <v>2.0032219E7</v>
      </c>
      <c r="B33" s="8" t="s">
        <v>14</v>
      </c>
      <c r="C33" s="8" t="s">
        <v>157</v>
      </c>
      <c r="D33" s="8" t="s">
        <v>16</v>
      </c>
      <c r="E33" s="8" t="s">
        <v>17</v>
      </c>
      <c r="F33" s="9">
        <v>46043.0</v>
      </c>
      <c r="G33" s="8" t="s">
        <v>158</v>
      </c>
      <c r="H33" s="8" t="s">
        <v>159</v>
      </c>
      <c r="I33" s="8" t="s">
        <v>160</v>
      </c>
      <c r="J33" s="8" t="s">
        <v>161</v>
      </c>
    </row>
    <row r="34">
      <c r="A34" s="7">
        <v>2.0031732E7</v>
      </c>
      <c r="B34" s="8" t="s">
        <v>14</v>
      </c>
      <c r="C34" s="8" t="s">
        <v>162</v>
      </c>
      <c r="D34" s="8" t="s">
        <v>16</v>
      </c>
      <c r="E34" s="8" t="s">
        <v>17</v>
      </c>
      <c r="F34" s="9">
        <v>46042.0</v>
      </c>
      <c r="G34" s="8" t="s">
        <v>163</v>
      </c>
      <c r="H34" s="8" t="s">
        <v>164</v>
      </c>
      <c r="I34" s="8" t="s">
        <v>165</v>
      </c>
      <c r="J34" s="8" t="s">
        <v>166</v>
      </c>
    </row>
    <row r="35">
      <c r="A35" s="7">
        <v>2.0031681E7</v>
      </c>
      <c r="B35" s="8" t="s">
        <v>14</v>
      </c>
      <c r="C35" s="8" t="s">
        <v>167</v>
      </c>
      <c r="D35" s="8" t="s">
        <v>16</v>
      </c>
      <c r="E35" s="8" t="s">
        <v>17</v>
      </c>
      <c r="F35" s="9">
        <v>46031.0</v>
      </c>
      <c r="G35" s="8" t="s">
        <v>91</v>
      </c>
      <c r="H35" s="8" t="s">
        <v>92</v>
      </c>
      <c r="I35" s="8" t="s">
        <v>168</v>
      </c>
      <c r="J35" s="8" t="s">
        <v>169</v>
      </c>
    </row>
    <row r="36">
      <c r="A36" s="7">
        <v>2.0031802E7</v>
      </c>
      <c r="B36" s="8" t="s">
        <v>14</v>
      </c>
      <c r="C36" s="8" t="s">
        <v>170</v>
      </c>
      <c r="D36" s="8" t="s">
        <v>16</v>
      </c>
      <c r="E36" s="8" t="s">
        <v>17</v>
      </c>
      <c r="F36" s="9">
        <v>46042.0</v>
      </c>
      <c r="G36" s="8" t="s">
        <v>171</v>
      </c>
      <c r="H36" s="8" t="s">
        <v>172</v>
      </c>
      <c r="I36" s="8" t="s">
        <v>173</v>
      </c>
      <c r="J36" s="8" t="s">
        <v>174</v>
      </c>
    </row>
    <row r="37">
      <c r="A37" s="7">
        <v>2.0023062E7</v>
      </c>
      <c r="B37" s="8" t="s">
        <v>14</v>
      </c>
      <c r="C37" s="8" t="s">
        <v>175</v>
      </c>
      <c r="D37" s="8" t="s">
        <v>16</v>
      </c>
      <c r="E37" s="8" t="s">
        <v>48</v>
      </c>
      <c r="F37" s="9">
        <v>46047.0</v>
      </c>
      <c r="G37" s="8" t="s">
        <v>176</v>
      </c>
      <c r="H37" s="8" t="s">
        <v>177</v>
      </c>
      <c r="I37" s="8" t="s">
        <v>178</v>
      </c>
      <c r="J37" s="8" t="s">
        <v>179</v>
      </c>
    </row>
    <row r="38">
      <c r="A38" s="7">
        <v>2.0031517E7</v>
      </c>
      <c r="B38" s="8" t="s">
        <v>14</v>
      </c>
      <c r="C38" s="8" t="s">
        <v>180</v>
      </c>
      <c r="D38" s="8" t="s">
        <v>16</v>
      </c>
      <c r="E38" s="8" t="s">
        <v>17</v>
      </c>
      <c r="F38" s="9">
        <v>46030.0</v>
      </c>
      <c r="G38" s="8" t="s">
        <v>91</v>
      </c>
      <c r="H38" s="8" t="s">
        <v>92</v>
      </c>
      <c r="I38" s="8" t="s">
        <v>181</v>
      </c>
      <c r="J38" s="8" t="s">
        <v>182</v>
      </c>
    </row>
    <row r="39">
      <c r="A39" s="7">
        <v>2.0031632E7</v>
      </c>
      <c r="B39" s="8" t="s">
        <v>14</v>
      </c>
      <c r="C39" s="8" t="s">
        <v>183</v>
      </c>
      <c r="D39" s="8" t="s">
        <v>16</v>
      </c>
      <c r="E39" s="8" t="s">
        <v>17</v>
      </c>
      <c r="F39" s="9">
        <v>46042.0</v>
      </c>
      <c r="G39" s="8" t="s">
        <v>184</v>
      </c>
      <c r="H39" s="8" t="s">
        <v>185</v>
      </c>
      <c r="I39" s="8" t="s">
        <v>186</v>
      </c>
      <c r="J39" s="8" t="s">
        <v>187</v>
      </c>
    </row>
    <row r="40">
      <c r="A40" s="7">
        <v>2.0031171E7</v>
      </c>
      <c r="B40" s="8" t="s">
        <v>14</v>
      </c>
      <c r="C40" s="8" t="s">
        <v>188</v>
      </c>
      <c r="D40" s="8" t="s">
        <v>16</v>
      </c>
      <c r="E40" s="8" t="s">
        <v>17</v>
      </c>
      <c r="F40" s="9">
        <v>46041.0</v>
      </c>
      <c r="G40" s="8" t="s">
        <v>171</v>
      </c>
      <c r="H40" s="8" t="s">
        <v>172</v>
      </c>
      <c r="I40" s="8" t="s">
        <v>189</v>
      </c>
      <c r="J40" s="8" t="s">
        <v>190</v>
      </c>
    </row>
    <row r="41">
      <c r="A41" s="7">
        <v>2.0031887E7</v>
      </c>
      <c r="B41" s="8" t="s">
        <v>14</v>
      </c>
      <c r="C41" s="8" t="s">
        <v>191</v>
      </c>
      <c r="D41" s="8" t="s">
        <v>16</v>
      </c>
      <c r="E41" s="8" t="s">
        <v>17</v>
      </c>
      <c r="F41" s="9">
        <v>46026.0</v>
      </c>
      <c r="G41" s="8" t="s">
        <v>59</v>
      </c>
      <c r="H41" s="8" t="s">
        <v>60</v>
      </c>
      <c r="I41" s="8" t="s">
        <v>192</v>
      </c>
      <c r="J41" s="8" t="s">
        <v>193</v>
      </c>
    </row>
    <row r="42">
      <c r="A42" s="7">
        <v>2.0031853E7</v>
      </c>
      <c r="B42" s="8" t="s">
        <v>14</v>
      </c>
      <c r="C42" s="8" t="s">
        <v>194</v>
      </c>
      <c r="D42" s="8" t="s">
        <v>16</v>
      </c>
      <c r="E42" s="8" t="s">
        <v>17</v>
      </c>
      <c r="F42" s="9">
        <v>46028.0</v>
      </c>
      <c r="G42" s="8" t="s">
        <v>195</v>
      </c>
      <c r="H42" s="8" t="s">
        <v>196</v>
      </c>
      <c r="I42" s="8" t="s">
        <v>197</v>
      </c>
      <c r="J42" s="8" t="s">
        <v>198</v>
      </c>
    </row>
    <row r="43">
      <c r="A43" s="7">
        <v>2.0031461E7</v>
      </c>
      <c r="B43" s="8" t="s">
        <v>14</v>
      </c>
      <c r="C43" s="8" t="s">
        <v>199</v>
      </c>
      <c r="D43" s="8" t="s">
        <v>16</v>
      </c>
      <c r="E43" s="8" t="s">
        <v>17</v>
      </c>
      <c r="F43" s="9">
        <v>46030.0</v>
      </c>
      <c r="G43" s="8" t="s">
        <v>109</v>
      </c>
      <c r="H43" s="8" t="s">
        <v>110</v>
      </c>
      <c r="I43" s="8" t="s">
        <v>200</v>
      </c>
      <c r="J43" s="8" t="s">
        <v>201</v>
      </c>
    </row>
    <row r="44">
      <c r="A44" s="7">
        <v>2.0030717E7</v>
      </c>
      <c r="B44" s="8" t="s">
        <v>14</v>
      </c>
      <c r="C44" s="8" t="s">
        <v>202</v>
      </c>
      <c r="D44" s="8" t="s">
        <v>16</v>
      </c>
      <c r="E44" s="8" t="s">
        <v>17</v>
      </c>
      <c r="F44" s="9">
        <v>46039.0</v>
      </c>
      <c r="G44" s="8" t="s">
        <v>203</v>
      </c>
      <c r="H44" s="8" t="s">
        <v>204</v>
      </c>
      <c r="I44" s="8" t="s">
        <v>205</v>
      </c>
      <c r="J44" s="8" t="s">
        <v>206</v>
      </c>
    </row>
    <row r="45">
      <c r="A45" s="7">
        <v>2.0030717E7</v>
      </c>
      <c r="B45" s="8" t="s">
        <v>14</v>
      </c>
      <c r="C45" s="8" t="s">
        <v>202</v>
      </c>
      <c r="D45" s="8" t="s">
        <v>16</v>
      </c>
      <c r="E45" s="8" t="s">
        <v>17</v>
      </c>
      <c r="F45" s="9">
        <v>46039.0</v>
      </c>
      <c r="G45" s="8" t="s">
        <v>207</v>
      </c>
      <c r="H45" s="8" t="s">
        <v>208</v>
      </c>
      <c r="I45" s="8" t="s">
        <v>209</v>
      </c>
      <c r="J45" s="8" t="s">
        <v>210</v>
      </c>
    </row>
    <row r="46">
      <c r="A46" s="7">
        <v>2.0030155E7</v>
      </c>
      <c r="B46" s="8" t="s">
        <v>14</v>
      </c>
      <c r="C46" s="8" t="s">
        <v>211</v>
      </c>
      <c r="D46" s="8" t="s">
        <v>16</v>
      </c>
      <c r="E46" s="8" t="s">
        <v>17</v>
      </c>
      <c r="F46" s="9">
        <v>46039.0</v>
      </c>
      <c r="G46" s="8" t="s">
        <v>137</v>
      </c>
      <c r="H46" s="8" t="s">
        <v>138</v>
      </c>
      <c r="I46" s="8" t="s">
        <v>212</v>
      </c>
      <c r="J46" s="8" t="s">
        <v>213</v>
      </c>
    </row>
    <row r="47">
      <c r="A47" s="7">
        <v>2.0031096E7</v>
      </c>
      <c r="B47" s="8" t="s">
        <v>14</v>
      </c>
      <c r="C47" s="8" t="s">
        <v>214</v>
      </c>
      <c r="D47" s="8" t="s">
        <v>16</v>
      </c>
      <c r="E47" s="8" t="s">
        <v>17</v>
      </c>
      <c r="F47" s="9">
        <v>46038.0</v>
      </c>
      <c r="G47" s="8" t="s">
        <v>124</v>
      </c>
      <c r="H47" s="8" t="s">
        <v>125</v>
      </c>
      <c r="I47" s="8" t="s">
        <v>215</v>
      </c>
      <c r="J47" s="8"/>
    </row>
    <row r="48">
      <c r="A48" s="7">
        <v>2.0030917E7</v>
      </c>
      <c r="B48" s="8" t="s">
        <v>14</v>
      </c>
      <c r="C48" s="8" t="s">
        <v>216</v>
      </c>
      <c r="D48" s="8" t="s">
        <v>16</v>
      </c>
      <c r="E48" s="8" t="s">
        <v>17</v>
      </c>
      <c r="F48" s="9">
        <v>46035.0</v>
      </c>
      <c r="G48" s="8" t="s">
        <v>59</v>
      </c>
      <c r="H48" s="8" t="s">
        <v>60</v>
      </c>
      <c r="I48" s="8" t="s">
        <v>217</v>
      </c>
      <c r="J48" s="8" t="s">
        <v>218</v>
      </c>
    </row>
    <row r="49">
      <c r="A49" s="7">
        <v>2.0030825E7</v>
      </c>
      <c r="B49" s="8" t="s">
        <v>14</v>
      </c>
      <c r="C49" s="8" t="s">
        <v>219</v>
      </c>
      <c r="D49" s="8" t="s">
        <v>16</v>
      </c>
      <c r="E49" s="8" t="s">
        <v>17</v>
      </c>
      <c r="F49" s="9">
        <v>46025.0</v>
      </c>
      <c r="G49" s="8" t="s">
        <v>220</v>
      </c>
      <c r="H49" s="8" t="s">
        <v>221</v>
      </c>
      <c r="I49" s="8" t="s">
        <v>222</v>
      </c>
      <c r="J49" s="8" t="s">
        <v>223</v>
      </c>
    </row>
    <row r="50">
      <c r="A50" s="7">
        <v>2.0030411E7</v>
      </c>
      <c r="B50" s="8" t="s">
        <v>14</v>
      </c>
      <c r="C50" s="8" t="s">
        <v>224</v>
      </c>
      <c r="D50" s="8" t="s">
        <v>16</v>
      </c>
      <c r="E50" s="8" t="s">
        <v>17</v>
      </c>
      <c r="F50" s="9">
        <v>46030.0</v>
      </c>
      <c r="G50" s="8" t="s">
        <v>225</v>
      </c>
      <c r="H50" s="8" t="s">
        <v>226</v>
      </c>
      <c r="I50" s="8" t="s">
        <v>227</v>
      </c>
      <c r="J50" s="8" t="s">
        <v>228</v>
      </c>
    </row>
    <row r="51">
      <c r="A51" s="7">
        <v>2.0030411E7</v>
      </c>
      <c r="B51" s="8" t="s">
        <v>14</v>
      </c>
      <c r="C51" s="8" t="s">
        <v>224</v>
      </c>
      <c r="D51" s="8" t="s">
        <v>16</v>
      </c>
      <c r="E51" s="8" t="s">
        <v>17</v>
      </c>
      <c r="F51" s="9">
        <v>46030.0</v>
      </c>
      <c r="G51" s="8" t="s">
        <v>229</v>
      </c>
      <c r="H51" s="8" t="s">
        <v>230</v>
      </c>
      <c r="I51" s="8" t="s">
        <v>231</v>
      </c>
      <c r="J51" s="8" t="s">
        <v>232</v>
      </c>
    </row>
    <row r="52">
      <c r="A52" s="7">
        <v>2.0030471E7</v>
      </c>
      <c r="B52" s="8" t="s">
        <v>14</v>
      </c>
      <c r="C52" s="8" t="s">
        <v>233</v>
      </c>
      <c r="D52" s="8" t="s">
        <v>16</v>
      </c>
      <c r="E52" s="8" t="s">
        <v>17</v>
      </c>
      <c r="F52" s="9">
        <v>46028.0</v>
      </c>
      <c r="G52" s="8" t="s">
        <v>234</v>
      </c>
      <c r="H52" s="8" t="s">
        <v>235</v>
      </c>
      <c r="I52" s="8" t="s">
        <v>236</v>
      </c>
      <c r="J52" s="8" t="s">
        <v>237</v>
      </c>
    </row>
    <row r="53">
      <c r="A53" s="7">
        <v>2.0030803E7</v>
      </c>
      <c r="B53" s="8" t="s">
        <v>14</v>
      </c>
      <c r="C53" s="8" t="s">
        <v>238</v>
      </c>
      <c r="D53" s="8" t="s">
        <v>16</v>
      </c>
      <c r="E53" s="8" t="s">
        <v>17</v>
      </c>
      <c r="F53" s="9">
        <v>46045.0</v>
      </c>
      <c r="G53" s="8" t="s">
        <v>158</v>
      </c>
      <c r="H53" s="8" t="s">
        <v>159</v>
      </c>
      <c r="I53" s="8" t="s">
        <v>239</v>
      </c>
      <c r="J53" s="8" t="s">
        <v>240</v>
      </c>
    </row>
    <row r="54">
      <c r="A54" s="7">
        <v>2.003021E7</v>
      </c>
      <c r="B54" s="8" t="s">
        <v>14</v>
      </c>
      <c r="C54" s="8" t="s">
        <v>241</v>
      </c>
      <c r="D54" s="8" t="s">
        <v>16</v>
      </c>
      <c r="E54" s="8" t="s">
        <v>17</v>
      </c>
      <c r="F54" s="9">
        <v>46036.0</v>
      </c>
      <c r="G54" s="8" t="s">
        <v>242</v>
      </c>
      <c r="H54" s="8" t="s">
        <v>243</v>
      </c>
      <c r="I54" s="8" t="s">
        <v>244</v>
      </c>
      <c r="J54" s="8" t="s">
        <v>245</v>
      </c>
    </row>
    <row r="55">
      <c r="A55" s="7">
        <v>2.0030624E7</v>
      </c>
      <c r="B55" s="8" t="s">
        <v>14</v>
      </c>
      <c r="C55" s="8" t="s">
        <v>246</v>
      </c>
      <c r="D55" s="8" t="s">
        <v>16</v>
      </c>
      <c r="E55" s="8" t="s">
        <v>17</v>
      </c>
      <c r="F55" s="9">
        <v>46027.0</v>
      </c>
      <c r="G55" s="8" t="s">
        <v>247</v>
      </c>
      <c r="H55" s="8" t="s">
        <v>248</v>
      </c>
      <c r="I55" s="8" t="s">
        <v>249</v>
      </c>
      <c r="J55" s="8" t="s">
        <v>250</v>
      </c>
    </row>
    <row r="56">
      <c r="A56" s="7">
        <v>2.0030271E7</v>
      </c>
      <c r="B56" s="8" t="s">
        <v>14</v>
      </c>
      <c r="C56" s="8" t="s">
        <v>251</v>
      </c>
      <c r="D56" s="8" t="s">
        <v>16</v>
      </c>
      <c r="E56" s="8" t="s">
        <v>48</v>
      </c>
      <c r="F56" s="9">
        <v>46031.0</v>
      </c>
      <c r="G56" s="8" t="s">
        <v>252</v>
      </c>
      <c r="H56" s="8" t="s">
        <v>253</v>
      </c>
      <c r="I56" s="8" t="s">
        <v>254</v>
      </c>
      <c r="J56" s="8"/>
    </row>
    <row r="57">
      <c r="A57" s="7">
        <v>2.0030493E7</v>
      </c>
      <c r="B57" s="8" t="s">
        <v>14</v>
      </c>
      <c r="C57" s="8" t="s">
        <v>255</v>
      </c>
      <c r="D57" s="8" t="s">
        <v>16</v>
      </c>
      <c r="E57" s="8" t="s">
        <v>17</v>
      </c>
      <c r="F57" s="9">
        <v>46032.0</v>
      </c>
      <c r="G57" s="8" t="s">
        <v>91</v>
      </c>
      <c r="H57" s="8" t="s">
        <v>92</v>
      </c>
      <c r="I57" s="8" t="s">
        <v>256</v>
      </c>
      <c r="J57" s="8" t="s">
        <v>257</v>
      </c>
    </row>
    <row r="58">
      <c r="A58" s="7">
        <v>2.003036E7</v>
      </c>
      <c r="B58" s="8" t="s">
        <v>14</v>
      </c>
      <c r="C58" s="8" t="s">
        <v>258</v>
      </c>
      <c r="D58" s="8" t="s">
        <v>16</v>
      </c>
      <c r="E58" s="8" t="s">
        <v>17</v>
      </c>
      <c r="F58" s="9">
        <v>46029.0</v>
      </c>
      <c r="G58" s="8" t="s">
        <v>54</v>
      </c>
      <c r="H58" s="8" t="s">
        <v>55</v>
      </c>
      <c r="I58" s="8" t="s">
        <v>259</v>
      </c>
      <c r="J58" s="8" t="s">
        <v>260</v>
      </c>
    </row>
    <row r="59">
      <c r="A59" s="7">
        <v>2.0028801E7</v>
      </c>
      <c r="B59" s="8" t="s">
        <v>14</v>
      </c>
      <c r="C59" s="8" t="s">
        <v>261</v>
      </c>
      <c r="D59" s="8" t="s">
        <v>16</v>
      </c>
      <c r="E59" s="8" t="s">
        <v>17</v>
      </c>
      <c r="F59" s="9">
        <v>46038.0</v>
      </c>
      <c r="G59" s="8" t="s">
        <v>262</v>
      </c>
      <c r="H59" s="8" t="s">
        <v>263</v>
      </c>
      <c r="I59" s="8" t="s">
        <v>264</v>
      </c>
      <c r="J59" s="8" t="s">
        <v>265</v>
      </c>
    </row>
    <row r="60">
      <c r="A60" s="7">
        <v>2.0030255E7</v>
      </c>
      <c r="B60" s="8" t="s">
        <v>14</v>
      </c>
      <c r="C60" s="8" t="s">
        <v>266</v>
      </c>
      <c r="D60" s="8" t="s">
        <v>16</v>
      </c>
      <c r="E60" s="8" t="s">
        <v>17</v>
      </c>
      <c r="F60" s="9">
        <v>46027.0</v>
      </c>
      <c r="G60" s="8" t="s">
        <v>220</v>
      </c>
      <c r="H60" s="8" t="s">
        <v>221</v>
      </c>
      <c r="I60" s="8" t="s">
        <v>267</v>
      </c>
      <c r="J60" s="8" t="s">
        <v>268</v>
      </c>
    </row>
    <row r="61">
      <c r="A61" s="7">
        <v>2.0030095E7</v>
      </c>
      <c r="B61" s="8" t="s">
        <v>14</v>
      </c>
      <c r="C61" s="8" t="s">
        <v>269</v>
      </c>
      <c r="D61" s="8" t="s">
        <v>16</v>
      </c>
      <c r="E61" s="8" t="s">
        <v>17</v>
      </c>
      <c r="F61" s="9">
        <v>46029.0</v>
      </c>
      <c r="G61" s="8" t="s">
        <v>234</v>
      </c>
      <c r="H61" s="8" t="s">
        <v>235</v>
      </c>
      <c r="I61" s="8" t="s">
        <v>270</v>
      </c>
      <c r="J61" s="8" t="s">
        <v>271</v>
      </c>
    </row>
    <row r="62">
      <c r="A62" s="7">
        <v>2.0029913E7</v>
      </c>
      <c r="B62" s="8" t="s">
        <v>14</v>
      </c>
      <c r="C62" s="8" t="s">
        <v>272</v>
      </c>
      <c r="D62" s="8" t="s">
        <v>16</v>
      </c>
      <c r="E62" s="8" t="s">
        <v>17</v>
      </c>
      <c r="F62" s="9">
        <v>46025.0</v>
      </c>
      <c r="G62" s="8" t="s">
        <v>273</v>
      </c>
      <c r="H62" s="8" t="s">
        <v>274</v>
      </c>
      <c r="I62" s="8" t="s">
        <v>275</v>
      </c>
      <c r="J62" s="8" t="s">
        <v>276</v>
      </c>
    </row>
    <row r="63">
      <c r="A63" s="7">
        <v>2.0029913E7</v>
      </c>
      <c r="B63" s="8" t="s">
        <v>14</v>
      </c>
      <c r="C63" s="8" t="s">
        <v>272</v>
      </c>
      <c r="D63" s="8" t="s">
        <v>16</v>
      </c>
      <c r="E63" s="8" t="s">
        <v>17</v>
      </c>
      <c r="F63" s="9">
        <v>46025.0</v>
      </c>
      <c r="G63" s="8" t="s">
        <v>277</v>
      </c>
      <c r="H63" s="8" t="s">
        <v>278</v>
      </c>
      <c r="I63" s="8" t="s">
        <v>279</v>
      </c>
      <c r="J63" s="8" t="s">
        <v>280</v>
      </c>
    </row>
    <row r="64">
      <c r="A64" s="7">
        <v>2.0029345E7</v>
      </c>
      <c r="B64" s="8" t="s">
        <v>14</v>
      </c>
      <c r="C64" s="8" t="s">
        <v>281</v>
      </c>
      <c r="D64" s="8" t="s">
        <v>16</v>
      </c>
      <c r="E64" s="8" t="s">
        <v>48</v>
      </c>
      <c r="F64" s="9">
        <v>46024.0</v>
      </c>
      <c r="G64" s="8" t="s">
        <v>282</v>
      </c>
      <c r="H64" s="8" t="s">
        <v>71</v>
      </c>
      <c r="I64" s="8" t="s">
        <v>283</v>
      </c>
      <c r="J64" s="8"/>
    </row>
    <row r="65">
      <c r="A65" s="7">
        <v>2.0028979E7</v>
      </c>
      <c r="B65" s="8" t="s">
        <v>14</v>
      </c>
      <c r="C65" s="8" t="s">
        <v>284</v>
      </c>
      <c r="D65" s="8" t="s">
        <v>16</v>
      </c>
      <c r="E65" s="8" t="s">
        <v>17</v>
      </c>
      <c r="F65" s="9">
        <v>46039.0</v>
      </c>
      <c r="G65" s="8" t="s">
        <v>285</v>
      </c>
      <c r="H65" s="8" t="s">
        <v>286</v>
      </c>
      <c r="I65" s="8" t="s">
        <v>287</v>
      </c>
      <c r="J65" s="8" t="s">
        <v>288</v>
      </c>
    </row>
    <row r="66">
      <c r="A66" s="7">
        <v>2.0028275E7</v>
      </c>
      <c r="B66" s="8" t="s">
        <v>14</v>
      </c>
      <c r="C66" s="8" t="s">
        <v>289</v>
      </c>
      <c r="D66" s="8" t="s">
        <v>16</v>
      </c>
      <c r="E66" s="8" t="s">
        <v>17</v>
      </c>
      <c r="F66" s="9">
        <v>46036.0</v>
      </c>
      <c r="G66" s="8" t="s">
        <v>290</v>
      </c>
      <c r="H66" s="8" t="s">
        <v>291</v>
      </c>
      <c r="I66" s="8" t="s">
        <v>292</v>
      </c>
      <c r="J66" s="8"/>
    </row>
    <row r="67">
      <c r="A67" s="7">
        <v>2.0027368E7</v>
      </c>
      <c r="B67" s="8" t="s">
        <v>14</v>
      </c>
      <c r="C67" s="8" t="s">
        <v>293</v>
      </c>
      <c r="D67" s="8" t="s">
        <v>16</v>
      </c>
      <c r="E67" s="8" t="s">
        <v>17</v>
      </c>
      <c r="F67" s="9">
        <v>46036.0</v>
      </c>
      <c r="G67" s="8" t="s">
        <v>163</v>
      </c>
      <c r="H67" s="8" t="s">
        <v>164</v>
      </c>
      <c r="I67" s="8" t="s">
        <v>294</v>
      </c>
      <c r="J67" s="8" t="s">
        <v>295</v>
      </c>
    </row>
    <row r="68">
      <c r="A68" s="7">
        <v>2.0027178E7</v>
      </c>
      <c r="B68" s="8" t="s">
        <v>14</v>
      </c>
      <c r="C68" s="8" t="s">
        <v>296</v>
      </c>
      <c r="D68" s="8" t="s">
        <v>16</v>
      </c>
      <c r="E68" s="8" t="s">
        <v>17</v>
      </c>
      <c r="F68" s="9">
        <v>46037.0</v>
      </c>
      <c r="G68" s="8" t="s">
        <v>297</v>
      </c>
      <c r="H68" s="8" t="s">
        <v>298</v>
      </c>
      <c r="I68" s="8" t="s">
        <v>299</v>
      </c>
      <c r="J68" s="8" t="s">
        <v>300</v>
      </c>
    </row>
    <row r="69">
      <c r="A69" s="7">
        <v>2.0025335E7</v>
      </c>
      <c r="B69" s="8" t="s">
        <v>14</v>
      </c>
      <c r="C69" s="8" t="s">
        <v>301</v>
      </c>
      <c r="D69" s="8" t="s">
        <v>16</v>
      </c>
      <c r="E69" s="8" t="s">
        <v>17</v>
      </c>
      <c r="F69" s="9">
        <v>46036.0</v>
      </c>
      <c r="G69" s="8" t="s">
        <v>303</v>
      </c>
      <c r="H69" s="8" t="s">
        <v>304</v>
      </c>
      <c r="I69" s="8" t="s">
        <v>305</v>
      </c>
      <c r="J69" s="8"/>
    </row>
    <row r="70">
      <c r="A70" s="7">
        <v>2.0027416E7</v>
      </c>
      <c r="B70" s="8" t="s">
        <v>14</v>
      </c>
      <c r="C70" s="8" t="s">
        <v>306</v>
      </c>
      <c r="D70" s="8" t="s">
        <v>16</v>
      </c>
      <c r="E70" s="8" t="s">
        <v>17</v>
      </c>
      <c r="F70" s="9">
        <v>46027.0</v>
      </c>
      <c r="G70" s="8" t="s">
        <v>158</v>
      </c>
      <c r="H70" s="8" t="s">
        <v>159</v>
      </c>
      <c r="I70" s="8" t="s">
        <v>308</v>
      </c>
      <c r="J70" s="8" t="s">
        <v>309</v>
      </c>
    </row>
    <row r="71">
      <c r="A71" s="7">
        <v>2.0022611E7</v>
      </c>
      <c r="B71" s="8" t="s">
        <v>14</v>
      </c>
      <c r="C71" s="8" t="s">
        <v>311</v>
      </c>
      <c r="D71" s="8" t="s">
        <v>16</v>
      </c>
      <c r="E71" s="8" t="s">
        <v>17</v>
      </c>
      <c r="F71" s="9">
        <v>46029.0</v>
      </c>
      <c r="G71" s="8" t="s">
        <v>262</v>
      </c>
      <c r="H71" s="8" t="s">
        <v>263</v>
      </c>
      <c r="I71" s="8" t="s">
        <v>312</v>
      </c>
      <c r="J71" s="8"/>
    </row>
    <row r="72">
      <c r="A72" s="7">
        <v>2.0026298E7</v>
      </c>
      <c r="B72" s="8" t="s">
        <v>14</v>
      </c>
      <c r="C72" s="8" t="s">
        <v>313</v>
      </c>
      <c r="D72" s="8" t="s">
        <v>16</v>
      </c>
      <c r="E72" s="8" t="s">
        <v>17</v>
      </c>
      <c r="F72" s="9">
        <v>46031.0</v>
      </c>
      <c r="G72" s="8" t="s">
        <v>314</v>
      </c>
      <c r="H72" s="8" t="s">
        <v>315</v>
      </c>
      <c r="I72" s="8" t="s">
        <v>316</v>
      </c>
      <c r="J72" s="8" t="s">
        <v>317</v>
      </c>
    </row>
    <row r="73">
      <c r="A73" s="7">
        <v>2.0026344E7</v>
      </c>
      <c r="B73" s="8" t="s">
        <v>14</v>
      </c>
      <c r="C73" s="8" t="s">
        <v>318</v>
      </c>
      <c r="D73" s="8" t="s">
        <v>16</v>
      </c>
      <c r="E73" s="8" t="s">
        <v>17</v>
      </c>
      <c r="F73" s="9">
        <v>46025.0</v>
      </c>
      <c r="G73" s="8" t="s">
        <v>319</v>
      </c>
      <c r="H73" s="8" t="s">
        <v>320</v>
      </c>
      <c r="I73" s="8" t="s">
        <v>321</v>
      </c>
      <c r="J73" s="8" t="s">
        <v>322</v>
      </c>
    </row>
    <row r="74">
      <c r="A74" s="7">
        <v>2.0023307E7</v>
      </c>
      <c r="B74" s="8" t="s">
        <v>14</v>
      </c>
      <c r="C74" s="8" t="s">
        <v>323</v>
      </c>
      <c r="D74" s="8" t="s">
        <v>16</v>
      </c>
      <c r="E74" s="8" t="s">
        <v>17</v>
      </c>
      <c r="F74" s="9">
        <v>46024.0</v>
      </c>
      <c r="G74" s="8" t="s">
        <v>324</v>
      </c>
      <c r="H74" s="8" t="s">
        <v>325</v>
      </c>
      <c r="I74" s="8" t="s">
        <v>326</v>
      </c>
      <c r="J74" s="8"/>
    </row>
    <row r="75">
      <c r="A75" s="7">
        <v>2.0012624E7</v>
      </c>
      <c r="B75" s="8" t="s">
        <v>14</v>
      </c>
      <c r="C75" s="8" t="s">
        <v>327</v>
      </c>
      <c r="D75" s="8" t="s">
        <v>16</v>
      </c>
      <c r="E75" s="8" t="s">
        <v>48</v>
      </c>
      <c r="F75" s="9">
        <v>46098.0</v>
      </c>
      <c r="G75" s="8" t="s">
        <v>329</v>
      </c>
      <c r="H75" s="8" t="s">
        <v>330</v>
      </c>
      <c r="I75" s="8" t="s">
        <v>331</v>
      </c>
      <c r="J75" s="8" t="s">
        <v>332</v>
      </c>
    </row>
    <row r="76">
      <c r="A76" s="7">
        <v>2.0057546E7</v>
      </c>
      <c r="B76" s="8" t="s">
        <v>333</v>
      </c>
      <c r="C76" s="8" t="s">
        <v>334</v>
      </c>
      <c r="D76" s="8" t="s">
        <v>16</v>
      </c>
      <c r="E76" s="8" t="s">
        <v>17</v>
      </c>
      <c r="F76" s="9">
        <v>46187.0</v>
      </c>
      <c r="G76" s="8" t="s">
        <v>335</v>
      </c>
      <c r="H76" s="8" t="s">
        <v>336</v>
      </c>
      <c r="I76" s="8" t="s">
        <v>337</v>
      </c>
      <c r="J76" s="8"/>
    </row>
    <row r="77">
      <c r="A77" s="7">
        <v>2.0057881E7</v>
      </c>
      <c r="B77" s="8" t="s">
        <v>333</v>
      </c>
      <c r="C77" s="8" t="s">
        <v>338</v>
      </c>
      <c r="D77" s="8" t="s">
        <v>16</v>
      </c>
      <c r="E77" s="8" t="s">
        <v>17</v>
      </c>
      <c r="F77" s="9">
        <v>46141.0</v>
      </c>
      <c r="G77" s="8" t="s">
        <v>339</v>
      </c>
      <c r="H77" s="8" t="s">
        <v>340</v>
      </c>
      <c r="I77" s="8" t="s">
        <v>341</v>
      </c>
      <c r="J77" s="8" t="s">
        <v>342</v>
      </c>
    </row>
    <row r="78">
      <c r="A78" s="7">
        <v>2.0056843E7</v>
      </c>
      <c r="B78" s="8" t="s">
        <v>333</v>
      </c>
      <c r="C78" s="8" t="s">
        <v>343</v>
      </c>
      <c r="D78" s="8" t="s">
        <v>16</v>
      </c>
      <c r="E78" s="8" t="s">
        <v>17</v>
      </c>
      <c r="F78" s="9">
        <v>46158.0</v>
      </c>
      <c r="G78" s="8" t="s">
        <v>344</v>
      </c>
      <c r="H78" s="8" t="s">
        <v>345</v>
      </c>
      <c r="I78" s="8" t="s">
        <v>346</v>
      </c>
      <c r="J78" s="8"/>
    </row>
    <row r="79">
      <c r="A79" s="7">
        <v>2.0040587E7</v>
      </c>
      <c r="B79" s="8" t="s">
        <v>333</v>
      </c>
      <c r="C79" s="8" t="s">
        <v>347</v>
      </c>
      <c r="D79" s="8" t="s">
        <v>16</v>
      </c>
      <c r="E79" s="8" t="s">
        <v>17</v>
      </c>
      <c r="F79" s="9">
        <v>46134.0</v>
      </c>
      <c r="G79" s="8" t="s">
        <v>348</v>
      </c>
      <c r="H79" s="8" t="s">
        <v>349</v>
      </c>
      <c r="I79" s="8" t="s">
        <v>350</v>
      </c>
      <c r="J79" s="8"/>
    </row>
    <row r="80">
      <c r="A80" s="7">
        <v>2.0049975E7</v>
      </c>
      <c r="B80" s="8" t="s">
        <v>333</v>
      </c>
      <c r="C80" s="8" t="s">
        <v>351</v>
      </c>
      <c r="D80" s="8" t="s">
        <v>16</v>
      </c>
      <c r="E80" s="8" t="s">
        <v>17</v>
      </c>
      <c r="F80" s="9">
        <v>46117.0</v>
      </c>
      <c r="G80" s="8" t="s">
        <v>352</v>
      </c>
      <c r="H80" s="8" t="s">
        <v>353</v>
      </c>
      <c r="I80" s="8" t="s">
        <v>354</v>
      </c>
      <c r="J80" s="8" t="s">
        <v>355</v>
      </c>
    </row>
    <row r="81">
      <c r="A81" s="7">
        <v>2.004622E7</v>
      </c>
      <c r="B81" s="8" t="s">
        <v>333</v>
      </c>
      <c r="C81" s="8" t="s">
        <v>356</v>
      </c>
      <c r="D81" s="8" t="s">
        <v>16</v>
      </c>
      <c r="E81" s="8" t="s">
        <v>17</v>
      </c>
      <c r="F81" s="9">
        <v>46103.0</v>
      </c>
      <c r="G81" s="8" t="s">
        <v>357</v>
      </c>
      <c r="H81" s="8" t="s">
        <v>358</v>
      </c>
      <c r="I81" s="8" t="s">
        <v>359</v>
      </c>
      <c r="J81" s="8"/>
    </row>
    <row r="82">
      <c r="A82" s="7">
        <v>2.0042905E7</v>
      </c>
      <c r="B82" s="8" t="s">
        <v>333</v>
      </c>
      <c r="C82" s="8" t="s">
        <v>360</v>
      </c>
      <c r="D82" s="8" t="s">
        <v>16</v>
      </c>
      <c r="E82" s="8" t="s">
        <v>17</v>
      </c>
      <c r="F82" s="9">
        <v>46091.0</v>
      </c>
      <c r="G82" s="8" t="s">
        <v>361</v>
      </c>
      <c r="H82" s="8" t="s">
        <v>362</v>
      </c>
      <c r="I82" s="8" t="s">
        <v>363</v>
      </c>
      <c r="J82" s="8"/>
    </row>
    <row r="83">
      <c r="A83" s="7">
        <v>2.0039268E7</v>
      </c>
      <c r="B83" s="8" t="s">
        <v>333</v>
      </c>
      <c r="C83" s="8" t="s">
        <v>364</v>
      </c>
      <c r="D83" s="8" t="s">
        <v>16</v>
      </c>
      <c r="E83" s="8" t="s">
        <v>17</v>
      </c>
      <c r="F83" s="9">
        <v>46067.0</v>
      </c>
      <c r="G83" s="8" t="s">
        <v>365</v>
      </c>
      <c r="H83" s="8" t="s">
        <v>366</v>
      </c>
      <c r="I83" s="8" t="s">
        <v>367</v>
      </c>
      <c r="J83" s="8" t="s">
        <v>368</v>
      </c>
    </row>
    <row r="84">
      <c r="A84" s="7">
        <v>2.0034998E7</v>
      </c>
      <c r="B84" s="8" t="s">
        <v>333</v>
      </c>
      <c r="C84" s="8" t="s">
        <v>369</v>
      </c>
      <c r="D84" s="8" t="s">
        <v>16</v>
      </c>
      <c r="E84" s="8" t="s">
        <v>17</v>
      </c>
      <c r="F84" s="9">
        <v>46057.0</v>
      </c>
      <c r="G84" s="8" t="s">
        <v>370</v>
      </c>
      <c r="H84" s="8" t="s">
        <v>371</v>
      </c>
      <c r="I84" s="8" t="s">
        <v>372</v>
      </c>
      <c r="J84" s="8"/>
    </row>
    <row r="85">
      <c r="A85" s="7">
        <v>2.0034881E7</v>
      </c>
      <c r="B85" s="8" t="s">
        <v>333</v>
      </c>
      <c r="C85" s="8" t="s">
        <v>373</v>
      </c>
      <c r="D85" s="8" t="s">
        <v>16</v>
      </c>
      <c r="E85" s="8" t="s">
        <v>17</v>
      </c>
      <c r="F85" s="9">
        <v>46062.0</v>
      </c>
      <c r="G85" s="8" t="s">
        <v>374</v>
      </c>
      <c r="H85" s="8" t="s">
        <v>375</v>
      </c>
      <c r="I85" s="8" t="s">
        <v>376</v>
      </c>
      <c r="J85" s="8"/>
    </row>
    <row r="86">
      <c r="A86" s="7">
        <v>2.0033769E7</v>
      </c>
      <c r="B86" s="8" t="s">
        <v>333</v>
      </c>
      <c r="C86" s="8" t="s">
        <v>377</v>
      </c>
      <c r="D86" s="8" t="s">
        <v>16</v>
      </c>
      <c r="E86" s="8" t="s">
        <v>17</v>
      </c>
      <c r="F86" s="9">
        <v>46053.0</v>
      </c>
      <c r="G86" s="8" t="s">
        <v>378</v>
      </c>
      <c r="H86" s="8" t="s">
        <v>379</v>
      </c>
      <c r="I86" s="8" t="s">
        <v>380</v>
      </c>
      <c r="J86" s="8"/>
    </row>
    <row r="87">
      <c r="A87" s="7">
        <v>2.0033092E7</v>
      </c>
      <c r="B87" s="8" t="s">
        <v>333</v>
      </c>
      <c r="C87" s="8" t="s">
        <v>381</v>
      </c>
      <c r="D87" s="8" t="s">
        <v>16</v>
      </c>
      <c r="E87" s="8" t="s">
        <v>17</v>
      </c>
      <c r="F87" s="9">
        <v>46042.0</v>
      </c>
      <c r="G87" s="8" t="s">
        <v>220</v>
      </c>
      <c r="H87" s="8" t="s">
        <v>221</v>
      </c>
      <c r="I87" s="8" t="s">
        <v>382</v>
      </c>
      <c r="J87" s="8" t="s">
        <v>383</v>
      </c>
    </row>
    <row r="88">
      <c r="A88" s="7">
        <v>2.0033406E7</v>
      </c>
      <c r="B88" s="8" t="s">
        <v>333</v>
      </c>
      <c r="C88" s="8" t="s">
        <v>384</v>
      </c>
      <c r="D88" s="8" t="s">
        <v>16</v>
      </c>
      <c r="E88" s="8" t="s">
        <v>17</v>
      </c>
      <c r="F88" s="9">
        <v>46045.0</v>
      </c>
      <c r="G88" s="8" t="s">
        <v>385</v>
      </c>
      <c r="H88" s="8" t="s">
        <v>386</v>
      </c>
      <c r="I88" s="8" t="s">
        <v>387</v>
      </c>
      <c r="J88" s="8" t="s">
        <v>388</v>
      </c>
    </row>
    <row r="89">
      <c r="A89" s="7">
        <v>2.0033011E7</v>
      </c>
      <c r="B89" s="8" t="s">
        <v>333</v>
      </c>
      <c r="C89" s="8" t="s">
        <v>389</v>
      </c>
      <c r="D89" s="8" t="s">
        <v>16</v>
      </c>
      <c r="E89" s="8" t="s">
        <v>48</v>
      </c>
      <c r="F89" s="9">
        <v>46056.0</v>
      </c>
      <c r="G89" s="8" t="s">
        <v>390</v>
      </c>
      <c r="H89" s="8" t="s">
        <v>391</v>
      </c>
      <c r="I89" s="8" t="s">
        <v>392</v>
      </c>
      <c r="J89" s="8"/>
    </row>
    <row r="90">
      <c r="A90" s="7">
        <v>2.0030997E7</v>
      </c>
      <c r="B90" s="8" t="s">
        <v>333</v>
      </c>
      <c r="C90" s="8" t="s">
        <v>393</v>
      </c>
      <c r="D90" s="8" t="s">
        <v>16</v>
      </c>
      <c r="E90" s="8" t="s">
        <v>17</v>
      </c>
      <c r="F90" s="9">
        <v>46061.0</v>
      </c>
      <c r="G90" s="8" t="s">
        <v>64</v>
      </c>
      <c r="H90" s="8" t="s">
        <v>65</v>
      </c>
      <c r="I90" s="8" t="s">
        <v>394</v>
      </c>
      <c r="J90" s="8"/>
    </row>
    <row r="91">
      <c r="A91" s="7">
        <v>2.0033292E7</v>
      </c>
      <c r="B91" s="8" t="s">
        <v>333</v>
      </c>
      <c r="C91" s="8" t="s">
        <v>395</v>
      </c>
      <c r="D91" s="8" t="s">
        <v>16</v>
      </c>
      <c r="E91" s="8" t="s">
        <v>17</v>
      </c>
      <c r="F91" s="9">
        <v>46053.0</v>
      </c>
      <c r="G91" s="8" t="s">
        <v>396</v>
      </c>
      <c r="H91" s="8" t="s">
        <v>397</v>
      </c>
      <c r="I91" s="8" t="s">
        <v>398</v>
      </c>
      <c r="J91" s="8"/>
    </row>
    <row r="92">
      <c r="A92" s="7">
        <v>2.0032494E7</v>
      </c>
      <c r="B92" s="8" t="s">
        <v>333</v>
      </c>
      <c r="C92" s="8" t="s">
        <v>399</v>
      </c>
      <c r="D92" s="8" t="s">
        <v>16</v>
      </c>
      <c r="E92" s="8" t="s">
        <v>17</v>
      </c>
      <c r="F92" s="9">
        <v>46045.0</v>
      </c>
      <c r="G92" s="8" t="s">
        <v>400</v>
      </c>
      <c r="H92" s="8" t="s">
        <v>401</v>
      </c>
      <c r="I92" s="8" t="s">
        <v>402</v>
      </c>
      <c r="J92" s="8" t="s">
        <v>403</v>
      </c>
    </row>
    <row r="93">
      <c r="A93" s="7">
        <v>2.003235E7</v>
      </c>
      <c r="B93" s="8" t="s">
        <v>333</v>
      </c>
      <c r="C93" s="8" t="s">
        <v>404</v>
      </c>
      <c r="D93" s="8" t="s">
        <v>16</v>
      </c>
      <c r="E93" s="8" t="s">
        <v>17</v>
      </c>
      <c r="F93" s="9">
        <v>46043.0</v>
      </c>
      <c r="G93" s="8" t="s">
        <v>390</v>
      </c>
      <c r="H93" s="8" t="s">
        <v>391</v>
      </c>
      <c r="I93" s="8" t="s">
        <v>405</v>
      </c>
      <c r="J93" s="8"/>
    </row>
    <row r="94">
      <c r="A94" s="7">
        <v>2.003166E7</v>
      </c>
      <c r="B94" s="8" t="s">
        <v>333</v>
      </c>
      <c r="C94" s="8" t="s">
        <v>406</v>
      </c>
      <c r="D94" s="8" t="s">
        <v>16</v>
      </c>
      <c r="E94" s="8" t="s">
        <v>17</v>
      </c>
      <c r="F94" s="9">
        <v>46035.0</v>
      </c>
      <c r="G94" s="8" t="s">
        <v>220</v>
      </c>
      <c r="H94" s="8" t="s">
        <v>221</v>
      </c>
      <c r="I94" s="8" t="s">
        <v>407</v>
      </c>
      <c r="J94" s="8" t="s">
        <v>408</v>
      </c>
    </row>
    <row r="95">
      <c r="A95" s="7">
        <v>2.0032557E7</v>
      </c>
      <c r="B95" s="8" t="s">
        <v>333</v>
      </c>
      <c r="C95" s="8" t="s">
        <v>409</v>
      </c>
      <c r="D95" s="8" t="s">
        <v>16</v>
      </c>
      <c r="E95" s="8" t="s">
        <v>17</v>
      </c>
      <c r="F95" s="9">
        <v>46048.0</v>
      </c>
      <c r="G95" s="8" t="s">
        <v>410</v>
      </c>
      <c r="H95" s="8" t="s">
        <v>411</v>
      </c>
      <c r="I95" s="8" t="s">
        <v>412</v>
      </c>
      <c r="J95" s="8"/>
    </row>
    <row r="96">
      <c r="A96" s="7">
        <v>2.003062E7</v>
      </c>
      <c r="B96" s="8" t="s">
        <v>333</v>
      </c>
      <c r="C96" s="8" t="s">
        <v>413</v>
      </c>
      <c r="D96" s="8" t="s">
        <v>16</v>
      </c>
      <c r="E96" s="8" t="s">
        <v>17</v>
      </c>
      <c r="F96" s="9">
        <v>46048.0</v>
      </c>
      <c r="G96" s="8" t="s">
        <v>414</v>
      </c>
      <c r="H96" s="8" t="s">
        <v>415</v>
      </c>
      <c r="I96" s="8" t="s">
        <v>416</v>
      </c>
      <c r="J96" s="8"/>
    </row>
    <row r="97">
      <c r="A97" s="7">
        <v>2.0032611E7</v>
      </c>
      <c r="B97" s="8" t="s">
        <v>333</v>
      </c>
      <c r="C97" s="8" t="s">
        <v>417</v>
      </c>
      <c r="D97" s="8" t="s">
        <v>16</v>
      </c>
      <c r="E97" s="8" t="s">
        <v>17</v>
      </c>
      <c r="F97" s="9">
        <v>46043.0</v>
      </c>
      <c r="G97" s="8" t="s">
        <v>418</v>
      </c>
      <c r="H97" s="8" t="s">
        <v>419</v>
      </c>
      <c r="I97" s="8" t="s">
        <v>420</v>
      </c>
      <c r="J97" s="8" t="s">
        <v>421</v>
      </c>
    </row>
    <row r="98">
      <c r="A98" s="7">
        <v>2.0031777E7</v>
      </c>
      <c r="B98" s="8" t="s">
        <v>333</v>
      </c>
      <c r="C98" s="8" t="s">
        <v>422</v>
      </c>
      <c r="D98" s="8" t="s">
        <v>16</v>
      </c>
      <c r="E98" s="8" t="s">
        <v>17</v>
      </c>
      <c r="F98" s="9">
        <v>46040.0</v>
      </c>
      <c r="G98" s="8" t="s">
        <v>423</v>
      </c>
      <c r="H98" s="8" t="s">
        <v>424</v>
      </c>
      <c r="I98" s="8" t="s">
        <v>425</v>
      </c>
      <c r="J98" s="8" t="s">
        <v>426</v>
      </c>
    </row>
    <row r="99">
      <c r="A99" s="7">
        <v>2.0031455E7</v>
      </c>
      <c r="B99" s="8" t="s">
        <v>333</v>
      </c>
      <c r="C99" s="8" t="s">
        <v>427</v>
      </c>
      <c r="D99" s="8" t="s">
        <v>16</v>
      </c>
      <c r="E99" s="8" t="s">
        <v>17</v>
      </c>
      <c r="F99" s="9">
        <v>46040.0</v>
      </c>
      <c r="G99" s="8" t="s">
        <v>428</v>
      </c>
      <c r="H99" s="8" t="s">
        <v>429</v>
      </c>
      <c r="I99" s="8" t="s">
        <v>430</v>
      </c>
      <c r="J99" s="8"/>
    </row>
    <row r="100">
      <c r="A100" s="7">
        <v>2.0031454E7</v>
      </c>
      <c r="B100" s="8" t="s">
        <v>333</v>
      </c>
      <c r="C100" s="8" t="s">
        <v>431</v>
      </c>
      <c r="D100" s="8" t="s">
        <v>16</v>
      </c>
      <c r="E100" s="8" t="s">
        <v>17</v>
      </c>
      <c r="F100" s="9">
        <v>46053.0</v>
      </c>
      <c r="G100" s="8" t="s">
        <v>390</v>
      </c>
      <c r="H100" s="8" t="s">
        <v>391</v>
      </c>
      <c r="I100" s="8" t="s">
        <v>432</v>
      </c>
      <c r="J100" s="8"/>
    </row>
    <row r="101">
      <c r="A101" s="7">
        <v>2.0031948E7</v>
      </c>
      <c r="B101" s="8" t="s">
        <v>333</v>
      </c>
      <c r="C101" s="8" t="s">
        <v>433</v>
      </c>
      <c r="D101" s="8" t="s">
        <v>16</v>
      </c>
      <c r="E101" s="8" t="s">
        <v>17</v>
      </c>
      <c r="F101" s="9">
        <v>46044.0</v>
      </c>
      <c r="G101" s="8" t="s">
        <v>171</v>
      </c>
      <c r="H101" s="8" t="s">
        <v>172</v>
      </c>
      <c r="I101" s="8" t="s">
        <v>434</v>
      </c>
      <c r="J101" s="8"/>
    </row>
    <row r="102">
      <c r="A102" s="7">
        <v>2.0031643E7</v>
      </c>
      <c r="B102" s="8" t="s">
        <v>333</v>
      </c>
      <c r="C102" s="8" t="s">
        <v>435</v>
      </c>
      <c r="D102" s="8" t="s">
        <v>16</v>
      </c>
      <c r="E102" s="8" t="s">
        <v>17</v>
      </c>
      <c r="F102" s="9">
        <v>46048.0</v>
      </c>
      <c r="G102" s="8" t="s">
        <v>436</v>
      </c>
      <c r="H102" s="8" t="s">
        <v>437</v>
      </c>
      <c r="I102" s="8" t="s">
        <v>438</v>
      </c>
      <c r="J102" s="8"/>
    </row>
    <row r="103">
      <c r="A103" s="7">
        <v>2.0030697E7</v>
      </c>
      <c r="B103" s="8" t="s">
        <v>333</v>
      </c>
      <c r="C103" s="8" t="s">
        <v>439</v>
      </c>
      <c r="D103" s="8" t="s">
        <v>16</v>
      </c>
      <c r="E103" s="8" t="s">
        <v>17</v>
      </c>
      <c r="F103" s="9">
        <v>46034.0</v>
      </c>
      <c r="G103" s="8" t="s">
        <v>440</v>
      </c>
      <c r="H103" s="8" t="s">
        <v>44</v>
      </c>
      <c r="I103" s="8" t="s">
        <v>441</v>
      </c>
      <c r="J103" s="8" t="s">
        <v>442</v>
      </c>
    </row>
    <row r="104">
      <c r="A104" s="7">
        <v>2.0029059E7</v>
      </c>
      <c r="B104" s="8" t="s">
        <v>333</v>
      </c>
      <c r="C104" s="8" t="s">
        <v>443</v>
      </c>
      <c r="D104" s="8" t="s">
        <v>16</v>
      </c>
      <c r="E104" s="8" t="s">
        <v>17</v>
      </c>
      <c r="F104" s="9">
        <v>46045.0</v>
      </c>
      <c r="G104" s="8" t="s">
        <v>390</v>
      </c>
      <c r="H104" s="8" t="s">
        <v>391</v>
      </c>
      <c r="I104" s="8" t="s">
        <v>444</v>
      </c>
      <c r="J104" s="8"/>
    </row>
    <row r="105">
      <c r="A105" s="7">
        <v>2.0031878E7</v>
      </c>
      <c r="B105" s="8" t="s">
        <v>333</v>
      </c>
      <c r="C105" s="8" t="s">
        <v>445</v>
      </c>
      <c r="D105" s="8" t="s">
        <v>16</v>
      </c>
      <c r="E105" s="8" t="s">
        <v>17</v>
      </c>
      <c r="F105" s="9">
        <v>46050.0</v>
      </c>
      <c r="G105" s="8" t="s">
        <v>314</v>
      </c>
      <c r="H105" s="8" t="s">
        <v>315</v>
      </c>
      <c r="I105" s="8" t="s">
        <v>446</v>
      </c>
      <c r="J105" s="8" t="s">
        <v>447</v>
      </c>
    </row>
    <row r="106">
      <c r="A106" s="7">
        <v>2.0031536E7</v>
      </c>
      <c r="B106" s="8" t="s">
        <v>333</v>
      </c>
      <c r="C106" s="8" t="s">
        <v>448</v>
      </c>
      <c r="D106" s="8" t="s">
        <v>16</v>
      </c>
      <c r="E106" s="8" t="s">
        <v>17</v>
      </c>
      <c r="F106" s="9">
        <v>46044.0</v>
      </c>
      <c r="G106" s="8" t="s">
        <v>390</v>
      </c>
      <c r="H106" s="8" t="s">
        <v>391</v>
      </c>
      <c r="I106" s="8" t="s">
        <v>449</v>
      </c>
      <c r="J106" s="8"/>
    </row>
    <row r="107">
      <c r="A107" s="7">
        <v>2.0031782E7</v>
      </c>
      <c r="B107" s="8" t="s">
        <v>333</v>
      </c>
      <c r="C107" s="8" t="s">
        <v>450</v>
      </c>
      <c r="D107" s="8" t="s">
        <v>16</v>
      </c>
      <c r="E107" s="8" t="s">
        <v>17</v>
      </c>
      <c r="F107" s="9">
        <v>46034.0</v>
      </c>
      <c r="G107" s="8" t="s">
        <v>385</v>
      </c>
      <c r="H107" s="8" t="s">
        <v>386</v>
      </c>
      <c r="I107" s="8" t="s">
        <v>451</v>
      </c>
      <c r="J107" s="8" t="s">
        <v>452</v>
      </c>
    </row>
    <row r="108">
      <c r="A108" s="7">
        <v>2.0031255E7</v>
      </c>
      <c r="B108" s="8" t="s">
        <v>333</v>
      </c>
      <c r="C108" s="8" t="s">
        <v>453</v>
      </c>
      <c r="D108" s="8" t="s">
        <v>16</v>
      </c>
      <c r="E108" s="8" t="s">
        <v>17</v>
      </c>
      <c r="F108" s="9">
        <v>46045.0</v>
      </c>
      <c r="G108" s="8" t="s">
        <v>454</v>
      </c>
      <c r="H108" s="8" t="s">
        <v>455</v>
      </c>
      <c r="I108" s="8" t="s">
        <v>456</v>
      </c>
      <c r="J108" s="8" t="s">
        <v>457</v>
      </c>
    </row>
    <row r="109">
      <c r="A109" s="7">
        <v>2.0031592E7</v>
      </c>
      <c r="B109" s="8" t="s">
        <v>333</v>
      </c>
      <c r="C109" s="8" t="s">
        <v>458</v>
      </c>
      <c r="D109" s="8" t="s">
        <v>16</v>
      </c>
      <c r="E109" s="8" t="s">
        <v>17</v>
      </c>
      <c r="F109" s="9">
        <v>46049.0</v>
      </c>
      <c r="G109" s="8" t="s">
        <v>158</v>
      </c>
      <c r="H109" s="8" t="s">
        <v>159</v>
      </c>
      <c r="I109" s="8" t="s">
        <v>459</v>
      </c>
      <c r="J109" s="8"/>
    </row>
    <row r="110">
      <c r="A110" s="7">
        <v>2.0030599E7</v>
      </c>
      <c r="B110" s="8" t="s">
        <v>333</v>
      </c>
      <c r="C110" s="8" t="s">
        <v>460</v>
      </c>
      <c r="D110" s="8" t="s">
        <v>16</v>
      </c>
      <c r="E110" s="8" t="s">
        <v>17</v>
      </c>
      <c r="F110" s="9">
        <v>46046.0</v>
      </c>
      <c r="G110" s="8" t="s">
        <v>234</v>
      </c>
      <c r="H110" s="8" t="s">
        <v>235</v>
      </c>
      <c r="I110" s="8" t="s">
        <v>461</v>
      </c>
      <c r="J110" s="8" t="s">
        <v>462</v>
      </c>
    </row>
    <row r="111">
      <c r="A111" s="7">
        <v>2.0030304E7</v>
      </c>
      <c r="B111" s="8" t="s">
        <v>333</v>
      </c>
      <c r="C111" s="8" t="s">
        <v>463</v>
      </c>
      <c r="D111" s="8" t="s">
        <v>16</v>
      </c>
      <c r="E111" s="8" t="s">
        <v>17</v>
      </c>
      <c r="F111" s="9">
        <v>46047.0</v>
      </c>
      <c r="G111" s="8" t="s">
        <v>234</v>
      </c>
      <c r="H111" s="8" t="s">
        <v>235</v>
      </c>
      <c r="I111" s="8" t="s">
        <v>464</v>
      </c>
      <c r="J111" s="8" t="s">
        <v>465</v>
      </c>
    </row>
    <row r="112">
      <c r="A112" s="7">
        <v>2.0026832E7</v>
      </c>
      <c r="B112" s="8" t="s">
        <v>333</v>
      </c>
      <c r="C112" s="8" t="s">
        <v>466</v>
      </c>
      <c r="D112" s="8" t="s">
        <v>16</v>
      </c>
      <c r="E112" s="8" t="s">
        <v>17</v>
      </c>
      <c r="F112" s="9">
        <v>46045.0</v>
      </c>
      <c r="G112" s="8" t="s">
        <v>467</v>
      </c>
      <c r="H112" s="8" t="s">
        <v>468</v>
      </c>
      <c r="I112" s="8" t="s">
        <v>469</v>
      </c>
      <c r="J112" s="8"/>
    </row>
    <row r="113">
      <c r="A113" s="7">
        <v>2.0031185E7</v>
      </c>
      <c r="B113" s="8" t="s">
        <v>333</v>
      </c>
      <c r="C113" s="8" t="s">
        <v>470</v>
      </c>
      <c r="D113" s="8" t="s">
        <v>16</v>
      </c>
      <c r="E113" s="8" t="s">
        <v>17</v>
      </c>
      <c r="F113" s="9">
        <v>46047.0</v>
      </c>
      <c r="G113" s="8" t="s">
        <v>314</v>
      </c>
      <c r="H113" s="8" t="s">
        <v>315</v>
      </c>
      <c r="I113" s="8" t="s">
        <v>471</v>
      </c>
      <c r="J113" s="8" t="s">
        <v>472</v>
      </c>
    </row>
    <row r="114">
      <c r="A114" s="7">
        <v>2.0031016E7</v>
      </c>
      <c r="B114" s="8" t="s">
        <v>333</v>
      </c>
      <c r="C114" s="8" t="s">
        <v>473</v>
      </c>
      <c r="D114" s="8" t="s">
        <v>16</v>
      </c>
      <c r="E114" s="8" t="s">
        <v>17</v>
      </c>
      <c r="F114" s="9">
        <v>46054.0</v>
      </c>
      <c r="G114" s="8" t="s">
        <v>390</v>
      </c>
      <c r="H114" s="8" t="s">
        <v>391</v>
      </c>
      <c r="I114" s="8" t="s">
        <v>474</v>
      </c>
      <c r="J114" s="8"/>
    </row>
    <row r="115">
      <c r="A115" s="7">
        <v>2.0030986E7</v>
      </c>
      <c r="B115" s="8" t="s">
        <v>333</v>
      </c>
      <c r="C115" s="8" t="s">
        <v>475</v>
      </c>
      <c r="D115" s="8" t="s">
        <v>16</v>
      </c>
      <c r="E115" s="8" t="s">
        <v>17</v>
      </c>
      <c r="F115" s="9">
        <v>46040.0</v>
      </c>
      <c r="G115" s="8" t="s">
        <v>314</v>
      </c>
      <c r="H115" s="8" t="s">
        <v>315</v>
      </c>
      <c r="I115" s="8" t="s">
        <v>476</v>
      </c>
      <c r="J115" s="8" t="s">
        <v>477</v>
      </c>
    </row>
    <row r="116">
      <c r="A116" s="7">
        <v>2.0030956E7</v>
      </c>
      <c r="B116" s="8" t="s">
        <v>333</v>
      </c>
      <c r="C116" s="8" t="s">
        <v>478</v>
      </c>
      <c r="D116" s="8" t="s">
        <v>16</v>
      </c>
      <c r="E116" s="8" t="s">
        <v>17</v>
      </c>
      <c r="F116" s="9">
        <v>46050.0</v>
      </c>
      <c r="G116" s="8" t="s">
        <v>390</v>
      </c>
      <c r="H116" s="8" t="s">
        <v>391</v>
      </c>
      <c r="I116" s="8" t="s">
        <v>479</v>
      </c>
      <c r="J116" s="8"/>
    </row>
    <row r="117">
      <c r="A117" s="7">
        <v>2.003054E7</v>
      </c>
      <c r="B117" s="8" t="s">
        <v>333</v>
      </c>
      <c r="C117" s="8" t="s">
        <v>480</v>
      </c>
      <c r="D117" s="8" t="s">
        <v>16</v>
      </c>
      <c r="E117" s="8" t="s">
        <v>17</v>
      </c>
      <c r="F117" s="9">
        <v>46048.0</v>
      </c>
      <c r="G117" s="8" t="s">
        <v>158</v>
      </c>
      <c r="H117" s="8" t="s">
        <v>159</v>
      </c>
      <c r="I117" s="8" t="s">
        <v>481</v>
      </c>
      <c r="J117" s="8"/>
    </row>
    <row r="118">
      <c r="A118" s="7">
        <v>2.0030991E7</v>
      </c>
      <c r="B118" s="8" t="s">
        <v>333</v>
      </c>
      <c r="C118" s="8" t="s">
        <v>482</v>
      </c>
      <c r="D118" s="8" t="s">
        <v>16</v>
      </c>
      <c r="E118" s="8" t="s">
        <v>17</v>
      </c>
      <c r="F118" s="9">
        <v>46029.0</v>
      </c>
      <c r="G118" s="8" t="s">
        <v>59</v>
      </c>
      <c r="H118" s="8" t="s">
        <v>60</v>
      </c>
      <c r="I118" s="8" t="s">
        <v>483</v>
      </c>
      <c r="J118" s="8" t="s">
        <v>484</v>
      </c>
    </row>
    <row r="119">
      <c r="A119" s="7">
        <v>2.0030636E7</v>
      </c>
      <c r="B119" s="8" t="s">
        <v>333</v>
      </c>
      <c r="C119" s="8" t="s">
        <v>485</v>
      </c>
      <c r="D119" s="8" t="s">
        <v>16</v>
      </c>
      <c r="E119" s="8" t="s">
        <v>17</v>
      </c>
      <c r="F119" s="9">
        <v>46052.0</v>
      </c>
      <c r="G119" s="8" t="s">
        <v>486</v>
      </c>
      <c r="H119" s="8" t="s">
        <v>487</v>
      </c>
      <c r="I119" s="8" t="s">
        <v>488</v>
      </c>
      <c r="J119" s="8"/>
    </row>
    <row r="120">
      <c r="A120" s="7">
        <v>2.0030281E7</v>
      </c>
      <c r="B120" s="8" t="s">
        <v>333</v>
      </c>
      <c r="C120" s="8" t="s">
        <v>489</v>
      </c>
      <c r="D120" s="8" t="s">
        <v>16</v>
      </c>
      <c r="E120" s="8" t="s">
        <v>17</v>
      </c>
      <c r="F120" s="9">
        <v>46049.0</v>
      </c>
      <c r="G120" s="8" t="s">
        <v>436</v>
      </c>
      <c r="H120" s="8" t="s">
        <v>437</v>
      </c>
      <c r="I120" s="8" t="s">
        <v>490</v>
      </c>
      <c r="J120" s="8"/>
    </row>
    <row r="121">
      <c r="A121" s="7">
        <v>2.0029026E7</v>
      </c>
      <c r="B121" s="8" t="s">
        <v>333</v>
      </c>
      <c r="C121" s="8" t="s">
        <v>491</v>
      </c>
      <c r="D121" s="8" t="s">
        <v>16</v>
      </c>
      <c r="E121" s="8" t="s">
        <v>17</v>
      </c>
      <c r="F121" s="9">
        <v>46046.0</v>
      </c>
      <c r="G121" s="8" t="s">
        <v>492</v>
      </c>
      <c r="H121" s="8" t="s">
        <v>493</v>
      </c>
      <c r="I121" s="8" t="s">
        <v>494</v>
      </c>
      <c r="J121" s="8"/>
    </row>
    <row r="122">
      <c r="A122" s="7">
        <v>2.003024E7</v>
      </c>
      <c r="B122" s="8" t="s">
        <v>333</v>
      </c>
      <c r="C122" s="8" t="s">
        <v>495</v>
      </c>
      <c r="D122" s="8" t="s">
        <v>16</v>
      </c>
      <c r="E122" s="8" t="s">
        <v>17</v>
      </c>
      <c r="F122" s="9">
        <v>46044.0</v>
      </c>
      <c r="G122" s="8" t="s">
        <v>436</v>
      </c>
      <c r="H122" s="8" t="s">
        <v>437</v>
      </c>
      <c r="I122" s="8" t="s">
        <v>496</v>
      </c>
      <c r="J122" s="8"/>
    </row>
    <row r="123">
      <c r="A123" s="7">
        <v>2.0027236E7</v>
      </c>
      <c r="B123" s="8" t="s">
        <v>333</v>
      </c>
      <c r="C123" s="8" t="s">
        <v>497</v>
      </c>
      <c r="D123" s="8" t="s">
        <v>16</v>
      </c>
      <c r="E123" s="8" t="s">
        <v>17</v>
      </c>
      <c r="F123" s="9">
        <v>46049.0</v>
      </c>
      <c r="G123" s="8" t="s">
        <v>498</v>
      </c>
      <c r="H123" s="8" t="s">
        <v>499</v>
      </c>
      <c r="I123" s="8" t="s">
        <v>500</v>
      </c>
      <c r="J123" s="8"/>
    </row>
    <row r="124">
      <c r="A124" s="7">
        <v>2.0030179E7</v>
      </c>
      <c r="B124" s="8" t="s">
        <v>333</v>
      </c>
      <c r="C124" s="8" t="s">
        <v>501</v>
      </c>
      <c r="D124" s="8" t="s">
        <v>16</v>
      </c>
      <c r="E124" s="8" t="s">
        <v>17</v>
      </c>
      <c r="F124" s="9">
        <v>46047.0</v>
      </c>
      <c r="G124" s="8" t="s">
        <v>436</v>
      </c>
      <c r="H124" s="8" t="s">
        <v>437</v>
      </c>
      <c r="I124" s="8" t="s">
        <v>502</v>
      </c>
      <c r="J124" s="8"/>
    </row>
    <row r="125">
      <c r="A125" s="7">
        <v>2.0030351E7</v>
      </c>
      <c r="B125" s="8" t="s">
        <v>333</v>
      </c>
      <c r="C125" s="8" t="s">
        <v>503</v>
      </c>
      <c r="D125" s="8" t="s">
        <v>16</v>
      </c>
      <c r="E125" s="8" t="s">
        <v>17</v>
      </c>
      <c r="F125" s="9">
        <v>46039.0</v>
      </c>
      <c r="G125" s="8" t="s">
        <v>504</v>
      </c>
      <c r="H125" s="8" t="s">
        <v>505</v>
      </c>
      <c r="I125" s="8" t="s">
        <v>506</v>
      </c>
      <c r="J125" s="8" t="s">
        <v>507</v>
      </c>
    </row>
    <row r="126">
      <c r="A126" s="7">
        <v>2.0030581E7</v>
      </c>
      <c r="B126" s="8" t="s">
        <v>333</v>
      </c>
      <c r="C126" s="8" t="s">
        <v>508</v>
      </c>
      <c r="D126" s="8" t="s">
        <v>16</v>
      </c>
      <c r="E126" s="8" t="s">
        <v>17</v>
      </c>
      <c r="F126" s="9">
        <v>46047.0</v>
      </c>
      <c r="G126" s="8" t="s">
        <v>171</v>
      </c>
      <c r="H126" s="8" t="s">
        <v>172</v>
      </c>
      <c r="I126" s="8" t="s">
        <v>509</v>
      </c>
      <c r="J126" s="8"/>
    </row>
    <row r="127">
      <c r="A127" s="7">
        <v>2.0025101E7</v>
      </c>
      <c r="B127" s="8" t="s">
        <v>333</v>
      </c>
      <c r="C127" s="8" t="s">
        <v>510</v>
      </c>
      <c r="D127" s="8" t="s">
        <v>16</v>
      </c>
      <c r="E127" s="8" t="s">
        <v>17</v>
      </c>
      <c r="F127" s="9">
        <v>46054.0</v>
      </c>
      <c r="G127" s="8" t="s">
        <v>511</v>
      </c>
      <c r="H127" s="8" t="s">
        <v>512</v>
      </c>
      <c r="I127" s="8" t="s">
        <v>513</v>
      </c>
      <c r="J127" s="8"/>
    </row>
    <row r="128">
      <c r="A128" s="7">
        <v>2.0030356E7</v>
      </c>
      <c r="B128" s="8" t="s">
        <v>333</v>
      </c>
      <c r="C128" s="8" t="s">
        <v>514</v>
      </c>
      <c r="D128" s="8" t="s">
        <v>16</v>
      </c>
      <c r="E128" s="8" t="s">
        <v>17</v>
      </c>
      <c r="F128" s="9">
        <v>46038.0</v>
      </c>
      <c r="G128" s="8" t="s">
        <v>504</v>
      </c>
      <c r="H128" s="8" t="s">
        <v>505</v>
      </c>
      <c r="I128" s="8" t="s">
        <v>515</v>
      </c>
      <c r="J128" s="8" t="s">
        <v>516</v>
      </c>
    </row>
    <row r="129">
      <c r="A129" s="7">
        <v>2.0030356E7</v>
      </c>
      <c r="B129" s="8" t="s">
        <v>333</v>
      </c>
      <c r="C129" s="8" t="s">
        <v>514</v>
      </c>
      <c r="D129" s="8" t="s">
        <v>16</v>
      </c>
      <c r="E129" s="8" t="s">
        <v>17</v>
      </c>
      <c r="F129" s="9">
        <v>46038.0</v>
      </c>
      <c r="G129" s="8" t="s">
        <v>517</v>
      </c>
      <c r="H129" s="8" t="s">
        <v>518</v>
      </c>
      <c r="I129" s="8" t="s">
        <v>519</v>
      </c>
      <c r="J129" s="8" t="s">
        <v>520</v>
      </c>
    </row>
    <row r="130">
      <c r="A130" s="7">
        <v>2.0028959E7</v>
      </c>
      <c r="B130" s="8" t="s">
        <v>333</v>
      </c>
      <c r="C130" s="8" t="s">
        <v>521</v>
      </c>
      <c r="D130" s="8" t="s">
        <v>16</v>
      </c>
      <c r="E130" s="8" t="s">
        <v>17</v>
      </c>
      <c r="F130" s="9">
        <v>46046.0</v>
      </c>
      <c r="G130" s="8" t="s">
        <v>522</v>
      </c>
      <c r="H130" s="8" t="s">
        <v>523</v>
      </c>
      <c r="I130" s="8" t="s">
        <v>524</v>
      </c>
      <c r="J130" s="8"/>
    </row>
    <row r="131">
      <c r="A131" s="7">
        <v>2.0030321E7</v>
      </c>
      <c r="B131" s="8" t="s">
        <v>333</v>
      </c>
      <c r="C131" s="8" t="s">
        <v>525</v>
      </c>
      <c r="D131" s="8" t="s">
        <v>16</v>
      </c>
      <c r="E131" s="8" t="s">
        <v>17</v>
      </c>
      <c r="F131" s="9">
        <v>46052.0</v>
      </c>
      <c r="G131" s="8" t="s">
        <v>158</v>
      </c>
      <c r="H131" s="8" t="s">
        <v>159</v>
      </c>
      <c r="I131" s="8" t="s">
        <v>526</v>
      </c>
      <c r="J131" s="8"/>
    </row>
    <row r="132">
      <c r="A132" s="7">
        <v>2.0028871E7</v>
      </c>
      <c r="B132" s="8" t="s">
        <v>333</v>
      </c>
      <c r="C132" s="8" t="s">
        <v>527</v>
      </c>
      <c r="D132" s="8" t="s">
        <v>16</v>
      </c>
      <c r="E132" s="8" t="s">
        <v>17</v>
      </c>
      <c r="F132" s="9">
        <v>46045.0</v>
      </c>
      <c r="G132" s="8" t="s">
        <v>528</v>
      </c>
      <c r="H132" s="8" t="s">
        <v>529</v>
      </c>
      <c r="I132" s="8" t="s">
        <v>530</v>
      </c>
      <c r="J132" s="8"/>
    </row>
    <row r="133">
      <c r="A133" s="7">
        <v>2.0029807E7</v>
      </c>
      <c r="B133" s="8" t="s">
        <v>333</v>
      </c>
      <c r="C133" s="8" t="s">
        <v>531</v>
      </c>
      <c r="D133" s="8" t="s">
        <v>16</v>
      </c>
      <c r="E133" s="8" t="s">
        <v>17</v>
      </c>
      <c r="F133" s="9">
        <v>46047.0</v>
      </c>
      <c r="G133" s="8" t="s">
        <v>532</v>
      </c>
      <c r="H133" s="8" t="s">
        <v>533</v>
      </c>
      <c r="I133" s="8" t="s">
        <v>534</v>
      </c>
      <c r="J133" s="8"/>
    </row>
    <row r="134">
      <c r="A134" s="7">
        <v>2.0029768E7</v>
      </c>
      <c r="B134" s="8" t="s">
        <v>333</v>
      </c>
      <c r="C134" s="8" t="s">
        <v>535</v>
      </c>
      <c r="D134" s="8" t="s">
        <v>16</v>
      </c>
      <c r="E134" s="8" t="s">
        <v>17</v>
      </c>
      <c r="F134" s="9">
        <v>46032.0</v>
      </c>
      <c r="G134" s="8" t="s">
        <v>385</v>
      </c>
      <c r="H134" s="8" t="s">
        <v>386</v>
      </c>
      <c r="I134" s="8" t="s">
        <v>536</v>
      </c>
      <c r="J134" s="8" t="s">
        <v>537</v>
      </c>
    </row>
    <row r="135">
      <c r="A135" s="7">
        <v>2.0029884E7</v>
      </c>
      <c r="B135" s="8" t="s">
        <v>333</v>
      </c>
      <c r="C135" s="8" t="s">
        <v>538</v>
      </c>
      <c r="D135" s="8" t="s">
        <v>16</v>
      </c>
      <c r="E135" s="8" t="s">
        <v>17</v>
      </c>
      <c r="F135" s="9">
        <v>46044.0</v>
      </c>
      <c r="G135" s="8" t="s">
        <v>184</v>
      </c>
      <c r="H135" s="8" t="s">
        <v>185</v>
      </c>
      <c r="I135" s="8" t="s">
        <v>539</v>
      </c>
      <c r="J135" s="8"/>
    </row>
    <row r="136">
      <c r="A136" s="7">
        <v>2.0027594E7</v>
      </c>
      <c r="B136" s="8" t="s">
        <v>333</v>
      </c>
      <c r="C136" s="8" t="s">
        <v>540</v>
      </c>
      <c r="D136" s="8" t="s">
        <v>16</v>
      </c>
      <c r="E136" s="8" t="s">
        <v>17</v>
      </c>
      <c r="F136" s="9">
        <v>46044.0</v>
      </c>
      <c r="G136" s="8" t="s">
        <v>467</v>
      </c>
      <c r="H136" s="8" t="s">
        <v>468</v>
      </c>
      <c r="I136" s="8" t="s">
        <v>541</v>
      </c>
      <c r="J136" s="8"/>
    </row>
    <row r="137">
      <c r="A137" s="7">
        <v>2.0028314E7</v>
      </c>
      <c r="B137" s="8" t="s">
        <v>333</v>
      </c>
      <c r="C137" s="8" t="s">
        <v>542</v>
      </c>
      <c r="D137" s="8" t="s">
        <v>16</v>
      </c>
      <c r="E137" s="8" t="s">
        <v>17</v>
      </c>
      <c r="F137" s="9">
        <v>46040.0</v>
      </c>
      <c r="G137" s="8" t="s">
        <v>543</v>
      </c>
      <c r="H137" s="8" t="s">
        <v>544</v>
      </c>
      <c r="I137" s="8" t="s">
        <v>545</v>
      </c>
      <c r="J137" s="8"/>
    </row>
    <row r="138">
      <c r="A138" s="7">
        <v>2.0028314E7</v>
      </c>
      <c r="B138" s="8" t="s">
        <v>333</v>
      </c>
      <c r="C138" s="8" t="s">
        <v>542</v>
      </c>
      <c r="D138" s="8" t="s">
        <v>16</v>
      </c>
      <c r="E138" s="8" t="s">
        <v>17</v>
      </c>
      <c r="F138" s="9">
        <v>46040.0</v>
      </c>
      <c r="G138" s="8" t="s">
        <v>546</v>
      </c>
      <c r="H138" s="8" t="s">
        <v>547</v>
      </c>
      <c r="I138" s="8" t="s">
        <v>548</v>
      </c>
      <c r="J138" s="8" t="s">
        <v>549</v>
      </c>
    </row>
    <row r="139">
      <c r="A139" s="7">
        <v>2.002931E7</v>
      </c>
      <c r="B139" s="8" t="s">
        <v>333</v>
      </c>
      <c r="C139" s="8" t="s">
        <v>550</v>
      </c>
      <c r="D139" s="8" t="s">
        <v>16</v>
      </c>
      <c r="E139" s="8" t="s">
        <v>17</v>
      </c>
      <c r="F139" s="9">
        <v>46029.0</v>
      </c>
      <c r="G139" s="8" t="s">
        <v>365</v>
      </c>
      <c r="H139" s="8" t="s">
        <v>366</v>
      </c>
      <c r="I139" s="8" t="s">
        <v>551</v>
      </c>
      <c r="J139" s="8" t="s">
        <v>552</v>
      </c>
    </row>
    <row r="140">
      <c r="A140" s="7">
        <v>2.0029073E7</v>
      </c>
      <c r="B140" s="8" t="s">
        <v>333</v>
      </c>
      <c r="C140" s="8" t="s">
        <v>553</v>
      </c>
      <c r="D140" s="8" t="s">
        <v>16</v>
      </c>
      <c r="E140" s="8" t="s">
        <v>17</v>
      </c>
      <c r="F140" s="9">
        <v>46045.0</v>
      </c>
      <c r="G140" s="8" t="s">
        <v>436</v>
      </c>
      <c r="H140" s="8" t="s">
        <v>437</v>
      </c>
      <c r="I140" s="8" t="s">
        <v>554</v>
      </c>
      <c r="J140" s="8"/>
    </row>
    <row r="141">
      <c r="A141" s="7">
        <v>2.0028806E7</v>
      </c>
      <c r="B141" s="8" t="s">
        <v>333</v>
      </c>
      <c r="C141" s="8" t="s">
        <v>555</v>
      </c>
      <c r="D141" s="8" t="s">
        <v>16</v>
      </c>
      <c r="E141" s="8" t="s">
        <v>17</v>
      </c>
      <c r="F141" s="9">
        <v>46044.0</v>
      </c>
      <c r="G141" s="8" t="s">
        <v>390</v>
      </c>
      <c r="H141" s="8" t="s">
        <v>391</v>
      </c>
      <c r="I141" s="8" t="s">
        <v>556</v>
      </c>
      <c r="J141" s="8"/>
    </row>
    <row r="142">
      <c r="A142" s="7">
        <v>2.0028526E7</v>
      </c>
      <c r="B142" s="8" t="s">
        <v>333</v>
      </c>
      <c r="C142" s="8" t="s">
        <v>557</v>
      </c>
      <c r="D142" s="8" t="s">
        <v>16</v>
      </c>
      <c r="E142" s="8" t="s">
        <v>17</v>
      </c>
      <c r="F142" s="9">
        <v>46030.0</v>
      </c>
      <c r="G142" s="8" t="s">
        <v>504</v>
      </c>
      <c r="H142" s="8" t="s">
        <v>505</v>
      </c>
      <c r="I142" s="8" t="s">
        <v>558</v>
      </c>
      <c r="J142" s="8" t="s">
        <v>559</v>
      </c>
    </row>
    <row r="143">
      <c r="A143" s="7">
        <v>2.0028101E7</v>
      </c>
      <c r="B143" s="8" t="s">
        <v>333</v>
      </c>
      <c r="C143" s="8" t="s">
        <v>560</v>
      </c>
      <c r="D143" s="8" t="s">
        <v>16</v>
      </c>
      <c r="E143" s="8" t="s">
        <v>17</v>
      </c>
      <c r="F143" s="9">
        <v>46041.0</v>
      </c>
      <c r="G143" s="8" t="s">
        <v>561</v>
      </c>
      <c r="H143" s="8" t="s">
        <v>562</v>
      </c>
      <c r="I143" s="8" t="s">
        <v>563</v>
      </c>
      <c r="J143" s="8"/>
    </row>
    <row r="144">
      <c r="A144" s="7">
        <v>2.0025363E7</v>
      </c>
      <c r="B144" s="8" t="s">
        <v>333</v>
      </c>
      <c r="C144" s="8" t="s">
        <v>564</v>
      </c>
      <c r="D144" s="8" t="s">
        <v>16</v>
      </c>
      <c r="E144" s="8" t="s">
        <v>17</v>
      </c>
      <c r="F144" s="9">
        <v>46055.0</v>
      </c>
      <c r="G144" s="8" t="s">
        <v>565</v>
      </c>
      <c r="H144" s="8" t="s">
        <v>566</v>
      </c>
      <c r="I144" s="8" t="s">
        <v>567</v>
      </c>
      <c r="J144" s="8" t="s">
        <v>568</v>
      </c>
    </row>
    <row r="145">
      <c r="A145" s="7">
        <v>2.0027209E7</v>
      </c>
      <c r="B145" s="8" t="s">
        <v>333</v>
      </c>
      <c r="C145" s="8" t="s">
        <v>569</v>
      </c>
      <c r="D145" s="8" t="s">
        <v>16</v>
      </c>
      <c r="E145" s="8" t="s">
        <v>17</v>
      </c>
      <c r="F145" s="9">
        <v>46027.0</v>
      </c>
      <c r="G145" s="8" t="s">
        <v>220</v>
      </c>
      <c r="H145" s="8" t="s">
        <v>221</v>
      </c>
      <c r="I145" s="8" t="s">
        <v>570</v>
      </c>
      <c r="J145" s="8" t="s">
        <v>571</v>
      </c>
    </row>
    <row r="146">
      <c r="A146" s="7">
        <v>2.0027008E7</v>
      </c>
      <c r="B146" s="8" t="s">
        <v>333</v>
      </c>
      <c r="C146" s="8" t="s">
        <v>572</v>
      </c>
      <c r="D146" s="8" t="s">
        <v>16</v>
      </c>
      <c r="E146" s="8" t="s">
        <v>17</v>
      </c>
      <c r="F146" s="9">
        <v>46040.0</v>
      </c>
      <c r="G146" s="8" t="s">
        <v>573</v>
      </c>
      <c r="H146" s="8" t="s">
        <v>574</v>
      </c>
      <c r="I146" s="8" t="s">
        <v>575</v>
      </c>
      <c r="J146" s="8"/>
    </row>
    <row r="147">
      <c r="A147" s="7">
        <v>2.0025631E7</v>
      </c>
      <c r="B147" s="8" t="s">
        <v>333</v>
      </c>
      <c r="C147" s="8" t="s">
        <v>576</v>
      </c>
      <c r="D147" s="8" t="s">
        <v>16</v>
      </c>
      <c r="E147" s="8" t="s">
        <v>17</v>
      </c>
      <c r="F147" s="9">
        <v>46040.0</v>
      </c>
      <c r="G147" s="8" t="s">
        <v>577</v>
      </c>
      <c r="H147" s="8" t="s">
        <v>578</v>
      </c>
      <c r="I147" s="8" t="s">
        <v>579</v>
      </c>
      <c r="J147" s="8"/>
    </row>
    <row r="148">
      <c r="A148" s="7">
        <v>2.002862E7</v>
      </c>
      <c r="B148" s="8" t="s">
        <v>333</v>
      </c>
      <c r="C148" s="8" t="s">
        <v>580</v>
      </c>
      <c r="D148" s="8" t="s">
        <v>16</v>
      </c>
      <c r="E148" s="8" t="s">
        <v>17</v>
      </c>
      <c r="F148" s="9">
        <v>46026.0</v>
      </c>
      <c r="G148" s="8" t="s">
        <v>385</v>
      </c>
      <c r="H148" s="8" t="s">
        <v>386</v>
      </c>
      <c r="I148" s="8" t="s">
        <v>581</v>
      </c>
      <c r="J148" s="8" t="s">
        <v>582</v>
      </c>
    </row>
    <row r="149">
      <c r="A149" s="7">
        <v>2.0027005E7</v>
      </c>
      <c r="B149" s="8" t="s">
        <v>333</v>
      </c>
      <c r="C149" s="8" t="s">
        <v>583</v>
      </c>
      <c r="D149" s="8" t="s">
        <v>16</v>
      </c>
      <c r="E149" s="8" t="s">
        <v>17</v>
      </c>
      <c r="F149" s="9">
        <v>46040.0</v>
      </c>
      <c r="G149" s="8" t="s">
        <v>584</v>
      </c>
      <c r="H149" s="8" t="s">
        <v>585</v>
      </c>
      <c r="I149" s="8" t="s">
        <v>586</v>
      </c>
      <c r="J149" s="8"/>
    </row>
    <row r="150">
      <c r="A150" s="7">
        <v>2.0011354E7</v>
      </c>
      <c r="B150" s="8" t="s">
        <v>333</v>
      </c>
      <c r="C150" s="8" t="s">
        <v>587</v>
      </c>
      <c r="D150" s="8" t="s">
        <v>16</v>
      </c>
      <c r="E150" s="8" t="s">
        <v>17</v>
      </c>
      <c r="F150" s="9">
        <v>46039.0</v>
      </c>
      <c r="G150" s="8" t="s">
        <v>374</v>
      </c>
      <c r="H150" s="8" t="s">
        <v>375</v>
      </c>
      <c r="I150" s="8" t="s">
        <v>588</v>
      </c>
      <c r="J150" s="8"/>
    </row>
    <row r="151">
      <c r="A151" s="7">
        <v>2.002864E7</v>
      </c>
      <c r="B151" s="8" t="s">
        <v>333</v>
      </c>
      <c r="C151" s="8" t="s">
        <v>589</v>
      </c>
      <c r="D151" s="8" t="s">
        <v>16</v>
      </c>
      <c r="E151" s="8" t="s">
        <v>17</v>
      </c>
      <c r="F151" s="9">
        <v>46040.0</v>
      </c>
      <c r="G151" s="8" t="s">
        <v>590</v>
      </c>
      <c r="H151" s="8" t="s">
        <v>591</v>
      </c>
      <c r="I151" s="8" t="s">
        <v>592</v>
      </c>
      <c r="J151" s="8"/>
    </row>
    <row r="152">
      <c r="A152" s="7">
        <v>2.002883E7</v>
      </c>
      <c r="B152" s="8" t="s">
        <v>333</v>
      </c>
      <c r="C152" s="8" t="s">
        <v>593</v>
      </c>
      <c r="D152" s="8" t="s">
        <v>16</v>
      </c>
      <c r="E152" s="8" t="s">
        <v>17</v>
      </c>
      <c r="F152" s="9">
        <v>46039.0</v>
      </c>
      <c r="G152" s="8" t="s">
        <v>594</v>
      </c>
      <c r="H152" s="8" t="s">
        <v>595</v>
      </c>
      <c r="I152" s="8" t="s">
        <v>596</v>
      </c>
      <c r="J152" s="8"/>
    </row>
    <row r="153">
      <c r="A153" s="7">
        <v>2.0024962E7</v>
      </c>
      <c r="B153" s="8" t="s">
        <v>333</v>
      </c>
      <c r="C153" s="8" t="s">
        <v>597</v>
      </c>
      <c r="D153" s="8" t="s">
        <v>16</v>
      </c>
      <c r="E153" s="8" t="s">
        <v>17</v>
      </c>
      <c r="F153" s="9">
        <v>46027.0</v>
      </c>
      <c r="G153" s="8" t="s">
        <v>365</v>
      </c>
      <c r="H153" s="8" t="s">
        <v>366</v>
      </c>
      <c r="I153" s="8" t="s">
        <v>598</v>
      </c>
      <c r="J153" s="8" t="s">
        <v>599</v>
      </c>
    </row>
    <row r="154">
      <c r="A154" s="7">
        <v>2.0027505E7</v>
      </c>
      <c r="B154" s="8" t="s">
        <v>333</v>
      </c>
      <c r="C154" s="8" t="s">
        <v>600</v>
      </c>
      <c r="D154" s="8" t="s">
        <v>16</v>
      </c>
      <c r="E154" s="8" t="s">
        <v>17</v>
      </c>
      <c r="F154" s="9">
        <v>46040.0</v>
      </c>
      <c r="G154" s="8" t="s">
        <v>601</v>
      </c>
      <c r="H154" s="8" t="s">
        <v>602</v>
      </c>
      <c r="I154" s="8" t="s">
        <v>603</v>
      </c>
      <c r="J154" s="8"/>
    </row>
    <row r="155">
      <c r="A155" s="7">
        <v>2.0021667E7</v>
      </c>
      <c r="B155" s="8" t="s">
        <v>333</v>
      </c>
      <c r="C155" s="8" t="s">
        <v>604</v>
      </c>
      <c r="D155" s="8" t="s">
        <v>16</v>
      </c>
      <c r="E155" s="8" t="s">
        <v>17</v>
      </c>
      <c r="F155" s="9">
        <v>46039.0</v>
      </c>
      <c r="G155" s="8" t="s">
        <v>436</v>
      </c>
      <c r="H155" s="8" t="s">
        <v>437</v>
      </c>
      <c r="I155" s="8" t="s">
        <v>605</v>
      </c>
      <c r="J155" s="8"/>
    </row>
    <row r="156">
      <c r="A156" s="7">
        <v>2.002638E7</v>
      </c>
      <c r="B156" s="8" t="s">
        <v>333</v>
      </c>
      <c r="C156" s="8" t="s">
        <v>606</v>
      </c>
      <c r="D156" s="8" t="s">
        <v>16</v>
      </c>
      <c r="E156" s="8" t="s">
        <v>17</v>
      </c>
      <c r="F156" s="9">
        <v>46040.0</v>
      </c>
      <c r="G156" s="8" t="s">
        <v>607</v>
      </c>
      <c r="H156" s="8" t="s">
        <v>608</v>
      </c>
      <c r="I156" s="8" t="s">
        <v>609</v>
      </c>
      <c r="J156" s="8"/>
    </row>
    <row r="157">
      <c r="A157" s="7">
        <v>2.0027974E7</v>
      </c>
      <c r="B157" s="8" t="s">
        <v>333</v>
      </c>
      <c r="C157" s="8" t="s">
        <v>610</v>
      </c>
      <c r="D157" s="8" t="s">
        <v>16</v>
      </c>
      <c r="E157" s="8" t="s">
        <v>17</v>
      </c>
      <c r="F157" s="9">
        <v>46024.0</v>
      </c>
      <c r="G157" s="8" t="s">
        <v>171</v>
      </c>
      <c r="H157" s="8" t="s">
        <v>172</v>
      </c>
      <c r="I157" s="8" t="s">
        <v>611</v>
      </c>
      <c r="J157" s="8"/>
    </row>
    <row r="158">
      <c r="A158" s="7">
        <v>2.0025861E7</v>
      </c>
      <c r="B158" s="8" t="s">
        <v>333</v>
      </c>
      <c r="C158" s="8" t="s">
        <v>612</v>
      </c>
      <c r="D158" s="8" t="s">
        <v>16</v>
      </c>
      <c r="E158" s="8" t="s">
        <v>17</v>
      </c>
      <c r="F158" s="9">
        <v>46026.0</v>
      </c>
      <c r="G158" s="8" t="s">
        <v>613</v>
      </c>
      <c r="H158" s="8" t="s">
        <v>614</v>
      </c>
      <c r="I158" s="8" t="s">
        <v>615</v>
      </c>
      <c r="J158" s="8" t="s">
        <v>616</v>
      </c>
    </row>
    <row r="159">
      <c r="A159" s="7">
        <v>2.002756E7</v>
      </c>
      <c r="B159" s="8" t="s">
        <v>333</v>
      </c>
      <c r="C159" s="8" t="s">
        <v>617</v>
      </c>
      <c r="D159" s="8" t="s">
        <v>16</v>
      </c>
      <c r="E159" s="8" t="s">
        <v>17</v>
      </c>
      <c r="F159" s="9">
        <v>46037.0</v>
      </c>
      <c r="G159" s="8" t="s">
        <v>390</v>
      </c>
      <c r="H159" s="8" t="s">
        <v>391</v>
      </c>
      <c r="I159" s="8" t="s">
        <v>618</v>
      </c>
      <c r="J159" s="8"/>
    </row>
    <row r="160">
      <c r="A160" s="7">
        <v>2.0025776E7</v>
      </c>
      <c r="B160" s="8" t="s">
        <v>333</v>
      </c>
      <c r="C160" s="8" t="s">
        <v>619</v>
      </c>
      <c r="D160" s="8" t="s">
        <v>16</v>
      </c>
      <c r="E160" s="8" t="s">
        <v>17</v>
      </c>
      <c r="F160" s="9">
        <v>46039.0</v>
      </c>
      <c r="G160" s="8" t="s">
        <v>543</v>
      </c>
      <c r="H160" s="8" t="s">
        <v>544</v>
      </c>
      <c r="I160" s="8" t="s">
        <v>620</v>
      </c>
      <c r="J160" s="8"/>
    </row>
    <row r="161">
      <c r="A161" s="7">
        <v>2.0025721E7</v>
      </c>
      <c r="B161" s="8" t="s">
        <v>333</v>
      </c>
      <c r="C161" s="8" t="s">
        <v>621</v>
      </c>
      <c r="D161" s="8" t="s">
        <v>16</v>
      </c>
      <c r="E161" s="8" t="s">
        <v>17</v>
      </c>
      <c r="F161" s="9">
        <v>46028.0</v>
      </c>
      <c r="G161" s="8" t="s">
        <v>436</v>
      </c>
      <c r="H161" s="8" t="s">
        <v>437</v>
      </c>
      <c r="I161" s="8" t="s">
        <v>622</v>
      </c>
      <c r="J161" s="8"/>
    </row>
    <row r="162">
      <c r="A162" s="7">
        <v>2.0024453E7</v>
      </c>
      <c r="B162" s="8" t="s">
        <v>333</v>
      </c>
      <c r="C162" s="8" t="s">
        <v>623</v>
      </c>
      <c r="D162" s="8" t="s">
        <v>16</v>
      </c>
      <c r="E162" s="8" t="s">
        <v>17</v>
      </c>
      <c r="F162" s="9">
        <v>46026.0</v>
      </c>
      <c r="G162" s="8" t="s">
        <v>436</v>
      </c>
      <c r="H162" s="8" t="s">
        <v>437</v>
      </c>
      <c r="I162" s="8" t="s">
        <v>624</v>
      </c>
      <c r="J162" s="8"/>
    </row>
    <row r="163">
      <c r="A163" s="7">
        <v>2.0026855E7</v>
      </c>
      <c r="B163" s="8" t="s">
        <v>333</v>
      </c>
      <c r="C163" s="8" t="s">
        <v>625</v>
      </c>
      <c r="D163" s="8" t="s">
        <v>16</v>
      </c>
      <c r="E163" s="8" t="s">
        <v>17</v>
      </c>
      <c r="F163" s="9">
        <v>46033.0</v>
      </c>
      <c r="G163" s="8" t="s">
        <v>626</v>
      </c>
      <c r="H163" s="8" t="s">
        <v>627</v>
      </c>
      <c r="I163" s="8" t="s">
        <v>628</v>
      </c>
      <c r="J163" s="8"/>
    </row>
    <row r="164">
      <c r="A164" s="7">
        <v>2.0027176E7</v>
      </c>
      <c r="B164" s="8" t="s">
        <v>333</v>
      </c>
      <c r="C164" s="8" t="s">
        <v>629</v>
      </c>
      <c r="D164" s="8" t="s">
        <v>16</v>
      </c>
      <c r="E164" s="8" t="s">
        <v>17</v>
      </c>
      <c r="F164" s="9">
        <v>46042.0</v>
      </c>
      <c r="G164" s="8" t="s">
        <v>630</v>
      </c>
      <c r="H164" s="8" t="s">
        <v>631</v>
      </c>
      <c r="I164" s="8" t="s">
        <v>632</v>
      </c>
      <c r="J164" s="8"/>
    </row>
    <row r="165">
      <c r="A165" s="7">
        <v>2.0025934E7</v>
      </c>
      <c r="B165" s="8" t="s">
        <v>333</v>
      </c>
      <c r="C165" s="8" t="s">
        <v>633</v>
      </c>
      <c r="D165" s="8" t="s">
        <v>16</v>
      </c>
      <c r="E165" s="8" t="s">
        <v>17</v>
      </c>
      <c r="F165" s="9">
        <v>46025.0</v>
      </c>
      <c r="G165" s="8" t="s">
        <v>634</v>
      </c>
      <c r="H165" s="8" t="s">
        <v>635</v>
      </c>
      <c r="I165" s="8" t="s">
        <v>636</v>
      </c>
      <c r="J165" s="8" t="s">
        <v>637</v>
      </c>
    </row>
    <row r="166">
      <c r="A166" s="7">
        <v>2.0025934E7</v>
      </c>
      <c r="B166" s="8" t="s">
        <v>333</v>
      </c>
      <c r="C166" s="8" t="s">
        <v>633</v>
      </c>
      <c r="D166" s="8" t="s">
        <v>16</v>
      </c>
      <c r="E166" s="8" t="s">
        <v>17</v>
      </c>
      <c r="F166" s="9">
        <v>46025.0</v>
      </c>
      <c r="G166" s="8" t="s">
        <v>638</v>
      </c>
      <c r="H166" s="8" t="s">
        <v>639</v>
      </c>
      <c r="I166" s="8" t="s">
        <v>640</v>
      </c>
      <c r="J166" s="8" t="s">
        <v>641</v>
      </c>
    </row>
    <row r="167">
      <c r="A167" s="7">
        <v>2.0027298E7</v>
      </c>
      <c r="B167" s="8" t="s">
        <v>333</v>
      </c>
      <c r="C167" s="8" t="s">
        <v>642</v>
      </c>
      <c r="D167" s="8" t="s">
        <v>16</v>
      </c>
      <c r="E167" s="8" t="s">
        <v>17</v>
      </c>
      <c r="F167" s="9">
        <v>46034.0</v>
      </c>
      <c r="G167" s="8" t="s">
        <v>643</v>
      </c>
      <c r="H167" s="8" t="s">
        <v>644</v>
      </c>
      <c r="I167" s="8" t="s">
        <v>645</v>
      </c>
      <c r="J167" s="8"/>
    </row>
    <row r="168">
      <c r="A168" s="7">
        <v>2.0026942E7</v>
      </c>
      <c r="B168" s="8" t="s">
        <v>333</v>
      </c>
      <c r="C168" s="8" t="s">
        <v>646</v>
      </c>
      <c r="D168" s="8" t="s">
        <v>16</v>
      </c>
      <c r="E168" s="8" t="s">
        <v>17</v>
      </c>
      <c r="F168" s="9">
        <v>46040.0</v>
      </c>
      <c r="G168" s="8" t="s">
        <v>647</v>
      </c>
      <c r="H168" s="8" t="s">
        <v>648</v>
      </c>
      <c r="I168" s="8" t="s">
        <v>649</v>
      </c>
      <c r="J168" s="8"/>
    </row>
    <row r="169">
      <c r="A169" s="7">
        <v>2.0017751E7</v>
      </c>
      <c r="B169" s="8" t="s">
        <v>333</v>
      </c>
      <c r="C169" s="8" t="s">
        <v>650</v>
      </c>
      <c r="D169" s="8" t="s">
        <v>16</v>
      </c>
      <c r="E169" s="8" t="s">
        <v>17</v>
      </c>
      <c r="F169" s="9">
        <v>46027.0</v>
      </c>
      <c r="G169" s="8" t="s">
        <v>400</v>
      </c>
      <c r="H169" s="8" t="s">
        <v>401</v>
      </c>
      <c r="I169" s="8" t="s">
        <v>651</v>
      </c>
      <c r="J169" s="8" t="s">
        <v>652</v>
      </c>
    </row>
    <row r="170">
      <c r="A170" s="7">
        <v>2.0027329E7</v>
      </c>
      <c r="B170" s="8" t="s">
        <v>333</v>
      </c>
      <c r="C170" s="8" t="s">
        <v>653</v>
      </c>
      <c r="D170" s="8" t="s">
        <v>16</v>
      </c>
      <c r="E170" s="8" t="s">
        <v>17</v>
      </c>
      <c r="F170" s="9">
        <v>46029.0</v>
      </c>
      <c r="G170" s="8" t="s">
        <v>654</v>
      </c>
      <c r="H170" s="8" t="s">
        <v>655</v>
      </c>
      <c r="I170" s="8" t="s">
        <v>656</v>
      </c>
      <c r="J170" s="8"/>
    </row>
    <row r="171">
      <c r="A171" s="7">
        <v>2.0024984E7</v>
      </c>
      <c r="B171" s="8" t="s">
        <v>333</v>
      </c>
      <c r="C171" s="8" t="s">
        <v>657</v>
      </c>
      <c r="D171" s="8" t="s">
        <v>16</v>
      </c>
      <c r="E171" s="8" t="s">
        <v>17</v>
      </c>
      <c r="F171" s="9">
        <v>46033.0</v>
      </c>
      <c r="G171" s="8" t="s">
        <v>658</v>
      </c>
      <c r="H171" s="8" t="s">
        <v>659</v>
      </c>
      <c r="I171" s="8" t="s">
        <v>660</v>
      </c>
      <c r="J171" s="8"/>
    </row>
    <row r="172">
      <c r="A172" s="7">
        <v>2.0026221E7</v>
      </c>
      <c r="B172" s="8" t="s">
        <v>333</v>
      </c>
      <c r="C172" s="8" t="s">
        <v>661</v>
      </c>
      <c r="D172" s="8" t="s">
        <v>16</v>
      </c>
      <c r="E172" s="8" t="s">
        <v>17</v>
      </c>
      <c r="F172" s="9">
        <v>46033.0</v>
      </c>
      <c r="G172" s="8" t="s">
        <v>158</v>
      </c>
      <c r="H172" s="8" t="s">
        <v>159</v>
      </c>
      <c r="I172" s="8" t="s">
        <v>662</v>
      </c>
      <c r="J172" s="8"/>
    </row>
    <row r="173">
      <c r="A173" s="7">
        <v>2.0026476E7</v>
      </c>
      <c r="B173" s="8" t="s">
        <v>333</v>
      </c>
      <c r="C173" s="8" t="s">
        <v>663</v>
      </c>
      <c r="D173" s="8" t="s">
        <v>16</v>
      </c>
      <c r="E173" s="8" t="s">
        <v>17</v>
      </c>
      <c r="F173" s="9">
        <v>46033.0</v>
      </c>
      <c r="G173" s="8" t="s">
        <v>486</v>
      </c>
      <c r="H173" s="8" t="s">
        <v>487</v>
      </c>
      <c r="I173" s="8" t="s">
        <v>664</v>
      </c>
      <c r="J173" s="8"/>
    </row>
    <row r="174">
      <c r="A174" s="7">
        <v>2.0027259E7</v>
      </c>
      <c r="B174" s="8" t="s">
        <v>333</v>
      </c>
      <c r="C174" s="8" t="s">
        <v>665</v>
      </c>
      <c r="D174" s="8" t="s">
        <v>16</v>
      </c>
      <c r="E174" s="8" t="s">
        <v>17</v>
      </c>
      <c r="F174" s="9">
        <v>46033.0</v>
      </c>
      <c r="G174" s="8" t="s">
        <v>666</v>
      </c>
      <c r="H174" s="8" t="s">
        <v>667</v>
      </c>
      <c r="I174" s="8" t="s">
        <v>668</v>
      </c>
      <c r="J174" s="8"/>
    </row>
    <row r="175">
      <c r="A175" s="7">
        <v>2.0025508E7</v>
      </c>
      <c r="B175" s="8" t="s">
        <v>333</v>
      </c>
      <c r="C175" s="8" t="s">
        <v>669</v>
      </c>
      <c r="D175" s="8" t="s">
        <v>16</v>
      </c>
      <c r="E175" s="8" t="s">
        <v>17</v>
      </c>
      <c r="F175" s="9">
        <v>46034.0</v>
      </c>
      <c r="G175" s="8" t="s">
        <v>390</v>
      </c>
      <c r="H175" s="8" t="s">
        <v>391</v>
      </c>
      <c r="I175" s="8" t="s">
        <v>670</v>
      </c>
      <c r="J175" s="8"/>
    </row>
    <row r="176">
      <c r="A176" s="7">
        <v>2.0025201E7</v>
      </c>
      <c r="B176" s="8" t="s">
        <v>333</v>
      </c>
      <c r="C176" s="8" t="s">
        <v>671</v>
      </c>
      <c r="D176" s="8" t="s">
        <v>16</v>
      </c>
      <c r="E176" s="8" t="s">
        <v>17</v>
      </c>
      <c r="F176" s="9">
        <v>46046.0</v>
      </c>
      <c r="G176" s="8" t="s">
        <v>613</v>
      </c>
      <c r="H176" s="8" t="s">
        <v>614</v>
      </c>
      <c r="I176" s="8" t="s">
        <v>672</v>
      </c>
      <c r="J176" s="8" t="s">
        <v>673</v>
      </c>
    </row>
    <row r="177">
      <c r="A177" s="7">
        <v>2.0020278E7</v>
      </c>
      <c r="B177" s="8" t="s">
        <v>333</v>
      </c>
      <c r="C177" s="8" t="s">
        <v>674</v>
      </c>
      <c r="D177" s="8" t="s">
        <v>16</v>
      </c>
      <c r="E177" s="8" t="s">
        <v>17</v>
      </c>
      <c r="F177" s="9">
        <v>46032.0</v>
      </c>
      <c r="G177" s="8" t="s">
        <v>124</v>
      </c>
      <c r="H177" s="8" t="s">
        <v>125</v>
      </c>
      <c r="I177" s="8" t="s">
        <v>675</v>
      </c>
      <c r="J177" s="8"/>
    </row>
    <row r="178">
      <c r="A178" s="7">
        <v>2.0018942E7</v>
      </c>
      <c r="B178" s="8" t="s">
        <v>333</v>
      </c>
      <c r="C178" s="8" t="s">
        <v>676</v>
      </c>
      <c r="D178" s="8" t="s">
        <v>16</v>
      </c>
      <c r="E178" s="8" t="s">
        <v>48</v>
      </c>
      <c r="F178" s="9">
        <v>46033.0</v>
      </c>
      <c r="G178" s="8" t="s">
        <v>137</v>
      </c>
      <c r="H178" s="8" t="s">
        <v>138</v>
      </c>
      <c r="I178" s="8" t="s">
        <v>677</v>
      </c>
      <c r="J178" s="8"/>
    </row>
    <row r="179">
      <c r="A179" s="7">
        <v>2.0025386E7</v>
      </c>
      <c r="B179" s="8" t="s">
        <v>333</v>
      </c>
      <c r="C179" s="8" t="s">
        <v>678</v>
      </c>
      <c r="D179" s="8" t="s">
        <v>16</v>
      </c>
      <c r="E179" s="8" t="s">
        <v>17</v>
      </c>
      <c r="F179" s="9">
        <v>46039.0</v>
      </c>
      <c r="G179" s="8" t="s">
        <v>290</v>
      </c>
      <c r="H179" s="8" t="s">
        <v>291</v>
      </c>
      <c r="I179" s="8" t="s">
        <v>679</v>
      </c>
      <c r="J179" s="8"/>
    </row>
    <row r="180">
      <c r="A180" s="7">
        <v>2.0025105E7</v>
      </c>
      <c r="B180" s="8" t="s">
        <v>333</v>
      </c>
      <c r="C180" s="8" t="s">
        <v>680</v>
      </c>
      <c r="D180" s="8" t="s">
        <v>16</v>
      </c>
      <c r="E180" s="8" t="s">
        <v>17</v>
      </c>
      <c r="F180" s="9">
        <v>46037.0</v>
      </c>
      <c r="G180" s="8" t="s">
        <v>390</v>
      </c>
      <c r="H180" s="8" t="s">
        <v>391</v>
      </c>
      <c r="I180" s="8" t="s">
        <v>681</v>
      </c>
      <c r="J180" s="8"/>
    </row>
    <row r="181">
      <c r="A181" s="7">
        <v>2.0026136E7</v>
      </c>
      <c r="B181" s="8" t="s">
        <v>333</v>
      </c>
      <c r="C181" s="8" t="s">
        <v>682</v>
      </c>
      <c r="D181" s="8" t="s">
        <v>16</v>
      </c>
      <c r="E181" s="8" t="s">
        <v>17</v>
      </c>
      <c r="F181" s="9">
        <v>46036.0</v>
      </c>
      <c r="G181" s="8" t="s">
        <v>184</v>
      </c>
      <c r="H181" s="8" t="s">
        <v>185</v>
      </c>
      <c r="I181" s="8" t="s">
        <v>683</v>
      </c>
      <c r="J181" s="8"/>
    </row>
    <row r="182">
      <c r="A182" s="7">
        <v>2.0023567E7</v>
      </c>
      <c r="B182" s="8" t="s">
        <v>333</v>
      </c>
      <c r="C182" s="8" t="s">
        <v>684</v>
      </c>
      <c r="D182" s="8" t="s">
        <v>16</v>
      </c>
      <c r="E182" s="8" t="s">
        <v>17</v>
      </c>
      <c r="F182" s="9">
        <v>46024.0</v>
      </c>
      <c r="G182" s="8" t="s">
        <v>314</v>
      </c>
      <c r="H182" s="8" t="s">
        <v>315</v>
      </c>
      <c r="I182" s="8" t="s">
        <v>685</v>
      </c>
      <c r="J182" s="8" t="s">
        <v>686</v>
      </c>
    </row>
    <row r="183">
      <c r="A183" s="7">
        <v>2.0025873E7</v>
      </c>
      <c r="B183" s="8" t="s">
        <v>333</v>
      </c>
      <c r="C183" s="8" t="s">
        <v>687</v>
      </c>
      <c r="D183" s="8" t="s">
        <v>16</v>
      </c>
      <c r="E183" s="8" t="s">
        <v>17</v>
      </c>
      <c r="F183" s="9">
        <v>46026.0</v>
      </c>
      <c r="G183" s="8" t="s">
        <v>688</v>
      </c>
      <c r="H183" s="8" t="s">
        <v>689</v>
      </c>
      <c r="I183" s="8" t="s">
        <v>690</v>
      </c>
      <c r="J183" s="8"/>
    </row>
    <row r="184">
      <c r="A184" s="7">
        <v>2.0025522E7</v>
      </c>
      <c r="B184" s="8" t="s">
        <v>333</v>
      </c>
      <c r="C184" s="8" t="s">
        <v>691</v>
      </c>
      <c r="D184" s="8" t="s">
        <v>16</v>
      </c>
      <c r="E184" s="8" t="s">
        <v>17</v>
      </c>
      <c r="F184" s="9">
        <v>46024.0</v>
      </c>
      <c r="G184" s="8" t="s">
        <v>171</v>
      </c>
      <c r="H184" s="8" t="s">
        <v>172</v>
      </c>
      <c r="I184" s="8" t="s">
        <v>692</v>
      </c>
      <c r="J184" s="8"/>
    </row>
    <row r="185">
      <c r="A185" s="7">
        <v>2.0024979E7</v>
      </c>
      <c r="B185" s="8" t="s">
        <v>333</v>
      </c>
      <c r="C185" s="8" t="s">
        <v>693</v>
      </c>
      <c r="D185" s="8" t="s">
        <v>16</v>
      </c>
      <c r="E185" s="8" t="s">
        <v>17</v>
      </c>
      <c r="F185" s="9">
        <v>46032.0</v>
      </c>
      <c r="G185" s="8" t="s">
        <v>390</v>
      </c>
      <c r="H185" s="8" t="s">
        <v>391</v>
      </c>
      <c r="I185" s="8" t="s">
        <v>694</v>
      </c>
      <c r="J185" s="8"/>
    </row>
    <row r="186">
      <c r="A186" s="7">
        <v>2.0025339E7</v>
      </c>
      <c r="B186" s="8" t="s">
        <v>333</v>
      </c>
      <c r="C186" s="8" t="s">
        <v>695</v>
      </c>
      <c r="D186" s="8" t="s">
        <v>16</v>
      </c>
      <c r="E186" s="8" t="s">
        <v>17</v>
      </c>
      <c r="F186" s="9">
        <v>46027.0</v>
      </c>
      <c r="G186" s="8" t="s">
        <v>171</v>
      </c>
      <c r="H186" s="8" t="s">
        <v>172</v>
      </c>
      <c r="I186" s="8" t="s">
        <v>696</v>
      </c>
      <c r="J186" s="8"/>
    </row>
    <row r="187">
      <c r="A187" s="7">
        <v>2.0024639E7</v>
      </c>
      <c r="B187" s="8" t="s">
        <v>333</v>
      </c>
      <c r="C187" s="8" t="s">
        <v>697</v>
      </c>
      <c r="D187" s="8" t="s">
        <v>16</v>
      </c>
      <c r="E187" s="8" t="s">
        <v>17</v>
      </c>
      <c r="F187" s="9">
        <v>46030.0</v>
      </c>
      <c r="G187" s="8" t="s">
        <v>171</v>
      </c>
      <c r="H187" s="8" t="s">
        <v>172</v>
      </c>
      <c r="I187" s="8" t="s">
        <v>698</v>
      </c>
      <c r="J187" s="8"/>
    </row>
    <row r="188">
      <c r="A188" s="7">
        <v>2.0023531E7</v>
      </c>
      <c r="B188" s="8" t="s">
        <v>333</v>
      </c>
      <c r="C188" s="8" t="s">
        <v>699</v>
      </c>
      <c r="D188" s="8" t="s">
        <v>16</v>
      </c>
      <c r="E188" s="8" t="s">
        <v>700</v>
      </c>
      <c r="F188" s="9">
        <v>46031.0</v>
      </c>
      <c r="G188" s="8" t="s">
        <v>436</v>
      </c>
      <c r="H188" s="8" t="s">
        <v>437</v>
      </c>
      <c r="I188" s="8" t="s">
        <v>701</v>
      </c>
      <c r="J188" s="8"/>
    </row>
    <row r="189">
      <c r="A189" s="7">
        <v>2.0018274E7</v>
      </c>
      <c r="B189" s="8" t="s">
        <v>333</v>
      </c>
      <c r="C189" s="8" t="s">
        <v>702</v>
      </c>
      <c r="D189" s="8" t="s">
        <v>16</v>
      </c>
      <c r="E189" s="8" t="s">
        <v>17</v>
      </c>
      <c r="F189" s="9">
        <v>46024.0</v>
      </c>
      <c r="G189" s="8" t="s">
        <v>703</v>
      </c>
      <c r="H189" s="8" t="s">
        <v>704</v>
      </c>
      <c r="I189" s="8" t="s">
        <v>705</v>
      </c>
      <c r="J189" s="8"/>
    </row>
    <row r="190">
      <c r="A190" s="7">
        <v>2.0024973E7</v>
      </c>
      <c r="B190" s="8" t="s">
        <v>333</v>
      </c>
      <c r="C190" s="8" t="s">
        <v>706</v>
      </c>
      <c r="D190" s="8" t="s">
        <v>16</v>
      </c>
      <c r="E190" s="8" t="s">
        <v>17</v>
      </c>
      <c r="F190" s="9">
        <v>46026.0</v>
      </c>
      <c r="G190" s="8" t="s">
        <v>374</v>
      </c>
      <c r="H190" s="8" t="s">
        <v>375</v>
      </c>
      <c r="I190" s="8" t="s">
        <v>707</v>
      </c>
      <c r="J190" s="8"/>
    </row>
    <row r="191">
      <c r="A191" s="7">
        <v>2.0022243E7</v>
      </c>
      <c r="B191" s="8" t="s">
        <v>333</v>
      </c>
      <c r="C191" s="8" t="s">
        <v>708</v>
      </c>
      <c r="D191" s="8" t="s">
        <v>16</v>
      </c>
      <c r="E191" s="8" t="s">
        <v>17</v>
      </c>
      <c r="F191" s="9">
        <v>46025.0</v>
      </c>
      <c r="G191" s="8" t="s">
        <v>348</v>
      </c>
      <c r="H191" s="8" t="s">
        <v>349</v>
      </c>
      <c r="I191" s="8" t="s">
        <v>709</v>
      </c>
      <c r="J191" s="8"/>
    </row>
    <row r="192">
      <c r="A192" s="7">
        <v>2.0022174E7</v>
      </c>
      <c r="B192" s="8" t="s">
        <v>333</v>
      </c>
      <c r="C192" s="8" t="s">
        <v>710</v>
      </c>
      <c r="D192" s="8" t="s">
        <v>16</v>
      </c>
      <c r="E192" s="8" t="s">
        <v>17</v>
      </c>
      <c r="F192" s="9">
        <v>46033.0</v>
      </c>
      <c r="G192" s="8" t="s">
        <v>390</v>
      </c>
      <c r="H192" s="8" t="s">
        <v>391</v>
      </c>
      <c r="I192" s="8" t="s">
        <v>711</v>
      </c>
      <c r="J192" s="8"/>
    </row>
    <row r="193">
      <c r="A193" s="7">
        <v>2.0022446E7</v>
      </c>
      <c r="B193" s="8" t="s">
        <v>333</v>
      </c>
      <c r="C193" s="8" t="s">
        <v>712</v>
      </c>
      <c r="D193" s="8" t="s">
        <v>16</v>
      </c>
      <c r="E193" s="8" t="s">
        <v>17</v>
      </c>
      <c r="F193" s="9">
        <v>46027.0</v>
      </c>
      <c r="G193" s="8" t="s">
        <v>713</v>
      </c>
      <c r="H193" s="8" t="s">
        <v>714</v>
      </c>
      <c r="I193" s="8" t="s">
        <v>715</v>
      </c>
      <c r="J193" s="8"/>
    </row>
    <row r="194">
      <c r="A194" s="7">
        <v>2.0021822E7</v>
      </c>
      <c r="B194" s="8" t="s">
        <v>333</v>
      </c>
      <c r="C194" s="8" t="s">
        <v>716</v>
      </c>
      <c r="D194" s="8" t="s">
        <v>16</v>
      </c>
      <c r="E194" s="8" t="s">
        <v>17</v>
      </c>
      <c r="F194" s="9">
        <v>46025.0</v>
      </c>
      <c r="G194" s="8" t="s">
        <v>717</v>
      </c>
      <c r="H194" s="8" t="s">
        <v>718</v>
      </c>
      <c r="I194" s="8" t="s">
        <v>719</v>
      </c>
      <c r="J194" s="8"/>
    </row>
    <row r="195">
      <c r="A195" s="7">
        <v>2.0022021E7</v>
      </c>
      <c r="B195" s="8" t="s">
        <v>333</v>
      </c>
      <c r="C195" s="8" t="s">
        <v>720</v>
      </c>
      <c r="D195" s="8" t="s">
        <v>16</v>
      </c>
      <c r="E195" s="8" t="s">
        <v>17</v>
      </c>
      <c r="F195" s="9">
        <v>46026.0</v>
      </c>
      <c r="G195" s="8" t="s">
        <v>721</v>
      </c>
      <c r="H195" s="8" t="s">
        <v>722</v>
      </c>
      <c r="I195" s="8" t="s">
        <v>723</v>
      </c>
      <c r="J195" s="8"/>
    </row>
    <row r="196">
      <c r="A196" s="7">
        <v>2.0022056E7</v>
      </c>
      <c r="B196" s="8" t="s">
        <v>333</v>
      </c>
      <c r="C196" s="8" t="s">
        <v>724</v>
      </c>
      <c r="D196" s="8" t="s">
        <v>16</v>
      </c>
      <c r="E196" s="8" t="s">
        <v>17</v>
      </c>
      <c r="F196" s="9">
        <v>46028.0</v>
      </c>
      <c r="G196" s="8" t="s">
        <v>543</v>
      </c>
      <c r="H196" s="8" t="s">
        <v>544</v>
      </c>
      <c r="I196" s="8" t="s">
        <v>725</v>
      </c>
      <c r="J196" s="8"/>
    </row>
    <row r="197">
      <c r="A197" s="7">
        <v>2.0023376E7</v>
      </c>
      <c r="B197" s="8" t="s">
        <v>333</v>
      </c>
      <c r="C197" s="8" t="s">
        <v>726</v>
      </c>
      <c r="D197" s="8" t="s">
        <v>16</v>
      </c>
      <c r="E197" s="8" t="s">
        <v>17</v>
      </c>
      <c r="F197" s="9">
        <v>46040.0</v>
      </c>
      <c r="G197" s="8" t="s">
        <v>727</v>
      </c>
      <c r="H197" s="8" t="s">
        <v>728</v>
      </c>
      <c r="I197" s="8" t="s">
        <v>729</v>
      </c>
      <c r="J197" s="8" t="s">
        <v>730</v>
      </c>
    </row>
    <row r="198">
      <c r="A198" s="7">
        <v>2.0022569E7</v>
      </c>
      <c r="B198" s="8" t="s">
        <v>333</v>
      </c>
      <c r="C198" s="8" t="s">
        <v>731</v>
      </c>
      <c r="D198" s="8" t="s">
        <v>16</v>
      </c>
      <c r="E198" s="8" t="s">
        <v>17</v>
      </c>
      <c r="F198" s="9">
        <v>46025.0</v>
      </c>
      <c r="G198" s="8" t="s">
        <v>732</v>
      </c>
      <c r="H198" s="8" t="s">
        <v>733</v>
      </c>
      <c r="I198" s="8" t="s">
        <v>734</v>
      </c>
      <c r="J198" s="8"/>
    </row>
    <row r="199">
      <c r="A199" s="7">
        <v>2.0021856E7</v>
      </c>
      <c r="B199" s="8" t="s">
        <v>333</v>
      </c>
      <c r="C199" s="8" t="s">
        <v>735</v>
      </c>
      <c r="D199" s="8" t="s">
        <v>16</v>
      </c>
      <c r="E199" s="8" t="s">
        <v>17</v>
      </c>
      <c r="F199" s="9">
        <v>46024.0</v>
      </c>
      <c r="G199" s="8" t="s">
        <v>410</v>
      </c>
      <c r="H199" s="8" t="s">
        <v>411</v>
      </c>
      <c r="I199" s="8" t="s">
        <v>736</v>
      </c>
      <c r="J199" s="8"/>
    </row>
    <row r="200">
      <c r="A200" s="7">
        <v>2.0012327E7</v>
      </c>
      <c r="B200" s="8" t="s">
        <v>333</v>
      </c>
      <c r="C200" s="8" t="s">
        <v>737</v>
      </c>
      <c r="D200" s="8" t="s">
        <v>16</v>
      </c>
      <c r="E200" s="8" t="s">
        <v>17</v>
      </c>
      <c r="F200" s="9">
        <v>46029.0</v>
      </c>
      <c r="G200" s="8" t="s">
        <v>738</v>
      </c>
      <c r="H200" s="8" t="s">
        <v>739</v>
      </c>
      <c r="I200" s="8" t="s">
        <v>740</v>
      </c>
      <c r="J200" s="8" t="s">
        <v>741</v>
      </c>
    </row>
    <row r="201">
      <c r="A201" s="7">
        <v>2.0020035E7</v>
      </c>
      <c r="B201" s="8" t="s">
        <v>333</v>
      </c>
      <c r="C201" s="8" t="s">
        <v>742</v>
      </c>
      <c r="D201" s="8" t="s">
        <v>16</v>
      </c>
      <c r="E201" s="8" t="s">
        <v>17</v>
      </c>
      <c r="F201" s="9">
        <v>46026.0</v>
      </c>
      <c r="G201" s="8" t="s">
        <v>688</v>
      </c>
      <c r="H201" s="8" t="s">
        <v>689</v>
      </c>
      <c r="I201" s="8" t="s">
        <v>743</v>
      </c>
      <c r="J201" s="8"/>
    </row>
    <row r="202">
      <c r="A202" s="7">
        <v>2.0020035E7</v>
      </c>
      <c r="B202" s="8" t="s">
        <v>333</v>
      </c>
      <c r="C202" s="8" t="s">
        <v>742</v>
      </c>
      <c r="D202" s="8" t="s">
        <v>16</v>
      </c>
      <c r="E202" s="8" t="s">
        <v>17</v>
      </c>
      <c r="F202" s="9">
        <v>46026.0</v>
      </c>
      <c r="G202" s="8" t="s">
        <v>688</v>
      </c>
      <c r="H202" s="8" t="s">
        <v>689</v>
      </c>
      <c r="I202" s="8" t="s">
        <v>744</v>
      </c>
      <c r="J202" s="8"/>
    </row>
    <row r="203">
      <c r="A203" s="7">
        <v>2.0019124E7</v>
      </c>
      <c r="B203" s="8" t="s">
        <v>333</v>
      </c>
      <c r="C203" s="8" t="s">
        <v>745</v>
      </c>
      <c r="D203" s="8" t="s">
        <v>16</v>
      </c>
      <c r="E203" s="8" t="s">
        <v>17</v>
      </c>
      <c r="F203" s="9">
        <v>46033.0</v>
      </c>
      <c r="G203" s="8" t="s">
        <v>314</v>
      </c>
      <c r="H203" s="8" t="s">
        <v>315</v>
      </c>
      <c r="I203" s="8" t="s">
        <v>746</v>
      </c>
      <c r="J203" s="8" t="s">
        <v>747</v>
      </c>
    </row>
    <row r="204">
      <c r="A204" s="7">
        <v>2.0016929E7</v>
      </c>
      <c r="B204" s="8" t="s">
        <v>333</v>
      </c>
      <c r="C204" s="8" t="s">
        <v>748</v>
      </c>
      <c r="D204" s="8" t="s">
        <v>16</v>
      </c>
      <c r="E204" s="8" t="s">
        <v>17</v>
      </c>
      <c r="F204" s="9">
        <v>46053.0</v>
      </c>
      <c r="G204" s="8" t="s">
        <v>436</v>
      </c>
      <c r="H204" s="8" t="s">
        <v>437</v>
      </c>
      <c r="I204" s="8" t="s">
        <v>749</v>
      </c>
      <c r="J204" s="8"/>
    </row>
    <row r="205">
      <c r="A205" s="7">
        <v>2.0016929E7</v>
      </c>
      <c r="B205" s="8" t="s">
        <v>333</v>
      </c>
      <c r="C205" s="8" t="s">
        <v>748</v>
      </c>
      <c r="D205" s="8" t="s">
        <v>16</v>
      </c>
      <c r="E205" s="8" t="s">
        <v>17</v>
      </c>
      <c r="F205" s="9">
        <v>46053.0</v>
      </c>
      <c r="G205" s="8" t="s">
        <v>436</v>
      </c>
      <c r="H205" s="8" t="s">
        <v>437</v>
      </c>
      <c r="I205" s="8" t="s">
        <v>750</v>
      </c>
      <c r="J205" s="8"/>
    </row>
    <row r="206">
      <c r="A206" s="7">
        <v>2.0015388E7</v>
      </c>
      <c r="B206" s="8" t="s">
        <v>333</v>
      </c>
      <c r="C206" s="8" t="s">
        <v>751</v>
      </c>
      <c r="D206" s="8" t="s">
        <v>16</v>
      </c>
      <c r="E206" s="8" t="s">
        <v>48</v>
      </c>
      <c r="F206" s="9">
        <v>46027.0</v>
      </c>
      <c r="G206" s="8" t="s">
        <v>752</v>
      </c>
      <c r="H206" s="8" t="s">
        <v>753</v>
      </c>
      <c r="I206" s="8"/>
      <c r="J206" s="8" t="s">
        <v>754</v>
      </c>
    </row>
    <row r="207">
      <c r="A207" s="7">
        <v>2.0015388E7</v>
      </c>
      <c r="B207" s="8" t="s">
        <v>333</v>
      </c>
      <c r="C207" s="8" t="s">
        <v>751</v>
      </c>
      <c r="D207" s="8" t="s">
        <v>16</v>
      </c>
      <c r="E207" s="8" t="s">
        <v>48</v>
      </c>
      <c r="F207" s="9">
        <v>46027.0</v>
      </c>
      <c r="G207" s="8" t="s">
        <v>755</v>
      </c>
      <c r="H207" s="8" t="s">
        <v>756</v>
      </c>
      <c r="I207" s="8" t="s">
        <v>757</v>
      </c>
      <c r="J207" s="8"/>
    </row>
    <row r="208">
      <c r="A208" s="7">
        <v>2.0011532E7</v>
      </c>
      <c r="B208" s="8" t="s">
        <v>333</v>
      </c>
      <c r="C208" s="8" t="s">
        <v>758</v>
      </c>
      <c r="D208" s="8" t="s">
        <v>16</v>
      </c>
      <c r="E208" s="8" t="s">
        <v>17</v>
      </c>
      <c r="F208" s="9">
        <v>46025.0</v>
      </c>
      <c r="G208" s="8" t="s">
        <v>759</v>
      </c>
      <c r="H208" s="8" t="s">
        <v>760</v>
      </c>
      <c r="I208" s="8" t="s">
        <v>761</v>
      </c>
      <c r="J208" s="8" t="s">
        <v>762</v>
      </c>
    </row>
    <row r="209">
      <c r="A209" s="7">
        <v>2.0011532E7</v>
      </c>
      <c r="B209" s="8" t="s">
        <v>333</v>
      </c>
      <c r="C209" s="8" t="s">
        <v>758</v>
      </c>
      <c r="D209" s="8" t="s">
        <v>16</v>
      </c>
      <c r="E209" s="8" t="s">
        <v>17</v>
      </c>
      <c r="F209" s="9">
        <v>46025.0</v>
      </c>
      <c r="G209" s="8" t="s">
        <v>763</v>
      </c>
      <c r="H209" s="8" t="s">
        <v>764</v>
      </c>
      <c r="I209" s="8" t="s">
        <v>765</v>
      </c>
      <c r="J209" s="8"/>
    </row>
    <row r="210">
      <c r="A210" s="7">
        <v>2.0011532E7</v>
      </c>
      <c r="B210" s="8" t="s">
        <v>333</v>
      </c>
      <c r="C210" s="8" t="s">
        <v>758</v>
      </c>
      <c r="D210" s="8" t="s">
        <v>16</v>
      </c>
      <c r="E210" s="8" t="s">
        <v>17</v>
      </c>
      <c r="F210" s="9">
        <v>46025.0</v>
      </c>
      <c r="G210" s="8" t="s">
        <v>763</v>
      </c>
      <c r="H210" s="8" t="s">
        <v>764</v>
      </c>
      <c r="I210" s="8" t="s">
        <v>766</v>
      </c>
      <c r="J210" s="8"/>
    </row>
    <row r="211">
      <c r="A211" s="7">
        <v>2.0014892E7</v>
      </c>
      <c r="B211" s="8" t="s">
        <v>333</v>
      </c>
      <c r="C211" s="8" t="s">
        <v>767</v>
      </c>
      <c r="D211" s="8" t="s">
        <v>16</v>
      </c>
      <c r="E211" s="8" t="s">
        <v>17</v>
      </c>
      <c r="F211" s="9">
        <v>46030.0</v>
      </c>
      <c r="G211" s="8" t="s">
        <v>390</v>
      </c>
      <c r="H211" s="8" t="s">
        <v>391</v>
      </c>
      <c r="I211" s="8" t="s">
        <v>768</v>
      </c>
      <c r="J211" s="8"/>
    </row>
    <row r="212">
      <c r="A212" s="7">
        <v>2.0014892E7</v>
      </c>
      <c r="B212" s="8" t="s">
        <v>333</v>
      </c>
      <c r="C212" s="8" t="s">
        <v>767</v>
      </c>
      <c r="D212" s="8" t="s">
        <v>16</v>
      </c>
      <c r="E212" s="8" t="s">
        <v>17</v>
      </c>
      <c r="F212" s="9">
        <v>46030.0</v>
      </c>
      <c r="G212" s="8" t="s">
        <v>390</v>
      </c>
      <c r="H212" s="8" t="s">
        <v>391</v>
      </c>
      <c r="I212" s="8" t="s">
        <v>769</v>
      </c>
      <c r="J212" s="8"/>
    </row>
    <row r="213">
      <c r="A213" s="7">
        <v>2.0014365E7</v>
      </c>
      <c r="B213" s="8" t="s">
        <v>333</v>
      </c>
      <c r="C213" s="8" t="s">
        <v>770</v>
      </c>
      <c r="D213" s="8" t="s">
        <v>16</v>
      </c>
      <c r="E213" s="8" t="s">
        <v>17</v>
      </c>
      <c r="F213" s="9">
        <v>46029.0</v>
      </c>
      <c r="G213" s="8" t="s">
        <v>390</v>
      </c>
      <c r="H213" s="8" t="s">
        <v>391</v>
      </c>
      <c r="I213" s="8" t="s">
        <v>771</v>
      </c>
      <c r="J213" s="8"/>
    </row>
    <row r="214">
      <c r="A214" s="7">
        <v>2.0014365E7</v>
      </c>
      <c r="B214" s="8" t="s">
        <v>333</v>
      </c>
      <c r="C214" s="8" t="s">
        <v>770</v>
      </c>
      <c r="D214" s="8" t="s">
        <v>16</v>
      </c>
      <c r="E214" s="8" t="s">
        <v>17</v>
      </c>
      <c r="F214" s="9">
        <v>46029.0</v>
      </c>
      <c r="G214" s="8" t="s">
        <v>390</v>
      </c>
      <c r="H214" s="8" t="s">
        <v>391</v>
      </c>
      <c r="I214" s="8" t="s">
        <v>772</v>
      </c>
      <c r="J214" s="8"/>
    </row>
    <row r="215">
      <c r="A215" s="7">
        <v>2.0012179E7</v>
      </c>
      <c r="B215" s="8" t="s">
        <v>333</v>
      </c>
      <c r="C215" s="8" t="s">
        <v>773</v>
      </c>
      <c r="D215" s="8" t="s">
        <v>16</v>
      </c>
      <c r="E215" s="8" t="s">
        <v>17</v>
      </c>
      <c r="F215" s="9">
        <v>46025.0</v>
      </c>
      <c r="G215" s="8" t="s">
        <v>390</v>
      </c>
      <c r="H215" s="8" t="s">
        <v>391</v>
      </c>
      <c r="I215" s="8" t="s">
        <v>774</v>
      </c>
      <c r="J215" s="8"/>
    </row>
    <row r="216">
      <c r="A216" s="7">
        <v>2.0012179E7</v>
      </c>
      <c r="B216" s="8" t="s">
        <v>333</v>
      </c>
      <c r="C216" s="8" t="s">
        <v>773</v>
      </c>
      <c r="D216" s="8" t="s">
        <v>16</v>
      </c>
      <c r="E216" s="8" t="s">
        <v>17</v>
      </c>
      <c r="F216" s="9">
        <v>46025.0</v>
      </c>
      <c r="G216" s="8" t="s">
        <v>390</v>
      </c>
      <c r="H216" s="8" t="s">
        <v>391</v>
      </c>
      <c r="I216" s="8" t="s">
        <v>775</v>
      </c>
      <c r="J216" s="8"/>
    </row>
    <row r="217">
      <c r="A217" s="7">
        <v>2.0069844E7</v>
      </c>
      <c r="B217" s="8" t="s">
        <v>776</v>
      </c>
      <c r="C217" s="8" t="s">
        <v>777</v>
      </c>
      <c r="D217" s="8" t="s">
        <v>16</v>
      </c>
      <c r="E217" s="8" t="s">
        <v>17</v>
      </c>
      <c r="F217" s="9">
        <v>46187.0</v>
      </c>
      <c r="G217" s="8" t="s">
        <v>59</v>
      </c>
      <c r="H217" s="8" t="s">
        <v>60</v>
      </c>
      <c r="I217" s="8" t="s">
        <v>778</v>
      </c>
      <c r="J217" s="8" t="s">
        <v>779</v>
      </c>
    </row>
    <row r="218">
      <c r="A218" s="7">
        <v>2.0058445E7</v>
      </c>
      <c r="B218" s="8" t="s">
        <v>776</v>
      </c>
      <c r="C218" s="8" t="s">
        <v>780</v>
      </c>
      <c r="D218" s="8" t="s">
        <v>16</v>
      </c>
      <c r="E218" s="8" t="s">
        <v>17</v>
      </c>
      <c r="F218" s="9">
        <v>46148.0</v>
      </c>
      <c r="G218" s="8" t="s">
        <v>781</v>
      </c>
      <c r="H218" s="8" t="s">
        <v>782</v>
      </c>
      <c r="I218" s="8" t="s">
        <v>783</v>
      </c>
      <c r="J218" s="8"/>
    </row>
    <row r="219">
      <c r="A219" s="7">
        <v>2.0054705E7</v>
      </c>
      <c r="B219" s="8" t="s">
        <v>776</v>
      </c>
      <c r="C219" s="8" t="s">
        <v>784</v>
      </c>
      <c r="D219" s="8" t="s">
        <v>16</v>
      </c>
      <c r="E219" s="8" t="s">
        <v>17</v>
      </c>
      <c r="F219" s="9">
        <v>46135.0</v>
      </c>
      <c r="G219" s="8" t="s">
        <v>247</v>
      </c>
      <c r="H219" s="8" t="s">
        <v>248</v>
      </c>
      <c r="I219" s="8" t="s">
        <v>785</v>
      </c>
      <c r="J219" s="8" t="s">
        <v>786</v>
      </c>
    </row>
    <row r="220">
      <c r="A220" s="7">
        <v>2.0054783E7</v>
      </c>
      <c r="B220" s="8" t="s">
        <v>776</v>
      </c>
      <c r="C220" s="8" t="s">
        <v>787</v>
      </c>
      <c r="D220" s="8" t="s">
        <v>16</v>
      </c>
      <c r="E220" s="8" t="s">
        <v>17</v>
      </c>
      <c r="F220" s="9">
        <v>46123.0</v>
      </c>
      <c r="G220" s="8" t="s">
        <v>59</v>
      </c>
      <c r="H220" s="8" t="s">
        <v>60</v>
      </c>
      <c r="I220" s="8" t="s">
        <v>788</v>
      </c>
      <c r="J220" s="8" t="s">
        <v>789</v>
      </c>
    </row>
    <row r="221">
      <c r="A221" s="7">
        <v>2.0053654E7</v>
      </c>
      <c r="B221" s="8" t="s">
        <v>776</v>
      </c>
      <c r="C221" s="8" t="s">
        <v>790</v>
      </c>
      <c r="D221" s="8" t="s">
        <v>16</v>
      </c>
      <c r="E221" s="8" t="s">
        <v>17</v>
      </c>
      <c r="F221" s="9">
        <v>46141.0</v>
      </c>
      <c r="G221" s="8" t="s">
        <v>791</v>
      </c>
      <c r="H221" s="8" t="s">
        <v>792</v>
      </c>
      <c r="I221" s="8" t="s">
        <v>793</v>
      </c>
      <c r="J221" s="8"/>
    </row>
    <row r="222">
      <c r="A222" s="7">
        <v>2.005093E7</v>
      </c>
      <c r="B222" s="8" t="s">
        <v>776</v>
      </c>
      <c r="C222" s="8" t="s">
        <v>794</v>
      </c>
      <c r="D222" s="8" t="s">
        <v>16</v>
      </c>
      <c r="E222" s="8" t="s">
        <v>17</v>
      </c>
      <c r="F222" s="9">
        <v>46122.0</v>
      </c>
      <c r="G222" s="8" t="s">
        <v>64</v>
      </c>
      <c r="H222" s="8" t="s">
        <v>65</v>
      </c>
      <c r="I222" s="8" t="s">
        <v>795</v>
      </c>
      <c r="J222" s="8"/>
    </row>
    <row r="223">
      <c r="A223" s="7">
        <v>2.0050889E7</v>
      </c>
      <c r="B223" s="8" t="s">
        <v>776</v>
      </c>
      <c r="C223" s="8" t="s">
        <v>796</v>
      </c>
      <c r="D223" s="8" t="s">
        <v>16</v>
      </c>
      <c r="E223" s="8" t="s">
        <v>17</v>
      </c>
      <c r="F223" s="9">
        <v>46114.0</v>
      </c>
      <c r="G223" s="8" t="s">
        <v>385</v>
      </c>
      <c r="H223" s="8" t="s">
        <v>386</v>
      </c>
      <c r="I223" s="8" t="s">
        <v>797</v>
      </c>
      <c r="J223" s="8" t="s">
        <v>798</v>
      </c>
    </row>
    <row r="224">
      <c r="A224" s="7">
        <v>2.0048035E7</v>
      </c>
      <c r="B224" s="8" t="s">
        <v>776</v>
      </c>
      <c r="C224" s="8" t="s">
        <v>799</v>
      </c>
      <c r="D224" s="8" t="s">
        <v>16</v>
      </c>
      <c r="E224" s="8" t="s">
        <v>17</v>
      </c>
      <c r="F224" s="9">
        <v>46100.0</v>
      </c>
      <c r="G224" s="8" t="s">
        <v>800</v>
      </c>
      <c r="H224" s="8" t="s">
        <v>801</v>
      </c>
      <c r="I224" s="8" t="s">
        <v>802</v>
      </c>
      <c r="J224" s="8" t="s">
        <v>803</v>
      </c>
    </row>
    <row r="225">
      <c r="A225" s="7">
        <v>2.0046031E7</v>
      </c>
      <c r="B225" s="8" t="s">
        <v>776</v>
      </c>
      <c r="C225" s="8" t="s">
        <v>804</v>
      </c>
      <c r="D225" s="8" t="s">
        <v>16</v>
      </c>
      <c r="E225" s="8" t="s">
        <v>17</v>
      </c>
      <c r="F225" s="9">
        <v>46096.0</v>
      </c>
      <c r="G225" s="8" t="s">
        <v>805</v>
      </c>
      <c r="H225" s="8" t="s">
        <v>806</v>
      </c>
      <c r="I225" s="8" t="s">
        <v>807</v>
      </c>
      <c r="J225" s="8" t="s">
        <v>808</v>
      </c>
    </row>
    <row r="226">
      <c r="A226" s="7">
        <v>2.0044683E7</v>
      </c>
      <c r="B226" s="8" t="s">
        <v>776</v>
      </c>
      <c r="C226" s="8" t="s">
        <v>809</v>
      </c>
      <c r="D226" s="8" t="s">
        <v>16</v>
      </c>
      <c r="E226" s="8" t="s">
        <v>17</v>
      </c>
      <c r="F226" s="9">
        <v>46085.0</v>
      </c>
      <c r="G226" s="8" t="s">
        <v>59</v>
      </c>
      <c r="H226" s="8" t="s">
        <v>60</v>
      </c>
      <c r="I226" s="8" t="s">
        <v>810</v>
      </c>
      <c r="J226" s="8" t="s">
        <v>811</v>
      </c>
    </row>
    <row r="227">
      <c r="A227" s="7">
        <v>2.004214E7</v>
      </c>
      <c r="B227" s="8" t="s">
        <v>776</v>
      </c>
      <c r="C227" s="8" t="s">
        <v>812</v>
      </c>
      <c r="D227" s="8" t="s">
        <v>16</v>
      </c>
      <c r="E227" s="8" t="s">
        <v>17</v>
      </c>
      <c r="F227" s="9">
        <v>46087.0</v>
      </c>
      <c r="G227" s="8" t="s">
        <v>158</v>
      </c>
      <c r="H227" s="8" t="s">
        <v>159</v>
      </c>
      <c r="I227" s="8" t="s">
        <v>813</v>
      </c>
      <c r="J227" s="8" t="s">
        <v>814</v>
      </c>
    </row>
    <row r="228">
      <c r="A228" s="7">
        <v>2.0040908E7</v>
      </c>
      <c r="B228" s="8" t="s">
        <v>776</v>
      </c>
      <c r="C228" s="8" t="s">
        <v>815</v>
      </c>
      <c r="D228" s="8" t="s">
        <v>16</v>
      </c>
      <c r="E228" s="8" t="s">
        <v>17</v>
      </c>
      <c r="F228" s="9">
        <v>46079.0</v>
      </c>
      <c r="G228" s="8" t="s">
        <v>234</v>
      </c>
      <c r="H228" s="8" t="s">
        <v>235</v>
      </c>
      <c r="I228" s="8" t="s">
        <v>816</v>
      </c>
      <c r="J228" s="8" t="s">
        <v>817</v>
      </c>
    </row>
    <row r="229">
      <c r="A229" s="7">
        <v>2.0040625E7</v>
      </c>
      <c r="B229" s="8" t="s">
        <v>776</v>
      </c>
      <c r="C229" s="8" t="s">
        <v>818</v>
      </c>
      <c r="D229" s="8" t="s">
        <v>16</v>
      </c>
      <c r="E229" s="8" t="s">
        <v>17</v>
      </c>
      <c r="F229" s="9">
        <v>46065.0</v>
      </c>
      <c r="G229" s="8" t="s">
        <v>385</v>
      </c>
      <c r="H229" s="8" t="s">
        <v>386</v>
      </c>
      <c r="I229" s="8" t="s">
        <v>819</v>
      </c>
      <c r="J229" s="8" t="s">
        <v>820</v>
      </c>
    </row>
    <row r="230">
      <c r="A230" s="7">
        <v>2.0038676E7</v>
      </c>
      <c r="B230" s="8" t="s">
        <v>776</v>
      </c>
      <c r="C230" s="8" t="s">
        <v>821</v>
      </c>
      <c r="D230" s="8" t="s">
        <v>16</v>
      </c>
      <c r="E230" s="8" t="s">
        <v>17</v>
      </c>
      <c r="F230" s="9">
        <v>46067.0</v>
      </c>
      <c r="G230" s="8" t="s">
        <v>822</v>
      </c>
      <c r="H230" s="8" t="s">
        <v>120</v>
      </c>
      <c r="I230" s="8" t="s">
        <v>823</v>
      </c>
      <c r="J230" s="8" t="s">
        <v>824</v>
      </c>
    </row>
    <row r="231">
      <c r="A231" s="7">
        <v>2.0035742E7</v>
      </c>
      <c r="B231" s="8" t="s">
        <v>776</v>
      </c>
      <c r="C231" s="8" t="s">
        <v>825</v>
      </c>
      <c r="D231" s="8" t="s">
        <v>16</v>
      </c>
      <c r="E231" s="8" t="s">
        <v>17</v>
      </c>
      <c r="F231" s="9">
        <v>46061.0</v>
      </c>
      <c r="G231" s="8" t="s">
        <v>826</v>
      </c>
      <c r="H231" s="8" t="s">
        <v>827</v>
      </c>
      <c r="I231" s="8" t="s">
        <v>828</v>
      </c>
      <c r="J231" s="8" t="s">
        <v>829</v>
      </c>
    </row>
    <row r="232">
      <c r="A232" s="7">
        <v>2.003377E7</v>
      </c>
      <c r="B232" s="8" t="s">
        <v>776</v>
      </c>
      <c r="C232" s="8" t="s">
        <v>830</v>
      </c>
      <c r="D232" s="8" t="s">
        <v>16</v>
      </c>
      <c r="E232" s="8" t="s">
        <v>17</v>
      </c>
      <c r="F232" s="9">
        <v>46036.0</v>
      </c>
      <c r="G232" s="8" t="s">
        <v>220</v>
      </c>
      <c r="H232" s="8" t="s">
        <v>221</v>
      </c>
      <c r="I232" s="8" t="s">
        <v>831</v>
      </c>
      <c r="J232" s="8" t="s">
        <v>832</v>
      </c>
    </row>
    <row r="233">
      <c r="A233" s="7">
        <v>2.0033809E7</v>
      </c>
      <c r="B233" s="8" t="s">
        <v>776</v>
      </c>
      <c r="C233" s="8" t="s">
        <v>833</v>
      </c>
      <c r="D233" s="8" t="s">
        <v>16</v>
      </c>
      <c r="E233" s="8" t="s">
        <v>17</v>
      </c>
      <c r="F233" s="9">
        <v>46032.0</v>
      </c>
      <c r="G233" s="8" t="s">
        <v>59</v>
      </c>
      <c r="H233" s="8" t="s">
        <v>60</v>
      </c>
      <c r="I233" s="8" t="s">
        <v>834</v>
      </c>
      <c r="J233" s="8" t="s">
        <v>835</v>
      </c>
    </row>
    <row r="234">
      <c r="A234" s="7">
        <v>2.0033235E7</v>
      </c>
      <c r="B234" s="8" t="s">
        <v>776</v>
      </c>
      <c r="C234" s="8" t="s">
        <v>836</v>
      </c>
      <c r="D234" s="8" t="s">
        <v>16</v>
      </c>
      <c r="E234" s="8" t="s">
        <v>17</v>
      </c>
      <c r="F234" s="9">
        <v>46041.0</v>
      </c>
      <c r="G234" s="8" t="s">
        <v>282</v>
      </c>
      <c r="H234" s="8" t="s">
        <v>71</v>
      </c>
      <c r="I234" s="8" t="s">
        <v>837</v>
      </c>
      <c r="J234" s="8" t="s">
        <v>838</v>
      </c>
    </row>
    <row r="235">
      <c r="A235" s="7">
        <v>2.0031901E7</v>
      </c>
      <c r="B235" s="8" t="s">
        <v>776</v>
      </c>
      <c r="C235" s="8" t="s">
        <v>839</v>
      </c>
      <c r="D235" s="8" t="s">
        <v>16</v>
      </c>
      <c r="E235" s="8" t="s">
        <v>17</v>
      </c>
      <c r="F235" s="9">
        <v>46043.0</v>
      </c>
      <c r="G235" s="8" t="s">
        <v>109</v>
      </c>
      <c r="H235" s="8" t="s">
        <v>110</v>
      </c>
      <c r="I235" s="8" t="s">
        <v>840</v>
      </c>
      <c r="J235" s="8" t="s">
        <v>841</v>
      </c>
    </row>
    <row r="236">
      <c r="A236" s="7">
        <v>2.0033161E7</v>
      </c>
      <c r="B236" s="8" t="s">
        <v>776</v>
      </c>
      <c r="C236" s="8" t="s">
        <v>842</v>
      </c>
      <c r="D236" s="8" t="s">
        <v>16</v>
      </c>
      <c r="E236" s="8" t="s">
        <v>17</v>
      </c>
      <c r="F236" s="9">
        <v>46038.0</v>
      </c>
      <c r="G236" s="8" t="s">
        <v>282</v>
      </c>
      <c r="H236" s="8" t="s">
        <v>71</v>
      </c>
      <c r="I236" s="8" t="s">
        <v>843</v>
      </c>
      <c r="J236" s="8" t="s">
        <v>844</v>
      </c>
    </row>
    <row r="237">
      <c r="A237" s="7">
        <v>2.0030213E7</v>
      </c>
      <c r="B237" s="8" t="s">
        <v>776</v>
      </c>
      <c r="C237" s="8" t="s">
        <v>845</v>
      </c>
      <c r="D237" s="8" t="s">
        <v>16</v>
      </c>
      <c r="E237" s="8" t="s">
        <v>17</v>
      </c>
      <c r="F237" s="9">
        <v>46129.0</v>
      </c>
      <c r="G237" s="8" t="s">
        <v>846</v>
      </c>
      <c r="H237" s="8" t="s">
        <v>847</v>
      </c>
      <c r="I237" s="8" t="s">
        <v>848</v>
      </c>
      <c r="J237" s="8" t="s">
        <v>849</v>
      </c>
    </row>
    <row r="238">
      <c r="A238" s="7">
        <v>2.0033243E7</v>
      </c>
      <c r="B238" s="8" t="s">
        <v>776</v>
      </c>
      <c r="C238" s="8" t="s">
        <v>851</v>
      </c>
      <c r="D238" s="8" t="s">
        <v>16</v>
      </c>
      <c r="E238" s="8" t="s">
        <v>17</v>
      </c>
      <c r="F238" s="9">
        <v>46038.0</v>
      </c>
      <c r="G238" s="8" t="s">
        <v>852</v>
      </c>
      <c r="H238" s="8" t="s">
        <v>853</v>
      </c>
      <c r="I238" s="8" t="s">
        <v>854</v>
      </c>
      <c r="J238" s="8" t="s">
        <v>855</v>
      </c>
    </row>
    <row r="239">
      <c r="A239" s="7">
        <v>2.0031867E7</v>
      </c>
      <c r="B239" s="8" t="s">
        <v>776</v>
      </c>
      <c r="C239" s="8" t="s">
        <v>857</v>
      </c>
      <c r="D239" s="8" t="s">
        <v>16</v>
      </c>
      <c r="E239" s="8" t="s">
        <v>17</v>
      </c>
      <c r="F239" s="9">
        <v>46046.0</v>
      </c>
      <c r="G239" s="8" t="s">
        <v>75</v>
      </c>
      <c r="H239" s="8" t="s">
        <v>76</v>
      </c>
      <c r="I239" s="8" t="s">
        <v>858</v>
      </c>
      <c r="J239" s="8" t="s">
        <v>859</v>
      </c>
    </row>
    <row r="240">
      <c r="A240" s="7">
        <v>2.0031867E7</v>
      </c>
      <c r="B240" s="8" t="s">
        <v>776</v>
      </c>
      <c r="C240" s="8" t="s">
        <v>857</v>
      </c>
      <c r="D240" s="8" t="s">
        <v>16</v>
      </c>
      <c r="E240" s="8" t="s">
        <v>17</v>
      </c>
      <c r="F240" s="9">
        <v>46046.0</v>
      </c>
      <c r="G240" s="8" t="s">
        <v>861</v>
      </c>
      <c r="H240" s="8" t="s">
        <v>862</v>
      </c>
      <c r="I240" s="8" t="s">
        <v>863</v>
      </c>
      <c r="J240" s="8" t="s">
        <v>864</v>
      </c>
    </row>
    <row r="241">
      <c r="A241" s="7">
        <v>2.0027485E7</v>
      </c>
      <c r="B241" s="8" t="s">
        <v>776</v>
      </c>
      <c r="C241" s="8" t="s">
        <v>866</v>
      </c>
      <c r="D241" s="8" t="s">
        <v>16</v>
      </c>
      <c r="E241" s="8" t="s">
        <v>17</v>
      </c>
      <c r="F241" s="9">
        <v>46039.0</v>
      </c>
      <c r="G241" s="8" t="s">
        <v>868</v>
      </c>
      <c r="H241" s="8" t="s">
        <v>869</v>
      </c>
      <c r="I241" s="8" t="s">
        <v>870</v>
      </c>
      <c r="J241" s="8" t="s">
        <v>871</v>
      </c>
    </row>
    <row r="242">
      <c r="A242" s="7">
        <v>2.0033251E7</v>
      </c>
      <c r="B242" s="8" t="s">
        <v>776</v>
      </c>
      <c r="C242" s="8" t="s">
        <v>872</v>
      </c>
      <c r="D242" s="8" t="s">
        <v>16</v>
      </c>
      <c r="E242" s="8" t="s">
        <v>17</v>
      </c>
      <c r="F242" s="9">
        <v>46042.0</v>
      </c>
      <c r="G242" s="8" t="s">
        <v>873</v>
      </c>
      <c r="H242" s="8" t="s">
        <v>874</v>
      </c>
      <c r="I242" s="8" t="s">
        <v>875</v>
      </c>
      <c r="J242" s="8" t="s">
        <v>876</v>
      </c>
    </row>
    <row r="243">
      <c r="A243" s="7">
        <v>2.003303E7</v>
      </c>
      <c r="B243" s="8" t="s">
        <v>776</v>
      </c>
      <c r="C243" s="8" t="s">
        <v>877</v>
      </c>
      <c r="D243" s="8" t="s">
        <v>16</v>
      </c>
      <c r="E243" s="8" t="s">
        <v>17</v>
      </c>
      <c r="F243" s="9">
        <v>46051.0</v>
      </c>
      <c r="G243" s="8" t="s">
        <v>64</v>
      </c>
      <c r="H243" s="8" t="s">
        <v>65</v>
      </c>
      <c r="I243" s="8" t="s">
        <v>878</v>
      </c>
      <c r="J243" s="8"/>
    </row>
    <row r="244">
      <c r="A244" s="7">
        <v>2.0033009E7</v>
      </c>
      <c r="B244" s="8" t="s">
        <v>776</v>
      </c>
      <c r="C244" s="8" t="s">
        <v>880</v>
      </c>
      <c r="D244" s="8" t="s">
        <v>16</v>
      </c>
      <c r="E244" s="8" t="s">
        <v>17</v>
      </c>
      <c r="F244" s="9">
        <v>46039.0</v>
      </c>
      <c r="G244" s="8" t="s">
        <v>882</v>
      </c>
      <c r="H244" s="8" t="s">
        <v>883</v>
      </c>
      <c r="I244" s="8" t="s">
        <v>884</v>
      </c>
      <c r="J244" s="8" t="s">
        <v>885</v>
      </c>
    </row>
    <row r="245">
      <c r="A245" s="7">
        <v>2.0032992E7</v>
      </c>
      <c r="B245" s="8" t="s">
        <v>776</v>
      </c>
      <c r="C245" s="8" t="s">
        <v>886</v>
      </c>
      <c r="D245" s="8" t="s">
        <v>16</v>
      </c>
      <c r="E245" s="8" t="s">
        <v>17</v>
      </c>
      <c r="F245" s="9">
        <v>46033.0</v>
      </c>
      <c r="G245" s="8" t="s">
        <v>91</v>
      </c>
      <c r="H245" s="8" t="s">
        <v>92</v>
      </c>
      <c r="I245" s="8" t="s">
        <v>887</v>
      </c>
      <c r="J245" s="8" t="s">
        <v>888</v>
      </c>
    </row>
    <row r="246">
      <c r="A246" s="7">
        <v>2.0032066E7</v>
      </c>
      <c r="B246" s="8" t="s">
        <v>776</v>
      </c>
      <c r="C246" s="8" t="s">
        <v>890</v>
      </c>
      <c r="D246" s="8" t="s">
        <v>16</v>
      </c>
      <c r="E246" s="8" t="s">
        <v>17</v>
      </c>
      <c r="F246" s="9">
        <v>46047.0</v>
      </c>
      <c r="G246" s="8" t="s">
        <v>137</v>
      </c>
      <c r="H246" s="8" t="s">
        <v>138</v>
      </c>
      <c r="I246" s="8" t="s">
        <v>891</v>
      </c>
      <c r="J246" s="8"/>
    </row>
    <row r="247">
      <c r="A247" s="7">
        <v>2.0032723E7</v>
      </c>
      <c r="B247" s="8" t="s">
        <v>776</v>
      </c>
      <c r="C247" s="8" t="s">
        <v>893</v>
      </c>
      <c r="D247" s="8" t="s">
        <v>16</v>
      </c>
      <c r="E247" s="8" t="s">
        <v>17</v>
      </c>
      <c r="F247" s="9">
        <v>46035.0</v>
      </c>
      <c r="G247" s="8" t="s">
        <v>882</v>
      </c>
      <c r="H247" s="8" t="s">
        <v>883</v>
      </c>
      <c r="I247" s="8" t="s">
        <v>894</v>
      </c>
      <c r="J247" s="8" t="s">
        <v>895</v>
      </c>
    </row>
    <row r="248">
      <c r="A248" s="7">
        <v>2.0031031E7</v>
      </c>
      <c r="B248" s="8" t="s">
        <v>776</v>
      </c>
      <c r="C248" s="8" t="s">
        <v>896</v>
      </c>
      <c r="D248" s="8" t="s">
        <v>16</v>
      </c>
      <c r="E248" s="8" t="s">
        <v>17</v>
      </c>
      <c r="F248" s="9">
        <v>46044.0</v>
      </c>
      <c r="G248" s="8" t="s">
        <v>897</v>
      </c>
      <c r="H248" s="8" t="s">
        <v>898</v>
      </c>
      <c r="I248" s="8" t="s">
        <v>899</v>
      </c>
      <c r="J248" s="8" t="s">
        <v>900</v>
      </c>
    </row>
    <row r="249">
      <c r="A249" s="7">
        <v>2.00325E7</v>
      </c>
      <c r="B249" s="8" t="s">
        <v>776</v>
      </c>
      <c r="C249" s="8" t="s">
        <v>901</v>
      </c>
      <c r="D249" s="8" t="s">
        <v>16</v>
      </c>
      <c r="E249" s="8" t="s">
        <v>17</v>
      </c>
      <c r="F249" s="9">
        <v>46033.0</v>
      </c>
      <c r="G249" s="8" t="s">
        <v>91</v>
      </c>
      <c r="H249" s="8" t="s">
        <v>92</v>
      </c>
      <c r="I249" s="8" t="s">
        <v>902</v>
      </c>
      <c r="J249" s="8" t="s">
        <v>903</v>
      </c>
    </row>
    <row r="250">
      <c r="A250" s="7">
        <v>2.0032362E7</v>
      </c>
      <c r="B250" s="8" t="s">
        <v>776</v>
      </c>
      <c r="C250" s="8" t="s">
        <v>904</v>
      </c>
      <c r="D250" s="8" t="s">
        <v>16</v>
      </c>
      <c r="E250" s="8" t="s">
        <v>17</v>
      </c>
      <c r="F250" s="9">
        <v>46039.0</v>
      </c>
      <c r="G250" s="8" t="s">
        <v>59</v>
      </c>
      <c r="H250" s="8" t="s">
        <v>60</v>
      </c>
      <c r="I250" s="8" t="s">
        <v>905</v>
      </c>
      <c r="J250" s="8" t="s">
        <v>906</v>
      </c>
    </row>
    <row r="251">
      <c r="A251" s="7">
        <v>2.0032318E7</v>
      </c>
      <c r="B251" s="8" t="s">
        <v>776</v>
      </c>
      <c r="C251" s="8" t="s">
        <v>907</v>
      </c>
      <c r="D251" s="8" t="s">
        <v>16</v>
      </c>
      <c r="E251" s="8" t="s">
        <v>17</v>
      </c>
      <c r="F251" s="9">
        <v>46033.0</v>
      </c>
      <c r="G251" s="8" t="s">
        <v>908</v>
      </c>
      <c r="H251" s="8" t="s">
        <v>909</v>
      </c>
      <c r="I251" s="8" t="s">
        <v>910</v>
      </c>
      <c r="J251" s="8" t="s">
        <v>911</v>
      </c>
    </row>
    <row r="252">
      <c r="A252" s="7">
        <v>2.0030103E7</v>
      </c>
      <c r="B252" s="8" t="s">
        <v>776</v>
      </c>
      <c r="C252" s="8" t="s">
        <v>912</v>
      </c>
      <c r="D252" s="8" t="s">
        <v>16</v>
      </c>
      <c r="E252" s="8" t="s">
        <v>17</v>
      </c>
      <c r="F252" s="9">
        <v>46046.0</v>
      </c>
      <c r="G252" s="8" t="s">
        <v>913</v>
      </c>
      <c r="H252" s="8" t="s">
        <v>914</v>
      </c>
      <c r="I252" s="8" t="s">
        <v>915</v>
      </c>
      <c r="J252" s="8" t="s">
        <v>916</v>
      </c>
    </row>
    <row r="253">
      <c r="A253" s="7">
        <v>2.0032317E7</v>
      </c>
      <c r="B253" s="8" t="s">
        <v>776</v>
      </c>
      <c r="C253" s="8" t="s">
        <v>917</v>
      </c>
      <c r="D253" s="8" t="s">
        <v>16</v>
      </c>
      <c r="E253" s="8" t="s">
        <v>17</v>
      </c>
      <c r="F253" s="9">
        <v>46036.0</v>
      </c>
      <c r="G253" s="8" t="s">
        <v>365</v>
      </c>
      <c r="H253" s="8" t="s">
        <v>366</v>
      </c>
      <c r="I253" s="8" t="s">
        <v>918</v>
      </c>
      <c r="J253" s="8" t="s">
        <v>919</v>
      </c>
    </row>
    <row r="254">
      <c r="A254" s="7">
        <v>2.0028483E7</v>
      </c>
      <c r="B254" s="8" t="s">
        <v>776</v>
      </c>
      <c r="C254" s="8" t="s">
        <v>920</v>
      </c>
      <c r="D254" s="8" t="s">
        <v>16</v>
      </c>
      <c r="E254" s="8" t="s">
        <v>17</v>
      </c>
      <c r="F254" s="9">
        <v>46039.0</v>
      </c>
      <c r="G254" s="8" t="s">
        <v>454</v>
      </c>
      <c r="H254" s="8" t="s">
        <v>455</v>
      </c>
      <c r="I254" s="8" t="s">
        <v>921</v>
      </c>
      <c r="J254" s="8" t="s">
        <v>922</v>
      </c>
    </row>
    <row r="255">
      <c r="A255" s="7">
        <v>2.0028483E7</v>
      </c>
      <c r="B255" s="8" t="s">
        <v>776</v>
      </c>
      <c r="C255" s="8" t="s">
        <v>920</v>
      </c>
      <c r="D255" s="8" t="s">
        <v>16</v>
      </c>
      <c r="E255" s="8" t="s">
        <v>17</v>
      </c>
      <c r="F255" s="9">
        <v>46039.0</v>
      </c>
      <c r="G255" s="8" t="s">
        <v>923</v>
      </c>
      <c r="H255" s="8" t="s">
        <v>71</v>
      </c>
      <c r="I255" s="8" t="s">
        <v>924</v>
      </c>
      <c r="J255" s="8" t="s">
        <v>925</v>
      </c>
    </row>
    <row r="256">
      <c r="A256" s="7">
        <v>2.0032236E7</v>
      </c>
      <c r="B256" s="8" t="s">
        <v>776</v>
      </c>
      <c r="C256" s="8" t="s">
        <v>926</v>
      </c>
      <c r="D256" s="8" t="s">
        <v>16</v>
      </c>
      <c r="E256" s="8" t="s">
        <v>17</v>
      </c>
      <c r="F256" s="9">
        <v>46039.0</v>
      </c>
      <c r="G256" s="8" t="s">
        <v>59</v>
      </c>
      <c r="H256" s="8" t="s">
        <v>60</v>
      </c>
      <c r="I256" s="8" t="s">
        <v>927</v>
      </c>
      <c r="J256" s="8" t="s">
        <v>928</v>
      </c>
    </row>
    <row r="257">
      <c r="A257" s="7">
        <v>2.0031357E7</v>
      </c>
      <c r="B257" s="8" t="s">
        <v>776</v>
      </c>
      <c r="C257" s="8" t="s">
        <v>929</v>
      </c>
      <c r="D257" s="8" t="s">
        <v>16</v>
      </c>
      <c r="E257" s="8" t="s">
        <v>17</v>
      </c>
      <c r="F257" s="9">
        <v>46045.0</v>
      </c>
      <c r="G257" s="8" t="s">
        <v>148</v>
      </c>
      <c r="H257" s="8" t="s">
        <v>149</v>
      </c>
      <c r="I257" s="8" t="s">
        <v>930</v>
      </c>
      <c r="J257" s="8"/>
    </row>
    <row r="258">
      <c r="A258" s="7">
        <v>2.0029355E7</v>
      </c>
      <c r="B258" s="8" t="s">
        <v>776</v>
      </c>
      <c r="C258" s="8" t="s">
        <v>931</v>
      </c>
      <c r="D258" s="8" t="s">
        <v>16</v>
      </c>
      <c r="E258" s="8" t="s">
        <v>17</v>
      </c>
      <c r="F258" s="9">
        <v>46035.0</v>
      </c>
      <c r="G258" s="8" t="s">
        <v>247</v>
      </c>
      <c r="H258" s="8" t="s">
        <v>248</v>
      </c>
      <c r="I258" s="8" t="s">
        <v>932</v>
      </c>
      <c r="J258" s="8" t="s">
        <v>933</v>
      </c>
    </row>
    <row r="259">
      <c r="A259" s="7">
        <v>2.0031881E7</v>
      </c>
      <c r="B259" s="8" t="s">
        <v>776</v>
      </c>
      <c r="C259" s="8" t="s">
        <v>934</v>
      </c>
      <c r="D259" s="8" t="s">
        <v>16</v>
      </c>
      <c r="E259" s="8" t="s">
        <v>17</v>
      </c>
      <c r="F259" s="9">
        <v>46031.0</v>
      </c>
      <c r="G259" s="8" t="s">
        <v>220</v>
      </c>
      <c r="H259" s="8" t="s">
        <v>221</v>
      </c>
      <c r="I259" s="8" t="s">
        <v>935</v>
      </c>
      <c r="J259" s="8" t="s">
        <v>936</v>
      </c>
    </row>
    <row r="260">
      <c r="A260" s="7">
        <v>2.0031788E7</v>
      </c>
      <c r="B260" s="8" t="s">
        <v>776</v>
      </c>
      <c r="C260" s="8" t="s">
        <v>937</v>
      </c>
      <c r="D260" s="8" t="s">
        <v>16</v>
      </c>
      <c r="E260" s="8" t="s">
        <v>17</v>
      </c>
      <c r="F260" s="9">
        <v>46031.0</v>
      </c>
      <c r="G260" s="8" t="s">
        <v>91</v>
      </c>
      <c r="H260" s="8" t="s">
        <v>92</v>
      </c>
      <c r="I260" s="8" t="s">
        <v>938</v>
      </c>
      <c r="J260" s="8" t="s">
        <v>939</v>
      </c>
    </row>
    <row r="261">
      <c r="A261" s="7">
        <v>2.0031657E7</v>
      </c>
      <c r="B261" s="8" t="s">
        <v>776</v>
      </c>
      <c r="C261" s="8" t="s">
        <v>940</v>
      </c>
      <c r="D261" s="8" t="s">
        <v>16</v>
      </c>
      <c r="E261" s="8" t="s">
        <v>17</v>
      </c>
      <c r="F261" s="9">
        <v>46049.0</v>
      </c>
      <c r="G261" s="8" t="s">
        <v>688</v>
      </c>
      <c r="H261" s="8" t="s">
        <v>689</v>
      </c>
      <c r="I261" s="8" t="s">
        <v>941</v>
      </c>
      <c r="J261" s="8"/>
    </row>
    <row r="262">
      <c r="A262" s="7">
        <v>2.003157E7</v>
      </c>
      <c r="B262" s="8" t="s">
        <v>776</v>
      </c>
      <c r="C262" s="8" t="s">
        <v>942</v>
      </c>
      <c r="D262" s="8" t="s">
        <v>16</v>
      </c>
      <c r="E262" s="8" t="s">
        <v>17</v>
      </c>
      <c r="F262" s="9">
        <v>46052.0</v>
      </c>
      <c r="G262" s="8" t="s">
        <v>630</v>
      </c>
      <c r="H262" s="8" t="s">
        <v>631</v>
      </c>
      <c r="I262" s="8" t="s">
        <v>943</v>
      </c>
      <c r="J262" s="8" t="s">
        <v>944</v>
      </c>
    </row>
    <row r="263">
      <c r="A263" s="7">
        <v>2.0031666E7</v>
      </c>
      <c r="B263" s="8" t="s">
        <v>776</v>
      </c>
      <c r="C263" s="8" t="s">
        <v>945</v>
      </c>
      <c r="D263" s="8" t="s">
        <v>16</v>
      </c>
      <c r="E263" s="8" t="s">
        <v>17</v>
      </c>
      <c r="F263" s="9">
        <v>46031.0</v>
      </c>
      <c r="G263" s="8" t="s">
        <v>385</v>
      </c>
      <c r="H263" s="8" t="s">
        <v>386</v>
      </c>
      <c r="I263" s="8" t="s">
        <v>946</v>
      </c>
      <c r="J263" s="8" t="s">
        <v>947</v>
      </c>
    </row>
    <row r="264">
      <c r="A264" s="7">
        <v>2.002957E7</v>
      </c>
      <c r="B264" s="8" t="s">
        <v>776</v>
      </c>
      <c r="C264" s="8" t="s">
        <v>948</v>
      </c>
      <c r="D264" s="8" t="s">
        <v>16</v>
      </c>
      <c r="E264" s="8" t="s">
        <v>17</v>
      </c>
      <c r="F264" s="9">
        <v>46033.0</v>
      </c>
      <c r="G264" s="8" t="s">
        <v>234</v>
      </c>
      <c r="H264" s="8" t="s">
        <v>235</v>
      </c>
      <c r="I264" s="8" t="s">
        <v>949</v>
      </c>
      <c r="J264" s="8" t="s">
        <v>950</v>
      </c>
    </row>
    <row r="265">
      <c r="A265" s="7">
        <v>2.0030178E7</v>
      </c>
      <c r="B265" s="8" t="s">
        <v>776</v>
      </c>
      <c r="C265" s="8" t="s">
        <v>951</v>
      </c>
      <c r="D265" s="8" t="s">
        <v>16</v>
      </c>
      <c r="E265" s="8" t="s">
        <v>17</v>
      </c>
      <c r="F265" s="9">
        <v>46043.0</v>
      </c>
      <c r="G265" s="8" t="s">
        <v>137</v>
      </c>
      <c r="H265" s="8" t="s">
        <v>138</v>
      </c>
      <c r="I265" s="8" t="s">
        <v>952</v>
      </c>
      <c r="J265" s="8" t="s">
        <v>953</v>
      </c>
    </row>
    <row r="266">
      <c r="A266" s="7">
        <v>2.0031251E7</v>
      </c>
      <c r="B266" s="8" t="s">
        <v>776</v>
      </c>
      <c r="C266" s="8" t="s">
        <v>954</v>
      </c>
      <c r="D266" s="8" t="s">
        <v>16</v>
      </c>
      <c r="E266" s="8" t="s">
        <v>17</v>
      </c>
      <c r="F266" s="9">
        <v>46029.0</v>
      </c>
      <c r="G266" s="8" t="s">
        <v>91</v>
      </c>
      <c r="H266" s="8" t="s">
        <v>92</v>
      </c>
      <c r="I266" s="8" t="s">
        <v>955</v>
      </c>
      <c r="J266" s="8" t="s">
        <v>956</v>
      </c>
    </row>
    <row r="267">
      <c r="A267" s="7">
        <v>2.0025184E7</v>
      </c>
      <c r="B267" s="8" t="s">
        <v>776</v>
      </c>
      <c r="C267" s="8" t="s">
        <v>957</v>
      </c>
      <c r="D267" s="8" t="s">
        <v>16</v>
      </c>
      <c r="E267" s="8" t="s">
        <v>17</v>
      </c>
      <c r="F267" s="9">
        <v>46033.0</v>
      </c>
      <c r="G267" s="8" t="s">
        <v>234</v>
      </c>
      <c r="H267" s="8" t="s">
        <v>235</v>
      </c>
      <c r="I267" s="8" t="s">
        <v>958</v>
      </c>
      <c r="J267" s="8" t="s">
        <v>959</v>
      </c>
    </row>
    <row r="268">
      <c r="A268" s="7">
        <v>2.0031003E7</v>
      </c>
      <c r="B268" s="8" t="s">
        <v>776</v>
      </c>
      <c r="C268" s="8" t="s">
        <v>960</v>
      </c>
      <c r="D268" s="8" t="s">
        <v>16</v>
      </c>
      <c r="E268" s="8" t="s">
        <v>17</v>
      </c>
      <c r="F268" s="9">
        <v>46030.0</v>
      </c>
      <c r="G268" s="8" t="s">
        <v>91</v>
      </c>
      <c r="H268" s="8" t="s">
        <v>92</v>
      </c>
      <c r="I268" s="8" t="s">
        <v>961</v>
      </c>
      <c r="J268" s="8" t="s">
        <v>962</v>
      </c>
    </row>
    <row r="269">
      <c r="A269" s="7">
        <v>2.0031015E7</v>
      </c>
      <c r="B269" s="8" t="s">
        <v>776</v>
      </c>
      <c r="C269" s="8" t="s">
        <v>963</v>
      </c>
      <c r="D269" s="8" t="s">
        <v>16</v>
      </c>
      <c r="E269" s="8" t="s">
        <v>17</v>
      </c>
      <c r="F269" s="9">
        <v>46041.0</v>
      </c>
      <c r="G269" s="8" t="s">
        <v>64</v>
      </c>
      <c r="H269" s="8" t="s">
        <v>65</v>
      </c>
      <c r="I269" s="8" t="s">
        <v>964</v>
      </c>
      <c r="J269" s="8"/>
    </row>
    <row r="270">
      <c r="A270" s="7">
        <v>2.0030297E7</v>
      </c>
      <c r="B270" s="8" t="s">
        <v>776</v>
      </c>
      <c r="C270" s="8" t="s">
        <v>965</v>
      </c>
      <c r="D270" s="8" t="s">
        <v>16</v>
      </c>
      <c r="E270" s="8" t="s">
        <v>17</v>
      </c>
      <c r="F270" s="9">
        <v>46038.0</v>
      </c>
      <c r="G270" s="8" t="s">
        <v>86</v>
      </c>
      <c r="H270" s="8" t="s">
        <v>87</v>
      </c>
      <c r="I270" s="8" t="s">
        <v>966</v>
      </c>
      <c r="J270" s="8"/>
    </row>
    <row r="271">
      <c r="A271" s="7">
        <v>2.0030306E7</v>
      </c>
      <c r="B271" s="8" t="s">
        <v>776</v>
      </c>
      <c r="C271" s="8" t="s">
        <v>967</v>
      </c>
      <c r="D271" s="8" t="s">
        <v>16</v>
      </c>
      <c r="E271" s="8" t="s">
        <v>17</v>
      </c>
      <c r="F271" s="9">
        <v>46029.0</v>
      </c>
      <c r="G271" s="8" t="s">
        <v>800</v>
      </c>
      <c r="H271" s="8" t="s">
        <v>801</v>
      </c>
      <c r="I271" s="8" t="s">
        <v>968</v>
      </c>
      <c r="J271" s="8" t="s">
        <v>969</v>
      </c>
    </row>
    <row r="272">
      <c r="A272" s="7">
        <v>2.0030505E7</v>
      </c>
      <c r="B272" s="8" t="s">
        <v>776</v>
      </c>
      <c r="C272" s="8" t="s">
        <v>970</v>
      </c>
      <c r="D272" s="8" t="s">
        <v>16</v>
      </c>
      <c r="E272" s="8" t="s">
        <v>17</v>
      </c>
      <c r="F272" s="9">
        <v>46032.0</v>
      </c>
      <c r="G272" s="8" t="s">
        <v>971</v>
      </c>
      <c r="H272" s="8" t="s">
        <v>972</v>
      </c>
      <c r="I272" s="8" t="s">
        <v>973</v>
      </c>
      <c r="J272" s="8" t="s">
        <v>974</v>
      </c>
    </row>
    <row r="273">
      <c r="A273" s="7">
        <v>2.0027359E7</v>
      </c>
      <c r="B273" s="8" t="s">
        <v>776</v>
      </c>
      <c r="C273" s="8" t="s">
        <v>975</v>
      </c>
      <c r="D273" s="8" t="s">
        <v>16</v>
      </c>
      <c r="E273" s="8" t="s">
        <v>17</v>
      </c>
      <c r="F273" s="9">
        <v>46036.0</v>
      </c>
      <c r="G273" s="8" t="s">
        <v>229</v>
      </c>
      <c r="H273" s="8" t="s">
        <v>230</v>
      </c>
      <c r="I273" s="8" t="s">
        <v>976</v>
      </c>
      <c r="J273" s="8" t="s">
        <v>977</v>
      </c>
    </row>
    <row r="274">
      <c r="A274" s="7">
        <v>2.0027359E7</v>
      </c>
      <c r="B274" s="8" t="s">
        <v>776</v>
      </c>
      <c r="C274" s="8" t="s">
        <v>975</v>
      </c>
      <c r="D274" s="8" t="s">
        <v>16</v>
      </c>
      <c r="E274" s="8" t="s">
        <v>17</v>
      </c>
      <c r="F274" s="9">
        <v>46036.0</v>
      </c>
      <c r="G274" s="8" t="s">
        <v>978</v>
      </c>
      <c r="H274" s="8" t="s">
        <v>979</v>
      </c>
      <c r="I274" s="8" t="s">
        <v>980</v>
      </c>
      <c r="J274" s="8" t="s">
        <v>981</v>
      </c>
    </row>
    <row r="275">
      <c r="A275" s="7">
        <v>2.0029741E7</v>
      </c>
      <c r="B275" s="8" t="s">
        <v>776</v>
      </c>
      <c r="C275" s="8" t="s">
        <v>982</v>
      </c>
      <c r="D275" s="8" t="s">
        <v>16</v>
      </c>
      <c r="E275" s="8" t="s">
        <v>17</v>
      </c>
      <c r="F275" s="9">
        <v>46034.0</v>
      </c>
      <c r="G275" s="8" t="s">
        <v>613</v>
      </c>
      <c r="H275" s="8" t="s">
        <v>614</v>
      </c>
      <c r="I275" s="8" t="s">
        <v>983</v>
      </c>
      <c r="J275" s="8" t="s">
        <v>984</v>
      </c>
    </row>
    <row r="276">
      <c r="A276" s="7">
        <v>2.0029757E7</v>
      </c>
      <c r="B276" s="8" t="s">
        <v>776</v>
      </c>
      <c r="C276" s="8" t="s">
        <v>985</v>
      </c>
      <c r="D276" s="8" t="s">
        <v>16</v>
      </c>
      <c r="E276" s="8" t="s">
        <v>700</v>
      </c>
      <c r="F276" s="9">
        <v>46025.0</v>
      </c>
      <c r="G276" s="8" t="s">
        <v>365</v>
      </c>
      <c r="H276" s="8" t="s">
        <v>366</v>
      </c>
      <c r="I276" s="8" t="s">
        <v>986</v>
      </c>
      <c r="J276" s="8" t="s">
        <v>987</v>
      </c>
    </row>
    <row r="277">
      <c r="A277" s="7">
        <v>2.002977E7</v>
      </c>
      <c r="B277" s="8" t="s">
        <v>776</v>
      </c>
      <c r="C277" s="8" t="s">
        <v>988</v>
      </c>
      <c r="D277" s="8" t="s">
        <v>16</v>
      </c>
      <c r="E277" s="8" t="s">
        <v>17</v>
      </c>
      <c r="F277" s="9">
        <v>46026.0</v>
      </c>
      <c r="G277" s="8" t="s">
        <v>91</v>
      </c>
      <c r="H277" s="8" t="s">
        <v>92</v>
      </c>
      <c r="I277" s="8" t="s">
        <v>989</v>
      </c>
      <c r="J277" s="8" t="s">
        <v>990</v>
      </c>
    </row>
    <row r="278">
      <c r="A278" s="7">
        <v>2.0029711E7</v>
      </c>
      <c r="B278" s="8" t="s">
        <v>776</v>
      </c>
      <c r="C278" s="8" t="s">
        <v>991</v>
      </c>
      <c r="D278" s="8" t="s">
        <v>16</v>
      </c>
      <c r="E278" s="8" t="s">
        <v>17</v>
      </c>
      <c r="F278" s="9">
        <v>46037.0</v>
      </c>
      <c r="G278" s="8" t="s">
        <v>171</v>
      </c>
      <c r="H278" s="8" t="s">
        <v>172</v>
      </c>
      <c r="I278" s="8" t="s">
        <v>992</v>
      </c>
      <c r="J278" s="8"/>
    </row>
    <row r="279">
      <c r="A279" s="7">
        <v>2.0027206E7</v>
      </c>
      <c r="B279" s="8" t="s">
        <v>776</v>
      </c>
      <c r="C279" s="8" t="s">
        <v>993</v>
      </c>
      <c r="D279" s="8" t="s">
        <v>16</v>
      </c>
      <c r="E279" s="8" t="s">
        <v>17</v>
      </c>
      <c r="F279" s="9">
        <v>46035.0</v>
      </c>
      <c r="G279" s="8" t="s">
        <v>994</v>
      </c>
      <c r="H279" s="8" t="s">
        <v>995</v>
      </c>
      <c r="I279" s="8" t="s">
        <v>996</v>
      </c>
      <c r="J279" s="8" t="s">
        <v>997</v>
      </c>
    </row>
    <row r="280">
      <c r="A280" s="7">
        <v>2.0028955E7</v>
      </c>
      <c r="B280" s="8" t="s">
        <v>776</v>
      </c>
      <c r="C280" s="8" t="s">
        <v>998</v>
      </c>
      <c r="D280" s="8" t="s">
        <v>16</v>
      </c>
      <c r="E280" s="8" t="s">
        <v>17</v>
      </c>
      <c r="F280" s="9">
        <v>46024.0</v>
      </c>
      <c r="G280" s="8" t="s">
        <v>282</v>
      </c>
      <c r="H280" s="8" t="s">
        <v>71</v>
      </c>
      <c r="I280" s="8" t="s">
        <v>999</v>
      </c>
      <c r="J280" s="8" t="s">
        <v>1000</v>
      </c>
    </row>
    <row r="281">
      <c r="A281" s="7">
        <v>2.0028817E7</v>
      </c>
      <c r="B281" s="8" t="s">
        <v>776</v>
      </c>
      <c r="C281" s="8" t="s">
        <v>1001</v>
      </c>
      <c r="D281" s="8" t="s">
        <v>16</v>
      </c>
      <c r="E281" s="8" t="s">
        <v>17</v>
      </c>
      <c r="F281" s="9">
        <v>46025.0</v>
      </c>
      <c r="G281" s="8" t="s">
        <v>59</v>
      </c>
      <c r="H281" s="8" t="s">
        <v>60</v>
      </c>
      <c r="I281" s="8" t="s">
        <v>1002</v>
      </c>
      <c r="J281" s="8" t="s">
        <v>1003</v>
      </c>
    </row>
    <row r="282">
      <c r="A282" s="7">
        <v>2.0028708E7</v>
      </c>
      <c r="B282" s="8" t="s">
        <v>776</v>
      </c>
      <c r="C282" s="8" t="s">
        <v>1004</v>
      </c>
      <c r="D282" s="8" t="s">
        <v>16</v>
      </c>
      <c r="E282" s="8" t="s">
        <v>17</v>
      </c>
      <c r="F282" s="9">
        <v>46039.0</v>
      </c>
      <c r="G282" s="8" t="s">
        <v>124</v>
      </c>
      <c r="H282" s="8" t="s">
        <v>125</v>
      </c>
      <c r="I282" s="8" t="s">
        <v>1005</v>
      </c>
      <c r="J282" s="8"/>
    </row>
    <row r="283">
      <c r="A283" s="7">
        <v>2.0028601E7</v>
      </c>
      <c r="B283" s="8" t="s">
        <v>776</v>
      </c>
      <c r="C283" s="8" t="s">
        <v>1006</v>
      </c>
      <c r="D283" s="8" t="s">
        <v>16</v>
      </c>
      <c r="E283" s="8" t="s">
        <v>700</v>
      </c>
      <c r="F283" s="9">
        <v>46025.0</v>
      </c>
      <c r="G283" s="8" t="s">
        <v>1007</v>
      </c>
      <c r="H283" s="8" t="s">
        <v>1008</v>
      </c>
      <c r="I283" s="8" t="s">
        <v>1009</v>
      </c>
      <c r="J283" s="8" t="s">
        <v>1010</v>
      </c>
    </row>
    <row r="284">
      <c r="A284" s="7">
        <v>2.0026216E7</v>
      </c>
      <c r="B284" s="8" t="s">
        <v>776</v>
      </c>
      <c r="C284" s="8" t="s">
        <v>1011</v>
      </c>
      <c r="D284" s="8" t="s">
        <v>16</v>
      </c>
      <c r="E284" s="8" t="s">
        <v>17</v>
      </c>
      <c r="F284" s="9">
        <v>46030.0</v>
      </c>
      <c r="G284" s="8" t="s">
        <v>1012</v>
      </c>
      <c r="H284" s="8" t="s">
        <v>1013</v>
      </c>
      <c r="I284" s="8" t="s">
        <v>1014</v>
      </c>
      <c r="J284" s="8"/>
    </row>
    <row r="285">
      <c r="A285" s="7">
        <v>2.0027845E7</v>
      </c>
      <c r="B285" s="8" t="s">
        <v>776</v>
      </c>
      <c r="C285" s="8" t="s">
        <v>1015</v>
      </c>
      <c r="D285" s="8" t="s">
        <v>16</v>
      </c>
      <c r="E285" s="8" t="s">
        <v>17</v>
      </c>
      <c r="F285" s="9">
        <v>46032.0</v>
      </c>
      <c r="G285" s="8" t="s">
        <v>124</v>
      </c>
      <c r="H285" s="8" t="s">
        <v>125</v>
      </c>
      <c r="I285" s="8" t="s">
        <v>1016</v>
      </c>
      <c r="J285" s="8"/>
    </row>
    <row r="286">
      <c r="A286" s="7">
        <v>2.0027568E7</v>
      </c>
      <c r="B286" s="8" t="s">
        <v>776</v>
      </c>
      <c r="C286" s="8" t="s">
        <v>1017</v>
      </c>
      <c r="D286" s="8" t="s">
        <v>16</v>
      </c>
      <c r="E286" s="8" t="s">
        <v>17</v>
      </c>
      <c r="F286" s="9">
        <v>46030.0</v>
      </c>
      <c r="G286" s="8" t="s">
        <v>158</v>
      </c>
      <c r="H286" s="8" t="s">
        <v>159</v>
      </c>
      <c r="I286" s="8" t="s">
        <v>1018</v>
      </c>
      <c r="J286" s="8" t="s">
        <v>1019</v>
      </c>
    </row>
    <row r="287">
      <c r="A287" s="7">
        <v>2.0026564E7</v>
      </c>
      <c r="B287" s="8" t="s">
        <v>776</v>
      </c>
      <c r="C287" s="8" t="s">
        <v>1020</v>
      </c>
      <c r="D287" s="8" t="s">
        <v>16</v>
      </c>
      <c r="E287" s="8" t="s">
        <v>17</v>
      </c>
      <c r="F287" s="9">
        <v>46026.0</v>
      </c>
      <c r="G287" s="8" t="s">
        <v>163</v>
      </c>
      <c r="H287" s="8" t="s">
        <v>164</v>
      </c>
      <c r="I287" s="8" t="s">
        <v>1021</v>
      </c>
      <c r="J287" s="8"/>
    </row>
    <row r="288">
      <c r="A288" s="7">
        <v>2.002669E7</v>
      </c>
      <c r="B288" s="8" t="s">
        <v>776</v>
      </c>
      <c r="C288" s="8" t="s">
        <v>1022</v>
      </c>
      <c r="D288" s="8" t="s">
        <v>16</v>
      </c>
      <c r="E288" s="8" t="s">
        <v>17</v>
      </c>
      <c r="F288" s="9">
        <v>46027.0</v>
      </c>
      <c r="G288" s="8" t="s">
        <v>1023</v>
      </c>
      <c r="H288" s="8" t="s">
        <v>1024</v>
      </c>
      <c r="I288" s="8" t="s">
        <v>1025</v>
      </c>
      <c r="J288" s="8"/>
    </row>
    <row r="289">
      <c r="A289" s="7">
        <v>2.0025132E7</v>
      </c>
      <c r="B289" s="8" t="s">
        <v>776</v>
      </c>
      <c r="C289" s="8" t="s">
        <v>1026</v>
      </c>
      <c r="D289" s="8" t="s">
        <v>16</v>
      </c>
      <c r="E289" s="8" t="s">
        <v>17</v>
      </c>
      <c r="F289" s="9">
        <v>46025.0</v>
      </c>
      <c r="G289" s="8" t="s">
        <v>978</v>
      </c>
      <c r="H289" s="8" t="s">
        <v>979</v>
      </c>
      <c r="I289" s="8" t="s">
        <v>1027</v>
      </c>
      <c r="J289" s="8" t="s">
        <v>1028</v>
      </c>
    </row>
    <row r="290">
      <c r="A290" s="7">
        <v>2.0025132E7</v>
      </c>
      <c r="B290" s="8" t="s">
        <v>776</v>
      </c>
      <c r="C290" s="8" t="s">
        <v>1026</v>
      </c>
      <c r="D290" s="8" t="s">
        <v>16</v>
      </c>
      <c r="E290" s="8" t="s">
        <v>17</v>
      </c>
      <c r="F290" s="9">
        <v>46025.0</v>
      </c>
      <c r="G290" s="8" t="s">
        <v>335</v>
      </c>
      <c r="H290" s="8" t="s">
        <v>336</v>
      </c>
      <c r="I290" s="8" t="s">
        <v>1029</v>
      </c>
      <c r="J290" s="8"/>
    </row>
    <row r="291">
      <c r="A291" s="7">
        <v>2.0013357E7</v>
      </c>
      <c r="B291" s="8" t="s">
        <v>776</v>
      </c>
      <c r="C291" s="8" t="s">
        <v>1030</v>
      </c>
      <c r="D291" s="8" t="s">
        <v>16</v>
      </c>
      <c r="E291" s="8" t="s">
        <v>1031</v>
      </c>
      <c r="F291" s="9">
        <v>46103.0</v>
      </c>
      <c r="G291" s="8" t="s">
        <v>752</v>
      </c>
      <c r="H291" s="8" t="s">
        <v>753</v>
      </c>
      <c r="I291" s="8" t="s">
        <v>1032</v>
      </c>
      <c r="J291" s="8" t="s">
        <v>1033</v>
      </c>
    </row>
    <row r="292">
      <c r="A292" s="7">
        <v>2.0069181E7</v>
      </c>
      <c r="B292" s="8" t="s">
        <v>1034</v>
      </c>
      <c r="C292" s="8" t="s">
        <v>1035</v>
      </c>
      <c r="D292" s="8" t="s">
        <v>16</v>
      </c>
      <c r="E292" s="8" t="s">
        <v>17</v>
      </c>
      <c r="F292" s="9">
        <v>46188.0</v>
      </c>
      <c r="G292" s="8" t="s">
        <v>59</v>
      </c>
      <c r="H292" s="8" t="s">
        <v>60</v>
      </c>
      <c r="I292" s="8" t="s">
        <v>1036</v>
      </c>
      <c r="J292" s="8" t="s">
        <v>1037</v>
      </c>
    </row>
    <row r="293">
      <c r="A293" s="7">
        <v>2.0068796E7</v>
      </c>
      <c r="B293" s="8" t="s">
        <v>1034</v>
      </c>
      <c r="C293" s="8" t="s">
        <v>1038</v>
      </c>
      <c r="D293" s="8" t="s">
        <v>16</v>
      </c>
      <c r="E293" s="8" t="s">
        <v>17</v>
      </c>
      <c r="F293" s="9">
        <v>46186.0</v>
      </c>
      <c r="G293" s="8" t="s">
        <v>75</v>
      </c>
      <c r="H293" s="8" t="s">
        <v>76</v>
      </c>
      <c r="I293" s="8" t="s">
        <v>1039</v>
      </c>
      <c r="J293" s="8" t="s">
        <v>1040</v>
      </c>
    </row>
    <row r="294">
      <c r="A294" s="7">
        <v>2.0066794E7</v>
      </c>
      <c r="B294" s="8" t="s">
        <v>1034</v>
      </c>
      <c r="C294" s="8" t="s">
        <v>1041</v>
      </c>
      <c r="D294" s="8" t="s">
        <v>16</v>
      </c>
      <c r="E294" s="8" t="s">
        <v>17</v>
      </c>
      <c r="F294" s="9">
        <v>46175.0</v>
      </c>
      <c r="G294" s="8" t="s">
        <v>59</v>
      </c>
      <c r="H294" s="8" t="s">
        <v>60</v>
      </c>
      <c r="I294" s="8" t="s">
        <v>1042</v>
      </c>
      <c r="J294" s="8" t="s">
        <v>1043</v>
      </c>
    </row>
    <row r="295">
      <c r="A295" s="7">
        <v>2.0061654E7</v>
      </c>
      <c r="B295" s="8" t="s">
        <v>1034</v>
      </c>
      <c r="C295" s="8" t="s">
        <v>1044</v>
      </c>
      <c r="D295" s="8" t="s">
        <v>16</v>
      </c>
      <c r="E295" s="8" t="s">
        <v>17</v>
      </c>
      <c r="F295" s="9">
        <v>46161.0</v>
      </c>
      <c r="G295" s="8" t="s">
        <v>1045</v>
      </c>
      <c r="H295" s="8" t="s">
        <v>909</v>
      </c>
      <c r="I295" s="8" t="s">
        <v>1046</v>
      </c>
      <c r="J295" s="8" t="s">
        <v>1047</v>
      </c>
    </row>
    <row r="296">
      <c r="A296" s="7">
        <v>2.0062186E7</v>
      </c>
      <c r="B296" s="8" t="s">
        <v>1034</v>
      </c>
      <c r="C296" s="8" t="s">
        <v>1048</v>
      </c>
      <c r="D296" s="8" t="s">
        <v>16</v>
      </c>
      <c r="E296" s="8" t="s">
        <v>17</v>
      </c>
      <c r="F296" s="9">
        <v>46185.0</v>
      </c>
      <c r="G296" s="8" t="s">
        <v>1049</v>
      </c>
      <c r="H296" s="8" t="s">
        <v>1050</v>
      </c>
      <c r="I296" s="8" t="s">
        <v>1051</v>
      </c>
      <c r="J296" s="8" t="s">
        <v>1052</v>
      </c>
    </row>
    <row r="297">
      <c r="A297" s="7">
        <v>2.0058195E7</v>
      </c>
      <c r="B297" s="8" t="s">
        <v>1034</v>
      </c>
      <c r="C297" s="8" t="s">
        <v>1053</v>
      </c>
      <c r="D297" s="8" t="s">
        <v>16</v>
      </c>
      <c r="E297" s="8" t="s">
        <v>17</v>
      </c>
      <c r="F297" s="9">
        <v>46136.0</v>
      </c>
      <c r="G297" s="8" t="s">
        <v>385</v>
      </c>
      <c r="H297" s="8" t="s">
        <v>386</v>
      </c>
      <c r="I297" s="8" t="s">
        <v>1054</v>
      </c>
      <c r="J297" s="8" t="s">
        <v>1055</v>
      </c>
    </row>
    <row r="298">
      <c r="A298" s="7">
        <v>2.0058195E7</v>
      </c>
      <c r="B298" s="8" t="s">
        <v>1034</v>
      </c>
      <c r="C298" s="8" t="s">
        <v>1056</v>
      </c>
      <c r="D298" s="8" t="s">
        <v>16</v>
      </c>
      <c r="E298" s="8" t="s">
        <v>17</v>
      </c>
      <c r="F298" s="9">
        <v>46180.0</v>
      </c>
      <c r="G298" s="8" t="s">
        <v>1057</v>
      </c>
      <c r="H298" s="8" t="s">
        <v>1058</v>
      </c>
      <c r="I298" s="8" t="s">
        <v>1059</v>
      </c>
      <c r="J298" s="8" t="s">
        <v>1060</v>
      </c>
    </row>
    <row r="299">
      <c r="A299" s="7">
        <v>2.0055691E7</v>
      </c>
      <c r="B299" s="8" t="s">
        <v>1034</v>
      </c>
      <c r="C299" s="8" t="s">
        <v>1061</v>
      </c>
      <c r="D299" s="8" t="s">
        <v>16</v>
      </c>
      <c r="E299" s="8" t="s">
        <v>17</v>
      </c>
      <c r="F299" s="9">
        <v>46135.0</v>
      </c>
      <c r="G299" s="8" t="s">
        <v>978</v>
      </c>
      <c r="H299" s="8" t="s">
        <v>979</v>
      </c>
      <c r="I299" s="8" t="s">
        <v>1062</v>
      </c>
      <c r="J299" s="8" t="s">
        <v>1063</v>
      </c>
    </row>
    <row r="300">
      <c r="A300" s="7">
        <v>2.0052346E7</v>
      </c>
      <c r="B300" s="8" t="s">
        <v>1034</v>
      </c>
      <c r="C300" s="8" t="s">
        <v>1064</v>
      </c>
      <c r="D300" s="8" t="s">
        <v>16</v>
      </c>
      <c r="E300" s="8" t="s">
        <v>17</v>
      </c>
      <c r="F300" s="9">
        <v>46110.0</v>
      </c>
      <c r="G300" s="8" t="s">
        <v>365</v>
      </c>
      <c r="H300" s="8" t="s">
        <v>366</v>
      </c>
      <c r="I300" s="8" t="s">
        <v>1065</v>
      </c>
      <c r="J300" s="8" t="s">
        <v>1066</v>
      </c>
    </row>
    <row r="301">
      <c r="A301" s="7">
        <v>2.0052311E7</v>
      </c>
      <c r="B301" s="8" t="s">
        <v>1034</v>
      </c>
      <c r="C301" s="8" t="s">
        <v>1067</v>
      </c>
      <c r="D301" s="8" t="s">
        <v>16</v>
      </c>
      <c r="E301" s="8" t="s">
        <v>17</v>
      </c>
      <c r="F301" s="9">
        <v>46117.0</v>
      </c>
      <c r="G301" s="8" t="s">
        <v>504</v>
      </c>
      <c r="H301" s="8" t="s">
        <v>505</v>
      </c>
      <c r="I301" s="8" t="s">
        <v>1068</v>
      </c>
      <c r="J301" s="8" t="s">
        <v>1069</v>
      </c>
    </row>
    <row r="302">
      <c r="A302" s="7">
        <v>2.0052308E7</v>
      </c>
      <c r="B302" s="8" t="s">
        <v>1034</v>
      </c>
      <c r="C302" s="8" t="s">
        <v>1070</v>
      </c>
      <c r="D302" s="8" t="s">
        <v>16</v>
      </c>
      <c r="E302" s="8" t="s">
        <v>17</v>
      </c>
      <c r="F302" s="9">
        <v>46135.0</v>
      </c>
      <c r="G302" s="8" t="s">
        <v>717</v>
      </c>
      <c r="H302" s="8" t="s">
        <v>718</v>
      </c>
      <c r="I302" s="8" t="s">
        <v>1071</v>
      </c>
      <c r="J302" s="8" t="s">
        <v>1072</v>
      </c>
    </row>
    <row r="303">
      <c r="A303" s="7">
        <v>2.0047998E7</v>
      </c>
      <c r="B303" s="8" t="s">
        <v>1034</v>
      </c>
      <c r="C303" s="8" t="s">
        <v>1073</v>
      </c>
      <c r="D303" s="8" t="s">
        <v>16</v>
      </c>
      <c r="E303" s="8" t="s">
        <v>1074</v>
      </c>
      <c r="F303" s="9">
        <v>46092.0</v>
      </c>
      <c r="G303" s="8" t="s">
        <v>91</v>
      </c>
      <c r="H303" s="8" t="s">
        <v>92</v>
      </c>
      <c r="I303" s="8" t="s">
        <v>1075</v>
      </c>
      <c r="J303" s="8" t="s">
        <v>1076</v>
      </c>
    </row>
    <row r="304">
      <c r="A304" s="7">
        <v>2.0046902E7</v>
      </c>
      <c r="B304" s="8" t="s">
        <v>1034</v>
      </c>
      <c r="C304" s="8" t="s">
        <v>1077</v>
      </c>
      <c r="D304" s="8" t="s">
        <v>16</v>
      </c>
      <c r="E304" s="8" t="s">
        <v>17</v>
      </c>
      <c r="F304" s="9">
        <v>46087.0</v>
      </c>
      <c r="G304" s="8" t="s">
        <v>365</v>
      </c>
      <c r="H304" s="8" t="s">
        <v>366</v>
      </c>
      <c r="I304" s="8" t="s">
        <v>1078</v>
      </c>
      <c r="J304" s="8" t="s">
        <v>1079</v>
      </c>
    </row>
    <row r="305">
      <c r="A305" s="7">
        <v>2.004226E7</v>
      </c>
      <c r="B305" s="8" t="s">
        <v>1034</v>
      </c>
      <c r="C305" s="8" t="s">
        <v>1080</v>
      </c>
      <c r="D305" s="8" t="s">
        <v>16</v>
      </c>
      <c r="E305" s="8" t="s">
        <v>17</v>
      </c>
      <c r="F305" s="9">
        <v>46079.0</v>
      </c>
      <c r="G305" s="8" t="s">
        <v>1081</v>
      </c>
      <c r="H305" s="8" t="s">
        <v>44</v>
      </c>
      <c r="I305" s="8" t="s">
        <v>1082</v>
      </c>
      <c r="J305" s="8" t="s">
        <v>1083</v>
      </c>
    </row>
    <row r="306">
      <c r="A306" s="7">
        <v>2.0042889E7</v>
      </c>
      <c r="B306" s="8" t="s">
        <v>1034</v>
      </c>
      <c r="C306" s="8" t="s">
        <v>1084</v>
      </c>
      <c r="D306" s="8" t="s">
        <v>16</v>
      </c>
      <c r="E306" s="8" t="s">
        <v>17</v>
      </c>
      <c r="F306" s="9">
        <v>46086.0</v>
      </c>
      <c r="G306" s="8" t="s">
        <v>1085</v>
      </c>
      <c r="H306" s="8" t="s">
        <v>1086</v>
      </c>
      <c r="I306" s="8" t="s">
        <v>1087</v>
      </c>
      <c r="J306" s="8" t="s">
        <v>1088</v>
      </c>
    </row>
    <row r="307">
      <c r="A307" s="7">
        <v>2.0039405E7</v>
      </c>
      <c r="B307" s="8" t="s">
        <v>1034</v>
      </c>
      <c r="C307" s="8" t="s">
        <v>1089</v>
      </c>
      <c r="D307" s="8" t="s">
        <v>16</v>
      </c>
      <c r="E307" s="8" t="s">
        <v>17</v>
      </c>
      <c r="F307" s="9">
        <v>46075.0</v>
      </c>
      <c r="G307" s="8" t="s">
        <v>137</v>
      </c>
      <c r="H307" s="8" t="s">
        <v>138</v>
      </c>
      <c r="I307" s="8" t="s">
        <v>1090</v>
      </c>
      <c r="J307" s="8" t="s">
        <v>1091</v>
      </c>
    </row>
    <row r="308">
      <c r="A308" s="7">
        <v>2.0033892E7</v>
      </c>
      <c r="B308" s="8" t="s">
        <v>1034</v>
      </c>
      <c r="C308" s="8" t="s">
        <v>1092</v>
      </c>
      <c r="D308" s="8" t="s">
        <v>16</v>
      </c>
      <c r="E308" s="8" t="s">
        <v>17</v>
      </c>
      <c r="F308" s="9">
        <v>46064.0</v>
      </c>
      <c r="G308" s="8" t="s">
        <v>1093</v>
      </c>
      <c r="H308" s="8" t="s">
        <v>1094</v>
      </c>
      <c r="I308" s="8" t="s">
        <v>1095</v>
      </c>
      <c r="J308" s="8" t="s">
        <v>1096</v>
      </c>
    </row>
    <row r="309">
      <c r="A309" s="7">
        <v>2.0036017E7</v>
      </c>
      <c r="B309" s="8" t="s">
        <v>1034</v>
      </c>
      <c r="C309" s="8" t="s">
        <v>1097</v>
      </c>
      <c r="D309" s="8" t="s">
        <v>16</v>
      </c>
      <c r="E309" s="8" t="s">
        <v>17</v>
      </c>
      <c r="F309" s="9">
        <v>46063.0</v>
      </c>
      <c r="G309" s="8" t="s">
        <v>717</v>
      </c>
      <c r="H309" s="8" t="s">
        <v>718</v>
      </c>
      <c r="I309" s="8" t="s">
        <v>1098</v>
      </c>
      <c r="J309" s="8" t="s">
        <v>1099</v>
      </c>
    </row>
    <row r="310">
      <c r="A310" s="7">
        <v>2.0036189E7</v>
      </c>
      <c r="B310" s="8" t="s">
        <v>1034</v>
      </c>
      <c r="C310" s="8" t="s">
        <v>1100</v>
      </c>
      <c r="D310" s="8" t="s">
        <v>16</v>
      </c>
      <c r="E310" s="8" t="s">
        <v>17</v>
      </c>
      <c r="F310" s="9">
        <v>46062.0</v>
      </c>
      <c r="G310" s="8" t="s">
        <v>242</v>
      </c>
      <c r="H310" s="8" t="s">
        <v>243</v>
      </c>
      <c r="I310" s="8" t="s">
        <v>1101</v>
      </c>
      <c r="J310" s="8" t="s">
        <v>1102</v>
      </c>
    </row>
    <row r="311">
      <c r="A311" s="7">
        <v>2.0033926E7</v>
      </c>
      <c r="B311" s="8" t="s">
        <v>1034</v>
      </c>
      <c r="C311" s="8" t="s">
        <v>1103</v>
      </c>
      <c r="D311" s="8" t="s">
        <v>16</v>
      </c>
      <c r="E311" s="8" t="s">
        <v>17</v>
      </c>
      <c r="F311" s="9">
        <v>46050.0</v>
      </c>
      <c r="G311" s="8" t="s">
        <v>184</v>
      </c>
      <c r="H311" s="8" t="s">
        <v>185</v>
      </c>
      <c r="I311" s="8" t="s">
        <v>1104</v>
      </c>
      <c r="J311" s="8" t="s">
        <v>1105</v>
      </c>
    </row>
    <row r="312">
      <c r="A312" s="7">
        <v>2.0033573E7</v>
      </c>
      <c r="B312" s="8" t="s">
        <v>1034</v>
      </c>
      <c r="C312" s="8" t="s">
        <v>1106</v>
      </c>
      <c r="D312" s="8" t="s">
        <v>16</v>
      </c>
      <c r="E312" s="8" t="s">
        <v>17</v>
      </c>
      <c r="F312" s="9">
        <v>46040.0</v>
      </c>
      <c r="G312" s="8" t="s">
        <v>59</v>
      </c>
      <c r="H312" s="8" t="s">
        <v>60</v>
      </c>
      <c r="I312" s="8" t="s">
        <v>1107</v>
      </c>
      <c r="J312" s="8" t="s">
        <v>1108</v>
      </c>
    </row>
    <row r="313">
      <c r="A313" s="7">
        <v>2.0033265E7</v>
      </c>
      <c r="B313" s="8" t="s">
        <v>1034</v>
      </c>
      <c r="C313" s="8" t="s">
        <v>1109</v>
      </c>
      <c r="D313" s="8" t="s">
        <v>16</v>
      </c>
      <c r="E313" s="8" t="s">
        <v>17</v>
      </c>
      <c r="F313" s="9">
        <v>46039.0</v>
      </c>
      <c r="G313" s="8" t="s">
        <v>1110</v>
      </c>
      <c r="H313" s="8" t="s">
        <v>1111</v>
      </c>
      <c r="I313" s="8" t="s">
        <v>1112</v>
      </c>
      <c r="J313" s="8" t="s">
        <v>1113</v>
      </c>
    </row>
    <row r="314">
      <c r="A314" s="7">
        <v>2.0026518E7</v>
      </c>
      <c r="B314" s="8" t="s">
        <v>1034</v>
      </c>
      <c r="C314" s="8" t="s">
        <v>1114</v>
      </c>
      <c r="D314" s="8" t="s">
        <v>16</v>
      </c>
      <c r="E314" s="8" t="s">
        <v>17</v>
      </c>
      <c r="F314" s="9">
        <v>46043.0</v>
      </c>
      <c r="G314" s="8" t="s">
        <v>971</v>
      </c>
      <c r="H314" s="8" t="s">
        <v>972</v>
      </c>
      <c r="I314" s="8" t="s">
        <v>1115</v>
      </c>
      <c r="J314" s="8" t="s">
        <v>1116</v>
      </c>
    </row>
    <row r="315">
      <c r="A315" s="7">
        <v>2.0033314E7</v>
      </c>
      <c r="B315" s="8" t="s">
        <v>1034</v>
      </c>
      <c r="C315" s="8" t="s">
        <v>1117</v>
      </c>
      <c r="D315" s="8" t="s">
        <v>16</v>
      </c>
      <c r="E315" s="8" t="s">
        <v>17</v>
      </c>
      <c r="F315" s="9">
        <v>46054.0</v>
      </c>
      <c r="G315" s="8" t="s">
        <v>436</v>
      </c>
      <c r="H315" s="8" t="s">
        <v>437</v>
      </c>
      <c r="I315" s="8" t="s">
        <v>1118</v>
      </c>
      <c r="J315" s="8" t="s">
        <v>1119</v>
      </c>
    </row>
    <row r="316">
      <c r="A316" s="7">
        <v>2.0032861E7</v>
      </c>
      <c r="B316" s="8" t="s">
        <v>1034</v>
      </c>
      <c r="C316" s="8" t="s">
        <v>1120</v>
      </c>
      <c r="D316" s="8" t="s">
        <v>16</v>
      </c>
      <c r="E316" s="8" t="s">
        <v>17</v>
      </c>
      <c r="F316" s="9">
        <v>46041.0</v>
      </c>
      <c r="G316" s="8" t="s">
        <v>220</v>
      </c>
      <c r="H316" s="8" t="s">
        <v>221</v>
      </c>
      <c r="I316" s="8" t="s">
        <v>1121</v>
      </c>
      <c r="J316" s="8" t="s">
        <v>1122</v>
      </c>
    </row>
    <row r="317">
      <c r="A317" s="7">
        <v>2.0033605E7</v>
      </c>
      <c r="B317" s="8" t="s">
        <v>1034</v>
      </c>
      <c r="C317" s="8" t="s">
        <v>1123</v>
      </c>
      <c r="D317" s="8" t="s">
        <v>16</v>
      </c>
      <c r="E317" s="8" t="s">
        <v>17</v>
      </c>
      <c r="F317" s="9">
        <v>46032.0</v>
      </c>
      <c r="G317" s="8" t="s">
        <v>339</v>
      </c>
      <c r="H317" s="8" t="s">
        <v>340</v>
      </c>
      <c r="I317" s="8" t="s">
        <v>1124</v>
      </c>
      <c r="J317" s="8" t="s">
        <v>1125</v>
      </c>
    </row>
    <row r="318">
      <c r="A318" s="7">
        <v>2.003281E7</v>
      </c>
      <c r="B318" s="8" t="s">
        <v>1034</v>
      </c>
      <c r="C318" s="8" t="s">
        <v>1126</v>
      </c>
      <c r="D318" s="8" t="s">
        <v>16</v>
      </c>
      <c r="E318" s="8" t="s">
        <v>17</v>
      </c>
      <c r="F318" s="9">
        <v>46041.0</v>
      </c>
      <c r="G318" s="8" t="s">
        <v>91</v>
      </c>
      <c r="H318" s="8" t="s">
        <v>92</v>
      </c>
      <c r="I318" s="8" t="s">
        <v>1127</v>
      </c>
      <c r="J318" s="8" t="s">
        <v>1128</v>
      </c>
    </row>
    <row r="319">
      <c r="A319" s="7">
        <v>2.0032825E7</v>
      </c>
      <c r="B319" s="8" t="s">
        <v>1034</v>
      </c>
      <c r="C319" s="8" t="s">
        <v>1129</v>
      </c>
      <c r="D319" s="8" t="s">
        <v>16</v>
      </c>
      <c r="E319" s="8" t="s">
        <v>17</v>
      </c>
      <c r="F319" s="9">
        <v>46044.0</v>
      </c>
      <c r="G319" s="8" t="s">
        <v>630</v>
      </c>
      <c r="H319" s="8" t="s">
        <v>631</v>
      </c>
      <c r="I319" s="8" t="s">
        <v>1130</v>
      </c>
      <c r="J319" s="8"/>
    </row>
    <row r="320">
      <c r="A320" s="7">
        <v>2.0032795E7</v>
      </c>
      <c r="B320" s="8" t="s">
        <v>1034</v>
      </c>
      <c r="C320" s="8" t="s">
        <v>1131</v>
      </c>
      <c r="D320" s="8" t="s">
        <v>16</v>
      </c>
      <c r="E320" s="8" t="s">
        <v>17</v>
      </c>
      <c r="F320" s="9">
        <v>46040.0</v>
      </c>
      <c r="G320" s="8" t="s">
        <v>1132</v>
      </c>
      <c r="H320" s="8" t="s">
        <v>1133</v>
      </c>
      <c r="I320" s="8" t="s">
        <v>1134</v>
      </c>
      <c r="J320" s="8" t="s">
        <v>1135</v>
      </c>
    </row>
    <row r="321">
      <c r="A321" s="7">
        <v>2.0030619E7</v>
      </c>
      <c r="B321" s="8" t="s">
        <v>1034</v>
      </c>
      <c r="C321" s="8" t="s">
        <v>1136</v>
      </c>
      <c r="D321" s="8" t="s">
        <v>16</v>
      </c>
      <c r="E321" s="8" t="s">
        <v>17</v>
      </c>
      <c r="F321" s="9">
        <v>46057.0</v>
      </c>
      <c r="G321" s="8" t="s">
        <v>613</v>
      </c>
      <c r="H321" s="8" t="s">
        <v>614</v>
      </c>
      <c r="I321" s="8" t="s">
        <v>1137</v>
      </c>
      <c r="J321" s="8" t="s">
        <v>1138</v>
      </c>
    </row>
    <row r="322">
      <c r="A322" s="7">
        <v>2.0033201E7</v>
      </c>
      <c r="B322" s="8" t="s">
        <v>1034</v>
      </c>
      <c r="C322" s="8" t="s">
        <v>1139</v>
      </c>
      <c r="D322" s="8" t="s">
        <v>16</v>
      </c>
      <c r="E322" s="8" t="s">
        <v>17</v>
      </c>
      <c r="F322" s="9">
        <v>46040.0</v>
      </c>
      <c r="G322" s="8" t="s">
        <v>1132</v>
      </c>
      <c r="H322" s="8" t="s">
        <v>1133</v>
      </c>
      <c r="I322" s="8" t="s">
        <v>1140</v>
      </c>
      <c r="J322" s="8" t="s">
        <v>1141</v>
      </c>
    </row>
    <row r="323">
      <c r="A323" s="7">
        <v>2.0032704E7</v>
      </c>
      <c r="B323" s="8" t="s">
        <v>1034</v>
      </c>
      <c r="C323" s="8" t="s">
        <v>1142</v>
      </c>
      <c r="D323" s="8" t="s">
        <v>16</v>
      </c>
      <c r="E323" s="8" t="s">
        <v>17</v>
      </c>
      <c r="F323" s="9">
        <v>46042.0</v>
      </c>
      <c r="G323" s="8" t="s">
        <v>34</v>
      </c>
      <c r="H323" s="8" t="s">
        <v>35</v>
      </c>
      <c r="I323" s="8" t="s">
        <v>1143</v>
      </c>
      <c r="J323" s="8" t="s">
        <v>1144</v>
      </c>
    </row>
    <row r="324">
      <c r="A324" s="7">
        <v>2.0032689E7</v>
      </c>
      <c r="B324" s="8" t="s">
        <v>1034</v>
      </c>
      <c r="C324" s="8" t="s">
        <v>1145</v>
      </c>
      <c r="D324" s="8" t="s">
        <v>16</v>
      </c>
      <c r="E324" s="8" t="s">
        <v>17</v>
      </c>
      <c r="F324" s="9">
        <v>46038.0</v>
      </c>
      <c r="G324" s="8" t="s">
        <v>504</v>
      </c>
      <c r="H324" s="8" t="s">
        <v>505</v>
      </c>
      <c r="I324" s="8" t="s">
        <v>1146</v>
      </c>
      <c r="J324" s="8" t="s">
        <v>1147</v>
      </c>
    </row>
    <row r="325">
      <c r="A325" s="7">
        <v>2.0033185E7</v>
      </c>
      <c r="B325" s="8" t="s">
        <v>1034</v>
      </c>
      <c r="C325" s="8" t="s">
        <v>1148</v>
      </c>
      <c r="D325" s="8" t="s">
        <v>16</v>
      </c>
      <c r="E325" s="8" t="s">
        <v>17</v>
      </c>
      <c r="F325" s="9">
        <v>46045.0</v>
      </c>
      <c r="G325" s="8" t="s">
        <v>361</v>
      </c>
      <c r="H325" s="8" t="s">
        <v>362</v>
      </c>
      <c r="I325" s="8" t="s">
        <v>1149</v>
      </c>
      <c r="J325" s="8" t="s">
        <v>1150</v>
      </c>
    </row>
    <row r="326">
      <c r="A326" s="7">
        <v>2.0032683E7</v>
      </c>
      <c r="B326" s="8" t="s">
        <v>1034</v>
      </c>
      <c r="C326" s="8" t="s">
        <v>1151</v>
      </c>
      <c r="D326" s="8" t="s">
        <v>16</v>
      </c>
      <c r="E326" s="8" t="s">
        <v>17</v>
      </c>
      <c r="F326" s="9">
        <v>46037.0</v>
      </c>
      <c r="G326" s="8" t="s">
        <v>220</v>
      </c>
      <c r="H326" s="8" t="s">
        <v>221</v>
      </c>
      <c r="I326" s="8" t="s">
        <v>1152</v>
      </c>
      <c r="J326" s="8" t="s">
        <v>1153</v>
      </c>
    </row>
    <row r="327">
      <c r="A327" s="7">
        <v>2.003308E7</v>
      </c>
      <c r="B327" s="8" t="s">
        <v>1034</v>
      </c>
      <c r="C327" s="8" t="s">
        <v>1154</v>
      </c>
      <c r="D327" s="8" t="s">
        <v>16</v>
      </c>
      <c r="E327" s="8" t="s">
        <v>17</v>
      </c>
      <c r="F327" s="9">
        <v>46049.0</v>
      </c>
      <c r="G327" s="8" t="s">
        <v>1155</v>
      </c>
      <c r="H327" s="8" t="s">
        <v>1156</v>
      </c>
      <c r="I327" s="8" t="s">
        <v>1157</v>
      </c>
      <c r="J327" s="8" t="s">
        <v>1158</v>
      </c>
    </row>
    <row r="328">
      <c r="A328" s="7">
        <v>2.0033032E7</v>
      </c>
      <c r="B328" s="8" t="s">
        <v>1034</v>
      </c>
      <c r="C328" s="8" t="s">
        <v>1159</v>
      </c>
      <c r="D328" s="8" t="s">
        <v>16</v>
      </c>
      <c r="E328" s="8" t="s">
        <v>17</v>
      </c>
      <c r="F328" s="9">
        <v>46048.0</v>
      </c>
      <c r="G328" s="8" t="s">
        <v>361</v>
      </c>
      <c r="H328" s="8" t="s">
        <v>362</v>
      </c>
      <c r="I328" s="8" t="s">
        <v>1160</v>
      </c>
      <c r="J328" s="8" t="s">
        <v>1161</v>
      </c>
    </row>
    <row r="329">
      <c r="A329" s="7">
        <v>2.0032965E7</v>
      </c>
      <c r="B329" s="8" t="s">
        <v>1034</v>
      </c>
      <c r="C329" s="8" t="s">
        <v>1162</v>
      </c>
      <c r="D329" s="8" t="s">
        <v>16</v>
      </c>
      <c r="E329" s="8" t="s">
        <v>17</v>
      </c>
      <c r="F329" s="9">
        <v>46057.0</v>
      </c>
      <c r="G329" s="8" t="s">
        <v>49</v>
      </c>
      <c r="H329" s="8" t="s">
        <v>50</v>
      </c>
      <c r="I329" s="8" t="s">
        <v>1163</v>
      </c>
      <c r="J329" s="8" t="s">
        <v>1164</v>
      </c>
    </row>
    <row r="330">
      <c r="A330" s="7">
        <v>2.0033026E7</v>
      </c>
      <c r="B330" s="8" t="s">
        <v>1034</v>
      </c>
      <c r="C330" s="8" t="s">
        <v>1165</v>
      </c>
      <c r="D330" s="8" t="s">
        <v>16</v>
      </c>
      <c r="E330" s="8" t="s">
        <v>17</v>
      </c>
      <c r="F330" s="9">
        <v>46083.0</v>
      </c>
      <c r="G330" s="8" t="s">
        <v>436</v>
      </c>
      <c r="H330" s="8" t="s">
        <v>437</v>
      </c>
      <c r="I330" s="8" t="s">
        <v>1166</v>
      </c>
      <c r="J330" s="8" t="s">
        <v>1167</v>
      </c>
    </row>
    <row r="331">
      <c r="A331" s="7">
        <v>2.0033026E7</v>
      </c>
      <c r="B331" s="8" t="s">
        <v>1034</v>
      </c>
      <c r="C331" s="8" t="s">
        <v>1165</v>
      </c>
      <c r="D331" s="8" t="s">
        <v>16</v>
      </c>
      <c r="E331" s="8" t="s">
        <v>17</v>
      </c>
      <c r="F331" s="9">
        <v>46083.0</v>
      </c>
      <c r="G331" s="8" t="s">
        <v>436</v>
      </c>
      <c r="H331" s="8" t="s">
        <v>437</v>
      </c>
      <c r="I331" s="8" t="s">
        <v>1168</v>
      </c>
      <c r="J331" s="8" t="s">
        <v>1167</v>
      </c>
    </row>
    <row r="332">
      <c r="A332" s="7">
        <v>2.0033026E7</v>
      </c>
      <c r="B332" s="8" t="s">
        <v>1034</v>
      </c>
      <c r="C332" s="8" t="s">
        <v>1165</v>
      </c>
      <c r="D332" s="8" t="s">
        <v>16</v>
      </c>
      <c r="E332" s="8" t="s">
        <v>17</v>
      </c>
      <c r="F332" s="9">
        <v>46083.0</v>
      </c>
      <c r="G332" s="8" t="s">
        <v>1169</v>
      </c>
      <c r="H332" s="8" t="s">
        <v>1170</v>
      </c>
      <c r="I332" s="8" t="s">
        <v>1171</v>
      </c>
      <c r="J332" s="8" t="s">
        <v>1172</v>
      </c>
    </row>
    <row r="333">
      <c r="A333" s="7">
        <v>2.003297E7</v>
      </c>
      <c r="B333" s="8" t="s">
        <v>1034</v>
      </c>
      <c r="C333" s="8" t="s">
        <v>1173</v>
      </c>
      <c r="D333" s="8" t="s">
        <v>16</v>
      </c>
      <c r="E333" s="8" t="s">
        <v>17</v>
      </c>
      <c r="F333" s="9">
        <v>46044.0</v>
      </c>
      <c r="G333" s="8" t="s">
        <v>1174</v>
      </c>
      <c r="H333" s="8" t="s">
        <v>1175</v>
      </c>
      <c r="I333" s="8" t="s">
        <v>1176</v>
      </c>
      <c r="J333" s="8" t="s">
        <v>1177</v>
      </c>
    </row>
    <row r="334">
      <c r="A334" s="7">
        <v>2.0032917E7</v>
      </c>
      <c r="B334" s="8" t="s">
        <v>1034</v>
      </c>
      <c r="C334" s="8" t="s">
        <v>1178</v>
      </c>
      <c r="D334" s="8" t="s">
        <v>16</v>
      </c>
      <c r="E334" s="8" t="s">
        <v>17</v>
      </c>
      <c r="F334" s="9">
        <v>46051.0</v>
      </c>
      <c r="G334" s="8" t="s">
        <v>1179</v>
      </c>
      <c r="H334" s="8" t="s">
        <v>1180</v>
      </c>
      <c r="I334" s="8" t="s">
        <v>1181</v>
      </c>
      <c r="J334" s="8" t="s">
        <v>1182</v>
      </c>
    </row>
    <row r="335">
      <c r="A335" s="7">
        <v>2.0032955E7</v>
      </c>
      <c r="B335" s="8" t="s">
        <v>1034</v>
      </c>
      <c r="C335" s="8" t="s">
        <v>1183</v>
      </c>
      <c r="D335" s="8" t="s">
        <v>16</v>
      </c>
      <c r="E335" s="8" t="s">
        <v>17</v>
      </c>
      <c r="F335" s="9">
        <v>46052.0</v>
      </c>
      <c r="G335" s="8" t="s">
        <v>390</v>
      </c>
      <c r="H335" s="8" t="s">
        <v>391</v>
      </c>
      <c r="I335" s="8" t="s">
        <v>1184</v>
      </c>
      <c r="J335" s="8" t="s">
        <v>1185</v>
      </c>
    </row>
    <row r="336">
      <c r="A336" s="7">
        <v>2.0032239E7</v>
      </c>
      <c r="B336" s="8" t="s">
        <v>1034</v>
      </c>
      <c r="C336" s="8" t="s">
        <v>1186</v>
      </c>
      <c r="D336" s="8" t="s">
        <v>16</v>
      </c>
      <c r="E336" s="8" t="s">
        <v>17</v>
      </c>
      <c r="F336" s="9">
        <v>46045.0</v>
      </c>
      <c r="G336" s="8" t="s">
        <v>1187</v>
      </c>
      <c r="H336" s="8" t="s">
        <v>1188</v>
      </c>
      <c r="I336" s="8" t="s">
        <v>1189</v>
      </c>
      <c r="J336" s="8" t="s">
        <v>1190</v>
      </c>
    </row>
    <row r="337">
      <c r="A337" s="7">
        <v>2.0032994E7</v>
      </c>
      <c r="B337" s="8" t="s">
        <v>1034</v>
      </c>
      <c r="C337" s="8" t="s">
        <v>1191</v>
      </c>
      <c r="D337" s="8" t="s">
        <v>16</v>
      </c>
      <c r="E337" s="8" t="s">
        <v>17</v>
      </c>
      <c r="F337" s="9">
        <v>46029.0</v>
      </c>
      <c r="G337" s="8" t="s">
        <v>846</v>
      </c>
      <c r="H337" s="8" t="s">
        <v>847</v>
      </c>
      <c r="I337" s="8" t="s">
        <v>1192</v>
      </c>
      <c r="J337" s="8" t="s">
        <v>1193</v>
      </c>
    </row>
    <row r="338">
      <c r="A338" s="7">
        <v>2.0032969E7</v>
      </c>
      <c r="B338" s="8" t="s">
        <v>1034</v>
      </c>
      <c r="C338" s="8" t="s">
        <v>1194</v>
      </c>
      <c r="D338" s="8" t="s">
        <v>16</v>
      </c>
      <c r="E338" s="8" t="s">
        <v>17</v>
      </c>
      <c r="F338" s="9">
        <v>46029.0</v>
      </c>
      <c r="G338" s="8" t="s">
        <v>846</v>
      </c>
      <c r="H338" s="8" t="s">
        <v>847</v>
      </c>
      <c r="I338" s="8" t="s">
        <v>1195</v>
      </c>
      <c r="J338" s="8" t="s">
        <v>1196</v>
      </c>
    </row>
    <row r="339">
      <c r="A339" s="7">
        <v>2.0032354E7</v>
      </c>
      <c r="B339" s="8" t="s">
        <v>1034</v>
      </c>
      <c r="C339" s="8" t="s">
        <v>1197</v>
      </c>
      <c r="D339" s="8" t="s">
        <v>16</v>
      </c>
      <c r="E339" s="8" t="s">
        <v>17</v>
      </c>
      <c r="F339" s="9">
        <v>46033.0</v>
      </c>
      <c r="G339" s="8" t="s">
        <v>365</v>
      </c>
      <c r="H339" s="8" t="s">
        <v>366</v>
      </c>
      <c r="I339" s="8" t="s">
        <v>1198</v>
      </c>
      <c r="J339" s="8" t="s">
        <v>1199</v>
      </c>
    </row>
    <row r="340">
      <c r="A340" s="7">
        <v>2.0032312E7</v>
      </c>
      <c r="B340" s="8" t="s">
        <v>1034</v>
      </c>
      <c r="C340" s="8" t="s">
        <v>1200</v>
      </c>
      <c r="D340" s="8" t="s">
        <v>16</v>
      </c>
      <c r="E340" s="8" t="s">
        <v>17</v>
      </c>
      <c r="F340" s="9">
        <v>46047.0</v>
      </c>
      <c r="G340" s="8" t="s">
        <v>390</v>
      </c>
      <c r="H340" s="8" t="s">
        <v>391</v>
      </c>
      <c r="I340" s="8" t="s">
        <v>1201</v>
      </c>
      <c r="J340" s="8" t="s">
        <v>1202</v>
      </c>
    </row>
    <row r="341">
      <c r="A341" s="7">
        <v>2.0032201E7</v>
      </c>
      <c r="B341" s="8" t="s">
        <v>1034</v>
      </c>
      <c r="C341" s="8" t="s">
        <v>1203</v>
      </c>
      <c r="D341" s="8" t="s">
        <v>16</v>
      </c>
      <c r="E341" s="8" t="s">
        <v>17</v>
      </c>
      <c r="F341" s="9">
        <v>46032.0</v>
      </c>
      <c r="G341" s="8" t="s">
        <v>873</v>
      </c>
      <c r="H341" s="8" t="s">
        <v>874</v>
      </c>
      <c r="I341" s="8" t="s">
        <v>1204</v>
      </c>
      <c r="J341" s="8" t="s">
        <v>1205</v>
      </c>
    </row>
    <row r="342">
      <c r="A342" s="7">
        <v>2.0032179E7</v>
      </c>
      <c r="B342" s="8" t="s">
        <v>1034</v>
      </c>
      <c r="C342" s="8" t="s">
        <v>1206</v>
      </c>
      <c r="D342" s="8" t="s">
        <v>16</v>
      </c>
      <c r="E342" s="8" t="s">
        <v>17</v>
      </c>
      <c r="F342" s="9">
        <v>46050.0</v>
      </c>
      <c r="G342" s="8" t="s">
        <v>290</v>
      </c>
      <c r="H342" s="8" t="s">
        <v>291</v>
      </c>
      <c r="I342" s="8" t="s">
        <v>1207</v>
      </c>
      <c r="J342" s="8" t="s">
        <v>1208</v>
      </c>
    </row>
    <row r="343">
      <c r="A343" s="7">
        <v>2.0032566E7</v>
      </c>
      <c r="B343" s="8" t="s">
        <v>1034</v>
      </c>
      <c r="C343" s="8" t="s">
        <v>1209</v>
      </c>
      <c r="D343" s="8" t="s">
        <v>16</v>
      </c>
      <c r="E343" s="8" t="s">
        <v>17</v>
      </c>
      <c r="F343" s="9">
        <v>46034.0</v>
      </c>
      <c r="G343" s="8" t="s">
        <v>91</v>
      </c>
      <c r="H343" s="8" t="s">
        <v>92</v>
      </c>
      <c r="I343" s="8" t="s">
        <v>1210</v>
      </c>
      <c r="J343" s="8" t="s">
        <v>1211</v>
      </c>
    </row>
    <row r="344">
      <c r="A344" s="7">
        <v>2.0032555E7</v>
      </c>
      <c r="B344" s="8" t="s">
        <v>1034</v>
      </c>
      <c r="C344" s="8" t="s">
        <v>1212</v>
      </c>
      <c r="D344" s="8" t="s">
        <v>16</v>
      </c>
      <c r="E344" s="8" t="s">
        <v>17</v>
      </c>
      <c r="F344" s="9">
        <v>46048.0</v>
      </c>
      <c r="G344" s="8" t="s">
        <v>436</v>
      </c>
      <c r="H344" s="8" t="s">
        <v>437</v>
      </c>
      <c r="I344" s="8" t="s">
        <v>1213</v>
      </c>
      <c r="J344" s="8" t="s">
        <v>1214</v>
      </c>
    </row>
    <row r="345">
      <c r="A345" s="7">
        <v>2.0032475E7</v>
      </c>
      <c r="B345" s="8" t="s">
        <v>1034</v>
      </c>
      <c r="C345" s="8" t="s">
        <v>1215</v>
      </c>
      <c r="D345" s="8" t="s">
        <v>16</v>
      </c>
      <c r="E345" s="8" t="s">
        <v>17</v>
      </c>
      <c r="F345" s="9">
        <v>46035.0</v>
      </c>
      <c r="G345" s="8" t="s">
        <v>385</v>
      </c>
      <c r="H345" s="8" t="s">
        <v>386</v>
      </c>
      <c r="I345" s="8" t="s">
        <v>1216</v>
      </c>
      <c r="J345" s="8" t="s">
        <v>1217</v>
      </c>
    </row>
    <row r="346">
      <c r="A346" s="7">
        <v>2.0032459E7</v>
      </c>
      <c r="B346" s="8" t="s">
        <v>1034</v>
      </c>
      <c r="C346" s="8" t="s">
        <v>1218</v>
      </c>
      <c r="D346" s="8" t="s">
        <v>16</v>
      </c>
      <c r="E346" s="8" t="s">
        <v>17</v>
      </c>
      <c r="F346" s="9">
        <v>46048.0</v>
      </c>
      <c r="G346" s="8" t="s">
        <v>436</v>
      </c>
      <c r="H346" s="8" t="s">
        <v>437</v>
      </c>
      <c r="I346" s="8" t="s">
        <v>1219</v>
      </c>
      <c r="J346" s="8" t="s">
        <v>1220</v>
      </c>
    </row>
    <row r="347">
      <c r="A347" s="7">
        <v>2.0032411E7</v>
      </c>
      <c r="B347" s="8" t="s">
        <v>1034</v>
      </c>
      <c r="C347" s="8" t="s">
        <v>1221</v>
      </c>
      <c r="D347" s="8" t="s">
        <v>16</v>
      </c>
      <c r="E347" s="8" t="s">
        <v>17</v>
      </c>
      <c r="F347" s="9">
        <v>46042.0</v>
      </c>
      <c r="G347" s="8" t="s">
        <v>1222</v>
      </c>
      <c r="H347" s="8" t="s">
        <v>1223</v>
      </c>
      <c r="I347" s="8" t="s">
        <v>1224</v>
      </c>
      <c r="J347" s="8" t="s">
        <v>1225</v>
      </c>
    </row>
    <row r="348">
      <c r="A348" s="7">
        <v>2.0032442E7</v>
      </c>
      <c r="B348" s="8" t="s">
        <v>1034</v>
      </c>
      <c r="C348" s="8" t="s">
        <v>1226</v>
      </c>
      <c r="D348" s="8" t="s">
        <v>16</v>
      </c>
      <c r="E348" s="8" t="s">
        <v>17</v>
      </c>
      <c r="F348" s="9">
        <v>46034.0</v>
      </c>
      <c r="G348" s="8" t="s">
        <v>882</v>
      </c>
      <c r="H348" s="8" t="s">
        <v>883</v>
      </c>
      <c r="I348" s="8" t="s">
        <v>1227</v>
      </c>
      <c r="J348" s="8" t="s">
        <v>1228</v>
      </c>
    </row>
    <row r="349">
      <c r="A349" s="7">
        <v>2.0032331E7</v>
      </c>
      <c r="B349" s="8" t="s">
        <v>1034</v>
      </c>
      <c r="C349" s="8" t="s">
        <v>1229</v>
      </c>
      <c r="D349" s="8" t="s">
        <v>16</v>
      </c>
      <c r="E349" s="8" t="s">
        <v>17</v>
      </c>
      <c r="F349" s="9">
        <v>46034.0</v>
      </c>
      <c r="G349" s="8" t="s">
        <v>1132</v>
      </c>
      <c r="H349" s="8" t="s">
        <v>1133</v>
      </c>
      <c r="I349" s="8" t="s">
        <v>1230</v>
      </c>
      <c r="J349" s="8" t="s">
        <v>1231</v>
      </c>
    </row>
    <row r="350">
      <c r="A350" s="7">
        <v>2.0032288E7</v>
      </c>
      <c r="B350" s="8" t="s">
        <v>1034</v>
      </c>
      <c r="C350" s="8" t="s">
        <v>1232</v>
      </c>
      <c r="D350" s="8" t="s">
        <v>16</v>
      </c>
      <c r="E350" s="8" t="s">
        <v>17</v>
      </c>
      <c r="F350" s="9">
        <v>46048.0</v>
      </c>
      <c r="G350" s="8" t="s">
        <v>436</v>
      </c>
      <c r="H350" s="8" t="s">
        <v>437</v>
      </c>
      <c r="I350" s="8" t="s">
        <v>1233</v>
      </c>
      <c r="J350" s="8" t="s">
        <v>1234</v>
      </c>
    </row>
    <row r="351">
      <c r="A351" s="7">
        <v>2.0032269E7</v>
      </c>
      <c r="B351" s="8" t="s">
        <v>1034</v>
      </c>
      <c r="C351" s="8" t="s">
        <v>1235</v>
      </c>
      <c r="D351" s="8" t="s">
        <v>16</v>
      </c>
      <c r="E351" s="8" t="s">
        <v>17</v>
      </c>
      <c r="F351" s="9">
        <v>46048.0</v>
      </c>
      <c r="G351" s="8" t="s">
        <v>1236</v>
      </c>
      <c r="H351" s="8" t="s">
        <v>1237</v>
      </c>
      <c r="I351" s="8" t="s">
        <v>1238</v>
      </c>
      <c r="J351" s="8" t="s">
        <v>1239</v>
      </c>
    </row>
    <row r="352">
      <c r="A352" s="7">
        <v>2.0031651E7</v>
      </c>
      <c r="B352" s="8" t="s">
        <v>1034</v>
      </c>
      <c r="C352" s="8" t="s">
        <v>1240</v>
      </c>
      <c r="D352" s="8" t="s">
        <v>16</v>
      </c>
      <c r="E352" s="8" t="s">
        <v>17</v>
      </c>
      <c r="F352" s="9">
        <v>46033.0</v>
      </c>
      <c r="G352" s="8" t="s">
        <v>1241</v>
      </c>
      <c r="H352" s="8" t="s">
        <v>1242</v>
      </c>
      <c r="I352" s="8" t="s">
        <v>1243</v>
      </c>
      <c r="J352" s="8" t="s">
        <v>1244</v>
      </c>
    </row>
    <row r="353">
      <c r="A353" s="7">
        <v>2.0031208E7</v>
      </c>
      <c r="B353" s="8" t="s">
        <v>1034</v>
      </c>
      <c r="C353" s="8" t="s">
        <v>1245</v>
      </c>
      <c r="D353" s="8" t="s">
        <v>16</v>
      </c>
      <c r="E353" s="8" t="s">
        <v>17</v>
      </c>
      <c r="F353" s="9">
        <v>46043.0</v>
      </c>
      <c r="G353" s="8" t="s">
        <v>613</v>
      </c>
      <c r="H353" s="8" t="s">
        <v>614</v>
      </c>
      <c r="I353" s="8" t="s">
        <v>1246</v>
      </c>
      <c r="J353" s="8" t="s">
        <v>1247</v>
      </c>
    </row>
    <row r="354">
      <c r="A354" s="7">
        <v>2.0032148E7</v>
      </c>
      <c r="B354" s="8" t="s">
        <v>1034</v>
      </c>
      <c r="C354" s="8" t="s">
        <v>1248</v>
      </c>
      <c r="D354" s="8" t="s">
        <v>16</v>
      </c>
      <c r="E354" s="8" t="s">
        <v>17</v>
      </c>
      <c r="F354" s="9">
        <v>46050.0</v>
      </c>
      <c r="G354" s="8" t="s">
        <v>390</v>
      </c>
      <c r="H354" s="8" t="s">
        <v>391</v>
      </c>
      <c r="I354" s="8" t="s">
        <v>1249</v>
      </c>
      <c r="J354" s="8" t="s">
        <v>1250</v>
      </c>
    </row>
    <row r="355">
      <c r="A355" s="7">
        <v>2.0027616E7</v>
      </c>
      <c r="B355" s="8" t="s">
        <v>1034</v>
      </c>
      <c r="C355" s="8" t="s">
        <v>1251</v>
      </c>
      <c r="D355" s="8" t="s">
        <v>16</v>
      </c>
      <c r="E355" s="8" t="s">
        <v>17</v>
      </c>
      <c r="F355" s="9">
        <v>46046.0</v>
      </c>
      <c r="G355" s="8" t="s">
        <v>124</v>
      </c>
      <c r="H355" s="8" t="s">
        <v>125</v>
      </c>
      <c r="I355" s="8" t="s">
        <v>1252</v>
      </c>
      <c r="J355" s="8" t="s">
        <v>1253</v>
      </c>
    </row>
    <row r="356">
      <c r="A356" s="7">
        <v>2.0026997E7</v>
      </c>
      <c r="B356" s="8" t="s">
        <v>1034</v>
      </c>
      <c r="C356" s="8" t="s">
        <v>1254</v>
      </c>
      <c r="D356" s="8" t="s">
        <v>16</v>
      </c>
      <c r="E356" s="8" t="s">
        <v>17</v>
      </c>
      <c r="F356" s="9">
        <v>46052.0</v>
      </c>
      <c r="G356" s="8" t="s">
        <v>1255</v>
      </c>
      <c r="H356" s="8" t="s">
        <v>1256</v>
      </c>
      <c r="I356" s="8" t="s">
        <v>1257</v>
      </c>
      <c r="J356" s="8" t="s">
        <v>1258</v>
      </c>
    </row>
    <row r="357">
      <c r="A357" s="7">
        <v>2.0031911E7</v>
      </c>
      <c r="B357" s="8" t="s">
        <v>1034</v>
      </c>
      <c r="C357" s="8" t="s">
        <v>1259</v>
      </c>
      <c r="D357" s="8" t="s">
        <v>16</v>
      </c>
      <c r="E357" s="8" t="s">
        <v>17</v>
      </c>
      <c r="F357" s="9">
        <v>46053.0</v>
      </c>
      <c r="G357" s="8" t="s">
        <v>1260</v>
      </c>
      <c r="H357" s="8" t="s">
        <v>1261</v>
      </c>
      <c r="I357" s="8" t="s">
        <v>1262</v>
      </c>
      <c r="J357" s="8" t="s">
        <v>1263</v>
      </c>
    </row>
    <row r="358">
      <c r="A358" s="7">
        <v>2.003178E7</v>
      </c>
      <c r="B358" s="8" t="s">
        <v>1034</v>
      </c>
      <c r="C358" s="8" t="s">
        <v>1264</v>
      </c>
      <c r="D358" s="8" t="s">
        <v>16</v>
      </c>
      <c r="E358" s="8" t="s">
        <v>17</v>
      </c>
      <c r="F358" s="9">
        <v>46049.0</v>
      </c>
      <c r="G358" s="8" t="s">
        <v>390</v>
      </c>
      <c r="H358" s="8" t="s">
        <v>391</v>
      </c>
      <c r="I358" s="8" t="s">
        <v>1265</v>
      </c>
      <c r="J358" s="8" t="s">
        <v>1266</v>
      </c>
    </row>
    <row r="359">
      <c r="A359" s="7">
        <v>2.003251E7</v>
      </c>
      <c r="B359" s="8" t="s">
        <v>1034</v>
      </c>
      <c r="C359" s="8" t="s">
        <v>1267</v>
      </c>
      <c r="D359" s="8" t="s">
        <v>16</v>
      </c>
      <c r="E359" s="8" t="s">
        <v>17</v>
      </c>
      <c r="F359" s="9">
        <v>46045.0</v>
      </c>
      <c r="G359" s="8" t="s">
        <v>361</v>
      </c>
      <c r="H359" s="8" t="s">
        <v>362</v>
      </c>
      <c r="I359" s="8" t="s">
        <v>1268</v>
      </c>
      <c r="J359" s="8" t="s">
        <v>1269</v>
      </c>
    </row>
    <row r="360">
      <c r="A360" s="7">
        <v>2.0031669E7</v>
      </c>
      <c r="B360" s="8" t="s">
        <v>1034</v>
      </c>
      <c r="C360" s="8" t="s">
        <v>1270</v>
      </c>
      <c r="D360" s="8" t="s">
        <v>16</v>
      </c>
      <c r="E360" s="8" t="s">
        <v>17</v>
      </c>
      <c r="F360" s="9">
        <v>46034.0</v>
      </c>
      <c r="G360" s="8" t="s">
        <v>365</v>
      </c>
      <c r="H360" s="8" t="s">
        <v>366</v>
      </c>
      <c r="I360" s="8" t="s">
        <v>1271</v>
      </c>
      <c r="J360" s="8" t="s">
        <v>1272</v>
      </c>
    </row>
    <row r="361">
      <c r="A361" s="7">
        <v>2.0031638E7</v>
      </c>
      <c r="B361" s="8" t="s">
        <v>1034</v>
      </c>
      <c r="C361" s="8" t="s">
        <v>1273</v>
      </c>
      <c r="D361" s="8" t="s">
        <v>16</v>
      </c>
      <c r="E361" s="8" t="s">
        <v>17</v>
      </c>
      <c r="F361" s="9">
        <v>46036.0</v>
      </c>
      <c r="G361" s="8" t="s">
        <v>873</v>
      </c>
      <c r="H361" s="8" t="s">
        <v>874</v>
      </c>
      <c r="I361" s="8" t="s">
        <v>1274</v>
      </c>
      <c r="J361" s="8" t="s">
        <v>1275</v>
      </c>
    </row>
    <row r="362">
      <c r="A362" s="7">
        <v>2.0031624E7</v>
      </c>
      <c r="B362" s="8" t="s">
        <v>1034</v>
      </c>
      <c r="C362" s="8" t="s">
        <v>1276</v>
      </c>
      <c r="D362" s="8" t="s">
        <v>16</v>
      </c>
      <c r="E362" s="8" t="s">
        <v>17</v>
      </c>
      <c r="F362" s="9">
        <v>46048.0</v>
      </c>
      <c r="G362" s="8" t="s">
        <v>543</v>
      </c>
      <c r="H362" s="8" t="s">
        <v>544</v>
      </c>
      <c r="I362" s="8" t="s">
        <v>1277</v>
      </c>
      <c r="J362" s="8" t="s">
        <v>1278</v>
      </c>
    </row>
    <row r="363">
      <c r="A363" s="7">
        <v>2.0031469E7</v>
      </c>
      <c r="B363" s="8" t="s">
        <v>1034</v>
      </c>
      <c r="C363" s="8" t="s">
        <v>1279</v>
      </c>
      <c r="D363" s="8" t="s">
        <v>16</v>
      </c>
      <c r="E363" s="8" t="s">
        <v>17</v>
      </c>
      <c r="F363" s="9">
        <v>46047.0</v>
      </c>
      <c r="G363" s="8" t="s">
        <v>1280</v>
      </c>
      <c r="H363" s="8" t="s">
        <v>1281</v>
      </c>
      <c r="I363" s="8" t="s">
        <v>1282</v>
      </c>
      <c r="J363" s="8" t="s">
        <v>1283</v>
      </c>
    </row>
    <row r="364">
      <c r="A364" s="7">
        <v>2.0032416E7</v>
      </c>
      <c r="B364" s="8" t="s">
        <v>1034</v>
      </c>
      <c r="C364" s="8" t="s">
        <v>1284</v>
      </c>
      <c r="D364" s="8" t="s">
        <v>16</v>
      </c>
      <c r="E364" s="8" t="s">
        <v>17</v>
      </c>
      <c r="F364" s="9">
        <v>46041.0</v>
      </c>
      <c r="G364" s="8" t="s">
        <v>1285</v>
      </c>
      <c r="H364" s="8" t="s">
        <v>1286</v>
      </c>
      <c r="I364" s="8" t="s">
        <v>1287</v>
      </c>
      <c r="J364" s="8" t="s">
        <v>1288</v>
      </c>
    </row>
    <row r="365">
      <c r="A365" s="7">
        <v>2.0032141E7</v>
      </c>
      <c r="B365" s="8" t="s">
        <v>1034</v>
      </c>
      <c r="C365" s="8" t="s">
        <v>1289</v>
      </c>
      <c r="D365" s="8" t="s">
        <v>16</v>
      </c>
      <c r="E365" s="8" t="s">
        <v>17</v>
      </c>
      <c r="F365" s="9">
        <v>46033.0</v>
      </c>
      <c r="G365" s="8" t="s">
        <v>54</v>
      </c>
      <c r="H365" s="8" t="s">
        <v>55</v>
      </c>
      <c r="I365" s="8" t="s">
        <v>1290</v>
      </c>
      <c r="J365" s="8" t="s">
        <v>1291</v>
      </c>
    </row>
    <row r="366">
      <c r="A366" s="7">
        <v>2.0031798E7</v>
      </c>
      <c r="B366" s="8" t="s">
        <v>1034</v>
      </c>
      <c r="C366" s="8" t="s">
        <v>1292</v>
      </c>
      <c r="D366" s="8" t="s">
        <v>16</v>
      </c>
      <c r="E366" s="8" t="s">
        <v>17</v>
      </c>
      <c r="F366" s="9">
        <v>46061.0</v>
      </c>
      <c r="G366" s="8" t="s">
        <v>1293</v>
      </c>
      <c r="H366" s="8" t="s">
        <v>1294</v>
      </c>
      <c r="I366" s="8" t="s">
        <v>1295</v>
      </c>
      <c r="J366" s="8" t="s">
        <v>1296</v>
      </c>
    </row>
    <row r="367">
      <c r="A367" s="7">
        <v>2.0031798E7</v>
      </c>
      <c r="B367" s="8" t="s">
        <v>1034</v>
      </c>
      <c r="C367" s="8" t="s">
        <v>1292</v>
      </c>
      <c r="D367" s="8" t="s">
        <v>16</v>
      </c>
      <c r="E367" s="8" t="s">
        <v>17</v>
      </c>
      <c r="F367" s="9">
        <v>46061.0</v>
      </c>
      <c r="G367" s="8" t="s">
        <v>1297</v>
      </c>
      <c r="H367" s="8" t="s">
        <v>827</v>
      </c>
      <c r="I367" s="8" t="s">
        <v>1298</v>
      </c>
      <c r="J367" s="8" t="s">
        <v>1299</v>
      </c>
    </row>
    <row r="368">
      <c r="A368" s="7">
        <v>2.0031798E7</v>
      </c>
      <c r="B368" s="8" t="s">
        <v>1034</v>
      </c>
      <c r="C368" s="8" t="s">
        <v>1292</v>
      </c>
      <c r="D368" s="8" t="s">
        <v>16</v>
      </c>
      <c r="E368" s="8" t="s">
        <v>17</v>
      </c>
      <c r="F368" s="9">
        <v>46061.0</v>
      </c>
      <c r="G368" s="8" t="s">
        <v>1300</v>
      </c>
      <c r="H368" s="8" t="s">
        <v>1301</v>
      </c>
      <c r="I368" s="8" t="s">
        <v>1302</v>
      </c>
      <c r="J368" s="8" t="s">
        <v>1303</v>
      </c>
    </row>
    <row r="369">
      <c r="A369" s="7">
        <v>2.0031984E7</v>
      </c>
      <c r="B369" s="8" t="s">
        <v>1034</v>
      </c>
      <c r="C369" s="8" t="s">
        <v>1304</v>
      </c>
      <c r="D369" s="8" t="s">
        <v>16</v>
      </c>
      <c r="E369" s="8" t="s">
        <v>17</v>
      </c>
      <c r="F369" s="9">
        <v>46039.0</v>
      </c>
      <c r="G369" s="8" t="s">
        <v>339</v>
      </c>
      <c r="H369" s="8" t="s">
        <v>340</v>
      </c>
      <c r="I369" s="8" t="s">
        <v>1305</v>
      </c>
      <c r="J369" s="8" t="s">
        <v>1306</v>
      </c>
    </row>
    <row r="370">
      <c r="A370" s="7">
        <v>2.0032283E7</v>
      </c>
      <c r="B370" s="8" t="s">
        <v>1034</v>
      </c>
      <c r="C370" s="8" t="s">
        <v>1307</v>
      </c>
      <c r="D370" s="8" t="s">
        <v>16</v>
      </c>
      <c r="E370" s="8" t="s">
        <v>17</v>
      </c>
      <c r="F370" s="9">
        <v>46027.0</v>
      </c>
      <c r="G370" s="8" t="s">
        <v>59</v>
      </c>
      <c r="H370" s="8" t="s">
        <v>60</v>
      </c>
      <c r="I370" s="8" t="s">
        <v>1308</v>
      </c>
      <c r="J370" s="8" t="s">
        <v>1309</v>
      </c>
    </row>
    <row r="371">
      <c r="A371" s="7">
        <v>2.003221E7</v>
      </c>
      <c r="B371" s="8" t="s">
        <v>1034</v>
      </c>
      <c r="C371" s="8" t="s">
        <v>1310</v>
      </c>
      <c r="D371" s="8" t="s">
        <v>16</v>
      </c>
      <c r="E371" s="8" t="s">
        <v>17</v>
      </c>
      <c r="F371" s="9">
        <v>46033.0</v>
      </c>
      <c r="G371" s="8" t="s">
        <v>1311</v>
      </c>
      <c r="H371" s="8" t="s">
        <v>1312</v>
      </c>
      <c r="I371" s="8" t="s">
        <v>1313</v>
      </c>
      <c r="J371" s="8" t="s">
        <v>1314</v>
      </c>
    </row>
    <row r="372">
      <c r="A372" s="7">
        <v>2.0031283E7</v>
      </c>
      <c r="B372" s="8" t="s">
        <v>1034</v>
      </c>
      <c r="C372" s="8" t="s">
        <v>1315</v>
      </c>
      <c r="D372" s="8" t="s">
        <v>16</v>
      </c>
      <c r="E372" s="8" t="s">
        <v>17</v>
      </c>
      <c r="F372" s="9">
        <v>46036.0</v>
      </c>
      <c r="G372" s="8" t="s">
        <v>908</v>
      </c>
      <c r="H372" s="8" t="s">
        <v>909</v>
      </c>
      <c r="I372" s="8" t="s">
        <v>1316</v>
      </c>
      <c r="J372" s="8" t="s">
        <v>1317</v>
      </c>
    </row>
    <row r="373">
      <c r="A373" s="7">
        <v>2.0031797E7</v>
      </c>
      <c r="B373" s="8" t="s">
        <v>1034</v>
      </c>
      <c r="C373" s="8" t="s">
        <v>1318</v>
      </c>
      <c r="D373" s="8" t="s">
        <v>16</v>
      </c>
      <c r="E373" s="8" t="s">
        <v>17</v>
      </c>
      <c r="F373" s="9">
        <v>46033.0</v>
      </c>
      <c r="G373" s="8" t="s">
        <v>1319</v>
      </c>
      <c r="H373" s="8" t="s">
        <v>1320</v>
      </c>
      <c r="I373" s="8" t="s">
        <v>1321</v>
      </c>
      <c r="J373" s="8" t="s">
        <v>1322</v>
      </c>
    </row>
    <row r="374">
      <c r="A374" s="7">
        <v>2.0030972E7</v>
      </c>
      <c r="B374" s="8" t="s">
        <v>1034</v>
      </c>
      <c r="C374" s="8" t="s">
        <v>1323</v>
      </c>
      <c r="D374" s="8" t="s">
        <v>16</v>
      </c>
      <c r="E374" s="8" t="s">
        <v>17</v>
      </c>
      <c r="F374" s="9">
        <v>46039.0</v>
      </c>
      <c r="G374" s="8" t="s">
        <v>613</v>
      </c>
      <c r="H374" s="8" t="s">
        <v>614</v>
      </c>
      <c r="I374" s="8" t="s">
        <v>1324</v>
      </c>
      <c r="J374" s="8" t="s">
        <v>1325</v>
      </c>
    </row>
    <row r="375">
      <c r="A375" s="7">
        <v>2.0030442E7</v>
      </c>
      <c r="B375" s="8" t="s">
        <v>1034</v>
      </c>
      <c r="C375" s="8" t="s">
        <v>1326</v>
      </c>
      <c r="D375" s="8" t="s">
        <v>16</v>
      </c>
      <c r="E375" s="8" t="s">
        <v>17</v>
      </c>
      <c r="F375" s="9">
        <v>46034.0</v>
      </c>
      <c r="G375" s="8" t="s">
        <v>978</v>
      </c>
      <c r="H375" s="8" t="s">
        <v>979</v>
      </c>
      <c r="I375" s="8" t="s">
        <v>1327</v>
      </c>
      <c r="J375" s="8" t="s">
        <v>1328</v>
      </c>
    </row>
    <row r="376">
      <c r="A376" s="7">
        <v>2.0031774E7</v>
      </c>
      <c r="B376" s="8" t="s">
        <v>1034</v>
      </c>
      <c r="C376" s="8" t="s">
        <v>1329</v>
      </c>
      <c r="D376" s="8" t="s">
        <v>16</v>
      </c>
      <c r="E376" s="8" t="s">
        <v>17</v>
      </c>
      <c r="F376" s="9">
        <v>46033.0</v>
      </c>
      <c r="G376" s="8" t="s">
        <v>34</v>
      </c>
      <c r="H376" s="8" t="s">
        <v>35</v>
      </c>
      <c r="I376" s="8" t="s">
        <v>1330</v>
      </c>
      <c r="J376" s="8" t="s">
        <v>1331</v>
      </c>
    </row>
    <row r="377">
      <c r="A377" s="7">
        <v>2.0031228E7</v>
      </c>
      <c r="B377" s="8" t="s">
        <v>1034</v>
      </c>
      <c r="C377" s="8" t="s">
        <v>1332</v>
      </c>
      <c r="D377" s="8" t="s">
        <v>16</v>
      </c>
      <c r="E377" s="8" t="s">
        <v>17</v>
      </c>
      <c r="F377" s="9">
        <v>46053.0</v>
      </c>
      <c r="G377" s="8" t="s">
        <v>1333</v>
      </c>
      <c r="H377" s="8" t="s">
        <v>1334</v>
      </c>
      <c r="I377" s="8" t="s">
        <v>1335</v>
      </c>
      <c r="J377" s="8" t="s">
        <v>1336</v>
      </c>
    </row>
    <row r="378">
      <c r="A378" s="7">
        <v>2.0030468E7</v>
      </c>
      <c r="B378" s="8" t="s">
        <v>1034</v>
      </c>
      <c r="C378" s="8" t="s">
        <v>1337</v>
      </c>
      <c r="D378" s="8" t="s">
        <v>16</v>
      </c>
      <c r="E378" s="8" t="s">
        <v>17</v>
      </c>
      <c r="F378" s="9">
        <v>46034.0</v>
      </c>
      <c r="G378" s="8" t="s">
        <v>385</v>
      </c>
      <c r="H378" s="8" t="s">
        <v>386</v>
      </c>
      <c r="I378" s="8" t="s">
        <v>1338</v>
      </c>
      <c r="J378" s="8" t="s">
        <v>1339</v>
      </c>
    </row>
    <row r="379">
      <c r="A379" s="7">
        <v>2.0031968E7</v>
      </c>
      <c r="B379" s="8" t="s">
        <v>1034</v>
      </c>
      <c r="C379" s="8" t="s">
        <v>1340</v>
      </c>
      <c r="D379" s="8" t="s">
        <v>16</v>
      </c>
      <c r="E379" s="8" t="s">
        <v>17</v>
      </c>
      <c r="F379" s="9">
        <v>46048.0</v>
      </c>
      <c r="G379" s="8" t="s">
        <v>171</v>
      </c>
      <c r="H379" s="8" t="s">
        <v>172</v>
      </c>
      <c r="I379" s="8" t="s">
        <v>1341</v>
      </c>
      <c r="J379" s="8" t="s">
        <v>1342</v>
      </c>
    </row>
    <row r="380">
      <c r="A380" s="7">
        <v>2.0031625E7</v>
      </c>
      <c r="B380" s="8" t="s">
        <v>1034</v>
      </c>
      <c r="C380" s="8" t="s">
        <v>1343</v>
      </c>
      <c r="D380" s="8" t="s">
        <v>16</v>
      </c>
      <c r="E380" s="8" t="s">
        <v>17</v>
      </c>
      <c r="F380" s="9">
        <v>46052.0</v>
      </c>
      <c r="G380" s="8" t="s">
        <v>1344</v>
      </c>
      <c r="H380" s="8" t="s">
        <v>1345</v>
      </c>
      <c r="I380" s="8" t="s">
        <v>1346</v>
      </c>
      <c r="J380" s="8" t="s">
        <v>1347</v>
      </c>
    </row>
    <row r="381">
      <c r="A381" s="7">
        <v>2.003131E7</v>
      </c>
      <c r="B381" s="8" t="s">
        <v>1034</v>
      </c>
      <c r="C381" s="8" t="s">
        <v>1348</v>
      </c>
      <c r="D381" s="8" t="s">
        <v>16</v>
      </c>
      <c r="E381" s="8" t="s">
        <v>17</v>
      </c>
      <c r="F381" s="9">
        <v>46041.0</v>
      </c>
      <c r="G381" s="8" t="s">
        <v>1085</v>
      </c>
      <c r="H381" s="8" t="s">
        <v>1086</v>
      </c>
      <c r="I381" s="8" t="s">
        <v>1349</v>
      </c>
      <c r="J381" s="8" t="s">
        <v>1350</v>
      </c>
    </row>
    <row r="382">
      <c r="A382" s="7">
        <v>2.0031305E7</v>
      </c>
      <c r="B382" s="8" t="s">
        <v>1034</v>
      </c>
      <c r="C382" s="8" t="s">
        <v>1351</v>
      </c>
      <c r="D382" s="8" t="s">
        <v>16</v>
      </c>
      <c r="E382" s="8" t="s">
        <v>17</v>
      </c>
      <c r="F382" s="9">
        <v>46059.0</v>
      </c>
      <c r="G382" s="8" t="s">
        <v>561</v>
      </c>
      <c r="H382" s="8" t="s">
        <v>562</v>
      </c>
      <c r="I382" s="8" t="s">
        <v>1352</v>
      </c>
      <c r="J382" s="8" t="s">
        <v>1353</v>
      </c>
    </row>
    <row r="383">
      <c r="A383" s="7">
        <v>2.003138E7</v>
      </c>
      <c r="B383" s="8" t="s">
        <v>1034</v>
      </c>
      <c r="C383" s="8" t="s">
        <v>1354</v>
      </c>
      <c r="D383" s="8" t="s">
        <v>16</v>
      </c>
      <c r="E383" s="8" t="s">
        <v>17</v>
      </c>
      <c r="F383" s="9">
        <v>46046.0</v>
      </c>
      <c r="G383" s="8" t="s">
        <v>1355</v>
      </c>
      <c r="H383" s="8" t="s">
        <v>1356</v>
      </c>
      <c r="I383" s="8" t="s">
        <v>1357</v>
      </c>
      <c r="J383" s="8" t="s">
        <v>1358</v>
      </c>
    </row>
    <row r="384">
      <c r="A384" s="7">
        <v>2.0031243E7</v>
      </c>
      <c r="B384" s="8" t="s">
        <v>1034</v>
      </c>
      <c r="C384" s="8" t="s">
        <v>1359</v>
      </c>
      <c r="D384" s="8" t="s">
        <v>16</v>
      </c>
      <c r="E384" s="8" t="s">
        <v>17</v>
      </c>
      <c r="F384" s="9">
        <v>46061.0</v>
      </c>
      <c r="G384" s="8" t="s">
        <v>486</v>
      </c>
      <c r="H384" s="8" t="s">
        <v>487</v>
      </c>
      <c r="I384" s="8" t="s">
        <v>1360</v>
      </c>
      <c r="J384" s="8" t="s">
        <v>1361</v>
      </c>
    </row>
    <row r="385">
      <c r="A385" s="7">
        <v>2.0031363E7</v>
      </c>
      <c r="B385" s="8" t="s">
        <v>1034</v>
      </c>
      <c r="C385" s="8" t="s">
        <v>1362</v>
      </c>
      <c r="D385" s="8" t="s">
        <v>16</v>
      </c>
      <c r="E385" s="8" t="s">
        <v>17</v>
      </c>
      <c r="F385" s="9">
        <v>46040.0</v>
      </c>
      <c r="G385" s="8" t="s">
        <v>59</v>
      </c>
      <c r="H385" s="8" t="s">
        <v>60</v>
      </c>
      <c r="I385" s="8" t="s">
        <v>1363</v>
      </c>
      <c r="J385" s="8" t="s">
        <v>1364</v>
      </c>
    </row>
    <row r="386">
      <c r="A386" s="7">
        <v>2.0031223E7</v>
      </c>
      <c r="B386" s="8" t="s">
        <v>1034</v>
      </c>
      <c r="C386" s="8" t="s">
        <v>1365</v>
      </c>
      <c r="D386" s="8" t="s">
        <v>16</v>
      </c>
      <c r="E386" s="8" t="s">
        <v>17</v>
      </c>
      <c r="F386" s="9">
        <v>46054.0</v>
      </c>
      <c r="G386" s="8" t="s">
        <v>1366</v>
      </c>
      <c r="H386" s="8" t="s">
        <v>1367</v>
      </c>
      <c r="I386" s="8" t="s">
        <v>1368</v>
      </c>
      <c r="J386" s="8" t="s">
        <v>1369</v>
      </c>
    </row>
    <row r="387">
      <c r="A387" s="7">
        <v>2.003085E7</v>
      </c>
      <c r="B387" s="8" t="s">
        <v>1034</v>
      </c>
      <c r="C387" s="8" t="s">
        <v>1370</v>
      </c>
      <c r="D387" s="8" t="s">
        <v>16</v>
      </c>
      <c r="E387" s="8" t="s">
        <v>17</v>
      </c>
      <c r="F387" s="9">
        <v>46052.0</v>
      </c>
      <c r="G387" s="8" t="s">
        <v>436</v>
      </c>
      <c r="H387" s="8" t="s">
        <v>437</v>
      </c>
      <c r="I387" s="8" t="s">
        <v>1371</v>
      </c>
      <c r="J387" s="8" t="s">
        <v>1372</v>
      </c>
    </row>
    <row r="388">
      <c r="A388" s="7">
        <v>2.0031172E7</v>
      </c>
      <c r="B388" s="8" t="s">
        <v>1034</v>
      </c>
      <c r="C388" s="8" t="s">
        <v>1373</v>
      </c>
      <c r="D388" s="8" t="s">
        <v>16</v>
      </c>
      <c r="E388" s="8" t="s">
        <v>17</v>
      </c>
      <c r="F388" s="9">
        <v>46053.0</v>
      </c>
      <c r="G388" s="8" t="s">
        <v>1049</v>
      </c>
      <c r="H388" s="8" t="s">
        <v>1050</v>
      </c>
      <c r="I388" s="8" t="s">
        <v>1374</v>
      </c>
      <c r="J388" s="8" t="s">
        <v>1375</v>
      </c>
    </row>
    <row r="389">
      <c r="A389" s="7">
        <v>2.0031066E7</v>
      </c>
      <c r="B389" s="8" t="s">
        <v>1034</v>
      </c>
      <c r="C389" s="8" t="s">
        <v>1376</v>
      </c>
      <c r="D389" s="8" t="s">
        <v>16</v>
      </c>
      <c r="E389" s="8" t="s">
        <v>17</v>
      </c>
      <c r="F389" s="9">
        <v>46060.0</v>
      </c>
      <c r="G389" s="8" t="s">
        <v>390</v>
      </c>
      <c r="H389" s="8" t="s">
        <v>391</v>
      </c>
      <c r="I389" s="8" t="s">
        <v>1377</v>
      </c>
      <c r="J389" s="8" t="s">
        <v>1378</v>
      </c>
    </row>
    <row r="390">
      <c r="A390" s="7">
        <v>2.0031147E7</v>
      </c>
      <c r="B390" s="8" t="s">
        <v>1034</v>
      </c>
      <c r="C390" s="8" t="s">
        <v>1379</v>
      </c>
      <c r="D390" s="8" t="s">
        <v>16</v>
      </c>
      <c r="E390" s="8" t="s">
        <v>17</v>
      </c>
      <c r="F390" s="9">
        <v>46034.0</v>
      </c>
      <c r="G390" s="8" t="s">
        <v>59</v>
      </c>
      <c r="H390" s="8" t="s">
        <v>60</v>
      </c>
      <c r="I390" s="8" t="s">
        <v>1380</v>
      </c>
      <c r="J390" s="8" t="s">
        <v>1381</v>
      </c>
    </row>
    <row r="391">
      <c r="A391" s="7">
        <v>2.0030834E7</v>
      </c>
      <c r="B391" s="8" t="s">
        <v>1034</v>
      </c>
      <c r="C391" s="8" t="s">
        <v>1382</v>
      </c>
      <c r="D391" s="8" t="s">
        <v>16</v>
      </c>
      <c r="E391" s="8" t="s">
        <v>17</v>
      </c>
      <c r="F391" s="9">
        <v>46034.0</v>
      </c>
      <c r="G391" s="8" t="s">
        <v>365</v>
      </c>
      <c r="H391" s="8" t="s">
        <v>366</v>
      </c>
      <c r="I391" s="8" t="s">
        <v>1383</v>
      </c>
      <c r="J391" s="8" t="s">
        <v>1384</v>
      </c>
    </row>
    <row r="392">
      <c r="A392" s="7">
        <v>2.003096E7</v>
      </c>
      <c r="B392" s="8" t="s">
        <v>1034</v>
      </c>
      <c r="C392" s="8" t="s">
        <v>1385</v>
      </c>
      <c r="D392" s="8" t="s">
        <v>16</v>
      </c>
      <c r="E392" s="8" t="s">
        <v>17</v>
      </c>
      <c r="F392" s="9">
        <v>46034.0</v>
      </c>
      <c r="G392" s="8" t="s">
        <v>385</v>
      </c>
      <c r="H392" s="8" t="s">
        <v>386</v>
      </c>
      <c r="I392" s="8" t="s">
        <v>1386</v>
      </c>
      <c r="J392" s="8" t="s">
        <v>1387</v>
      </c>
    </row>
    <row r="393">
      <c r="A393" s="7">
        <v>2.0031587E7</v>
      </c>
      <c r="B393" s="8" t="s">
        <v>1034</v>
      </c>
      <c r="C393" s="8" t="s">
        <v>1388</v>
      </c>
      <c r="D393" s="8" t="s">
        <v>16</v>
      </c>
      <c r="E393" s="8" t="s">
        <v>17</v>
      </c>
      <c r="F393" s="9">
        <v>46025.0</v>
      </c>
      <c r="G393" s="8" t="s">
        <v>868</v>
      </c>
      <c r="H393" s="8" t="s">
        <v>869</v>
      </c>
      <c r="I393" s="8" t="s">
        <v>1389</v>
      </c>
      <c r="J393" s="8" t="s">
        <v>1390</v>
      </c>
    </row>
    <row r="394">
      <c r="A394" s="7">
        <v>2.0031587E7</v>
      </c>
      <c r="B394" s="8" t="s">
        <v>1034</v>
      </c>
      <c r="C394" s="8" t="s">
        <v>1388</v>
      </c>
      <c r="D394" s="8" t="s">
        <v>16</v>
      </c>
      <c r="E394" s="8" t="s">
        <v>17</v>
      </c>
      <c r="F394" s="9">
        <v>46025.0</v>
      </c>
      <c r="G394" s="8" t="s">
        <v>1391</v>
      </c>
      <c r="H394" s="8" t="s">
        <v>1392</v>
      </c>
      <c r="I394" s="8" t="s">
        <v>1393</v>
      </c>
      <c r="J394" s="8" t="s">
        <v>1394</v>
      </c>
    </row>
    <row r="395">
      <c r="A395" s="7">
        <v>2.0030769E7</v>
      </c>
      <c r="B395" s="8" t="s">
        <v>1034</v>
      </c>
      <c r="C395" s="8" t="s">
        <v>1395</v>
      </c>
      <c r="D395" s="8" t="s">
        <v>16</v>
      </c>
      <c r="E395" s="8" t="s">
        <v>17</v>
      </c>
      <c r="F395" s="9">
        <v>46040.0</v>
      </c>
      <c r="G395" s="8" t="s">
        <v>59</v>
      </c>
      <c r="H395" s="8" t="s">
        <v>60</v>
      </c>
      <c r="I395" s="8" t="s">
        <v>1396</v>
      </c>
      <c r="J395" s="8" t="s">
        <v>1397</v>
      </c>
    </row>
    <row r="396">
      <c r="A396" s="7">
        <v>2.0031572E7</v>
      </c>
      <c r="B396" s="8" t="s">
        <v>1034</v>
      </c>
      <c r="C396" s="8" t="s">
        <v>1398</v>
      </c>
      <c r="D396" s="8" t="s">
        <v>16</v>
      </c>
      <c r="E396" s="8" t="s">
        <v>17</v>
      </c>
      <c r="F396" s="9">
        <v>46024.0</v>
      </c>
      <c r="G396" s="8" t="s">
        <v>339</v>
      </c>
      <c r="H396" s="8" t="s">
        <v>340</v>
      </c>
      <c r="I396" s="8" t="s">
        <v>1399</v>
      </c>
      <c r="J396" s="8" t="s">
        <v>1400</v>
      </c>
    </row>
    <row r="397">
      <c r="A397" s="7">
        <v>2.0031523E7</v>
      </c>
      <c r="B397" s="8" t="s">
        <v>1034</v>
      </c>
      <c r="C397" s="8" t="s">
        <v>1401</v>
      </c>
      <c r="D397" s="8" t="s">
        <v>16</v>
      </c>
      <c r="E397" s="8" t="s">
        <v>17</v>
      </c>
      <c r="F397" s="9">
        <v>46024.0</v>
      </c>
      <c r="G397" s="8" t="s">
        <v>75</v>
      </c>
      <c r="H397" s="8" t="s">
        <v>76</v>
      </c>
      <c r="I397" s="8" t="s">
        <v>1402</v>
      </c>
      <c r="J397" s="8" t="s">
        <v>1403</v>
      </c>
    </row>
    <row r="398">
      <c r="A398" s="7">
        <v>2.0030617E7</v>
      </c>
      <c r="B398" s="8" t="s">
        <v>1034</v>
      </c>
      <c r="C398" s="8" t="s">
        <v>1404</v>
      </c>
      <c r="D398" s="8" t="s">
        <v>16</v>
      </c>
      <c r="E398" s="8" t="s">
        <v>17</v>
      </c>
      <c r="F398" s="9">
        <v>46031.0</v>
      </c>
      <c r="G398" s="8" t="s">
        <v>385</v>
      </c>
      <c r="H398" s="8" t="s">
        <v>386</v>
      </c>
      <c r="I398" s="8" t="s">
        <v>1405</v>
      </c>
      <c r="J398" s="8" t="s">
        <v>1406</v>
      </c>
    </row>
    <row r="399">
      <c r="A399" s="7">
        <v>2.003055E7</v>
      </c>
      <c r="B399" s="8" t="s">
        <v>1034</v>
      </c>
      <c r="C399" s="8" t="s">
        <v>1407</v>
      </c>
      <c r="D399" s="8" t="s">
        <v>16</v>
      </c>
      <c r="E399" s="8" t="s">
        <v>17</v>
      </c>
      <c r="F399" s="9">
        <v>46045.0</v>
      </c>
      <c r="G399" s="8" t="s">
        <v>1408</v>
      </c>
      <c r="H399" s="8" t="s">
        <v>1409</v>
      </c>
      <c r="I399" s="8" t="s">
        <v>1410</v>
      </c>
      <c r="J399" s="8" t="s">
        <v>1411</v>
      </c>
    </row>
    <row r="400">
      <c r="A400" s="7">
        <v>2.0030848E7</v>
      </c>
      <c r="B400" s="8" t="s">
        <v>1034</v>
      </c>
      <c r="C400" s="8" t="s">
        <v>1412</v>
      </c>
      <c r="D400" s="8" t="s">
        <v>16</v>
      </c>
      <c r="E400" s="8" t="s">
        <v>17</v>
      </c>
      <c r="F400" s="9">
        <v>46043.0</v>
      </c>
      <c r="G400" s="8" t="s">
        <v>1413</v>
      </c>
      <c r="H400" s="8" t="s">
        <v>1414</v>
      </c>
      <c r="I400" s="8" t="s">
        <v>1415</v>
      </c>
      <c r="J400" s="8" t="s">
        <v>1416</v>
      </c>
    </row>
    <row r="401">
      <c r="A401" s="7">
        <v>2.00308E7</v>
      </c>
      <c r="B401" s="8" t="s">
        <v>1034</v>
      </c>
      <c r="C401" s="8" t="s">
        <v>1417</v>
      </c>
      <c r="D401" s="8" t="s">
        <v>16</v>
      </c>
      <c r="E401" s="8" t="s">
        <v>17</v>
      </c>
      <c r="F401" s="9">
        <v>46039.0</v>
      </c>
      <c r="G401" s="8" t="s">
        <v>59</v>
      </c>
      <c r="H401" s="8" t="s">
        <v>60</v>
      </c>
      <c r="I401" s="8" t="s">
        <v>1418</v>
      </c>
      <c r="J401" s="8" t="s">
        <v>1419</v>
      </c>
    </row>
    <row r="402">
      <c r="A402" s="7">
        <v>2.0030735E7</v>
      </c>
      <c r="B402" s="8" t="s">
        <v>1034</v>
      </c>
      <c r="C402" s="8" t="s">
        <v>1420</v>
      </c>
      <c r="D402" s="8" t="s">
        <v>16</v>
      </c>
      <c r="E402" s="8" t="s">
        <v>17</v>
      </c>
      <c r="F402" s="9">
        <v>46027.0</v>
      </c>
      <c r="G402" s="8" t="s">
        <v>882</v>
      </c>
      <c r="H402" s="8" t="s">
        <v>883</v>
      </c>
      <c r="I402" s="8" t="s">
        <v>1421</v>
      </c>
      <c r="J402" s="8" t="s">
        <v>1422</v>
      </c>
    </row>
    <row r="403">
      <c r="A403" s="7">
        <v>2.0031141E7</v>
      </c>
      <c r="B403" s="8" t="s">
        <v>1034</v>
      </c>
      <c r="C403" s="8" t="s">
        <v>1423</v>
      </c>
      <c r="D403" s="8" t="s">
        <v>16</v>
      </c>
      <c r="E403" s="8" t="s">
        <v>17</v>
      </c>
      <c r="F403" s="9">
        <v>46046.0</v>
      </c>
      <c r="G403" s="8" t="s">
        <v>158</v>
      </c>
      <c r="H403" s="8" t="s">
        <v>159</v>
      </c>
      <c r="I403" s="8" t="s">
        <v>1424</v>
      </c>
      <c r="J403" s="8" t="s">
        <v>1425</v>
      </c>
    </row>
    <row r="404">
      <c r="A404" s="7">
        <v>2.0030451E7</v>
      </c>
      <c r="B404" s="8" t="s">
        <v>1034</v>
      </c>
      <c r="C404" s="8" t="s">
        <v>1426</v>
      </c>
      <c r="D404" s="8" t="s">
        <v>16</v>
      </c>
      <c r="E404" s="8" t="s">
        <v>17</v>
      </c>
      <c r="F404" s="9">
        <v>46042.0</v>
      </c>
      <c r="G404" s="8" t="s">
        <v>1427</v>
      </c>
      <c r="H404" s="8" t="s">
        <v>1428</v>
      </c>
      <c r="I404" s="8" t="s">
        <v>1429</v>
      </c>
      <c r="J404" s="8" t="s">
        <v>1430</v>
      </c>
    </row>
    <row r="405">
      <c r="A405" s="7">
        <v>2.0030451E7</v>
      </c>
      <c r="B405" s="8" t="s">
        <v>1034</v>
      </c>
      <c r="C405" s="8" t="s">
        <v>1426</v>
      </c>
      <c r="D405" s="8" t="s">
        <v>16</v>
      </c>
      <c r="E405" s="8" t="s">
        <v>17</v>
      </c>
      <c r="F405" s="9">
        <v>46042.0</v>
      </c>
      <c r="G405" s="8" t="s">
        <v>1431</v>
      </c>
      <c r="H405" s="8" t="s">
        <v>1432</v>
      </c>
      <c r="I405" s="8" t="s">
        <v>1433</v>
      </c>
      <c r="J405" s="8" t="s">
        <v>1434</v>
      </c>
    </row>
    <row r="406">
      <c r="A406" s="7">
        <v>2.0030531E7</v>
      </c>
      <c r="B406" s="8" t="s">
        <v>1034</v>
      </c>
      <c r="C406" s="8" t="s">
        <v>1435</v>
      </c>
      <c r="D406" s="8" t="s">
        <v>16</v>
      </c>
      <c r="E406" s="8" t="s">
        <v>17</v>
      </c>
      <c r="F406" s="9">
        <v>46050.0</v>
      </c>
      <c r="G406" s="8" t="s">
        <v>436</v>
      </c>
      <c r="H406" s="8" t="s">
        <v>437</v>
      </c>
      <c r="I406" s="8" t="s">
        <v>1436</v>
      </c>
      <c r="J406" s="8" t="s">
        <v>1437</v>
      </c>
    </row>
    <row r="407">
      <c r="A407" s="7">
        <v>2.0030565E7</v>
      </c>
      <c r="B407" s="8" t="s">
        <v>1034</v>
      </c>
      <c r="C407" s="8" t="s">
        <v>1438</v>
      </c>
      <c r="D407" s="8" t="s">
        <v>16</v>
      </c>
      <c r="E407" s="8" t="s">
        <v>17</v>
      </c>
      <c r="F407" s="9">
        <v>46053.0</v>
      </c>
      <c r="G407" s="8" t="s">
        <v>643</v>
      </c>
      <c r="H407" s="8" t="s">
        <v>644</v>
      </c>
      <c r="I407" s="8" t="s">
        <v>1439</v>
      </c>
      <c r="J407" s="8" t="s">
        <v>1440</v>
      </c>
    </row>
    <row r="408">
      <c r="A408" s="7">
        <v>2.0030964E7</v>
      </c>
      <c r="B408" s="8" t="s">
        <v>1034</v>
      </c>
      <c r="C408" s="8" t="s">
        <v>1441</v>
      </c>
      <c r="D408" s="8" t="s">
        <v>16</v>
      </c>
      <c r="E408" s="8" t="s">
        <v>17</v>
      </c>
      <c r="F408" s="9">
        <v>46053.0</v>
      </c>
      <c r="G408" s="8" t="s">
        <v>171</v>
      </c>
      <c r="H408" s="8" t="s">
        <v>172</v>
      </c>
      <c r="I408" s="8" t="s">
        <v>1442</v>
      </c>
      <c r="J408" s="8" t="s">
        <v>1443</v>
      </c>
    </row>
    <row r="409">
      <c r="A409" s="7">
        <v>2.0030491E7</v>
      </c>
      <c r="B409" s="8" t="s">
        <v>1034</v>
      </c>
      <c r="C409" s="8" t="s">
        <v>1444</v>
      </c>
      <c r="D409" s="8" t="s">
        <v>16</v>
      </c>
      <c r="E409" s="8" t="s">
        <v>17</v>
      </c>
      <c r="F409" s="9">
        <v>46029.0</v>
      </c>
      <c r="G409" s="8" t="s">
        <v>517</v>
      </c>
      <c r="H409" s="8" t="s">
        <v>518</v>
      </c>
      <c r="I409" s="8" t="s">
        <v>1445</v>
      </c>
      <c r="J409" s="8" t="s">
        <v>1446</v>
      </c>
    </row>
    <row r="410">
      <c r="A410" s="7">
        <v>2.0030482E7</v>
      </c>
      <c r="B410" s="8" t="s">
        <v>1034</v>
      </c>
      <c r="C410" s="8" t="s">
        <v>1447</v>
      </c>
      <c r="D410" s="8" t="s">
        <v>16</v>
      </c>
      <c r="E410" s="8" t="s">
        <v>17</v>
      </c>
      <c r="F410" s="9">
        <v>46030.0</v>
      </c>
      <c r="G410" s="8" t="s">
        <v>385</v>
      </c>
      <c r="H410" s="8" t="s">
        <v>386</v>
      </c>
      <c r="I410" s="8" t="s">
        <v>1448</v>
      </c>
      <c r="J410" s="8" t="s">
        <v>1449</v>
      </c>
    </row>
    <row r="411">
      <c r="A411" s="7">
        <v>2.0030377E7</v>
      </c>
      <c r="B411" s="8" t="s">
        <v>1034</v>
      </c>
      <c r="C411" s="8" t="s">
        <v>1450</v>
      </c>
      <c r="D411" s="8" t="s">
        <v>16</v>
      </c>
      <c r="E411" s="8" t="s">
        <v>17</v>
      </c>
      <c r="F411" s="9">
        <v>46040.0</v>
      </c>
      <c r="G411" s="8" t="s">
        <v>1451</v>
      </c>
      <c r="H411" s="8" t="s">
        <v>1452</v>
      </c>
      <c r="I411" s="8" t="s">
        <v>1453</v>
      </c>
      <c r="J411" s="8" t="s">
        <v>1454</v>
      </c>
    </row>
    <row r="412">
      <c r="A412" s="7">
        <v>2.0030241E7</v>
      </c>
      <c r="B412" s="8" t="s">
        <v>1034</v>
      </c>
      <c r="C412" s="8" t="s">
        <v>1455</v>
      </c>
      <c r="D412" s="8" t="s">
        <v>16</v>
      </c>
      <c r="E412" s="8" t="s">
        <v>17</v>
      </c>
      <c r="F412" s="9">
        <v>46031.0</v>
      </c>
      <c r="G412" s="8" t="s">
        <v>826</v>
      </c>
      <c r="H412" s="8" t="s">
        <v>827</v>
      </c>
      <c r="I412" s="8" t="s">
        <v>1456</v>
      </c>
      <c r="J412" s="8" t="s">
        <v>1457</v>
      </c>
    </row>
    <row r="413">
      <c r="A413" s="7">
        <v>2.0030363E7</v>
      </c>
      <c r="B413" s="8" t="s">
        <v>1034</v>
      </c>
      <c r="C413" s="8" t="s">
        <v>1458</v>
      </c>
      <c r="D413" s="8" t="s">
        <v>16</v>
      </c>
      <c r="E413" s="8" t="s">
        <v>17</v>
      </c>
      <c r="F413" s="9">
        <v>46044.0</v>
      </c>
      <c r="G413" s="8" t="s">
        <v>573</v>
      </c>
      <c r="H413" s="8" t="s">
        <v>574</v>
      </c>
      <c r="I413" s="8" t="s">
        <v>1459</v>
      </c>
      <c r="J413" s="8" t="s">
        <v>1460</v>
      </c>
    </row>
    <row r="414">
      <c r="A414" s="7">
        <v>2.0030363E7</v>
      </c>
      <c r="B414" s="8" t="s">
        <v>1034</v>
      </c>
      <c r="C414" s="8" t="s">
        <v>1458</v>
      </c>
      <c r="D414" s="8" t="s">
        <v>16</v>
      </c>
      <c r="E414" s="8" t="s">
        <v>17</v>
      </c>
      <c r="F414" s="9">
        <v>46044.0</v>
      </c>
      <c r="G414" s="8" t="s">
        <v>1461</v>
      </c>
      <c r="H414" s="8" t="s">
        <v>1462</v>
      </c>
      <c r="I414" s="8" t="s">
        <v>1463</v>
      </c>
      <c r="J414" s="8" t="s">
        <v>1464</v>
      </c>
    </row>
    <row r="415">
      <c r="A415" s="7">
        <v>2.0030352E7</v>
      </c>
      <c r="B415" s="8" t="s">
        <v>1034</v>
      </c>
      <c r="C415" s="8" t="s">
        <v>1465</v>
      </c>
      <c r="D415" s="8" t="s">
        <v>16</v>
      </c>
      <c r="E415" s="8" t="s">
        <v>17</v>
      </c>
      <c r="F415" s="9">
        <v>46028.0</v>
      </c>
      <c r="G415" s="8" t="s">
        <v>91</v>
      </c>
      <c r="H415" s="8" t="s">
        <v>92</v>
      </c>
      <c r="I415" s="8" t="s">
        <v>1466</v>
      </c>
      <c r="J415" s="8" t="s">
        <v>1467</v>
      </c>
    </row>
    <row r="416">
      <c r="A416" s="7">
        <v>2.0030235E7</v>
      </c>
      <c r="B416" s="8" t="s">
        <v>1034</v>
      </c>
      <c r="C416" s="8" t="s">
        <v>1468</v>
      </c>
      <c r="D416" s="8" t="s">
        <v>16</v>
      </c>
      <c r="E416" s="8" t="s">
        <v>17</v>
      </c>
      <c r="F416" s="9">
        <v>46031.0</v>
      </c>
      <c r="G416" s="8" t="s">
        <v>873</v>
      </c>
      <c r="H416" s="8" t="s">
        <v>874</v>
      </c>
      <c r="I416" s="8" t="s">
        <v>1469</v>
      </c>
      <c r="J416" s="8" t="s">
        <v>1470</v>
      </c>
    </row>
    <row r="417">
      <c r="A417" s="7">
        <v>2.0026291E7</v>
      </c>
      <c r="B417" s="8" t="s">
        <v>1034</v>
      </c>
      <c r="C417" s="8" t="s">
        <v>1471</v>
      </c>
      <c r="D417" s="8" t="s">
        <v>16</v>
      </c>
      <c r="E417" s="8" t="s">
        <v>17</v>
      </c>
      <c r="F417" s="9">
        <v>46042.0</v>
      </c>
      <c r="G417" s="8" t="s">
        <v>1472</v>
      </c>
      <c r="H417" s="8" t="s">
        <v>1473</v>
      </c>
      <c r="I417" s="8" t="s">
        <v>1474</v>
      </c>
      <c r="J417" s="8" t="s">
        <v>1475</v>
      </c>
    </row>
    <row r="418">
      <c r="A418" s="7">
        <v>2.0030264E7</v>
      </c>
      <c r="B418" s="8" t="s">
        <v>1034</v>
      </c>
      <c r="C418" s="8" t="s">
        <v>1476</v>
      </c>
      <c r="D418" s="8" t="s">
        <v>16</v>
      </c>
      <c r="E418" s="8" t="s">
        <v>17</v>
      </c>
      <c r="F418" s="9">
        <v>46030.0</v>
      </c>
      <c r="G418" s="8" t="s">
        <v>59</v>
      </c>
      <c r="H418" s="8" t="s">
        <v>60</v>
      </c>
      <c r="I418" s="8" t="s">
        <v>1477</v>
      </c>
      <c r="J418" s="8" t="s">
        <v>1478</v>
      </c>
    </row>
    <row r="419">
      <c r="A419" s="7">
        <v>2.0029937E7</v>
      </c>
      <c r="B419" s="8" t="s">
        <v>1034</v>
      </c>
      <c r="C419" s="8" t="s">
        <v>1479</v>
      </c>
      <c r="D419" s="8" t="s">
        <v>16</v>
      </c>
      <c r="E419" s="8" t="s">
        <v>17</v>
      </c>
      <c r="F419" s="9">
        <v>46036.0</v>
      </c>
      <c r="G419" s="8" t="s">
        <v>1480</v>
      </c>
      <c r="H419" s="8" t="s">
        <v>1481</v>
      </c>
      <c r="I419" s="8" t="s">
        <v>1482</v>
      </c>
      <c r="J419" s="8" t="s">
        <v>1483</v>
      </c>
    </row>
    <row r="420">
      <c r="A420" s="7">
        <v>2.0023972E7</v>
      </c>
      <c r="B420" s="8" t="s">
        <v>1034</v>
      </c>
      <c r="C420" s="8" t="s">
        <v>1484</v>
      </c>
      <c r="D420" s="8" t="s">
        <v>16</v>
      </c>
      <c r="E420" s="8" t="s">
        <v>17</v>
      </c>
      <c r="F420" s="9">
        <v>46040.0</v>
      </c>
      <c r="G420" s="8" t="s">
        <v>1485</v>
      </c>
      <c r="H420" s="8" t="s">
        <v>1486</v>
      </c>
      <c r="I420" s="8" t="s">
        <v>1487</v>
      </c>
      <c r="J420" s="8" t="s">
        <v>1488</v>
      </c>
    </row>
    <row r="421">
      <c r="A421" s="7">
        <v>2.0029881E7</v>
      </c>
      <c r="B421" s="8" t="s">
        <v>1034</v>
      </c>
      <c r="C421" s="8" t="s">
        <v>1489</v>
      </c>
      <c r="D421" s="8" t="s">
        <v>16</v>
      </c>
      <c r="E421" s="8" t="s">
        <v>17</v>
      </c>
      <c r="F421" s="9">
        <v>46028.0</v>
      </c>
      <c r="G421" s="8" t="s">
        <v>34</v>
      </c>
      <c r="H421" s="8" t="s">
        <v>35</v>
      </c>
      <c r="I421" s="8" t="s">
        <v>1490</v>
      </c>
      <c r="J421" s="8" t="s">
        <v>1491</v>
      </c>
    </row>
    <row r="422">
      <c r="A422" s="7">
        <v>2.0029401E7</v>
      </c>
      <c r="B422" s="8" t="s">
        <v>1034</v>
      </c>
      <c r="C422" s="8" t="s">
        <v>1492</v>
      </c>
      <c r="D422" s="8" t="s">
        <v>16</v>
      </c>
      <c r="E422" s="8" t="s">
        <v>17</v>
      </c>
      <c r="F422" s="9">
        <v>46037.0</v>
      </c>
      <c r="G422" s="8" t="s">
        <v>1493</v>
      </c>
      <c r="H422" s="8" t="s">
        <v>1494</v>
      </c>
      <c r="I422" s="8" t="s">
        <v>1495</v>
      </c>
      <c r="J422" s="8" t="s">
        <v>1496</v>
      </c>
    </row>
    <row r="423">
      <c r="A423" s="7">
        <v>2.002962E7</v>
      </c>
      <c r="B423" s="8" t="s">
        <v>1034</v>
      </c>
      <c r="C423" s="8" t="s">
        <v>1497</v>
      </c>
      <c r="D423" s="8" t="s">
        <v>16</v>
      </c>
      <c r="E423" s="8" t="s">
        <v>17</v>
      </c>
      <c r="F423" s="9">
        <v>46027.0</v>
      </c>
      <c r="G423" s="8" t="s">
        <v>1498</v>
      </c>
      <c r="H423" s="8" t="s">
        <v>1499</v>
      </c>
      <c r="I423" s="8" t="s">
        <v>1500</v>
      </c>
      <c r="J423" s="8" t="s">
        <v>1501</v>
      </c>
    </row>
    <row r="424">
      <c r="A424" s="7">
        <v>2.0029187E7</v>
      </c>
      <c r="B424" s="8" t="s">
        <v>1034</v>
      </c>
      <c r="C424" s="8" t="s">
        <v>1502</v>
      </c>
      <c r="D424" s="8" t="s">
        <v>16</v>
      </c>
      <c r="E424" s="8" t="s">
        <v>17</v>
      </c>
      <c r="F424" s="9">
        <v>46037.0</v>
      </c>
      <c r="G424" s="8" t="s">
        <v>1503</v>
      </c>
      <c r="H424" s="8" t="s">
        <v>1504</v>
      </c>
      <c r="I424" s="8" t="s">
        <v>1505</v>
      </c>
      <c r="J424" s="8" t="s">
        <v>1506</v>
      </c>
    </row>
    <row r="425">
      <c r="A425" s="7">
        <v>2.0029772E7</v>
      </c>
      <c r="B425" s="8" t="s">
        <v>1034</v>
      </c>
      <c r="C425" s="8" t="s">
        <v>1507</v>
      </c>
      <c r="D425" s="8" t="s">
        <v>16</v>
      </c>
      <c r="E425" s="8" t="s">
        <v>17</v>
      </c>
      <c r="F425" s="9">
        <v>46037.0</v>
      </c>
      <c r="G425" s="8" t="s">
        <v>1508</v>
      </c>
      <c r="H425" s="8" t="s">
        <v>1509</v>
      </c>
      <c r="I425" s="8" t="s">
        <v>1510</v>
      </c>
      <c r="J425" s="8" t="s">
        <v>1511</v>
      </c>
    </row>
    <row r="426">
      <c r="A426" s="7">
        <v>2.0029423E7</v>
      </c>
      <c r="B426" s="8" t="s">
        <v>1034</v>
      </c>
      <c r="C426" s="8" t="s">
        <v>1512</v>
      </c>
      <c r="D426" s="8" t="s">
        <v>16</v>
      </c>
      <c r="E426" s="8" t="s">
        <v>17</v>
      </c>
      <c r="F426" s="9">
        <v>46029.0</v>
      </c>
      <c r="G426" s="8" t="s">
        <v>91</v>
      </c>
      <c r="H426" s="8" t="s">
        <v>92</v>
      </c>
      <c r="I426" s="8" t="s">
        <v>1513</v>
      </c>
      <c r="J426" s="8" t="s">
        <v>1514</v>
      </c>
    </row>
    <row r="427">
      <c r="A427" s="7">
        <v>2.002941E7</v>
      </c>
      <c r="B427" s="8" t="s">
        <v>1034</v>
      </c>
      <c r="C427" s="8" t="s">
        <v>1515</v>
      </c>
      <c r="D427" s="8" t="s">
        <v>16</v>
      </c>
      <c r="E427" s="8" t="s">
        <v>17</v>
      </c>
      <c r="F427" s="9">
        <v>46028.0</v>
      </c>
      <c r="G427" s="8" t="s">
        <v>385</v>
      </c>
      <c r="H427" s="8" t="s">
        <v>386</v>
      </c>
      <c r="I427" s="8" t="s">
        <v>1516</v>
      </c>
      <c r="J427" s="8" t="s">
        <v>1517</v>
      </c>
    </row>
    <row r="428">
      <c r="A428" s="7">
        <v>2.0029525E7</v>
      </c>
      <c r="B428" s="8" t="s">
        <v>1034</v>
      </c>
      <c r="C428" s="8" t="s">
        <v>1518</v>
      </c>
      <c r="D428" s="8" t="s">
        <v>16</v>
      </c>
      <c r="E428" s="8" t="s">
        <v>17</v>
      </c>
      <c r="F428" s="9">
        <v>46045.0</v>
      </c>
      <c r="G428" s="8" t="s">
        <v>1519</v>
      </c>
      <c r="H428" s="8" t="s">
        <v>1520</v>
      </c>
      <c r="I428" s="8" t="s">
        <v>1521</v>
      </c>
      <c r="J428" s="8" t="s">
        <v>1522</v>
      </c>
    </row>
    <row r="429">
      <c r="A429" s="7">
        <v>2.0027461E7</v>
      </c>
      <c r="B429" s="8" t="s">
        <v>1034</v>
      </c>
      <c r="C429" s="8" t="s">
        <v>1523</v>
      </c>
      <c r="D429" s="8" t="s">
        <v>16</v>
      </c>
      <c r="E429" s="8" t="s">
        <v>17</v>
      </c>
      <c r="F429" s="9">
        <v>46040.0</v>
      </c>
      <c r="G429" s="8" t="s">
        <v>1524</v>
      </c>
      <c r="H429" s="8" t="s">
        <v>1525</v>
      </c>
      <c r="I429" s="8" t="s">
        <v>1526</v>
      </c>
      <c r="J429" s="8" t="s">
        <v>1527</v>
      </c>
    </row>
    <row r="430">
      <c r="A430" s="7">
        <v>2.0029696E7</v>
      </c>
      <c r="B430" s="8" t="s">
        <v>1034</v>
      </c>
      <c r="C430" s="8" t="s">
        <v>1528</v>
      </c>
      <c r="D430" s="8" t="s">
        <v>16</v>
      </c>
      <c r="E430" s="8" t="s">
        <v>17</v>
      </c>
      <c r="F430" s="9">
        <v>46039.0</v>
      </c>
      <c r="G430" s="8" t="s">
        <v>158</v>
      </c>
      <c r="H430" s="8" t="s">
        <v>159</v>
      </c>
      <c r="I430" s="8" t="s">
        <v>1529</v>
      </c>
      <c r="J430" s="8" t="s">
        <v>1530</v>
      </c>
    </row>
    <row r="431">
      <c r="A431" s="7">
        <v>2.0027704E7</v>
      </c>
      <c r="B431" s="8" t="s">
        <v>1034</v>
      </c>
      <c r="C431" s="8" t="s">
        <v>1531</v>
      </c>
      <c r="D431" s="8" t="s">
        <v>16</v>
      </c>
      <c r="E431" s="8" t="s">
        <v>17</v>
      </c>
      <c r="F431" s="9">
        <v>46028.0</v>
      </c>
      <c r="G431" s="8" t="s">
        <v>1532</v>
      </c>
      <c r="H431" s="8" t="s">
        <v>1533</v>
      </c>
      <c r="I431" s="8" t="s">
        <v>1534</v>
      </c>
      <c r="J431" s="8" t="s">
        <v>1535</v>
      </c>
    </row>
    <row r="432">
      <c r="A432" s="7">
        <v>2.0022793E7</v>
      </c>
      <c r="B432" s="8" t="s">
        <v>1034</v>
      </c>
      <c r="C432" s="8" t="s">
        <v>1536</v>
      </c>
      <c r="D432" s="8" t="s">
        <v>16</v>
      </c>
      <c r="E432" s="8" t="s">
        <v>17</v>
      </c>
      <c r="F432" s="9">
        <v>46045.0</v>
      </c>
      <c r="G432" s="8" t="s">
        <v>1537</v>
      </c>
      <c r="H432" s="8" t="s">
        <v>1538</v>
      </c>
      <c r="I432" s="8" t="s">
        <v>1539</v>
      </c>
      <c r="J432" s="8" t="s">
        <v>1540</v>
      </c>
    </row>
    <row r="433">
      <c r="A433" s="7">
        <v>2.0029316E7</v>
      </c>
      <c r="B433" s="8" t="s">
        <v>1034</v>
      </c>
      <c r="C433" s="8" t="s">
        <v>1541</v>
      </c>
      <c r="D433" s="8" t="s">
        <v>16</v>
      </c>
      <c r="E433" s="8" t="s">
        <v>17</v>
      </c>
      <c r="F433" s="9">
        <v>46026.0</v>
      </c>
      <c r="G433" s="8" t="s">
        <v>247</v>
      </c>
      <c r="H433" s="8" t="s">
        <v>248</v>
      </c>
      <c r="I433" s="8" t="s">
        <v>1542</v>
      </c>
      <c r="J433" s="8" t="s">
        <v>1543</v>
      </c>
    </row>
    <row r="434">
      <c r="A434" s="7">
        <v>2.0029208E7</v>
      </c>
      <c r="B434" s="8" t="s">
        <v>1034</v>
      </c>
      <c r="C434" s="8" t="s">
        <v>1544</v>
      </c>
      <c r="D434" s="8" t="s">
        <v>16</v>
      </c>
      <c r="E434" s="8" t="s">
        <v>17</v>
      </c>
      <c r="F434" s="9">
        <v>46029.0</v>
      </c>
      <c r="G434" s="8" t="s">
        <v>59</v>
      </c>
      <c r="H434" s="8" t="s">
        <v>60</v>
      </c>
      <c r="I434" s="8" t="s">
        <v>1545</v>
      </c>
      <c r="J434" s="8" t="s">
        <v>1546</v>
      </c>
    </row>
    <row r="435">
      <c r="A435" s="7">
        <v>2.0029066E7</v>
      </c>
      <c r="B435" s="8" t="s">
        <v>1034</v>
      </c>
      <c r="C435" s="8" t="s">
        <v>1547</v>
      </c>
      <c r="D435" s="8" t="s">
        <v>16</v>
      </c>
      <c r="E435" s="8" t="s">
        <v>17</v>
      </c>
      <c r="F435" s="9">
        <v>46038.0</v>
      </c>
      <c r="G435" s="8" t="s">
        <v>1179</v>
      </c>
      <c r="H435" s="8" t="s">
        <v>1180</v>
      </c>
      <c r="I435" s="8" t="s">
        <v>1548</v>
      </c>
      <c r="J435" s="8" t="s">
        <v>1549</v>
      </c>
    </row>
    <row r="436">
      <c r="A436" s="7">
        <v>2.0029556E7</v>
      </c>
      <c r="B436" s="8" t="s">
        <v>1034</v>
      </c>
      <c r="C436" s="8" t="s">
        <v>1550</v>
      </c>
      <c r="D436" s="8" t="s">
        <v>16</v>
      </c>
      <c r="E436" s="8" t="s">
        <v>17</v>
      </c>
      <c r="F436" s="9">
        <v>46040.0</v>
      </c>
      <c r="G436" s="8" t="s">
        <v>410</v>
      </c>
      <c r="H436" s="8" t="s">
        <v>411</v>
      </c>
      <c r="I436" s="8" t="s">
        <v>1551</v>
      </c>
      <c r="J436" s="8" t="s">
        <v>1552</v>
      </c>
    </row>
    <row r="437">
      <c r="A437" s="7">
        <v>2.0027761E7</v>
      </c>
      <c r="B437" s="8" t="s">
        <v>1034</v>
      </c>
      <c r="C437" s="8" t="s">
        <v>1553</v>
      </c>
      <c r="D437" s="8" t="s">
        <v>16</v>
      </c>
      <c r="E437" s="8" t="s">
        <v>17</v>
      </c>
      <c r="F437" s="9">
        <v>46038.0</v>
      </c>
      <c r="G437" s="8" t="s">
        <v>124</v>
      </c>
      <c r="H437" s="8" t="s">
        <v>125</v>
      </c>
      <c r="I437" s="8" t="s">
        <v>1554</v>
      </c>
      <c r="J437" s="8" t="s">
        <v>1555</v>
      </c>
    </row>
    <row r="438">
      <c r="A438" s="7">
        <v>2.0029197E7</v>
      </c>
      <c r="B438" s="8" t="s">
        <v>1034</v>
      </c>
      <c r="C438" s="8" t="s">
        <v>1556</v>
      </c>
      <c r="D438" s="8" t="s">
        <v>16</v>
      </c>
      <c r="E438" s="8" t="s">
        <v>17</v>
      </c>
      <c r="F438" s="9">
        <v>46031.0</v>
      </c>
      <c r="G438" s="8" t="s">
        <v>1557</v>
      </c>
      <c r="H438" s="8" t="s">
        <v>1558</v>
      </c>
      <c r="I438" s="8" t="s">
        <v>1559</v>
      </c>
      <c r="J438" s="8" t="s">
        <v>1560</v>
      </c>
    </row>
    <row r="439">
      <c r="A439" s="7">
        <v>2.0029197E7</v>
      </c>
      <c r="B439" s="8" t="s">
        <v>1034</v>
      </c>
      <c r="C439" s="8" t="s">
        <v>1556</v>
      </c>
      <c r="D439" s="8" t="s">
        <v>16</v>
      </c>
      <c r="E439" s="8" t="s">
        <v>17</v>
      </c>
      <c r="F439" s="9">
        <v>46031.0</v>
      </c>
      <c r="G439" s="8" t="s">
        <v>1557</v>
      </c>
      <c r="H439" s="8" t="s">
        <v>1558</v>
      </c>
      <c r="I439" s="8" t="s">
        <v>1561</v>
      </c>
      <c r="J439" s="8" t="s">
        <v>1560</v>
      </c>
    </row>
    <row r="440">
      <c r="A440" s="7">
        <v>2.0029051E7</v>
      </c>
      <c r="B440" s="8" t="s">
        <v>1034</v>
      </c>
      <c r="C440" s="8" t="s">
        <v>1562</v>
      </c>
      <c r="D440" s="8" t="s">
        <v>16</v>
      </c>
      <c r="E440" s="8" t="s">
        <v>17</v>
      </c>
      <c r="F440" s="9">
        <v>46025.0</v>
      </c>
      <c r="G440" s="8" t="s">
        <v>59</v>
      </c>
      <c r="H440" s="8" t="s">
        <v>60</v>
      </c>
      <c r="I440" s="8" t="s">
        <v>1563</v>
      </c>
      <c r="J440" s="8" t="s">
        <v>1564</v>
      </c>
    </row>
    <row r="441">
      <c r="A441" s="7">
        <v>2.002901E7</v>
      </c>
      <c r="B441" s="8" t="s">
        <v>1034</v>
      </c>
      <c r="C441" s="8" t="s">
        <v>1565</v>
      </c>
      <c r="D441" s="8" t="s">
        <v>16</v>
      </c>
      <c r="E441" s="8" t="s">
        <v>17</v>
      </c>
      <c r="F441" s="9">
        <v>46025.0</v>
      </c>
      <c r="G441" s="8" t="s">
        <v>59</v>
      </c>
      <c r="H441" s="8" t="s">
        <v>60</v>
      </c>
      <c r="I441" s="8" t="s">
        <v>1566</v>
      </c>
      <c r="J441" s="8" t="s">
        <v>1567</v>
      </c>
    </row>
    <row r="442">
      <c r="A442" s="7">
        <v>2.0029274E7</v>
      </c>
      <c r="B442" s="8" t="s">
        <v>1034</v>
      </c>
      <c r="C442" s="8" t="s">
        <v>1568</v>
      </c>
      <c r="D442" s="8" t="s">
        <v>16</v>
      </c>
      <c r="E442" s="8" t="s">
        <v>17</v>
      </c>
      <c r="F442" s="9">
        <v>46041.0</v>
      </c>
      <c r="G442" s="8" t="s">
        <v>688</v>
      </c>
      <c r="H442" s="8" t="s">
        <v>689</v>
      </c>
      <c r="I442" s="8" t="s">
        <v>1569</v>
      </c>
      <c r="J442" s="8" t="s">
        <v>1570</v>
      </c>
    </row>
    <row r="443">
      <c r="A443" s="7">
        <v>2.0027778E7</v>
      </c>
      <c r="B443" s="8" t="s">
        <v>1034</v>
      </c>
      <c r="C443" s="8" t="s">
        <v>1571</v>
      </c>
      <c r="D443" s="8" t="s">
        <v>16</v>
      </c>
      <c r="E443" s="8" t="s">
        <v>17</v>
      </c>
      <c r="F443" s="9">
        <v>46050.0</v>
      </c>
      <c r="G443" s="8" t="s">
        <v>630</v>
      </c>
      <c r="H443" s="8" t="s">
        <v>631</v>
      </c>
      <c r="I443" s="8" t="s">
        <v>1572</v>
      </c>
      <c r="J443" s="8" t="s">
        <v>1573</v>
      </c>
    </row>
    <row r="444">
      <c r="A444" s="7">
        <v>2.0028295E7</v>
      </c>
      <c r="B444" s="8" t="s">
        <v>1034</v>
      </c>
      <c r="C444" s="8" t="s">
        <v>1574</v>
      </c>
      <c r="D444" s="8" t="s">
        <v>16</v>
      </c>
      <c r="E444" s="8" t="s">
        <v>17</v>
      </c>
      <c r="F444" s="9">
        <v>46034.0</v>
      </c>
      <c r="G444" s="8" t="s">
        <v>908</v>
      </c>
      <c r="H444" s="8" t="s">
        <v>909</v>
      </c>
      <c r="I444" s="8" t="s">
        <v>1575</v>
      </c>
      <c r="J444" s="8" t="s">
        <v>1576</v>
      </c>
    </row>
    <row r="445">
      <c r="A445" s="7">
        <v>2.0028295E7</v>
      </c>
      <c r="B445" s="8" t="s">
        <v>1034</v>
      </c>
      <c r="C445" s="8" t="s">
        <v>1574</v>
      </c>
      <c r="D445" s="8" t="s">
        <v>16</v>
      </c>
      <c r="E445" s="8" t="s">
        <v>17</v>
      </c>
      <c r="F445" s="9">
        <v>46034.0</v>
      </c>
      <c r="G445" s="8" t="s">
        <v>297</v>
      </c>
      <c r="H445" s="8" t="s">
        <v>298</v>
      </c>
      <c r="I445" s="8" t="s">
        <v>1577</v>
      </c>
      <c r="J445" s="8" t="s">
        <v>1578</v>
      </c>
    </row>
    <row r="446">
      <c r="A446" s="7">
        <v>2.0022982E7</v>
      </c>
      <c r="B446" s="8" t="s">
        <v>1034</v>
      </c>
      <c r="C446" s="8" t="s">
        <v>1579</v>
      </c>
      <c r="D446" s="8" t="s">
        <v>16</v>
      </c>
      <c r="E446" s="8" t="s">
        <v>17</v>
      </c>
      <c r="F446" s="9">
        <v>46037.0</v>
      </c>
      <c r="G446" s="8" t="s">
        <v>137</v>
      </c>
      <c r="H446" s="8" t="s">
        <v>138</v>
      </c>
      <c r="I446" s="8" t="s">
        <v>1580</v>
      </c>
      <c r="J446" s="8" t="s">
        <v>1581</v>
      </c>
    </row>
    <row r="447">
      <c r="A447" s="7">
        <v>2.0012647E7</v>
      </c>
      <c r="B447" s="8" t="s">
        <v>1034</v>
      </c>
      <c r="C447" s="8" t="s">
        <v>1582</v>
      </c>
      <c r="D447" s="8" t="s">
        <v>16</v>
      </c>
      <c r="E447" s="8" t="s">
        <v>17</v>
      </c>
      <c r="F447" s="9">
        <v>46045.0</v>
      </c>
      <c r="G447" s="8" t="s">
        <v>1583</v>
      </c>
      <c r="H447" s="8" t="s">
        <v>1584</v>
      </c>
      <c r="I447" s="8" t="s">
        <v>1585</v>
      </c>
      <c r="J447" s="8" t="s">
        <v>1586</v>
      </c>
    </row>
    <row r="448">
      <c r="A448" s="7">
        <v>2.0027808E7</v>
      </c>
      <c r="B448" s="8" t="s">
        <v>1034</v>
      </c>
      <c r="C448" s="8" t="s">
        <v>1587</v>
      </c>
      <c r="D448" s="8" t="s">
        <v>16</v>
      </c>
      <c r="E448" s="8" t="s">
        <v>17</v>
      </c>
      <c r="F448" s="9">
        <v>46043.0</v>
      </c>
      <c r="G448" s="8" t="s">
        <v>390</v>
      </c>
      <c r="H448" s="8" t="s">
        <v>391</v>
      </c>
      <c r="I448" s="8" t="s">
        <v>1588</v>
      </c>
      <c r="J448" s="8" t="s">
        <v>1589</v>
      </c>
    </row>
    <row r="449">
      <c r="A449" s="7">
        <v>2.0028566E7</v>
      </c>
      <c r="B449" s="8" t="s">
        <v>1034</v>
      </c>
      <c r="C449" s="8" t="s">
        <v>1590</v>
      </c>
      <c r="D449" s="8" t="s">
        <v>16</v>
      </c>
      <c r="E449" s="8" t="s">
        <v>17</v>
      </c>
      <c r="F449" s="9">
        <v>46037.0</v>
      </c>
      <c r="G449" s="8" t="s">
        <v>1591</v>
      </c>
      <c r="H449" s="8" t="s">
        <v>1592</v>
      </c>
      <c r="I449" s="8" t="s">
        <v>1593</v>
      </c>
      <c r="J449" s="8" t="s">
        <v>1594</v>
      </c>
    </row>
    <row r="450">
      <c r="A450" s="7">
        <v>2.0028533E7</v>
      </c>
      <c r="B450" s="8" t="s">
        <v>1034</v>
      </c>
      <c r="C450" s="8" t="s">
        <v>1595</v>
      </c>
      <c r="D450" s="8" t="s">
        <v>16</v>
      </c>
      <c r="E450" s="8" t="s">
        <v>17</v>
      </c>
      <c r="F450" s="9">
        <v>46037.0</v>
      </c>
      <c r="G450" s="8" t="s">
        <v>436</v>
      </c>
      <c r="H450" s="8" t="s">
        <v>437</v>
      </c>
      <c r="I450" s="8" t="s">
        <v>1596</v>
      </c>
      <c r="J450" s="8" t="s">
        <v>1597</v>
      </c>
    </row>
    <row r="451">
      <c r="A451" s="7">
        <v>2.0028172E7</v>
      </c>
      <c r="B451" s="8" t="s">
        <v>1034</v>
      </c>
      <c r="C451" s="8" t="s">
        <v>1598</v>
      </c>
      <c r="D451" s="8" t="s">
        <v>16</v>
      </c>
      <c r="E451" s="8" t="s">
        <v>17</v>
      </c>
      <c r="F451" s="9">
        <v>46045.0</v>
      </c>
      <c r="G451" s="8" t="s">
        <v>361</v>
      </c>
      <c r="H451" s="8" t="s">
        <v>362</v>
      </c>
      <c r="I451" s="8" t="s">
        <v>1599</v>
      </c>
      <c r="J451" s="8" t="s">
        <v>1600</v>
      </c>
    </row>
    <row r="452">
      <c r="A452" s="7">
        <v>2.0028136E7</v>
      </c>
      <c r="B452" s="8" t="s">
        <v>1034</v>
      </c>
      <c r="C452" s="8" t="s">
        <v>1601</v>
      </c>
      <c r="D452" s="8" t="s">
        <v>16</v>
      </c>
      <c r="E452" s="8" t="s">
        <v>17</v>
      </c>
      <c r="F452" s="9">
        <v>46036.0</v>
      </c>
      <c r="G452" s="8" t="s">
        <v>1408</v>
      </c>
      <c r="H452" s="8" t="s">
        <v>1409</v>
      </c>
      <c r="I452" s="8" t="s">
        <v>1602</v>
      </c>
      <c r="J452" s="8" t="s">
        <v>1603</v>
      </c>
    </row>
    <row r="453">
      <c r="A453" s="7">
        <v>2.0026354E7</v>
      </c>
      <c r="B453" s="8" t="s">
        <v>1034</v>
      </c>
      <c r="C453" s="8" t="s">
        <v>1604</v>
      </c>
      <c r="D453" s="8" t="s">
        <v>16</v>
      </c>
      <c r="E453" s="8" t="s">
        <v>17</v>
      </c>
      <c r="F453" s="9">
        <v>46039.0</v>
      </c>
      <c r="G453" s="8" t="s">
        <v>262</v>
      </c>
      <c r="H453" s="8" t="s">
        <v>263</v>
      </c>
      <c r="I453" s="8" t="s">
        <v>1605</v>
      </c>
      <c r="J453" s="8" t="s">
        <v>1606</v>
      </c>
    </row>
    <row r="454">
      <c r="A454" s="7">
        <v>2.0026343E7</v>
      </c>
      <c r="B454" s="8" t="s">
        <v>1034</v>
      </c>
      <c r="C454" s="8" t="s">
        <v>1607</v>
      </c>
      <c r="D454" s="8" t="s">
        <v>16</v>
      </c>
      <c r="E454" s="8" t="s">
        <v>17</v>
      </c>
      <c r="F454" s="9">
        <v>46025.0</v>
      </c>
      <c r="G454" s="8" t="s">
        <v>423</v>
      </c>
      <c r="H454" s="8" t="s">
        <v>424</v>
      </c>
      <c r="I454" s="8" t="s">
        <v>1608</v>
      </c>
      <c r="J454" s="8" t="s">
        <v>1609</v>
      </c>
    </row>
    <row r="455">
      <c r="A455" s="7">
        <v>2.0023805E7</v>
      </c>
      <c r="B455" s="8" t="s">
        <v>1034</v>
      </c>
      <c r="C455" s="8" t="s">
        <v>1610</v>
      </c>
      <c r="D455" s="8" t="s">
        <v>16</v>
      </c>
      <c r="E455" s="8" t="s">
        <v>17</v>
      </c>
      <c r="F455" s="9">
        <v>46026.0</v>
      </c>
      <c r="G455" s="8" t="s">
        <v>1611</v>
      </c>
      <c r="H455" s="8" t="s">
        <v>1612</v>
      </c>
      <c r="I455" s="8" t="s">
        <v>1613</v>
      </c>
      <c r="J455" s="8" t="s">
        <v>1614</v>
      </c>
    </row>
    <row r="456">
      <c r="A456" s="7">
        <v>2.00278E7</v>
      </c>
      <c r="B456" s="8" t="s">
        <v>1034</v>
      </c>
      <c r="C456" s="8" t="s">
        <v>1615</v>
      </c>
      <c r="D456" s="8" t="s">
        <v>16</v>
      </c>
      <c r="E456" s="8" t="s">
        <v>17</v>
      </c>
      <c r="F456" s="9">
        <v>46030.0</v>
      </c>
      <c r="G456" s="8" t="s">
        <v>1616</v>
      </c>
      <c r="H456" s="8" t="s">
        <v>1617</v>
      </c>
      <c r="I456" s="8" t="s">
        <v>1618</v>
      </c>
      <c r="J456" s="8" t="s">
        <v>1619</v>
      </c>
    </row>
    <row r="457">
      <c r="A457" s="7">
        <v>2.0022255E7</v>
      </c>
      <c r="B457" s="8" t="s">
        <v>1034</v>
      </c>
      <c r="C457" s="8" t="s">
        <v>1620</v>
      </c>
      <c r="D457" s="8" t="s">
        <v>16</v>
      </c>
      <c r="E457" s="8" t="s">
        <v>17</v>
      </c>
      <c r="F457" s="9">
        <v>46033.0</v>
      </c>
      <c r="G457" s="8" t="s">
        <v>137</v>
      </c>
      <c r="H457" s="8" t="s">
        <v>138</v>
      </c>
      <c r="I457" s="8" t="s">
        <v>1621</v>
      </c>
      <c r="J457" s="8" t="s">
        <v>1622</v>
      </c>
    </row>
    <row r="458">
      <c r="A458" s="7">
        <v>2.0024641E7</v>
      </c>
      <c r="B458" s="8" t="s">
        <v>1034</v>
      </c>
      <c r="C458" s="8" t="s">
        <v>1623</v>
      </c>
      <c r="D458" s="8" t="s">
        <v>16</v>
      </c>
      <c r="E458" s="8" t="s">
        <v>17</v>
      </c>
      <c r="F458" s="9">
        <v>46037.0</v>
      </c>
      <c r="G458" s="8" t="s">
        <v>390</v>
      </c>
      <c r="H458" s="8" t="s">
        <v>391</v>
      </c>
      <c r="I458" s="8" t="s">
        <v>1624</v>
      </c>
      <c r="J458" s="8" t="s">
        <v>1625</v>
      </c>
    </row>
    <row r="459">
      <c r="A459" s="7">
        <v>2.0027597E7</v>
      </c>
      <c r="B459" s="8" t="s">
        <v>1034</v>
      </c>
      <c r="C459" s="8" t="s">
        <v>1626</v>
      </c>
      <c r="D459" s="8" t="s">
        <v>16</v>
      </c>
      <c r="E459" s="8" t="s">
        <v>17</v>
      </c>
      <c r="F459" s="9">
        <v>46034.0</v>
      </c>
      <c r="G459" s="8" t="s">
        <v>1627</v>
      </c>
      <c r="H459" s="8" t="s">
        <v>1628</v>
      </c>
      <c r="I459" s="8" t="s">
        <v>1629</v>
      </c>
      <c r="J459" s="8" t="s">
        <v>1630</v>
      </c>
    </row>
    <row r="460">
      <c r="A460" s="7">
        <v>2.0027689E7</v>
      </c>
      <c r="B460" s="8" t="s">
        <v>1034</v>
      </c>
      <c r="C460" s="8" t="s">
        <v>1631</v>
      </c>
      <c r="D460" s="8" t="s">
        <v>16</v>
      </c>
      <c r="E460" s="8" t="s">
        <v>17</v>
      </c>
      <c r="F460" s="9">
        <v>46026.0</v>
      </c>
      <c r="G460" s="8" t="s">
        <v>1355</v>
      </c>
      <c r="H460" s="8" t="s">
        <v>1356</v>
      </c>
      <c r="I460" s="8" t="s">
        <v>1632</v>
      </c>
      <c r="J460" s="8" t="s">
        <v>1633</v>
      </c>
    </row>
    <row r="461">
      <c r="A461" s="7">
        <v>2.0027607E7</v>
      </c>
      <c r="B461" s="8" t="s">
        <v>1034</v>
      </c>
      <c r="C461" s="8" t="s">
        <v>1634</v>
      </c>
      <c r="D461" s="8" t="s">
        <v>16</v>
      </c>
      <c r="E461" s="8" t="s">
        <v>17</v>
      </c>
      <c r="F461" s="9">
        <v>46033.0</v>
      </c>
      <c r="G461" s="8" t="s">
        <v>410</v>
      </c>
      <c r="H461" s="8" t="s">
        <v>411</v>
      </c>
      <c r="I461" s="8" t="s">
        <v>1635</v>
      </c>
      <c r="J461" s="8" t="s">
        <v>1636</v>
      </c>
    </row>
    <row r="462">
      <c r="A462" s="7">
        <v>2.0027592E7</v>
      </c>
      <c r="B462" s="8" t="s">
        <v>1034</v>
      </c>
      <c r="C462" s="8" t="s">
        <v>1637</v>
      </c>
      <c r="D462" s="8" t="s">
        <v>16</v>
      </c>
      <c r="E462" s="8" t="s">
        <v>17</v>
      </c>
      <c r="F462" s="9">
        <v>46028.0</v>
      </c>
      <c r="G462" s="8" t="s">
        <v>1638</v>
      </c>
      <c r="H462" s="8" t="s">
        <v>1639</v>
      </c>
      <c r="I462" s="8" t="s">
        <v>1640</v>
      </c>
      <c r="J462" s="8" t="s">
        <v>1641</v>
      </c>
    </row>
    <row r="463">
      <c r="A463" s="7">
        <v>2.0027371E7</v>
      </c>
      <c r="B463" s="8" t="s">
        <v>1034</v>
      </c>
      <c r="C463" s="8" t="s">
        <v>1642</v>
      </c>
      <c r="D463" s="8" t="s">
        <v>16</v>
      </c>
      <c r="E463" s="8" t="s">
        <v>17</v>
      </c>
      <c r="F463" s="9">
        <v>46026.0</v>
      </c>
      <c r="G463" s="8" t="s">
        <v>242</v>
      </c>
      <c r="H463" s="8" t="s">
        <v>243</v>
      </c>
      <c r="I463" s="8" t="s">
        <v>1643</v>
      </c>
      <c r="J463" s="8" t="s">
        <v>1644</v>
      </c>
    </row>
    <row r="464">
      <c r="A464" s="7">
        <v>2.0027045E7</v>
      </c>
      <c r="B464" s="8" t="s">
        <v>1034</v>
      </c>
      <c r="C464" s="8" t="s">
        <v>1645</v>
      </c>
      <c r="D464" s="8" t="s">
        <v>16</v>
      </c>
      <c r="E464" s="8" t="s">
        <v>17</v>
      </c>
      <c r="F464" s="9">
        <v>46030.0</v>
      </c>
      <c r="G464" s="8" t="s">
        <v>626</v>
      </c>
      <c r="H464" s="8" t="s">
        <v>627</v>
      </c>
      <c r="I464" s="8" t="s">
        <v>1646</v>
      </c>
      <c r="J464" s="8" t="s">
        <v>1647</v>
      </c>
    </row>
    <row r="465">
      <c r="A465" s="7">
        <v>2.0027342E7</v>
      </c>
      <c r="B465" s="8" t="s">
        <v>1034</v>
      </c>
      <c r="C465" s="8" t="s">
        <v>1648</v>
      </c>
      <c r="D465" s="8" t="s">
        <v>16</v>
      </c>
      <c r="E465" s="8" t="s">
        <v>17</v>
      </c>
      <c r="F465" s="9">
        <v>46027.0</v>
      </c>
      <c r="G465" s="8" t="s">
        <v>390</v>
      </c>
      <c r="H465" s="8" t="s">
        <v>391</v>
      </c>
      <c r="I465" s="8" t="s">
        <v>1649</v>
      </c>
      <c r="J465" s="8" t="s">
        <v>1650</v>
      </c>
    </row>
    <row r="466">
      <c r="A466" s="7">
        <v>2.0026223E7</v>
      </c>
      <c r="B466" s="8" t="s">
        <v>1034</v>
      </c>
      <c r="C466" s="8" t="s">
        <v>1651</v>
      </c>
      <c r="D466" s="8" t="s">
        <v>16</v>
      </c>
      <c r="E466" s="8" t="s">
        <v>17</v>
      </c>
      <c r="F466" s="9">
        <v>46026.0</v>
      </c>
      <c r="G466" s="8" t="s">
        <v>1652</v>
      </c>
      <c r="H466" s="8" t="s">
        <v>1653</v>
      </c>
      <c r="I466" s="8" t="s">
        <v>1654</v>
      </c>
      <c r="J466" s="8" t="s">
        <v>1655</v>
      </c>
    </row>
    <row r="467">
      <c r="A467" s="7">
        <v>2.0026127E7</v>
      </c>
      <c r="B467" s="8" t="s">
        <v>1034</v>
      </c>
      <c r="C467" s="8" t="s">
        <v>1656</v>
      </c>
      <c r="D467" s="8" t="s">
        <v>16</v>
      </c>
      <c r="E467" s="8" t="s">
        <v>17</v>
      </c>
      <c r="F467" s="9">
        <v>46026.0</v>
      </c>
      <c r="G467" s="8" t="s">
        <v>390</v>
      </c>
      <c r="H467" s="8" t="s">
        <v>391</v>
      </c>
      <c r="I467" s="8" t="s">
        <v>1657</v>
      </c>
      <c r="J467" s="8" t="s">
        <v>1658</v>
      </c>
    </row>
    <row r="468">
      <c r="A468" s="7">
        <v>2.0026127E7</v>
      </c>
      <c r="B468" s="8" t="s">
        <v>1034</v>
      </c>
      <c r="C468" s="8" t="s">
        <v>1659</v>
      </c>
      <c r="D468" s="8" t="s">
        <v>16</v>
      </c>
      <c r="E468" s="8" t="s">
        <v>17</v>
      </c>
      <c r="F468" s="9">
        <v>46046.0</v>
      </c>
      <c r="G468" s="8" t="s">
        <v>137</v>
      </c>
      <c r="H468" s="8" t="s">
        <v>138</v>
      </c>
      <c r="I468" s="8" t="s">
        <v>1660</v>
      </c>
      <c r="J468" s="8" t="s">
        <v>1658</v>
      </c>
    </row>
    <row r="469">
      <c r="A469" s="7">
        <v>2.0027092E7</v>
      </c>
      <c r="B469" s="8" t="s">
        <v>1034</v>
      </c>
      <c r="C469" s="8" t="s">
        <v>1661</v>
      </c>
      <c r="D469" s="8" t="s">
        <v>16</v>
      </c>
      <c r="E469" s="8" t="s">
        <v>17</v>
      </c>
      <c r="F469" s="9">
        <v>46026.0</v>
      </c>
      <c r="G469" s="8" t="s">
        <v>1662</v>
      </c>
      <c r="H469" s="8" t="s">
        <v>1663</v>
      </c>
      <c r="I469" s="8" t="s">
        <v>1664</v>
      </c>
      <c r="J469" s="8" t="s">
        <v>1665</v>
      </c>
    </row>
    <row r="470">
      <c r="A470" s="7">
        <v>2.0026802E7</v>
      </c>
      <c r="B470" s="8" t="s">
        <v>1034</v>
      </c>
      <c r="C470" s="8" t="s">
        <v>1666</v>
      </c>
      <c r="D470" s="8" t="s">
        <v>16</v>
      </c>
      <c r="E470" s="8" t="s">
        <v>17</v>
      </c>
      <c r="F470" s="9">
        <v>46032.0</v>
      </c>
      <c r="G470" s="8" t="s">
        <v>1667</v>
      </c>
      <c r="H470" s="8" t="s">
        <v>1668</v>
      </c>
      <c r="I470" s="8" t="s">
        <v>1669</v>
      </c>
      <c r="J470" s="8" t="s">
        <v>1670</v>
      </c>
    </row>
    <row r="471">
      <c r="A471" s="7">
        <v>2.0026537E7</v>
      </c>
      <c r="B471" s="8" t="s">
        <v>1034</v>
      </c>
      <c r="C471" s="8" t="s">
        <v>1671</v>
      </c>
      <c r="D471" s="8" t="s">
        <v>16</v>
      </c>
      <c r="E471" s="8" t="s">
        <v>17</v>
      </c>
      <c r="F471" s="9">
        <v>46028.0</v>
      </c>
      <c r="G471" s="8" t="s">
        <v>721</v>
      </c>
      <c r="H471" s="8" t="s">
        <v>722</v>
      </c>
      <c r="I471" s="8" t="s">
        <v>1672</v>
      </c>
      <c r="J471" s="8" t="s">
        <v>1673</v>
      </c>
    </row>
    <row r="472">
      <c r="A472" s="7">
        <v>2.0021859E7</v>
      </c>
      <c r="B472" s="8" t="s">
        <v>1034</v>
      </c>
      <c r="C472" s="8" t="s">
        <v>1674</v>
      </c>
      <c r="D472" s="8" t="s">
        <v>16</v>
      </c>
      <c r="E472" s="8" t="s">
        <v>17</v>
      </c>
      <c r="F472" s="9">
        <v>46025.0</v>
      </c>
      <c r="G472" s="8" t="s">
        <v>1355</v>
      </c>
      <c r="H472" s="8" t="s">
        <v>1356</v>
      </c>
      <c r="I472" s="8" t="s">
        <v>1675</v>
      </c>
      <c r="J472" s="8" t="s">
        <v>1676</v>
      </c>
    </row>
    <row r="473">
      <c r="A473" s="7">
        <v>2.0026144E7</v>
      </c>
      <c r="B473" s="8" t="s">
        <v>1034</v>
      </c>
      <c r="C473" s="8" t="s">
        <v>1677</v>
      </c>
      <c r="D473" s="8" t="s">
        <v>16</v>
      </c>
      <c r="E473" s="8" t="s">
        <v>17</v>
      </c>
      <c r="F473" s="9">
        <v>46027.0</v>
      </c>
      <c r="G473" s="8" t="s">
        <v>1678</v>
      </c>
      <c r="H473" s="8" t="s">
        <v>1679</v>
      </c>
      <c r="I473" s="8" t="s">
        <v>1680</v>
      </c>
      <c r="J473" s="8" t="s">
        <v>1681</v>
      </c>
    </row>
    <row r="474">
      <c r="A474" s="7">
        <v>2.0026094E7</v>
      </c>
      <c r="B474" s="8" t="s">
        <v>1034</v>
      </c>
      <c r="C474" s="8" t="s">
        <v>1682</v>
      </c>
      <c r="D474" s="8" t="s">
        <v>16</v>
      </c>
      <c r="E474" s="8" t="s">
        <v>17</v>
      </c>
      <c r="F474" s="9">
        <v>46031.0</v>
      </c>
      <c r="G474" s="8" t="s">
        <v>158</v>
      </c>
      <c r="H474" s="8" t="s">
        <v>159</v>
      </c>
      <c r="I474" s="8" t="s">
        <v>1683</v>
      </c>
      <c r="J474" s="8" t="s">
        <v>1684</v>
      </c>
    </row>
    <row r="475">
      <c r="A475" s="7">
        <v>2.0025591E7</v>
      </c>
      <c r="B475" s="8" t="s">
        <v>1034</v>
      </c>
      <c r="C475" s="8" t="s">
        <v>1685</v>
      </c>
      <c r="D475" s="8" t="s">
        <v>16</v>
      </c>
      <c r="E475" s="8" t="s">
        <v>17</v>
      </c>
      <c r="F475" s="9">
        <v>46027.0</v>
      </c>
      <c r="G475" s="8" t="s">
        <v>721</v>
      </c>
      <c r="H475" s="8" t="s">
        <v>722</v>
      </c>
      <c r="I475" s="8" t="s">
        <v>1686</v>
      </c>
      <c r="J475" s="8" t="s">
        <v>1687</v>
      </c>
    </row>
    <row r="476">
      <c r="A476" s="7">
        <v>2.0025608E7</v>
      </c>
      <c r="B476" s="8" t="s">
        <v>1034</v>
      </c>
      <c r="C476" s="8" t="s">
        <v>1688</v>
      </c>
      <c r="D476" s="8" t="s">
        <v>16</v>
      </c>
      <c r="E476" s="8" t="s">
        <v>17</v>
      </c>
      <c r="F476" s="9">
        <v>46025.0</v>
      </c>
      <c r="G476" s="8" t="s">
        <v>1689</v>
      </c>
      <c r="H476" s="8" t="s">
        <v>1690</v>
      </c>
      <c r="I476" s="8" t="s">
        <v>1691</v>
      </c>
      <c r="J476" s="8" t="s">
        <v>1692</v>
      </c>
    </row>
    <row r="477">
      <c r="A477" s="7">
        <v>2.0025305E7</v>
      </c>
      <c r="B477" s="8" t="s">
        <v>1034</v>
      </c>
      <c r="C477" s="8" t="s">
        <v>1693</v>
      </c>
      <c r="D477" s="8" t="s">
        <v>16</v>
      </c>
      <c r="E477" s="8" t="s">
        <v>17</v>
      </c>
      <c r="F477" s="9">
        <v>46035.0</v>
      </c>
      <c r="G477" s="8" t="s">
        <v>64</v>
      </c>
      <c r="H477" s="8" t="s">
        <v>65</v>
      </c>
      <c r="I477" s="8" t="s">
        <v>1694</v>
      </c>
      <c r="J477" s="8" t="s">
        <v>1695</v>
      </c>
    </row>
    <row r="478">
      <c r="A478" s="7">
        <v>2.0019762E7</v>
      </c>
      <c r="B478" s="8" t="s">
        <v>1034</v>
      </c>
      <c r="C478" s="8" t="s">
        <v>1696</v>
      </c>
      <c r="D478" s="8" t="s">
        <v>16</v>
      </c>
      <c r="E478" s="8" t="s">
        <v>17</v>
      </c>
      <c r="F478" s="9">
        <v>46025.0</v>
      </c>
      <c r="G478" s="8" t="s">
        <v>158</v>
      </c>
      <c r="H478" s="8" t="s">
        <v>159</v>
      </c>
      <c r="I478" s="8" t="s">
        <v>1697</v>
      </c>
      <c r="J478" s="8" t="s">
        <v>1698</v>
      </c>
    </row>
    <row r="479">
      <c r="A479" s="7">
        <v>2.0024088E7</v>
      </c>
      <c r="B479" s="8" t="s">
        <v>1034</v>
      </c>
      <c r="C479" s="8" t="s">
        <v>1699</v>
      </c>
      <c r="D479" s="8" t="s">
        <v>16</v>
      </c>
      <c r="E479" s="8" t="s">
        <v>48</v>
      </c>
      <c r="F479" s="9">
        <v>46027.0</v>
      </c>
      <c r="G479" s="8" t="s">
        <v>282</v>
      </c>
      <c r="H479" s="8" t="s">
        <v>71</v>
      </c>
      <c r="I479" s="8" t="s">
        <v>1700</v>
      </c>
      <c r="J479" s="8" t="s">
        <v>1701</v>
      </c>
    </row>
    <row r="480">
      <c r="A480" s="7">
        <v>2.0023775E7</v>
      </c>
      <c r="B480" s="8" t="s">
        <v>1034</v>
      </c>
      <c r="C480" s="8" t="s">
        <v>1702</v>
      </c>
      <c r="D480" s="8" t="s">
        <v>16</v>
      </c>
      <c r="E480" s="8" t="s">
        <v>17</v>
      </c>
      <c r="F480" s="9">
        <v>46025.0</v>
      </c>
      <c r="G480" s="8" t="s">
        <v>1408</v>
      </c>
      <c r="H480" s="8" t="s">
        <v>1409</v>
      </c>
      <c r="I480" s="8" t="s">
        <v>1703</v>
      </c>
      <c r="J480" s="8" t="s">
        <v>1704</v>
      </c>
    </row>
    <row r="481">
      <c r="A481" s="7">
        <v>2.0024263E7</v>
      </c>
      <c r="B481" s="8" t="s">
        <v>1034</v>
      </c>
      <c r="C481" s="8" t="s">
        <v>1705</v>
      </c>
      <c r="D481" s="8" t="s">
        <v>16</v>
      </c>
      <c r="E481" s="8" t="s">
        <v>17</v>
      </c>
      <c r="F481" s="9">
        <v>46027.0</v>
      </c>
      <c r="G481" s="8" t="s">
        <v>176</v>
      </c>
      <c r="H481" s="8" t="s">
        <v>177</v>
      </c>
      <c r="I481" s="8" t="s">
        <v>1706</v>
      </c>
      <c r="J481" s="8" t="s">
        <v>1707</v>
      </c>
    </row>
    <row r="482">
      <c r="A482" s="7">
        <v>2.0010213E7</v>
      </c>
      <c r="B482" s="8" t="s">
        <v>1034</v>
      </c>
      <c r="C482" s="8" t="s">
        <v>1708</v>
      </c>
      <c r="D482" s="8" t="s">
        <v>16</v>
      </c>
      <c r="E482" s="8" t="s">
        <v>17</v>
      </c>
      <c r="F482" s="9">
        <v>46027.0</v>
      </c>
      <c r="G482" s="8" t="s">
        <v>124</v>
      </c>
      <c r="H482" s="8" t="s">
        <v>125</v>
      </c>
      <c r="I482" s="8" t="s">
        <v>1709</v>
      </c>
      <c r="J482" s="8" t="s">
        <v>1710</v>
      </c>
    </row>
    <row r="483">
      <c r="A483" s="7">
        <v>2.0017161E7</v>
      </c>
      <c r="B483" s="8" t="s">
        <v>1034</v>
      </c>
      <c r="C483" s="8" t="s">
        <v>1711</v>
      </c>
      <c r="D483" s="8" t="s">
        <v>16</v>
      </c>
      <c r="E483" s="8" t="s">
        <v>17</v>
      </c>
      <c r="F483" s="9">
        <v>46027.0</v>
      </c>
      <c r="G483" s="8" t="s">
        <v>171</v>
      </c>
      <c r="H483" s="8" t="s">
        <v>172</v>
      </c>
      <c r="I483" s="8" t="s">
        <v>1712</v>
      </c>
      <c r="J483" s="8" t="s">
        <v>1713</v>
      </c>
    </row>
    <row r="484">
      <c r="A484" s="7">
        <v>2.0016256E7</v>
      </c>
      <c r="B484" s="8" t="s">
        <v>1034</v>
      </c>
      <c r="C484" s="8" t="s">
        <v>1714</v>
      </c>
      <c r="D484" s="8" t="s">
        <v>16</v>
      </c>
      <c r="E484" s="8" t="s">
        <v>17</v>
      </c>
      <c r="F484" s="9">
        <v>46027.0</v>
      </c>
      <c r="G484" s="8" t="s">
        <v>184</v>
      </c>
      <c r="H484" s="8" t="s">
        <v>185</v>
      </c>
      <c r="I484" s="8" t="s">
        <v>1715</v>
      </c>
      <c r="J484" s="8" t="s">
        <v>1716</v>
      </c>
    </row>
    <row r="485">
      <c r="A485" s="7">
        <v>2.0016269E7</v>
      </c>
      <c r="B485" s="8" t="s">
        <v>1034</v>
      </c>
      <c r="C485" s="8" t="s">
        <v>1717</v>
      </c>
      <c r="D485" s="8" t="s">
        <v>16</v>
      </c>
      <c r="E485" s="8" t="s">
        <v>17</v>
      </c>
      <c r="F485" s="9">
        <v>46027.0</v>
      </c>
      <c r="G485" s="8" t="s">
        <v>361</v>
      </c>
      <c r="H485" s="8" t="s">
        <v>362</v>
      </c>
      <c r="I485" s="8" t="s">
        <v>1718</v>
      </c>
      <c r="J485" s="8" t="s">
        <v>1719</v>
      </c>
    </row>
    <row r="486">
      <c r="A486" s="7">
        <v>2.0016169E7</v>
      </c>
      <c r="B486" s="8" t="s">
        <v>1034</v>
      </c>
      <c r="C486" s="8" t="s">
        <v>1720</v>
      </c>
      <c r="D486" s="8" t="s">
        <v>16</v>
      </c>
      <c r="E486" s="8" t="s">
        <v>17</v>
      </c>
      <c r="F486" s="9">
        <v>46027.0</v>
      </c>
      <c r="G486" s="8" t="s">
        <v>171</v>
      </c>
      <c r="H486" s="8" t="s">
        <v>172</v>
      </c>
      <c r="I486" s="8" t="s">
        <v>1721</v>
      </c>
      <c r="J486" s="8" t="s">
        <v>1722</v>
      </c>
    </row>
    <row r="487">
      <c r="A487" s="7">
        <v>2.0068565E7</v>
      </c>
      <c r="B487" s="8" t="s">
        <v>1723</v>
      </c>
      <c r="C487" s="8" t="s">
        <v>1724</v>
      </c>
      <c r="D487" s="8" t="s">
        <v>16</v>
      </c>
      <c r="E487" s="8" t="s">
        <v>17</v>
      </c>
      <c r="F487" s="9">
        <v>46188.0</v>
      </c>
      <c r="G487" s="8" t="s">
        <v>1725</v>
      </c>
      <c r="H487" s="8" t="s">
        <v>401</v>
      </c>
      <c r="I487" s="8" t="s">
        <v>1726</v>
      </c>
      <c r="J487" s="8" t="s">
        <v>1727</v>
      </c>
    </row>
    <row r="488">
      <c r="A488" s="7">
        <v>2.0065975E7</v>
      </c>
      <c r="B488" s="8" t="s">
        <v>1723</v>
      </c>
      <c r="C488" s="8" t="s">
        <v>1728</v>
      </c>
      <c r="D488" s="8" t="s">
        <v>16</v>
      </c>
      <c r="E488" s="8" t="s">
        <v>17</v>
      </c>
      <c r="F488" s="9">
        <v>46176.0</v>
      </c>
      <c r="G488" s="8" t="s">
        <v>868</v>
      </c>
      <c r="H488" s="8" t="s">
        <v>869</v>
      </c>
      <c r="I488" s="8" t="s">
        <v>1729</v>
      </c>
      <c r="J488" s="8" t="s">
        <v>1730</v>
      </c>
    </row>
    <row r="489">
      <c r="A489" s="7">
        <v>2.0063548E7</v>
      </c>
      <c r="B489" s="8" t="s">
        <v>1723</v>
      </c>
      <c r="C489" s="8" t="s">
        <v>1731</v>
      </c>
      <c r="D489" s="8" t="s">
        <v>16</v>
      </c>
      <c r="E489" s="8" t="s">
        <v>17</v>
      </c>
      <c r="F489" s="9">
        <v>46189.0</v>
      </c>
      <c r="G489" s="8" t="s">
        <v>361</v>
      </c>
      <c r="H489" s="8" t="s">
        <v>362</v>
      </c>
      <c r="I489" s="8" t="s">
        <v>1732</v>
      </c>
      <c r="J489" s="8"/>
    </row>
    <row r="490">
      <c r="A490" s="7">
        <v>2.0058884E7</v>
      </c>
      <c r="B490" s="8" t="s">
        <v>1723</v>
      </c>
      <c r="C490" s="8" t="s">
        <v>1733</v>
      </c>
      <c r="D490" s="8" t="s">
        <v>16</v>
      </c>
      <c r="E490" s="8" t="s">
        <v>17</v>
      </c>
      <c r="F490" s="9">
        <v>46142.0</v>
      </c>
      <c r="G490" s="8" t="s">
        <v>1734</v>
      </c>
      <c r="H490" s="8" t="s">
        <v>1735</v>
      </c>
      <c r="I490" s="8" t="s">
        <v>1736</v>
      </c>
      <c r="J490" s="8" t="s">
        <v>1737</v>
      </c>
    </row>
    <row r="491">
      <c r="A491" s="7">
        <v>2.0058117E7</v>
      </c>
      <c r="B491" s="8" t="s">
        <v>1723</v>
      </c>
      <c r="C491" s="8" t="s">
        <v>1738</v>
      </c>
      <c r="D491" s="8" t="s">
        <v>16</v>
      </c>
      <c r="E491" s="8" t="s">
        <v>17</v>
      </c>
      <c r="F491" s="9">
        <v>46183.0</v>
      </c>
      <c r="G491" s="8" t="s">
        <v>1739</v>
      </c>
      <c r="H491" s="8" t="s">
        <v>1740</v>
      </c>
      <c r="I491" s="8" t="s">
        <v>1741</v>
      </c>
      <c r="J491" s="8"/>
    </row>
    <row r="492">
      <c r="A492" s="7">
        <v>2.0058117E7</v>
      </c>
      <c r="B492" s="8" t="s">
        <v>1723</v>
      </c>
      <c r="C492" s="8" t="s">
        <v>1738</v>
      </c>
      <c r="D492" s="8" t="s">
        <v>16</v>
      </c>
      <c r="E492" s="8" t="s">
        <v>17</v>
      </c>
      <c r="F492" s="9">
        <v>46183.0</v>
      </c>
      <c r="G492" s="8" t="s">
        <v>1742</v>
      </c>
      <c r="H492" s="8" t="s">
        <v>1743</v>
      </c>
      <c r="I492" s="8" t="s">
        <v>1744</v>
      </c>
      <c r="J492" s="8"/>
    </row>
    <row r="493">
      <c r="A493" s="7">
        <v>2.005551E7</v>
      </c>
      <c r="B493" s="8" t="s">
        <v>1723</v>
      </c>
      <c r="C493" s="8" t="s">
        <v>1745</v>
      </c>
      <c r="D493" s="8" t="s">
        <v>16</v>
      </c>
      <c r="E493" s="8" t="s">
        <v>17</v>
      </c>
      <c r="F493" s="9">
        <v>46135.0</v>
      </c>
      <c r="G493" s="8" t="s">
        <v>1746</v>
      </c>
      <c r="H493" s="8" t="s">
        <v>1747</v>
      </c>
      <c r="I493" s="8" t="s">
        <v>1748</v>
      </c>
      <c r="J493" s="8" t="s">
        <v>1749</v>
      </c>
    </row>
    <row r="494">
      <c r="A494" s="7">
        <v>2.0051378E7</v>
      </c>
      <c r="B494" s="8" t="s">
        <v>1723</v>
      </c>
      <c r="C494" s="8" t="s">
        <v>1750</v>
      </c>
      <c r="D494" s="8" t="s">
        <v>16</v>
      </c>
      <c r="E494" s="8" t="s">
        <v>17</v>
      </c>
      <c r="F494" s="9">
        <v>46127.0</v>
      </c>
      <c r="G494" s="8" t="s">
        <v>75</v>
      </c>
      <c r="H494" s="8" t="s">
        <v>76</v>
      </c>
      <c r="I494" s="8" t="s">
        <v>1751</v>
      </c>
      <c r="J494" s="8" t="s">
        <v>1752</v>
      </c>
    </row>
    <row r="495">
      <c r="A495" s="7">
        <v>2.0052787E7</v>
      </c>
      <c r="B495" s="8" t="s">
        <v>1723</v>
      </c>
      <c r="C495" s="8" t="s">
        <v>1753</v>
      </c>
      <c r="D495" s="8" t="s">
        <v>16</v>
      </c>
      <c r="E495" s="8" t="s">
        <v>17</v>
      </c>
      <c r="F495" s="9">
        <v>46126.0</v>
      </c>
      <c r="G495" s="8" t="s">
        <v>1754</v>
      </c>
      <c r="H495" s="8" t="s">
        <v>1755</v>
      </c>
      <c r="I495" s="8" t="s">
        <v>1756</v>
      </c>
      <c r="J495" s="8"/>
    </row>
    <row r="496">
      <c r="A496" s="7">
        <v>2.0040095E7</v>
      </c>
      <c r="B496" s="8" t="s">
        <v>1723</v>
      </c>
      <c r="C496" s="8" t="s">
        <v>1757</v>
      </c>
      <c r="D496" s="8" t="s">
        <v>16</v>
      </c>
      <c r="E496" s="8" t="s">
        <v>17</v>
      </c>
      <c r="F496" s="9">
        <v>46074.0</v>
      </c>
      <c r="G496" s="8" t="s">
        <v>91</v>
      </c>
      <c r="H496" s="8" t="s">
        <v>92</v>
      </c>
      <c r="I496" s="8" t="s">
        <v>1758</v>
      </c>
      <c r="J496" s="8" t="s">
        <v>1759</v>
      </c>
    </row>
    <row r="497">
      <c r="A497" s="7">
        <v>2.0038696E7</v>
      </c>
      <c r="B497" s="8" t="s">
        <v>1723</v>
      </c>
      <c r="C497" s="8" t="s">
        <v>1760</v>
      </c>
      <c r="D497" s="8" t="s">
        <v>16</v>
      </c>
      <c r="E497" s="8" t="s">
        <v>17</v>
      </c>
      <c r="F497" s="9">
        <v>46057.0</v>
      </c>
      <c r="G497" s="8" t="s">
        <v>923</v>
      </c>
      <c r="H497" s="8" t="s">
        <v>71</v>
      </c>
      <c r="I497" s="8" t="s">
        <v>1761</v>
      </c>
      <c r="J497" s="8" t="s">
        <v>1762</v>
      </c>
    </row>
    <row r="498">
      <c r="A498" s="7">
        <v>2.0036322E7</v>
      </c>
      <c r="B498" s="8" t="s">
        <v>1723</v>
      </c>
      <c r="C498" s="8" t="s">
        <v>1763</v>
      </c>
      <c r="D498" s="8" t="s">
        <v>16</v>
      </c>
      <c r="E498" s="8" t="s">
        <v>17</v>
      </c>
      <c r="F498" s="9">
        <v>46057.0</v>
      </c>
      <c r="G498" s="8" t="s">
        <v>1764</v>
      </c>
      <c r="H498" s="8" t="s">
        <v>1765</v>
      </c>
      <c r="I498" s="8" t="s">
        <v>1766</v>
      </c>
      <c r="J498" s="8" t="s">
        <v>1767</v>
      </c>
    </row>
    <row r="499">
      <c r="A499" s="7">
        <v>2.0033497E7</v>
      </c>
      <c r="B499" s="8" t="s">
        <v>1723</v>
      </c>
      <c r="C499" s="8" t="s">
        <v>1768</v>
      </c>
      <c r="D499" s="8" t="s">
        <v>16</v>
      </c>
      <c r="E499" s="8" t="s">
        <v>17</v>
      </c>
      <c r="F499" s="9">
        <v>46039.0</v>
      </c>
      <c r="G499" s="8" t="s">
        <v>59</v>
      </c>
      <c r="H499" s="8" t="s">
        <v>60</v>
      </c>
      <c r="I499" s="8" t="s">
        <v>1769</v>
      </c>
      <c r="J499" s="8" t="s">
        <v>1770</v>
      </c>
    </row>
    <row r="500">
      <c r="A500" s="7">
        <v>2.0033082E7</v>
      </c>
      <c r="B500" s="8" t="s">
        <v>1723</v>
      </c>
      <c r="C500" s="8" t="s">
        <v>1771</v>
      </c>
      <c r="D500" s="8" t="s">
        <v>16</v>
      </c>
      <c r="E500" s="8" t="s">
        <v>17</v>
      </c>
      <c r="F500" s="9">
        <v>46037.0</v>
      </c>
      <c r="G500" s="8" t="s">
        <v>882</v>
      </c>
      <c r="H500" s="8" t="s">
        <v>883</v>
      </c>
      <c r="I500" s="8" t="s">
        <v>1772</v>
      </c>
      <c r="J500" s="8" t="s">
        <v>1773</v>
      </c>
    </row>
    <row r="501">
      <c r="A501" s="7">
        <v>2.0032292E7</v>
      </c>
      <c r="B501" s="8" t="s">
        <v>1723</v>
      </c>
      <c r="C501" s="8" t="s">
        <v>1774</v>
      </c>
      <c r="D501" s="8" t="s">
        <v>16</v>
      </c>
      <c r="E501" s="8" t="s">
        <v>17</v>
      </c>
      <c r="F501" s="9">
        <v>46042.0</v>
      </c>
      <c r="G501" s="8" t="s">
        <v>171</v>
      </c>
      <c r="H501" s="8" t="s">
        <v>172</v>
      </c>
      <c r="I501" s="8" t="s">
        <v>1775</v>
      </c>
      <c r="J501" s="8" t="s">
        <v>1776</v>
      </c>
    </row>
    <row r="502">
      <c r="A502" s="7">
        <v>2.0028011E7</v>
      </c>
      <c r="B502" s="8" t="s">
        <v>1723</v>
      </c>
      <c r="C502" s="8" t="s">
        <v>1777</v>
      </c>
      <c r="D502" s="8" t="s">
        <v>16</v>
      </c>
      <c r="E502" s="8" t="s">
        <v>17</v>
      </c>
      <c r="F502" s="9">
        <v>46039.0</v>
      </c>
      <c r="G502" s="8" t="s">
        <v>75</v>
      </c>
      <c r="H502" s="8" t="s">
        <v>76</v>
      </c>
      <c r="I502" s="8" t="s">
        <v>1778</v>
      </c>
      <c r="J502" s="8" t="s">
        <v>1779</v>
      </c>
    </row>
    <row r="503">
      <c r="A503" s="7">
        <v>2.0032004E7</v>
      </c>
      <c r="B503" s="8" t="s">
        <v>1723</v>
      </c>
      <c r="C503" s="8" t="s">
        <v>1780</v>
      </c>
      <c r="D503" s="8" t="s">
        <v>16</v>
      </c>
      <c r="E503" s="8" t="s">
        <v>17</v>
      </c>
      <c r="F503" s="9">
        <v>46036.0</v>
      </c>
      <c r="G503" s="8" t="s">
        <v>59</v>
      </c>
      <c r="H503" s="8" t="s">
        <v>60</v>
      </c>
      <c r="I503" s="8" t="s">
        <v>1781</v>
      </c>
      <c r="J503" s="8" t="s">
        <v>1782</v>
      </c>
    </row>
    <row r="504">
      <c r="A504" s="7">
        <v>2.0032373E7</v>
      </c>
      <c r="B504" s="8" t="s">
        <v>1723</v>
      </c>
      <c r="C504" s="8" t="s">
        <v>1783</v>
      </c>
      <c r="D504" s="8" t="s">
        <v>16</v>
      </c>
      <c r="E504" s="8" t="s">
        <v>17</v>
      </c>
      <c r="F504" s="9">
        <v>46030.0</v>
      </c>
      <c r="G504" s="8" t="s">
        <v>385</v>
      </c>
      <c r="H504" s="8" t="s">
        <v>386</v>
      </c>
      <c r="I504" s="8" t="s">
        <v>1784</v>
      </c>
      <c r="J504" s="8" t="s">
        <v>1785</v>
      </c>
    </row>
    <row r="505">
      <c r="A505" s="7">
        <v>2.0032087E7</v>
      </c>
      <c r="B505" s="8" t="s">
        <v>1723</v>
      </c>
      <c r="C505" s="8" t="s">
        <v>1786</v>
      </c>
      <c r="D505" s="8" t="s">
        <v>16</v>
      </c>
      <c r="E505" s="8" t="s">
        <v>17</v>
      </c>
      <c r="F505" s="9">
        <v>46042.0</v>
      </c>
      <c r="G505" s="8" t="s">
        <v>1787</v>
      </c>
      <c r="H505" s="8" t="s">
        <v>1788</v>
      </c>
      <c r="I505" s="8" t="s">
        <v>1789</v>
      </c>
      <c r="J505" s="8" t="s">
        <v>1790</v>
      </c>
    </row>
    <row r="506">
      <c r="A506" s="7">
        <v>2.0031993E7</v>
      </c>
      <c r="B506" s="8" t="s">
        <v>1723</v>
      </c>
      <c r="C506" s="8" t="s">
        <v>1791</v>
      </c>
      <c r="D506" s="8" t="s">
        <v>16</v>
      </c>
      <c r="E506" s="8" t="s">
        <v>17</v>
      </c>
      <c r="F506" s="9">
        <v>46046.0</v>
      </c>
      <c r="G506" s="8" t="s">
        <v>49</v>
      </c>
      <c r="H506" s="8" t="s">
        <v>50</v>
      </c>
      <c r="I506" s="8" t="s">
        <v>1792</v>
      </c>
      <c r="J506" s="8" t="s">
        <v>1793</v>
      </c>
    </row>
    <row r="507">
      <c r="A507" s="7">
        <v>2.0031951E7</v>
      </c>
      <c r="B507" s="8" t="s">
        <v>1723</v>
      </c>
      <c r="C507" s="8" t="s">
        <v>1794</v>
      </c>
      <c r="D507" s="8" t="s">
        <v>16</v>
      </c>
      <c r="E507" s="8" t="s">
        <v>17</v>
      </c>
      <c r="F507" s="9">
        <v>46038.0</v>
      </c>
      <c r="G507" s="8" t="s">
        <v>1764</v>
      </c>
      <c r="H507" s="8" t="s">
        <v>1765</v>
      </c>
      <c r="I507" s="8" t="s">
        <v>1767</v>
      </c>
      <c r="J507" s="8" t="s">
        <v>1795</v>
      </c>
    </row>
    <row r="508">
      <c r="A508" s="7">
        <v>2.0031539E7</v>
      </c>
      <c r="B508" s="8" t="s">
        <v>1723</v>
      </c>
      <c r="C508" s="8" t="s">
        <v>1796</v>
      </c>
      <c r="D508" s="8" t="s">
        <v>16</v>
      </c>
      <c r="E508" s="8" t="s">
        <v>17</v>
      </c>
      <c r="F508" s="9">
        <v>46042.0</v>
      </c>
      <c r="G508" s="8" t="s">
        <v>158</v>
      </c>
      <c r="H508" s="8" t="s">
        <v>159</v>
      </c>
      <c r="I508" s="8" t="s">
        <v>1797</v>
      </c>
      <c r="J508" s="8" t="s">
        <v>1798</v>
      </c>
    </row>
    <row r="509">
      <c r="A509" s="7">
        <v>2.0031054E7</v>
      </c>
      <c r="B509" s="8" t="s">
        <v>1723</v>
      </c>
      <c r="C509" s="8" t="s">
        <v>1799</v>
      </c>
      <c r="D509" s="8" t="s">
        <v>16</v>
      </c>
      <c r="E509" s="8" t="s">
        <v>17</v>
      </c>
      <c r="F509" s="9">
        <v>46044.0</v>
      </c>
      <c r="G509" s="8" t="s">
        <v>1800</v>
      </c>
      <c r="H509" s="8" t="s">
        <v>1801</v>
      </c>
      <c r="I509" s="8" t="s">
        <v>1802</v>
      </c>
      <c r="J509" s="8" t="s">
        <v>1803</v>
      </c>
    </row>
    <row r="510">
      <c r="A510" s="7">
        <v>2.0030733E7</v>
      </c>
      <c r="B510" s="8" t="s">
        <v>1723</v>
      </c>
      <c r="C510" s="8" t="s">
        <v>1804</v>
      </c>
      <c r="D510" s="8" t="s">
        <v>16</v>
      </c>
      <c r="E510" s="8" t="s">
        <v>17</v>
      </c>
      <c r="F510" s="9">
        <v>46030.0</v>
      </c>
      <c r="G510" s="8" t="s">
        <v>247</v>
      </c>
      <c r="H510" s="8" t="s">
        <v>248</v>
      </c>
      <c r="I510" s="8" t="s">
        <v>1805</v>
      </c>
      <c r="J510" s="8" t="s">
        <v>1806</v>
      </c>
    </row>
    <row r="511">
      <c r="A511" s="7">
        <v>2.0027034E7</v>
      </c>
      <c r="B511" s="8" t="s">
        <v>1723</v>
      </c>
      <c r="C511" s="8" t="s">
        <v>1807</v>
      </c>
      <c r="D511" s="8" t="s">
        <v>16</v>
      </c>
      <c r="E511" s="8" t="s">
        <v>48</v>
      </c>
      <c r="F511" s="9">
        <v>46026.0</v>
      </c>
      <c r="G511" s="8" t="s">
        <v>54</v>
      </c>
      <c r="H511" s="8" t="s">
        <v>55</v>
      </c>
      <c r="I511" s="8" t="s">
        <v>1808</v>
      </c>
      <c r="J511" s="8" t="s">
        <v>1809</v>
      </c>
    </row>
    <row r="512">
      <c r="A512" s="7">
        <v>2.0028631E7</v>
      </c>
      <c r="B512" s="8" t="s">
        <v>1723</v>
      </c>
      <c r="C512" s="8" t="s">
        <v>1810</v>
      </c>
      <c r="D512" s="8" t="s">
        <v>16</v>
      </c>
      <c r="E512" s="8" t="s">
        <v>48</v>
      </c>
      <c r="F512" s="9">
        <v>46035.0</v>
      </c>
      <c r="G512" s="8" t="s">
        <v>171</v>
      </c>
      <c r="H512" s="8" t="s">
        <v>172</v>
      </c>
      <c r="I512" s="8" t="s">
        <v>1811</v>
      </c>
      <c r="J512" s="8"/>
    </row>
    <row r="513">
      <c r="A513" s="7">
        <v>2.0028808E7</v>
      </c>
      <c r="B513" s="8" t="s">
        <v>1723</v>
      </c>
      <c r="C513" s="8" t="s">
        <v>1812</v>
      </c>
      <c r="D513" s="8" t="s">
        <v>16</v>
      </c>
      <c r="E513" s="8" t="s">
        <v>17</v>
      </c>
      <c r="F513" s="9">
        <v>46035.0</v>
      </c>
      <c r="G513" s="8" t="s">
        <v>1813</v>
      </c>
      <c r="H513" s="8" t="s">
        <v>1814</v>
      </c>
      <c r="I513" s="8" t="s">
        <v>1815</v>
      </c>
      <c r="J513" s="8" t="s">
        <v>1816</v>
      </c>
    </row>
    <row r="514">
      <c r="A514" s="7">
        <v>2.0018324E7</v>
      </c>
      <c r="B514" s="8" t="s">
        <v>1723</v>
      </c>
      <c r="C514" s="8" t="s">
        <v>1817</v>
      </c>
      <c r="D514" s="8" t="s">
        <v>16</v>
      </c>
      <c r="E514" s="8" t="s">
        <v>17</v>
      </c>
      <c r="F514" s="9">
        <v>46046.0</v>
      </c>
      <c r="G514" s="8" t="s">
        <v>1818</v>
      </c>
      <c r="H514" s="8" t="s">
        <v>1819</v>
      </c>
      <c r="I514" s="8" t="s">
        <v>1820</v>
      </c>
      <c r="J514" s="8" t="s">
        <v>1821</v>
      </c>
    </row>
    <row r="515">
      <c r="A515" s="7">
        <v>2.0018324E7</v>
      </c>
      <c r="B515" s="8" t="s">
        <v>1723</v>
      </c>
      <c r="C515" s="8" t="s">
        <v>1817</v>
      </c>
      <c r="D515" s="8" t="s">
        <v>16</v>
      </c>
      <c r="E515" s="8" t="s">
        <v>17</v>
      </c>
      <c r="F515" s="9">
        <v>46046.0</v>
      </c>
      <c r="G515" s="8" t="s">
        <v>1818</v>
      </c>
      <c r="H515" s="8" t="s">
        <v>1819</v>
      </c>
      <c r="I515" s="8" t="s">
        <v>1822</v>
      </c>
      <c r="J515" s="8" t="s">
        <v>1821</v>
      </c>
    </row>
    <row r="516">
      <c r="A516" s="7">
        <v>2.0018324E7</v>
      </c>
      <c r="B516" s="8" t="s">
        <v>1723</v>
      </c>
      <c r="C516" s="8" t="s">
        <v>1817</v>
      </c>
      <c r="D516" s="8" t="s">
        <v>16</v>
      </c>
      <c r="E516" s="8" t="s">
        <v>17</v>
      </c>
      <c r="F516" s="9">
        <v>46046.0</v>
      </c>
      <c r="G516" s="8" t="s">
        <v>1823</v>
      </c>
      <c r="H516" s="8" t="s">
        <v>1824</v>
      </c>
      <c r="I516" s="8" t="s">
        <v>1825</v>
      </c>
      <c r="J516" s="8" t="s">
        <v>1826</v>
      </c>
    </row>
    <row r="517">
      <c r="A517" s="7">
        <v>2.0018324E7</v>
      </c>
      <c r="B517" s="8" t="s">
        <v>1723</v>
      </c>
      <c r="C517" s="8" t="s">
        <v>1817</v>
      </c>
      <c r="D517" s="8" t="s">
        <v>16</v>
      </c>
      <c r="E517" s="8" t="s">
        <v>17</v>
      </c>
      <c r="F517" s="9">
        <v>46046.0</v>
      </c>
      <c r="G517" s="8" t="s">
        <v>1818</v>
      </c>
      <c r="H517" s="8" t="s">
        <v>1819</v>
      </c>
      <c r="I517" s="8" t="s">
        <v>1827</v>
      </c>
      <c r="J517" s="8" t="s">
        <v>1821</v>
      </c>
    </row>
    <row r="518">
      <c r="A518" s="7">
        <v>2.0065145E7</v>
      </c>
      <c r="B518" s="8" t="s">
        <v>1828</v>
      </c>
      <c r="C518" s="8" t="s">
        <v>1829</v>
      </c>
      <c r="D518" s="8" t="s">
        <v>16</v>
      </c>
      <c r="E518" s="8" t="s">
        <v>17</v>
      </c>
      <c r="F518" s="9">
        <v>46177.0</v>
      </c>
      <c r="G518" s="8" t="s">
        <v>1830</v>
      </c>
      <c r="H518" s="8" t="s">
        <v>1831</v>
      </c>
      <c r="I518" s="8" t="s">
        <v>1832</v>
      </c>
      <c r="J518" s="8" t="s">
        <v>1833</v>
      </c>
    </row>
    <row r="519">
      <c r="A519" s="7">
        <v>2.006499E7</v>
      </c>
      <c r="B519" s="8" t="s">
        <v>1828</v>
      </c>
      <c r="C519" s="8" t="s">
        <v>1834</v>
      </c>
      <c r="D519" s="8" t="s">
        <v>16</v>
      </c>
      <c r="E519" s="8" t="s">
        <v>17</v>
      </c>
      <c r="F519" s="9">
        <v>46165.0</v>
      </c>
      <c r="G519" s="8" t="s">
        <v>91</v>
      </c>
      <c r="H519" s="8" t="s">
        <v>92</v>
      </c>
      <c r="I519" s="8" t="s">
        <v>1835</v>
      </c>
      <c r="J519" s="8" t="s">
        <v>1836</v>
      </c>
    </row>
    <row r="520">
      <c r="A520" s="7">
        <v>2.0061446E7</v>
      </c>
      <c r="B520" s="8" t="s">
        <v>1828</v>
      </c>
      <c r="C520" s="8" t="s">
        <v>1837</v>
      </c>
      <c r="D520" s="8" t="s">
        <v>16</v>
      </c>
      <c r="E520" s="8" t="s">
        <v>17</v>
      </c>
      <c r="F520" s="9">
        <v>46178.0</v>
      </c>
      <c r="G520" s="8" t="s">
        <v>454</v>
      </c>
      <c r="H520" s="8" t="s">
        <v>455</v>
      </c>
      <c r="I520" s="8" t="s">
        <v>1838</v>
      </c>
      <c r="J520" s="8" t="s">
        <v>1839</v>
      </c>
    </row>
    <row r="521">
      <c r="A521" s="7">
        <v>2.005858E7</v>
      </c>
      <c r="B521" s="8" t="s">
        <v>1828</v>
      </c>
      <c r="C521" s="8" t="s">
        <v>1840</v>
      </c>
      <c r="D521" s="8" t="s">
        <v>16</v>
      </c>
      <c r="E521" s="8" t="s">
        <v>17</v>
      </c>
      <c r="F521" s="9">
        <v>46154.0</v>
      </c>
      <c r="G521" s="8" t="s">
        <v>1841</v>
      </c>
      <c r="H521" s="8" t="s">
        <v>1842</v>
      </c>
      <c r="I521" s="8" t="s">
        <v>1843</v>
      </c>
      <c r="J521" s="8" t="s">
        <v>1844</v>
      </c>
    </row>
    <row r="522">
      <c r="A522" s="7">
        <v>2.005123E7</v>
      </c>
      <c r="B522" s="8" t="s">
        <v>1828</v>
      </c>
      <c r="C522" s="8" t="s">
        <v>1845</v>
      </c>
      <c r="D522" s="8" t="s">
        <v>16</v>
      </c>
      <c r="E522" s="8" t="s">
        <v>17</v>
      </c>
      <c r="F522" s="9">
        <v>46134.0</v>
      </c>
      <c r="G522" s="8" t="s">
        <v>234</v>
      </c>
      <c r="H522" s="8" t="s">
        <v>235</v>
      </c>
      <c r="I522" s="8" t="s">
        <v>1846</v>
      </c>
      <c r="J522" s="8" t="s">
        <v>1847</v>
      </c>
    </row>
    <row r="523">
      <c r="A523" s="7">
        <v>2.0051007E7</v>
      </c>
      <c r="B523" s="8" t="s">
        <v>1828</v>
      </c>
      <c r="C523" s="8" t="s">
        <v>1848</v>
      </c>
      <c r="D523" s="8" t="s">
        <v>16</v>
      </c>
      <c r="E523" s="8" t="s">
        <v>17</v>
      </c>
      <c r="F523" s="9">
        <v>46103.0</v>
      </c>
      <c r="G523" s="8" t="s">
        <v>247</v>
      </c>
      <c r="H523" s="8" t="s">
        <v>248</v>
      </c>
      <c r="I523" s="8" t="s">
        <v>1849</v>
      </c>
      <c r="J523" s="8" t="s">
        <v>1850</v>
      </c>
    </row>
    <row r="524">
      <c r="A524" s="7">
        <v>2.0050333E7</v>
      </c>
      <c r="B524" s="8" t="s">
        <v>1828</v>
      </c>
      <c r="C524" s="8" t="s">
        <v>1851</v>
      </c>
      <c r="D524" s="8" t="s">
        <v>16</v>
      </c>
      <c r="E524" s="8" t="s">
        <v>17</v>
      </c>
      <c r="F524" s="9">
        <v>46112.0</v>
      </c>
      <c r="G524" s="8" t="s">
        <v>630</v>
      </c>
      <c r="H524" s="8" t="s">
        <v>631</v>
      </c>
      <c r="I524" s="8" t="s">
        <v>1852</v>
      </c>
      <c r="J524" s="8"/>
    </row>
    <row r="525">
      <c r="A525" s="7">
        <v>2.0048426E7</v>
      </c>
      <c r="B525" s="8" t="s">
        <v>1828</v>
      </c>
      <c r="C525" s="8" t="s">
        <v>1853</v>
      </c>
      <c r="D525" s="8" t="s">
        <v>16</v>
      </c>
      <c r="E525" s="8" t="s">
        <v>17</v>
      </c>
      <c r="F525" s="9">
        <v>46102.0</v>
      </c>
      <c r="G525" s="8" t="s">
        <v>1854</v>
      </c>
      <c r="H525" s="8" t="s">
        <v>44</v>
      </c>
      <c r="I525" s="8"/>
      <c r="J525" s="8" t="s">
        <v>1855</v>
      </c>
    </row>
    <row r="526">
      <c r="A526" s="7">
        <v>2.0048426E7</v>
      </c>
      <c r="B526" s="8" t="s">
        <v>1828</v>
      </c>
      <c r="C526" s="8" t="s">
        <v>1853</v>
      </c>
      <c r="D526" s="8" t="s">
        <v>16</v>
      </c>
      <c r="E526" s="8" t="s">
        <v>17</v>
      </c>
      <c r="F526" s="9">
        <v>46102.0</v>
      </c>
      <c r="G526" s="8" t="s">
        <v>1854</v>
      </c>
      <c r="H526" s="8" t="s">
        <v>44</v>
      </c>
      <c r="I526" s="8" t="s">
        <v>1856</v>
      </c>
      <c r="J526" s="8" t="s">
        <v>1857</v>
      </c>
    </row>
    <row r="527">
      <c r="A527" s="7">
        <v>2.004328E7</v>
      </c>
      <c r="B527" s="8" t="s">
        <v>1828</v>
      </c>
      <c r="C527" s="8" t="s">
        <v>1858</v>
      </c>
      <c r="D527" s="8" t="s">
        <v>16</v>
      </c>
      <c r="E527" s="8" t="s">
        <v>17</v>
      </c>
      <c r="F527" s="9">
        <v>46080.0</v>
      </c>
      <c r="G527" s="8" t="s">
        <v>1859</v>
      </c>
      <c r="H527" s="8" t="s">
        <v>71</v>
      </c>
      <c r="I527" s="8" t="s">
        <v>1860</v>
      </c>
      <c r="J527" s="8" t="s">
        <v>1861</v>
      </c>
    </row>
    <row r="528">
      <c r="A528" s="7">
        <v>2.00409E7</v>
      </c>
      <c r="B528" s="8" t="s">
        <v>1828</v>
      </c>
      <c r="C528" s="8" t="s">
        <v>1862</v>
      </c>
      <c r="D528" s="8" t="s">
        <v>16</v>
      </c>
      <c r="E528" s="8" t="s">
        <v>17</v>
      </c>
      <c r="F528" s="9">
        <v>46075.0</v>
      </c>
      <c r="G528" s="8" t="s">
        <v>1863</v>
      </c>
      <c r="H528" s="8" t="s">
        <v>1864</v>
      </c>
      <c r="I528" s="8" t="s">
        <v>1865</v>
      </c>
      <c r="J528" s="8" t="s">
        <v>1866</v>
      </c>
    </row>
    <row r="529">
      <c r="A529" s="7">
        <v>2.0037159E7</v>
      </c>
      <c r="B529" s="8" t="s">
        <v>1828</v>
      </c>
      <c r="C529" s="8" t="s">
        <v>1867</v>
      </c>
      <c r="D529" s="8" t="s">
        <v>16</v>
      </c>
      <c r="E529" s="8" t="s">
        <v>17</v>
      </c>
      <c r="F529" s="9">
        <v>46062.0</v>
      </c>
      <c r="G529" s="8" t="s">
        <v>114</v>
      </c>
      <c r="H529" s="8" t="s">
        <v>115</v>
      </c>
      <c r="I529" s="8" t="s">
        <v>1868</v>
      </c>
      <c r="J529" s="8" t="s">
        <v>1869</v>
      </c>
    </row>
    <row r="530">
      <c r="A530" s="7">
        <v>2.0033728E7</v>
      </c>
      <c r="B530" s="8" t="s">
        <v>1828</v>
      </c>
      <c r="C530" s="8" t="s">
        <v>1870</v>
      </c>
      <c r="D530" s="8" t="s">
        <v>16</v>
      </c>
      <c r="E530" s="8" t="s">
        <v>17</v>
      </c>
      <c r="F530" s="9">
        <v>46033.0</v>
      </c>
      <c r="G530" s="8" t="s">
        <v>59</v>
      </c>
      <c r="H530" s="8" t="s">
        <v>60</v>
      </c>
      <c r="I530" s="8" t="s">
        <v>1871</v>
      </c>
      <c r="J530" s="8" t="s">
        <v>1872</v>
      </c>
    </row>
    <row r="531">
      <c r="A531" s="7">
        <v>2.0033191E7</v>
      </c>
      <c r="B531" s="8" t="s">
        <v>1828</v>
      </c>
      <c r="C531" s="8" t="s">
        <v>1873</v>
      </c>
      <c r="D531" s="8" t="s">
        <v>16</v>
      </c>
      <c r="E531" s="8" t="s">
        <v>17</v>
      </c>
      <c r="F531" s="9">
        <v>46032.0</v>
      </c>
      <c r="G531" s="8" t="s">
        <v>109</v>
      </c>
      <c r="H531" s="8" t="s">
        <v>110</v>
      </c>
      <c r="I531" s="8" t="s">
        <v>1874</v>
      </c>
      <c r="J531" s="8" t="s">
        <v>1875</v>
      </c>
    </row>
    <row r="532">
      <c r="A532" s="7">
        <v>2.0033829E7</v>
      </c>
      <c r="B532" s="8" t="s">
        <v>1828</v>
      </c>
      <c r="C532" s="8" t="s">
        <v>1876</v>
      </c>
      <c r="D532" s="8" t="s">
        <v>16</v>
      </c>
      <c r="E532" s="8" t="s">
        <v>17</v>
      </c>
      <c r="F532" s="9">
        <v>46032.0</v>
      </c>
      <c r="G532" s="8" t="s">
        <v>195</v>
      </c>
      <c r="H532" s="8" t="s">
        <v>196</v>
      </c>
      <c r="I532" s="8" t="s">
        <v>1877</v>
      </c>
      <c r="J532" s="8" t="s">
        <v>1878</v>
      </c>
    </row>
    <row r="533">
      <c r="A533" s="7">
        <v>2.0033311E7</v>
      </c>
      <c r="B533" s="8" t="s">
        <v>1828</v>
      </c>
      <c r="C533" s="8" t="s">
        <v>1879</v>
      </c>
      <c r="D533" s="8" t="s">
        <v>16</v>
      </c>
      <c r="E533" s="8" t="s">
        <v>17</v>
      </c>
      <c r="F533" s="9">
        <v>46039.0</v>
      </c>
      <c r="G533" s="8" t="s">
        <v>1880</v>
      </c>
      <c r="H533" s="8" t="s">
        <v>55</v>
      </c>
      <c r="I533" s="8" t="s">
        <v>1881</v>
      </c>
      <c r="J533" s="8" t="s">
        <v>1882</v>
      </c>
    </row>
    <row r="534">
      <c r="A534" s="7">
        <v>2.0013134E7</v>
      </c>
      <c r="B534" s="8" t="s">
        <v>1828</v>
      </c>
      <c r="C534" s="8" t="s">
        <v>1883</v>
      </c>
      <c r="D534" s="8" t="s">
        <v>16</v>
      </c>
      <c r="E534" s="8" t="s">
        <v>17</v>
      </c>
      <c r="F534" s="9">
        <v>46039.0</v>
      </c>
      <c r="G534" s="8" t="s">
        <v>195</v>
      </c>
      <c r="H534" s="8" t="s">
        <v>196</v>
      </c>
      <c r="I534" s="8" t="s">
        <v>1884</v>
      </c>
      <c r="J534" s="8" t="s">
        <v>1752</v>
      </c>
    </row>
    <row r="535">
      <c r="A535" s="7">
        <v>2.0033001E7</v>
      </c>
      <c r="B535" s="8" t="s">
        <v>1828</v>
      </c>
      <c r="C535" s="8" t="s">
        <v>1885</v>
      </c>
      <c r="D535" s="8" t="s">
        <v>16</v>
      </c>
      <c r="E535" s="8" t="s">
        <v>48</v>
      </c>
      <c r="F535" s="9">
        <v>46040.0</v>
      </c>
      <c r="G535" s="8" t="s">
        <v>91</v>
      </c>
      <c r="H535" s="8" t="s">
        <v>92</v>
      </c>
      <c r="I535" s="8" t="s">
        <v>1886</v>
      </c>
      <c r="J535" s="8" t="s">
        <v>1887</v>
      </c>
    </row>
    <row r="536">
      <c r="A536" s="7">
        <v>2.0033001E7</v>
      </c>
      <c r="B536" s="8" t="s">
        <v>1828</v>
      </c>
      <c r="C536" s="8" t="s">
        <v>1885</v>
      </c>
      <c r="D536" s="8" t="s">
        <v>16</v>
      </c>
      <c r="E536" s="8" t="s">
        <v>48</v>
      </c>
      <c r="F536" s="9">
        <v>46040.0</v>
      </c>
      <c r="G536" s="8" t="s">
        <v>1888</v>
      </c>
      <c r="H536" s="8" t="s">
        <v>1889</v>
      </c>
      <c r="I536" s="8" t="s">
        <v>1890</v>
      </c>
      <c r="J536" s="8" t="s">
        <v>1891</v>
      </c>
    </row>
    <row r="537">
      <c r="A537" s="7">
        <v>2.0033001E7</v>
      </c>
      <c r="B537" s="8" t="s">
        <v>1828</v>
      </c>
      <c r="C537" s="8" t="s">
        <v>1885</v>
      </c>
      <c r="D537" s="8" t="s">
        <v>16</v>
      </c>
      <c r="E537" s="8" t="s">
        <v>48</v>
      </c>
      <c r="F537" s="9">
        <v>46040.0</v>
      </c>
      <c r="G537" s="8" t="s">
        <v>91</v>
      </c>
      <c r="H537" s="8" t="s">
        <v>92</v>
      </c>
      <c r="I537" s="8" t="s">
        <v>1892</v>
      </c>
      <c r="J537" s="8"/>
    </row>
    <row r="538">
      <c r="A538" s="7">
        <v>2.0031938E7</v>
      </c>
      <c r="B538" s="8" t="s">
        <v>1828</v>
      </c>
      <c r="C538" s="8" t="s">
        <v>1893</v>
      </c>
      <c r="D538" s="8" t="s">
        <v>16</v>
      </c>
      <c r="E538" s="8" t="s">
        <v>17</v>
      </c>
      <c r="F538" s="9">
        <v>46037.0</v>
      </c>
      <c r="G538" s="8" t="s">
        <v>220</v>
      </c>
      <c r="H538" s="8" t="s">
        <v>221</v>
      </c>
      <c r="I538" s="8" t="s">
        <v>1894</v>
      </c>
      <c r="J538" s="8" t="s">
        <v>1895</v>
      </c>
    </row>
    <row r="539">
      <c r="A539" s="7">
        <v>2.0031938E7</v>
      </c>
      <c r="B539" s="8" t="s">
        <v>1828</v>
      </c>
      <c r="C539" s="8" t="s">
        <v>1893</v>
      </c>
      <c r="D539" s="8" t="s">
        <v>16</v>
      </c>
      <c r="E539" s="8" t="s">
        <v>17</v>
      </c>
      <c r="F539" s="9">
        <v>46037.0</v>
      </c>
      <c r="G539" s="8" t="s">
        <v>273</v>
      </c>
      <c r="H539" s="8" t="s">
        <v>274</v>
      </c>
      <c r="I539" s="8" t="s">
        <v>1896</v>
      </c>
      <c r="J539" s="8" t="s">
        <v>1897</v>
      </c>
    </row>
    <row r="540">
      <c r="A540" s="7">
        <v>2.0031441E7</v>
      </c>
      <c r="B540" s="8" t="s">
        <v>1828</v>
      </c>
      <c r="C540" s="8" t="s">
        <v>1898</v>
      </c>
      <c r="D540" s="8" t="s">
        <v>16</v>
      </c>
      <c r="E540" s="8" t="s">
        <v>17</v>
      </c>
      <c r="F540" s="9">
        <v>46037.0</v>
      </c>
      <c r="G540" s="8" t="s">
        <v>1045</v>
      </c>
      <c r="H540" s="8" t="s">
        <v>909</v>
      </c>
      <c r="I540" s="8" t="s">
        <v>1899</v>
      </c>
      <c r="J540" s="8" t="s">
        <v>1900</v>
      </c>
    </row>
    <row r="541">
      <c r="A541" s="7">
        <v>2.0031768E7</v>
      </c>
      <c r="B541" s="8" t="s">
        <v>1828</v>
      </c>
      <c r="C541" s="8" t="s">
        <v>1901</v>
      </c>
      <c r="D541" s="8" t="s">
        <v>16</v>
      </c>
      <c r="E541" s="8" t="s">
        <v>17</v>
      </c>
      <c r="F541" s="9">
        <v>46035.0</v>
      </c>
      <c r="G541" s="8" t="s">
        <v>234</v>
      </c>
      <c r="H541" s="8" t="s">
        <v>235</v>
      </c>
      <c r="I541" s="8" t="s">
        <v>1902</v>
      </c>
      <c r="J541" s="8" t="s">
        <v>1903</v>
      </c>
    </row>
    <row r="542">
      <c r="A542" s="7">
        <v>2.0032889E7</v>
      </c>
      <c r="B542" s="8" t="s">
        <v>1828</v>
      </c>
      <c r="C542" s="8" t="s">
        <v>1904</v>
      </c>
      <c r="D542" s="8" t="s">
        <v>16</v>
      </c>
      <c r="E542" s="8" t="s">
        <v>17</v>
      </c>
      <c r="F542" s="9">
        <v>46031.0</v>
      </c>
      <c r="G542" s="8" t="s">
        <v>759</v>
      </c>
      <c r="H542" s="8" t="s">
        <v>760</v>
      </c>
      <c r="I542" s="8" t="s">
        <v>1905</v>
      </c>
      <c r="J542" s="8" t="s">
        <v>1906</v>
      </c>
    </row>
    <row r="543">
      <c r="A543" s="7">
        <v>2.0032802E7</v>
      </c>
      <c r="B543" s="8" t="s">
        <v>1828</v>
      </c>
      <c r="C543" s="8" t="s">
        <v>1907</v>
      </c>
      <c r="D543" s="8" t="s">
        <v>16</v>
      </c>
      <c r="E543" s="8" t="s">
        <v>17</v>
      </c>
      <c r="F543" s="9">
        <v>46043.0</v>
      </c>
      <c r="G543" s="8" t="s">
        <v>29</v>
      </c>
      <c r="H543" s="8" t="s">
        <v>30</v>
      </c>
      <c r="I543" s="8" t="s">
        <v>1908</v>
      </c>
      <c r="J543" s="8" t="s">
        <v>1909</v>
      </c>
    </row>
    <row r="544">
      <c r="A544" s="7">
        <v>2.0033073E7</v>
      </c>
      <c r="B544" s="8" t="s">
        <v>1828</v>
      </c>
      <c r="C544" s="8" t="s">
        <v>1910</v>
      </c>
      <c r="D544" s="8" t="s">
        <v>16</v>
      </c>
      <c r="E544" s="8" t="s">
        <v>17</v>
      </c>
      <c r="F544" s="9">
        <v>46044.0</v>
      </c>
      <c r="G544" s="8" t="s">
        <v>1911</v>
      </c>
      <c r="H544" s="8" t="s">
        <v>1912</v>
      </c>
      <c r="I544" s="8" t="s">
        <v>1913</v>
      </c>
      <c r="J544" s="8" t="s">
        <v>1914</v>
      </c>
    </row>
    <row r="545">
      <c r="A545" s="7">
        <v>2.0032902E7</v>
      </c>
      <c r="B545" s="8" t="s">
        <v>1828</v>
      </c>
      <c r="C545" s="8" t="s">
        <v>1915</v>
      </c>
      <c r="D545" s="8" t="s">
        <v>16</v>
      </c>
      <c r="E545" s="8" t="s">
        <v>17</v>
      </c>
      <c r="F545" s="9">
        <v>46035.0</v>
      </c>
      <c r="G545" s="8" t="s">
        <v>873</v>
      </c>
      <c r="H545" s="8" t="s">
        <v>874</v>
      </c>
      <c r="I545" s="8" t="s">
        <v>1916</v>
      </c>
      <c r="J545" s="8" t="s">
        <v>1917</v>
      </c>
    </row>
    <row r="546">
      <c r="A546" s="7">
        <v>2.0032748E7</v>
      </c>
      <c r="B546" s="8" t="s">
        <v>1828</v>
      </c>
      <c r="C546" s="8" t="s">
        <v>1918</v>
      </c>
      <c r="D546" s="8" t="s">
        <v>16</v>
      </c>
      <c r="E546" s="8" t="s">
        <v>17</v>
      </c>
      <c r="F546" s="9">
        <v>46043.0</v>
      </c>
      <c r="G546" s="8" t="s">
        <v>1023</v>
      </c>
      <c r="H546" s="8" t="s">
        <v>1024</v>
      </c>
      <c r="I546" s="8" t="s">
        <v>1919</v>
      </c>
      <c r="J546" s="8" t="s">
        <v>1920</v>
      </c>
    </row>
    <row r="547">
      <c r="A547" s="7">
        <v>2.0032804E7</v>
      </c>
      <c r="B547" s="8" t="s">
        <v>1828</v>
      </c>
      <c r="C547" s="8" t="s">
        <v>1921</v>
      </c>
      <c r="D547" s="8" t="s">
        <v>16</v>
      </c>
      <c r="E547" s="8" t="s">
        <v>17</v>
      </c>
      <c r="F547" s="9">
        <v>46042.0</v>
      </c>
      <c r="G547" s="8" t="s">
        <v>158</v>
      </c>
      <c r="H547" s="8" t="s">
        <v>159</v>
      </c>
      <c r="I547" s="8" t="s">
        <v>1922</v>
      </c>
      <c r="J547" s="8" t="s">
        <v>1923</v>
      </c>
    </row>
    <row r="548">
      <c r="A548" s="7">
        <v>2.0031956E7</v>
      </c>
      <c r="B548" s="8" t="s">
        <v>1828</v>
      </c>
      <c r="C548" s="8" t="s">
        <v>1924</v>
      </c>
      <c r="D548" s="8" t="s">
        <v>16</v>
      </c>
      <c r="E548" s="8" t="s">
        <v>17</v>
      </c>
      <c r="F548" s="9">
        <v>46035.0</v>
      </c>
      <c r="G548" s="8" t="s">
        <v>59</v>
      </c>
      <c r="H548" s="8" t="s">
        <v>60</v>
      </c>
      <c r="I548" s="8" t="s">
        <v>1925</v>
      </c>
      <c r="J548" s="8" t="s">
        <v>1926</v>
      </c>
    </row>
    <row r="549">
      <c r="A549" s="7">
        <v>2.0030503E7</v>
      </c>
      <c r="B549" s="8" t="s">
        <v>1828</v>
      </c>
      <c r="C549" s="8" t="s">
        <v>1927</v>
      </c>
      <c r="D549" s="8" t="s">
        <v>16</v>
      </c>
      <c r="E549" s="8" t="s">
        <v>17</v>
      </c>
      <c r="F549" s="9">
        <v>46031.0</v>
      </c>
      <c r="G549" s="8" t="s">
        <v>339</v>
      </c>
      <c r="H549" s="8" t="s">
        <v>340</v>
      </c>
      <c r="I549" s="8" t="s">
        <v>1928</v>
      </c>
      <c r="J549" s="8" t="s">
        <v>1929</v>
      </c>
    </row>
    <row r="550">
      <c r="A550" s="7">
        <v>2.0032714E7</v>
      </c>
      <c r="B550" s="8" t="s">
        <v>1828</v>
      </c>
      <c r="C550" s="8" t="s">
        <v>1930</v>
      </c>
      <c r="D550" s="8" t="s">
        <v>16</v>
      </c>
      <c r="E550" s="8" t="s">
        <v>17</v>
      </c>
      <c r="F550" s="9">
        <v>46038.0</v>
      </c>
      <c r="G550" s="8" t="s">
        <v>34</v>
      </c>
      <c r="H550" s="8" t="s">
        <v>35</v>
      </c>
      <c r="I550" s="8" t="s">
        <v>1931</v>
      </c>
      <c r="J550" s="8" t="s">
        <v>1932</v>
      </c>
    </row>
    <row r="551">
      <c r="A551" s="7">
        <v>2.0032714E7</v>
      </c>
      <c r="B551" s="8" t="s">
        <v>1828</v>
      </c>
      <c r="C551" s="8" t="s">
        <v>1930</v>
      </c>
      <c r="D551" s="8" t="s">
        <v>16</v>
      </c>
      <c r="E551" s="8" t="s">
        <v>17</v>
      </c>
      <c r="F551" s="9">
        <v>46038.0</v>
      </c>
      <c r="G551" s="8" t="s">
        <v>34</v>
      </c>
      <c r="H551" s="8" t="s">
        <v>35</v>
      </c>
      <c r="I551" s="8" t="s">
        <v>1933</v>
      </c>
      <c r="J551" s="8"/>
    </row>
    <row r="552">
      <c r="A552" s="7">
        <v>2.0032714E7</v>
      </c>
      <c r="B552" s="8" t="s">
        <v>1828</v>
      </c>
      <c r="C552" s="8" t="s">
        <v>1930</v>
      </c>
      <c r="D552" s="8" t="s">
        <v>16</v>
      </c>
      <c r="E552" s="8" t="s">
        <v>17</v>
      </c>
      <c r="F552" s="9">
        <v>46038.0</v>
      </c>
      <c r="G552" s="8" t="s">
        <v>34</v>
      </c>
      <c r="H552" s="8" t="s">
        <v>35</v>
      </c>
      <c r="I552" s="8" t="s">
        <v>1934</v>
      </c>
      <c r="J552" s="8" t="s">
        <v>1932</v>
      </c>
    </row>
    <row r="553">
      <c r="A553" s="7">
        <v>2.0031705E7</v>
      </c>
      <c r="B553" s="8" t="s">
        <v>1828</v>
      </c>
      <c r="C553" s="8" t="s">
        <v>1935</v>
      </c>
      <c r="D553" s="8" t="s">
        <v>16</v>
      </c>
      <c r="E553" s="8" t="s">
        <v>17</v>
      </c>
      <c r="F553" s="9">
        <v>46043.0</v>
      </c>
      <c r="G553" s="8" t="s">
        <v>1936</v>
      </c>
      <c r="H553" s="8" t="s">
        <v>1937</v>
      </c>
      <c r="I553" s="8" t="s">
        <v>1938</v>
      </c>
      <c r="J553" s="8" t="s">
        <v>1939</v>
      </c>
    </row>
    <row r="554">
      <c r="A554" s="7">
        <v>2.00317E7</v>
      </c>
      <c r="B554" s="8" t="s">
        <v>1828</v>
      </c>
      <c r="C554" s="8" t="s">
        <v>1940</v>
      </c>
      <c r="D554" s="8" t="s">
        <v>16</v>
      </c>
      <c r="E554" s="8" t="s">
        <v>17</v>
      </c>
      <c r="F554" s="9">
        <v>46049.0</v>
      </c>
      <c r="G554" s="8" t="s">
        <v>1941</v>
      </c>
      <c r="H554" s="8" t="s">
        <v>1942</v>
      </c>
      <c r="I554" s="8" t="s">
        <v>1943</v>
      </c>
      <c r="J554" s="8" t="s">
        <v>1944</v>
      </c>
    </row>
    <row r="555">
      <c r="A555" s="7">
        <v>2.0031943E7</v>
      </c>
      <c r="B555" s="8" t="s">
        <v>1828</v>
      </c>
      <c r="C555" s="8" t="s">
        <v>1945</v>
      </c>
      <c r="D555" s="8" t="s">
        <v>16</v>
      </c>
      <c r="E555" s="8" t="s">
        <v>17</v>
      </c>
      <c r="F555" s="9">
        <v>46031.0</v>
      </c>
      <c r="G555" s="8" t="s">
        <v>59</v>
      </c>
      <c r="H555" s="8" t="s">
        <v>60</v>
      </c>
      <c r="I555" s="8" t="s">
        <v>1946</v>
      </c>
      <c r="J555" s="8" t="s">
        <v>1947</v>
      </c>
    </row>
    <row r="556">
      <c r="A556" s="7">
        <v>2.0032267E7</v>
      </c>
      <c r="B556" s="8" t="s">
        <v>1828</v>
      </c>
      <c r="C556" s="8" t="s">
        <v>1948</v>
      </c>
      <c r="D556" s="8" t="s">
        <v>16</v>
      </c>
      <c r="E556" s="8" t="s">
        <v>17</v>
      </c>
      <c r="F556" s="9">
        <v>46029.0</v>
      </c>
      <c r="G556" s="8" t="s">
        <v>1949</v>
      </c>
      <c r="H556" s="8" t="s">
        <v>1950</v>
      </c>
      <c r="I556" s="8" t="s">
        <v>1951</v>
      </c>
      <c r="J556" s="8" t="s">
        <v>1952</v>
      </c>
    </row>
    <row r="557">
      <c r="A557" s="7">
        <v>2.003229E7</v>
      </c>
      <c r="B557" s="8" t="s">
        <v>1828</v>
      </c>
      <c r="C557" s="8" t="s">
        <v>1953</v>
      </c>
      <c r="D557" s="8" t="s">
        <v>16</v>
      </c>
      <c r="E557" s="8" t="s">
        <v>17</v>
      </c>
      <c r="F557" s="9">
        <v>46031.0</v>
      </c>
      <c r="G557" s="8" t="s">
        <v>868</v>
      </c>
      <c r="H557" s="8" t="s">
        <v>869</v>
      </c>
      <c r="I557" s="8" t="s">
        <v>1954</v>
      </c>
      <c r="J557" s="8" t="s">
        <v>1955</v>
      </c>
    </row>
    <row r="558">
      <c r="A558" s="7">
        <v>2.0032042E7</v>
      </c>
      <c r="B558" s="8" t="s">
        <v>1828</v>
      </c>
      <c r="C558" s="8" t="s">
        <v>1956</v>
      </c>
      <c r="D558" s="8" t="s">
        <v>16</v>
      </c>
      <c r="E558" s="8" t="s">
        <v>17</v>
      </c>
      <c r="F558" s="9">
        <v>46037.0</v>
      </c>
      <c r="G558" s="8" t="s">
        <v>873</v>
      </c>
      <c r="H558" s="8" t="s">
        <v>874</v>
      </c>
      <c r="I558" s="8" t="s">
        <v>1957</v>
      </c>
      <c r="J558" s="8" t="s">
        <v>1958</v>
      </c>
    </row>
    <row r="559">
      <c r="A559" s="7">
        <v>2.0031715E7</v>
      </c>
      <c r="B559" s="8" t="s">
        <v>1828</v>
      </c>
      <c r="C559" s="8" t="s">
        <v>1959</v>
      </c>
      <c r="D559" s="8" t="s">
        <v>16</v>
      </c>
      <c r="E559" s="8" t="s">
        <v>17</v>
      </c>
      <c r="F559" s="9">
        <v>46026.0</v>
      </c>
      <c r="G559" s="8" t="s">
        <v>195</v>
      </c>
      <c r="H559" s="8" t="s">
        <v>196</v>
      </c>
      <c r="I559" s="8" t="s">
        <v>1960</v>
      </c>
      <c r="J559" s="8" t="s">
        <v>1961</v>
      </c>
    </row>
    <row r="560">
      <c r="A560" s="7">
        <v>2.0031959E7</v>
      </c>
      <c r="B560" s="8" t="s">
        <v>1828</v>
      </c>
      <c r="C560" s="8" t="s">
        <v>1962</v>
      </c>
      <c r="D560" s="8" t="s">
        <v>16</v>
      </c>
      <c r="E560" s="8" t="s">
        <v>17</v>
      </c>
      <c r="F560" s="9">
        <v>46026.0</v>
      </c>
      <c r="G560" s="8" t="s">
        <v>195</v>
      </c>
      <c r="H560" s="8" t="s">
        <v>196</v>
      </c>
      <c r="I560" s="8" t="s">
        <v>1963</v>
      </c>
      <c r="J560" s="8" t="s">
        <v>1964</v>
      </c>
    </row>
    <row r="561">
      <c r="A561" s="7">
        <v>2.0027202E7</v>
      </c>
      <c r="B561" s="8" t="s">
        <v>1828</v>
      </c>
      <c r="C561" s="8" t="s">
        <v>1965</v>
      </c>
      <c r="D561" s="8" t="s">
        <v>16</v>
      </c>
      <c r="E561" s="8" t="s">
        <v>17</v>
      </c>
      <c r="F561" s="9">
        <v>46033.0</v>
      </c>
      <c r="G561" s="8" t="s">
        <v>59</v>
      </c>
      <c r="H561" s="8" t="s">
        <v>60</v>
      </c>
      <c r="I561" s="8" t="s">
        <v>1966</v>
      </c>
      <c r="J561" s="8" t="s">
        <v>1967</v>
      </c>
    </row>
    <row r="562">
      <c r="A562" s="7">
        <v>2.0027199E7</v>
      </c>
      <c r="B562" s="8" t="s">
        <v>1828</v>
      </c>
      <c r="C562" s="8" t="s">
        <v>1968</v>
      </c>
      <c r="D562" s="8" t="s">
        <v>16</v>
      </c>
      <c r="E562" s="8" t="s">
        <v>17</v>
      </c>
      <c r="F562" s="9">
        <v>46036.0</v>
      </c>
      <c r="G562" s="8" t="s">
        <v>1969</v>
      </c>
      <c r="H562" s="8" t="s">
        <v>1970</v>
      </c>
      <c r="I562" s="8" t="s">
        <v>1971</v>
      </c>
      <c r="J562" s="8" t="s">
        <v>1972</v>
      </c>
    </row>
    <row r="563">
      <c r="A563" s="7">
        <v>2.0031059E7</v>
      </c>
      <c r="B563" s="8" t="s">
        <v>1828</v>
      </c>
      <c r="C563" s="8" t="s">
        <v>1973</v>
      </c>
      <c r="D563" s="8" t="s">
        <v>16</v>
      </c>
      <c r="E563" s="8" t="s">
        <v>17</v>
      </c>
      <c r="F563" s="9">
        <v>46031.0</v>
      </c>
      <c r="G563" s="8" t="s">
        <v>59</v>
      </c>
      <c r="H563" s="8" t="s">
        <v>60</v>
      </c>
      <c r="I563" s="8" t="s">
        <v>1974</v>
      </c>
      <c r="J563" s="8" t="s">
        <v>1975</v>
      </c>
    </row>
    <row r="564">
      <c r="A564" s="7">
        <v>2.0031537E7</v>
      </c>
      <c r="B564" s="8" t="s">
        <v>1828</v>
      </c>
      <c r="C564" s="8" t="s">
        <v>1976</v>
      </c>
      <c r="D564" s="8" t="s">
        <v>16</v>
      </c>
      <c r="E564" s="8" t="s">
        <v>17</v>
      </c>
      <c r="F564" s="9">
        <v>46031.0</v>
      </c>
      <c r="G564" s="8" t="s">
        <v>234</v>
      </c>
      <c r="H564" s="8" t="s">
        <v>235</v>
      </c>
      <c r="I564" s="8" t="s">
        <v>1977</v>
      </c>
      <c r="J564" s="8" t="s">
        <v>1978</v>
      </c>
    </row>
    <row r="565">
      <c r="A565" s="7">
        <v>2.0031596E7</v>
      </c>
      <c r="B565" s="8" t="s">
        <v>1828</v>
      </c>
      <c r="C565" s="8" t="s">
        <v>1979</v>
      </c>
      <c r="D565" s="8" t="s">
        <v>16</v>
      </c>
      <c r="E565" s="8" t="s">
        <v>17</v>
      </c>
      <c r="F565" s="9">
        <v>46027.0</v>
      </c>
      <c r="G565" s="8" t="s">
        <v>873</v>
      </c>
      <c r="H565" s="8" t="s">
        <v>874</v>
      </c>
      <c r="I565" s="8" t="s">
        <v>1980</v>
      </c>
      <c r="J565" s="8" t="s">
        <v>1981</v>
      </c>
    </row>
    <row r="566">
      <c r="A566" s="7">
        <v>2.0031596E7</v>
      </c>
      <c r="B566" s="8" t="s">
        <v>1828</v>
      </c>
      <c r="C566" s="8" t="s">
        <v>1979</v>
      </c>
      <c r="D566" s="8" t="s">
        <v>16</v>
      </c>
      <c r="E566" s="8" t="s">
        <v>17</v>
      </c>
      <c r="F566" s="9">
        <v>46027.0</v>
      </c>
      <c r="G566" s="8" t="s">
        <v>339</v>
      </c>
      <c r="H566" s="8" t="s">
        <v>340</v>
      </c>
      <c r="I566" s="8" t="s">
        <v>1982</v>
      </c>
      <c r="J566" s="8" t="s">
        <v>1983</v>
      </c>
    </row>
    <row r="567">
      <c r="A567" s="7">
        <v>2.0031578E7</v>
      </c>
      <c r="B567" s="8" t="s">
        <v>1828</v>
      </c>
      <c r="C567" s="8" t="s">
        <v>1984</v>
      </c>
      <c r="D567" s="8" t="s">
        <v>16</v>
      </c>
      <c r="E567" s="8" t="s">
        <v>17</v>
      </c>
      <c r="F567" s="9">
        <v>46029.0</v>
      </c>
      <c r="G567" s="8" t="s">
        <v>91</v>
      </c>
      <c r="H567" s="8" t="s">
        <v>92</v>
      </c>
      <c r="I567" s="8" t="s">
        <v>1985</v>
      </c>
      <c r="J567" s="8" t="s">
        <v>1986</v>
      </c>
    </row>
    <row r="568">
      <c r="A568" s="7">
        <v>2.0031247E7</v>
      </c>
      <c r="B568" s="8" t="s">
        <v>1828</v>
      </c>
      <c r="C568" s="8" t="s">
        <v>1987</v>
      </c>
      <c r="D568" s="8" t="s">
        <v>16</v>
      </c>
      <c r="E568" s="8" t="s">
        <v>17</v>
      </c>
      <c r="F568" s="9">
        <v>46032.0</v>
      </c>
      <c r="G568" s="8" t="s">
        <v>43</v>
      </c>
      <c r="H568" s="8" t="s">
        <v>44</v>
      </c>
      <c r="I568" s="8" t="s">
        <v>1989</v>
      </c>
      <c r="J568" s="8" t="s">
        <v>1990</v>
      </c>
    </row>
    <row r="569">
      <c r="A569" s="7">
        <v>2.0029823E7</v>
      </c>
      <c r="B569" s="8" t="s">
        <v>1828</v>
      </c>
      <c r="C569" s="8" t="s">
        <v>1991</v>
      </c>
      <c r="D569" s="8" t="s">
        <v>16</v>
      </c>
      <c r="E569" s="8" t="s">
        <v>17</v>
      </c>
      <c r="F569" s="9">
        <v>46034.0</v>
      </c>
      <c r="G569" s="8" t="s">
        <v>978</v>
      </c>
      <c r="H569" s="8" t="s">
        <v>979</v>
      </c>
      <c r="I569" s="8" t="s">
        <v>1992</v>
      </c>
      <c r="J569" s="8" t="s">
        <v>1993</v>
      </c>
    </row>
    <row r="570">
      <c r="A570" s="7">
        <v>2.0029713E7</v>
      </c>
      <c r="B570" s="8" t="s">
        <v>1828</v>
      </c>
      <c r="C570" s="8" t="s">
        <v>1994</v>
      </c>
      <c r="D570" s="8" t="s">
        <v>16</v>
      </c>
      <c r="E570" s="8" t="s">
        <v>17</v>
      </c>
      <c r="F570" s="9">
        <v>46032.0</v>
      </c>
      <c r="G570" s="8" t="s">
        <v>54</v>
      </c>
      <c r="H570" s="8" t="s">
        <v>55</v>
      </c>
      <c r="I570" s="8" t="s">
        <v>1995</v>
      </c>
      <c r="J570" s="8" t="s">
        <v>1996</v>
      </c>
    </row>
    <row r="571">
      <c r="A571" s="7">
        <v>2.0031311E7</v>
      </c>
      <c r="B571" s="8" t="s">
        <v>1828</v>
      </c>
      <c r="C571" s="8" t="s">
        <v>1997</v>
      </c>
      <c r="D571" s="8" t="s">
        <v>16</v>
      </c>
      <c r="E571" s="8" t="s">
        <v>17</v>
      </c>
      <c r="F571" s="9">
        <v>46044.0</v>
      </c>
      <c r="G571" s="8" t="s">
        <v>1998</v>
      </c>
      <c r="H571" s="8" t="s">
        <v>1999</v>
      </c>
      <c r="I571" s="8" t="s">
        <v>2000</v>
      </c>
      <c r="J571" s="8" t="s">
        <v>2001</v>
      </c>
    </row>
    <row r="572">
      <c r="A572" s="7">
        <v>2.0031354E7</v>
      </c>
      <c r="B572" s="8" t="s">
        <v>1828</v>
      </c>
      <c r="C572" s="8" t="s">
        <v>2002</v>
      </c>
      <c r="D572" s="8" t="s">
        <v>16</v>
      </c>
      <c r="E572" s="8" t="s">
        <v>17</v>
      </c>
      <c r="F572" s="9">
        <v>46036.0</v>
      </c>
      <c r="G572" s="8" t="s">
        <v>29</v>
      </c>
      <c r="H572" s="8" t="s">
        <v>30</v>
      </c>
      <c r="I572" s="8" t="s">
        <v>2003</v>
      </c>
      <c r="J572" s="8" t="s">
        <v>2004</v>
      </c>
    </row>
    <row r="573">
      <c r="A573" s="7">
        <v>2.0031316E7</v>
      </c>
      <c r="B573" s="8" t="s">
        <v>1828</v>
      </c>
      <c r="C573" s="8" t="s">
        <v>2005</v>
      </c>
      <c r="D573" s="8" t="s">
        <v>16</v>
      </c>
      <c r="E573" s="8" t="s">
        <v>17</v>
      </c>
      <c r="F573" s="9">
        <v>46037.0</v>
      </c>
      <c r="G573" s="8" t="s">
        <v>91</v>
      </c>
      <c r="H573" s="8" t="s">
        <v>92</v>
      </c>
      <c r="I573" s="8" t="s">
        <v>2006</v>
      </c>
      <c r="J573" s="8" t="s">
        <v>2007</v>
      </c>
    </row>
    <row r="574">
      <c r="A574" s="7">
        <v>2.0031316E7</v>
      </c>
      <c r="B574" s="8" t="s">
        <v>1828</v>
      </c>
      <c r="C574" s="8" t="s">
        <v>2005</v>
      </c>
      <c r="D574" s="8" t="s">
        <v>16</v>
      </c>
      <c r="E574" s="8" t="s">
        <v>17</v>
      </c>
      <c r="F574" s="9">
        <v>46037.0</v>
      </c>
      <c r="G574" s="8" t="s">
        <v>846</v>
      </c>
      <c r="H574" s="8" t="s">
        <v>847</v>
      </c>
      <c r="I574" s="8" t="s">
        <v>2008</v>
      </c>
      <c r="J574" s="8" t="s">
        <v>2009</v>
      </c>
    </row>
    <row r="575">
      <c r="A575" s="7">
        <v>2.0031316E7</v>
      </c>
      <c r="B575" s="8" t="s">
        <v>1828</v>
      </c>
      <c r="C575" s="8" t="s">
        <v>2005</v>
      </c>
      <c r="D575" s="8" t="s">
        <v>16</v>
      </c>
      <c r="E575" s="8" t="s">
        <v>17</v>
      </c>
      <c r="F575" s="9">
        <v>46037.0</v>
      </c>
      <c r="G575" s="8" t="s">
        <v>91</v>
      </c>
      <c r="H575" s="8" t="s">
        <v>92</v>
      </c>
      <c r="I575" s="8" t="s">
        <v>2010</v>
      </c>
      <c r="J575" s="8"/>
    </row>
    <row r="576">
      <c r="A576" s="7">
        <v>2.0031316E7</v>
      </c>
      <c r="B576" s="8" t="s">
        <v>1828</v>
      </c>
      <c r="C576" s="8" t="s">
        <v>2005</v>
      </c>
      <c r="D576" s="8" t="s">
        <v>16</v>
      </c>
      <c r="E576" s="8" t="s">
        <v>17</v>
      </c>
      <c r="F576" s="9">
        <v>46037.0</v>
      </c>
      <c r="G576" s="8" t="s">
        <v>91</v>
      </c>
      <c r="H576" s="8" t="s">
        <v>92</v>
      </c>
      <c r="I576" s="8" t="s">
        <v>2011</v>
      </c>
      <c r="J576" s="8" t="s">
        <v>2007</v>
      </c>
    </row>
    <row r="577">
      <c r="A577" s="7">
        <v>2.0030349E7</v>
      </c>
      <c r="B577" s="8" t="s">
        <v>1828</v>
      </c>
      <c r="C577" s="8" t="s">
        <v>2012</v>
      </c>
      <c r="D577" s="8" t="s">
        <v>16</v>
      </c>
      <c r="E577" s="8" t="s">
        <v>17</v>
      </c>
      <c r="F577" s="9">
        <v>46029.0</v>
      </c>
      <c r="G577" s="8" t="s">
        <v>2013</v>
      </c>
      <c r="H577" s="8" t="s">
        <v>2014</v>
      </c>
      <c r="I577" s="8" t="s">
        <v>2015</v>
      </c>
      <c r="J577" s="8" t="s">
        <v>2016</v>
      </c>
    </row>
    <row r="578">
      <c r="A578" s="7">
        <v>2.0031182E7</v>
      </c>
      <c r="B578" s="8" t="s">
        <v>1828</v>
      </c>
      <c r="C578" s="8" t="s">
        <v>2017</v>
      </c>
      <c r="D578" s="8" t="s">
        <v>16</v>
      </c>
      <c r="E578" s="8" t="s">
        <v>17</v>
      </c>
      <c r="F578" s="9">
        <v>46039.0</v>
      </c>
      <c r="G578" s="8" t="s">
        <v>171</v>
      </c>
      <c r="H578" s="8" t="s">
        <v>172</v>
      </c>
      <c r="I578" s="8" t="s">
        <v>2018</v>
      </c>
      <c r="J578" s="8"/>
    </row>
    <row r="579">
      <c r="A579" s="7">
        <v>2.0030859E7</v>
      </c>
      <c r="B579" s="8" t="s">
        <v>1828</v>
      </c>
      <c r="C579" s="8" t="s">
        <v>2019</v>
      </c>
      <c r="D579" s="8" t="s">
        <v>16</v>
      </c>
      <c r="E579" s="8" t="s">
        <v>17</v>
      </c>
      <c r="F579" s="9">
        <v>46028.0</v>
      </c>
      <c r="G579" s="8" t="s">
        <v>220</v>
      </c>
      <c r="H579" s="8" t="s">
        <v>221</v>
      </c>
      <c r="I579" s="8" t="s">
        <v>2020</v>
      </c>
      <c r="J579" s="8" t="s">
        <v>2021</v>
      </c>
    </row>
    <row r="580">
      <c r="A580" s="7">
        <v>2.0030948E7</v>
      </c>
      <c r="B580" s="8" t="s">
        <v>1828</v>
      </c>
      <c r="C580" s="8" t="s">
        <v>2022</v>
      </c>
      <c r="D580" s="8" t="s">
        <v>16</v>
      </c>
      <c r="E580" s="8" t="s">
        <v>17</v>
      </c>
      <c r="F580" s="9">
        <v>46033.0</v>
      </c>
      <c r="G580" s="8" t="s">
        <v>91</v>
      </c>
      <c r="H580" s="8" t="s">
        <v>92</v>
      </c>
      <c r="I580" s="8"/>
      <c r="J580" s="8" t="s">
        <v>2023</v>
      </c>
    </row>
    <row r="581">
      <c r="A581" s="7">
        <v>2.0030948E7</v>
      </c>
      <c r="B581" s="8" t="s">
        <v>1828</v>
      </c>
      <c r="C581" s="8" t="s">
        <v>2022</v>
      </c>
      <c r="D581" s="8" t="s">
        <v>16</v>
      </c>
      <c r="E581" s="8" t="s">
        <v>17</v>
      </c>
      <c r="F581" s="9">
        <v>46033.0</v>
      </c>
      <c r="G581" s="8" t="s">
        <v>1888</v>
      </c>
      <c r="H581" s="8" t="s">
        <v>1889</v>
      </c>
      <c r="I581" s="8" t="s">
        <v>2024</v>
      </c>
      <c r="J581" s="8" t="s">
        <v>2025</v>
      </c>
    </row>
    <row r="582">
      <c r="A582" s="7">
        <v>2.0030948E7</v>
      </c>
      <c r="B582" s="8" t="s">
        <v>1828</v>
      </c>
      <c r="C582" s="8" t="s">
        <v>2022</v>
      </c>
      <c r="D582" s="8" t="s">
        <v>16</v>
      </c>
      <c r="E582" s="8" t="s">
        <v>17</v>
      </c>
      <c r="F582" s="9">
        <v>46033.0</v>
      </c>
      <c r="G582" s="8" t="s">
        <v>91</v>
      </c>
      <c r="H582" s="8" t="s">
        <v>92</v>
      </c>
      <c r="I582" s="8" t="s">
        <v>2026</v>
      </c>
      <c r="J582" s="8" t="s">
        <v>2027</v>
      </c>
    </row>
    <row r="583">
      <c r="A583" s="7">
        <v>2.0030846E7</v>
      </c>
      <c r="B583" s="8" t="s">
        <v>1828</v>
      </c>
      <c r="C583" s="8" t="s">
        <v>2028</v>
      </c>
      <c r="D583" s="8" t="s">
        <v>16</v>
      </c>
      <c r="E583" s="8" t="s">
        <v>17</v>
      </c>
      <c r="F583" s="9">
        <v>46028.0</v>
      </c>
      <c r="G583" s="8" t="s">
        <v>423</v>
      </c>
      <c r="H583" s="8" t="s">
        <v>424</v>
      </c>
      <c r="I583" s="8" t="s">
        <v>2029</v>
      </c>
      <c r="J583" s="8" t="s">
        <v>2030</v>
      </c>
    </row>
    <row r="584">
      <c r="A584" s="7">
        <v>2.0030099E7</v>
      </c>
      <c r="B584" s="8" t="s">
        <v>1828</v>
      </c>
      <c r="C584" s="8" t="s">
        <v>2031</v>
      </c>
      <c r="D584" s="8" t="s">
        <v>16</v>
      </c>
      <c r="E584" s="8" t="s">
        <v>17</v>
      </c>
      <c r="F584" s="9">
        <v>46024.0</v>
      </c>
      <c r="G584" s="8" t="s">
        <v>339</v>
      </c>
      <c r="H584" s="8" t="s">
        <v>340</v>
      </c>
      <c r="I584" s="8" t="s">
        <v>2032</v>
      </c>
      <c r="J584" s="8" t="s">
        <v>2033</v>
      </c>
    </row>
    <row r="585">
      <c r="A585" s="7">
        <v>2.0030563E7</v>
      </c>
      <c r="B585" s="8" t="s">
        <v>1828</v>
      </c>
      <c r="C585" s="8" t="s">
        <v>2034</v>
      </c>
      <c r="D585" s="8" t="s">
        <v>16</v>
      </c>
      <c r="E585" s="8" t="s">
        <v>17</v>
      </c>
      <c r="F585" s="9">
        <v>46028.0</v>
      </c>
      <c r="G585" s="8" t="s">
        <v>91</v>
      </c>
      <c r="H585" s="8" t="s">
        <v>92</v>
      </c>
      <c r="I585" s="8" t="s">
        <v>2035</v>
      </c>
      <c r="J585" s="8" t="s">
        <v>2036</v>
      </c>
    </row>
    <row r="586">
      <c r="A586" s="7">
        <v>2.0028623E7</v>
      </c>
      <c r="B586" s="8" t="s">
        <v>1828</v>
      </c>
      <c r="C586" s="8" t="s">
        <v>2037</v>
      </c>
      <c r="D586" s="8" t="s">
        <v>16</v>
      </c>
      <c r="E586" s="8" t="s">
        <v>17</v>
      </c>
      <c r="F586" s="9">
        <v>46033.0</v>
      </c>
      <c r="G586" s="8" t="s">
        <v>1007</v>
      </c>
      <c r="H586" s="8" t="s">
        <v>1008</v>
      </c>
      <c r="I586" s="8" t="s">
        <v>2038</v>
      </c>
      <c r="J586" s="8" t="s">
        <v>2039</v>
      </c>
    </row>
    <row r="587">
      <c r="A587" s="7">
        <v>2.0030106E7</v>
      </c>
      <c r="B587" s="8" t="s">
        <v>1828</v>
      </c>
      <c r="C587" s="8" t="s">
        <v>2040</v>
      </c>
      <c r="D587" s="8" t="s">
        <v>16</v>
      </c>
      <c r="E587" s="8" t="s">
        <v>17</v>
      </c>
      <c r="F587" s="9">
        <v>46039.0</v>
      </c>
      <c r="G587" s="8" t="s">
        <v>601</v>
      </c>
      <c r="H587" s="8" t="s">
        <v>602</v>
      </c>
      <c r="I587" s="8" t="s">
        <v>2041</v>
      </c>
      <c r="J587" s="8"/>
    </row>
    <row r="588">
      <c r="A588" s="7">
        <v>2.0030184E7</v>
      </c>
      <c r="B588" s="8" t="s">
        <v>1828</v>
      </c>
      <c r="C588" s="8" t="s">
        <v>2042</v>
      </c>
      <c r="D588" s="8" t="s">
        <v>16</v>
      </c>
      <c r="E588" s="8" t="s">
        <v>17</v>
      </c>
      <c r="F588" s="9">
        <v>46030.0</v>
      </c>
      <c r="G588" s="8" t="s">
        <v>220</v>
      </c>
      <c r="H588" s="8" t="s">
        <v>221</v>
      </c>
      <c r="I588" s="8" t="s">
        <v>2043</v>
      </c>
      <c r="J588" s="8" t="s">
        <v>2044</v>
      </c>
    </row>
    <row r="589">
      <c r="A589" s="7">
        <v>2.0030086E7</v>
      </c>
      <c r="B589" s="8" t="s">
        <v>1828</v>
      </c>
      <c r="C589" s="8" t="s">
        <v>2045</v>
      </c>
      <c r="D589" s="8" t="s">
        <v>16</v>
      </c>
      <c r="E589" s="8" t="s">
        <v>17</v>
      </c>
      <c r="F589" s="9">
        <v>46024.0</v>
      </c>
      <c r="G589" s="8" t="s">
        <v>59</v>
      </c>
      <c r="H589" s="8" t="s">
        <v>60</v>
      </c>
      <c r="I589" s="8" t="s">
        <v>2046</v>
      </c>
      <c r="J589" s="8" t="s">
        <v>2047</v>
      </c>
    </row>
    <row r="590">
      <c r="A590" s="7">
        <v>2.00289E7</v>
      </c>
      <c r="B590" s="8" t="s">
        <v>1828</v>
      </c>
      <c r="C590" s="8" t="s">
        <v>2048</v>
      </c>
      <c r="D590" s="8" t="s">
        <v>16</v>
      </c>
      <c r="E590" s="8" t="s">
        <v>17</v>
      </c>
      <c r="F590" s="9">
        <v>46035.0</v>
      </c>
      <c r="G590" s="8" t="s">
        <v>49</v>
      </c>
      <c r="H590" s="8" t="s">
        <v>50</v>
      </c>
      <c r="I590" s="8" t="s">
        <v>2049</v>
      </c>
      <c r="J590" s="8" t="s">
        <v>2050</v>
      </c>
    </row>
    <row r="591">
      <c r="A591" s="7">
        <v>2.0027555E7</v>
      </c>
      <c r="B591" s="8" t="s">
        <v>1828</v>
      </c>
      <c r="C591" s="8" t="s">
        <v>2051</v>
      </c>
      <c r="D591" s="8" t="s">
        <v>16</v>
      </c>
      <c r="E591" s="8" t="s">
        <v>17</v>
      </c>
      <c r="F591" s="9">
        <v>46039.0</v>
      </c>
      <c r="G591" s="8" t="s">
        <v>2052</v>
      </c>
      <c r="H591" s="8" t="s">
        <v>2053</v>
      </c>
      <c r="I591" s="8" t="s">
        <v>2054</v>
      </c>
      <c r="J591" s="8" t="s">
        <v>2055</v>
      </c>
    </row>
    <row r="592">
      <c r="A592" s="7">
        <v>2.0029731E7</v>
      </c>
      <c r="B592" s="8" t="s">
        <v>1828</v>
      </c>
      <c r="C592" s="8" t="s">
        <v>2056</v>
      </c>
      <c r="D592" s="8" t="s">
        <v>16</v>
      </c>
      <c r="E592" s="8" t="s">
        <v>17</v>
      </c>
      <c r="F592" s="9">
        <v>46035.0</v>
      </c>
      <c r="G592" s="8" t="s">
        <v>2057</v>
      </c>
      <c r="H592" s="8" t="s">
        <v>2058</v>
      </c>
      <c r="I592" s="8" t="s">
        <v>2059</v>
      </c>
      <c r="J592" s="8"/>
    </row>
    <row r="593">
      <c r="A593" s="7">
        <v>2.0028315E7</v>
      </c>
      <c r="B593" s="8" t="s">
        <v>1828</v>
      </c>
      <c r="C593" s="8" t="s">
        <v>2060</v>
      </c>
      <c r="D593" s="8" t="s">
        <v>16</v>
      </c>
      <c r="E593" s="8" t="s">
        <v>17</v>
      </c>
      <c r="F593" s="9">
        <v>46028.0</v>
      </c>
      <c r="G593" s="8" t="s">
        <v>923</v>
      </c>
      <c r="H593" s="8" t="s">
        <v>71</v>
      </c>
      <c r="I593" s="8" t="s">
        <v>2061</v>
      </c>
      <c r="J593" s="8" t="s">
        <v>2063</v>
      </c>
    </row>
    <row r="594">
      <c r="A594" s="7">
        <v>2.0029883E7</v>
      </c>
      <c r="B594" s="8" t="s">
        <v>1828</v>
      </c>
      <c r="C594" s="8" t="s">
        <v>2064</v>
      </c>
      <c r="D594" s="8" t="s">
        <v>16</v>
      </c>
      <c r="E594" s="8" t="s">
        <v>17</v>
      </c>
      <c r="F594" s="9">
        <v>46024.0</v>
      </c>
      <c r="G594" s="8" t="s">
        <v>1319</v>
      </c>
      <c r="H594" s="8" t="s">
        <v>1320</v>
      </c>
      <c r="I594" s="8" t="s">
        <v>2065</v>
      </c>
      <c r="J594" s="8" t="s">
        <v>2066</v>
      </c>
    </row>
    <row r="595">
      <c r="A595" s="7">
        <v>2.0028604E7</v>
      </c>
      <c r="B595" s="8" t="s">
        <v>1828</v>
      </c>
      <c r="C595" s="8" t="s">
        <v>2067</v>
      </c>
      <c r="D595" s="8" t="s">
        <v>16</v>
      </c>
      <c r="E595" s="8" t="s">
        <v>17</v>
      </c>
      <c r="F595" s="9">
        <v>46034.0</v>
      </c>
      <c r="G595" s="8" t="s">
        <v>2068</v>
      </c>
      <c r="H595" s="8" t="s">
        <v>2069</v>
      </c>
      <c r="I595" s="8" t="s">
        <v>2070</v>
      </c>
      <c r="J595" s="8"/>
    </row>
    <row r="596">
      <c r="A596" s="7">
        <v>2.0029754E7</v>
      </c>
      <c r="B596" s="8" t="s">
        <v>1828</v>
      </c>
      <c r="C596" s="8" t="s">
        <v>2071</v>
      </c>
      <c r="D596" s="8" t="s">
        <v>16</v>
      </c>
      <c r="E596" s="8" t="s">
        <v>17</v>
      </c>
      <c r="F596" s="9">
        <v>46043.0</v>
      </c>
      <c r="G596" s="8" t="s">
        <v>29</v>
      </c>
      <c r="H596" s="8" t="s">
        <v>30</v>
      </c>
      <c r="I596" s="8" t="s">
        <v>2072</v>
      </c>
      <c r="J596" s="8" t="s">
        <v>2073</v>
      </c>
    </row>
    <row r="597">
      <c r="A597" s="7">
        <v>2.0029545E7</v>
      </c>
      <c r="B597" s="8" t="s">
        <v>1828</v>
      </c>
      <c r="C597" s="8" t="s">
        <v>2074</v>
      </c>
      <c r="D597" s="8" t="s">
        <v>16</v>
      </c>
      <c r="E597" s="8" t="s">
        <v>17</v>
      </c>
      <c r="F597" s="9">
        <v>46035.0</v>
      </c>
      <c r="G597" s="8" t="s">
        <v>2075</v>
      </c>
      <c r="H597" s="8" t="s">
        <v>2076</v>
      </c>
      <c r="I597" s="8" t="s">
        <v>2077</v>
      </c>
      <c r="J597" s="8"/>
    </row>
    <row r="598">
      <c r="A598" s="7">
        <v>2.0018174E7</v>
      </c>
      <c r="B598" s="8" t="s">
        <v>1828</v>
      </c>
      <c r="C598" s="8" t="s">
        <v>2078</v>
      </c>
      <c r="D598" s="8" t="s">
        <v>16</v>
      </c>
      <c r="E598" s="8" t="s">
        <v>17</v>
      </c>
      <c r="F598" s="9">
        <v>46034.0</v>
      </c>
      <c r="G598" s="8" t="s">
        <v>2079</v>
      </c>
      <c r="H598" s="8" t="s">
        <v>2080</v>
      </c>
      <c r="I598" s="8" t="s">
        <v>2081</v>
      </c>
      <c r="J598" s="8" t="s">
        <v>2082</v>
      </c>
    </row>
    <row r="599">
      <c r="A599" s="7">
        <v>2.0029311E7</v>
      </c>
      <c r="B599" s="8" t="s">
        <v>1828</v>
      </c>
      <c r="C599" s="8" t="s">
        <v>2083</v>
      </c>
      <c r="D599" s="8" t="s">
        <v>16</v>
      </c>
      <c r="E599" s="8" t="s">
        <v>17</v>
      </c>
      <c r="F599" s="9">
        <v>46030.0</v>
      </c>
      <c r="G599" s="8" t="s">
        <v>314</v>
      </c>
      <c r="H599" s="8" t="s">
        <v>315</v>
      </c>
      <c r="I599" s="8" t="s">
        <v>2084</v>
      </c>
      <c r="J599" s="8" t="s">
        <v>2085</v>
      </c>
    </row>
    <row r="600">
      <c r="A600" s="7">
        <v>2.0027712E7</v>
      </c>
      <c r="B600" s="8" t="s">
        <v>1828</v>
      </c>
      <c r="C600" s="8" t="s">
        <v>2086</v>
      </c>
      <c r="D600" s="8" t="s">
        <v>16</v>
      </c>
      <c r="E600" s="8" t="s">
        <v>17</v>
      </c>
      <c r="F600" s="9">
        <v>46032.0</v>
      </c>
      <c r="G600" s="8" t="s">
        <v>994</v>
      </c>
      <c r="H600" s="8" t="s">
        <v>995</v>
      </c>
      <c r="I600" s="8" t="s">
        <v>2087</v>
      </c>
      <c r="J600" s="8" t="s">
        <v>2088</v>
      </c>
    </row>
    <row r="601">
      <c r="A601" s="7">
        <v>2.0027712E7</v>
      </c>
      <c r="B601" s="8" t="s">
        <v>1828</v>
      </c>
      <c r="C601" s="8" t="s">
        <v>2086</v>
      </c>
      <c r="D601" s="8" t="s">
        <v>16</v>
      </c>
      <c r="E601" s="8" t="s">
        <v>17</v>
      </c>
      <c r="F601" s="9">
        <v>46032.0</v>
      </c>
      <c r="G601" s="8" t="s">
        <v>2089</v>
      </c>
      <c r="H601" s="8" t="s">
        <v>2090</v>
      </c>
      <c r="I601" s="8" t="s">
        <v>2091</v>
      </c>
      <c r="J601" s="8" t="s">
        <v>2092</v>
      </c>
    </row>
    <row r="602">
      <c r="A602" s="7">
        <v>2.0028649E7</v>
      </c>
      <c r="B602" s="8" t="s">
        <v>1828</v>
      </c>
      <c r="C602" s="8" t="s">
        <v>2093</v>
      </c>
      <c r="D602" s="8" t="s">
        <v>16</v>
      </c>
      <c r="E602" s="8" t="s">
        <v>17</v>
      </c>
      <c r="F602" s="9">
        <v>46036.0</v>
      </c>
      <c r="G602" s="8" t="s">
        <v>2094</v>
      </c>
      <c r="H602" s="8" t="s">
        <v>2095</v>
      </c>
      <c r="I602" s="8" t="s">
        <v>2096</v>
      </c>
      <c r="J602" s="8"/>
    </row>
    <row r="603">
      <c r="A603" s="7">
        <v>2.0028114E7</v>
      </c>
      <c r="B603" s="8" t="s">
        <v>1828</v>
      </c>
      <c r="C603" s="8" t="s">
        <v>2097</v>
      </c>
      <c r="D603" s="8" t="s">
        <v>16</v>
      </c>
      <c r="E603" s="8" t="s">
        <v>48</v>
      </c>
      <c r="F603" s="9">
        <v>46035.0</v>
      </c>
      <c r="G603" s="8" t="s">
        <v>2098</v>
      </c>
      <c r="H603" s="8" t="s">
        <v>2099</v>
      </c>
      <c r="I603" s="8" t="s">
        <v>2100</v>
      </c>
      <c r="J603" s="8" t="s">
        <v>2101</v>
      </c>
    </row>
    <row r="604">
      <c r="A604" s="7">
        <v>2.0028114E7</v>
      </c>
      <c r="B604" s="8" t="s">
        <v>1828</v>
      </c>
      <c r="C604" s="8" t="s">
        <v>2097</v>
      </c>
      <c r="D604" s="8" t="s">
        <v>16</v>
      </c>
      <c r="E604" s="8" t="s">
        <v>48</v>
      </c>
      <c r="F604" s="9">
        <v>46035.0</v>
      </c>
      <c r="G604" s="8" t="s">
        <v>2098</v>
      </c>
      <c r="H604" s="8" t="s">
        <v>2099</v>
      </c>
      <c r="I604" s="8" t="s">
        <v>2102</v>
      </c>
      <c r="J604" s="8" t="s">
        <v>2103</v>
      </c>
    </row>
    <row r="605">
      <c r="A605" s="7">
        <v>2.0028114E7</v>
      </c>
      <c r="B605" s="8" t="s">
        <v>1828</v>
      </c>
      <c r="C605" s="8" t="s">
        <v>2097</v>
      </c>
      <c r="D605" s="8" t="s">
        <v>16</v>
      </c>
      <c r="E605" s="8" t="s">
        <v>48</v>
      </c>
      <c r="F605" s="9">
        <v>46035.0</v>
      </c>
      <c r="G605" s="8" t="s">
        <v>2104</v>
      </c>
      <c r="H605" s="8" t="s">
        <v>2105</v>
      </c>
      <c r="I605" s="8" t="s">
        <v>2106</v>
      </c>
      <c r="J605" s="8" t="s">
        <v>2107</v>
      </c>
    </row>
    <row r="606">
      <c r="A606" s="7">
        <v>2.0027573E7</v>
      </c>
      <c r="B606" s="8" t="s">
        <v>1828</v>
      </c>
      <c r="C606" s="8" t="s">
        <v>2108</v>
      </c>
      <c r="D606" s="8" t="s">
        <v>16</v>
      </c>
      <c r="E606" s="8" t="s">
        <v>17</v>
      </c>
      <c r="F606" s="9">
        <v>46026.0</v>
      </c>
      <c r="G606" s="8" t="s">
        <v>2109</v>
      </c>
      <c r="H606" s="8" t="s">
        <v>2110</v>
      </c>
      <c r="I606" s="8" t="s">
        <v>2111</v>
      </c>
      <c r="J606" s="8" t="s">
        <v>2112</v>
      </c>
    </row>
    <row r="607">
      <c r="A607" s="7">
        <v>2.0028617E7</v>
      </c>
      <c r="B607" s="8" t="s">
        <v>1828</v>
      </c>
      <c r="C607" s="8" t="s">
        <v>2113</v>
      </c>
      <c r="D607" s="8" t="s">
        <v>16</v>
      </c>
      <c r="E607" s="8" t="s">
        <v>17</v>
      </c>
      <c r="F607" s="9">
        <v>46039.0</v>
      </c>
      <c r="G607" s="8" t="s">
        <v>1174</v>
      </c>
      <c r="H607" s="8" t="s">
        <v>1175</v>
      </c>
      <c r="I607" s="8" t="s">
        <v>2114</v>
      </c>
      <c r="J607" s="8"/>
    </row>
    <row r="608">
      <c r="A608" s="7">
        <v>2.0027317E7</v>
      </c>
      <c r="B608" s="8" t="s">
        <v>1828</v>
      </c>
      <c r="C608" s="8" t="s">
        <v>2115</v>
      </c>
      <c r="D608" s="8" t="s">
        <v>16</v>
      </c>
      <c r="E608" s="8" t="s">
        <v>17</v>
      </c>
      <c r="F608" s="9">
        <v>46028.0</v>
      </c>
      <c r="G608" s="8" t="s">
        <v>1023</v>
      </c>
      <c r="H608" s="8" t="s">
        <v>1024</v>
      </c>
      <c r="I608" s="8" t="s">
        <v>2116</v>
      </c>
      <c r="J608" s="8" t="s">
        <v>2117</v>
      </c>
    </row>
    <row r="609">
      <c r="A609" s="7">
        <v>2.0027311E7</v>
      </c>
      <c r="B609" s="8" t="s">
        <v>1828</v>
      </c>
      <c r="C609" s="8" t="s">
        <v>2118</v>
      </c>
      <c r="D609" s="8" t="s">
        <v>16</v>
      </c>
      <c r="E609" s="8" t="s">
        <v>17</v>
      </c>
      <c r="F609" s="9">
        <v>46024.0</v>
      </c>
      <c r="G609" s="8" t="s">
        <v>171</v>
      </c>
      <c r="H609" s="8" t="s">
        <v>172</v>
      </c>
      <c r="I609" s="8" t="s">
        <v>2119</v>
      </c>
      <c r="J609" s="8" t="s">
        <v>2120</v>
      </c>
    </row>
    <row r="610">
      <c r="A610" s="7">
        <v>2.0023958E7</v>
      </c>
      <c r="B610" s="8" t="s">
        <v>1828</v>
      </c>
      <c r="C610" s="8" t="s">
        <v>2121</v>
      </c>
      <c r="D610" s="8" t="s">
        <v>16</v>
      </c>
      <c r="E610" s="8" t="s">
        <v>17</v>
      </c>
      <c r="F610" s="9">
        <v>46077.0</v>
      </c>
      <c r="G610" s="8" t="s">
        <v>2122</v>
      </c>
      <c r="H610" s="8" t="s">
        <v>2123</v>
      </c>
      <c r="I610" s="8" t="s">
        <v>2124</v>
      </c>
      <c r="J610" s="8" t="s">
        <v>2125</v>
      </c>
    </row>
    <row r="611">
      <c r="A611" s="7">
        <v>2.0025195E7</v>
      </c>
      <c r="B611" s="8" t="s">
        <v>1828</v>
      </c>
      <c r="C611" s="8" t="s">
        <v>2126</v>
      </c>
      <c r="D611" s="8" t="s">
        <v>16</v>
      </c>
      <c r="E611" s="8" t="s">
        <v>17</v>
      </c>
      <c r="F611" s="9">
        <v>46039.0</v>
      </c>
      <c r="G611" s="8" t="s">
        <v>2127</v>
      </c>
      <c r="H611" s="8" t="s">
        <v>2128</v>
      </c>
      <c r="I611" s="8" t="s">
        <v>2129</v>
      </c>
      <c r="J611" s="8"/>
    </row>
    <row r="612">
      <c r="A612" s="7">
        <v>2.0017165E7</v>
      </c>
      <c r="B612" s="8" t="s">
        <v>1828</v>
      </c>
      <c r="C612" s="8" t="s">
        <v>2130</v>
      </c>
      <c r="D612" s="8" t="s">
        <v>16</v>
      </c>
      <c r="E612" s="8" t="s">
        <v>17</v>
      </c>
      <c r="F612" s="9">
        <v>46067.0</v>
      </c>
      <c r="G612" s="8" t="s">
        <v>2122</v>
      </c>
      <c r="H612" s="8" t="s">
        <v>2123</v>
      </c>
      <c r="I612" s="8"/>
      <c r="J612" s="8" t="s">
        <v>2131</v>
      </c>
    </row>
    <row r="613">
      <c r="A613" s="7">
        <v>2.0017165E7</v>
      </c>
      <c r="B613" s="8" t="s">
        <v>1828</v>
      </c>
      <c r="C613" s="8" t="s">
        <v>2130</v>
      </c>
      <c r="D613" s="8" t="s">
        <v>16</v>
      </c>
      <c r="E613" s="8" t="s">
        <v>17</v>
      </c>
      <c r="F613" s="9">
        <v>46067.0</v>
      </c>
      <c r="G613" s="8" t="s">
        <v>2122</v>
      </c>
      <c r="H613" s="8" t="s">
        <v>2123</v>
      </c>
      <c r="I613" s="8" t="s">
        <v>2132</v>
      </c>
      <c r="J613" s="8" t="s">
        <v>2133</v>
      </c>
    </row>
    <row r="614">
      <c r="A614" s="7">
        <v>2.0067818E7</v>
      </c>
      <c r="B614" s="8" t="s">
        <v>2134</v>
      </c>
      <c r="C614" s="8" t="s">
        <v>2135</v>
      </c>
      <c r="D614" s="8" t="s">
        <v>2136</v>
      </c>
      <c r="E614" s="8" t="s">
        <v>48</v>
      </c>
      <c r="F614" s="9">
        <v>46178.0</v>
      </c>
      <c r="G614" s="8" t="s">
        <v>75</v>
      </c>
      <c r="H614" s="8" t="s">
        <v>76</v>
      </c>
      <c r="I614" s="8" t="s">
        <v>2137</v>
      </c>
      <c r="J614" s="8" t="s">
        <v>2138</v>
      </c>
    </row>
    <row r="615">
      <c r="A615" s="7">
        <v>2.0065506E7</v>
      </c>
      <c r="B615" s="8" t="s">
        <v>2134</v>
      </c>
      <c r="C615" s="8" t="s">
        <v>2139</v>
      </c>
      <c r="D615" s="8" t="s">
        <v>16</v>
      </c>
      <c r="E615" s="8" t="s">
        <v>17</v>
      </c>
      <c r="F615" s="9">
        <v>46167.0</v>
      </c>
      <c r="G615" s="8" t="s">
        <v>365</v>
      </c>
      <c r="H615" s="8" t="s">
        <v>366</v>
      </c>
      <c r="I615" s="8" t="s">
        <v>2140</v>
      </c>
      <c r="J615" s="8"/>
    </row>
    <row r="616">
      <c r="A616" s="7">
        <v>2.0065506E7</v>
      </c>
      <c r="B616" s="8" t="s">
        <v>2134</v>
      </c>
      <c r="C616" s="8" t="s">
        <v>2139</v>
      </c>
      <c r="D616" s="8" t="s">
        <v>16</v>
      </c>
      <c r="E616" s="8" t="s">
        <v>17</v>
      </c>
      <c r="F616" s="9">
        <v>46167.0</v>
      </c>
      <c r="G616" s="8" t="s">
        <v>365</v>
      </c>
      <c r="H616" s="8" t="s">
        <v>366</v>
      </c>
      <c r="I616" s="8" t="s">
        <v>2141</v>
      </c>
      <c r="J616" s="8" t="s">
        <v>2142</v>
      </c>
    </row>
    <row r="617">
      <c r="A617" s="7">
        <v>2.0064421E7</v>
      </c>
      <c r="B617" s="8" t="s">
        <v>2134</v>
      </c>
      <c r="C617" s="8" t="s">
        <v>2143</v>
      </c>
      <c r="D617" s="8" t="s">
        <v>16</v>
      </c>
      <c r="E617" s="8" t="s">
        <v>17</v>
      </c>
      <c r="F617" s="9">
        <v>46164.0</v>
      </c>
      <c r="G617" s="8" t="s">
        <v>400</v>
      </c>
      <c r="H617" s="8" t="s">
        <v>2144</v>
      </c>
      <c r="I617" s="8" t="s">
        <v>2145</v>
      </c>
      <c r="J617" s="8" t="s">
        <v>2146</v>
      </c>
    </row>
    <row r="618">
      <c r="A618" s="7">
        <v>2.0060034E7</v>
      </c>
      <c r="B618" s="8" t="s">
        <v>2134</v>
      </c>
      <c r="C618" s="8" t="s">
        <v>2147</v>
      </c>
      <c r="D618" s="8" t="s">
        <v>16</v>
      </c>
      <c r="E618" s="8" t="s">
        <v>17</v>
      </c>
      <c r="F618" s="9">
        <v>46181.0</v>
      </c>
      <c r="G618" s="8" t="s">
        <v>1451</v>
      </c>
      <c r="H618" s="8" t="s">
        <v>1452</v>
      </c>
      <c r="I618" s="8" t="s">
        <v>2148</v>
      </c>
      <c r="J618" s="8" t="s">
        <v>2149</v>
      </c>
    </row>
    <row r="619">
      <c r="A619" s="7">
        <v>2.0049711E7</v>
      </c>
      <c r="B619" s="8" t="s">
        <v>2134</v>
      </c>
      <c r="C619" s="8" t="s">
        <v>2150</v>
      </c>
      <c r="D619" s="8" t="s">
        <v>16</v>
      </c>
      <c r="E619" s="8" t="s">
        <v>17</v>
      </c>
      <c r="F619" s="9">
        <v>46103.0</v>
      </c>
      <c r="G619" s="8" t="s">
        <v>400</v>
      </c>
      <c r="H619" s="8" t="s">
        <v>401</v>
      </c>
      <c r="I619" s="8" t="s">
        <v>2151</v>
      </c>
      <c r="J619" s="8" t="s">
        <v>2152</v>
      </c>
    </row>
    <row r="620">
      <c r="A620" s="7">
        <v>2.0049108E7</v>
      </c>
      <c r="B620" s="8" t="s">
        <v>2134</v>
      </c>
      <c r="C620" s="8" t="s">
        <v>2153</v>
      </c>
      <c r="D620" s="8" t="s">
        <v>16</v>
      </c>
      <c r="E620" s="8" t="s">
        <v>17</v>
      </c>
      <c r="F620" s="9">
        <v>46110.0</v>
      </c>
      <c r="G620" s="8" t="s">
        <v>158</v>
      </c>
      <c r="H620" s="8" t="s">
        <v>159</v>
      </c>
      <c r="I620" s="8" t="s">
        <v>2154</v>
      </c>
      <c r="J620" s="8"/>
    </row>
    <row r="621">
      <c r="A621" s="7">
        <v>2.0047023E7</v>
      </c>
      <c r="B621" s="8" t="s">
        <v>2134</v>
      </c>
      <c r="C621" s="8" t="s">
        <v>2155</v>
      </c>
      <c r="D621" s="8" t="s">
        <v>16</v>
      </c>
      <c r="E621" s="8" t="s">
        <v>17</v>
      </c>
      <c r="F621" s="9">
        <v>46111.0</v>
      </c>
      <c r="G621" s="8" t="s">
        <v>2156</v>
      </c>
      <c r="H621" s="8" t="s">
        <v>2157</v>
      </c>
      <c r="I621" s="8" t="s">
        <v>2158</v>
      </c>
      <c r="J621" s="8" t="s">
        <v>2159</v>
      </c>
    </row>
    <row r="622">
      <c r="A622" s="7">
        <v>2.0045967E7</v>
      </c>
      <c r="B622" s="8" t="s">
        <v>2134</v>
      </c>
      <c r="C622" s="8" t="s">
        <v>2160</v>
      </c>
      <c r="D622" s="8" t="s">
        <v>16</v>
      </c>
      <c r="E622" s="8" t="s">
        <v>17</v>
      </c>
      <c r="F622" s="9">
        <v>46082.0</v>
      </c>
      <c r="G622" s="8" t="s">
        <v>59</v>
      </c>
      <c r="H622" s="8" t="s">
        <v>60</v>
      </c>
      <c r="I622" s="8" t="s">
        <v>2161</v>
      </c>
      <c r="J622" s="8" t="s">
        <v>2162</v>
      </c>
    </row>
    <row r="623">
      <c r="A623" s="7">
        <v>2.004327E7</v>
      </c>
      <c r="B623" s="8" t="s">
        <v>2134</v>
      </c>
      <c r="C623" s="8" t="s">
        <v>2163</v>
      </c>
      <c r="D623" s="8" t="s">
        <v>16</v>
      </c>
      <c r="E623" s="8" t="s">
        <v>17</v>
      </c>
      <c r="F623" s="9">
        <v>46088.0</v>
      </c>
      <c r="G623" s="8" t="s">
        <v>171</v>
      </c>
      <c r="H623" s="8" t="s">
        <v>172</v>
      </c>
      <c r="I623" s="8" t="s">
        <v>2164</v>
      </c>
      <c r="J623" s="8" t="s">
        <v>2165</v>
      </c>
    </row>
    <row r="624">
      <c r="A624" s="7">
        <v>2.003631E7</v>
      </c>
      <c r="B624" s="8" t="s">
        <v>2134</v>
      </c>
      <c r="C624" s="8" t="s">
        <v>2166</v>
      </c>
      <c r="D624" s="8" t="s">
        <v>16</v>
      </c>
      <c r="E624" s="8" t="s">
        <v>17</v>
      </c>
      <c r="F624" s="9">
        <v>46057.0</v>
      </c>
      <c r="G624" s="8" t="s">
        <v>390</v>
      </c>
      <c r="H624" s="8" t="s">
        <v>391</v>
      </c>
      <c r="I624" s="8" t="s">
        <v>2167</v>
      </c>
      <c r="J624" s="8" t="s">
        <v>2168</v>
      </c>
    </row>
    <row r="625">
      <c r="A625" s="7">
        <v>2.0033787E7</v>
      </c>
      <c r="B625" s="8" t="s">
        <v>2134</v>
      </c>
      <c r="C625" s="8" t="s">
        <v>2169</v>
      </c>
      <c r="D625" s="8" t="s">
        <v>16</v>
      </c>
      <c r="E625" s="8" t="s">
        <v>17</v>
      </c>
      <c r="F625" s="9">
        <v>46049.0</v>
      </c>
      <c r="G625" s="8" t="s">
        <v>2170</v>
      </c>
      <c r="H625" s="8" t="s">
        <v>2171</v>
      </c>
      <c r="I625" s="8" t="s">
        <v>2172</v>
      </c>
      <c r="J625" s="8" t="s">
        <v>2173</v>
      </c>
    </row>
    <row r="626">
      <c r="A626" s="7">
        <v>2.0033489E7</v>
      </c>
      <c r="B626" s="8" t="s">
        <v>2134</v>
      </c>
      <c r="C626" s="8" t="s">
        <v>2174</v>
      </c>
      <c r="D626" s="8" t="s">
        <v>16</v>
      </c>
      <c r="E626" s="8" t="s">
        <v>17</v>
      </c>
      <c r="F626" s="9">
        <v>46049.0</v>
      </c>
      <c r="G626" s="8" t="s">
        <v>607</v>
      </c>
      <c r="H626" s="8" t="s">
        <v>608</v>
      </c>
      <c r="I626" s="8" t="s">
        <v>2175</v>
      </c>
      <c r="J626" s="8" t="s">
        <v>2176</v>
      </c>
    </row>
    <row r="627">
      <c r="A627" s="7">
        <v>2.0029517E7</v>
      </c>
      <c r="B627" s="8" t="s">
        <v>2134</v>
      </c>
      <c r="C627" s="8" t="s">
        <v>2177</v>
      </c>
      <c r="D627" s="8" t="s">
        <v>16</v>
      </c>
      <c r="E627" s="8" t="s">
        <v>17</v>
      </c>
      <c r="F627" s="9">
        <v>46053.0</v>
      </c>
      <c r="G627" s="8" t="s">
        <v>436</v>
      </c>
      <c r="H627" s="8" t="s">
        <v>437</v>
      </c>
      <c r="I627" s="8" t="s">
        <v>2178</v>
      </c>
      <c r="J627" s="8" t="s">
        <v>2179</v>
      </c>
    </row>
    <row r="628">
      <c r="A628" s="7">
        <v>2.0033622E7</v>
      </c>
      <c r="B628" s="8" t="s">
        <v>2134</v>
      </c>
      <c r="C628" s="8" t="s">
        <v>2180</v>
      </c>
      <c r="D628" s="8" t="s">
        <v>16</v>
      </c>
      <c r="E628" s="8" t="s">
        <v>17</v>
      </c>
      <c r="F628" s="9">
        <v>46050.0</v>
      </c>
      <c r="G628" s="8" t="s">
        <v>2181</v>
      </c>
      <c r="H628" s="8" t="s">
        <v>2182</v>
      </c>
      <c r="I628" s="8" t="s">
        <v>2183</v>
      </c>
      <c r="J628" s="8" t="s">
        <v>2184</v>
      </c>
    </row>
    <row r="629">
      <c r="A629" s="7">
        <v>2.0033565E7</v>
      </c>
      <c r="B629" s="8" t="s">
        <v>2134</v>
      </c>
      <c r="C629" s="8" t="s">
        <v>2185</v>
      </c>
      <c r="D629" s="8" t="s">
        <v>16</v>
      </c>
      <c r="E629" s="8" t="s">
        <v>17</v>
      </c>
      <c r="F629" s="9">
        <v>46051.0</v>
      </c>
      <c r="G629" s="8" t="s">
        <v>2186</v>
      </c>
      <c r="H629" s="8" t="s">
        <v>2187</v>
      </c>
      <c r="I629" s="8" t="s">
        <v>2188</v>
      </c>
      <c r="J629" s="8" t="s">
        <v>2189</v>
      </c>
    </row>
    <row r="630">
      <c r="A630" s="7">
        <v>2.0033559E7</v>
      </c>
      <c r="B630" s="8" t="s">
        <v>2134</v>
      </c>
      <c r="C630" s="8" t="s">
        <v>2190</v>
      </c>
      <c r="D630" s="8" t="s">
        <v>16</v>
      </c>
      <c r="E630" s="8" t="s">
        <v>17</v>
      </c>
      <c r="F630" s="9">
        <v>46054.0</v>
      </c>
      <c r="G630" s="8" t="s">
        <v>184</v>
      </c>
      <c r="H630" s="8" t="s">
        <v>185</v>
      </c>
      <c r="I630" s="8" t="s">
        <v>2191</v>
      </c>
      <c r="J630" s="8" t="s">
        <v>2192</v>
      </c>
    </row>
    <row r="631">
      <c r="A631" s="7">
        <v>2.0033544E7</v>
      </c>
      <c r="B631" s="8" t="s">
        <v>2134</v>
      </c>
      <c r="C631" s="8" t="s">
        <v>2193</v>
      </c>
      <c r="D631" s="8" t="s">
        <v>16</v>
      </c>
      <c r="E631" s="8" t="s">
        <v>17</v>
      </c>
      <c r="F631" s="9">
        <v>46051.0</v>
      </c>
      <c r="G631" s="8" t="s">
        <v>2194</v>
      </c>
      <c r="H631" s="8" t="s">
        <v>2195</v>
      </c>
      <c r="I631" s="8" t="s">
        <v>2196</v>
      </c>
      <c r="J631" s="8" t="s">
        <v>2197</v>
      </c>
    </row>
    <row r="632">
      <c r="A632" s="7">
        <v>2.0033547E7</v>
      </c>
      <c r="B632" s="8" t="s">
        <v>2134</v>
      </c>
      <c r="C632" s="8" t="s">
        <v>2198</v>
      </c>
      <c r="D632" s="8" t="s">
        <v>16</v>
      </c>
      <c r="E632" s="8" t="s">
        <v>17</v>
      </c>
      <c r="F632" s="9">
        <v>46049.0</v>
      </c>
      <c r="G632" s="8" t="s">
        <v>124</v>
      </c>
      <c r="H632" s="8" t="s">
        <v>125</v>
      </c>
      <c r="I632" s="8" t="s">
        <v>2199</v>
      </c>
      <c r="J632" s="8" t="s">
        <v>2200</v>
      </c>
    </row>
    <row r="633">
      <c r="A633" s="7">
        <v>2.0033103E7</v>
      </c>
      <c r="B633" s="8" t="s">
        <v>2134</v>
      </c>
      <c r="C633" s="8" t="s">
        <v>2201</v>
      </c>
      <c r="D633" s="8" t="s">
        <v>16</v>
      </c>
      <c r="E633" s="8" t="s">
        <v>17</v>
      </c>
      <c r="F633" s="9">
        <v>46042.0</v>
      </c>
      <c r="G633" s="8" t="s">
        <v>2202</v>
      </c>
      <c r="H633" s="8" t="s">
        <v>2203</v>
      </c>
      <c r="I633" s="8" t="s">
        <v>2204</v>
      </c>
      <c r="J633" s="8" t="s">
        <v>2205</v>
      </c>
    </row>
    <row r="634">
      <c r="A634" s="7">
        <v>2.0032954E7</v>
      </c>
      <c r="B634" s="8" t="s">
        <v>2134</v>
      </c>
      <c r="C634" s="8" t="s">
        <v>2206</v>
      </c>
      <c r="D634" s="8" t="s">
        <v>16</v>
      </c>
      <c r="E634" s="8" t="s">
        <v>17</v>
      </c>
      <c r="F634" s="9">
        <v>46043.0</v>
      </c>
      <c r="G634" s="8" t="s">
        <v>361</v>
      </c>
      <c r="H634" s="8" t="s">
        <v>362</v>
      </c>
      <c r="I634" s="8" t="s">
        <v>2207</v>
      </c>
      <c r="J634" s="8" t="s">
        <v>2208</v>
      </c>
    </row>
    <row r="635">
      <c r="A635" s="7">
        <v>2.0032715E7</v>
      </c>
      <c r="B635" s="8" t="s">
        <v>2134</v>
      </c>
      <c r="C635" s="8" t="s">
        <v>2209</v>
      </c>
      <c r="D635" s="8" t="s">
        <v>16</v>
      </c>
      <c r="E635" s="8" t="s">
        <v>17</v>
      </c>
      <c r="F635" s="9">
        <v>46046.0</v>
      </c>
      <c r="G635" s="8" t="s">
        <v>314</v>
      </c>
      <c r="H635" s="8" t="s">
        <v>315</v>
      </c>
      <c r="I635" s="8" t="s">
        <v>2210</v>
      </c>
      <c r="J635" s="8" t="s">
        <v>2211</v>
      </c>
    </row>
    <row r="636">
      <c r="A636" s="7">
        <v>2.0031891E7</v>
      </c>
      <c r="B636" s="8" t="s">
        <v>2134</v>
      </c>
      <c r="C636" s="8" t="s">
        <v>2212</v>
      </c>
      <c r="D636" s="8" t="s">
        <v>16</v>
      </c>
      <c r="E636" s="8" t="s">
        <v>1074</v>
      </c>
      <c r="F636" s="9">
        <v>46043.0</v>
      </c>
      <c r="G636" s="8" t="s">
        <v>390</v>
      </c>
      <c r="H636" s="8" t="s">
        <v>391</v>
      </c>
      <c r="I636" s="8" t="s">
        <v>2213</v>
      </c>
      <c r="J636" s="8" t="s">
        <v>2214</v>
      </c>
    </row>
    <row r="637">
      <c r="A637" s="7">
        <v>2.0032806E7</v>
      </c>
      <c r="B637" s="8" t="s">
        <v>2134</v>
      </c>
      <c r="C637" s="8" t="s">
        <v>2215</v>
      </c>
      <c r="D637" s="8" t="s">
        <v>16</v>
      </c>
      <c r="E637" s="8" t="s">
        <v>17</v>
      </c>
      <c r="F637" s="9">
        <v>46033.0</v>
      </c>
      <c r="G637" s="8" t="s">
        <v>34</v>
      </c>
      <c r="H637" s="8" t="s">
        <v>35</v>
      </c>
      <c r="I637" s="8" t="s">
        <v>2216</v>
      </c>
      <c r="J637" s="8" t="s">
        <v>2217</v>
      </c>
    </row>
    <row r="638">
      <c r="A638" s="7">
        <v>2.0029678E7</v>
      </c>
      <c r="B638" s="8" t="s">
        <v>2134</v>
      </c>
      <c r="C638" s="8" t="s">
        <v>2218</v>
      </c>
      <c r="D638" s="8" t="s">
        <v>16</v>
      </c>
      <c r="E638" s="8" t="s">
        <v>17</v>
      </c>
      <c r="F638" s="9">
        <v>46037.0</v>
      </c>
      <c r="G638" s="8" t="s">
        <v>365</v>
      </c>
      <c r="H638" s="8" t="s">
        <v>366</v>
      </c>
      <c r="I638" s="8" t="s">
        <v>2219</v>
      </c>
      <c r="J638" s="8" t="s">
        <v>2220</v>
      </c>
    </row>
    <row r="639">
      <c r="A639" s="7">
        <v>2.0032568E7</v>
      </c>
      <c r="B639" s="8" t="s">
        <v>2134</v>
      </c>
      <c r="C639" s="8" t="s">
        <v>2221</v>
      </c>
      <c r="D639" s="8" t="s">
        <v>16</v>
      </c>
      <c r="E639" s="8" t="s">
        <v>17</v>
      </c>
      <c r="F639" s="9">
        <v>46043.0</v>
      </c>
      <c r="G639" s="8" t="s">
        <v>486</v>
      </c>
      <c r="H639" s="8" t="s">
        <v>487</v>
      </c>
      <c r="I639" s="8" t="s">
        <v>2222</v>
      </c>
      <c r="J639" s="8" t="s">
        <v>2223</v>
      </c>
    </row>
    <row r="640">
      <c r="A640" s="7">
        <v>2.0032539E7</v>
      </c>
      <c r="B640" s="8" t="s">
        <v>2134</v>
      </c>
      <c r="C640" s="8" t="s">
        <v>2224</v>
      </c>
      <c r="D640" s="8" t="s">
        <v>16</v>
      </c>
      <c r="E640" s="8" t="s">
        <v>17</v>
      </c>
      <c r="F640" s="9">
        <v>46034.0</v>
      </c>
      <c r="G640" s="8" t="s">
        <v>2225</v>
      </c>
      <c r="H640" s="8" t="s">
        <v>2226</v>
      </c>
      <c r="I640" s="8" t="s">
        <v>2227</v>
      </c>
      <c r="J640" s="8" t="s">
        <v>2228</v>
      </c>
    </row>
    <row r="641">
      <c r="A641" s="7">
        <v>2.0032589E7</v>
      </c>
      <c r="B641" s="8" t="s">
        <v>2134</v>
      </c>
      <c r="C641" s="8" t="s">
        <v>2229</v>
      </c>
      <c r="D641" s="8" t="s">
        <v>16</v>
      </c>
      <c r="E641" s="8" t="s">
        <v>17</v>
      </c>
      <c r="F641" s="9">
        <v>46028.0</v>
      </c>
      <c r="G641" s="8" t="s">
        <v>91</v>
      </c>
      <c r="H641" s="8" t="s">
        <v>92</v>
      </c>
      <c r="I641" s="8" t="s">
        <v>2230</v>
      </c>
      <c r="J641" s="8" t="s">
        <v>2231</v>
      </c>
    </row>
    <row r="642">
      <c r="A642" s="7">
        <v>2.0032516E7</v>
      </c>
      <c r="B642" s="8" t="s">
        <v>2134</v>
      </c>
      <c r="C642" s="8" t="s">
        <v>2232</v>
      </c>
      <c r="D642" s="8" t="s">
        <v>16</v>
      </c>
      <c r="E642" s="8" t="s">
        <v>17</v>
      </c>
      <c r="F642" s="9">
        <v>46032.0</v>
      </c>
      <c r="G642" s="8" t="s">
        <v>365</v>
      </c>
      <c r="H642" s="8" t="s">
        <v>366</v>
      </c>
      <c r="I642" s="8" t="s">
        <v>2233</v>
      </c>
      <c r="J642" s="8" t="s">
        <v>2234</v>
      </c>
    </row>
    <row r="643">
      <c r="A643" s="7">
        <v>2.0032513E7</v>
      </c>
      <c r="B643" s="8" t="s">
        <v>2134</v>
      </c>
      <c r="C643" s="8" t="s">
        <v>2235</v>
      </c>
      <c r="D643" s="8" t="s">
        <v>16</v>
      </c>
      <c r="E643" s="8" t="s">
        <v>17</v>
      </c>
      <c r="F643" s="9">
        <v>46032.0</v>
      </c>
      <c r="G643" s="8" t="s">
        <v>2236</v>
      </c>
      <c r="H643" s="8" t="s">
        <v>2237</v>
      </c>
      <c r="I643" s="8" t="s">
        <v>2238</v>
      </c>
      <c r="J643" s="8" t="s">
        <v>2239</v>
      </c>
    </row>
    <row r="644">
      <c r="A644" s="7">
        <v>2.0032374E7</v>
      </c>
      <c r="B644" s="8" t="s">
        <v>2134</v>
      </c>
      <c r="C644" s="8" t="s">
        <v>2240</v>
      </c>
      <c r="D644" s="8" t="s">
        <v>16</v>
      </c>
      <c r="E644" s="8" t="s">
        <v>17</v>
      </c>
      <c r="F644" s="9">
        <v>46042.0</v>
      </c>
      <c r="G644" s="8" t="s">
        <v>1174</v>
      </c>
      <c r="H644" s="8" t="s">
        <v>1175</v>
      </c>
      <c r="I644" s="8" t="s">
        <v>2241</v>
      </c>
      <c r="J644" s="8" t="s">
        <v>2242</v>
      </c>
    </row>
    <row r="645">
      <c r="A645" s="7">
        <v>2.0032028E7</v>
      </c>
      <c r="B645" s="8" t="s">
        <v>2134</v>
      </c>
      <c r="C645" s="8" t="s">
        <v>2243</v>
      </c>
      <c r="D645" s="8" t="s">
        <v>16</v>
      </c>
      <c r="E645" s="8" t="s">
        <v>17</v>
      </c>
      <c r="F645" s="9">
        <v>46042.0</v>
      </c>
      <c r="G645" s="8" t="s">
        <v>59</v>
      </c>
      <c r="H645" s="8" t="s">
        <v>60</v>
      </c>
      <c r="I645" s="8" t="s">
        <v>2244</v>
      </c>
      <c r="J645" s="8" t="s">
        <v>2245</v>
      </c>
    </row>
    <row r="646">
      <c r="A646" s="7">
        <v>2.0031969E7</v>
      </c>
      <c r="B646" s="8" t="s">
        <v>2134</v>
      </c>
      <c r="C646" s="8" t="s">
        <v>2246</v>
      </c>
      <c r="D646" s="8" t="s">
        <v>16</v>
      </c>
      <c r="E646" s="8" t="s">
        <v>17</v>
      </c>
      <c r="F646" s="9">
        <v>46050.0</v>
      </c>
      <c r="G646" s="8" t="s">
        <v>436</v>
      </c>
      <c r="H646" s="8" t="s">
        <v>437</v>
      </c>
      <c r="I646" s="8" t="s">
        <v>2247</v>
      </c>
      <c r="J646" s="8" t="s">
        <v>2248</v>
      </c>
    </row>
    <row r="647">
      <c r="A647" s="7">
        <v>2.0031458E7</v>
      </c>
      <c r="B647" s="8" t="s">
        <v>2134</v>
      </c>
      <c r="C647" s="8" t="s">
        <v>2249</v>
      </c>
      <c r="D647" s="8" t="s">
        <v>16</v>
      </c>
      <c r="E647" s="8" t="s">
        <v>17</v>
      </c>
      <c r="F647" s="9">
        <v>46031.0</v>
      </c>
      <c r="G647" s="8" t="s">
        <v>365</v>
      </c>
      <c r="H647" s="8" t="s">
        <v>366</v>
      </c>
      <c r="I647" s="8" t="s">
        <v>2250</v>
      </c>
      <c r="J647" s="8" t="s">
        <v>2251</v>
      </c>
    </row>
    <row r="648">
      <c r="A648" s="7">
        <v>2.0031977E7</v>
      </c>
      <c r="B648" s="8" t="s">
        <v>2134</v>
      </c>
      <c r="C648" s="8" t="s">
        <v>2252</v>
      </c>
      <c r="D648" s="8" t="s">
        <v>16</v>
      </c>
      <c r="E648" s="8" t="s">
        <v>17</v>
      </c>
      <c r="F648" s="9">
        <v>46027.0</v>
      </c>
      <c r="G648" s="8" t="s">
        <v>109</v>
      </c>
      <c r="H648" s="8" t="s">
        <v>110</v>
      </c>
      <c r="I648" s="8" t="s">
        <v>2253</v>
      </c>
      <c r="J648" s="8" t="s">
        <v>2254</v>
      </c>
    </row>
    <row r="649">
      <c r="A649" s="7">
        <v>2.003195E7</v>
      </c>
      <c r="B649" s="8" t="s">
        <v>2134</v>
      </c>
      <c r="C649" s="8" t="s">
        <v>2255</v>
      </c>
      <c r="D649" s="8" t="s">
        <v>16</v>
      </c>
      <c r="E649" s="8" t="s">
        <v>17</v>
      </c>
      <c r="F649" s="9">
        <v>46042.0</v>
      </c>
      <c r="G649" s="8" t="s">
        <v>2256</v>
      </c>
      <c r="H649" s="8" t="s">
        <v>2257</v>
      </c>
      <c r="I649" s="8" t="s">
        <v>2258</v>
      </c>
      <c r="J649" s="8" t="s">
        <v>2259</v>
      </c>
    </row>
    <row r="650">
      <c r="A650" s="7">
        <v>2.0031615E7</v>
      </c>
      <c r="B650" s="8" t="s">
        <v>2134</v>
      </c>
      <c r="C650" s="8" t="s">
        <v>2260</v>
      </c>
      <c r="D650" s="8" t="s">
        <v>16</v>
      </c>
      <c r="E650" s="8" t="s">
        <v>17</v>
      </c>
      <c r="F650" s="9">
        <v>46044.0</v>
      </c>
      <c r="G650" s="8" t="s">
        <v>626</v>
      </c>
      <c r="H650" s="8" t="s">
        <v>627</v>
      </c>
      <c r="I650" s="8" t="s">
        <v>2261</v>
      </c>
      <c r="J650" s="8" t="s">
        <v>2262</v>
      </c>
    </row>
    <row r="651">
      <c r="A651" s="7">
        <v>2.0031576E7</v>
      </c>
      <c r="B651" s="8" t="s">
        <v>2134</v>
      </c>
      <c r="C651" s="8" t="s">
        <v>2263</v>
      </c>
      <c r="D651" s="8" t="s">
        <v>16</v>
      </c>
      <c r="E651" s="8" t="s">
        <v>17</v>
      </c>
      <c r="F651" s="9">
        <v>46033.0</v>
      </c>
      <c r="G651" s="8" t="s">
        <v>365</v>
      </c>
      <c r="H651" s="8" t="s">
        <v>366</v>
      </c>
      <c r="I651" s="8" t="s">
        <v>2264</v>
      </c>
      <c r="J651" s="8" t="s">
        <v>2265</v>
      </c>
    </row>
    <row r="652">
      <c r="A652" s="7">
        <v>2.0031579E7</v>
      </c>
      <c r="B652" s="8" t="s">
        <v>2134</v>
      </c>
      <c r="C652" s="8" t="s">
        <v>2266</v>
      </c>
      <c r="D652" s="8" t="s">
        <v>16</v>
      </c>
      <c r="E652" s="8" t="s">
        <v>17</v>
      </c>
      <c r="F652" s="9">
        <v>46043.0</v>
      </c>
      <c r="G652" s="8" t="s">
        <v>114</v>
      </c>
      <c r="H652" s="8" t="s">
        <v>115</v>
      </c>
      <c r="I652" s="8" t="s">
        <v>2267</v>
      </c>
      <c r="J652" s="8" t="s">
        <v>2268</v>
      </c>
    </row>
    <row r="653">
      <c r="A653" s="7">
        <v>2.0031564E7</v>
      </c>
      <c r="B653" s="8" t="s">
        <v>2134</v>
      </c>
      <c r="C653" s="8" t="s">
        <v>2269</v>
      </c>
      <c r="D653" s="8" t="s">
        <v>16</v>
      </c>
      <c r="E653" s="8" t="s">
        <v>17</v>
      </c>
      <c r="F653" s="9">
        <v>46046.0</v>
      </c>
      <c r="G653" s="8" t="s">
        <v>390</v>
      </c>
      <c r="H653" s="8" t="s">
        <v>391</v>
      </c>
      <c r="I653" s="8" t="s">
        <v>2270</v>
      </c>
      <c r="J653" s="8" t="s">
        <v>2271</v>
      </c>
    </row>
    <row r="654">
      <c r="A654" s="7">
        <v>2.0031442E7</v>
      </c>
      <c r="B654" s="8" t="s">
        <v>2134</v>
      </c>
      <c r="C654" s="8" t="s">
        <v>2272</v>
      </c>
      <c r="D654" s="8" t="s">
        <v>16</v>
      </c>
      <c r="E654" s="8" t="s">
        <v>17</v>
      </c>
      <c r="F654" s="9">
        <v>46036.0</v>
      </c>
      <c r="G654" s="8" t="s">
        <v>352</v>
      </c>
      <c r="H654" s="8" t="s">
        <v>353</v>
      </c>
      <c r="I654" s="8" t="s">
        <v>2273</v>
      </c>
      <c r="J654" s="8" t="s">
        <v>2274</v>
      </c>
    </row>
    <row r="655">
      <c r="A655" s="7">
        <v>2.0031315E7</v>
      </c>
      <c r="B655" s="8" t="s">
        <v>2134</v>
      </c>
      <c r="C655" s="8" t="s">
        <v>2275</v>
      </c>
      <c r="D655" s="8" t="s">
        <v>16</v>
      </c>
      <c r="E655" s="8" t="s">
        <v>17</v>
      </c>
      <c r="F655" s="9">
        <v>46043.0</v>
      </c>
      <c r="G655" s="8" t="s">
        <v>390</v>
      </c>
      <c r="H655" s="8" t="s">
        <v>391</v>
      </c>
      <c r="I655" s="8" t="s">
        <v>2276</v>
      </c>
      <c r="J655" s="8" t="s">
        <v>2277</v>
      </c>
    </row>
    <row r="656">
      <c r="A656" s="7">
        <v>2.003129E7</v>
      </c>
      <c r="B656" s="8" t="s">
        <v>2134</v>
      </c>
      <c r="C656" s="8" t="s">
        <v>2278</v>
      </c>
      <c r="D656" s="8" t="s">
        <v>16</v>
      </c>
      <c r="E656" s="8" t="s">
        <v>17</v>
      </c>
      <c r="F656" s="9">
        <v>46046.0</v>
      </c>
      <c r="G656" s="8" t="s">
        <v>1941</v>
      </c>
      <c r="H656" s="8" t="s">
        <v>1942</v>
      </c>
      <c r="I656" s="8" t="s">
        <v>2279</v>
      </c>
      <c r="J656" s="8" t="s">
        <v>2280</v>
      </c>
    </row>
    <row r="657">
      <c r="A657" s="7">
        <v>2.0031276E7</v>
      </c>
      <c r="B657" s="8" t="s">
        <v>2134</v>
      </c>
      <c r="C657" s="8" t="s">
        <v>2281</v>
      </c>
      <c r="D657" s="8" t="s">
        <v>16</v>
      </c>
      <c r="E657" s="8" t="s">
        <v>17</v>
      </c>
      <c r="F657" s="9">
        <v>46045.0</v>
      </c>
      <c r="G657" s="8" t="s">
        <v>137</v>
      </c>
      <c r="H657" s="8" t="s">
        <v>138</v>
      </c>
      <c r="I657" s="8" t="s">
        <v>2282</v>
      </c>
      <c r="J657" s="8" t="s">
        <v>2283</v>
      </c>
    </row>
    <row r="658">
      <c r="A658" s="7">
        <v>2.0031091E7</v>
      </c>
      <c r="B658" s="8" t="s">
        <v>2134</v>
      </c>
      <c r="C658" s="8" t="s">
        <v>2284</v>
      </c>
      <c r="D658" s="8" t="s">
        <v>16</v>
      </c>
      <c r="E658" s="8" t="s">
        <v>17</v>
      </c>
      <c r="F658" s="9">
        <v>46042.0</v>
      </c>
      <c r="G658" s="8" t="s">
        <v>486</v>
      </c>
      <c r="H658" s="8" t="s">
        <v>487</v>
      </c>
      <c r="I658" s="8" t="s">
        <v>2285</v>
      </c>
      <c r="J658" s="8" t="s">
        <v>2286</v>
      </c>
    </row>
    <row r="659">
      <c r="A659" s="7">
        <v>2.0030954E7</v>
      </c>
      <c r="B659" s="8" t="s">
        <v>2134</v>
      </c>
      <c r="C659" s="8" t="s">
        <v>2287</v>
      </c>
      <c r="D659" s="8" t="s">
        <v>16</v>
      </c>
      <c r="E659" s="8" t="s">
        <v>17</v>
      </c>
      <c r="F659" s="9">
        <v>46041.0</v>
      </c>
      <c r="G659" s="8" t="s">
        <v>1085</v>
      </c>
      <c r="H659" s="8" t="s">
        <v>1086</v>
      </c>
      <c r="I659" s="8" t="s">
        <v>2288</v>
      </c>
      <c r="J659" s="8" t="s">
        <v>2289</v>
      </c>
    </row>
    <row r="660">
      <c r="A660" s="7">
        <v>2.0030987E7</v>
      </c>
      <c r="B660" s="8" t="s">
        <v>2134</v>
      </c>
      <c r="C660" s="8" t="s">
        <v>2290</v>
      </c>
      <c r="D660" s="8" t="s">
        <v>16</v>
      </c>
      <c r="E660" s="8" t="s">
        <v>17</v>
      </c>
      <c r="F660" s="9">
        <v>46035.0</v>
      </c>
      <c r="G660" s="8" t="s">
        <v>365</v>
      </c>
      <c r="H660" s="8" t="s">
        <v>366</v>
      </c>
      <c r="I660" s="8" t="s">
        <v>2291</v>
      </c>
      <c r="J660" s="8" t="s">
        <v>2292</v>
      </c>
    </row>
    <row r="661">
      <c r="A661" s="7">
        <v>2.0030916E7</v>
      </c>
      <c r="B661" s="8" t="s">
        <v>2134</v>
      </c>
      <c r="C661" s="8" t="s">
        <v>2293</v>
      </c>
      <c r="D661" s="8" t="s">
        <v>16</v>
      </c>
      <c r="E661" s="8" t="s">
        <v>17</v>
      </c>
      <c r="F661" s="9">
        <v>46026.0</v>
      </c>
      <c r="G661" s="8" t="s">
        <v>2294</v>
      </c>
      <c r="H661" s="8" t="s">
        <v>2295</v>
      </c>
      <c r="I661" s="8" t="s">
        <v>2296</v>
      </c>
      <c r="J661" s="8" t="s">
        <v>2297</v>
      </c>
    </row>
    <row r="662">
      <c r="A662" s="7">
        <v>2.003097E7</v>
      </c>
      <c r="B662" s="8" t="s">
        <v>2134</v>
      </c>
      <c r="C662" s="8" t="s">
        <v>2298</v>
      </c>
      <c r="D662" s="8" t="s">
        <v>16</v>
      </c>
      <c r="E662" s="8" t="s">
        <v>17</v>
      </c>
      <c r="F662" s="9">
        <v>46046.0</v>
      </c>
      <c r="G662" s="8" t="s">
        <v>436</v>
      </c>
      <c r="H662" s="8" t="s">
        <v>437</v>
      </c>
      <c r="I662" s="8" t="s">
        <v>2299</v>
      </c>
      <c r="J662" s="8" t="s">
        <v>2300</v>
      </c>
    </row>
    <row r="663">
      <c r="A663" s="7">
        <v>2.0030736E7</v>
      </c>
      <c r="B663" s="8" t="s">
        <v>2134</v>
      </c>
      <c r="C663" s="8" t="s">
        <v>2301</v>
      </c>
      <c r="D663" s="8" t="s">
        <v>16</v>
      </c>
      <c r="E663" s="8" t="s">
        <v>17</v>
      </c>
      <c r="F663" s="9">
        <v>46035.0</v>
      </c>
      <c r="G663" s="8" t="s">
        <v>630</v>
      </c>
      <c r="H663" s="8" t="s">
        <v>631</v>
      </c>
      <c r="I663" s="8" t="s">
        <v>2302</v>
      </c>
      <c r="J663" s="8" t="s">
        <v>2303</v>
      </c>
    </row>
    <row r="664">
      <c r="A664" s="7">
        <v>2.0027379E7</v>
      </c>
      <c r="B664" s="8" t="s">
        <v>2134</v>
      </c>
      <c r="C664" s="8" t="s">
        <v>2304</v>
      </c>
      <c r="D664" s="8" t="s">
        <v>16</v>
      </c>
      <c r="E664" s="8" t="s">
        <v>17</v>
      </c>
      <c r="F664" s="9">
        <v>46030.0</v>
      </c>
      <c r="G664" s="8" t="s">
        <v>978</v>
      </c>
      <c r="H664" s="8" t="s">
        <v>979</v>
      </c>
      <c r="I664" s="8" t="s">
        <v>2305</v>
      </c>
      <c r="J664" s="8" t="s">
        <v>2306</v>
      </c>
    </row>
    <row r="665">
      <c r="A665" s="7">
        <v>2.0030759E7</v>
      </c>
      <c r="B665" s="8" t="s">
        <v>2134</v>
      </c>
      <c r="C665" s="8" t="s">
        <v>2307</v>
      </c>
      <c r="D665" s="8" t="s">
        <v>16</v>
      </c>
      <c r="E665" s="8" t="s">
        <v>17</v>
      </c>
      <c r="F665" s="9">
        <v>46046.0</v>
      </c>
      <c r="G665" s="8" t="s">
        <v>184</v>
      </c>
      <c r="H665" s="8" t="s">
        <v>185</v>
      </c>
      <c r="I665" s="8" t="s">
        <v>2308</v>
      </c>
      <c r="J665" s="8" t="s">
        <v>2309</v>
      </c>
    </row>
    <row r="666">
      <c r="A666" s="7">
        <v>2.0030632E7</v>
      </c>
      <c r="B666" s="8" t="s">
        <v>2134</v>
      </c>
      <c r="C666" s="8" t="s">
        <v>2310</v>
      </c>
      <c r="D666" s="8" t="s">
        <v>16</v>
      </c>
      <c r="E666" s="8" t="s">
        <v>17</v>
      </c>
      <c r="F666" s="9">
        <v>46026.0</v>
      </c>
      <c r="G666" s="8" t="s">
        <v>882</v>
      </c>
      <c r="H666" s="8" t="s">
        <v>883</v>
      </c>
      <c r="I666" s="8" t="s">
        <v>2311</v>
      </c>
      <c r="J666" s="8" t="s">
        <v>2312</v>
      </c>
    </row>
    <row r="667">
      <c r="A667" s="7">
        <v>2.0030499E7</v>
      </c>
      <c r="B667" s="8" t="s">
        <v>2134</v>
      </c>
      <c r="C667" s="8" t="s">
        <v>2313</v>
      </c>
      <c r="D667" s="8" t="s">
        <v>16</v>
      </c>
      <c r="E667" s="8" t="s">
        <v>17</v>
      </c>
      <c r="F667" s="9">
        <v>46026.0</v>
      </c>
      <c r="G667" s="8" t="s">
        <v>1169</v>
      </c>
      <c r="H667" s="8" t="s">
        <v>1170</v>
      </c>
      <c r="I667" s="8" t="s">
        <v>2314</v>
      </c>
      <c r="J667" s="8" t="s">
        <v>2315</v>
      </c>
    </row>
    <row r="668">
      <c r="A668" s="7">
        <v>2.0030447E7</v>
      </c>
      <c r="B668" s="8" t="s">
        <v>2134</v>
      </c>
      <c r="C668" s="8" t="s">
        <v>2316</v>
      </c>
      <c r="D668" s="8" t="s">
        <v>16</v>
      </c>
      <c r="E668" s="8" t="s">
        <v>17</v>
      </c>
      <c r="F668" s="9">
        <v>46049.0</v>
      </c>
      <c r="G668" s="8" t="s">
        <v>1049</v>
      </c>
      <c r="H668" s="8" t="s">
        <v>1050</v>
      </c>
      <c r="I668" s="8" t="s">
        <v>2317</v>
      </c>
      <c r="J668" s="8" t="s">
        <v>2318</v>
      </c>
    </row>
    <row r="669">
      <c r="A669" s="7">
        <v>2.0030075E7</v>
      </c>
      <c r="B669" s="8" t="s">
        <v>2134</v>
      </c>
      <c r="C669" s="8" t="s">
        <v>2319</v>
      </c>
      <c r="D669" s="8" t="s">
        <v>16</v>
      </c>
      <c r="E669" s="8" t="s">
        <v>17</v>
      </c>
      <c r="F669" s="9">
        <v>46040.0</v>
      </c>
      <c r="G669" s="8" t="s">
        <v>2320</v>
      </c>
      <c r="H669" s="8" t="s">
        <v>2321</v>
      </c>
      <c r="I669" s="8" t="s">
        <v>2322</v>
      </c>
      <c r="J669" s="8" t="s">
        <v>2323</v>
      </c>
    </row>
    <row r="670">
      <c r="A670" s="7">
        <v>2.0030117E7</v>
      </c>
      <c r="B670" s="8" t="s">
        <v>2134</v>
      </c>
      <c r="C670" s="8" t="s">
        <v>2324</v>
      </c>
      <c r="D670" s="8" t="s">
        <v>16</v>
      </c>
      <c r="E670" s="8" t="s">
        <v>17</v>
      </c>
      <c r="F670" s="9">
        <v>46036.0</v>
      </c>
      <c r="G670" s="8" t="s">
        <v>1355</v>
      </c>
      <c r="H670" s="8" t="s">
        <v>1356</v>
      </c>
      <c r="I670" s="8" t="s">
        <v>2325</v>
      </c>
      <c r="J670" s="8" t="s">
        <v>2326</v>
      </c>
    </row>
    <row r="671">
      <c r="A671" s="7">
        <v>2.0030017E7</v>
      </c>
      <c r="B671" s="8" t="s">
        <v>2134</v>
      </c>
      <c r="C671" s="8" t="s">
        <v>2327</v>
      </c>
      <c r="D671" s="8" t="s">
        <v>16</v>
      </c>
      <c r="E671" s="8" t="s">
        <v>17</v>
      </c>
      <c r="F671" s="9">
        <v>46035.0</v>
      </c>
      <c r="G671" s="8" t="s">
        <v>18</v>
      </c>
      <c r="H671" s="8" t="s">
        <v>19</v>
      </c>
      <c r="I671" s="8" t="s">
        <v>2328</v>
      </c>
      <c r="J671" s="8" t="s">
        <v>2329</v>
      </c>
    </row>
    <row r="672">
      <c r="A672" s="7">
        <v>2.0029928E7</v>
      </c>
      <c r="B672" s="8" t="s">
        <v>2134</v>
      </c>
      <c r="C672" s="8" t="s">
        <v>2330</v>
      </c>
      <c r="D672" s="8" t="s">
        <v>16</v>
      </c>
      <c r="E672" s="8" t="s">
        <v>17</v>
      </c>
      <c r="F672" s="9">
        <v>46043.0</v>
      </c>
      <c r="G672" s="8" t="s">
        <v>2331</v>
      </c>
      <c r="H672" s="8" t="s">
        <v>2332</v>
      </c>
      <c r="I672" s="8" t="s">
        <v>2333</v>
      </c>
      <c r="J672" s="8" t="s">
        <v>2334</v>
      </c>
    </row>
    <row r="673">
      <c r="A673" s="7">
        <v>2.0029848E7</v>
      </c>
      <c r="B673" s="8" t="s">
        <v>2134</v>
      </c>
      <c r="C673" s="8" t="s">
        <v>2335</v>
      </c>
      <c r="D673" s="8" t="s">
        <v>16</v>
      </c>
      <c r="E673" s="8" t="s">
        <v>17</v>
      </c>
      <c r="F673" s="9">
        <v>46041.0</v>
      </c>
      <c r="G673" s="8" t="s">
        <v>613</v>
      </c>
      <c r="H673" s="8" t="s">
        <v>614</v>
      </c>
      <c r="I673" s="8" t="s">
        <v>2336</v>
      </c>
      <c r="J673" s="8" t="s">
        <v>2337</v>
      </c>
    </row>
    <row r="674">
      <c r="A674" s="7">
        <v>2.0029553E7</v>
      </c>
      <c r="B674" s="8" t="s">
        <v>2134</v>
      </c>
      <c r="C674" s="8" t="s">
        <v>2338</v>
      </c>
      <c r="D674" s="8" t="s">
        <v>16</v>
      </c>
      <c r="E674" s="8" t="s">
        <v>17</v>
      </c>
      <c r="F674" s="9">
        <v>46042.0</v>
      </c>
      <c r="G674" s="8" t="s">
        <v>2339</v>
      </c>
      <c r="H674" s="8" t="s">
        <v>2340</v>
      </c>
      <c r="I674" s="8" t="s">
        <v>2341</v>
      </c>
      <c r="J674" s="8" t="s">
        <v>2342</v>
      </c>
    </row>
    <row r="675">
      <c r="A675" s="7">
        <v>2.0029416E7</v>
      </c>
      <c r="B675" s="8" t="s">
        <v>2134</v>
      </c>
      <c r="C675" s="8" t="s">
        <v>2343</v>
      </c>
      <c r="D675" s="8" t="s">
        <v>16</v>
      </c>
      <c r="E675" s="8" t="s">
        <v>17</v>
      </c>
      <c r="F675" s="9">
        <v>46042.0</v>
      </c>
      <c r="G675" s="8" t="s">
        <v>1787</v>
      </c>
      <c r="H675" s="8" t="s">
        <v>1788</v>
      </c>
      <c r="I675" s="8" t="s">
        <v>2344</v>
      </c>
      <c r="J675" s="8" t="s">
        <v>2345</v>
      </c>
    </row>
    <row r="676">
      <c r="A676" s="7">
        <v>2.0029308E7</v>
      </c>
      <c r="B676" s="8" t="s">
        <v>2134</v>
      </c>
      <c r="C676" s="8" t="s">
        <v>2346</v>
      </c>
      <c r="D676" s="8" t="s">
        <v>16</v>
      </c>
      <c r="E676" s="8" t="s">
        <v>17</v>
      </c>
      <c r="F676" s="9">
        <v>46026.0</v>
      </c>
      <c r="G676" s="8" t="s">
        <v>59</v>
      </c>
      <c r="H676" s="8" t="s">
        <v>60</v>
      </c>
      <c r="I676" s="8" t="s">
        <v>2347</v>
      </c>
      <c r="J676" s="8" t="s">
        <v>2348</v>
      </c>
    </row>
    <row r="677">
      <c r="A677" s="7">
        <v>2.0028973E7</v>
      </c>
      <c r="B677" s="8" t="s">
        <v>2134</v>
      </c>
      <c r="C677" s="8" t="s">
        <v>2349</v>
      </c>
      <c r="D677" s="8" t="s">
        <v>16</v>
      </c>
      <c r="E677" s="8" t="s">
        <v>17</v>
      </c>
      <c r="F677" s="9">
        <v>46026.0</v>
      </c>
      <c r="G677" s="8" t="s">
        <v>365</v>
      </c>
      <c r="H677" s="8" t="s">
        <v>366</v>
      </c>
      <c r="I677" s="8" t="s">
        <v>2350</v>
      </c>
      <c r="J677" s="8" t="s">
        <v>2351</v>
      </c>
    </row>
    <row r="678">
      <c r="A678" s="7">
        <v>2.0029065E7</v>
      </c>
      <c r="B678" s="8" t="s">
        <v>2134</v>
      </c>
      <c r="C678" s="8" t="s">
        <v>2352</v>
      </c>
      <c r="D678" s="8" t="s">
        <v>16</v>
      </c>
      <c r="E678" s="8" t="s">
        <v>17</v>
      </c>
      <c r="F678" s="9">
        <v>46039.0</v>
      </c>
      <c r="G678" s="8" t="s">
        <v>436</v>
      </c>
      <c r="H678" s="8" t="s">
        <v>437</v>
      </c>
      <c r="I678" s="8" t="s">
        <v>2353</v>
      </c>
      <c r="J678" s="8" t="s">
        <v>2354</v>
      </c>
    </row>
    <row r="679">
      <c r="A679" s="7">
        <v>2.0029049E7</v>
      </c>
      <c r="B679" s="8" t="s">
        <v>2134</v>
      </c>
      <c r="C679" s="8" t="s">
        <v>2355</v>
      </c>
      <c r="D679" s="8" t="s">
        <v>16</v>
      </c>
      <c r="E679" s="8" t="s">
        <v>17</v>
      </c>
      <c r="F679" s="9">
        <v>46038.0</v>
      </c>
      <c r="G679" s="8" t="s">
        <v>64</v>
      </c>
      <c r="H679" s="8" t="s">
        <v>65</v>
      </c>
      <c r="I679" s="8" t="s">
        <v>2356</v>
      </c>
      <c r="J679" s="8" t="s">
        <v>2357</v>
      </c>
    </row>
    <row r="680">
      <c r="A680" s="7">
        <v>2.0029084E7</v>
      </c>
      <c r="B680" s="8" t="s">
        <v>2134</v>
      </c>
      <c r="C680" s="8" t="s">
        <v>2358</v>
      </c>
      <c r="D680" s="8" t="s">
        <v>16</v>
      </c>
      <c r="E680" s="8" t="s">
        <v>17</v>
      </c>
      <c r="F680" s="9">
        <v>46039.0</v>
      </c>
      <c r="G680" s="8" t="s">
        <v>148</v>
      </c>
      <c r="H680" s="8" t="s">
        <v>149</v>
      </c>
      <c r="I680" s="8" t="s">
        <v>2359</v>
      </c>
      <c r="J680" s="8" t="s">
        <v>2360</v>
      </c>
    </row>
    <row r="681">
      <c r="A681" s="7">
        <v>2.0029071E7</v>
      </c>
      <c r="B681" s="8" t="s">
        <v>2134</v>
      </c>
      <c r="C681" s="8" t="s">
        <v>2361</v>
      </c>
      <c r="D681" s="8" t="s">
        <v>16</v>
      </c>
      <c r="E681" s="8" t="s">
        <v>17</v>
      </c>
      <c r="F681" s="9">
        <v>46042.0</v>
      </c>
      <c r="G681" s="8" t="s">
        <v>390</v>
      </c>
      <c r="H681" s="8" t="s">
        <v>391</v>
      </c>
      <c r="I681" s="8" t="s">
        <v>2362</v>
      </c>
      <c r="J681" s="8" t="s">
        <v>2363</v>
      </c>
    </row>
    <row r="682">
      <c r="A682" s="7">
        <v>2.002899E7</v>
      </c>
      <c r="B682" s="8" t="s">
        <v>2134</v>
      </c>
      <c r="C682" s="8" t="s">
        <v>2364</v>
      </c>
      <c r="D682" s="8" t="s">
        <v>16</v>
      </c>
      <c r="E682" s="8" t="s">
        <v>17</v>
      </c>
      <c r="F682" s="9">
        <v>46043.0</v>
      </c>
      <c r="G682" s="8" t="s">
        <v>390</v>
      </c>
      <c r="H682" s="8" t="s">
        <v>391</v>
      </c>
      <c r="I682" s="8" t="s">
        <v>2365</v>
      </c>
      <c r="J682" s="8" t="s">
        <v>2366</v>
      </c>
    </row>
    <row r="683">
      <c r="A683" s="7">
        <v>2.002881E7</v>
      </c>
      <c r="B683" s="8" t="s">
        <v>2134</v>
      </c>
      <c r="C683" s="8" t="s">
        <v>2367</v>
      </c>
      <c r="D683" s="8" t="s">
        <v>16</v>
      </c>
      <c r="E683" s="8" t="s">
        <v>17</v>
      </c>
      <c r="F683" s="9">
        <v>46039.0</v>
      </c>
      <c r="G683" s="8" t="s">
        <v>436</v>
      </c>
      <c r="H683" s="8" t="s">
        <v>437</v>
      </c>
      <c r="I683" s="8" t="s">
        <v>2368</v>
      </c>
      <c r="J683" s="8" t="s">
        <v>2369</v>
      </c>
    </row>
    <row r="684">
      <c r="A684" s="7">
        <v>2.002821E7</v>
      </c>
      <c r="B684" s="8" t="s">
        <v>2134</v>
      </c>
      <c r="C684" s="8" t="s">
        <v>2370</v>
      </c>
      <c r="D684" s="8" t="s">
        <v>16</v>
      </c>
      <c r="E684" s="8" t="s">
        <v>17</v>
      </c>
      <c r="F684" s="9">
        <v>46042.0</v>
      </c>
      <c r="G684" s="8" t="s">
        <v>124</v>
      </c>
      <c r="H684" s="8" t="s">
        <v>125</v>
      </c>
      <c r="I684" s="8" t="s">
        <v>2371</v>
      </c>
      <c r="J684" s="8" t="s">
        <v>2372</v>
      </c>
    </row>
    <row r="685">
      <c r="A685" s="7">
        <v>2.002895E7</v>
      </c>
      <c r="B685" s="8" t="s">
        <v>2134</v>
      </c>
      <c r="C685" s="8" t="s">
        <v>2373</v>
      </c>
      <c r="D685" s="8" t="s">
        <v>16</v>
      </c>
      <c r="E685" s="8" t="s">
        <v>17</v>
      </c>
      <c r="F685" s="9">
        <v>46036.0</v>
      </c>
      <c r="G685" s="8" t="s">
        <v>18</v>
      </c>
      <c r="H685" s="8" t="s">
        <v>19</v>
      </c>
      <c r="I685" s="8" t="s">
        <v>2374</v>
      </c>
      <c r="J685" s="8" t="s">
        <v>2375</v>
      </c>
    </row>
    <row r="686">
      <c r="A686" s="7">
        <v>2.0028872E7</v>
      </c>
      <c r="B686" s="8" t="s">
        <v>2134</v>
      </c>
      <c r="C686" s="8" t="s">
        <v>2376</v>
      </c>
      <c r="D686" s="8" t="s">
        <v>16</v>
      </c>
      <c r="E686" s="8" t="s">
        <v>17</v>
      </c>
      <c r="F686" s="9">
        <v>46035.0</v>
      </c>
      <c r="G686" s="8" t="s">
        <v>137</v>
      </c>
      <c r="H686" s="8" t="s">
        <v>138</v>
      </c>
      <c r="I686" s="8" t="s">
        <v>2377</v>
      </c>
      <c r="J686" s="8" t="s">
        <v>2378</v>
      </c>
    </row>
    <row r="687">
      <c r="A687" s="7">
        <v>2.0028298E7</v>
      </c>
      <c r="B687" s="8" t="s">
        <v>2134</v>
      </c>
      <c r="C687" s="8" t="s">
        <v>2379</v>
      </c>
      <c r="D687" s="8" t="s">
        <v>16</v>
      </c>
      <c r="E687" s="8" t="s">
        <v>17</v>
      </c>
      <c r="F687" s="9">
        <v>46036.0</v>
      </c>
      <c r="G687" s="8" t="s">
        <v>436</v>
      </c>
      <c r="H687" s="8" t="s">
        <v>437</v>
      </c>
      <c r="I687" s="8" t="s">
        <v>2380</v>
      </c>
      <c r="J687" s="8" t="s">
        <v>2381</v>
      </c>
    </row>
    <row r="688">
      <c r="A688" s="7">
        <v>2.0028734E7</v>
      </c>
      <c r="B688" s="8" t="s">
        <v>2134</v>
      </c>
      <c r="C688" s="8" t="s">
        <v>2382</v>
      </c>
      <c r="D688" s="8" t="s">
        <v>16</v>
      </c>
      <c r="E688" s="8" t="s">
        <v>17</v>
      </c>
      <c r="F688" s="9">
        <v>46037.0</v>
      </c>
      <c r="G688" s="8" t="s">
        <v>2256</v>
      </c>
      <c r="H688" s="8" t="s">
        <v>2257</v>
      </c>
      <c r="I688" s="8" t="s">
        <v>2383</v>
      </c>
      <c r="J688" s="8" t="s">
        <v>2384</v>
      </c>
    </row>
    <row r="689">
      <c r="A689" s="7">
        <v>2.0028637E7</v>
      </c>
      <c r="B689" s="8" t="s">
        <v>2134</v>
      </c>
      <c r="C689" s="8" t="s">
        <v>2385</v>
      </c>
      <c r="D689" s="8" t="s">
        <v>16</v>
      </c>
      <c r="E689" s="8" t="s">
        <v>17</v>
      </c>
      <c r="F689" s="9">
        <v>46036.0</v>
      </c>
      <c r="G689" s="8" t="s">
        <v>2386</v>
      </c>
      <c r="H689" s="8" t="s">
        <v>2387</v>
      </c>
      <c r="I689" s="8" t="s">
        <v>2388</v>
      </c>
      <c r="J689" s="8" t="s">
        <v>2389</v>
      </c>
    </row>
    <row r="690">
      <c r="A690" s="7">
        <v>2.002823E7</v>
      </c>
      <c r="B690" s="8" t="s">
        <v>2134</v>
      </c>
      <c r="C690" s="8" t="s">
        <v>2390</v>
      </c>
      <c r="D690" s="8" t="s">
        <v>16</v>
      </c>
      <c r="E690" s="8" t="s">
        <v>17</v>
      </c>
      <c r="F690" s="9">
        <v>46042.0</v>
      </c>
      <c r="G690" s="8" t="s">
        <v>390</v>
      </c>
      <c r="H690" s="8" t="s">
        <v>391</v>
      </c>
      <c r="I690" s="8" t="s">
        <v>2391</v>
      </c>
      <c r="J690" s="8" t="s">
        <v>2392</v>
      </c>
    </row>
    <row r="691">
      <c r="A691" s="7">
        <v>2.0028214E7</v>
      </c>
      <c r="B691" s="8" t="s">
        <v>2134</v>
      </c>
      <c r="C691" s="8" t="s">
        <v>2393</v>
      </c>
      <c r="D691" s="8" t="s">
        <v>16</v>
      </c>
      <c r="E691" s="8" t="s">
        <v>17</v>
      </c>
      <c r="F691" s="9">
        <v>46038.0</v>
      </c>
      <c r="G691" s="8" t="s">
        <v>390</v>
      </c>
      <c r="H691" s="8" t="s">
        <v>391</v>
      </c>
      <c r="I691" s="8" t="s">
        <v>2394</v>
      </c>
      <c r="J691" s="8" t="s">
        <v>2395</v>
      </c>
    </row>
    <row r="692">
      <c r="A692" s="7">
        <v>2.0028133E7</v>
      </c>
      <c r="B692" s="8" t="s">
        <v>2134</v>
      </c>
      <c r="C692" s="8" t="s">
        <v>2396</v>
      </c>
      <c r="D692" s="8" t="s">
        <v>16</v>
      </c>
      <c r="E692" s="8" t="s">
        <v>17</v>
      </c>
      <c r="F692" s="9">
        <v>46037.0</v>
      </c>
      <c r="G692" s="8" t="s">
        <v>390</v>
      </c>
      <c r="H692" s="8" t="s">
        <v>391</v>
      </c>
      <c r="I692" s="8" t="s">
        <v>2397</v>
      </c>
      <c r="J692" s="8" t="s">
        <v>2398</v>
      </c>
    </row>
    <row r="693">
      <c r="A693" s="7">
        <v>2.0027824E7</v>
      </c>
      <c r="B693" s="8" t="s">
        <v>2134</v>
      </c>
      <c r="C693" s="8" t="s">
        <v>2399</v>
      </c>
      <c r="D693" s="8" t="s">
        <v>16</v>
      </c>
      <c r="E693" s="8" t="s">
        <v>17</v>
      </c>
      <c r="F693" s="9">
        <v>46038.0</v>
      </c>
      <c r="G693" s="8" t="s">
        <v>2400</v>
      </c>
      <c r="H693" s="8" t="s">
        <v>2401</v>
      </c>
      <c r="I693" s="8" t="s">
        <v>2402</v>
      </c>
      <c r="J693" s="8" t="s">
        <v>2403</v>
      </c>
    </row>
    <row r="694">
      <c r="A694" s="7">
        <v>2.0028139E7</v>
      </c>
      <c r="B694" s="8" t="s">
        <v>2134</v>
      </c>
      <c r="C694" s="8" t="s">
        <v>2404</v>
      </c>
      <c r="D694" s="8" t="s">
        <v>16</v>
      </c>
      <c r="E694" s="8" t="s">
        <v>17</v>
      </c>
      <c r="F694" s="9">
        <v>46026.0</v>
      </c>
      <c r="G694" s="8" t="s">
        <v>171</v>
      </c>
      <c r="H694" s="8" t="s">
        <v>172</v>
      </c>
      <c r="I694" s="8" t="s">
        <v>2405</v>
      </c>
      <c r="J694" s="8" t="s">
        <v>2406</v>
      </c>
    </row>
    <row r="695">
      <c r="A695" s="7">
        <v>2.0028138E7</v>
      </c>
      <c r="B695" s="8" t="s">
        <v>2134</v>
      </c>
      <c r="C695" s="8" t="s">
        <v>2407</v>
      </c>
      <c r="D695" s="8" t="s">
        <v>16</v>
      </c>
      <c r="E695" s="8" t="s">
        <v>17</v>
      </c>
      <c r="F695" s="9">
        <v>46026.0</v>
      </c>
      <c r="G695" s="8" t="s">
        <v>1638</v>
      </c>
      <c r="H695" s="8" t="s">
        <v>1639</v>
      </c>
      <c r="I695" s="8" t="s">
        <v>2408</v>
      </c>
      <c r="J695" s="8" t="s">
        <v>2409</v>
      </c>
    </row>
    <row r="696">
      <c r="A696" s="7">
        <v>2.0027968E7</v>
      </c>
      <c r="B696" s="8" t="s">
        <v>2134</v>
      </c>
      <c r="C696" s="8" t="s">
        <v>2410</v>
      </c>
      <c r="D696" s="8" t="s">
        <v>16</v>
      </c>
      <c r="E696" s="8" t="s">
        <v>17</v>
      </c>
      <c r="F696" s="9">
        <v>46033.0</v>
      </c>
      <c r="G696" s="8" t="s">
        <v>1524</v>
      </c>
      <c r="H696" s="8" t="s">
        <v>1525</v>
      </c>
      <c r="I696" s="8" t="s">
        <v>2411</v>
      </c>
      <c r="J696" s="8" t="s">
        <v>2412</v>
      </c>
    </row>
    <row r="697">
      <c r="A697" s="7">
        <v>2.0027956E7</v>
      </c>
      <c r="B697" s="8" t="s">
        <v>2134</v>
      </c>
      <c r="C697" s="8" t="s">
        <v>2413</v>
      </c>
      <c r="D697" s="8" t="s">
        <v>16</v>
      </c>
      <c r="E697" s="8" t="s">
        <v>17</v>
      </c>
      <c r="F697" s="9">
        <v>46033.0</v>
      </c>
      <c r="G697" s="8" t="s">
        <v>486</v>
      </c>
      <c r="H697" s="8" t="s">
        <v>487</v>
      </c>
      <c r="I697" s="8" t="s">
        <v>2414</v>
      </c>
      <c r="J697" s="8" t="s">
        <v>2415</v>
      </c>
    </row>
    <row r="698">
      <c r="A698" s="7">
        <v>2.0027755E7</v>
      </c>
      <c r="B698" s="8" t="s">
        <v>2134</v>
      </c>
      <c r="C698" s="8" t="s">
        <v>2416</v>
      </c>
      <c r="D698" s="8" t="s">
        <v>16</v>
      </c>
      <c r="E698" s="8" t="s">
        <v>17</v>
      </c>
      <c r="F698" s="9">
        <v>46029.0</v>
      </c>
      <c r="G698" s="8" t="s">
        <v>2417</v>
      </c>
      <c r="H698" s="8" t="s">
        <v>2418</v>
      </c>
      <c r="I698" s="8" t="s">
        <v>2419</v>
      </c>
      <c r="J698" s="8" t="s">
        <v>2420</v>
      </c>
    </row>
    <row r="699">
      <c r="A699" s="7">
        <v>2.0027535E7</v>
      </c>
      <c r="B699" s="8" t="s">
        <v>2134</v>
      </c>
      <c r="C699" s="8" t="s">
        <v>2421</v>
      </c>
      <c r="D699" s="8" t="s">
        <v>16</v>
      </c>
      <c r="E699" s="8" t="s">
        <v>17</v>
      </c>
      <c r="F699" s="9">
        <v>46025.0</v>
      </c>
      <c r="G699" s="8" t="s">
        <v>2422</v>
      </c>
      <c r="H699" s="8" t="s">
        <v>2423</v>
      </c>
      <c r="I699" s="8" t="s">
        <v>2424</v>
      </c>
      <c r="J699" s="8" t="s">
        <v>2425</v>
      </c>
    </row>
    <row r="700">
      <c r="A700" s="7">
        <v>2.0027556E7</v>
      </c>
      <c r="B700" s="8" t="s">
        <v>2134</v>
      </c>
      <c r="C700" s="8" t="s">
        <v>2427</v>
      </c>
      <c r="D700" s="8" t="s">
        <v>16</v>
      </c>
      <c r="E700" s="8" t="s">
        <v>17</v>
      </c>
      <c r="F700" s="9">
        <v>46031.0</v>
      </c>
      <c r="G700" s="8" t="s">
        <v>390</v>
      </c>
      <c r="H700" s="8" t="s">
        <v>391</v>
      </c>
      <c r="I700" s="8" t="s">
        <v>2428</v>
      </c>
      <c r="J700" s="8" t="s">
        <v>2429</v>
      </c>
    </row>
    <row r="701">
      <c r="A701" s="7">
        <v>2.0027494E7</v>
      </c>
      <c r="B701" s="8" t="s">
        <v>2134</v>
      </c>
      <c r="C701" s="8" t="s">
        <v>2430</v>
      </c>
      <c r="D701" s="8" t="s">
        <v>16</v>
      </c>
      <c r="E701" s="8" t="s">
        <v>17</v>
      </c>
      <c r="F701" s="9">
        <v>46025.0</v>
      </c>
      <c r="G701" s="8" t="s">
        <v>436</v>
      </c>
      <c r="H701" s="8" t="s">
        <v>437</v>
      </c>
      <c r="I701" s="8" t="s">
        <v>2431</v>
      </c>
      <c r="J701" s="8" t="s">
        <v>2432</v>
      </c>
    </row>
    <row r="702">
      <c r="A702" s="7">
        <v>2.0027218E7</v>
      </c>
      <c r="B702" s="8" t="s">
        <v>2134</v>
      </c>
      <c r="C702" s="8" t="s">
        <v>2433</v>
      </c>
      <c r="D702" s="8" t="s">
        <v>16</v>
      </c>
      <c r="E702" s="8" t="s">
        <v>17</v>
      </c>
      <c r="F702" s="9">
        <v>46026.0</v>
      </c>
      <c r="G702" s="8" t="s">
        <v>18</v>
      </c>
      <c r="H702" s="8" t="s">
        <v>19</v>
      </c>
      <c r="I702" s="8" t="s">
        <v>2434</v>
      </c>
      <c r="J702" s="8" t="s">
        <v>2435</v>
      </c>
    </row>
    <row r="703">
      <c r="A703" s="7">
        <v>2.0027126E7</v>
      </c>
      <c r="B703" s="8" t="s">
        <v>2134</v>
      </c>
      <c r="C703" s="8" t="s">
        <v>2436</v>
      </c>
      <c r="D703" s="8" t="s">
        <v>16</v>
      </c>
      <c r="E703" s="8" t="s">
        <v>17</v>
      </c>
      <c r="F703" s="9">
        <v>46038.0</v>
      </c>
      <c r="G703" s="8" t="s">
        <v>630</v>
      </c>
      <c r="H703" s="8" t="s">
        <v>631</v>
      </c>
      <c r="I703" s="8" t="s">
        <v>2437</v>
      </c>
      <c r="J703" s="8" t="s">
        <v>2438</v>
      </c>
    </row>
    <row r="704">
      <c r="A704" s="7">
        <v>2.0027059E7</v>
      </c>
      <c r="B704" s="8" t="s">
        <v>2134</v>
      </c>
      <c r="C704" s="8" t="s">
        <v>2439</v>
      </c>
      <c r="D704" s="8" t="s">
        <v>16</v>
      </c>
      <c r="E704" s="8" t="s">
        <v>17</v>
      </c>
      <c r="F704" s="9">
        <v>46035.0</v>
      </c>
      <c r="G704" s="8" t="s">
        <v>630</v>
      </c>
      <c r="H704" s="8" t="s">
        <v>631</v>
      </c>
      <c r="I704" s="8" t="s">
        <v>2440</v>
      </c>
      <c r="J704" s="8" t="s">
        <v>2441</v>
      </c>
    </row>
    <row r="705">
      <c r="A705" s="7">
        <v>2.0027055E7</v>
      </c>
      <c r="B705" s="8" t="s">
        <v>2134</v>
      </c>
      <c r="C705" s="8" t="s">
        <v>2442</v>
      </c>
      <c r="D705" s="8" t="s">
        <v>16</v>
      </c>
      <c r="E705" s="8" t="s">
        <v>17</v>
      </c>
      <c r="F705" s="9">
        <v>46026.0</v>
      </c>
      <c r="G705" s="8" t="s">
        <v>171</v>
      </c>
      <c r="H705" s="8" t="s">
        <v>172</v>
      </c>
      <c r="I705" s="8" t="s">
        <v>2444</v>
      </c>
      <c r="J705" s="8" t="s">
        <v>2445</v>
      </c>
    </row>
    <row r="706">
      <c r="A706" s="7">
        <v>2.0026939E7</v>
      </c>
      <c r="B706" s="8" t="s">
        <v>2134</v>
      </c>
      <c r="C706" s="8" t="s">
        <v>2446</v>
      </c>
      <c r="D706" s="8" t="s">
        <v>16</v>
      </c>
      <c r="E706" s="8" t="s">
        <v>17</v>
      </c>
      <c r="F706" s="9">
        <v>46025.0</v>
      </c>
      <c r="G706" s="8" t="s">
        <v>2447</v>
      </c>
      <c r="H706" s="8" t="s">
        <v>2448</v>
      </c>
      <c r="I706" s="8" t="s">
        <v>2449</v>
      </c>
      <c r="J706" s="8" t="s">
        <v>2450</v>
      </c>
    </row>
    <row r="707">
      <c r="A707" s="7">
        <v>2.0026506E7</v>
      </c>
      <c r="B707" s="8" t="s">
        <v>2134</v>
      </c>
      <c r="C707" s="8" t="s">
        <v>2451</v>
      </c>
      <c r="D707" s="8" t="s">
        <v>16</v>
      </c>
      <c r="E707" s="8" t="s">
        <v>17</v>
      </c>
      <c r="F707" s="9">
        <v>46039.0</v>
      </c>
      <c r="G707" s="8" t="s">
        <v>59</v>
      </c>
      <c r="H707" s="8" t="s">
        <v>60</v>
      </c>
      <c r="I707" s="8" t="s">
        <v>2452</v>
      </c>
      <c r="J707" s="8" t="s">
        <v>2453</v>
      </c>
    </row>
    <row r="708">
      <c r="A708" s="7">
        <v>2.00265E7</v>
      </c>
      <c r="B708" s="8" t="s">
        <v>2134</v>
      </c>
      <c r="C708" s="8" t="s">
        <v>2454</v>
      </c>
      <c r="D708" s="8" t="s">
        <v>16</v>
      </c>
      <c r="E708" s="8" t="s">
        <v>17</v>
      </c>
      <c r="F708" s="9">
        <v>46027.0</v>
      </c>
      <c r="G708" s="8" t="s">
        <v>436</v>
      </c>
      <c r="H708" s="8" t="s">
        <v>437</v>
      </c>
      <c r="I708" s="8" t="s">
        <v>2455</v>
      </c>
      <c r="J708" s="8" t="s">
        <v>2456</v>
      </c>
    </row>
    <row r="709">
      <c r="A709" s="7">
        <v>2.00265E7</v>
      </c>
      <c r="B709" s="8" t="s">
        <v>2134</v>
      </c>
      <c r="C709" s="8" t="s">
        <v>2454</v>
      </c>
      <c r="D709" s="8" t="s">
        <v>16</v>
      </c>
      <c r="E709" s="8" t="s">
        <v>17</v>
      </c>
      <c r="F709" s="9">
        <v>46027.0</v>
      </c>
      <c r="G709" s="8" t="s">
        <v>365</v>
      </c>
      <c r="H709" s="8" t="s">
        <v>366</v>
      </c>
      <c r="I709" s="8" t="s">
        <v>2457</v>
      </c>
      <c r="J709" s="8" t="s">
        <v>2458</v>
      </c>
    </row>
    <row r="710">
      <c r="A710" s="7">
        <v>2.0026429E7</v>
      </c>
      <c r="B710" s="8" t="s">
        <v>2134</v>
      </c>
      <c r="C710" s="8" t="s">
        <v>2459</v>
      </c>
      <c r="D710" s="8" t="s">
        <v>16</v>
      </c>
      <c r="E710" s="8" t="s">
        <v>17</v>
      </c>
      <c r="F710" s="9">
        <v>46025.0</v>
      </c>
      <c r="G710" s="8" t="s">
        <v>390</v>
      </c>
      <c r="H710" s="8" t="s">
        <v>391</v>
      </c>
      <c r="I710" s="8" t="s">
        <v>2460</v>
      </c>
      <c r="J710" s="8" t="s">
        <v>2461</v>
      </c>
    </row>
    <row r="711">
      <c r="A711" s="7">
        <v>2.0026548E7</v>
      </c>
      <c r="B711" s="8" t="s">
        <v>2134</v>
      </c>
      <c r="C711" s="8" t="s">
        <v>2462</v>
      </c>
      <c r="D711" s="8" t="s">
        <v>16</v>
      </c>
      <c r="E711" s="8" t="s">
        <v>17</v>
      </c>
      <c r="F711" s="9">
        <v>46026.0</v>
      </c>
      <c r="G711" s="8" t="s">
        <v>1355</v>
      </c>
      <c r="H711" s="8" t="s">
        <v>1356</v>
      </c>
      <c r="I711" s="8" t="s">
        <v>2463</v>
      </c>
      <c r="J711" s="8" t="s">
        <v>2464</v>
      </c>
    </row>
    <row r="712">
      <c r="A712" s="7">
        <v>2.002588E7</v>
      </c>
      <c r="B712" s="8" t="s">
        <v>2134</v>
      </c>
      <c r="C712" s="8" t="s">
        <v>2465</v>
      </c>
      <c r="D712" s="8" t="s">
        <v>16</v>
      </c>
      <c r="E712" s="8" t="s">
        <v>17</v>
      </c>
      <c r="F712" s="9">
        <v>46025.0</v>
      </c>
      <c r="G712" s="8" t="s">
        <v>2466</v>
      </c>
      <c r="H712" s="8" t="s">
        <v>2467</v>
      </c>
      <c r="I712" s="8" t="s">
        <v>2468</v>
      </c>
      <c r="J712" s="8" t="s">
        <v>2469</v>
      </c>
    </row>
    <row r="713">
      <c r="A713" s="7">
        <v>2.0024737E7</v>
      </c>
      <c r="B713" s="8" t="s">
        <v>2134</v>
      </c>
      <c r="C713" s="8" t="s">
        <v>2470</v>
      </c>
      <c r="D713" s="8" t="s">
        <v>16</v>
      </c>
      <c r="E713" s="8" t="s">
        <v>17</v>
      </c>
      <c r="F713" s="9">
        <v>46028.0</v>
      </c>
      <c r="G713" s="8" t="s">
        <v>390</v>
      </c>
      <c r="H713" s="8" t="s">
        <v>391</v>
      </c>
      <c r="I713" s="8" t="s">
        <v>2472</v>
      </c>
      <c r="J713" s="8" t="s">
        <v>2473</v>
      </c>
    </row>
    <row r="714">
      <c r="A714" s="7">
        <v>2.0024737E7</v>
      </c>
      <c r="B714" s="8" t="s">
        <v>2134</v>
      </c>
      <c r="C714" s="8" t="s">
        <v>2470</v>
      </c>
      <c r="D714" s="8" t="s">
        <v>16</v>
      </c>
      <c r="E714" s="8" t="s">
        <v>17</v>
      </c>
      <c r="F714" s="9">
        <v>46028.0</v>
      </c>
      <c r="G714" s="8" t="s">
        <v>390</v>
      </c>
      <c r="H714" s="8" t="s">
        <v>391</v>
      </c>
      <c r="I714" s="8" t="s">
        <v>2474</v>
      </c>
      <c r="J714" s="8" t="s">
        <v>2473</v>
      </c>
    </row>
    <row r="715">
      <c r="A715" s="7">
        <v>2.0022365E7</v>
      </c>
      <c r="B715" s="8" t="s">
        <v>2134</v>
      </c>
      <c r="C715" s="8" t="s">
        <v>2475</v>
      </c>
      <c r="D715" s="8" t="s">
        <v>16</v>
      </c>
      <c r="E715" s="8" t="s">
        <v>17</v>
      </c>
      <c r="F715" s="9">
        <v>46035.0</v>
      </c>
      <c r="G715" s="8" t="s">
        <v>2127</v>
      </c>
      <c r="H715" s="8" t="s">
        <v>2128</v>
      </c>
      <c r="I715" s="8" t="s">
        <v>2476</v>
      </c>
      <c r="J715" s="8" t="s">
        <v>2477</v>
      </c>
    </row>
    <row r="716">
      <c r="A716" s="7">
        <v>2.001913E7</v>
      </c>
      <c r="B716" s="8" t="s">
        <v>2134</v>
      </c>
      <c r="C716" s="8" t="s">
        <v>2478</v>
      </c>
      <c r="D716" s="8" t="s">
        <v>16</v>
      </c>
      <c r="E716" s="8" t="s">
        <v>17</v>
      </c>
      <c r="F716" s="9">
        <v>46028.0</v>
      </c>
      <c r="G716" s="8" t="s">
        <v>2479</v>
      </c>
      <c r="H716" s="8" t="s">
        <v>2480</v>
      </c>
      <c r="I716" s="8" t="s">
        <v>2481</v>
      </c>
      <c r="J716" s="8" t="s">
        <v>2482</v>
      </c>
    </row>
    <row r="717">
      <c r="A717" s="7">
        <v>2.001913E7</v>
      </c>
      <c r="B717" s="8" t="s">
        <v>2134</v>
      </c>
      <c r="C717" s="8" t="s">
        <v>2478</v>
      </c>
      <c r="D717" s="8" t="s">
        <v>16</v>
      </c>
      <c r="E717" s="8" t="s">
        <v>17</v>
      </c>
      <c r="F717" s="9">
        <v>46028.0</v>
      </c>
      <c r="G717" s="8" t="s">
        <v>2479</v>
      </c>
      <c r="H717" s="8" t="s">
        <v>2480</v>
      </c>
      <c r="I717" s="8" t="s">
        <v>2483</v>
      </c>
      <c r="J717" s="8" t="s">
        <v>2482</v>
      </c>
    </row>
    <row r="718">
      <c r="A718" s="7">
        <v>2.0067438E7</v>
      </c>
      <c r="B718" s="8" t="s">
        <v>2484</v>
      </c>
      <c r="C718" s="8" t="s">
        <v>2485</v>
      </c>
      <c r="D718" s="8" t="s">
        <v>16</v>
      </c>
      <c r="E718" s="8" t="s">
        <v>17</v>
      </c>
      <c r="F718" s="9">
        <v>46183.0</v>
      </c>
      <c r="G718" s="8" t="s">
        <v>2486</v>
      </c>
      <c r="H718" s="8" t="s">
        <v>2487</v>
      </c>
      <c r="I718" s="8" t="s">
        <v>2488</v>
      </c>
      <c r="J718" s="8" t="s">
        <v>2489</v>
      </c>
    </row>
    <row r="719">
      <c r="A719" s="7">
        <v>2.0062779E7</v>
      </c>
      <c r="B719" s="8" t="s">
        <v>2484</v>
      </c>
      <c r="C719" s="8" t="s">
        <v>2490</v>
      </c>
      <c r="D719" s="8" t="s">
        <v>16</v>
      </c>
      <c r="E719" s="8" t="s">
        <v>17</v>
      </c>
      <c r="F719" s="9">
        <v>46163.0</v>
      </c>
      <c r="G719" s="8" t="s">
        <v>195</v>
      </c>
      <c r="H719" s="8" t="s">
        <v>196</v>
      </c>
      <c r="I719" s="8" t="s">
        <v>2491</v>
      </c>
      <c r="J719" s="8" t="s">
        <v>2492</v>
      </c>
    </row>
    <row r="720">
      <c r="A720" s="7">
        <v>2.0062338E7</v>
      </c>
      <c r="B720" s="8" t="s">
        <v>2484</v>
      </c>
      <c r="C720" s="8" t="s">
        <v>2493</v>
      </c>
      <c r="D720" s="8" t="s">
        <v>2136</v>
      </c>
      <c r="E720" s="8" t="s">
        <v>17</v>
      </c>
      <c r="F720" s="9">
        <v>46150.0</v>
      </c>
      <c r="G720" s="8" t="s">
        <v>59</v>
      </c>
      <c r="H720" s="8" t="s">
        <v>60</v>
      </c>
      <c r="I720" s="8" t="s">
        <v>2494</v>
      </c>
      <c r="J720" s="8" t="s">
        <v>2495</v>
      </c>
    </row>
    <row r="721">
      <c r="A721" s="7">
        <v>2.0060881E7</v>
      </c>
      <c r="B721" s="8" t="s">
        <v>2484</v>
      </c>
      <c r="C721" s="8" t="s">
        <v>2496</v>
      </c>
      <c r="D721" s="8" t="s">
        <v>2136</v>
      </c>
      <c r="E721" s="8" t="s">
        <v>17</v>
      </c>
      <c r="F721" s="9">
        <v>46144.0</v>
      </c>
      <c r="G721" s="8" t="s">
        <v>2497</v>
      </c>
      <c r="H721" s="8" t="s">
        <v>2498</v>
      </c>
      <c r="I721" s="8" t="s">
        <v>2499</v>
      </c>
      <c r="J721" s="8" t="s">
        <v>2500</v>
      </c>
    </row>
    <row r="722">
      <c r="A722" s="7">
        <v>2.0059606E7</v>
      </c>
      <c r="B722" s="8" t="s">
        <v>2484</v>
      </c>
      <c r="C722" s="8" t="s">
        <v>2501</v>
      </c>
      <c r="D722" s="8" t="s">
        <v>16</v>
      </c>
      <c r="E722" s="8" t="s">
        <v>17</v>
      </c>
      <c r="F722" s="9">
        <v>46143.0</v>
      </c>
      <c r="G722" s="8" t="s">
        <v>365</v>
      </c>
      <c r="H722" s="8" t="s">
        <v>366</v>
      </c>
      <c r="I722" s="8" t="s">
        <v>2502</v>
      </c>
      <c r="J722" s="8" t="s">
        <v>2503</v>
      </c>
    </row>
    <row r="723">
      <c r="A723" s="7">
        <v>2.0058625E7</v>
      </c>
      <c r="B723" s="8" t="s">
        <v>2484</v>
      </c>
      <c r="C723" s="8" t="s">
        <v>2504</v>
      </c>
      <c r="D723" s="8" t="s">
        <v>16</v>
      </c>
      <c r="E723" s="8" t="s">
        <v>17</v>
      </c>
      <c r="F723" s="9">
        <v>46179.0</v>
      </c>
      <c r="G723" s="8" t="s">
        <v>171</v>
      </c>
      <c r="H723" s="8" t="s">
        <v>172</v>
      </c>
      <c r="I723" s="8" t="s">
        <v>2505</v>
      </c>
      <c r="J723" s="8" t="s">
        <v>2506</v>
      </c>
    </row>
    <row r="724">
      <c r="A724" s="7">
        <v>2.0046537E7</v>
      </c>
      <c r="B724" s="8" t="s">
        <v>2484</v>
      </c>
      <c r="C724" s="8" t="s">
        <v>2507</v>
      </c>
      <c r="D724" s="8" t="s">
        <v>16</v>
      </c>
      <c r="E724" s="8" t="s">
        <v>17</v>
      </c>
      <c r="F724" s="9">
        <v>46106.0</v>
      </c>
      <c r="G724" s="8" t="s">
        <v>1998</v>
      </c>
      <c r="H724" s="8" t="s">
        <v>1999</v>
      </c>
      <c r="I724" s="8" t="s">
        <v>2508</v>
      </c>
      <c r="J724" s="8" t="s">
        <v>2509</v>
      </c>
    </row>
    <row r="725">
      <c r="A725" s="7">
        <v>2.0031789E7</v>
      </c>
      <c r="B725" s="8" t="s">
        <v>2484</v>
      </c>
      <c r="C725" s="8" t="s">
        <v>2510</v>
      </c>
      <c r="D725" s="8" t="s">
        <v>16</v>
      </c>
      <c r="E725" s="8" t="s">
        <v>17</v>
      </c>
      <c r="F725" s="9">
        <v>46039.0</v>
      </c>
      <c r="G725" s="8" t="s">
        <v>2511</v>
      </c>
      <c r="H725" s="8" t="s">
        <v>2512</v>
      </c>
      <c r="I725" s="8" t="s">
        <v>2513</v>
      </c>
      <c r="J725" s="8" t="s">
        <v>2514</v>
      </c>
    </row>
    <row r="726">
      <c r="A726" s="7">
        <v>2.003217E7</v>
      </c>
      <c r="B726" s="8" t="s">
        <v>2484</v>
      </c>
      <c r="C726" s="8" t="s">
        <v>2515</v>
      </c>
      <c r="D726" s="8" t="s">
        <v>16</v>
      </c>
      <c r="E726" s="8" t="s">
        <v>700</v>
      </c>
      <c r="F726" s="9">
        <v>46051.0</v>
      </c>
      <c r="G726" s="8" t="s">
        <v>2516</v>
      </c>
      <c r="H726" s="8" t="s">
        <v>2517</v>
      </c>
      <c r="I726" s="8" t="s">
        <v>2518</v>
      </c>
      <c r="J726" s="8"/>
    </row>
    <row r="727">
      <c r="A727" s="7">
        <v>2.0032469E7</v>
      </c>
      <c r="B727" s="8" t="s">
        <v>2484</v>
      </c>
      <c r="C727" s="8" t="s">
        <v>2519</v>
      </c>
      <c r="D727" s="8" t="s">
        <v>16</v>
      </c>
      <c r="E727" s="8" t="s">
        <v>17</v>
      </c>
      <c r="F727" s="9">
        <v>46038.0</v>
      </c>
      <c r="G727" s="8" t="s">
        <v>91</v>
      </c>
      <c r="H727" s="8" t="s">
        <v>92</v>
      </c>
      <c r="I727" s="8" t="s">
        <v>2520</v>
      </c>
      <c r="J727" s="8" t="s">
        <v>2521</v>
      </c>
    </row>
    <row r="728">
      <c r="A728" s="7">
        <v>2.0031527E7</v>
      </c>
      <c r="B728" s="8" t="s">
        <v>2484</v>
      </c>
      <c r="C728" s="8" t="s">
        <v>2522</v>
      </c>
      <c r="D728" s="8" t="s">
        <v>16</v>
      </c>
      <c r="E728" s="8" t="s">
        <v>17</v>
      </c>
      <c r="F728" s="9">
        <v>46035.0</v>
      </c>
      <c r="G728" s="8" t="s">
        <v>109</v>
      </c>
      <c r="H728" s="8" t="s">
        <v>110</v>
      </c>
      <c r="I728" s="8" t="s">
        <v>2523</v>
      </c>
      <c r="J728" s="8" t="s">
        <v>2524</v>
      </c>
    </row>
    <row r="729">
      <c r="A729" s="7">
        <v>2.0032149E7</v>
      </c>
      <c r="B729" s="8" t="s">
        <v>2484</v>
      </c>
      <c r="C729" s="8" t="s">
        <v>2525</v>
      </c>
      <c r="D729" s="8" t="s">
        <v>16</v>
      </c>
      <c r="E729" s="8" t="s">
        <v>17</v>
      </c>
      <c r="F729" s="9">
        <v>46035.0</v>
      </c>
      <c r="G729" s="8" t="s">
        <v>1007</v>
      </c>
      <c r="H729" s="8" t="s">
        <v>1008</v>
      </c>
      <c r="I729" s="8" t="s">
        <v>2526</v>
      </c>
      <c r="J729" s="8" t="s">
        <v>2527</v>
      </c>
    </row>
    <row r="730">
      <c r="A730" s="7">
        <v>2.0031553E7</v>
      </c>
      <c r="B730" s="8" t="s">
        <v>2484</v>
      </c>
      <c r="C730" s="8" t="s">
        <v>2528</v>
      </c>
      <c r="D730" s="8" t="s">
        <v>16</v>
      </c>
      <c r="E730" s="8" t="s">
        <v>17</v>
      </c>
      <c r="F730" s="9">
        <v>46031.0</v>
      </c>
      <c r="G730" s="8" t="s">
        <v>91</v>
      </c>
      <c r="H730" s="8" t="s">
        <v>92</v>
      </c>
      <c r="I730" s="8" t="s">
        <v>2529</v>
      </c>
      <c r="J730" s="8" t="s">
        <v>2530</v>
      </c>
    </row>
    <row r="731">
      <c r="A731" s="7">
        <v>2.0032471E7</v>
      </c>
      <c r="B731" s="8" t="s">
        <v>2484</v>
      </c>
      <c r="C731" s="8" t="s">
        <v>2531</v>
      </c>
      <c r="D731" s="8" t="s">
        <v>16</v>
      </c>
      <c r="E731" s="8" t="s">
        <v>17</v>
      </c>
      <c r="F731" s="9">
        <v>46032.0</v>
      </c>
      <c r="G731" s="8" t="s">
        <v>2486</v>
      </c>
      <c r="H731" s="8" t="s">
        <v>44</v>
      </c>
      <c r="I731" s="8" t="s">
        <v>2532</v>
      </c>
      <c r="J731" s="8" t="s">
        <v>2533</v>
      </c>
    </row>
    <row r="732">
      <c r="A732" s="7">
        <v>2.0028096E7</v>
      </c>
      <c r="B732" s="8" t="s">
        <v>2484</v>
      </c>
      <c r="C732" s="8" t="s">
        <v>2534</v>
      </c>
      <c r="D732" s="8" t="s">
        <v>16</v>
      </c>
      <c r="E732" s="8" t="s">
        <v>17</v>
      </c>
      <c r="F732" s="9">
        <v>46032.0</v>
      </c>
      <c r="G732" s="8" t="s">
        <v>822</v>
      </c>
      <c r="H732" s="8" t="s">
        <v>120</v>
      </c>
      <c r="I732" s="8" t="s">
        <v>2535</v>
      </c>
      <c r="J732" s="8" t="s">
        <v>2536</v>
      </c>
    </row>
    <row r="733">
      <c r="A733" s="7">
        <v>2.0030787E7</v>
      </c>
      <c r="B733" s="8" t="s">
        <v>2484</v>
      </c>
      <c r="C733" s="8" t="s">
        <v>2537</v>
      </c>
      <c r="D733" s="8" t="s">
        <v>16</v>
      </c>
      <c r="E733" s="8" t="s">
        <v>17</v>
      </c>
      <c r="F733" s="9">
        <v>46042.0</v>
      </c>
      <c r="G733" s="8" t="s">
        <v>91</v>
      </c>
      <c r="H733" s="8" t="s">
        <v>92</v>
      </c>
      <c r="I733" s="8" t="s">
        <v>2538</v>
      </c>
      <c r="J733" s="8" t="s">
        <v>2539</v>
      </c>
    </row>
    <row r="734">
      <c r="A734" s="7">
        <v>2.0030787E7</v>
      </c>
      <c r="B734" s="8" t="s">
        <v>2484</v>
      </c>
      <c r="C734" s="8" t="s">
        <v>2537</v>
      </c>
      <c r="D734" s="8" t="s">
        <v>16</v>
      </c>
      <c r="E734" s="8" t="s">
        <v>17</v>
      </c>
      <c r="F734" s="9">
        <v>46042.0</v>
      </c>
      <c r="G734" s="8" t="s">
        <v>846</v>
      </c>
      <c r="H734" s="8" t="s">
        <v>847</v>
      </c>
      <c r="I734" s="8" t="s">
        <v>2540</v>
      </c>
      <c r="J734" s="8" t="s">
        <v>2541</v>
      </c>
    </row>
    <row r="735">
      <c r="A735" s="7">
        <v>2.003187E7</v>
      </c>
      <c r="B735" s="8" t="s">
        <v>2484</v>
      </c>
      <c r="C735" s="8" t="s">
        <v>2542</v>
      </c>
      <c r="D735" s="8" t="s">
        <v>16</v>
      </c>
      <c r="E735" s="8" t="s">
        <v>17</v>
      </c>
      <c r="F735" s="9">
        <v>46028.0</v>
      </c>
      <c r="G735" s="8" t="s">
        <v>385</v>
      </c>
      <c r="H735" s="8" t="s">
        <v>386</v>
      </c>
      <c r="I735" s="8" t="s">
        <v>2543</v>
      </c>
      <c r="J735" s="8" t="s">
        <v>2544</v>
      </c>
    </row>
    <row r="736">
      <c r="A736" s="7">
        <v>2.003193E7</v>
      </c>
      <c r="B736" s="8" t="s">
        <v>2484</v>
      </c>
      <c r="C736" s="8" t="s">
        <v>2545</v>
      </c>
      <c r="D736" s="8" t="s">
        <v>16</v>
      </c>
      <c r="E736" s="8" t="s">
        <v>17</v>
      </c>
      <c r="F736" s="9">
        <v>46036.0</v>
      </c>
      <c r="G736" s="8" t="s">
        <v>49</v>
      </c>
      <c r="H736" s="8" t="s">
        <v>50</v>
      </c>
      <c r="I736" s="8" t="s">
        <v>2546</v>
      </c>
      <c r="J736" s="8" t="s">
        <v>2547</v>
      </c>
    </row>
    <row r="737">
      <c r="A737" s="7">
        <v>2.0031892E7</v>
      </c>
      <c r="B737" s="8" t="s">
        <v>2484</v>
      </c>
      <c r="C737" s="8" t="s">
        <v>2548</v>
      </c>
      <c r="D737" s="8" t="s">
        <v>16</v>
      </c>
      <c r="E737" s="8" t="s">
        <v>17</v>
      </c>
      <c r="F737" s="9">
        <v>46042.0</v>
      </c>
      <c r="G737" s="8" t="s">
        <v>410</v>
      </c>
      <c r="H737" s="8" t="s">
        <v>411</v>
      </c>
      <c r="I737" s="8" t="s">
        <v>2549</v>
      </c>
      <c r="J737" s="8" t="s">
        <v>2550</v>
      </c>
    </row>
    <row r="738">
      <c r="A738" s="7">
        <v>2.0031194E7</v>
      </c>
      <c r="B738" s="8" t="s">
        <v>2484</v>
      </c>
      <c r="C738" s="8" t="s">
        <v>2551</v>
      </c>
      <c r="D738" s="8" t="s">
        <v>16</v>
      </c>
      <c r="E738" s="8" t="s">
        <v>17</v>
      </c>
      <c r="F738" s="9">
        <v>46033.0</v>
      </c>
      <c r="G738" s="8" t="s">
        <v>630</v>
      </c>
      <c r="H738" s="8" t="s">
        <v>631</v>
      </c>
      <c r="I738" s="8" t="s">
        <v>2552</v>
      </c>
      <c r="J738" s="8" t="s">
        <v>2553</v>
      </c>
    </row>
    <row r="739">
      <c r="A739" s="7">
        <v>2.0031201E7</v>
      </c>
      <c r="B739" s="8" t="s">
        <v>2484</v>
      </c>
      <c r="C739" s="8" t="s">
        <v>2554</v>
      </c>
      <c r="D739" s="8" t="s">
        <v>16</v>
      </c>
      <c r="E739" s="8" t="s">
        <v>17</v>
      </c>
      <c r="F739" s="9">
        <v>46033.0</v>
      </c>
      <c r="G739" s="8" t="s">
        <v>630</v>
      </c>
      <c r="H739" s="8" t="s">
        <v>631</v>
      </c>
      <c r="I739" s="8" t="s">
        <v>2555</v>
      </c>
      <c r="J739" s="8" t="s">
        <v>2556</v>
      </c>
    </row>
    <row r="740">
      <c r="A740" s="7">
        <v>2.0025073E7</v>
      </c>
      <c r="B740" s="8" t="s">
        <v>2484</v>
      </c>
      <c r="C740" s="8" t="s">
        <v>2557</v>
      </c>
      <c r="D740" s="8" t="s">
        <v>16</v>
      </c>
      <c r="E740" s="8" t="s">
        <v>17</v>
      </c>
      <c r="F740" s="9">
        <v>46040.0</v>
      </c>
      <c r="G740" s="8" t="s">
        <v>2331</v>
      </c>
      <c r="H740" s="8" t="s">
        <v>2332</v>
      </c>
      <c r="I740" s="8" t="s">
        <v>2558</v>
      </c>
      <c r="J740" s="8" t="s">
        <v>2559</v>
      </c>
    </row>
    <row r="741">
      <c r="A741" s="7">
        <v>2.0030907E7</v>
      </c>
      <c r="B741" s="8" t="s">
        <v>2484</v>
      </c>
      <c r="C741" s="8" t="s">
        <v>2560</v>
      </c>
      <c r="D741" s="8" t="s">
        <v>16</v>
      </c>
      <c r="E741" s="8" t="s">
        <v>17</v>
      </c>
      <c r="F741" s="9">
        <v>46040.0</v>
      </c>
      <c r="G741" s="8" t="s">
        <v>1813</v>
      </c>
      <c r="H741" s="8" t="s">
        <v>1814</v>
      </c>
      <c r="I741" s="8" t="s">
        <v>2561</v>
      </c>
      <c r="J741" s="8" t="s">
        <v>2562</v>
      </c>
    </row>
    <row r="742">
      <c r="A742" s="7">
        <v>2.0030049E7</v>
      </c>
      <c r="B742" s="8" t="s">
        <v>2484</v>
      </c>
      <c r="C742" s="8" t="s">
        <v>2563</v>
      </c>
      <c r="D742" s="8" t="s">
        <v>16</v>
      </c>
      <c r="E742" s="8" t="s">
        <v>17</v>
      </c>
      <c r="F742" s="9">
        <v>46028.0</v>
      </c>
      <c r="G742" s="8" t="s">
        <v>846</v>
      </c>
      <c r="H742" s="8" t="s">
        <v>847</v>
      </c>
      <c r="I742" s="8" t="s">
        <v>2564</v>
      </c>
      <c r="J742" s="8" t="s">
        <v>2565</v>
      </c>
    </row>
    <row r="743">
      <c r="A743" s="7">
        <v>2.0030728E7</v>
      </c>
      <c r="B743" s="8" t="s">
        <v>2484</v>
      </c>
      <c r="C743" s="8" t="s">
        <v>2566</v>
      </c>
      <c r="D743" s="8" t="s">
        <v>16</v>
      </c>
      <c r="E743" s="8" t="s">
        <v>17</v>
      </c>
      <c r="F743" s="9">
        <v>46028.0</v>
      </c>
      <c r="G743" s="8" t="s">
        <v>1110</v>
      </c>
      <c r="H743" s="8" t="s">
        <v>1111</v>
      </c>
      <c r="I743" s="8" t="s">
        <v>2567</v>
      </c>
      <c r="J743" s="8" t="s">
        <v>2568</v>
      </c>
    </row>
    <row r="744">
      <c r="A744" s="7">
        <v>2.0028646E7</v>
      </c>
      <c r="B744" s="8" t="s">
        <v>2484</v>
      </c>
      <c r="C744" s="8" t="s">
        <v>2569</v>
      </c>
      <c r="D744" s="8" t="s">
        <v>16</v>
      </c>
      <c r="E744" s="8" t="s">
        <v>17</v>
      </c>
      <c r="F744" s="9">
        <v>46032.0</v>
      </c>
      <c r="G744" s="8" t="s">
        <v>908</v>
      </c>
      <c r="H744" s="8" t="s">
        <v>909</v>
      </c>
      <c r="I744" s="8" t="s">
        <v>2570</v>
      </c>
      <c r="J744" s="8" t="s">
        <v>2571</v>
      </c>
    </row>
    <row r="745">
      <c r="A745" s="7">
        <v>2.0030308E7</v>
      </c>
      <c r="B745" s="8" t="s">
        <v>2484</v>
      </c>
      <c r="C745" s="8" t="s">
        <v>2572</v>
      </c>
      <c r="D745" s="8" t="s">
        <v>16</v>
      </c>
      <c r="E745" s="8" t="s">
        <v>17</v>
      </c>
      <c r="F745" s="9">
        <v>46025.0</v>
      </c>
      <c r="G745" s="8" t="s">
        <v>1132</v>
      </c>
      <c r="H745" s="8" t="s">
        <v>1133</v>
      </c>
      <c r="I745" s="8" t="s">
        <v>2573</v>
      </c>
      <c r="J745" s="8" t="s">
        <v>2574</v>
      </c>
    </row>
    <row r="746">
      <c r="A746" s="7">
        <v>2.0029135E7</v>
      </c>
      <c r="B746" s="8" t="s">
        <v>2484</v>
      </c>
      <c r="C746" s="8" t="s">
        <v>2575</v>
      </c>
      <c r="D746" s="8" t="s">
        <v>16</v>
      </c>
      <c r="E746" s="8" t="s">
        <v>17</v>
      </c>
      <c r="F746" s="9">
        <v>46043.0</v>
      </c>
      <c r="G746" s="8" t="s">
        <v>2576</v>
      </c>
      <c r="H746" s="8" t="s">
        <v>2577</v>
      </c>
      <c r="I746" s="8" t="s">
        <v>2578</v>
      </c>
      <c r="J746" s="8" t="s">
        <v>2579</v>
      </c>
    </row>
    <row r="747">
      <c r="A747" s="7">
        <v>2.0029135E7</v>
      </c>
      <c r="B747" s="8" t="s">
        <v>2484</v>
      </c>
      <c r="C747" s="8" t="s">
        <v>2575</v>
      </c>
      <c r="D747" s="8" t="s">
        <v>16</v>
      </c>
      <c r="E747" s="8" t="s">
        <v>17</v>
      </c>
      <c r="F747" s="9">
        <v>46043.0</v>
      </c>
      <c r="G747" s="8" t="s">
        <v>1297</v>
      </c>
      <c r="H747" s="8" t="s">
        <v>827</v>
      </c>
      <c r="I747" s="8" t="s">
        <v>2580</v>
      </c>
      <c r="J747" s="8" t="s">
        <v>2581</v>
      </c>
    </row>
    <row r="748">
      <c r="A748" s="7">
        <v>2.0029927E7</v>
      </c>
      <c r="B748" s="8" t="s">
        <v>2484</v>
      </c>
      <c r="C748" s="8" t="s">
        <v>2582</v>
      </c>
      <c r="D748" s="8" t="s">
        <v>16</v>
      </c>
      <c r="E748" s="8" t="s">
        <v>17</v>
      </c>
      <c r="F748" s="9">
        <v>46034.0</v>
      </c>
      <c r="G748" s="8" t="s">
        <v>630</v>
      </c>
      <c r="H748" s="8" t="s">
        <v>631</v>
      </c>
      <c r="I748" s="8" t="s">
        <v>2583</v>
      </c>
      <c r="J748" s="8" t="s">
        <v>2584</v>
      </c>
    </row>
    <row r="749">
      <c r="A749" s="7">
        <v>2.0029136E7</v>
      </c>
      <c r="B749" s="8" t="s">
        <v>2484</v>
      </c>
      <c r="C749" s="8" t="s">
        <v>2585</v>
      </c>
      <c r="D749" s="8" t="s">
        <v>16</v>
      </c>
      <c r="E749" s="8" t="s">
        <v>17</v>
      </c>
      <c r="F749" s="9">
        <v>46082.0</v>
      </c>
      <c r="G749" s="8" t="s">
        <v>2586</v>
      </c>
      <c r="H749" s="8" t="s">
        <v>1294</v>
      </c>
      <c r="I749" s="8" t="s">
        <v>2587</v>
      </c>
      <c r="J749" s="8" t="s">
        <v>2588</v>
      </c>
    </row>
    <row r="750">
      <c r="A750" s="7">
        <v>2.0029136E7</v>
      </c>
      <c r="B750" s="8" t="s">
        <v>2484</v>
      </c>
      <c r="C750" s="8" t="s">
        <v>2585</v>
      </c>
      <c r="D750" s="8" t="s">
        <v>16</v>
      </c>
      <c r="E750" s="8" t="s">
        <v>17</v>
      </c>
      <c r="F750" s="9">
        <v>46082.0</v>
      </c>
      <c r="G750" s="8" t="s">
        <v>2589</v>
      </c>
      <c r="H750" s="8" t="s">
        <v>208</v>
      </c>
      <c r="I750" s="8" t="s">
        <v>2590</v>
      </c>
      <c r="J750" s="8" t="s">
        <v>2591</v>
      </c>
    </row>
    <row r="751">
      <c r="A751" s="7">
        <v>2.0029136E7</v>
      </c>
      <c r="B751" s="8" t="s">
        <v>2484</v>
      </c>
      <c r="C751" s="8" t="s">
        <v>2585</v>
      </c>
      <c r="D751" s="8" t="s">
        <v>16</v>
      </c>
      <c r="E751" s="8" t="s">
        <v>17</v>
      </c>
      <c r="F751" s="9">
        <v>46082.0</v>
      </c>
      <c r="G751" s="8" t="s">
        <v>2592</v>
      </c>
      <c r="H751" s="8" t="s">
        <v>2593</v>
      </c>
      <c r="I751" s="8" t="s">
        <v>2594</v>
      </c>
      <c r="J751" s="8" t="s">
        <v>2595</v>
      </c>
    </row>
    <row r="752">
      <c r="A752" s="7">
        <v>2.0029136E7</v>
      </c>
      <c r="B752" s="8" t="s">
        <v>2484</v>
      </c>
      <c r="C752" s="8" t="s">
        <v>2585</v>
      </c>
      <c r="D752" s="8" t="s">
        <v>16</v>
      </c>
      <c r="E752" s="8" t="s">
        <v>17</v>
      </c>
      <c r="F752" s="9">
        <v>46082.0</v>
      </c>
      <c r="G752" s="8" t="s">
        <v>2586</v>
      </c>
      <c r="H752" s="8" t="s">
        <v>1294</v>
      </c>
      <c r="I752" s="8" t="s">
        <v>2596</v>
      </c>
      <c r="J752" s="8" t="s">
        <v>2588</v>
      </c>
    </row>
    <row r="753">
      <c r="A753" s="7">
        <v>2.0027584E7</v>
      </c>
      <c r="B753" s="8" t="s">
        <v>2484</v>
      </c>
      <c r="C753" s="8" t="s">
        <v>2597</v>
      </c>
      <c r="D753" s="8" t="s">
        <v>16</v>
      </c>
      <c r="E753" s="8" t="s">
        <v>17</v>
      </c>
      <c r="F753" s="9">
        <v>46025.0</v>
      </c>
      <c r="G753" s="8" t="s">
        <v>59</v>
      </c>
      <c r="H753" s="8" t="s">
        <v>60</v>
      </c>
      <c r="I753" s="8" t="s">
        <v>2598</v>
      </c>
      <c r="J753" s="8" t="s">
        <v>2599</v>
      </c>
    </row>
    <row r="754">
      <c r="A754" s="7">
        <v>2.0025841E7</v>
      </c>
      <c r="B754" s="8" t="s">
        <v>2484</v>
      </c>
      <c r="C754" s="8" t="s">
        <v>2600</v>
      </c>
      <c r="D754" s="8" t="s">
        <v>16</v>
      </c>
      <c r="E754" s="8" t="s">
        <v>17</v>
      </c>
      <c r="F754" s="9">
        <v>46033.0</v>
      </c>
      <c r="G754" s="8" t="s">
        <v>2601</v>
      </c>
      <c r="H754" s="8" t="s">
        <v>2602</v>
      </c>
      <c r="I754" s="8" t="s">
        <v>2603</v>
      </c>
      <c r="J754" s="8" t="s">
        <v>2604</v>
      </c>
    </row>
    <row r="755">
      <c r="A755" s="7">
        <v>2.0025841E7</v>
      </c>
      <c r="B755" s="8" t="s">
        <v>2484</v>
      </c>
      <c r="C755" s="8" t="s">
        <v>2600</v>
      </c>
      <c r="D755" s="8" t="s">
        <v>16</v>
      </c>
      <c r="E755" s="8" t="s">
        <v>17</v>
      </c>
      <c r="F755" s="9">
        <v>46033.0</v>
      </c>
      <c r="G755" s="8" t="s">
        <v>2605</v>
      </c>
      <c r="H755" s="8" t="s">
        <v>2606</v>
      </c>
      <c r="I755" s="8" t="s">
        <v>2607</v>
      </c>
      <c r="J755" s="8" t="s">
        <v>2608</v>
      </c>
    </row>
    <row r="756">
      <c r="A756" s="7">
        <v>2.0026746E7</v>
      </c>
      <c r="B756" s="8" t="s">
        <v>2484</v>
      </c>
      <c r="C756" s="8" t="s">
        <v>2609</v>
      </c>
      <c r="D756" s="8" t="s">
        <v>16</v>
      </c>
      <c r="E756" s="8" t="s">
        <v>17</v>
      </c>
      <c r="F756" s="9">
        <v>46025.0</v>
      </c>
      <c r="G756" s="8" t="s">
        <v>1293</v>
      </c>
      <c r="H756" s="8" t="s">
        <v>1294</v>
      </c>
      <c r="I756" s="8" t="s">
        <v>2610</v>
      </c>
      <c r="J756" s="8" t="s">
        <v>2611</v>
      </c>
    </row>
    <row r="757">
      <c r="A757" s="7">
        <v>2.0026746E7</v>
      </c>
      <c r="B757" s="8" t="s">
        <v>2484</v>
      </c>
      <c r="C757" s="8" t="s">
        <v>2609</v>
      </c>
      <c r="D757" s="8" t="s">
        <v>16</v>
      </c>
      <c r="E757" s="8" t="s">
        <v>17</v>
      </c>
      <c r="F757" s="9">
        <v>46025.0</v>
      </c>
      <c r="G757" s="8" t="s">
        <v>1297</v>
      </c>
      <c r="H757" s="8" t="s">
        <v>827</v>
      </c>
      <c r="I757" s="8" t="s">
        <v>2612</v>
      </c>
      <c r="J757" s="8" t="s">
        <v>2613</v>
      </c>
    </row>
    <row r="758">
      <c r="A758" s="7">
        <v>2.0027306E7</v>
      </c>
      <c r="B758" s="8" t="s">
        <v>2484</v>
      </c>
      <c r="C758" s="8" t="s">
        <v>2614</v>
      </c>
      <c r="D758" s="8" t="s">
        <v>16</v>
      </c>
      <c r="E758" s="8" t="s">
        <v>17</v>
      </c>
      <c r="F758" s="9">
        <v>46025.0</v>
      </c>
      <c r="G758" s="8" t="s">
        <v>1662</v>
      </c>
      <c r="H758" s="8" t="s">
        <v>1663</v>
      </c>
      <c r="I758" s="8" t="s">
        <v>2615</v>
      </c>
      <c r="J758" s="8" t="s">
        <v>2616</v>
      </c>
    </row>
    <row r="759">
      <c r="A759" s="7">
        <v>2.0025938E7</v>
      </c>
      <c r="B759" s="8" t="s">
        <v>2484</v>
      </c>
      <c r="C759" s="8" t="s">
        <v>2617</v>
      </c>
      <c r="D759" s="8" t="s">
        <v>16</v>
      </c>
      <c r="E759" s="8" t="s">
        <v>17</v>
      </c>
      <c r="F759" s="9">
        <v>46025.0</v>
      </c>
      <c r="G759" s="8" t="s">
        <v>104</v>
      </c>
      <c r="H759" s="8" t="s">
        <v>105</v>
      </c>
      <c r="I759" s="8" t="s">
        <v>2618</v>
      </c>
      <c r="J759" s="8" t="s">
        <v>2619</v>
      </c>
    </row>
    <row r="760">
      <c r="A760" s="7">
        <v>2.0018348E7</v>
      </c>
      <c r="B760" s="8" t="s">
        <v>2484</v>
      </c>
      <c r="C760" s="8" t="s">
        <v>2620</v>
      </c>
      <c r="D760" s="8" t="s">
        <v>16</v>
      </c>
      <c r="E760" s="8" t="s">
        <v>17</v>
      </c>
      <c r="F760" s="9">
        <v>46033.0</v>
      </c>
      <c r="G760" s="8" t="s">
        <v>2621</v>
      </c>
      <c r="H760" s="8" t="s">
        <v>2622</v>
      </c>
      <c r="I760" s="8" t="s">
        <v>2623</v>
      </c>
      <c r="J760" s="8" t="s">
        <v>2624</v>
      </c>
    </row>
    <row r="761">
      <c r="A761" s="7">
        <v>2.0018348E7</v>
      </c>
      <c r="B761" s="8" t="s">
        <v>2484</v>
      </c>
      <c r="C761" s="8" t="s">
        <v>2620</v>
      </c>
      <c r="D761" s="8" t="s">
        <v>16</v>
      </c>
      <c r="E761" s="8" t="s">
        <v>17</v>
      </c>
      <c r="F761" s="9">
        <v>46033.0</v>
      </c>
      <c r="G761" s="8" t="s">
        <v>2625</v>
      </c>
      <c r="H761" s="8" t="s">
        <v>827</v>
      </c>
      <c r="I761" s="8" t="s">
        <v>2626</v>
      </c>
      <c r="J761" s="8" t="s">
        <v>2627</v>
      </c>
    </row>
    <row r="762">
      <c r="A762" s="7">
        <v>2.0064876E7</v>
      </c>
      <c r="B762" s="8" t="s">
        <v>2471</v>
      </c>
      <c r="C762" s="8" t="s">
        <v>2628</v>
      </c>
      <c r="D762" s="8" t="s">
        <v>16</v>
      </c>
      <c r="E762" s="8" t="s">
        <v>17</v>
      </c>
      <c r="F762" s="9">
        <v>46169.0</v>
      </c>
      <c r="G762" s="8" t="s">
        <v>220</v>
      </c>
      <c r="H762" s="8" t="s">
        <v>221</v>
      </c>
      <c r="I762" s="8" t="s">
        <v>2629</v>
      </c>
      <c r="J762" s="8" t="s">
        <v>2630</v>
      </c>
    </row>
    <row r="763">
      <c r="A763" s="7">
        <v>2.00583E7</v>
      </c>
      <c r="B763" s="8" t="s">
        <v>2471</v>
      </c>
      <c r="C763" s="8" t="s">
        <v>2631</v>
      </c>
      <c r="D763" s="8" t="s">
        <v>16</v>
      </c>
      <c r="E763" s="8" t="s">
        <v>17</v>
      </c>
      <c r="F763" s="9">
        <v>46182.0</v>
      </c>
      <c r="G763" s="8" t="s">
        <v>2632</v>
      </c>
      <c r="H763" s="8" t="s">
        <v>2633</v>
      </c>
      <c r="I763" s="8" t="s">
        <v>2634</v>
      </c>
      <c r="J763" s="8" t="s">
        <v>2635</v>
      </c>
    </row>
    <row r="764">
      <c r="A764" s="7">
        <v>2.0047166E7</v>
      </c>
      <c r="B764" s="8" t="s">
        <v>2471</v>
      </c>
      <c r="C764" s="8" t="s">
        <v>2636</v>
      </c>
      <c r="D764" s="8" t="s">
        <v>16</v>
      </c>
      <c r="E764" s="8" t="s">
        <v>17</v>
      </c>
      <c r="F764" s="9">
        <v>46142.0</v>
      </c>
      <c r="G764" s="8" t="s">
        <v>2098</v>
      </c>
      <c r="H764" s="8" t="s">
        <v>2099</v>
      </c>
      <c r="I764" s="8" t="s">
        <v>2637</v>
      </c>
      <c r="J764" s="8" t="s">
        <v>2638</v>
      </c>
    </row>
    <row r="765">
      <c r="A765" s="7">
        <v>2.0047166E7</v>
      </c>
      <c r="B765" s="8" t="s">
        <v>2471</v>
      </c>
      <c r="C765" s="8" t="s">
        <v>2636</v>
      </c>
      <c r="D765" s="8" t="s">
        <v>16</v>
      </c>
      <c r="E765" s="8" t="s">
        <v>17</v>
      </c>
      <c r="F765" s="9">
        <v>46142.0</v>
      </c>
      <c r="G765" s="8" t="s">
        <v>2098</v>
      </c>
      <c r="H765" s="8" t="s">
        <v>2099</v>
      </c>
      <c r="I765" s="8" t="s">
        <v>2639</v>
      </c>
      <c r="J765" s="8" t="s">
        <v>2638</v>
      </c>
    </row>
    <row r="766">
      <c r="A766" s="7">
        <v>2.0047166E7</v>
      </c>
      <c r="B766" s="8" t="s">
        <v>2471</v>
      </c>
      <c r="C766" s="8" t="s">
        <v>2636</v>
      </c>
      <c r="D766" s="8" t="s">
        <v>16</v>
      </c>
      <c r="E766" s="8" t="s">
        <v>17</v>
      </c>
      <c r="F766" s="9">
        <v>46142.0</v>
      </c>
      <c r="G766" s="8" t="s">
        <v>2640</v>
      </c>
      <c r="H766" s="8" t="s">
        <v>2641</v>
      </c>
      <c r="I766" s="8" t="s">
        <v>2642</v>
      </c>
      <c r="J766" s="8" t="s">
        <v>2643</v>
      </c>
    </row>
    <row r="767">
      <c r="A767" s="7">
        <v>2.0045389E7</v>
      </c>
      <c r="B767" s="8" t="s">
        <v>2471</v>
      </c>
      <c r="C767" s="8" t="s">
        <v>2644</v>
      </c>
      <c r="D767" s="8" t="s">
        <v>16</v>
      </c>
      <c r="E767" s="8" t="s">
        <v>17</v>
      </c>
      <c r="F767" s="9">
        <v>46090.0</v>
      </c>
      <c r="G767" s="8" t="s">
        <v>2497</v>
      </c>
      <c r="H767" s="8" t="s">
        <v>2498</v>
      </c>
      <c r="I767" s="8" t="s">
        <v>2645</v>
      </c>
      <c r="J767" s="8" t="s">
        <v>2646</v>
      </c>
    </row>
    <row r="768">
      <c r="A768" s="7">
        <v>2.0044361E7</v>
      </c>
      <c r="B768" s="8" t="s">
        <v>2471</v>
      </c>
      <c r="C768" s="8" t="s">
        <v>2647</v>
      </c>
      <c r="D768" s="8" t="s">
        <v>16</v>
      </c>
      <c r="E768" s="8" t="s">
        <v>17</v>
      </c>
      <c r="F768" s="9">
        <v>46096.0</v>
      </c>
      <c r="G768" s="8" t="s">
        <v>1057</v>
      </c>
      <c r="H768" s="8" t="s">
        <v>1058</v>
      </c>
      <c r="I768" s="8" t="s">
        <v>2648</v>
      </c>
      <c r="J768" s="8" t="s">
        <v>2649</v>
      </c>
    </row>
    <row r="769">
      <c r="A769" s="7">
        <v>2.004536E7</v>
      </c>
      <c r="B769" s="8" t="s">
        <v>2471</v>
      </c>
      <c r="C769" s="8" t="s">
        <v>2650</v>
      </c>
      <c r="D769" s="8" t="s">
        <v>16</v>
      </c>
      <c r="E769" s="8" t="s">
        <v>17</v>
      </c>
      <c r="F769" s="9">
        <v>46094.0</v>
      </c>
      <c r="G769" s="8" t="s">
        <v>361</v>
      </c>
      <c r="H769" s="8" t="s">
        <v>362</v>
      </c>
      <c r="I769" s="8" t="s">
        <v>2651</v>
      </c>
      <c r="J769" s="8" t="s">
        <v>2652</v>
      </c>
    </row>
    <row r="770">
      <c r="A770" s="7">
        <v>2.0043397E7</v>
      </c>
      <c r="B770" s="8" t="s">
        <v>2471</v>
      </c>
      <c r="C770" s="8" t="s">
        <v>2653</v>
      </c>
      <c r="D770" s="8" t="s">
        <v>16</v>
      </c>
      <c r="E770" s="8" t="s">
        <v>17</v>
      </c>
      <c r="F770" s="9">
        <v>46095.0</v>
      </c>
      <c r="G770" s="8" t="s">
        <v>561</v>
      </c>
      <c r="H770" s="8" t="s">
        <v>562</v>
      </c>
      <c r="I770" s="8" t="s">
        <v>2654</v>
      </c>
      <c r="J770" s="8" t="s">
        <v>2655</v>
      </c>
    </row>
    <row r="771">
      <c r="A771" s="7">
        <v>2.0043143E7</v>
      </c>
      <c r="B771" s="8" t="s">
        <v>2471</v>
      </c>
      <c r="C771" s="8" t="s">
        <v>2656</v>
      </c>
      <c r="D771" s="8" t="s">
        <v>16</v>
      </c>
      <c r="E771" s="8" t="s">
        <v>17</v>
      </c>
      <c r="F771" s="9">
        <v>46089.0</v>
      </c>
      <c r="G771" s="8" t="s">
        <v>314</v>
      </c>
      <c r="H771" s="8" t="s">
        <v>315</v>
      </c>
      <c r="I771" s="8" t="s">
        <v>2657</v>
      </c>
      <c r="J771" s="8" t="s">
        <v>2658</v>
      </c>
    </row>
    <row r="772">
      <c r="A772" s="7">
        <v>2.0043171E7</v>
      </c>
      <c r="B772" s="8" t="s">
        <v>2471</v>
      </c>
      <c r="C772" s="8" t="s">
        <v>2659</v>
      </c>
      <c r="D772" s="8" t="s">
        <v>16</v>
      </c>
      <c r="E772" s="8" t="s">
        <v>17</v>
      </c>
      <c r="F772" s="9">
        <v>46089.0</v>
      </c>
      <c r="G772" s="8" t="s">
        <v>64</v>
      </c>
      <c r="H772" s="8" t="s">
        <v>65</v>
      </c>
      <c r="I772" s="8" t="s">
        <v>2660</v>
      </c>
      <c r="J772" s="8" t="s">
        <v>2661</v>
      </c>
    </row>
    <row r="773">
      <c r="A773" s="7">
        <v>2.0039774E7</v>
      </c>
      <c r="B773" s="8" t="s">
        <v>2471</v>
      </c>
      <c r="C773" s="8" t="s">
        <v>2662</v>
      </c>
      <c r="D773" s="8" t="s">
        <v>16</v>
      </c>
      <c r="E773" s="8" t="s">
        <v>17</v>
      </c>
      <c r="F773" s="9">
        <v>46083.0</v>
      </c>
      <c r="G773" s="8" t="s">
        <v>436</v>
      </c>
      <c r="H773" s="8" t="s">
        <v>437</v>
      </c>
      <c r="I773" s="8" t="s">
        <v>2663</v>
      </c>
      <c r="J773" s="8" t="s">
        <v>2664</v>
      </c>
    </row>
    <row r="774">
      <c r="A774" s="7">
        <v>2.0038995E7</v>
      </c>
      <c r="B774" s="8" t="s">
        <v>2471</v>
      </c>
      <c r="C774" s="8" t="s">
        <v>2665</v>
      </c>
      <c r="D774" s="8" t="s">
        <v>16</v>
      </c>
      <c r="E774" s="8" t="s">
        <v>17</v>
      </c>
      <c r="F774" s="9">
        <v>46068.0</v>
      </c>
      <c r="G774" s="8" t="s">
        <v>2666</v>
      </c>
      <c r="H774" s="8" t="s">
        <v>2667</v>
      </c>
      <c r="I774" s="8" t="s">
        <v>2668</v>
      </c>
      <c r="J774" s="8" t="s">
        <v>2669</v>
      </c>
    </row>
    <row r="775">
      <c r="A775" s="7">
        <v>2.003812E7</v>
      </c>
      <c r="B775" s="8" t="s">
        <v>2471</v>
      </c>
      <c r="C775" s="8" t="s">
        <v>2670</v>
      </c>
      <c r="D775" s="8" t="s">
        <v>16</v>
      </c>
      <c r="E775" s="8" t="s">
        <v>17</v>
      </c>
      <c r="F775" s="9">
        <v>46082.0</v>
      </c>
      <c r="G775" s="8" t="s">
        <v>184</v>
      </c>
      <c r="H775" s="8" t="s">
        <v>185</v>
      </c>
      <c r="I775" s="8" t="s">
        <v>2671</v>
      </c>
      <c r="J775" s="8" t="s">
        <v>2672</v>
      </c>
    </row>
    <row r="776">
      <c r="A776" s="7">
        <v>2.0033661E7</v>
      </c>
      <c r="B776" s="8" t="s">
        <v>2471</v>
      </c>
      <c r="C776" s="8" t="s">
        <v>2673</v>
      </c>
      <c r="D776" s="8" t="s">
        <v>16</v>
      </c>
      <c r="E776" s="8" t="s">
        <v>17</v>
      </c>
      <c r="F776" s="9">
        <v>46039.0</v>
      </c>
      <c r="G776" s="8" t="s">
        <v>873</v>
      </c>
      <c r="H776" s="8" t="s">
        <v>874</v>
      </c>
      <c r="I776" s="8" t="s">
        <v>2674</v>
      </c>
      <c r="J776" s="8" t="s">
        <v>2675</v>
      </c>
    </row>
    <row r="777">
      <c r="A777" s="7">
        <v>2.0032262E7</v>
      </c>
      <c r="B777" s="8" t="s">
        <v>2471</v>
      </c>
      <c r="C777" s="8" t="s">
        <v>2676</v>
      </c>
      <c r="D777" s="8" t="s">
        <v>16</v>
      </c>
      <c r="E777" s="8" t="s">
        <v>17</v>
      </c>
      <c r="F777" s="9">
        <v>46039.0</v>
      </c>
      <c r="G777" s="8" t="s">
        <v>34</v>
      </c>
      <c r="H777" s="8" t="s">
        <v>35</v>
      </c>
      <c r="I777" s="8" t="s">
        <v>2677</v>
      </c>
      <c r="J777" s="8" t="s">
        <v>2678</v>
      </c>
    </row>
    <row r="778">
      <c r="A778" s="7">
        <v>2.0033561E7</v>
      </c>
      <c r="B778" s="8" t="s">
        <v>2471</v>
      </c>
      <c r="C778" s="8" t="s">
        <v>2679</v>
      </c>
      <c r="D778" s="8" t="s">
        <v>16</v>
      </c>
      <c r="E778" s="8" t="s">
        <v>17</v>
      </c>
      <c r="F778" s="9">
        <v>46050.0</v>
      </c>
      <c r="G778" s="8" t="s">
        <v>137</v>
      </c>
      <c r="H778" s="8" t="s">
        <v>138</v>
      </c>
      <c r="I778" s="8" t="s">
        <v>2680</v>
      </c>
      <c r="J778" s="8" t="s">
        <v>2681</v>
      </c>
    </row>
    <row r="779">
      <c r="A779" s="7">
        <v>2.0032961E7</v>
      </c>
      <c r="B779" s="8" t="s">
        <v>2471</v>
      </c>
      <c r="C779" s="8" t="s">
        <v>2682</v>
      </c>
      <c r="D779" s="8" t="s">
        <v>16</v>
      </c>
      <c r="E779" s="8" t="s">
        <v>17</v>
      </c>
      <c r="F779" s="9">
        <v>46051.0</v>
      </c>
      <c r="G779" s="8" t="s">
        <v>158</v>
      </c>
      <c r="H779" s="8" t="s">
        <v>159</v>
      </c>
      <c r="I779" s="8" t="s">
        <v>2683</v>
      </c>
      <c r="J779" s="8" t="s">
        <v>2684</v>
      </c>
    </row>
    <row r="780">
      <c r="A780" s="7">
        <v>2.0033551E7</v>
      </c>
      <c r="B780" s="8" t="s">
        <v>2471</v>
      </c>
      <c r="C780" s="8" t="s">
        <v>2685</v>
      </c>
      <c r="D780" s="8" t="s">
        <v>16</v>
      </c>
      <c r="E780" s="8" t="s">
        <v>17</v>
      </c>
      <c r="F780" s="9">
        <v>46033.0</v>
      </c>
      <c r="G780" s="8" t="s">
        <v>59</v>
      </c>
      <c r="H780" s="8" t="s">
        <v>60</v>
      </c>
      <c r="I780" s="8" t="s">
        <v>2686</v>
      </c>
      <c r="J780" s="8" t="s">
        <v>2687</v>
      </c>
    </row>
    <row r="781">
      <c r="A781" s="7">
        <v>2.0033174E7</v>
      </c>
      <c r="B781" s="8" t="s">
        <v>2471</v>
      </c>
      <c r="C781" s="8" t="s">
        <v>2688</v>
      </c>
      <c r="D781" s="8" t="s">
        <v>16</v>
      </c>
      <c r="E781" s="8" t="s">
        <v>17</v>
      </c>
      <c r="F781" s="9">
        <v>46054.0</v>
      </c>
      <c r="G781" s="8" t="s">
        <v>2689</v>
      </c>
      <c r="H781" s="8" t="s">
        <v>2690</v>
      </c>
      <c r="I781" s="8" t="s">
        <v>2691</v>
      </c>
      <c r="J781" s="8" t="s">
        <v>2692</v>
      </c>
    </row>
    <row r="782">
      <c r="A782" s="7">
        <v>2.0033259E7</v>
      </c>
      <c r="B782" s="8" t="s">
        <v>2471</v>
      </c>
      <c r="C782" s="8" t="s">
        <v>2693</v>
      </c>
      <c r="D782" s="8" t="s">
        <v>16</v>
      </c>
      <c r="E782" s="8" t="s">
        <v>17</v>
      </c>
      <c r="F782" s="9">
        <v>46050.0</v>
      </c>
      <c r="G782" s="8" t="s">
        <v>171</v>
      </c>
      <c r="H782" s="8" t="s">
        <v>172</v>
      </c>
      <c r="I782" s="8" t="s">
        <v>2694</v>
      </c>
      <c r="J782" s="8" t="s">
        <v>2695</v>
      </c>
    </row>
    <row r="783">
      <c r="A783" s="7">
        <v>2.0030354E7</v>
      </c>
      <c r="B783" s="8" t="s">
        <v>2471</v>
      </c>
      <c r="C783" s="8" t="s">
        <v>2696</v>
      </c>
      <c r="D783" s="8" t="s">
        <v>16</v>
      </c>
      <c r="E783" s="8" t="s">
        <v>17</v>
      </c>
      <c r="F783" s="9">
        <v>46047.0</v>
      </c>
      <c r="G783" s="8" t="s">
        <v>54</v>
      </c>
      <c r="H783" s="8" t="s">
        <v>55</v>
      </c>
      <c r="I783" s="8" t="s">
        <v>2697</v>
      </c>
      <c r="J783" s="8" t="s">
        <v>2698</v>
      </c>
    </row>
    <row r="784">
      <c r="A784" s="7">
        <v>2.0032461E7</v>
      </c>
      <c r="B784" s="8" t="s">
        <v>2471</v>
      </c>
      <c r="C784" s="8" t="s">
        <v>2699</v>
      </c>
      <c r="D784" s="8" t="s">
        <v>16</v>
      </c>
      <c r="E784" s="8" t="s">
        <v>17</v>
      </c>
      <c r="F784" s="9">
        <v>46044.0</v>
      </c>
      <c r="G784" s="8" t="s">
        <v>630</v>
      </c>
      <c r="H784" s="8" t="s">
        <v>631</v>
      </c>
      <c r="I784" s="8" t="s">
        <v>2700</v>
      </c>
      <c r="J784" s="8" t="s">
        <v>2701</v>
      </c>
    </row>
    <row r="785">
      <c r="A785" s="7">
        <v>2.0031975E7</v>
      </c>
      <c r="B785" s="8" t="s">
        <v>2471</v>
      </c>
      <c r="C785" s="8" t="s">
        <v>2702</v>
      </c>
      <c r="D785" s="8" t="s">
        <v>16</v>
      </c>
      <c r="E785" s="8" t="s">
        <v>17</v>
      </c>
      <c r="F785" s="9">
        <v>46045.0</v>
      </c>
      <c r="G785" s="8" t="s">
        <v>158</v>
      </c>
      <c r="H785" s="8" t="s">
        <v>159</v>
      </c>
      <c r="I785" s="8" t="s">
        <v>2703</v>
      </c>
      <c r="J785" s="8" t="s">
        <v>2704</v>
      </c>
    </row>
    <row r="786">
      <c r="A786" s="7">
        <v>2.0032544E7</v>
      </c>
      <c r="B786" s="8" t="s">
        <v>2471</v>
      </c>
      <c r="C786" s="8" t="s">
        <v>2705</v>
      </c>
      <c r="D786" s="8" t="s">
        <v>16</v>
      </c>
      <c r="E786" s="8" t="s">
        <v>17</v>
      </c>
      <c r="F786" s="9">
        <v>46051.0</v>
      </c>
      <c r="G786" s="8" t="s">
        <v>2706</v>
      </c>
      <c r="H786" s="8" t="s">
        <v>2707</v>
      </c>
      <c r="I786" s="8" t="s">
        <v>2708</v>
      </c>
      <c r="J786" s="8" t="s">
        <v>2709</v>
      </c>
    </row>
    <row r="787">
      <c r="A787" s="7">
        <v>2.0032794E7</v>
      </c>
      <c r="B787" s="8" t="s">
        <v>2471</v>
      </c>
      <c r="C787" s="8" t="s">
        <v>2710</v>
      </c>
      <c r="D787" s="8" t="s">
        <v>16</v>
      </c>
      <c r="E787" s="8" t="s">
        <v>17</v>
      </c>
      <c r="F787" s="9">
        <v>46049.0</v>
      </c>
      <c r="G787" s="8" t="s">
        <v>2331</v>
      </c>
      <c r="H787" s="8" t="s">
        <v>2332</v>
      </c>
      <c r="I787" s="8" t="s">
        <v>2711</v>
      </c>
      <c r="J787" s="8" t="s">
        <v>2712</v>
      </c>
    </row>
    <row r="788">
      <c r="A788" s="7">
        <v>2.0032834E7</v>
      </c>
      <c r="B788" s="8" t="s">
        <v>2471</v>
      </c>
      <c r="C788" s="8" t="s">
        <v>2713</v>
      </c>
      <c r="D788" s="8" t="s">
        <v>16</v>
      </c>
      <c r="E788" s="8" t="s">
        <v>17</v>
      </c>
      <c r="F788" s="9">
        <v>46050.0</v>
      </c>
      <c r="G788" s="8" t="s">
        <v>2714</v>
      </c>
      <c r="H788" s="8" t="s">
        <v>2715</v>
      </c>
      <c r="I788" s="8" t="s">
        <v>2716</v>
      </c>
      <c r="J788" s="8" t="s">
        <v>2717</v>
      </c>
    </row>
    <row r="789">
      <c r="A789" s="7">
        <v>2.0031474E7</v>
      </c>
      <c r="B789" s="8" t="s">
        <v>2471</v>
      </c>
      <c r="C789" s="8" t="s">
        <v>2718</v>
      </c>
      <c r="D789" s="8" t="s">
        <v>16</v>
      </c>
      <c r="E789" s="8" t="s">
        <v>17</v>
      </c>
      <c r="F789" s="9">
        <v>46045.0</v>
      </c>
      <c r="G789" s="8" t="s">
        <v>2719</v>
      </c>
      <c r="H789" s="8" t="s">
        <v>2720</v>
      </c>
      <c r="I789" s="8" t="s">
        <v>2721</v>
      </c>
      <c r="J789" s="8" t="s">
        <v>2722</v>
      </c>
    </row>
    <row r="790">
      <c r="A790" s="7">
        <v>2.0032811E7</v>
      </c>
      <c r="B790" s="8" t="s">
        <v>2471</v>
      </c>
      <c r="C790" s="8" t="s">
        <v>2723</v>
      </c>
      <c r="D790" s="8" t="s">
        <v>16</v>
      </c>
      <c r="E790" s="8" t="s">
        <v>17</v>
      </c>
      <c r="F790" s="9">
        <v>46039.0</v>
      </c>
      <c r="G790" s="8" t="s">
        <v>2724</v>
      </c>
      <c r="H790" s="8" t="s">
        <v>2725</v>
      </c>
      <c r="I790" s="8" t="s">
        <v>2726</v>
      </c>
      <c r="J790" s="8" t="s">
        <v>2727</v>
      </c>
    </row>
    <row r="791">
      <c r="A791" s="7">
        <v>2.0031261E7</v>
      </c>
      <c r="B791" s="8" t="s">
        <v>2471</v>
      </c>
      <c r="C791" s="8" t="s">
        <v>2728</v>
      </c>
      <c r="D791" s="8" t="s">
        <v>16</v>
      </c>
      <c r="E791" s="8" t="s">
        <v>17</v>
      </c>
      <c r="F791" s="9">
        <v>46051.0</v>
      </c>
      <c r="G791" s="8" t="s">
        <v>2729</v>
      </c>
      <c r="H791" s="8" t="s">
        <v>2730</v>
      </c>
      <c r="I791" s="8" t="s">
        <v>2731</v>
      </c>
      <c r="J791" s="8" t="s">
        <v>2732</v>
      </c>
    </row>
    <row r="792">
      <c r="A792" s="7">
        <v>2.0031371E7</v>
      </c>
      <c r="B792" s="8" t="s">
        <v>2471</v>
      </c>
      <c r="C792" s="8" t="s">
        <v>2733</v>
      </c>
      <c r="D792" s="8" t="s">
        <v>16</v>
      </c>
      <c r="E792" s="8" t="s">
        <v>17</v>
      </c>
      <c r="F792" s="9">
        <v>46051.0</v>
      </c>
      <c r="G792" s="8" t="s">
        <v>1503</v>
      </c>
      <c r="H792" s="8" t="s">
        <v>1504</v>
      </c>
      <c r="I792" s="8" t="s">
        <v>2734</v>
      </c>
      <c r="J792" s="8" t="s">
        <v>2735</v>
      </c>
    </row>
    <row r="793">
      <c r="A793" s="7">
        <v>2.0032752E7</v>
      </c>
      <c r="B793" s="8" t="s">
        <v>2471</v>
      </c>
      <c r="C793" s="8" t="s">
        <v>2736</v>
      </c>
      <c r="D793" s="8" t="s">
        <v>16</v>
      </c>
      <c r="E793" s="8" t="s">
        <v>17</v>
      </c>
      <c r="F793" s="9">
        <v>46045.0</v>
      </c>
      <c r="G793" s="8" t="s">
        <v>171</v>
      </c>
      <c r="H793" s="8" t="s">
        <v>172</v>
      </c>
      <c r="I793" s="8" t="s">
        <v>2737</v>
      </c>
      <c r="J793" s="8" t="s">
        <v>2738</v>
      </c>
    </row>
    <row r="794">
      <c r="A794" s="7">
        <v>2.0032575E7</v>
      </c>
      <c r="B794" s="8" t="s">
        <v>2471</v>
      </c>
      <c r="C794" s="8" t="s">
        <v>2739</v>
      </c>
      <c r="D794" s="8" t="s">
        <v>16</v>
      </c>
      <c r="E794" s="8" t="s">
        <v>17</v>
      </c>
      <c r="F794" s="9">
        <v>46046.0</v>
      </c>
      <c r="G794" s="8" t="s">
        <v>385</v>
      </c>
      <c r="H794" s="8" t="s">
        <v>386</v>
      </c>
      <c r="I794" s="8" t="s">
        <v>2740</v>
      </c>
      <c r="J794" s="8" t="s">
        <v>2741</v>
      </c>
    </row>
    <row r="795">
      <c r="A795" s="7">
        <v>2.0032501E7</v>
      </c>
      <c r="B795" s="8" t="s">
        <v>2471</v>
      </c>
      <c r="C795" s="8" t="s">
        <v>2742</v>
      </c>
      <c r="D795" s="8" t="s">
        <v>16</v>
      </c>
      <c r="E795" s="8" t="s">
        <v>17</v>
      </c>
      <c r="F795" s="9">
        <v>46039.0</v>
      </c>
      <c r="G795" s="8" t="s">
        <v>1949</v>
      </c>
      <c r="H795" s="8" t="s">
        <v>1950</v>
      </c>
      <c r="I795" s="8" t="s">
        <v>2743</v>
      </c>
      <c r="J795" s="8" t="s">
        <v>2744</v>
      </c>
    </row>
    <row r="796">
      <c r="A796" s="7">
        <v>2.0032308E7</v>
      </c>
      <c r="B796" s="8" t="s">
        <v>2471</v>
      </c>
      <c r="C796" s="8" t="s">
        <v>2745</v>
      </c>
      <c r="D796" s="8" t="s">
        <v>16</v>
      </c>
      <c r="E796" s="8" t="s">
        <v>17</v>
      </c>
      <c r="F796" s="9">
        <v>46044.0</v>
      </c>
      <c r="G796" s="8" t="s">
        <v>124</v>
      </c>
      <c r="H796" s="8" t="s">
        <v>125</v>
      </c>
      <c r="I796" s="8" t="s">
        <v>2746</v>
      </c>
      <c r="J796" s="8" t="s">
        <v>2747</v>
      </c>
    </row>
    <row r="797">
      <c r="A797" s="7">
        <v>2.0029743E7</v>
      </c>
      <c r="B797" s="8" t="s">
        <v>2471</v>
      </c>
      <c r="C797" s="8" t="s">
        <v>2748</v>
      </c>
      <c r="D797" s="8" t="s">
        <v>16</v>
      </c>
      <c r="E797" s="8" t="s">
        <v>17</v>
      </c>
      <c r="F797" s="9">
        <v>46045.0</v>
      </c>
      <c r="G797" s="8" t="s">
        <v>2749</v>
      </c>
      <c r="H797" s="8" t="s">
        <v>2750</v>
      </c>
      <c r="I797" s="8" t="s">
        <v>2751</v>
      </c>
      <c r="J797" s="8" t="s">
        <v>2752</v>
      </c>
    </row>
    <row r="798">
      <c r="A798" s="7">
        <v>2.0032227E7</v>
      </c>
      <c r="B798" s="8" t="s">
        <v>2471</v>
      </c>
      <c r="C798" s="8" t="s">
        <v>2753</v>
      </c>
      <c r="D798" s="8" t="s">
        <v>16</v>
      </c>
      <c r="E798" s="8" t="s">
        <v>17</v>
      </c>
      <c r="F798" s="9">
        <v>46044.0</v>
      </c>
      <c r="G798" s="8" t="s">
        <v>1355</v>
      </c>
      <c r="H798" s="8" t="s">
        <v>1356</v>
      </c>
      <c r="I798" s="8" t="s">
        <v>2754</v>
      </c>
      <c r="J798" s="8" t="s">
        <v>2755</v>
      </c>
    </row>
    <row r="799">
      <c r="A799" s="7">
        <v>2.003175E7</v>
      </c>
      <c r="B799" s="8" t="s">
        <v>2471</v>
      </c>
      <c r="C799" s="8" t="s">
        <v>2756</v>
      </c>
      <c r="D799" s="8" t="s">
        <v>16</v>
      </c>
      <c r="E799" s="8" t="s">
        <v>17</v>
      </c>
      <c r="F799" s="9">
        <v>46036.0</v>
      </c>
      <c r="G799" s="8" t="s">
        <v>34</v>
      </c>
      <c r="H799" s="8" t="s">
        <v>35</v>
      </c>
      <c r="I799" s="8" t="s">
        <v>2757</v>
      </c>
      <c r="J799" s="8" t="s">
        <v>2758</v>
      </c>
    </row>
    <row r="800">
      <c r="A800" s="7">
        <v>2.0031386E7</v>
      </c>
      <c r="B800" s="8" t="s">
        <v>2471</v>
      </c>
      <c r="C800" s="8" t="s">
        <v>2759</v>
      </c>
      <c r="D800" s="8" t="s">
        <v>16</v>
      </c>
      <c r="E800" s="8" t="s">
        <v>17</v>
      </c>
      <c r="F800" s="9">
        <v>46046.0</v>
      </c>
      <c r="G800" s="8" t="s">
        <v>2339</v>
      </c>
      <c r="H800" s="8" t="s">
        <v>2340</v>
      </c>
      <c r="I800" s="8" t="s">
        <v>2760</v>
      </c>
      <c r="J800" s="8" t="s">
        <v>2761</v>
      </c>
    </row>
    <row r="801">
      <c r="A801" s="7">
        <v>2.003173E7</v>
      </c>
      <c r="B801" s="8" t="s">
        <v>2471</v>
      </c>
      <c r="C801" s="8" t="s">
        <v>2762</v>
      </c>
      <c r="D801" s="8" t="s">
        <v>16</v>
      </c>
      <c r="E801" s="8" t="s">
        <v>17</v>
      </c>
      <c r="F801" s="9">
        <v>46027.0</v>
      </c>
      <c r="G801" s="8" t="s">
        <v>339</v>
      </c>
      <c r="H801" s="8" t="s">
        <v>340</v>
      </c>
      <c r="I801" s="8" t="s">
        <v>2763</v>
      </c>
      <c r="J801" s="8" t="s">
        <v>2764</v>
      </c>
    </row>
    <row r="802">
      <c r="A802" s="7">
        <v>2.0030975E7</v>
      </c>
      <c r="B802" s="8" t="s">
        <v>2471</v>
      </c>
      <c r="C802" s="8" t="s">
        <v>2765</v>
      </c>
      <c r="D802" s="8" t="s">
        <v>16</v>
      </c>
      <c r="E802" s="8" t="s">
        <v>17</v>
      </c>
      <c r="F802" s="9">
        <v>46039.0</v>
      </c>
      <c r="G802" s="8" t="s">
        <v>805</v>
      </c>
      <c r="H802" s="8" t="s">
        <v>806</v>
      </c>
      <c r="I802" s="8" t="s">
        <v>2766</v>
      </c>
      <c r="J802" s="8" t="s">
        <v>2767</v>
      </c>
    </row>
    <row r="803">
      <c r="A803" s="7">
        <v>2.0028282E7</v>
      </c>
      <c r="B803" s="8" t="s">
        <v>2471</v>
      </c>
      <c r="C803" s="8" t="s">
        <v>2768</v>
      </c>
      <c r="D803" s="8" t="s">
        <v>16</v>
      </c>
      <c r="E803" s="8" t="s">
        <v>17</v>
      </c>
      <c r="F803" s="9">
        <v>46051.0</v>
      </c>
      <c r="G803" s="8" t="s">
        <v>137</v>
      </c>
      <c r="H803" s="8" t="s">
        <v>138</v>
      </c>
      <c r="I803" s="8" t="s">
        <v>2769</v>
      </c>
      <c r="J803" s="8" t="s">
        <v>2770</v>
      </c>
    </row>
    <row r="804">
      <c r="A804" s="7">
        <v>2.0030994E7</v>
      </c>
      <c r="B804" s="8" t="s">
        <v>2471</v>
      </c>
      <c r="C804" s="8" t="s">
        <v>2771</v>
      </c>
      <c r="D804" s="8" t="s">
        <v>16</v>
      </c>
      <c r="E804" s="8" t="s">
        <v>17</v>
      </c>
      <c r="F804" s="9">
        <v>46026.0</v>
      </c>
      <c r="G804" s="8" t="s">
        <v>91</v>
      </c>
      <c r="H804" s="8" t="s">
        <v>92</v>
      </c>
      <c r="I804" s="8" t="s">
        <v>2772</v>
      </c>
      <c r="J804" s="8" t="s">
        <v>2773</v>
      </c>
    </row>
    <row r="805">
      <c r="A805" s="7">
        <v>2.0030994E7</v>
      </c>
      <c r="B805" s="8" t="s">
        <v>2471</v>
      </c>
      <c r="C805" s="8" t="s">
        <v>2771</v>
      </c>
      <c r="D805" s="8" t="s">
        <v>16</v>
      </c>
      <c r="E805" s="8" t="s">
        <v>17</v>
      </c>
      <c r="F805" s="9">
        <v>46026.0</v>
      </c>
      <c r="G805" s="8" t="s">
        <v>846</v>
      </c>
      <c r="H805" s="8" t="s">
        <v>847</v>
      </c>
      <c r="I805" s="8" t="s">
        <v>2774</v>
      </c>
      <c r="J805" s="8" t="s">
        <v>2775</v>
      </c>
    </row>
    <row r="806">
      <c r="A806" s="7">
        <v>2.0031005E7</v>
      </c>
      <c r="B806" s="8" t="s">
        <v>2471</v>
      </c>
      <c r="C806" s="8" t="s">
        <v>2776</v>
      </c>
      <c r="D806" s="8" t="s">
        <v>16</v>
      </c>
      <c r="E806" s="8" t="s">
        <v>17</v>
      </c>
      <c r="F806" s="9">
        <v>46044.0</v>
      </c>
      <c r="G806" s="8" t="s">
        <v>2777</v>
      </c>
      <c r="H806" s="8" t="s">
        <v>2778</v>
      </c>
      <c r="I806" s="8" t="s">
        <v>2779</v>
      </c>
      <c r="J806" s="8" t="s">
        <v>2780</v>
      </c>
    </row>
    <row r="807">
      <c r="A807" s="7">
        <v>2.0030542E7</v>
      </c>
      <c r="B807" s="8" t="s">
        <v>2471</v>
      </c>
      <c r="C807" s="8" t="s">
        <v>2781</v>
      </c>
      <c r="D807" s="8" t="s">
        <v>16</v>
      </c>
      <c r="E807" s="8" t="s">
        <v>17</v>
      </c>
      <c r="F807" s="9">
        <v>46030.0</v>
      </c>
      <c r="G807" s="8" t="s">
        <v>75</v>
      </c>
      <c r="H807" s="8" t="s">
        <v>76</v>
      </c>
      <c r="I807" s="8" t="s">
        <v>2782</v>
      </c>
      <c r="J807" s="8" t="s">
        <v>2783</v>
      </c>
    </row>
    <row r="808">
      <c r="A808" s="7">
        <v>2.0030968E7</v>
      </c>
      <c r="B808" s="8" t="s">
        <v>2471</v>
      </c>
      <c r="C808" s="8" t="s">
        <v>2784</v>
      </c>
      <c r="D808" s="8" t="s">
        <v>16</v>
      </c>
      <c r="E808" s="8" t="s">
        <v>17</v>
      </c>
      <c r="F808" s="9">
        <v>46031.0</v>
      </c>
      <c r="G808" s="8" t="s">
        <v>109</v>
      </c>
      <c r="H808" s="8" t="s">
        <v>110</v>
      </c>
      <c r="I808" s="8" t="s">
        <v>2785</v>
      </c>
      <c r="J808" s="8" t="s">
        <v>2786</v>
      </c>
    </row>
    <row r="809">
      <c r="A809" s="7">
        <v>2.0030974E7</v>
      </c>
      <c r="B809" s="8" t="s">
        <v>2471</v>
      </c>
      <c r="C809" s="8" t="s">
        <v>2787</v>
      </c>
      <c r="D809" s="8" t="s">
        <v>16</v>
      </c>
      <c r="E809" s="8" t="s">
        <v>17</v>
      </c>
      <c r="F809" s="9">
        <v>46028.0</v>
      </c>
      <c r="G809" s="8" t="s">
        <v>195</v>
      </c>
      <c r="H809" s="8" t="s">
        <v>196</v>
      </c>
      <c r="I809" s="8" t="s">
        <v>2788</v>
      </c>
      <c r="J809" s="8" t="s">
        <v>2789</v>
      </c>
    </row>
    <row r="810">
      <c r="A810" s="7">
        <v>2.0030637E7</v>
      </c>
      <c r="B810" s="8" t="s">
        <v>2471</v>
      </c>
      <c r="C810" s="8" t="s">
        <v>2790</v>
      </c>
      <c r="D810" s="8" t="s">
        <v>16</v>
      </c>
      <c r="E810" s="8" t="s">
        <v>17</v>
      </c>
      <c r="F810" s="9">
        <v>46044.0</v>
      </c>
      <c r="G810" s="8" t="s">
        <v>528</v>
      </c>
      <c r="H810" s="8" t="s">
        <v>529</v>
      </c>
      <c r="I810" s="8" t="s">
        <v>2791</v>
      </c>
      <c r="J810" s="8" t="s">
        <v>2792</v>
      </c>
    </row>
    <row r="811">
      <c r="A811" s="7">
        <v>2.0027026E7</v>
      </c>
      <c r="B811" s="8" t="s">
        <v>2471</v>
      </c>
      <c r="C811" s="8" t="s">
        <v>2793</v>
      </c>
      <c r="D811" s="8" t="s">
        <v>16</v>
      </c>
      <c r="E811" s="8" t="s">
        <v>17</v>
      </c>
      <c r="F811" s="9">
        <v>46035.0</v>
      </c>
      <c r="G811" s="8" t="s">
        <v>365</v>
      </c>
      <c r="H811" s="8" t="s">
        <v>366</v>
      </c>
      <c r="I811" s="8" t="s">
        <v>2794</v>
      </c>
      <c r="J811" s="8" t="s">
        <v>2795</v>
      </c>
    </row>
    <row r="812">
      <c r="A812" s="7">
        <v>2.0030612E7</v>
      </c>
      <c r="B812" s="8" t="s">
        <v>2471</v>
      </c>
      <c r="C812" s="8" t="s">
        <v>2796</v>
      </c>
      <c r="D812" s="8" t="s">
        <v>16</v>
      </c>
      <c r="E812" s="8" t="s">
        <v>17</v>
      </c>
      <c r="F812" s="9">
        <v>46045.0</v>
      </c>
      <c r="G812" s="8" t="s">
        <v>137</v>
      </c>
      <c r="H812" s="8" t="s">
        <v>138</v>
      </c>
      <c r="I812" s="8" t="s">
        <v>2797</v>
      </c>
      <c r="J812" s="8" t="s">
        <v>2798</v>
      </c>
    </row>
    <row r="813">
      <c r="A813" s="7">
        <v>2.0030125E7</v>
      </c>
      <c r="B813" s="8" t="s">
        <v>2471</v>
      </c>
      <c r="C813" s="8" t="s">
        <v>2799</v>
      </c>
      <c r="D813" s="8" t="s">
        <v>16</v>
      </c>
      <c r="E813" s="8" t="s">
        <v>17</v>
      </c>
      <c r="F813" s="9">
        <v>46047.0</v>
      </c>
      <c r="G813" s="8" t="s">
        <v>137</v>
      </c>
      <c r="H813" s="8" t="s">
        <v>138</v>
      </c>
      <c r="I813" s="8" t="s">
        <v>2800</v>
      </c>
      <c r="J813" s="8" t="s">
        <v>2801</v>
      </c>
    </row>
    <row r="814">
      <c r="A814" s="7">
        <v>2.0028866E7</v>
      </c>
      <c r="B814" s="8" t="s">
        <v>2471</v>
      </c>
      <c r="C814" s="8" t="s">
        <v>2802</v>
      </c>
      <c r="D814" s="8" t="s">
        <v>16</v>
      </c>
      <c r="E814" s="8" t="s">
        <v>17</v>
      </c>
      <c r="F814" s="9">
        <v>46045.0</v>
      </c>
      <c r="G814" s="8" t="s">
        <v>2447</v>
      </c>
      <c r="H814" s="8" t="s">
        <v>2448</v>
      </c>
      <c r="I814" s="8" t="s">
        <v>2803</v>
      </c>
      <c r="J814" s="8" t="s">
        <v>2804</v>
      </c>
    </row>
    <row r="815">
      <c r="A815" s="7">
        <v>2.0030129E7</v>
      </c>
      <c r="B815" s="8" t="s">
        <v>2471</v>
      </c>
      <c r="C815" s="8" t="s">
        <v>2805</v>
      </c>
      <c r="D815" s="8" t="s">
        <v>16</v>
      </c>
      <c r="E815" s="8" t="s">
        <v>17</v>
      </c>
      <c r="F815" s="9">
        <v>46045.0</v>
      </c>
      <c r="G815" s="8" t="s">
        <v>137</v>
      </c>
      <c r="H815" s="8" t="s">
        <v>138</v>
      </c>
      <c r="I815" s="8" t="s">
        <v>2806</v>
      </c>
      <c r="J815" s="8" t="s">
        <v>2807</v>
      </c>
    </row>
    <row r="816">
      <c r="A816" s="7">
        <v>2.0029773E7</v>
      </c>
      <c r="B816" s="8" t="s">
        <v>2471</v>
      </c>
      <c r="C816" s="8" t="s">
        <v>2808</v>
      </c>
      <c r="D816" s="8" t="s">
        <v>16</v>
      </c>
      <c r="E816" s="8" t="s">
        <v>17</v>
      </c>
      <c r="F816" s="9">
        <v>46048.0</v>
      </c>
      <c r="G816" s="8" t="s">
        <v>2809</v>
      </c>
      <c r="H816" s="8" t="s">
        <v>2810</v>
      </c>
      <c r="I816" s="8" t="s">
        <v>2811</v>
      </c>
      <c r="J816" s="8" t="s">
        <v>2812</v>
      </c>
    </row>
    <row r="817">
      <c r="A817" s="7">
        <v>2.002872E7</v>
      </c>
      <c r="B817" s="8" t="s">
        <v>2471</v>
      </c>
      <c r="C817" s="8" t="s">
        <v>2813</v>
      </c>
      <c r="D817" s="8" t="s">
        <v>16</v>
      </c>
      <c r="E817" s="8" t="s">
        <v>17</v>
      </c>
      <c r="F817" s="9">
        <v>46034.0</v>
      </c>
      <c r="G817" s="8" t="s">
        <v>846</v>
      </c>
      <c r="H817" s="8" t="s">
        <v>847</v>
      </c>
      <c r="I817" s="8" t="s">
        <v>2814</v>
      </c>
      <c r="J817" s="8" t="s">
        <v>2815</v>
      </c>
    </row>
    <row r="818">
      <c r="A818" s="7">
        <v>2.0026567E7</v>
      </c>
      <c r="B818" s="8" t="s">
        <v>2471</v>
      </c>
      <c r="C818" s="8" t="s">
        <v>2816</v>
      </c>
      <c r="D818" s="8" t="s">
        <v>16</v>
      </c>
      <c r="E818" s="8" t="s">
        <v>17</v>
      </c>
      <c r="F818" s="9">
        <v>46042.0</v>
      </c>
      <c r="G818" s="8" t="s">
        <v>1045</v>
      </c>
      <c r="H818" s="8" t="s">
        <v>909</v>
      </c>
      <c r="I818" s="8" t="s">
        <v>2817</v>
      </c>
      <c r="J818" s="8" t="s">
        <v>2818</v>
      </c>
    </row>
    <row r="819">
      <c r="A819" s="7">
        <v>2.0029784E7</v>
      </c>
      <c r="B819" s="8" t="s">
        <v>2471</v>
      </c>
      <c r="C819" s="8" t="s">
        <v>2819</v>
      </c>
      <c r="D819" s="8" t="s">
        <v>16</v>
      </c>
      <c r="E819" s="8" t="s">
        <v>17</v>
      </c>
      <c r="F819" s="9">
        <v>46049.0</v>
      </c>
      <c r="G819" s="8" t="s">
        <v>176</v>
      </c>
      <c r="H819" s="8" t="s">
        <v>177</v>
      </c>
      <c r="I819" s="8" t="s">
        <v>2820</v>
      </c>
      <c r="J819" s="8" t="s">
        <v>2821</v>
      </c>
    </row>
    <row r="820">
      <c r="A820" s="7">
        <v>2.0029488E7</v>
      </c>
      <c r="B820" s="8" t="s">
        <v>2471</v>
      </c>
      <c r="C820" s="8" t="s">
        <v>2822</v>
      </c>
      <c r="D820" s="8" t="s">
        <v>16</v>
      </c>
      <c r="E820" s="8" t="s">
        <v>17</v>
      </c>
      <c r="F820" s="9">
        <v>46037.0</v>
      </c>
      <c r="G820" s="8" t="s">
        <v>365</v>
      </c>
      <c r="H820" s="8" t="s">
        <v>366</v>
      </c>
      <c r="I820" s="8" t="s">
        <v>2823</v>
      </c>
      <c r="J820" s="8" t="s">
        <v>2824</v>
      </c>
    </row>
    <row r="821">
      <c r="A821" s="7">
        <v>2.0029781E7</v>
      </c>
      <c r="B821" s="8" t="s">
        <v>2471</v>
      </c>
      <c r="C821" s="8" t="s">
        <v>2825</v>
      </c>
      <c r="D821" s="8" t="s">
        <v>16</v>
      </c>
      <c r="E821" s="8" t="s">
        <v>17</v>
      </c>
      <c r="F821" s="9">
        <v>46032.0</v>
      </c>
      <c r="G821" s="8" t="s">
        <v>59</v>
      </c>
      <c r="H821" s="8" t="s">
        <v>60</v>
      </c>
      <c r="I821" s="8" t="s">
        <v>2826</v>
      </c>
      <c r="J821" s="8" t="s">
        <v>2827</v>
      </c>
    </row>
    <row r="822">
      <c r="A822" s="7">
        <v>2.002944E7</v>
      </c>
      <c r="B822" s="8" t="s">
        <v>2471</v>
      </c>
      <c r="C822" s="8" t="s">
        <v>2828</v>
      </c>
      <c r="D822" s="8" t="s">
        <v>16</v>
      </c>
      <c r="E822" s="8" t="s">
        <v>17</v>
      </c>
      <c r="F822" s="9">
        <v>46038.0</v>
      </c>
      <c r="G822" s="8" t="s">
        <v>1941</v>
      </c>
      <c r="H822" s="8" t="s">
        <v>1942</v>
      </c>
      <c r="I822" s="8" t="s">
        <v>2829</v>
      </c>
      <c r="J822" s="8" t="s">
        <v>2830</v>
      </c>
    </row>
    <row r="823">
      <c r="A823" s="7">
        <v>2.0029897E7</v>
      </c>
      <c r="B823" s="8" t="s">
        <v>2471</v>
      </c>
      <c r="C823" s="8" t="s">
        <v>2831</v>
      </c>
      <c r="D823" s="8" t="s">
        <v>16</v>
      </c>
      <c r="E823" s="8" t="s">
        <v>17</v>
      </c>
      <c r="F823" s="9">
        <v>46045.0</v>
      </c>
      <c r="G823" s="8" t="s">
        <v>2386</v>
      </c>
      <c r="H823" s="8" t="s">
        <v>2387</v>
      </c>
      <c r="I823" s="8" t="s">
        <v>2832</v>
      </c>
      <c r="J823" s="8" t="s">
        <v>2833</v>
      </c>
    </row>
    <row r="824">
      <c r="A824" s="7">
        <v>2.0027347E7</v>
      </c>
      <c r="B824" s="8" t="s">
        <v>2471</v>
      </c>
      <c r="C824" s="8" t="s">
        <v>2834</v>
      </c>
      <c r="D824" s="8" t="s">
        <v>16</v>
      </c>
      <c r="E824" s="8" t="s">
        <v>17</v>
      </c>
      <c r="F824" s="9">
        <v>46032.0</v>
      </c>
      <c r="G824" s="8" t="s">
        <v>247</v>
      </c>
      <c r="H824" s="8" t="s">
        <v>248</v>
      </c>
      <c r="I824" s="8" t="s">
        <v>2835</v>
      </c>
      <c r="J824" s="8" t="s">
        <v>2836</v>
      </c>
    </row>
    <row r="825">
      <c r="A825" s="7">
        <v>2.0028848E7</v>
      </c>
      <c r="B825" s="8" t="s">
        <v>2471</v>
      </c>
      <c r="C825" s="8" t="s">
        <v>2837</v>
      </c>
      <c r="D825" s="8" t="s">
        <v>16</v>
      </c>
      <c r="E825" s="8" t="s">
        <v>17</v>
      </c>
      <c r="F825" s="9">
        <v>46039.0</v>
      </c>
      <c r="G825" s="8" t="s">
        <v>124</v>
      </c>
      <c r="H825" s="8" t="s">
        <v>125</v>
      </c>
      <c r="I825" s="8" t="s">
        <v>2838</v>
      </c>
      <c r="J825" s="8" t="s">
        <v>2839</v>
      </c>
    </row>
    <row r="826">
      <c r="A826" s="7">
        <v>2.0028783E7</v>
      </c>
      <c r="B826" s="8" t="s">
        <v>2471</v>
      </c>
      <c r="C826" s="8" t="s">
        <v>2840</v>
      </c>
      <c r="D826" s="8" t="s">
        <v>16</v>
      </c>
      <c r="E826" s="8" t="s">
        <v>17</v>
      </c>
      <c r="F826" s="9">
        <v>46032.0</v>
      </c>
      <c r="G826" s="8" t="s">
        <v>385</v>
      </c>
      <c r="H826" s="8" t="s">
        <v>386</v>
      </c>
      <c r="I826" s="8" t="s">
        <v>2841</v>
      </c>
      <c r="J826" s="8" t="s">
        <v>2842</v>
      </c>
    </row>
    <row r="827">
      <c r="A827" s="7">
        <v>2.0028712E7</v>
      </c>
      <c r="B827" s="8" t="s">
        <v>2471</v>
      </c>
      <c r="C827" s="8" t="s">
        <v>2843</v>
      </c>
      <c r="D827" s="8" t="s">
        <v>16</v>
      </c>
      <c r="E827" s="8" t="s">
        <v>17</v>
      </c>
      <c r="F827" s="9">
        <v>46027.0</v>
      </c>
      <c r="G827" s="8" t="s">
        <v>365</v>
      </c>
      <c r="H827" s="8" t="s">
        <v>366</v>
      </c>
      <c r="I827" s="8" t="s">
        <v>2844</v>
      </c>
      <c r="J827" s="8" t="s">
        <v>2845</v>
      </c>
    </row>
    <row r="828">
      <c r="A828" s="7">
        <v>2.0028078E7</v>
      </c>
      <c r="B828" s="8" t="s">
        <v>2471</v>
      </c>
      <c r="C828" s="8" t="s">
        <v>2846</v>
      </c>
      <c r="D828" s="8" t="s">
        <v>16</v>
      </c>
      <c r="E828" s="8" t="s">
        <v>17</v>
      </c>
      <c r="F828" s="9">
        <v>46039.0</v>
      </c>
      <c r="G828" s="8" t="s">
        <v>54</v>
      </c>
      <c r="H828" s="8" t="s">
        <v>55</v>
      </c>
      <c r="I828" s="8" t="s">
        <v>2847</v>
      </c>
      <c r="J828" s="8" t="s">
        <v>2848</v>
      </c>
    </row>
    <row r="829">
      <c r="A829" s="7">
        <v>2.0028586E7</v>
      </c>
      <c r="B829" s="8" t="s">
        <v>2471</v>
      </c>
      <c r="C829" s="8" t="s">
        <v>2849</v>
      </c>
      <c r="D829" s="8" t="s">
        <v>16</v>
      </c>
      <c r="E829" s="8" t="s">
        <v>17</v>
      </c>
      <c r="F829" s="9">
        <v>46038.0</v>
      </c>
      <c r="G829" s="8" t="s">
        <v>2850</v>
      </c>
      <c r="H829" s="8" t="s">
        <v>2851</v>
      </c>
      <c r="I829" s="8" t="s">
        <v>2852</v>
      </c>
      <c r="J829" s="8" t="s">
        <v>2853</v>
      </c>
    </row>
    <row r="830">
      <c r="A830" s="7">
        <v>2.0028444E7</v>
      </c>
      <c r="B830" s="8" t="s">
        <v>2471</v>
      </c>
      <c r="C830" s="8" t="s">
        <v>2854</v>
      </c>
      <c r="D830" s="8" t="s">
        <v>16</v>
      </c>
      <c r="E830" s="8" t="s">
        <v>17</v>
      </c>
      <c r="F830" s="9">
        <v>46030.0</v>
      </c>
      <c r="G830" s="8" t="s">
        <v>882</v>
      </c>
      <c r="H830" s="8" t="s">
        <v>883</v>
      </c>
      <c r="I830" s="8" t="s">
        <v>2855</v>
      </c>
      <c r="J830" s="8" t="s">
        <v>2856</v>
      </c>
    </row>
    <row r="831">
      <c r="A831" s="7">
        <v>2.0028323E7</v>
      </c>
      <c r="B831" s="8" t="s">
        <v>2471</v>
      </c>
      <c r="C831" s="8" t="s">
        <v>2857</v>
      </c>
      <c r="D831" s="8" t="s">
        <v>16</v>
      </c>
      <c r="E831" s="8" t="s">
        <v>17</v>
      </c>
      <c r="F831" s="9">
        <v>46038.0</v>
      </c>
      <c r="G831" s="8" t="s">
        <v>2858</v>
      </c>
      <c r="H831" s="8" t="s">
        <v>2859</v>
      </c>
      <c r="I831" s="8" t="s">
        <v>2860</v>
      </c>
      <c r="J831" s="8" t="s">
        <v>2861</v>
      </c>
    </row>
    <row r="832">
      <c r="A832" s="7">
        <v>2.0026758E7</v>
      </c>
      <c r="B832" s="8" t="s">
        <v>2471</v>
      </c>
      <c r="C832" s="8" t="s">
        <v>2862</v>
      </c>
      <c r="D832" s="8" t="s">
        <v>16</v>
      </c>
      <c r="E832" s="8" t="s">
        <v>17</v>
      </c>
      <c r="F832" s="9">
        <v>46028.0</v>
      </c>
      <c r="G832" s="8" t="s">
        <v>400</v>
      </c>
      <c r="H832" s="8" t="s">
        <v>401</v>
      </c>
      <c r="I832" s="8" t="s">
        <v>2863</v>
      </c>
      <c r="J832" s="8" t="s">
        <v>2864</v>
      </c>
    </row>
    <row r="833">
      <c r="A833" s="7">
        <v>2.0024951E7</v>
      </c>
      <c r="B833" s="8" t="s">
        <v>2471</v>
      </c>
      <c r="C833" s="8" t="s">
        <v>2865</v>
      </c>
      <c r="D833" s="8" t="s">
        <v>16</v>
      </c>
      <c r="E833" s="8" t="s">
        <v>17</v>
      </c>
      <c r="F833" s="9">
        <v>46039.0</v>
      </c>
      <c r="G833" s="8" t="s">
        <v>594</v>
      </c>
      <c r="H833" s="8" t="s">
        <v>595</v>
      </c>
      <c r="I833" s="8" t="s">
        <v>2866</v>
      </c>
      <c r="J833" s="8" t="s">
        <v>2867</v>
      </c>
    </row>
    <row r="834">
      <c r="A834" s="7">
        <v>2.002806E7</v>
      </c>
      <c r="B834" s="8" t="s">
        <v>2471</v>
      </c>
      <c r="C834" s="8" t="s">
        <v>2868</v>
      </c>
      <c r="D834" s="8" t="s">
        <v>16</v>
      </c>
      <c r="E834" s="8" t="s">
        <v>17</v>
      </c>
      <c r="F834" s="9">
        <v>46037.0</v>
      </c>
      <c r="G834" s="8" t="s">
        <v>1537</v>
      </c>
      <c r="H834" s="8" t="s">
        <v>1538</v>
      </c>
      <c r="I834" s="8" t="s">
        <v>2869</v>
      </c>
      <c r="J834" s="8" t="s">
        <v>2870</v>
      </c>
    </row>
    <row r="835">
      <c r="A835" s="7">
        <v>2.0027094E7</v>
      </c>
      <c r="B835" s="8" t="s">
        <v>2471</v>
      </c>
      <c r="C835" s="8" t="s">
        <v>2871</v>
      </c>
      <c r="D835" s="8" t="s">
        <v>16</v>
      </c>
      <c r="E835" s="8" t="s">
        <v>17</v>
      </c>
      <c r="F835" s="9">
        <v>46041.0</v>
      </c>
      <c r="G835" s="8" t="s">
        <v>2872</v>
      </c>
      <c r="H835" s="8" t="s">
        <v>2873</v>
      </c>
      <c r="I835" s="8" t="s">
        <v>2874</v>
      </c>
      <c r="J835" s="8" t="s">
        <v>2875</v>
      </c>
    </row>
    <row r="836">
      <c r="A836" s="7">
        <v>2.002807E7</v>
      </c>
      <c r="B836" s="8" t="s">
        <v>2471</v>
      </c>
      <c r="C836" s="8" t="s">
        <v>2876</v>
      </c>
      <c r="D836" s="8" t="s">
        <v>16</v>
      </c>
      <c r="E836" s="8" t="s">
        <v>17</v>
      </c>
      <c r="F836" s="9">
        <v>46051.0</v>
      </c>
      <c r="G836" s="8" t="s">
        <v>2877</v>
      </c>
      <c r="H836" s="8" t="s">
        <v>2878</v>
      </c>
      <c r="I836" s="8" t="s">
        <v>2879</v>
      </c>
      <c r="J836" s="8" t="s">
        <v>2880</v>
      </c>
    </row>
    <row r="837">
      <c r="A837" s="7">
        <v>2.0027782E7</v>
      </c>
      <c r="B837" s="8" t="s">
        <v>2471</v>
      </c>
      <c r="C837" s="8" t="s">
        <v>2881</v>
      </c>
      <c r="D837" s="8" t="s">
        <v>16</v>
      </c>
      <c r="E837" s="8" t="s">
        <v>17</v>
      </c>
      <c r="F837" s="9">
        <v>46039.0</v>
      </c>
      <c r="G837" s="8" t="s">
        <v>124</v>
      </c>
      <c r="H837" s="8" t="s">
        <v>125</v>
      </c>
      <c r="I837" s="8" t="s">
        <v>2882</v>
      </c>
      <c r="J837" s="8" t="s">
        <v>2883</v>
      </c>
    </row>
    <row r="838">
      <c r="A838" s="7">
        <v>2.0027456E7</v>
      </c>
      <c r="B838" s="8" t="s">
        <v>2471</v>
      </c>
      <c r="C838" s="8" t="s">
        <v>2884</v>
      </c>
      <c r="D838" s="8" t="s">
        <v>16</v>
      </c>
      <c r="E838" s="8" t="s">
        <v>17</v>
      </c>
      <c r="F838" s="9">
        <v>46027.0</v>
      </c>
      <c r="G838" s="8" t="s">
        <v>314</v>
      </c>
      <c r="H838" s="8" t="s">
        <v>315</v>
      </c>
      <c r="I838" s="8" t="s">
        <v>2885</v>
      </c>
      <c r="J838" s="8" t="s">
        <v>2886</v>
      </c>
    </row>
    <row r="839">
      <c r="A839" s="7">
        <v>2.0027876E7</v>
      </c>
      <c r="B839" s="8" t="s">
        <v>2471</v>
      </c>
      <c r="C839" s="8" t="s">
        <v>2887</v>
      </c>
      <c r="D839" s="8" t="s">
        <v>16</v>
      </c>
      <c r="E839" s="8" t="s">
        <v>17</v>
      </c>
      <c r="F839" s="9">
        <v>46038.0</v>
      </c>
      <c r="G839" s="8" t="s">
        <v>124</v>
      </c>
      <c r="H839" s="8" t="s">
        <v>125</v>
      </c>
      <c r="I839" s="8" t="s">
        <v>2888</v>
      </c>
      <c r="J839" s="8" t="s">
        <v>2889</v>
      </c>
    </row>
    <row r="840">
      <c r="A840" s="7">
        <v>2.0027648E7</v>
      </c>
      <c r="B840" s="8" t="s">
        <v>2471</v>
      </c>
      <c r="C840" s="8" t="s">
        <v>2890</v>
      </c>
      <c r="D840" s="8" t="s">
        <v>16</v>
      </c>
      <c r="E840" s="8" t="s">
        <v>17</v>
      </c>
      <c r="F840" s="9">
        <v>46038.0</v>
      </c>
      <c r="G840" s="8" t="s">
        <v>148</v>
      </c>
      <c r="H840" s="8" t="s">
        <v>149</v>
      </c>
      <c r="I840" s="8" t="s">
        <v>2891</v>
      </c>
      <c r="J840" s="8" t="s">
        <v>2892</v>
      </c>
    </row>
    <row r="841">
      <c r="A841" s="7">
        <v>2.0027501E7</v>
      </c>
      <c r="B841" s="8" t="s">
        <v>2471</v>
      </c>
      <c r="C841" s="8" t="s">
        <v>2893</v>
      </c>
      <c r="D841" s="8" t="s">
        <v>16</v>
      </c>
      <c r="E841" s="8" t="s">
        <v>17</v>
      </c>
      <c r="F841" s="9">
        <v>46043.0</v>
      </c>
      <c r="G841" s="8" t="s">
        <v>361</v>
      </c>
      <c r="H841" s="8" t="s">
        <v>362</v>
      </c>
      <c r="I841" s="8" t="s">
        <v>2894</v>
      </c>
      <c r="J841" s="8" t="s">
        <v>2895</v>
      </c>
    </row>
    <row r="842">
      <c r="A842" s="7">
        <v>2.0027772E7</v>
      </c>
      <c r="B842" s="8" t="s">
        <v>2471</v>
      </c>
      <c r="C842" s="8" t="s">
        <v>2896</v>
      </c>
      <c r="D842" s="8" t="s">
        <v>16</v>
      </c>
      <c r="E842" s="8" t="s">
        <v>17</v>
      </c>
      <c r="F842" s="9">
        <v>46041.0</v>
      </c>
      <c r="G842" s="8" t="s">
        <v>184</v>
      </c>
      <c r="H842" s="8" t="s">
        <v>185</v>
      </c>
      <c r="I842" s="8" t="s">
        <v>2897</v>
      </c>
      <c r="J842" s="8" t="s">
        <v>2898</v>
      </c>
    </row>
    <row r="843">
      <c r="A843" s="7">
        <v>2.0027612E7</v>
      </c>
      <c r="B843" s="8" t="s">
        <v>2471</v>
      </c>
      <c r="C843" s="8" t="s">
        <v>2899</v>
      </c>
      <c r="D843" s="8" t="s">
        <v>16</v>
      </c>
      <c r="E843" s="8" t="s">
        <v>17</v>
      </c>
      <c r="F843" s="9">
        <v>46030.0</v>
      </c>
      <c r="G843" s="8" t="s">
        <v>2900</v>
      </c>
      <c r="H843" s="8" t="s">
        <v>2901</v>
      </c>
      <c r="I843" s="8" t="s">
        <v>2902</v>
      </c>
      <c r="J843" s="8" t="s">
        <v>2903</v>
      </c>
    </row>
    <row r="844">
      <c r="A844" s="7">
        <v>2.0025292E7</v>
      </c>
      <c r="B844" s="8" t="s">
        <v>2471</v>
      </c>
      <c r="C844" s="8" t="s">
        <v>2904</v>
      </c>
      <c r="D844" s="8" t="s">
        <v>16</v>
      </c>
      <c r="E844" s="8" t="s">
        <v>17</v>
      </c>
      <c r="F844" s="9">
        <v>46045.0</v>
      </c>
      <c r="G844" s="8" t="s">
        <v>2905</v>
      </c>
      <c r="H844" s="8" t="s">
        <v>2906</v>
      </c>
      <c r="I844" s="8" t="s">
        <v>2907</v>
      </c>
      <c r="J844" s="8" t="s">
        <v>2908</v>
      </c>
    </row>
    <row r="845">
      <c r="A845" s="7">
        <v>2.00273E7</v>
      </c>
      <c r="B845" s="8" t="s">
        <v>2471</v>
      </c>
      <c r="C845" s="8" t="s">
        <v>2909</v>
      </c>
      <c r="D845" s="8" t="s">
        <v>16</v>
      </c>
      <c r="E845" s="8" t="s">
        <v>17</v>
      </c>
      <c r="F845" s="9">
        <v>46042.0</v>
      </c>
      <c r="G845" s="8" t="s">
        <v>2910</v>
      </c>
      <c r="H845" s="8" t="s">
        <v>2911</v>
      </c>
      <c r="I845" s="8" t="s">
        <v>2912</v>
      </c>
      <c r="J845" s="8" t="s">
        <v>2913</v>
      </c>
    </row>
    <row r="846">
      <c r="A846" s="7">
        <v>2.002689E7</v>
      </c>
      <c r="B846" s="8" t="s">
        <v>2471</v>
      </c>
      <c r="C846" s="8" t="s">
        <v>2914</v>
      </c>
      <c r="D846" s="8" t="s">
        <v>16</v>
      </c>
      <c r="E846" s="8" t="s">
        <v>17</v>
      </c>
      <c r="F846" s="9">
        <v>46044.0</v>
      </c>
      <c r="G846" s="8" t="s">
        <v>137</v>
      </c>
      <c r="H846" s="8" t="s">
        <v>138</v>
      </c>
      <c r="I846" s="8" t="s">
        <v>2915</v>
      </c>
      <c r="J846" s="8" t="s">
        <v>2916</v>
      </c>
    </row>
    <row r="847">
      <c r="A847" s="7">
        <v>2.002172E7</v>
      </c>
      <c r="B847" s="8" t="s">
        <v>2471</v>
      </c>
      <c r="C847" s="8" t="s">
        <v>2917</v>
      </c>
      <c r="D847" s="8" t="s">
        <v>16</v>
      </c>
      <c r="E847" s="8" t="s">
        <v>17</v>
      </c>
      <c r="F847" s="9">
        <v>46037.0</v>
      </c>
      <c r="G847" s="8" t="s">
        <v>2918</v>
      </c>
      <c r="H847" s="8" t="s">
        <v>2919</v>
      </c>
      <c r="I847" s="8" t="s">
        <v>2920</v>
      </c>
      <c r="J847" s="8" t="s">
        <v>2921</v>
      </c>
    </row>
    <row r="848">
      <c r="A848" s="7">
        <v>2.0027589E7</v>
      </c>
      <c r="B848" s="8" t="s">
        <v>2471</v>
      </c>
      <c r="C848" s="8" t="s">
        <v>2922</v>
      </c>
      <c r="D848" s="8" t="s">
        <v>16</v>
      </c>
      <c r="E848" s="8" t="s">
        <v>17</v>
      </c>
      <c r="F848" s="9">
        <v>46030.0</v>
      </c>
      <c r="G848" s="8" t="s">
        <v>91</v>
      </c>
      <c r="H848" s="8" t="s">
        <v>92</v>
      </c>
      <c r="I848" s="8" t="s">
        <v>2923</v>
      </c>
      <c r="J848" s="8" t="s">
        <v>2924</v>
      </c>
    </row>
    <row r="849">
      <c r="A849" s="7">
        <v>2.0027589E7</v>
      </c>
      <c r="B849" s="8" t="s">
        <v>2471</v>
      </c>
      <c r="C849" s="8" t="s">
        <v>2922</v>
      </c>
      <c r="D849" s="8" t="s">
        <v>16</v>
      </c>
      <c r="E849" s="8" t="s">
        <v>17</v>
      </c>
      <c r="F849" s="9">
        <v>46030.0</v>
      </c>
      <c r="G849" s="8" t="s">
        <v>846</v>
      </c>
      <c r="H849" s="8" t="s">
        <v>847</v>
      </c>
      <c r="I849" s="8" t="s">
        <v>2925</v>
      </c>
      <c r="J849" s="8" t="s">
        <v>2926</v>
      </c>
    </row>
    <row r="850">
      <c r="A850" s="7">
        <v>2.0026665E7</v>
      </c>
      <c r="B850" s="8" t="s">
        <v>2471</v>
      </c>
      <c r="C850" s="8" t="s">
        <v>2927</v>
      </c>
      <c r="D850" s="8" t="s">
        <v>16</v>
      </c>
      <c r="E850" s="8" t="s">
        <v>17</v>
      </c>
      <c r="F850" s="9">
        <v>46033.0</v>
      </c>
      <c r="G850" s="8" t="s">
        <v>49</v>
      </c>
      <c r="H850" s="8" t="s">
        <v>50</v>
      </c>
      <c r="I850" s="8" t="s">
        <v>2928</v>
      </c>
      <c r="J850" s="8" t="s">
        <v>2929</v>
      </c>
    </row>
    <row r="851">
      <c r="A851" s="7">
        <v>2.0026953E7</v>
      </c>
      <c r="B851" s="8" t="s">
        <v>2471</v>
      </c>
      <c r="C851" s="8" t="s">
        <v>2930</v>
      </c>
      <c r="D851" s="8" t="s">
        <v>16</v>
      </c>
      <c r="E851" s="8" t="s">
        <v>17</v>
      </c>
      <c r="F851" s="9">
        <v>46041.0</v>
      </c>
      <c r="G851" s="8" t="s">
        <v>2931</v>
      </c>
      <c r="H851" s="8" t="s">
        <v>2932</v>
      </c>
      <c r="I851" s="8" t="s">
        <v>2933</v>
      </c>
      <c r="J851" s="8" t="s">
        <v>2934</v>
      </c>
    </row>
    <row r="852">
      <c r="A852" s="7">
        <v>2.0027082E7</v>
      </c>
      <c r="B852" s="8" t="s">
        <v>2471</v>
      </c>
      <c r="C852" s="8" t="s">
        <v>2935</v>
      </c>
      <c r="D852" s="8" t="s">
        <v>16</v>
      </c>
      <c r="E852" s="8" t="s">
        <v>17</v>
      </c>
      <c r="F852" s="9">
        <v>46045.0</v>
      </c>
      <c r="G852" s="8" t="s">
        <v>137</v>
      </c>
      <c r="H852" s="8" t="s">
        <v>138</v>
      </c>
      <c r="I852" s="8" t="s">
        <v>2936</v>
      </c>
      <c r="J852" s="8" t="s">
        <v>2937</v>
      </c>
    </row>
    <row r="853">
      <c r="A853" s="7">
        <v>2.0025523E7</v>
      </c>
      <c r="B853" s="8" t="s">
        <v>2471</v>
      </c>
      <c r="C853" s="8" t="s">
        <v>2938</v>
      </c>
      <c r="D853" s="8" t="s">
        <v>16</v>
      </c>
      <c r="E853" s="8" t="s">
        <v>17</v>
      </c>
      <c r="F853" s="9">
        <v>46032.0</v>
      </c>
      <c r="G853" s="8" t="s">
        <v>124</v>
      </c>
      <c r="H853" s="8" t="s">
        <v>125</v>
      </c>
      <c r="I853" s="8" t="s">
        <v>2939</v>
      </c>
      <c r="J853" s="8" t="s">
        <v>2940</v>
      </c>
    </row>
    <row r="854">
      <c r="A854" s="7">
        <v>2.0025927E7</v>
      </c>
      <c r="B854" s="8" t="s">
        <v>2471</v>
      </c>
      <c r="C854" s="8" t="s">
        <v>2941</v>
      </c>
      <c r="D854" s="8" t="s">
        <v>16</v>
      </c>
      <c r="E854" s="8" t="s">
        <v>17</v>
      </c>
      <c r="F854" s="9">
        <v>46040.0</v>
      </c>
      <c r="G854" s="8" t="s">
        <v>290</v>
      </c>
      <c r="H854" s="8" t="s">
        <v>291</v>
      </c>
      <c r="I854" s="8" t="s">
        <v>2942</v>
      </c>
      <c r="J854" s="8" t="s">
        <v>2943</v>
      </c>
    </row>
    <row r="855">
      <c r="A855" s="7">
        <v>2.0025974E7</v>
      </c>
      <c r="B855" s="8" t="s">
        <v>2471</v>
      </c>
      <c r="C855" s="8" t="s">
        <v>2944</v>
      </c>
      <c r="D855" s="8" t="s">
        <v>16</v>
      </c>
      <c r="E855" s="8" t="s">
        <v>48</v>
      </c>
      <c r="F855" s="9">
        <v>46028.0</v>
      </c>
      <c r="G855" s="8" t="s">
        <v>1813</v>
      </c>
      <c r="H855" s="8" t="s">
        <v>1814</v>
      </c>
      <c r="I855" s="8" t="s">
        <v>2945</v>
      </c>
      <c r="J855" s="8" t="s">
        <v>2946</v>
      </c>
    </row>
    <row r="856">
      <c r="A856" s="7">
        <v>2.0024939E7</v>
      </c>
      <c r="B856" s="8" t="s">
        <v>2471</v>
      </c>
      <c r="C856" s="8" t="s">
        <v>2947</v>
      </c>
      <c r="D856" s="8" t="s">
        <v>16</v>
      </c>
      <c r="E856" s="8" t="s">
        <v>17</v>
      </c>
      <c r="F856" s="9">
        <v>46034.0</v>
      </c>
      <c r="G856" s="8" t="s">
        <v>86</v>
      </c>
      <c r="H856" s="8" t="s">
        <v>87</v>
      </c>
      <c r="I856" s="8" t="s">
        <v>2948</v>
      </c>
      <c r="J856" s="8" t="s">
        <v>2949</v>
      </c>
    </row>
    <row r="857">
      <c r="A857" s="7">
        <v>2.0025354E7</v>
      </c>
      <c r="B857" s="8" t="s">
        <v>2471</v>
      </c>
      <c r="C857" s="8" t="s">
        <v>2950</v>
      </c>
      <c r="D857" s="8" t="s">
        <v>16</v>
      </c>
      <c r="E857" s="8" t="s">
        <v>17</v>
      </c>
      <c r="F857" s="9">
        <v>46026.0</v>
      </c>
      <c r="G857" s="8" t="s">
        <v>2951</v>
      </c>
      <c r="H857" s="8" t="s">
        <v>2952</v>
      </c>
      <c r="I857" s="8" t="s">
        <v>2953</v>
      </c>
      <c r="J857" s="8" t="s">
        <v>2954</v>
      </c>
    </row>
    <row r="858">
      <c r="A858" s="7">
        <v>2.0024955E7</v>
      </c>
      <c r="B858" s="8" t="s">
        <v>2471</v>
      </c>
      <c r="C858" s="8" t="s">
        <v>2955</v>
      </c>
      <c r="D858" s="8" t="s">
        <v>16</v>
      </c>
      <c r="E858" s="8" t="s">
        <v>17</v>
      </c>
      <c r="F858" s="9">
        <v>46027.0</v>
      </c>
      <c r="G858" s="8" t="s">
        <v>137</v>
      </c>
      <c r="H858" s="8" t="s">
        <v>138</v>
      </c>
      <c r="I858" s="8" t="s">
        <v>2956</v>
      </c>
      <c r="J858" s="8" t="s">
        <v>2957</v>
      </c>
    </row>
    <row r="859">
      <c r="A859" s="7">
        <v>2.0024847E7</v>
      </c>
      <c r="B859" s="8" t="s">
        <v>2471</v>
      </c>
      <c r="C859" s="8" t="s">
        <v>2958</v>
      </c>
      <c r="D859" s="8" t="s">
        <v>16</v>
      </c>
      <c r="E859" s="8" t="s">
        <v>17</v>
      </c>
      <c r="F859" s="9">
        <v>46029.0</v>
      </c>
      <c r="G859" s="8" t="s">
        <v>171</v>
      </c>
      <c r="H859" s="8" t="s">
        <v>172</v>
      </c>
      <c r="I859" s="8" t="s">
        <v>2959</v>
      </c>
      <c r="J859" s="8" t="s">
        <v>2960</v>
      </c>
    </row>
    <row r="860">
      <c r="A860" s="7">
        <v>2.0023419E7</v>
      </c>
      <c r="B860" s="8" t="s">
        <v>2471</v>
      </c>
      <c r="C860" s="8" t="s">
        <v>2961</v>
      </c>
      <c r="D860" s="8" t="s">
        <v>16</v>
      </c>
      <c r="E860" s="8" t="s">
        <v>17</v>
      </c>
      <c r="F860" s="9">
        <v>46024.0</v>
      </c>
      <c r="G860" s="8" t="s">
        <v>2447</v>
      </c>
      <c r="H860" s="8" t="s">
        <v>2448</v>
      </c>
      <c r="I860" s="8" t="s">
        <v>2962</v>
      </c>
      <c r="J860" s="8" t="s">
        <v>2963</v>
      </c>
    </row>
    <row r="861">
      <c r="A861" s="7">
        <v>2.002358E7</v>
      </c>
      <c r="B861" s="8" t="s">
        <v>2471</v>
      </c>
      <c r="C861" s="8" t="s">
        <v>2964</v>
      </c>
      <c r="D861" s="8" t="s">
        <v>16</v>
      </c>
      <c r="E861" s="8" t="s">
        <v>17</v>
      </c>
      <c r="F861" s="9">
        <v>46025.0</v>
      </c>
      <c r="G861" s="8" t="s">
        <v>2202</v>
      </c>
      <c r="H861" s="8" t="s">
        <v>2203</v>
      </c>
      <c r="I861" s="8" t="s">
        <v>2965</v>
      </c>
      <c r="J861" s="8" t="s">
        <v>2966</v>
      </c>
    </row>
    <row r="862">
      <c r="A862" s="7">
        <v>2.0018189E7</v>
      </c>
      <c r="B862" s="8" t="s">
        <v>2471</v>
      </c>
      <c r="C862" s="8" t="s">
        <v>2967</v>
      </c>
      <c r="D862" s="8" t="s">
        <v>16</v>
      </c>
      <c r="E862" s="8" t="s">
        <v>17</v>
      </c>
      <c r="F862" s="9">
        <v>46027.0</v>
      </c>
      <c r="G862" s="8" t="s">
        <v>2968</v>
      </c>
      <c r="H862" s="8" t="s">
        <v>2969</v>
      </c>
      <c r="I862" s="8" t="s">
        <v>2970</v>
      </c>
      <c r="J862" s="8"/>
    </row>
    <row r="863">
      <c r="A863" s="7">
        <v>2.00207E7</v>
      </c>
      <c r="B863" s="8" t="s">
        <v>2471</v>
      </c>
      <c r="C863" s="8" t="s">
        <v>2971</v>
      </c>
      <c r="D863" s="8" t="s">
        <v>16</v>
      </c>
      <c r="E863" s="8" t="s">
        <v>17</v>
      </c>
      <c r="F863" s="9">
        <v>46041.0</v>
      </c>
      <c r="G863" s="8" t="s">
        <v>314</v>
      </c>
      <c r="H863" s="8" t="s">
        <v>315</v>
      </c>
      <c r="I863" s="8" t="s">
        <v>2972</v>
      </c>
      <c r="J863" s="8" t="s">
        <v>2973</v>
      </c>
    </row>
    <row r="864">
      <c r="A864" s="7">
        <v>2.00207E7</v>
      </c>
      <c r="B864" s="8" t="s">
        <v>2471</v>
      </c>
      <c r="C864" s="8" t="s">
        <v>2971</v>
      </c>
      <c r="D864" s="8" t="s">
        <v>16</v>
      </c>
      <c r="E864" s="8" t="s">
        <v>17</v>
      </c>
      <c r="F864" s="9">
        <v>46041.0</v>
      </c>
      <c r="G864" s="8" t="s">
        <v>314</v>
      </c>
      <c r="H864" s="8" t="s">
        <v>315</v>
      </c>
      <c r="I864" s="8" t="s">
        <v>2974</v>
      </c>
      <c r="J864" s="8" t="s">
        <v>2973</v>
      </c>
    </row>
    <row r="865">
      <c r="A865" s="7">
        <v>2.00207E7</v>
      </c>
      <c r="B865" s="8" t="s">
        <v>2471</v>
      </c>
      <c r="C865" s="8" t="s">
        <v>2971</v>
      </c>
      <c r="D865" s="8" t="s">
        <v>16</v>
      </c>
      <c r="E865" s="8" t="s">
        <v>17</v>
      </c>
      <c r="F865" s="9">
        <v>46041.0</v>
      </c>
      <c r="G865" s="8" t="s">
        <v>423</v>
      </c>
      <c r="H865" s="8" t="s">
        <v>424</v>
      </c>
      <c r="I865" s="8" t="s">
        <v>2975</v>
      </c>
      <c r="J865" s="8" t="s">
        <v>2976</v>
      </c>
    </row>
    <row r="866">
      <c r="A866" s="7">
        <v>2.0020029E7</v>
      </c>
      <c r="B866" s="8" t="s">
        <v>2471</v>
      </c>
      <c r="C866" s="8" t="s">
        <v>2977</v>
      </c>
      <c r="D866" s="8" t="s">
        <v>16</v>
      </c>
      <c r="E866" s="8" t="s">
        <v>17</v>
      </c>
      <c r="F866" s="9">
        <v>46032.0</v>
      </c>
      <c r="G866" s="8" t="s">
        <v>2978</v>
      </c>
      <c r="H866" s="8" t="s">
        <v>2979</v>
      </c>
      <c r="I866" s="8" t="s">
        <v>2980</v>
      </c>
      <c r="J866" s="8" t="s">
        <v>2981</v>
      </c>
    </row>
    <row r="867">
      <c r="A867" s="7">
        <v>2.0020029E7</v>
      </c>
      <c r="B867" s="8" t="s">
        <v>2471</v>
      </c>
      <c r="C867" s="8" t="s">
        <v>2977</v>
      </c>
      <c r="D867" s="8" t="s">
        <v>16</v>
      </c>
      <c r="E867" s="8" t="s">
        <v>17</v>
      </c>
      <c r="F867" s="9">
        <v>46032.0</v>
      </c>
      <c r="G867" s="8" t="s">
        <v>2978</v>
      </c>
      <c r="H867" s="8" t="s">
        <v>2979</v>
      </c>
      <c r="I867" s="8" t="s">
        <v>2982</v>
      </c>
      <c r="J867" s="8" t="s">
        <v>2981</v>
      </c>
    </row>
    <row r="868">
      <c r="A868" s="7">
        <v>2.0019243E7</v>
      </c>
      <c r="B868" s="8" t="s">
        <v>2471</v>
      </c>
      <c r="C868" s="8" t="s">
        <v>2983</v>
      </c>
      <c r="D868" s="8" t="s">
        <v>16</v>
      </c>
      <c r="E868" s="8" t="s">
        <v>17</v>
      </c>
      <c r="F868" s="9">
        <v>46051.0</v>
      </c>
      <c r="G868" s="8" t="s">
        <v>124</v>
      </c>
      <c r="H868" s="8" t="s">
        <v>125</v>
      </c>
      <c r="I868" s="8" t="s">
        <v>2984</v>
      </c>
      <c r="J868" s="8"/>
    </row>
    <row r="869">
      <c r="A869" s="7">
        <v>2.0019243E7</v>
      </c>
      <c r="B869" s="8" t="s">
        <v>2471</v>
      </c>
      <c r="C869" s="8" t="s">
        <v>2983</v>
      </c>
      <c r="D869" s="8" t="s">
        <v>16</v>
      </c>
      <c r="E869" s="8" t="s">
        <v>17</v>
      </c>
      <c r="F869" s="9">
        <v>46051.0</v>
      </c>
      <c r="G869" s="8" t="s">
        <v>124</v>
      </c>
      <c r="H869" s="8" t="s">
        <v>125</v>
      </c>
      <c r="I869" s="8" t="s">
        <v>2985</v>
      </c>
      <c r="J869" s="8" t="s">
        <v>2986</v>
      </c>
    </row>
    <row r="870">
      <c r="A870" s="7">
        <v>2.0064221E7</v>
      </c>
      <c r="B870" s="8" t="s">
        <v>2987</v>
      </c>
      <c r="C870" s="8" t="s">
        <v>2988</v>
      </c>
      <c r="D870" s="8" t="s">
        <v>16</v>
      </c>
      <c r="E870" s="8" t="s">
        <v>700</v>
      </c>
      <c r="F870" s="9">
        <v>46187.0</v>
      </c>
      <c r="G870" s="8" t="s">
        <v>2989</v>
      </c>
      <c r="H870" s="8" t="s">
        <v>2990</v>
      </c>
      <c r="I870" s="8" t="s">
        <v>2991</v>
      </c>
      <c r="J870" s="8" t="s">
        <v>2992</v>
      </c>
    </row>
    <row r="871">
      <c r="A871" s="7">
        <v>2.0065696E7</v>
      </c>
      <c r="B871" s="8" t="s">
        <v>2987</v>
      </c>
      <c r="C871" s="8" t="s">
        <v>2993</v>
      </c>
      <c r="D871" s="8" t="s">
        <v>2136</v>
      </c>
      <c r="E871" s="8" t="s">
        <v>1074</v>
      </c>
      <c r="F871" s="9">
        <v>46170.0</v>
      </c>
      <c r="G871" s="8" t="s">
        <v>868</v>
      </c>
      <c r="H871" s="8" t="s">
        <v>869</v>
      </c>
      <c r="I871" s="8" t="s">
        <v>2994</v>
      </c>
      <c r="J871" s="8"/>
    </row>
    <row r="872">
      <c r="A872" s="7">
        <v>2.006557E7</v>
      </c>
      <c r="B872" s="8" t="s">
        <v>2987</v>
      </c>
      <c r="C872" s="8" t="s">
        <v>2995</v>
      </c>
      <c r="D872" s="8" t="s">
        <v>2136</v>
      </c>
      <c r="E872" s="8" t="s">
        <v>17</v>
      </c>
      <c r="F872" s="9">
        <v>46163.0</v>
      </c>
      <c r="G872" s="8" t="s">
        <v>59</v>
      </c>
      <c r="H872" s="8" t="s">
        <v>60</v>
      </c>
      <c r="I872" s="8" t="s">
        <v>2996</v>
      </c>
      <c r="J872" s="8" t="s">
        <v>2997</v>
      </c>
    </row>
    <row r="873">
      <c r="A873" s="7">
        <v>2.0063216E7</v>
      </c>
      <c r="B873" s="8" t="s">
        <v>2987</v>
      </c>
      <c r="C873" s="8" t="s">
        <v>2998</v>
      </c>
      <c r="D873" s="8" t="s">
        <v>2136</v>
      </c>
      <c r="E873" s="8" t="s">
        <v>17</v>
      </c>
      <c r="F873" s="9">
        <v>46153.0</v>
      </c>
      <c r="G873" s="8" t="s">
        <v>59</v>
      </c>
      <c r="H873" s="8" t="s">
        <v>60</v>
      </c>
      <c r="I873" s="8"/>
      <c r="J873" s="8" t="s">
        <v>2999</v>
      </c>
    </row>
    <row r="874">
      <c r="A874" s="7">
        <v>2.0058702E7</v>
      </c>
      <c r="B874" s="8" t="s">
        <v>2987</v>
      </c>
      <c r="C874" s="8" t="s">
        <v>3000</v>
      </c>
      <c r="D874" s="8" t="s">
        <v>16</v>
      </c>
      <c r="E874" s="8" t="s">
        <v>17</v>
      </c>
      <c r="F874" s="9">
        <v>46148.0</v>
      </c>
      <c r="G874" s="8" t="s">
        <v>2625</v>
      </c>
      <c r="H874" s="8" t="s">
        <v>3001</v>
      </c>
      <c r="I874" s="8" t="s">
        <v>3002</v>
      </c>
      <c r="J874" s="8" t="s">
        <v>3003</v>
      </c>
    </row>
    <row r="875">
      <c r="A875" s="7">
        <v>2.0059588E7</v>
      </c>
      <c r="B875" s="8" t="s">
        <v>2987</v>
      </c>
      <c r="C875" s="8" t="s">
        <v>3004</v>
      </c>
      <c r="D875" s="8" t="s">
        <v>16</v>
      </c>
      <c r="E875" s="8" t="s">
        <v>17</v>
      </c>
      <c r="F875" s="9">
        <v>46142.0</v>
      </c>
      <c r="G875" s="8" t="s">
        <v>282</v>
      </c>
      <c r="H875" s="8" t="s">
        <v>3005</v>
      </c>
      <c r="I875" s="8" t="s">
        <v>3006</v>
      </c>
      <c r="J875" s="8" t="s">
        <v>3007</v>
      </c>
    </row>
    <row r="876">
      <c r="A876" s="7">
        <v>2.0059588E7</v>
      </c>
      <c r="B876" s="8" t="s">
        <v>2987</v>
      </c>
      <c r="C876" s="8" t="s">
        <v>3004</v>
      </c>
      <c r="D876" s="8" t="s">
        <v>16</v>
      </c>
      <c r="E876" s="8" t="s">
        <v>17</v>
      </c>
      <c r="F876" s="9">
        <v>46142.0</v>
      </c>
      <c r="G876" s="8" t="s">
        <v>3008</v>
      </c>
      <c r="H876" s="8" t="s">
        <v>3009</v>
      </c>
      <c r="I876" s="8" t="s">
        <v>3010</v>
      </c>
      <c r="J876" s="8"/>
    </row>
    <row r="877">
      <c r="A877" s="7">
        <v>2.0057731E7</v>
      </c>
      <c r="B877" s="8" t="s">
        <v>2987</v>
      </c>
      <c r="C877" s="8" t="s">
        <v>3011</v>
      </c>
      <c r="D877" s="8" t="s">
        <v>16</v>
      </c>
      <c r="E877" s="8" t="s">
        <v>17</v>
      </c>
      <c r="F877" s="9">
        <v>46131.0</v>
      </c>
      <c r="G877" s="8" t="s">
        <v>3012</v>
      </c>
      <c r="H877" s="8" t="s">
        <v>3013</v>
      </c>
      <c r="I877" s="8" t="s">
        <v>3014</v>
      </c>
      <c r="J877" s="8" t="s">
        <v>3015</v>
      </c>
    </row>
    <row r="878">
      <c r="A878" s="7">
        <v>2.0056423E7</v>
      </c>
      <c r="B878" s="8" t="s">
        <v>2987</v>
      </c>
      <c r="C878" s="8" t="s">
        <v>3016</v>
      </c>
      <c r="D878" s="8" t="s">
        <v>16</v>
      </c>
      <c r="E878" s="8" t="s">
        <v>17</v>
      </c>
      <c r="F878" s="9">
        <v>46141.0</v>
      </c>
      <c r="G878" s="8" t="s">
        <v>3017</v>
      </c>
      <c r="H878" s="8" t="s">
        <v>3018</v>
      </c>
      <c r="I878" s="8" t="s">
        <v>3019</v>
      </c>
      <c r="J878" s="8"/>
    </row>
    <row r="879">
      <c r="A879" s="7">
        <v>2.0053557E7</v>
      </c>
      <c r="B879" s="8" t="s">
        <v>2987</v>
      </c>
      <c r="C879" s="8" t="s">
        <v>3020</v>
      </c>
      <c r="D879" s="8" t="s">
        <v>16</v>
      </c>
      <c r="E879" s="8" t="s">
        <v>17</v>
      </c>
      <c r="F879" s="9">
        <v>46128.0</v>
      </c>
      <c r="G879" s="8" t="s">
        <v>195</v>
      </c>
      <c r="H879" s="8" t="s">
        <v>196</v>
      </c>
      <c r="I879" s="8" t="s">
        <v>3021</v>
      </c>
      <c r="J879" s="8" t="s">
        <v>3022</v>
      </c>
    </row>
    <row r="880">
      <c r="A880" s="7">
        <v>2.0052175E7</v>
      </c>
      <c r="B880" s="8" t="s">
        <v>2987</v>
      </c>
      <c r="C880" s="8" t="s">
        <v>3023</v>
      </c>
      <c r="D880" s="8" t="s">
        <v>16</v>
      </c>
      <c r="E880" s="8" t="s">
        <v>17</v>
      </c>
      <c r="F880" s="9">
        <v>46107.0</v>
      </c>
      <c r="G880" s="8" t="s">
        <v>59</v>
      </c>
      <c r="H880" s="8" t="s">
        <v>60</v>
      </c>
      <c r="I880" s="8" t="s">
        <v>3024</v>
      </c>
      <c r="J880" s="8" t="s">
        <v>3025</v>
      </c>
    </row>
    <row r="881">
      <c r="A881" s="7">
        <v>2.0044852E7</v>
      </c>
      <c r="B881" s="8" t="s">
        <v>2987</v>
      </c>
      <c r="C881" s="8" t="s">
        <v>3026</v>
      </c>
      <c r="D881" s="8" t="s">
        <v>16</v>
      </c>
      <c r="E881" s="8" t="s">
        <v>17</v>
      </c>
      <c r="F881" s="9">
        <v>46086.0</v>
      </c>
      <c r="G881" s="8" t="s">
        <v>3027</v>
      </c>
      <c r="H881" s="8" t="s">
        <v>909</v>
      </c>
      <c r="I881" s="8" t="s">
        <v>3028</v>
      </c>
      <c r="J881" s="8" t="s">
        <v>3029</v>
      </c>
    </row>
    <row r="882">
      <c r="A882" s="7">
        <v>2.0042132E7</v>
      </c>
      <c r="B882" s="8" t="s">
        <v>2987</v>
      </c>
      <c r="C882" s="8" t="s">
        <v>3030</v>
      </c>
      <c r="D882" s="8" t="s">
        <v>16</v>
      </c>
      <c r="E882" s="8" t="s">
        <v>17</v>
      </c>
      <c r="F882" s="9">
        <v>46091.0</v>
      </c>
      <c r="G882" s="8" t="s">
        <v>846</v>
      </c>
      <c r="H882" s="8" t="s">
        <v>847</v>
      </c>
      <c r="I882" s="8" t="s">
        <v>3031</v>
      </c>
      <c r="J882" s="8" t="s">
        <v>3032</v>
      </c>
    </row>
    <row r="883">
      <c r="A883" s="7">
        <v>2.0040872E7</v>
      </c>
      <c r="B883" s="8" t="s">
        <v>2987</v>
      </c>
      <c r="C883" s="8" t="s">
        <v>3033</v>
      </c>
      <c r="D883" s="8" t="s">
        <v>16</v>
      </c>
      <c r="E883" s="8" t="s">
        <v>17</v>
      </c>
      <c r="F883" s="9">
        <v>46075.0</v>
      </c>
      <c r="G883" s="8" t="s">
        <v>365</v>
      </c>
      <c r="H883" s="8" t="s">
        <v>366</v>
      </c>
      <c r="I883" s="8" t="s">
        <v>3034</v>
      </c>
      <c r="J883" s="8" t="s">
        <v>3035</v>
      </c>
    </row>
    <row r="884">
      <c r="A884" s="7">
        <v>2.003322E7</v>
      </c>
      <c r="B884" s="8" t="s">
        <v>2987</v>
      </c>
      <c r="C884" s="8" t="s">
        <v>3036</v>
      </c>
      <c r="D884" s="8" t="s">
        <v>16</v>
      </c>
      <c r="E884" s="8" t="s">
        <v>17</v>
      </c>
      <c r="F884" s="9">
        <v>46068.0</v>
      </c>
      <c r="G884" s="8" t="s">
        <v>59</v>
      </c>
      <c r="H884" s="8" t="s">
        <v>60</v>
      </c>
      <c r="I884" s="8" t="s">
        <v>3037</v>
      </c>
      <c r="J884" s="8" t="s">
        <v>3038</v>
      </c>
    </row>
    <row r="885">
      <c r="A885" s="7">
        <v>2.0035471E7</v>
      </c>
      <c r="B885" s="8" t="s">
        <v>2987</v>
      </c>
      <c r="C885" s="8" t="s">
        <v>3039</v>
      </c>
      <c r="D885" s="8" t="s">
        <v>16</v>
      </c>
      <c r="E885" s="8" t="s">
        <v>17</v>
      </c>
      <c r="F885" s="9">
        <v>46058.0</v>
      </c>
      <c r="G885" s="8" t="s">
        <v>34</v>
      </c>
      <c r="H885" s="8" t="s">
        <v>35</v>
      </c>
      <c r="I885" s="8" t="s">
        <v>3040</v>
      </c>
      <c r="J885" s="8" t="s">
        <v>3041</v>
      </c>
    </row>
    <row r="886">
      <c r="A886" s="7">
        <v>2.0030951E7</v>
      </c>
      <c r="B886" s="8" t="s">
        <v>2987</v>
      </c>
      <c r="C886" s="8" t="s">
        <v>3042</v>
      </c>
      <c r="D886" s="8" t="s">
        <v>16</v>
      </c>
      <c r="E886" s="8" t="s">
        <v>17</v>
      </c>
      <c r="F886" s="9">
        <v>46060.0</v>
      </c>
      <c r="G886" s="8" t="s">
        <v>3043</v>
      </c>
      <c r="H886" s="8" t="s">
        <v>1111</v>
      </c>
      <c r="I886" s="8" t="s">
        <v>3044</v>
      </c>
      <c r="J886" s="8" t="s">
        <v>3045</v>
      </c>
    </row>
    <row r="887">
      <c r="A887" s="7">
        <v>2.0030951E7</v>
      </c>
      <c r="B887" s="8" t="s">
        <v>2987</v>
      </c>
      <c r="C887" s="8" t="s">
        <v>3042</v>
      </c>
      <c r="D887" s="8" t="s">
        <v>16</v>
      </c>
      <c r="E887" s="8" t="s">
        <v>17</v>
      </c>
      <c r="F887" s="9">
        <v>46060.0</v>
      </c>
      <c r="G887" s="8" t="s">
        <v>3046</v>
      </c>
      <c r="H887" s="8" t="s">
        <v>3047</v>
      </c>
      <c r="I887" s="8" t="s">
        <v>3048</v>
      </c>
      <c r="J887" s="8"/>
    </row>
    <row r="888">
      <c r="A888" s="7">
        <v>2.0034329E7</v>
      </c>
      <c r="B888" s="8" t="s">
        <v>2987</v>
      </c>
      <c r="C888" s="8" t="s">
        <v>3049</v>
      </c>
      <c r="D888" s="8" t="s">
        <v>16</v>
      </c>
      <c r="E888" s="8" t="s">
        <v>17</v>
      </c>
      <c r="F888" s="9">
        <v>46054.0</v>
      </c>
      <c r="G888" s="8" t="s">
        <v>75</v>
      </c>
      <c r="H888" s="8" t="s">
        <v>76</v>
      </c>
      <c r="I888" s="8" t="s">
        <v>3050</v>
      </c>
      <c r="J888" s="8" t="s">
        <v>3051</v>
      </c>
    </row>
    <row r="889">
      <c r="A889" s="7">
        <v>2.0034069E7</v>
      </c>
      <c r="B889" s="8" t="s">
        <v>2987</v>
      </c>
      <c r="C889" s="8" t="s">
        <v>3052</v>
      </c>
      <c r="D889" s="8" t="s">
        <v>16</v>
      </c>
      <c r="E889" s="8" t="s">
        <v>17</v>
      </c>
      <c r="F889" s="9">
        <v>46047.0</v>
      </c>
      <c r="G889" s="8" t="s">
        <v>882</v>
      </c>
      <c r="H889" s="8" t="s">
        <v>883</v>
      </c>
      <c r="I889" s="8" t="s">
        <v>3053</v>
      </c>
      <c r="J889" s="8" t="s">
        <v>3054</v>
      </c>
    </row>
    <row r="890">
      <c r="A890" s="7">
        <v>2.0033076E7</v>
      </c>
      <c r="B890" s="8" t="s">
        <v>2987</v>
      </c>
      <c r="C890" s="8" t="s">
        <v>3055</v>
      </c>
      <c r="D890" s="8" t="s">
        <v>16</v>
      </c>
      <c r="E890" s="8" t="s">
        <v>48</v>
      </c>
      <c r="F890" s="9">
        <v>46041.0</v>
      </c>
      <c r="G890" s="8" t="s">
        <v>3012</v>
      </c>
      <c r="H890" s="8" t="s">
        <v>3013</v>
      </c>
      <c r="I890" s="8" t="s">
        <v>3056</v>
      </c>
      <c r="J890" s="8" t="s">
        <v>3057</v>
      </c>
    </row>
    <row r="891">
      <c r="A891" s="7">
        <v>2.0032572E7</v>
      </c>
      <c r="B891" s="8" t="s">
        <v>2987</v>
      </c>
      <c r="C891" s="8" t="s">
        <v>3058</v>
      </c>
      <c r="D891" s="8" t="s">
        <v>16</v>
      </c>
      <c r="E891" s="8" t="s">
        <v>17</v>
      </c>
      <c r="F891" s="9">
        <v>46046.0</v>
      </c>
      <c r="G891" s="8" t="s">
        <v>91</v>
      </c>
      <c r="H891" s="8" t="s">
        <v>92</v>
      </c>
      <c r="I891" s="8" t="s">
        <v>3059</v>
      </c>
      <c r="J891" s="8" t="s">
        <v>3060</v>
      </c>
    </row>
    <row r="892">
      <c r="A892" s="7">
        <v>2.0024099E7</v>
      </c>
      <c r="B892" s="8" t="s">
        <v>2987</v>
      </c>
      <c r="C892" s="8" t="s">
        <v>3061</v>
      </c>
      <c r="D892" s="8" t="s">
        <v>16</v>
      </c>
      <c r="E892" s="8" t="s">
        <v>17</v>
      </c>
      <c r="F892" s="9">
        <v>46054.0</v>
      </c>
      <c r="G892" s="8" t="s">
        <v>1045</v>
      </c>
      <c r="H892" s="8" t="s">
        <v>909</v>
      </c>
      <c r="I892" s="8" t="s">
        <v>3062</v>
      </c>
      <c r="J892" s="8" t="s">
        <v>3063</v>
      </c>
    </row>
    <row r="893">
      <c r="A893" s="7">
        <v>2.0029551E7</v>
      </c>
      <c r="B893" s="8" t="s">
        <v>2987</v>
      </c>
      <c r="C893" s="8" t="s">
        <v>3064</v>
      </c>
      <c r="D893" s="8" t="s">
        <v>16</v>
      </c>
      <c r="E893" s="8" t="s">
        <v>17</v>
      </c>
      <c r="F893" s="9">
        <v>46044.0</v>
      </c>
      <c r="G893" s="8" t="s">
        <v>826</v>
      </c>
      <c r="H893" s="8" t="s">
        <v>827</v>
      </c>
      <c r="I893" s="8" t="s">
        <v>3065</v>
      </c>
      <c r="J893" s="8" t="s">
        <v>3066</v>
      </c>
    </row>
    <row r="894">
      <c r="A894" s="7">
        <v>2.0029551E7</v>
      </c>
      <c r="B894" s="8" t="s">
        <v>2987</v>
      </c>
      <c r="C894" s="8" t="s">
        <v>3064</v>
      </c>
      <c r="D894" s="8" t="s">
        <v>16</v>
      </c>
      <c r="E894" s="8" t="s">
        <v>17</v>
      </c>
      <c r="F894" s="9">
        <v>46044.0</v>
      </c>
      <c r="G894" s="8" t="s">
        <v>2589</v>
      </c>
      <c r="H894" s="8" t="s">
        <v>208</v>
      </c>
      <c r="I894" s="8" t="s">
        <v>3067</v>
      </c>
      <c r="J894" s="8" t="s">
        <v>3068</v>
      </c>
    </row>
    <row r="895">
      <c r="A895" s="7">
        <v>2.0027623E7</v>
      </c>
      <c r="B895" s="8" t="s">
        <v>2987</v>
      </c>
      <c r="C895" s="8" t="s">
        <v>3069</v>
      </c>
      <c r="D895" s="8" t="s">
        <v>16</v>
      </c>
      <c r="E895" s="8" t="s">
        <v>17</v>
      </c>
      <c r="F895" s="9">
        <v>46079.0</v>
      </c>
      <c r="G895" s="8" t="s">
        <v>2122</v>
      </c>
      <c r="H895" s="8" t="s">
        <v>2123</v>
      </c>
      <c r="I895" s="8" t="s">
        <v>3070</v>
      </c>
      <c r="J895" s="8" t="s">
        <v>3071</v>
      </c>
    </row>
    <row r="896">
      <c r="A896" s="7">
        <v>2.0032037E7</v>
      </c>
      <c r="B896" s="8" t="s">
        <v>2987</v>
      </c>
      <c r="C896" s="8" t="s">
        <v>3072</v>
      </c>
      <c r="D896" s="8" t="s">
        <v>16</v>
      </c>
      <c r="E896" s="8" t="s">
        <v>48</v>
      </c>
      <c r="F896" s="9">
        <v>46108.0</v>
      </c>
      <c r="G896" s="8" t="s">
        <v>846</v>
      </c>
      <c r="H896" s="8" t="s">
        <v>847</v>
      </c>
      <c r="I896" s="8" t="s">
        <v>3073</v>
      </c>
      <c r="J896" s="8" t="s">
        <v>3074</v>
      </c>
    </row>
    <row r="897">
      <c r="A897" s="7">
        <v>2.0021216E7</v>
      </c>
      <c r="B897" s="8" t="s">
        <v>2987</v>
      </c>
      <c r="C897" s="8" t="s">
        <v>3075</v>
      </c>
      <c r="D897" s="8" t="s">
        <v>16</v>
      </c>
      <c r="E897" s="8" t="s">
        <v>17</v>
      </c>
      <c r="F897" s="9">
        <v>46053.0</v>
      </c>
      <c r="G897" s="8" t="s">
        <v>1297</v>
      </c>
      <c r="H897" s="8" t="s">
        <v>827</v>
      </c>
      <c r="I897" s="8" t="s">
        <v>3076</v>
      </c>
      <c r="J897" s="8" t="s">
        <v>3077</v>
      </c>
    </row>
    <row r="898">
      <c r="A898" s="7">
        <v>2.0020034E7</v>
      </c>
      <c r="B898" s="8" t="s">
        <v>2987</v>
      </c>
      <c r="C898" s="8" t="s">
        <v>3078</v>
      </c>
      <c r="D898" s="8" t="s">
        <v>16</v>
      </c>
      <c r="E898" s="8" t="s">
        <v>17</v>
      </c>
      <c r="F898" s="9">
        <v>46060.0</v>
      </c>
      <c r="G898" s="8" t="s">
        <v>3079</v>
      </c>
      <c r="H898" s="8" t="s">
        <v>3080</v>
      </c>
      <c r="I898" s="8" t="s">
        <v>3081</v>
      </c>
      <c r="J898" s="8" t="s">
        <v>3082</v>
      </c>
    </row>
    <row r="899">
      <c r="A899" s="7">
        <v>2.0020945E7</v>
      </c>
      <c r="B899" s="8" t="s">
        <v>2987</v>
      </c>
      <c r="C899" s="8" t="s">
        <v>3083</v>
      </c>
      <c r="D899" s="8" t="s">
        <v>16</v>
      </c>
      <c r="E899" s="8" t="s">
        <v>48</v>
      </c>
      <c r="F899" s="9">
        <v>46035.0</v>
      </c>
      <c r="G899" s="8" t="s">
        <v>3084</v>
      </c>
      <c r="H899" s="8" t="s">
        <v>3085</v>
      </c>
      <c r="I899" s="8" t="s">
        <v>3086</v>
      </c>
      <c r="J899" s="8"/>
    </row>
    <row r="900">
      <c r="A900" s="7">
        <v>2.0031775E7</v>
      </c>
      <c r="B900" s="8" t="s">
        <v>2987</v>
      </c>
      <c r="C900" s="8" t="s">
        <v>3087</v>
      </c>
      <c r="D900" s="8" t="s">
        <v>16</v>
      </c>
      <c r="E900" s="8" t="s">
        <v>48</v>
      </c>
      <c r="F900" s="9">
        <v>46038.0</v>
      </c>
      <c r="G900" s="8" t="s">
        <v>3088</v>
      </c>
      <c r="H900" s="8" t="s">
        <v>3089</v>
      </c>
      <c r="I900" s="8" t="s">
        <v>3090</v>
      </c>
      <c r="J900" s="8" t="s">
        <v>3091</v>
      </c>
    </row>
    <row r="901">
      <c r="A901" s="7">
        <v>2.003155E7</v>
      </c>
      <c r="B901" s="8" t="s">
        <v>2987</v>
      </c>
      <c r="C901" s="8" t="s">
        <v>3092</v>
      </c>
      <c r="D901" s="8" t="s">
        <v>16</v>
      </c>
      <c r="E901" s="8" t="s">
        <v>17</v>
      </c>
      <c r="F901" s="9">
        <v>46068.0</v>
      </c>
      <c r="G901" s="8" t="s">
        <v>3093</v>
      </c>
      <c r="H901" s="8" t="s">
        <v>3094</v>
      </c>
      <c r="I901" s="8" t="s">
        <v>3095</v>
      </c>
      <c r="J901" s="8" t="s">
        <v>3096</v>
      </c>
    </row>
    <row r="902">
      <c r="A902" s="7">
        <v>2.003155E7</v>
      </c>
      <c r="B902" s="8" t="s">
        <v>2987</v>
      </c>
      <c r="C902" s="8" t="s">
        <v>3092</v>
      </c>
      <c r="D902" s="8" t="s">
        <v>16</v>
      </c>
      <c r="E902" s="8" t="s">
        <v>17</v>
      </c>
      <c r="F902" s="9">
        <v>46068.0</v>
      </c>
      <c r="G902" s="8" t="s">
        <v>3097</v>
      </c>
      <c r="H902" s="8" t="s">
        <v>3098</v>
      </c>
      <c r="I902" s="8" t="s">
        <v>3099</v>
      </c>
      <c r="J902" s="8"/>
    </row>
    <row r="903">
      <c r="A903" s="7">
        <v>2.0030748E7</v>
      </c>
      <c r="B903" s="8" t="s">
        <v>2987</v>
      </c>
      <c r="C903" s="8" t="s">
        <v>3100</v>
      </c>
      <c r="D903" s="8" t="s">
        <v>16</v>
      </c>
      <c r="E903" s="8" t="s">
        <v>17</v>
      </c>
      <c r="F903" s="9">
        <v>46051.0</v>
      </c>
      <c r="G903" s="8" t="s">
        <v>75</v>
      </c>
      <c r="H903" s="8" t="s">
        <v>76</v>
      </c>
      <c r="I903" s="8" t="s">
        <v>3101</v>
      </c>
      <c r="J903" s="8" t="s">
        <v>3102</v>
      </c>
    </row>
    <row r="904">
      <c r="A904" s="7">
        <v>2.0030748E7</v>
      </c>
      <c r="B904" s="8" t="s">
        <v>2987</v>
      </c>
      <c r="C904" s="8" t="s">
        <v>3100</v>
      </c>
      <c r="D904" s="8" t="s">
        <v>16</v>
      </c>
      <c r="E904" s="8" t="s">
        <v>17</v>
      </c>
      <c r="F904" s="9">
        <v>46051.0</v>
      </c>
      <c r="G904" s="8" t="s">
        <v>3103</v>
      </c>
      <c r="H904" s="8" t="s">
        <v>3104</v>
      </c>
      <c r="I904" s="8" t="s">
        <v>3105</v>
      </c>
      <c r="J904" s="8" t="s">
        <v>3106</v>
      </c>
    </row>
    <row r="905">
      <c r="A905" s="7">
        <v>2.0021385E7</v>
      </c>
      <c r="B905" s="8" t="s">
        <v>2987</v>
      </c>
      <c r="C905" s="8" t="s">
        <v>3107</v>
      </c>
      <c r="D905" s="8" t="s">
        <v>16</v>
      </c>
      <c r="E905" s="8" t="s">
        <v>48</v>
      </c>
      <c r="F905" s="9">
        <v>46040.0</v>
      </c>
      <c r="G905" s="8" t="s">
        <v>54</v>
      </c>
      <c r="H905" s="8" t="s">
        <v>55</v>
      </c>
      <c r="I905" s="8" t="s">
        <v>3108</v>
      </c>
      <c r="J905" s="8" t="s">
        <v>3109</v>
      </c>
    </row>
    <row r="906">
      <c r="A906" s="7">
        <v>2.002783E7</v>
      </c>
      <c r="B906" s="8" t="s">
        <v>2987</v>
      </c>
      <c r="C906" s="8" t="s">
        <v>3110</v>
      </c>
      <c r="D906" s="8" t="s">
        <v>16</v>
      </c>
      <c r="E906" s="8" t="s">
        <v>17</v>
      </c>
      <c r="F906" s="9">
        <v>46039.0</v>
      </c>
      <c r="G906" s="8" t="s">
        <v>3111</v>
      </c>
      <c r="H906" s="8" t="s">
        <v>3112</v>
      </c>
      <c r="I906" s="8" t="s">
        <v>3113</v>
      </c>
      <c r="J906" s="8"/>
    </row>
    <row r="907">
      <c r="A907" s="7">
        <v>2.0030496E7</v>
      </c>
      <c r="B907" s="8" t="s">
        <v>2987</v>
      </c>
      <c r="C907" s="8" t="s">
        <v>3114</v>
      </c>
      <c r="D907" s="8" t="s">
        <v>16</v>
      </c>
      <c r="E907" s="8" t="s">
        <v>48</v>
      </c>
      <c r="F907" s="9">
        <v>46036.0</v>
      </c>
      <c r="G907" s="8" t="s">
        <v>247</v>
      </c>
      <c r="H907" s="8" t="s">
        <v>248</v>
      </c>
      <c r="I907" s="8" t="s">
        <v>3115</v>
      </c>
      <c r="J907" s="8" t="s">
        <v>3116</v>
      </c>
    </row>
    <row r="908">
      <c r="A908" s="7">
        <v>2.0030743E7</v>
      </c>
      <c r="B908" s="8" t="s">
        <v>2987</v>
      </c>
      <c r="C908" s="8" t="s">
        <v>3117</v>
      </c>
      <c r="D908" s="8" t="s">
        <v>16</v>
      </c>
      <c r="E908" s="8" t="s">
        <v>17</v>
      </c>
      <c r="F908" s="9">
        <v>46057.0</v>
      </c>
      <c r="G908" s="8" t="s">
        <v>3118</v>
      </c>
      <c r="H908" s="8" t="s">
        <v>3119</v>
      </c>
      <c r="I908" s="8" t="s">
        <v>3120</v>
      </c>
      <c r="J908" s="8" t="s">
        <v>3121</v>
      </c>
    </row>
    <row r="909">
      <c r="A909" s="7">
        <v>2.0030743E7</v>
      </c>
      <c r="B909" s="8" t="s">
        <v>2987</v>
      </c>
      <c r="C909" s="8" t="s">
        <v>3117</v>
      </c>
      <c r="D909" s="8" t="s">
        <v>16</v>
      </c>
      <c r="E909" s="8" t="s">
        <v>17</v>
      </c>
      <c r="F909" s="9">
        <v>46057.0</v>
      </c>
      <c r="G909" s="8" t="s">
        <v>3122</v>
      </c>
      <c r="H909" s="8" t="s">
        <v>3123</v>
      </c>
      <c r="I909" s="8" t="s">
        <v>3124</v>
      </c>
      <c r="J909" s="8" t="s">
        <v>3125</v>
      </c>
    </row>
    <row r="910">
      <c r="A910" s="7">
        <v>2.0024059E7</v>
      </c>
      <c r="B910" s="8" t="s">
        <v>2987</v>
      </c>
      <c r="C910" s="8" t="s">
        <v>3126</v>
      </c>
      <c r="D910" s="8" t="s">
        <v>16</v>
      </c>
      <c r="E910" s="8" t="s">
        <v>17</v>
      </c>
      <c r="F910" s="9">
        <v>46056.0</v>
      </c>
      <c r="G910" s="8" t="s">
        <v>2052</v>
      </c>
      <c r="H910" s="8" t="s">
        <v>2053</v>
      </c>
      <c r="I910" s="8" t="s">
        <v>3127</v>
      </c>
      <c r="J910" s="8" t="s">
        <v>3128</v>
      </c>
    </row>
    <row r="911">
      <c r="A911" s="7">
        <v>2.0031896E7</v>
      </c>
      <c r="B911" s="8" t="s">
        <v>2987</v>
      </c>
      <c r="C911" s="8" t="s">
        <v>3129</v>
      </c>
      <c r="D911" s="8" t="s">
        <v>16</v>
      </c>
      <c r="E911" s="8" t="s">
        <v>17</v>
      </c>
      <c r="F911" s="9">
        <v>46055.0</v>
      </c>
      <c r="G911" s="8" t="s">
        <v>2331</v>
      </c>
      <c r="H911" s="8" t="s">
        <v>2332</v>
      </c>
      <c r="I911" s="8" t="s">
        <v>3130</v>
      </c>
      <c r="J911" s="8" t="s">
        <v>3131</v>
      </c>
    </row>
    <row r="912">
      <c r="A912" s="7">
        <v>2.0032274E7</v>
      </c>
      <c r="B912" s="8" t="s">
        <v>2987</v>
      </c>
      <c r="C912" s="8" t="s">
        <v>3132</v>
      </c>
      <c r="D912" s="8" t="s">
        <v>16</v>
      </c>
      <c r="E912" s="8" t="s">
        <v>17</v>
      </c>
      <c r="F912" s="9">
        <v>46053.0</v>
      </c>
      <c r="G912" s="8" t="s">
        <v>3133</v>
      </c>
      <c r="H912" s="8" t="s">
        <v>3134</v>
      </c>
      <c r="I912" s="8" t="s">
        <v>3135</v>
      </c>
      <c r="J912" s="8"/>
    </row>
    <row r="913">
      <c r="A913" s="7">
        <v>2.0032274E7</v>
      </c>
      <c r="B913" s="8" t="s">
        <v>2987</v>
      </c>
      <c r="C913" s="8" t="s">
        <v>3132</v>
      </c>
      <c r="D913" s="8" t="s">
        <v>16</v>
      </c>
      <c r="E913" s="8" t="s">
        <v>17</v>
      </c>
      <c r="F913" s="9">
        <v>46053.0</v>
      </c>
      <c r="G913" s="8" t="s">
        <v>3136</v>
      </c>
      <c r="H913" s="8" t="s">
        <v>3137</v>
      </c>
      <c r="I913" s="8" t="s">
        <v>3138</v>
      </c>
      <c r="J913" s="8"/>
    </row>
    <row r="914">
      <c r="A914" s="7">
        <v>2.0031146E7</v>
      </c>
      <c r="B914" s="8" t="s">
        <v>2987</v>
      </c>
      <c r="C914" s="8" t="s">
        <v>3139</v>
      </c>
      <c r="D914" s="8" t="s">
        <v>16</v>
      </c>
      <c r="E914" s="8" t="s">
        <v>17</v>
      </c>
      <c r="F914" s="9">
        <v>46048.0</v>
      </c>
      <c r="G914" s="8" t="s">
        <v>3140</v>
      </c>
      <c r="H914" s="8" t="s">
        <v>3141</v>
      </c>
      <c r="I914" s="8" t="s">
        <v>3142</v>
      </c>
      <c r="J914" s="8" t="s">
        <v>3143</v>
      </c>
    </row>
    <row r="915">
      <c r="A915" s="7">
        <v>2.0031146E7</v>
      </c>
      <c r="B915" s="8" t="s">
        <v>2987</v>
      </c>
      <c r="C915" s="8" t="s">
        <v>3139</v>
      </c>
      <c r="D915" s="8" t="s">
        <v>16</v>
      </c>
      <c r="E915" s="8" t="s">
        <v>17</v>
      </c>
      <c r="F915" s="9">
        <v>46048.0</v>
      </c>
      <c r="G915" s="8" t="s">
        <v>3144</v>
      </c>
      <c r="H915" s="8" t="s">
        <v>3145</v>
      </c>
      <c r="I915" s="8" t="s">
        <v>3146</v>
      </c>
      <c r="J915" s="8"/>
    </row>
    <row r="916">
      <c r="A916" s="7">
        <v>2.0029031E7</v>
      </c>
      <c r="B916" s="8" t="s">
        <v>2987</v>
      </c>
      <c r="C916" s="8" t="s">
        <v>3147</v>
      </c>
      <c r="D916" s="8" t="s">
        <v>16</v>
      </c>
      <c r="E916" s="8" t="s">
        <v>17</v>
      </c>
      <c r="F916" s="9">
        <v>46089.0</v>
      </c>
      <c r="G916" s="8" t="s">
        <v>630</v>
      </c>
      <c r="H916" s="8" t="s">
        <v>631</v>
      </c>
      <c r="I916" s="8" t="s">
        <v>3148</v>
      </c>
      <c r="J916" s="8" t="s">
        <v>3149</v>
      </c>
    </row>
    <row r="917">
      <c r="A917" s="7">
        <v>2.0030791E7</v>
      </c>
      <c r="B917" s="8" t="s">
        <v>2987</v>
      </c>
      <c r="C917" s="8" t="s">
        <v>3150</v>
      </c>
      <c r="D917" s="8" t="s">
        <v>16</v>
      </c>
      <c r="E917" s="8" t="s">
        <v>48</v>
      </c>
      <c r="F917" s="9">
        <v>46061.0</v>
      </c>
      <c r="G917" s="8" t="s">
        <v>3118</v>
      </c>
      <c r="H917" s="8" t="s">
        <v>3119</v>
      </c>
      <c r="I917" s="8" t="s">
        <v>3151</v>
      </c>
      <c r="J917" s="8" t="s">
        <v>3152</v>
      </c>
    </row>
    <row r="918">
      <c r="A918" s="7">
        <v>2.0030791E7</v>
      </c>
      <c r="B918" s="8" t="s">
        <v>2987</v>
      </c>
      <c r="C918" s="8" t="s">
        <v>3150</v>
      </c>
      <c r="D918" s="8" t="s">
        <v>16</v>
      </c>
      <c r="E918" s="8" t="s">
        <v>48</v>
      </c>
      <c r="F918" s="9">
        <v>46061.0</v>
      </c>
      <c r="G918" s="8" t="s">
        <v>3153</v>
      </c>
      <c r="H918" s="8" t="s">
        <v>3154</v>
      </c>
      <c r="I918" s="8" t="s">
        <v>3155</v>
      </c>
      <c r="J918" s="8" t="s">
        <v>3156</v>
      </c>
    </row>
    <row r="919">
      <c r="A919" s="7">
        <v>2.0017777E7</v>
      </c>
      <c r="B919" s="8" t="s">
        <v>2987</v>
      </c>
      <c r="C919" s="8" t="s">
        <v>3157</v>
      </c>
      <c r="D919" s="8" t="s">
        <v>16</v>
      </c>
      <c r="E919" s="8" t="s">
        <v>17</v>
      </c>
      <c r="F919" s="9">
        <v>46045.0</v>
      </c>
      <c r="G919" s="8" t="s">
        <v>3158</v>
      </c>
      <c r="H919" s="8" t="s">
        <v>3159</v>
      </c>
      <c r="I919" s="8" t="s">
        <v>3160</v>
      </c>
      <c r="J919" s="8" t="s">
        <v>3161</v>
      </c>
    </row>
    <row r="920">
      <c r="A920" s="7">
        <v>2.0031446E7</v>
      </c>
      <c r="B920" s="8" t="s">
        <v>2987</v>
      </c>
      <c r="C920" s="8" t="s">
        <v>3162</v>
      </c>
      <c r="D920" s="8" t="s">
        <v>16</v>
      </c>
      <c r="E920" s="8" t="s">
        <v>48</v>
      </c>
      <c r="F920" s="9">
        <v>46033.0</v>
      </c>
      <c r="G920" s="8" t="s">
        <v>91</v>
      </c>
      <c r="H920" s="8" t="s">
        <v>92</v>
      </c>
      <c r="I920" s="8" t="s">
        <v>3163</v>
      </c>
      <c r="J920" s="8" t="s">
        <v>3164</v>
      </c>
    </row>
    <row r="921">
      <c r="A921" s="7">
        <v>2.0013483E7</v>
      </c>
      <c r="B921" s="8" t="s">
        <v>2987</v>
      </c>
      <c r="C921" s="8" t="s">
        <v>3165</v>
      </c>
      <c r="D921" s="8" t="s">
        <v>16</v>
      </c>
      <c r="E921" s="8" t="s">
        <v>17</v>
      </c>
      <c r="F921" s="9">
        <v>46074.0</v>
      </c>
      <c r="G921" s="8" t="s">
        <v>3133</v>
      </c>
      <c r="H921" s="8" t="s">
        <v>3134</v>
      </c>
      <c r="I921" s="8" t="s">
        <v>3166</v>
      </c>
      <c r="J921" s="8"/>
    </row>
    <row r="922">
      <c r="A922" s="7">
        <v>2.0030214E7</v>
      </c>
      <c r="B922" s="8" t="s">
        <v>2987</v>
      </c>
      <c r="C922" s="8" t="s">
        <v>3167</v>
      </c>
      <c r="D922" s="8" t="s">
        <v>16</v>
      </c>
      <c r="E922" s="8" t="s">
        <v>17</v>
      </c>
      <c r="F922" s="9">
        <v>46104.0</v>
      </c>
      <c r="G922" s="8" t="s">
        <v>3168</v>
      </c>
      <c r="H922" s="8" t="s">
        <v>3169</v>
      </c>
      <c r="I922" s="8" t="s">
        <v>3170</v>
      </c>
      <c r="J922" s="8"/>
    </row>
    <row r="923">
      <c r="A923" s="7">
        <v>2.0024327E7</v>
      </c>
      <c r="B923" s="8" t="s">
        <v>2987</v>
      </c>
      <c r="C923" s="8" t="s">
        <v>3171</v>
      </c>
      <c r="D923" s="8" t="s">
        <v>16</v>
      </c>
      <c r="E923" s="8" t="s">
        <v>17</v>
      </c>
      <c r="F923" s="9">
        <v>46028.0</v>
      </c>
      <c r="G923" s="8" t="s">
        <v>3172</v>
      </c>
      <c r="H923" s="8" t="s">
        <v>120</v>
      </c>
      <c r="I923" s="8" t="s">
        <v>3173</v>
      </c>
      <c r="J923" s="8" t="s">
        <v>3174</v>
      </c>
    </row>
    <row r="924">
      <c r="A924" s="7">
        <v>2.0028608E7</v>
      </c>
      <c r="B924" s="8" t="s">
        <v>2987</v>
      </c>
      <c r="C924" s="8" t="s">
        <v>3175</v>
      </c>
      <c r="D924" s="8" t="s">
        <v>16</v>
      </c>
      <c r="E924" s="8" t="s">
        <v>48</v>
      </c>
      <c r="F924" s="9">
        <v>46041.0</v>
      </c>
      <c r="G924" s="8" t="s">
        <v>184</v>
      </c>
      <c r="H924" s="8" t="s">
        <v>185</v>
      </c>
      <c r="I924" s="8" t="s">
        <v>3176</v>
      </c>
      <c r="J924" s="8" t="s">
        <v>3177</v>
      </c>
    </row>
    <row r="925">
      <c r="A925" s="7">
        <v>2.0026654E7</v>
      </c>
      <c r="B925" s="8" t="s">
        <v>2987</v>
      </c>
      <c r="C925" s="8" t="s">
        <v>3178</v>
      </c>
      <c r="D925" s="8" t="s">
        <v>16</v>
      </c>
      <c r="E925" s="8" t="s">
        <v>17</v>
      </c>
      <c r="F925" s="9">
        <v>46028.0</v>
      </c>
      <c r="G925" s="8" t="s">
        <v>282</v>
      </c>
      <c r="H925" s="8" t="s">
        <v>71</v>
      </c>
      <c r="I925" s="8" t="s">
        <v>3179</v>
      </c>
      <c r="J925" s="8" t="s">
        <v>3180</v>
      </c>
    </row>
    <row r="926">
      <c r="A926" s="7">
        <v>2.0026654E7</v>
      </c>
      <c r="B926" s="8" t="s">
        <v>2987</v>
      </c>
      <c r="C926" s="8" t="s">
        <v>3178</v>
      </c>
      <c r="D926" s="8" t="s">
        <v>16</v>
      </c>
      <c r="E926" s="8" t="s">
        <v>17</v>
      </c>
      <c r="F926" s="9">
        <v>46028.0</v>
      </c>
      <c r="G926" s="8" t="s">
        <v>3008</v>
      </c>
      <c r="H926" s="8" t="s">
        <v>3047</v>
      </c>
      <c r="I926" s="8" t="s">
        <v>3181</v>
      </c>
      <c r="J926" s="8"/>
    </row>
    <row r="927">
      <c r="A927" s="7">
        <v>2.0030905E7</v>
      </c>
      <c r="B927" s="8" t="s">
        <v>2987</v>
      </c>
      <c r="C927" s="8" t="s">
        <v>3182</v>
      </c>
      <c r="D927" s="8" t="s">
        <v>16</v>
      </c>
      <c r="E927" s="8" t="s">
        <v>48</v>
      </c>
      <c r="F927" s="9">
        <v>46038.0</v>
      </c>
      <c r="G927" s="8" t="s">
        <v>91</v>
      </c>
      <c r="H927" s="8" t="s">
        <v>92</v>
      </c>
      <c r="I927" s="8" t="s">
        <v>3183</v>
      </c>
      <c r="J927" s="8" t="s">
        <v>3184</v>
      </c>
    </row>
    <row r="928">
      <c r="A928" s="7">
        <v>2.0028619E7</v>
      </c>
      <c r="B928" s="8" t="s">
        <v>2987</v>
      </c>
      <c r="C928" s="8" t="s">
        <v>3185</v>
      </c>
      <c r="D928" s="8" t="s">
        <v>16</v>
      </c>
      <c r="E928" s="8" t="s">
        <v>48</v>
      </c>
      <c r="F928" s="9">
        <v>46026.0</v>
      </c>
      <c r="G928" s="8" t="s">
        <v>3186</v>
      </c>
      <c r="H928" s="8" t="s">
        <v>3187</v>
      </c>
      <c r="I928" s="8"/>
      <c r="J928" s="8" t="s">
        <v>3188</v>
      </c>
    </row>
    <row r="929">
      <c r="A929" s="7">
        <v>2.0031209E7</v>
      </c>
      <c r="B929" s="8" t="s">
        <v>2987</v>
      </c>
      <c r="C929" s="8" t="s">
        <v>3189</v>
      </c>
      <c r="D929" s="8" t="s">
        <v>16</v>
      </c>
      <c r="E929" s="8" t="s">
        <v>17</v>
      </c>
      <c r="F929" s="9">
        <v>46033.0</v>
      </c>
      <c r="G929" s="8" t="s">
        <v>630</v>
      </c>
      <c r="H929" s="8" t="s">
        <v>631</v>
      </c>
      <c r="I929" s="8" t="s">
        <v>3190</v>
      </c>
      <c r="J929" s="8"/>
    </row>
    <row r="930">
      <c r="A930" s="7">
        <v>2.0030908E7</v>
      </c>
      <c r="B930" s="8" t="s">
        <v>2987</v>
      </c>
      <c r="C930" s="8" t="s">
        <v>3191</v>
      </c>
      <c r="D930" s="8" t="s">
        <v>16</v>
      </c>
      <c r="E930" s="8" t="s">
        <v>17</v>
      </c>
      <c r="F930" s="9">
        <v>46032.0</v>
      </c>
      <c r="G930" s="8" t="s">
        <v>365</v>
      </c>
      <c r="H930" s="8" t="s">
        <v>366</v>
      </c>
      <c r="I930" s="8" t="s">
        <v>3192</v>
      </c>
      <c r="J930" s="8" t="s">
        <v>3193</v>
      </c>
    </row>
    <row r="931">
      <c r="A931" s="7">
        <v>2.0030868E7</v>
      </c>
      <c r="B931" s="8" t="s">
        <v>2987</v>
      </c>
      <c r="C931" s="8" t="s">
        <v>3194</v>
      </c>
      <c r="D931" s="8" t="s">
        <v>16</v>
      </c>
      <c r="E931" s="8" t="s">
        <v>17</v>
      </c>
      <c r="F931" s="9">
        <v>46048.0</v>
      </c>
      <c r="G931" s="8" t="s">
        <v>64</v>
      </c>
      <c r="H931" s="8" t="s">
        <v>65</v>
      </c>
      <c r="I931" s="8" t="s">
        <v>3195</v>
      </c>
      <c r="J931" s="8" t="s">
        <v>3196</v>
      </c>
    </row>
    <row r="932">
      <c r="A932" s="7">
        <v>2.0028956E7</v>
      </c>
      <c r="B932" s="8" t="s">
        <v>2987</v>
      </c>
      <c r="C932" s="8" t="s">
        <v>3197</v>
      </c>
      <c r="D932" s="8" t="s">
        <v>16</v>
      </c>
      <c r="E932" s="8" t="s">
        <v>17</v>
      </c>
      <c r="F932" s="9">
        <v>46045.0</v>
      </c>
      <c r="G932" s="8" t="s">
        <v>868</v>
      </c>
      <c r="H932" s="8" t="s">
        <v>869</v>
      </c>
      <c r="I932" s="8" t="s">
        <v>3198</v>
      </c>
      <c r="J932" s="8"/>
    </row>
    <row r="933">
      <c r="A933" s="7">
        <v>2.0030367E7</v>
      </c>
      <c r="B933" s="8" t="s">
        <v>2987</v>
      </c>
      <c r="C933" s="8" t="s">
        <v>3199</v>
      </c>
      <c r="D933" s="8" t="s">
        <v>16</v>
      </c>
      <c r="E933" s="8" t="s">
        <v>48</v>
      </c>
      <c r="F933" s="9">
        <v>46032.0</v>
      </c>
      <c r="G933" s="8" t="s">
        <v>3200</v>
      </c>
      <c r="H933" s="8" t="s">
        <v>401</v>
      </c>
      <c r="I933" s="8" t="s">
        <v>3201</v>
      </c>
      <c r="J933" s="8" t="s">
        <v>3202</v>
      </c>
    </row>
    <row r="934">
      <c r="A934" s="7">
        <v>2.0030284E7</v>
      </c>
      <c r="B934" s="8" t="s">
        <v>2987</v>
      </c>
      <c r="C934" s="8" t="s">
        <v>3203</v>
      </c>
      <c r="D934" s="8" t="s">
        <v>16</v>
      </c>
      <c r="E934" s="8" t="s">
        <v>17</v>
      </c>
      <c r="F934" s="9">
        <v>46031.0</v>
      </c>
      <c r="G934" s="8" t="s">
        <v>91</v>
      </c>
      <c r="H934" s="8" t="s">
        <v>92</v>
      </c>
      <c r="I934" s="8" t="s">
        <v>3204</v>
      </c>
      <c r="J934" s="8" t="s">
        <v>3205</v>
      </c>
    </row>
    <row r="935">
      <c r="A935" s="7">
        <v>2.0029406E7</v>
      </c>
      <c r="B935" s="8" t="s">
        <v>2987</v>
      </c>
      <c r="C935" s="8" t="s">
        <v>3206</v>
      </c>
      <c r="D935" s="8" t="s">
        <v>16</v>
      </c>
      <c r="E935" s="8" t="s">
        <v>48</v>
      </c>
      <c r="F935" s="9">
        <v>46034.0</v>
      </c>
      <c r="G935" s="8" t="s">
        <v>3207</v>
      </c>
      <c r="H935" s="8" t="s">
        <v>3208</v>
      </c>
      <c r="I935" s="8" t="s">
        <v>3209</v>
      </c>
      <c r="J935" s="8" t="s">
        <v>3210</v>
      </c>
    </row>
    <row r="936">
      <c r="A936" s="7">
        <v>2.0029399E7</v>
      </c>
      <c r="B936" s="8" t="s">
        <v>2987</v>
      </c>
      <c r="C936" s="8" t="s">
        <v>3211</v>
      </c>
      <c r="D936" s="8" t="s">
        <v>16</v>
      </c>
      <c r="E936" s="8" t="s">
        <v>17</v>
      </c>
      <c r="F936" s="9">
        <v>46034.0</v>
      </c>
      <c r="G936" s="8" t="s">
        <v>75</v>
      </c>
      <c r="H936" s="8" t="s">
        <v>76</v>
      </c>
      <c r="I936" s="8" t="s">
        <v>3212</v>
      </c>
      <c r="J936" s="8" t="s">
        <v>3213</v>
      </c>
    </row>
    <row r="937">
      <c r="A937" s="7">
        <v>2.0030187E7</v>
      </c>
      <c r="B937" s="8" t="s">
        <v>2987</v>
      </c>
      <c r="C937" s="8" t="s">
        <v>3214</v>
      </c>
      <c r="D937" s="8" t="s">
        <v>16</v>
      </c>
      <c r="E937" s="8" t="s">
        <v>17</v>
      </c>
      <c r="F937" s="9">
        <v>46034.0</v>
      </c>
      <c r="G937" s="8" t="s">
        <v>59</v>
      </c>
      <c r="H937" s="8" t="s">
        <v>60</v>
      </c>
      <c r="I937" s="8" t="s">
        <v>3215</v>
      </c>
      <c r="J937" s="8" t="s">
        <v>3216</v>
      </c>
    </row>
    <row r="938">
      <c r="A938" s="7">
        <v>2.0030108E7</v>
      </c>
      <c r="B938" s="8" t="s">
        <v>2987</v>
      </c>
      <c r="C938" s="8" t="s">
        <v>3217</v>
      </c>
      <c r="D938" s="8" t="s">
        <v>16</v>
      </c>
      <c r="E938" s="8" t="s">
        <v>48</v>
      </c>
      <c r="F938" s="9">
        <v>46036.0</v>
      </c>
      <c r="G938" s="8" t="s">
        <v>3088</v>
      </c>
      <c r="H938" s="8" t="s">
        <v>3089</v>
      </c>
      <c r="I938" s="8" t="s">
        <v>3218</v>
      </c>
      <c r="J938" s="8" t="s">
        <v>3219</v>
      </c>
    </row>
    <row r="939">
      <c r="A939" s="7">
        <v>2.0030388E7</v>
      </c>
      <c r="B939" s="8" t="s">
        <v>2987</v>
      </c>
      <c r="C939" s="8" t="s">
        <v>3220</v>
      </c>
      <c r="D939" s="8" t="s">
        <v>16</v>
      </c>
      <c r="E939" s="8" t="s">
        <v>48</v>
      </c>
      <c r="F939" s="9">
        <v>46041.0</v>
      </c>
      <c r="G939" s="8" t="s">
        <v>504</v>
      </c>
      <c r="H939" s="8" t="s">
        <v>505</v>
      </c>
      <c r="I939" s="8" t="s">
        <v>3221</v>
      </c>
      <c r="J939" s="8" t="s">
        <v>3222</v>
      </c>
    </row>
    <row r="940">
      <c r="A940" s="7">
        <v>2.0030373E7</v>
      </c>
      <c r="B940" s="8" t="s">
        <v>2987</v>
      </c>
      <c r="C940" s="8" t="s">
        <v>3223</v>
      </c>
      <c r="D940" s="8" t="s">
        <v>16</v>
      </c>
      <c r="E940" s="8" t="s">
        <v>48</v>
      </c>
      <c r="F940" s="9">
        <v>46106.0</v>
      </c>
      <c r="G940" s="8" t="s">
        <v>3224</v>
      </c>
      <c r="H940" s="8" t="s">
        <v>3225</v>
      </c>
      <c r="I940" s="8" t="s">
        <v>3226</v>
      </c>
      <c r="J940" s="8"/>
    </row>
    <row r="941">
      <c r="A941" s="7">
        <v>2.0029411E7</v>
      </c>
      <c r="B941" s="8" t="s">
        <v>2987</v>
      </c>
      <c r="C941" s="8" t="s">
        <v>3227</v>
      </c>
      <c r="D941" s="8" t="s">
        <v>16</v>
      </c>
      <c r="E941" s="8" t="s">
        <v>17</v>
      </c>
      <c r="F941" s="9">
        <v>46045.0</v>
      </c>
      <c r="G941" s="8" t="s">
        <v>64</v>
      </c>
      <c r="H941" s="8" t="s">
        <v>65</v>
      </c>
      <c r="I941" s="8" t="s">
        <v>3228</v>
      </c>
      <c r="J941" s="8" t="s">
        <v>3229</v>
      </c>
    </row>
    <row r="942">
      <c r="A942" s="7">
        <v>2.0029321E7</v>
      </c>
      <c r="B942" s="8" t="s">
        <v>2987</v>
      </c>
      <c r="C942" s="8" t="s">
        <v>3230</v>
      </c>
      <c r="D942" s="8" t="s">
        <v>16</v>
      </c>
      <c r="E942" s="8" t="s">
        <v>17</v>
      </c>
      <c r="F942" s="9">
        <v>46048.0</v>
      </c>
      <c r="G942" s="8" t="s">
        <v>91</v>
      </c>
      <c r="H942" s="8" t="s">
        <v>92</v>
      </c>
      <c r="I942" s="8" t="s">
        <v>3231</v>
      </c>
      <c r="J942" s="8" t="s">
        <v>3232</v>
      </c>
    </row>
    <row r="943">
      <c r="A943" s="7">
        <v>2.0029957E7</v>
      </c>
      <c r="B943" s="8" t="s">
        <v>2987</v>
      </c>
      <c r="C943" s="8" t="s">
        <v>3233</v>
      </c>
      <c r="D943" s="8" t="s">
        <v>16</v>
      </c>
      <c r="E943" s="8" t="s">
        <v>17</v>
      </c>
      <c r="F943" s="9">
        <v>46047.0</v>
      </c>
      <c r="G943" s="8" t="s">
        <v>370</v>
      </c>
      <c r="H943" s="8" t="s">
        <v>371</v>
      </c>
      <c r="I943" s="8"/>
      <c r="J943" s="8" t="s">
        <v>3234</v>
      </c>
    </row>
    <row r="944">
      <c r="A944" s="7">
        <v>2.0029058E7</v>
      </c>
      <c r="B944" s="8" t="s">
        <v>2987</v>
      </c>
      <c r="C944" s="8" t="s">
        <v>3235</v>
      </c>
      <c r="D944" s="8" t="s">
        <v>16</v>
      </c>
      <c r="E944" s="8" t="s">
        <v>17</v>
      </c>
      <c r="F944" s="9">
        <v>46067.0</v>
      </c>
      <c r="G944" s="8" t="s">
        <v>3118</v>
      </c>
      <c r="H944" s="8" t="s">
        <v>3119</v>
      </c>
      <c r="I944" s="8" t="s">
        <v>3236</v>
      </c>
      <c r="J944" s="8" t="s">
        <v>3237</v>
      </c>
    </row>
    <row r="945">
      <c r="A945" s="7">
        <v>2.0029058E7</v>
      </c>
      <c r="B945" s="8" t="s">
        <v>2987</v>
      </c>
      <c r="C945" s="8" t="s">
        <v>3235</v>
      </c>
      <c r="D945" s="8" t="s">
        <v>16</v>
      </c>
      <c r="E945" s="8" t="s">
        <v>17</v>
      </c>
      <c r="F945" s="9">
        <v>46067.0</v>
      </c>
      <c r="G945" s="8" t="s">
        <v>3122</v>
      </c>
      <c r="H945" s="8" t="s">
        <v>3123</v>
      </c>
      <c r="I945" s="8" t="s">
        <v>3238</v>
      </c>
      <c r="J945" s="8" t="s">
        <v>3239</v>
      </c>
    </row>
    <row r="946">
      <c r="A946" s="7">
        <v>2.0029058E7</v>
      </c>
      <c r="B946" s="8" t="s">
        <v>2987</v>
      </c>
      <c r="C946" s="8" t="s">
        <v>3235</v>
      </c>
      <c r="D946" s="8" t="s">
        <v>16</v>
      </c>
      <c r="E946" s="8" t="s">
        <v>17</v>
      </c>
      <c r="F946" s="9">
        <v>46067.0</v>
      </c>
      <c r="G946" s="8" t="s">
        <v>3122</v>
      </c>
      <c r="H946" s="8" t="s">
        <v>3123</v>
      </c>
      <c r="I946" s="8"/>
      <c r="J946" s="8" t="s">
        <v>3239</v>
      </c>
    </row>
    <row r="947">
      <c r="A947" s="7">
        <v>2.0030011E7</v>
      </c>
      <c r="B947" s="8" t="s">
        <v>2987</v>
      </c>
      <c r="C947" s="8" t="s">
        <v>3240</v>
      </c>
      <c r="D947" s="8" t="s">
        <v>16</v>
      </c>
      <c r="E947" s="8" t="s">
        <v>17</v>
      </c>
      <c r="F947" s="9">
        <v>46042.0</v>
      </c>
      <c r="G947" s="8" t="s">
        <v>2989</v>
      </c>
      <c r="H947" s="8" t="s">
        <v>2990</v>
      </c>
      <c r="I947" s="8" t="s">
        <v>3241</v>
      </c>
      <c r="J947" s="8" t="s">
        <v>3242</v>
      </c>
    </row>
    <row r="948">
      <c r="A948" s="7">
        <v>2.0030104E7</v>
      </c>
      <c r="B948" s="8" t="s">
        <v>2987</v>
      </c>
      <c r="C948" s="8" t="s">
        <v>3243</v>
      </c>
      <c r="D948" s="8" t="s">
        <v>16</v>
      </c>
      <c r="E948" s="8" t="s">
        <v>17</v>
      </c>
      <c r="F948" s="9">
        <v>46028.0</v>
      </c>
      <c r="G948" s="8" t="s">
        <v>365</v>
      </c>
      <c r="H948" s="8" t="s">
        <v>366</v>
      </c>
      <c r="I948" s="8" t="s">
        <v>3244</v>
      </c>
      <c r="J948" s="8" t="s">
        <v>3245</v>
      </c>
    </row>
    <row r="949">
      <c r="A949" s="7">
        <v>2.0029255E7</v>
      </c>
      <c r="B949" s="8" t="s">
        <v>2987</v>
      </c>
      <c r="C949" s="8" t="s">
        <v>3246</v>
      </c>
      <c r="D949" s="8" t="s">
        <v>16</v>
      </c>
      <c r="E949" s="8" t="s">
        <v>17</v>
      </c>
      <c r="F949" s="9">
        <v>46031.0</v>
      </c>
      <c r="G949" s="8" t="s">
        <v>59</v>
      </c>
      <c r="H949" s="8" t="s">
        <v>60</v>
      </c>
      <c r="I949" s="8" t="s">
        <v>3247</v>
      </c>
      <c r="J949" s="8" t="s">
        <v>3248</v>
      </c>
    </row>
    <row r="950">
      <c r="A950" s="7">
        <v>2.0029846E7</v>
      </c>
      <c r="B950" s="8" t="s">
        <v>2987</v>
      </c>
      <c r="C950" s="8" t="s">
        <v>3249</v>
      </c>
      <c r="D950" s="8" t="s">
        <v>16</v>
      </c>
      <c r="E950" s="8" t="s">
        <v>48</v>
      </c>
      <c r="F950" s="9">
        <v>46039.0</v>
      </c>
      <c r="G950" s="8" t="s">
        <v>3136</v>
      </c>
      <c r="H950" s="8" t="s">
        <v>3137</v>
      </c>
      <c r="I950" s="8" t="s">
        <v>3250</v>
      </c>
      <c r="J950" s="8"/>
    </row>
    <row r="951">
      <c r="A951" s="7">
        <v>2.0025725E7</v>
      </c>
      <c r="B951" s="8" t="s">
        <v>2987</v>
      </c>
      <c r="C951" s="8" t="s">
        <v>3251</v>
      </c>
      <c r="D951" s="8" t="s">
        <v>16</v>
      </c>
      <c r="E951" s="8" t="s">
        <v>17</v>
      </c>
      <c r="F951" s="9">
        <v>46026.0</v>
      </c>
      <c r="G951" s="8" t="s">
        <v>1532</v>
      </c>
      <c r="H951" s="8" t="s">
        <v>1533</v>
      </c>
      <c r="I951" s="8" t="s">
        <v>3252</v>
      </c>
      <c r="J951" s="8" t="s">
        <v>3253</v>
      </c>
    </row>
    <row r="952">
      <c r="A952" s="7">
        <v>2.0027973E7</v>
      </c>
      <c r="B952" s="8" t="s">
        <v>2987</v>
      </c>
      <c r="C952" s="8" t="s">
        <v>3254</v>
      </c>
      <c r="D952" s="8" t="s">
        <v>16</v>
      </c>
      <c r="E952" s="8" t="s">
        <v>17</v>
      </c>
      <c r="F952" s="9">
        <v>46027.0</v>
      </c>
      <c r="G952" s="8" t="s">
        <v>3255</v>
      </c>
      <c r="H952" s="8" t="s">
        <v>3256</v>
      </c>
      <c r="I952" s="8" t="s">
        <v>3257</v>
      </c>
      <c r="J952" s="8" t="s">
        <v>3258</v>
      </c>
    </row>
    <row r="953">
      <c r="A953" s="7">
        <v>2.0026605E7</v>
      </c>
      <c r="B953" s="8" t="s">
        <v>2987</v>
      </c>
      <c r="C953" s="8" t="s">
        <v>3259</v>
      </c>
      <c r="D953" s="8" t="s">
        <v>16</v>
      </c>
      <c r="E953" s="8" t="s">
        <v>17</v>
      </c>
      <c r="F953" s="9">
        <v>46048.0</v>
      </c>
      <c r="G953" s="8" t="s">
        <v>3260</v>
      </c>
      <c r="H953" s="8" t="s">
        <v>3261</v>
      </c>
      <c r="I953" s="8" t="s">
        <v>3262</v>
      </c>
      <c r="J953" s="8" t="s">
        <v>3263</v>
      </c>
    </row>
    <row r="954">
      <c r="A954" s="7">
        <v>2.0026605E7</v>
      </c>
      <c r="B954" s="8" t="s">
        <v>2987</v>
      </c>
      <c r="C954" s="8" t="s">
        <v>3259</v>
      </c>
      <c r="D954" s="8" t="s">
        <v>16</v>
      </c>
      <c r="E954" s="8" t="s">
        <v>17</v>
      </c>
      <c r="F954" s="9">
        <v>46048.0</v>
      </c>
      <c r="G954" s="8" t="s">
        <v>3264</v>
      </c>
      <c r="H954" s="8" t="s">
        <v>827</v>
      </c>
      <c r="I954" s="8" t="s">
        <v>3265</v>
      </c>
      <c r="J954" s="8" t="s">
        <v>3266</v>
      </c>
    </row>
    <row r="955">
      <c r="A955" s="7">
        <v>2.0026605E7</v>
      </c>
      <c r="B955" s="8" t="s">
        <v>2987</v>
      </c>
      <c r="C955" s="8" t="s">
        <v>3259</v>
      </c>
      <c r="D955" s="8" t="s">
        <v>16</v>
      </c>
      <c r="E955" s="8" t="s">
        <v>17</v>
      </c>
      <c r="F955" s="9">
        <v>46048.0</v>
      </c>
      <c r="G955" s="8" t="s">
        <v>3267</v>
      </c>
      <c r="H955" s="8" t="s">
        <v>3047</v>
      </c>
      <c r="I955" s="8" t="s">
        <v>3268</v>
      </c>
      <c r="J955" s="8"/>
    </row>
    <row r="956">
      <c r="A956" s="7">
        <v>2.0027036E7</v>
      </c>
      <c r="B956" s="8" t="s">
        <v>2987</v>
      </c>
      <c r="C956" s="8" t="s">
        <v>3269</v>
      </c>
      <c r="D956" s="8" t="s">
        <v>16</v>
      </c>
      <c r="E956" s="8" t="s">
        <v>48</v>
      </c>
      <c r="F956" s="9">
        <v>46026.0</v>
      </c>
      <c r="G956" s="8" t="s">
        <v>3270</v>
      </c>
      <c r="H956" s="8" t="s">
        <v>3271</v>
      </c>
      <c r="I956" s="8" t="s">
        <v>3272</v>
      </c>
      <c r="J956" s="8" t="s">
        <v>3273</v>
      </c>
    </row>
    <row r="957">
      <c r="A957" s="7">
        <v>2.0029075E7</v>
      </c>
      <c r="B957" s="8" t="s">
        <v>2987</v>
      </c>
      <c r="C957" s="8" t="s">
        <v>3274</v>
      </c>
      <c r="D957" s="8" t="s">
        <v>16</v>
      </c>
      <c r="E957" s="8" t="s">
        <v>17</v>
      </c>
      <c r="F957" s="9">
        <v>46026.0</v>
      </c>
      <c r="G957" s="8" t="s">
        <v>3275</v>
      </c>
      <c r="H957" s="8" t="s">
        <v>3276</v>
      </c>
      <c r="I957" s="8" t="s">
        <v>3277</v>
      </c>
      <c r="J957" s="8"/>
    </row>
    <row r="958">
      <c r="A958" s="7">
        <v>2.0027985E7</v>
      </c>
      <c r="B958" s="8" t="s">
        <v>2987</v>
      </c>
      <c r="C958" s="8" t="s">
        <v>3278</v>
      </c>
      <c r="D958" s="8" t="s">
        <v>16</v>
      </c>
      <c r="E958" s="8" t="s">
        <v>17</v>
      </c>
      <c r="F958" s="9">
        <v>46048.0</v>
      </c>
      <c r="G958" s="8" t="s">
        <v>64</v>
      </c>
      <c r="H958" s="8" t="s">
        <v>65</v>
      </c>
      <c r="I958" s="8" t="s">
        <v>3279</v>
      </c>
      <c r="J958" s="8" t="s">
        <v>3280</v>
      </c>
    </row>
    <row r="959">
      <c r="A959" s="7">
        <v>2.0027823E7</v>
      </c>
      <c r="B959" s="8" t="s">
        <v>2987</v>
      </c>
      <c r="C959" s="8" t="s">
        <v>3281</v>
      </c>
      <c r="D959" s="8" t="s">
        <v>16</v>
      </c>
      <c r="E959" s="8" t="s">
        <v>17</v>
      </c>
      <c r="F959" s="9">
        <v>46048.0</v>
      </c>
      <c r="G959" s="8" t="s">
        <v>3282</v>
      </c>
      <c r="H959" s="8" t="s">
        <v>3283</v>
      </c>
      <c r="I959" s="8" t="s">
        <v>3284</v>
      </c>
      <c r="J959" s="8" t="s">
        <v>3285</v>
      </c>
    </row>
    <row r="960">
      <c r="A960" s="7">
        <v>2.0029511E7</v>
      </c>
      <c r="B960" s="8" t="s">
        <v>2987</v>
      </c>
      <c r="C960" s="8" t="s">
        <v>3286</v>
      </c>
      <c r="D960" s="8" t="s">
        <v>16</v>
      </c>
      <c r="E960" s="8" t="s">
        <v>48</v>
      </c>
      <c r="F960" s="9">
        <v>46033.0</v>
      </c>
      <c r="G960" s="8" t="s">
        <v>423</v>
      </c>
      <c r="H960" s="8" t="s">
        <v>424</v>
      </c>
      <c r="I960" s="8" t="s">
        <v>3287</v>
      </c>
      <c r="J960" s="8" t="s">
        <v>3288</v>
      </c>
    </row>
    <row r="961">
      <c r="A961" s="7">
        <v>2.0029511E7</v>
      </c>
      <c r="B961" s="8" t="s">
        <v>2987</v>
      </c>
      <c r="C961" s="8" t="s">
        <v>3286</v>
      </c>
      <c r="D961" s="8" t="s">
        <v>16</v>
      </c>
      <c r="E961" s="8" t="s">
        <v>48</v>
      </c>
      <c r="F961" s="9">
        <v>46033.0</v>
      </c>
      <c r="G961" s="8" t="s">
        <v>3008</v>
      </c>
      <c r="H961" s="8" t="s">
        <v>3047</v>
      </c>
      <c r="I961" s="8" t="s">
        <v>3289</v>
      </c>
      <c r="J961" s="8"/>
    </row>
    <row r="962">
      <c r="A962" s="7">
        <v>2.0025722E7</v>
      </c>
      <c r="B962" s="8" t="s">
        <v>2987</v>
      </c>
      <c r="C962" s="8" t="s">
        <v>3290</v>
      </c>
      <c r="D962" s="8" t="s">
        <v>16</v>
      </c>
      <c r="E962" s="8" t="s">
        <v>17</v>
      </c>
      <c r="F962" s="9">
        <v>46039.0</v>
      </c>
      <c r="G962" s="8" t="s">
        <v>3291</v>
      </c>
      <c r="H962" s="8" t="s">
        <v>3292</v>
      </c>
      <c r="I962" s="8" t="s">
        <v>3293</v>
      </c>
      <c r="J962" s="8" t="s">
        <v>3294</v>
      </c>
    </row>
    <row r="963">
      <c r="A963" s="7">
        <v>2.0025722E7</v>
      </c>
      <c r="B963" s="8" t="s">
        <v>2987</v>
      </c>
      <c r="C963" s="8" t="s">
        <v>3290</v>
      </c>
      <c r="D963" s="8" t="s">
        <v>16</v>
      </c>
      <c r="E963" s="8" t="s">
        <v>17</v>
      </c>
      <c r="F963" s="9">
        <v>46039.0</v>
      </c>
      <c r="G963" s="8" t="s">
        <v>3295</v>
      </c>
      <c r="H963" s="8" t="s">
        <v>3296</v>
      </c>
      <c r="I963" s="8" t="s">
        <v>3297</v>
      </c>
      <c r="J963" s="8"/>
    </row>
    <row r="964">
      <c r="A964" s="7">
        <v>2.0026166E7</v>
      </c>
      <c r="B964" s="8" t="s">
        <v>2987</v>
      </c>
      <c r="C964" s="8" t="s">
        <v>3298</v>
      </c>
      <c r="D964" s="8" t="s">
        <v>16</v>
      </c>
      <c r="E964" s="8" t="s">
        <v>48</v>
      </c>
      <c r="F964" s="9">
        <v>46037.0</v>
      </c>
      <c r="G964" s="8" t="s">
        <v>3136</v>
      </c>
      <c r="H964" s="8" t="s">
        <v>3137</v>
      </c>
      <c r="I964" s="8" t="s">
        <v>3299</v>
      </c>
      <c r="J964" s="8"/>
    </row>
    <row r="965">
      <c r="A965" s="7">
        <v>2.0026166E7</v>
      </c>
      <c r="B965" s="8" t="s">
        <v>2987</v>
      </c>
      <c r="C965" s="8" t="s">
        <v>3298</v>
      </c>
      <c r="D965" s="8" t="s">
        <v>16</v>
      </c>
      <c r="E965" s="8" t="s">
        <v>48</v>
      </c>
      <c r="F965" s="9">
        <v>46037.0</v>
      </c>
      <c r="G965" s="8" t="s">
        <v>3133</v>
      </c>
      <c r="H965" s="8" t="s">
        <v>3134</v>
      </c>
      <c r="I965" s="8" t="s">
        <v>3300</v>
      </c>
      <c r="J965" s="8"/>
    </row>
    <row r="966">
      <c r="A966" s="7">
        <v>2.002897E7</v>
      </c>
      <c r="B966" s="8" t="s">
        <v>2987</v>
      </c>
      <c r="C966" s="8" t="s">
        <v>3301</v>
      </c>
      <c r="D966" s="8" t="s">
        <v>16</v>
      </c>
      <c r="E966" s="8" t="s">
        <v>48</v>
      </c>
      <c r="F966" s="9">
        <v>46041.0</v>
      </c>
      <c r="G966" s="8" t="s">
        <v>25</v>
      </c>
      <c r="H966" s="8" t="s">
        <v>26</v>
      </c>
      <c r="I966" s="8" t="s">
        <v>3302</v>
      </c>
      <c r="J966" s="8"/>
    </row>
    <row r="967">
      <c r="A967" s="7">
        <v>2.0028951E7</v>
      </c>
      <c r="B967" s="8" t="s">
        <v>2987</v>
      </c>
      <c r="C967" s="8" t="s">
        <v>3303</v>
      </c>
      <c r="D967" s="8" t="s">
        <v>16</v>
      </c>
      <c r="E967" s="8" t="s">
        <v>48</v>
      </c>
      <c r="F967" s="9">
        <v>46040.0</v>
      </c>
      <c r="G967" s="8" t="s">
        <v>3304</v>
      </c>
      <c r="H967" s="8" t="s">
        <v>3305</v>
      </c>
      <c r="I967" s="8" t="s">
        <v>3306</v>
      </c>
      <c r="J967" s="8" t="s">
        <v>3307</v>
      </c>
    </row>
    <row r="968">
      <c r="A968" s="7">
        <v>2.0028951E7</v>
      </c>
      <c r="B968" s="8" t="s">
        <v>2987</v>
      </c>
      <c r="C968" s="8" t="s">
        <v>3303</v>
      </c>
      <c r="D968" s="8" t="s">
        <v>16</v>
      </c>
      <c r="E968" s="8" t="s">
        <v>48</v>
      </c>
      <c r="F968" s="9">
        <v>46040.0</v>
      </c>
      <c r="G968" s="8" t="s">
        <v>3308</v>
      </c>
      <c r="H968" s="8" t="s">
        <v>3309</v>
      </c>
      <c r="I968" s="8" t="s">
        <v>3310</v>
      </c>
      <c r="J968" s="8" t="s">
        <v>3311</v>
      </c>
    </row>
    <row r="969">
      <c r="A969" s="7">
        <v>2.002577E7</v>
      </c>
      <c r="B969" s="8" t="s">
        <v>2987</v>
      </c>
      <c r="C969" s="8" t="s">
        <v>3312</v>
      </c>
      <c r="D969" s="8" t="s">
        <v>16</v>
      </c>
      <c r="E969" s="8" t="s">
        <v>17</v>
      </c>
      <c r="F969" s="9">
        <v>46046.0</v>
      </c>
      <c r="G969" s="8" t="s">
        <v>3313</v>
      </c>
      <c r="H969" s="8" t="s">
        <v>2577</v>
      </c>
      <c r="I969" s="8" t="s">
        <v>3314</v>
      </c>
      <c r="J969" s="8" t="s">
        <v>3315</v>
      </c>
    </row>
    <row r="970">
      <c r="A970" s="7">
        <v>2.002577E7</v>
      </c>
      <c r="B970" s="8" t="s">
        <v>2987</v>
      </c>
      <c r="C970" s="8" t="s">
        <v>3312</v>
      </c>
      <c r="D970" s="8" t="s">
        <v>16</v>
      </c>
      <c r="E970" s="8" t="s">
        <v>17</v>
      </c>
      <c r="F970" s="9">
        <v>46046.0</v>
      </c>
      <c r="G970" s="8" t="s">
        <v>3316</v>
      </c>
      <c r="H970" s="8" t="s">
        <v>3145</v>
      </c>
      <c r="I970" s="8" t="s">
        <v>3317</v>
      </c>
      <c r="J970" s="8"/>
    </row>
    <row r="971">
      <c r="A971" s="7">
        <v>2.002577E7</v>
      </c>
      <c r="B971" s="8" t="s">
        <v>2987</v>
      </c>
      <c r="C971" s="8" t="s">
        <v>3312</v>
      </c>
      <c r="D971" s="8" t="s">
        <v>16</v>
      </c>
      <c r="E971" s="8" t="s">
        <v>17</v>
      </c>
      <c r="F971" s="9">
        <v>46046.0</v>
      </c>
      <c r="G971" s="8" t="s">
        <v>2625</v>
      </c>
      <c r="H971" s="8" t="s">
        <v>827</v>
      </c>
      <c r="I971" s="8" t="s">
        <v>3318</v>
      </c>
      <c r="J971" s="8" t="s">
        <v>3319</v>
      </c>
    </row>
    <row r="972">
      <c r="A972" s="7">
        <v>2.002577E7</v>
      </c>
      <c r="B972" s="8" t="s">
        <v>2987</v>
      </c>
      <c r="C972" s="8" t="s">
        <v>3312</v>
      </c>
      <c r="D972" s="8" t="s">
        <v>16</v>
      </c>
      <c r="E972" s="8" t="s">
        <v>17</v>
      </c>
      <c r="F972" s="9">
        <v>46046.0</v>
      </c>
      <c r="G972" s="8" t="s">
        <v>3320</v>
      </c>
      <c r="H972" s="8" t="s">
        <v>3321</v>
      </c>
      <c r="I972" s="8" t="s">
        <v>3322</v>
      </c>
      <c r="J972" s="8"/>
    </row>
    <row r="973">
      <c r="A973" s="7">
        <v>2.0029222E7</v>
      </c>
      <c r="B973" s="8" t="s">
        <v>2987</v>
      </c>
      <c r="C973" s="8" t="s">
        <v>3323</v>
      </c>
      <c r="D973" s="8" t="s">
        <v>16</v>
      </c>
      <c r="E973" s="8" t="s">
        <v>17</v>
      </c>
      <c r="F973" s="9">
        <v>46035.0</v>
      </c>
      <c r="G973" s="8" t="s">
        <v>630</v>
      </c>
      <c r="H973" s="8" t="s">
        <v>631</v>
      </c>
      <c r="I973" s="8" t="s">
        <v>3324</v>
      </c>
      <c r="J973" s="8" t="s">
        <v>3325</v>
      </c>
    </row>
    <row r="974">
      <c r="A974" s="7">
        <v>2.0022815E7</v>
      </c>
      <c r="B974" s="8" t="s">
        <v>2987</v>
      </c>
      <c r="C974" s="8" t="s">
        <v>3326</v>
      </c>
      <c r="D974" s="8" t="s">
        <v>16</v>
      </c>
      <c r="E974" s="8" t="s">
        <v>48</v>
      </c>
      <c r="F974" s="9">
        <v>46039.0</v>
      </c>
      <c r="G974" s="8" t="s">
        <v>262</v>
      </c>
      <c r="H974" s="8" t="s">
        <v>263</v>
      </c>
      <c r="I974" s="8" t="s">
        <v>3327</v>
      </c>
      <c r="J974" s="8" t="s">
        <v>3328</v>
      </c>
    </row>
    <row r="975">
      <c r="A975" s="7">
        <v>2.0026332E7</v>
      </c>
      <c r="B975" s="8" t="s">
        <v>2987</v>
      </c>
      <c r="C975" s="8" t="s">
        <v>3329</v>
      </c>
      <c r="D975" s="8" t="s">
        <v>16</v>
      </c>
      <c r="E975" s="8" t="s">
        <v>17</v>
      </c>
      <c r="F975" s="9">
        <v>46025.0</v>
      </c>
      <c r="G975" s="8" t="s">
        <v>59</v>
      </c>
      <c r="H975" s="8" t="s">
        <v>60</v>
      </c>
      <c r="I975" s="8" t="s">
        <v>3330</v>
      </c>
      <c r="J975" s="8" t="s">
        <v>3331</v>
      </c>
    </row>
    <row r="976">
      <c r="A976" s="7">
        <v>2.0024564E7</v>
      </c>
      <c r="B976" s="8" t="s">
        <v>2987</v>
      </c>
      <c r="C976" s="8" t="s">
        <v>3332</v>
      </c>
      <c r="D976" s="8" t="s">
        <v>16</v>
      </c>
      <c r="E976" s="8" t="s">
        <v>17</v>
      </c>
      <c r="F976" s="9">
        <v>46025.0</v>
      </c>
      <c r="G976" s="8" t="s">
        <v>2625</v>
      </c>
      <c r="H976" s="8" t="s">
        <v>827</v>
      </c>
      <c r="I976" s="8" t="s">
        <v>3333</v>
      </c>
      <c r="J976" s="8" t="s">
        <v>3334</v>
      </c>
    </row>
    <row r="977">
      <c r="A977" s="7">
        <v>2.0025205E7</v>
      </c>
      <c r="B977" s="8" t="s">
        <v>2987</v>
      </c>
      <c r="C977" s="8" t="s">
        <v>3335</v>
      </c>
      <c r="D977" s="8" t="s">
        <v>16</v>
      </c>
      <c r="E977" s="8" t="s">
        <v>17</v>
      </c>
      <c r="F977" s="9">
        <v>46048.0</v>
      </c>
      <c r="G977" s="8" t="s">
        <v>3336</v>
      </c>
      <c r="H977" s="8" t="s">
        <v>3337</v>
      </c>
      <c r="I977" s="8"/>
      <c r="J977" s="8" t="s">
        <v>3338</v>
      </c>
    </row>
    <row r="978">
      <c r="A978" s="7">
        <v>2.0025205E7</v>
      </c>
      <c r="B978" s="8" t="s">
        <v>2987</v>
      </c>
      <c r="C978" s="8" t="s">
        <v>3335</v>
      </c>
      <c r="D978" s="8" t="s">
        <v>16</v>
      </c>
      <c r="E978" s="8" t="s">
        <v>17</v>
      </c>
      <c r="F978" s="9">
        <v>46048.0</v>
      </c>
      <c r="G978" s="8" t="s">
        <v>3339</v>
      </c>
      <c r="H978" s="8" t="s">
        <v>1301</v>
      </c>
      <c r="I978" s="8" t="s">
        <v>3340</v>
      </c>
      <c r="J978" s="8" t="s">
        <v>3341</v>
      </c>
    </row>
    <row r="979">
      <c r="A979" s="7">
        <v>2.0021882E7</v>
      </c>
      <c r="B979" s="8" t="s">
        <v>2987</v>
      </c>
      <c r="C979" s="8" t="s">
        <v>3342</v>
      </c>
      <c r="D979" s="8" t="s">
        <v>16</v>
      </c>
      <c r="E979" s="8" t="s">
        <v>17</v>
      </c>
      <c r="F979" s="9">
        <v>46029.0</v>
      </c>
      <c r="G979" s="8" t="s">
        <v>75</v>
      </c>
      <c r="H979" s="8" t="s">
        <v>76</v>
      </c>
      <c r="I979" s="8" t="s">
        <v>3343</v>
      </c>
      <c r="J979" s="8" t="s">
        <v>3344</v>
      </c>
    </row>
    <row r="980">
      <c r="A980" s="7">
        <v>2.002855E7</v>
      </c>
      <c r="B980" s="8" t="s">
        <v>2987</v>
      </c>
      <c r="C980" s="8" t="s">
        <v>3345</v>
      </c>
      <c r="D980" s="8" t="s">
        <v>16</v>
      </c>
      <c r="E980" s="8" t="s">
        <v>17</v>
      </c>
      <c r="F980" s="9">
        <v>46033.0</v>
      </c>
      <c r="G980" s="8" t="s">
        <v>109</v>
      </c>
      <c r="H980" s="8" t="s">
        <v>110</v>
      </c>
      <c r="I980" s="8" t="s">
        <v>3346</v>
      </c>
      <c r="J980" s="8" t="s">
        <v>3347</v>
      </c>
    </row>
    <row r="981">
      <c r="A981" s="7">
        <v>2.0028614E7</v>
      </c>
      <c r="B981" s="8" t="s">
        <v>2987</v>
      </c>
      <c r="C981" s="8" t="s">
        <v>3348</v>
      </c>
      <c r="D981" s="8" t="s">
        <v>16</v>
      </c>
      <c r="E981" s="8" t="s">
        <v>17</v>
      </c>
      <c r="F981" s="9">
        <v>46041.0</v>
      </c>
      <c r="G981" s="8" t="s">
        <v>361</v>
      </c>
      <c r="H981" s="8" t="s">
        <v>362</v>
      </c>
      <c r="I981" s="8" t="s">
        <v>3349</v>
      </c>
      <c r="J981" s="8" t="s">
        <v>3350</v>
      </c>
    </row>
    <row r="982">
      <c r="A982" s="7">
        <v>2.0028858E7</v>
      </c>
      <c r="B982" s="8" t="s">
        <v>2987</v>
      </c>
      <c r="C982" s="8" t="s">
        <v>3351</v>
      </c>
      <c r="D982" s="8" t="s">
        <v>16</v>
      </c>
      <c r="E982" s="8" t="s">
        <v>1074</v>
      </c>
      <c r="F982" s="9">
        <v>46108.0</v>
      </c>
      <c r="G982" s="8" t="s">
        <v>3352</v>
      </c>
      <c r="H982" s="8" t="s">
        <v>3353</v>
      </c>
      <c r="I982" s="8" t="s">
        <v>3354</v>
      </c>
      <c r="J982" s="8"/>
    </row>
    <row r="983">
      <c r="A983" s="7">
        <v>2.0028535E7</v>
      </c>
      <c r="B983" s="8" t="s">
        <v>2987</v>
      </c>
      <c r="C983" s="8" t="s">
        <v>3355</v>
      </c>
      <c r="D983" s="8" t="s">
        <v>16</v>
      </c>
      <c r="E983" s="8" t="s">
        <v>48</v>
      </c>
      <c r="F983" s="9">
        <v>46040.0</v>
      </c>
      <c r="G983" s="8" t="s">
        <v>3356</v>
      </c>
      <c r="H983" s="8" t="s">
        <v>3357</v>
      </c>
      <c r="I983" s="8" t="s">
        <v>3358</v>
      </c>
      <c r="J983" s="8" t="s">
        <v>3359</v>
      </c>
    </row>
    <row r="984">
      <c r="A984" s="7">
        <v>2.0024421E7</v>
      </c>
      <c r="B984" s="8" t="s">
        <v>2987</v>
      </c>
      <c r="C984" s="8" t="s">
        <v>3360</v>
      </c>
      <c r="D984" s="8" t="s">
        <v>16</v>
      </c>
      <c r="E984" s="8" t="s">
        <v>48</v>
      </c>
      <c r="F984" s="9">
        <v>46028.0</v>
      </c>
      <c r="G984" s="8" t="s">
        <v>109</v>
      </c>
      <c r="H984" s="8" t="s">
        <v>110</v>
      </c>
      <c r="I984" s="8" t="s">
        <v>3361</v>
      </c>
      <c r="J984" s="8" t="s">
        <v>3362</v>
      </c>
    </row>
    <row r="985">
      <c r="A985" s="7">
        <v>2.0027273E7</v>
      </c>
      <c r="B985" s="8" t="s">
        <v>2987</v>
      </c>
      <c r="C985" s="8" t="s">
        <v>3363</v>
      </c>
      <c r="D985" s="8" t="s">
        <v>16</v>
      </c>
      <c r="E985" s="8" t="s">
        <v>17</v>
      </c>
      <c r="F985" s="9">
        <v>46060.0</v>
      </c>
      <c r="G985" s="8" t="s">
        <v>3364</v>
      </c>
      <c r="H985" s="8" t="s">
        <v>3365</v>
      </c>
      <c r="I985" s="8" t="s">
        <v>3366</v>
      </c>
      <c r="J985" s="8"/>
    </row>
    <row r="986">
      <c r="A986" s="7">
        <v>2.002679E7</v>
      </c>
      <c r="B986" s="8" t="s">
        <v>2987</v>
      </c>
      <c r="C986" s="8" t="s">
        <v>3367</v>
      </c>
      <c r="D986" s="8" t="s">
        <v>16</v>
      </c>
      <c r="E986" s="8" t="s">
        <v>17</v>
      </c>
      <c r="F986" s="9">
        <v>46028.0</v>
      </c>
      <c r="G986" s="8" t="s">
        <v>370</v>
      </c>
      <c r="H986" s="8" t="s">
        <v>371</v>
      </c>
      <c r="I986" s="8" t="s">
        <v>3368</v>
      </c>
      <c r="J986" s="8" t="s">
        <v>3369</v>
      </c>
    </row>
    <row r="987">
      <c r="A987" s="7">
        <v>2.0026513E7</v>
      </c>
      <c r="B987" s="8" t="s">
        <v>2987</v>
      </c>
      <c r="C987" s="8" t="s">
        <v>3370</v>
      </c>
      <c r="D987" s="8" t="s">
        <v>16</v>
      </c>
      <c r="E987" s="8" t="s">
        <v>17</v>
      </c>
      <c r="F987" s="9">
        <v>46024.0</v>
      </c>
      <c r="G987" s="8" t="s">
        <v>1169</v>
      </c>
      <c r="H987" s="8" t="s">
        <v>1170</v>
      </c>
      <c r="I987" s="8" t="s">
        <v>3371</v>
      </c>
      <c r="J987" s="8" t="s">
        <v>3372</v>
      </c>
    </row>
    <row r="988">
      <c r="A988" s="7">
        <v>2.0022911E7</v>
      </c>
      <c r="B988" s="8" t="s">
        <v>2987</v>
      </c>
      <c r="C988" s="8" t="s">
        <v>3373</v>
      </c>
      <c r="D988" s="8" t="s">
        <v>16</v>
      </c>
      <c r="E988" s="8" t="s">
        <v>17</v>
      </c>
      <c r="F988" s="9">
        <v>46025.0</v>
      </c>
      <c r="G988" s="8" t="s">
        <v>1880</v>
      </c>
      <c r="H988" s="8" t="s">
        <v>55</v>
      </c>
      <c r="I988" s="8" t="s">
        <v>3374</v>
      </c>
      <c r="J988" s="8" t="s">
        <v>3375</v>
      </c>
    </row>
    <row r="989">
      <c r="A989" s="7">
        <v>2.0025986E7</v>
      </c>
      <c r="B989" s="8" t="s">
        <v>2987</v>
      </c>
      <c r="C989" s="8" t="s">
        <v>3376</v>
      </c>
      <c r="D989" s="8" t="s">
        <v>16</v>
      </c>
      <c r="E989" s="8" t="s">
        <v>17</v>
      </c>
      <c r="F989" s="9">
        <v>46025.0</v>
      </c>
      <c r="G989" s="8" t="s">
        <v>3136</v>
      </c>
      <c r="H989" s="8" t="s">
        <v>3137</v>
      </c>
      <c r="I989" s="8" t="s">
        <v>3377</v>
      </c>
      <c r="J989" s="8"/>
    </row>
    <row r="990">
      <c r="A990" s="7">
        <v>2.0024369E7</v>
      </c>
      <c r="B990" s="8" t="s">
        <v>2987</v>
      </c>
      <c r="C990" s="8" t="s">
        <v>3378</v>
      </c>
      <c r="D990" s="8" t="s">
        <v>16</v>
      </c>
      <c r="E990" s="8" t="s">
        <v>17</v>
      </c>
      <c r="F990" s="9">
        <v>46027.0</v>
      </c>
      <c r="G990" s="8" t="s">
        <v>184</v>
      </c>
      <c r="H990" s="8" t="s">
        <v>185</v>
      </c>
      <c r="I990" s="8" t="s">
        <v>3379</v>
      </c>
      <c r="J990" s="8" t="s">
        <v>3380</v>
      </c>
    </row>
    <row r="991">
      <c r="A991" s="7">
        <v>2.0024203E7</v>
      </c>
      <c r="B991" s="8" t="s">
        <v>2987</v>
      </c>
      <c r="C991" s="8" t="s">
        <v>3381</v>
      </c>
      <c r="D991" s="8" t="s">
        <v>16</v>
      </c>
      <c r="E991" s="8" t="s">
        <v>17</v>
      </c>
      <c r="F991" s="9">
        <v>46065.0</v>
      </c>
      <c r="G991" s="8" t="s">
        <v>3382</v>
      </c>
      <c r="H991" s="8" t="s">
        <v>3383</v>
      </c>
      <c r="I991" s="8" t="s">
        <v>3384</v>
      </c>
      <c r="J991" s="8" t="s">
        <v>3385</v>
      </c>
    </row>
    <row r="992">
      <c r="A992" s="7">
        <v>2.0024203E7</v>
      </c>
      <c r="B992" s="8" t="s">
        <v>2987</v>
      </c>
      <c r="C992" s="8" t="s">
        <v>3381</v>
      </c>
      <c r="D992" s="8" t="s">
        <v>16</v>
      </c>
      <c r="E992" s="8" t="s">
        <v>17</v>
      </c>
      <c r="F992" s="9">
        <v>46065.0</v>
      </c>
      <c r="G992" s="8" t="s">
        <v>3386</v>
      </c>
      <c r="H992" s="8" t="s">
        <v>3145</v>
      </c>
      <c r="I992" s="8" t="s">
        <v>3387</v>
      </c>
      <c r="J992" s="8"/>
    </row>
    <row r="993">
      <c r="A993" s="7">
        <v>2.0024203E7</v>
      </c>
      <c r="B993" s="8" t="s">
        <v>2987</v>
      </c>
      <c r="C993" s="8" t="s">
        <v>3381</v>
      </c>
      <c r="D993" s="8" t="s">
        <v>16</v>
      </c>
      <c r="E993" s="8" t="s">
        <v>17</v>
      </c>
      <c r="F993" s="9">
        <v>46065.0</v>
      </c>
      <c r="G993" s="8" t="s">
        <v>2486</v>
      </c>
      <c r="H993" s="8" t="s">
        <v>44</v>
      </c>
      <c r="I993" s="8" t="s">
        <v>3388</v>
      </c>
      <c r="J993" s="8" t="s">
        <v>3389</v>
      </c>
    </row>
    <row r="994">
      <c r="A994" s="7">
        <v>2.0024203E7</v>
      </c>
      <c r="B994" s="8" t="s">
        <v>2987</v>
      </c>
      <c r="C994" s="8" t="s">
        <v>3381</v>
      </c>
      <c r="D994" s="8" t="s">
        <v>16</v>
      </c>
      <c r="E994" s="8" t="s">
        <v>17</v>
      </c>
      <c r="F994" s="9">
        <v>46065.0</v>
      </c>
      <c r="G994" s="8" t="s">
        <v>3390</v>
      </c>
      <c r="H994" s="8" t="s">
        <v>3047</v>
      </c>
      <c r="I994" s="8" t="s">
        <v>3391</v>
      </c>
      <c r="J994" s="8"/>
    </row>
    <row r="995">
      <c r="A995" s="7">
        <v>2.0024203E7</v>
      </c>
      <c r="B995" s="8" t="s">
        <v>2987</v>
      </c>
      <c r="C995" s="8" t="s">
        <v>3381</v>
      </c>
      <c r="D995" s="8" t="s">
        <v>16</v>
      </c>
      <c r="E995" s="8" t="s">
        <v>17</v>
      </c>
      <c r="F995" s="9">
        <v>46065.0</v>
      </c>
      <c r="G995" s="8" t="s">
        <v>3382</v>
      </c>
      <c r="H995" s="8" t="s">
        <v>3383</v>
      </c>
      <c r="I995" s="8"/>
      <c r="J995" s="8" t="s">
        <v>3392</v>
      </c>
    </row>
    <row r="996">
      <c r="A996" s="7">
        <v>2.0024203E7</v>
      </c>
      <c r="B996" s="8" t="s">
        <v>2987</v>
      </c>
      <c r="C996" s="8" t="s">
        <v>3381</v>
      </c>
      <c r="D996" s="8" t="s">
        <v>16</v>
      </c>
      <c r="E996" s="8" t="s">
        <v>17</v>
      </c>
      <c r="F996" s="9">
        <v>46065.0</v>
      </c>
      <c r="G996" s="8" t="s">
        <v>2486</v>
      </c>
      <c r="H996" s="8" t="s">
        <v>44</v>
      </c>
      <c r="I996" s="8" t="s">
        <v>3393</v>
      </c>
      <c r="J996" s="8" t="s">
        <v>3389</v>
      </c>
    </row>
    <row r="997">
      <c r="A997" s="7">
        <v>2.0024203E7</v>
      </c>
      <c r="B997" s="8" t="s">
        <v>2987</v>
      </c>
      <c r="C997" s="8" t="s">
        <v>3381</v>
      </c>
      <c r="D997" s="8" t="s">
        <v>16</v>
      </c>
      <c r="E997" s="8" t="s">
        <v>17</v>
      </c>
      <c r="F997" s="9">
        <v>46065.0</v>
      </c>
      <c r="G997" s="8" t="s">
        <v>3382</v>
      </c>
      <c r="H997" s="8" t="s">
        <v>3383</v>
      </c>
      <c r="I997" s="8" t="s">
        <v>3394</v>
      </c>
      <c r="J997" s="8" t="s">
        <v>3385</v>
      </c>
    </row>
    <row r="998">
      <c r="A998" s="7">
        <v>2.002254E7</v>
      </c>
      <c r="B998" s="8" t="s">
        <v>2987</v>
      </c>
      <c r="C998" s="8" t="s">
        <v>3395</v>
      </c>
      <c r="D998" s="8" t="s">
        <v>16</v>
      </c>
      <c r="E998" s="8" t="s">
        <v>17</v>
      </c>
      <c r="F998" s="9">
        <v>46025.0</v>
      </c>
      <c r="G998" s="8" t="s">
        <v>3396</v>
      </c>
      <c r="H998" s="8" t="s">
        <v>3397</v>
      </c>
      <c r="I998" s="8" t="s">
        <v>3398</v>
      </c>
      <c r="J998" s="8" t="s">
        <v>3399</v>
      </c>
    </row>
    <row r="999">
      <c r="A999" s="7">
        <v>2.0021671E7</v>
      </c>
      <c r="B999" s="8" t="s">
        <v>2987</v>
      </c>
      <c r="C999" s="8" t="s">
        <v>3400</v>
      </c>
      <c r="D999" s="8" t="s">
        <v>16</v>
      </c>
      <c r="E999" s="8" t="s">
        <v>17</v>
      </c>
      <c r="F999" s="9">
        <v>46031.0</v>
      </c>
      <c r="G999" s="8" t="s">
        <v>25</v>
      </c>
      <c r="H999" s="8" t="s">
        <v>26</v>
      </c>
      <c r="I999" s="8" t="s">
        <v>3401</v>
      </c>
      <c r="J999" s="8"/>
    </row>
    <row r="1000">
      <c r="A1000" s="7">
        <v>2.0021587E7</v>
      </c>
      <c r="B1000" s="8" t="s">
        <v>2987</v>
      </c>
      <c r="C1000" s="8" t="s">
        <v>3402</v>
      </c>
      <c r="D1000" s="8" t="s">
        <v>16</v>
      </c>
      <c r="E1000" s="8" t="s">
        <v>17</v>
      </c>
      <c r="F1000" s="9">
        <v>46046.0</v>
      </c>
      <c r="G1000" s="8" t="s">
        <v>2486</v>
      </c>
      <c r="H1000" s="8" t="s">
        <v>44</v>
      </c>
      <c r="I1000" s="8" t="s">
        <v>3403</v>
      </c>
      <c r="J1000" s="8" t="s">
        <v>3404</v>
      </c>
    </row>
    <row r="1001">
      <c r="A1001" s="7">
        <v>2.0021587E7</v>
      </c>
      <c r="B1001" s="8" t="s">
        <v>2987</v>
      </c>
      <c r="C1001" s="8" t="s">
        <v>3402</v>
      </c>
      <c r="D1001" s="8" t="s">
        <v>16</v>
      </c>
      <c r="E1001" s="8" t="s">
        <v>17</v>
      </c>
      <c r="F1001" s="9">
        <v>46046.0</v>
      </c>
      <c r="G1001" s="8" t="s">
        <v>3405</v>
      </c>
      <c r="H1001" s="8" t="s">
        <v>3406</v>
      </c>
      <c r="I1001" s="8" t="s">
        <v>3407</v>
      </c>
      <c r="J1001" s="8"/>
    </row>
    <row r="1002">
      <c r="A1002" s="7">
        <v>2.0013926E7</v>
      </c>
      <c r="B1002" s="8" t="s">
        <v>2987</v>
      </c>
      <c r="C1002" s="8" t="s">
        <v>3408</v>
      </c>
      <c r="D1002" s="8" t="s">
        <v>16</v>
      </c>
      <c r="E1002" s="8" t="s">
        <v>48</v>
      </c>
      <c r="F1002" s="9">
        <v>46039.0</v>
      </c>
      <c r="G1002" s="8" t="s">
        <v>3409</v>
      </c>
      <c r="H1002" s="8" t="s">
        <v>3410</v>
      </c>
      <c r="I1002" s="8" t="s">
        <v>3411</v>
      </c>
      <c r="J1002" s="8" t="s">
        <v>3412</v>
      </c>
    </row>
    <row r="1003">
      <c r="A1003" s="7">
        <v>2.0013926E7</v>
      </c>
      <c r="B1003" s="8" t="s">
        <v>2987</v>
      </c>
      <c r="C1003" s="8" t="s">
        <v>3408</v>
      </c>
      <c r="D1003" s="8" t="s">
        <v>16</v>
      </c>
      <c r="E1003" s="8" t="s">
        <v>48</v>
      </c>
      <c r="F1003" s="9">
        <v>46039.0</v>
      </c>
      <c r="G1003" s="8" t="s">
        <v>3413</v>
      </c>
      <c r="H1003" s="8" t="s">
        <v>3414</v>
      </c>
      <c r="I1003" s="8" t="s">
        <v>3415</v>
      </c>
      <c r="J1003" s="8" t="s">
        <v>3416</v>
      </c>
    </row>
    <row r="1004">
      <c r="A1004" s="7">
        <v>2.0018666E7</v>
      </c>
      <c r="B1004" s="8" t="s">
        <v>2987</v>
      </c>
      <c r="C1004" s="8" t="s">
        <v>3417</v>
      </c>
      <c r="D1004" s="8" t="s">
        <v>16</v>
      </c>
      <c r="E1004" s="8" t="s">
        <v>48</v>
      </c>
      <c r="F1004" s="9">
        <v>46043.0</v>
      </c>
      <c r="G1004" s="8" t="s">
        <v>3418</v>
      </c>
      <c r="H1004" s="8" t="s">
        <v>2622</v>
      </c>
      <c r="I1004" s="8" t="s">
        <v>3419</v>
      </c>
      <c r="J1004" s="8" t="s">
        <v>3420</v>
      </c>
    </row>
    <row r="1005">
      <c r="A1005" s="7">
        <v>2.0018666E7</v>
      </c>
      <c r="B1005" s="8" t="s">
        <v>2987</v>
      </c>
      <c r="C1005" s="8" t="s">
        <v>3417</v>
      </c>
      <c r="D1005" s="8" t="s">
        <v>16</v>
      </c>
      <c r="E1005" s="8" t="s">
        <v>48</v>
      </c>
      <c r="F1005" s="9">
        <v>46043.0</v>
      </c>
      <c r="G1005" s="8" t="s">
        <v>3421</v>
      </c>
      <c r="H1005" s="8" t="s">
        <v>3145</v>
      </c>
      <c r="I1005" s="8" t="s">
        <v>3422</v>
      </c>
      <c r="J1005" s="8"/>
    </row>
    <row r="1006">
      <c r="A1006" s="7">
        <v>2.0018666E7</v>
      </c>
      <c r="B1006" s="8" t="s">
        <v>2987</v>
      </c>
      <c r="C1006" s="8" t="s">
        <v>3417</v>
      </c>
      <c r="D1006" s="8" t="s">
        <v>16</v>
      </c>
      <c r="E1006" s="8" t="s">
        <v>48</v>
      </c>
      <c r="F1006" s="9">
        <v>46043.0</v>
      </c>
      <c r="G1006" s="8" t="s">
        <v>1297</v>
      </c>
      <c r="H1006" s="8" t="s">
        <v>827</v>
      </c>
      <c r="I1006" s="8" t="s">
        <v>3423</v>
      </c>
      <c r="J1006" s="8" t="s">
        <v>3424</v>
      </c>
    </row>
    <row r="1007">
      <c r="A1007" s="7">
        <v>2.0018666E7</v>
      </c>
      <c r="B1007" s="8" t="s">
        <v>2987</v>
      </c>
      <c r="C1007" s="8" t="s">
        <v>3417</v>
      </c>
      <c r="D1007" s="8" t="s">
        <v>16</v>
      </c>
      <c r="E1007" s="8" t="s">
        <v>48</v>
      </c>
      <c r="F1007" s="9">
        <v>46043.0</v>
      </c>
      <c r="G1007" s="8" t="s">
        <v>3267</v>
      </c>
      <c r="H1007" s="8" t="s">
        <v>3047</v>
      </c>
      <c r="I1007" s="8" t="s">
        <v>3425</v>
      </c>
      <c r="J1007" s="8"/>
    </row>
    <row r="1008">
      <c r="A1008" s="7">
        <v>2.0021225E7</v>
      </c>
      <c r="B1008" s="8" t="s">
        <v>2987</v>
      </c>
      <c r="C1008" s="8" t="s">
        <v>3426</v>
      </c>
      <c r="D1008" s="8" t="s">
        <v>16</v>
      </c>
      <c r="E1008" s="8" t="s">
        <v>17</v>
      </c>
      <c r="F1008" s="9">
        <v>46110.0</v>
      </c>
      <c r="G1008" s="8" t="s">
        <v>3427</v>
      </c>
      <c r="H1008" s="8" t="s">
        <v>1294</v>
      </c>
      <c r="I1008" s="8" t="s">
        <v>3428</v>
      </c>
      <c r="J1008" s="8" t="s">
        <v>3429</v>
      </c>
    </row>
    <row r="1009">
      <c r="A1009" s="7">
        <v>2.0021225E7</v>
      </c>
      <c r="B1009" s="8" t="s">
        <v>2987</v>
      </c>
      <c r="C1009" s="8" t="s">
        <v>3426</v>
      </c>
      <c r="D1009" s="8" t="s">
        <v>16</v>
      </c>
      <c r="E1009" s="8" t="s">
        <v>17</v>
      </c>
      <c r="F1009" s="9">
        <v>46110.0</v>
      </c>
      <c r="G1009" s="8" t="s">
        <v>3430</v>
      </c>
      <c r="H1009" s="8" t="s">
        <v>3431</v>
      </c>
      <c r="I1009" s="8" t="s">
        <v>3432</v>
      </c>
      <c r="J1009" s="8" t="s">
        <v>3433</v>
      </c>
    </row>
    <row r="1010">
      <c r="A1010" s="7">
        <v>2.0021225E7</v>
      </c>
      <c r="B1010" s="8" t="s">
        <v>2987</v>
      </c>
      <c r="C1010" s="8" t="s">
        <v>3426</v>
      </c>
      <c r="D1010" s="8" t="s">
        <v>16</v>
      </c>
      <c r="E1010" s="8" t="s">
        <v>17</v>
      </c>
      <c r="F1010" s="9">
        <v>46110.0</v>
      </c>
      <c r="G1010" s="8" t="s">
        <v>3434</v>
      </c>
      <c r="H1010" s="8" t="s">
        <v>44</v>
      </c>
      <c r="I1010" s="8" t="s">
        <v>3435</v>
      </c>
      <c r="J1010" s="8" t="s">
        <v>3436</v>
      </c>
    </row>
    <row r="1011">
      <c r="A1011" s="7">
        <v>2.0021225E7</v>
      </c>
      <c r="B1011" s="8" t="s">
        <v>2987</v>
      </c>
      <c r="C1011" s="8" t="s">
        <v>3426</v>
      </c>
      <c r="D1011" s="8" t="s">
        <v>16</v>
      </c>
      <c r="E1011" s="8" t="s">
        <v>17</v>
      </c>
      <c r="F1011" s="9">
        <v>46110.0</v>
      </c>
      <c r="G1011" s="8" t="s">
        <v>3267</v>
      </c>
      <c r="H1011" s="8" t="s">
        <v>3047</v>
      </c>
      <c r="I1011" s="8" t="s">
        <v>3437</v>
      </c>
      <c r="J1011" s="8"/>
    </row>
    <row r="1012">
      <c r="A1012" s="7">
        <v>2.0021225E7</v>
      </c>
      <c r="B1012" s="8" t="s">
        <v>2987</v>
      </c>
      <c r="C1012" s="8" t="s">
        <v>3426</v>
      </c>
      <c r="D1012" s="8" t="s">
        <v>16</v>
      </c>
      <c r="E1012" s="8" t="s">
        <v>17</v>
      </c>
      <c r="F1012" s="9">
        <v>46110.0</v>
      </c>
      <c r="G1012" s="8" t="s">
        <v>3438</v>
      </c>
      <c r="H1012" s="8" t="s">
        <v>3439</v>
      </c>
      <c r="I1012" s="8" t="s">
        <v>3440</v>
      </c>
      <c r="J1012" s="8" t="s">
        <v>3429</v>
      </c>
    </row>
    <row r="1013">
      <c r="A1013" s="7">
        <v>2.0021225E7</v>
      </c>
      <c r="B1013" s="8" t="s">
        <v>2987</v>
      </c>
      <c r="C1013" s="8" t="s">
        <v>3426</v>
      </c>
      <c r="D1013" s="8" t="s">
        <v>16</v>
      </c>
      <c r="E1013" s="8" t="s">
        <v>17</v>
      </c>
      <c r="F1013" s="9">
        <v>46110.0</v>
      </c>
      <c r="G1013" s="8" t="s">
        <v>3427</v>
      </c>
      <c r="H1013" s="8" t="s">
        <v>1294</v>
      </c>
      <c r="I1013" s="8" t="s">
        <v>3441</v>
      </c>
      <c r="J1013" s="8" t="s">
        <v>3429</v>
      </c>
    </row>
    <row r="1014">
      <c r="A1014" s="7">
        <v>2.0021225E7</v>
      </c>
      <c r="B1014" s="8" t="s">
        <v>2987</v>
      </c>
      <c r="C1014" s="8" t="s">
        <v>3426</v>
      </c>
      <c r="D1014" s="8" t="s">
        <v>16</v>
      </c>
      <c r="E1014" s="8" t="s">
        <v>17</v>
      </c>
      <c r="F1014" s="9">
        <v>46110.0</v>
      </c>
      <c r="G1014" s="8" t="s">
        <v>3427</v>
      </c>
      <c r="H1014" s="8" t="s">
        <v>1294</v>
      </c>
      <c r="I1014" s="8"/>
      <c r="J1014" s="8" t="s">
        <v>3429</v>
      </c>
    </row>
    <row r="1015">
      <c r="A1015" s="7">
        <v>2.0020281E7</v>
      </c>
      <c r="B1015" s="8" t="s">
        <v>2987</v>
      </c>
      <c r="C1015" s="8" t="s">
        <v>3442</v>
      </c>
      <c r="D1015" s="8" t="s">
        <v>16</v>
      </c>
      <c r="E1015" s="8" t="s">
        <v>48</v>
      </c>
      <c r="F1015" s="9">
        <v>46058.0</v>
      </c>
      <c r="G1015" s="8" t="s">
        <v>59</v>
      </c>
      <c r="H1015" s="8" t="s">
        <v>60</v>
      </c>
      <c r="I1015" s="8" t="s">
        <v>3443</v>
      </c>
      <c r="J1015" s="8" t="s">
        <v>3444</v>
      </c>
    </row>
    <row r="1016">
      <c r="A1016" s="7">
        <v>2.0066906E7</v>
      </c>
      <c r="B1016" s="8" t="s">
        <v>3445</v>
      </c>
      <c r="C1016" s="8" t="s">
        <v>3446</v>
      </c>
      <c r="D1016" s="8" t="s">
        <v>16</v>
      </c>
      <c r="E1016" s="8" t="s">
        <v>17</v>
      </c>
      <c r="F1016" s="9">
        <v>46182.0</v>
      </c>
      <c r="G1016" s="8" t="s">
        <v>109</v>
      </c>
      <c r="H1016" s="8" t="s">
        <v>110</v>
      </c>
      <c r="I1016" s="8" t="s">
        <v>3447</v>
      </c>
      <c r="J1016" s="8" t="s">
        <v>3448</v>
      </c>
    </row>
    <row r="1017">
      <c r="A1017" s="7">
        <v>2.0063264E7</v>
      </c>
      <c r="B1017" s="8" t="s">
        <v>3445</v>
      </c>
      <c r="C1017" s="8" t="s">
        <v>3449</v>
      </c>
      <c r="D1017" s="8" t="s">
        <v>16</v>
      </c>
      <c r="E1017" s="8" t="s">
        <v>17</v>
      </c>
      <c r="F1017" s="9">
        <v>46187.0</v>
      </c>
      <c r="G1017" s="8" t="s">
        <v>29</v>
      </c>
      <c r="H1017" s="8" t="s">
        <v>30</v>
      </c>
      <c r="I1017" s="8" t="s">
        <v>3450</v>
      </c>
      <c r="J1017" s="8" t="s">
        <v>3451</v>
      </c>
    </row>
    <row r="1018">
      <c r="A1018" s="7">
        <v>2.0064233E7</v>
      </c>
      <c r="B1018" s="8" t="s">
        <v>3445</v>
      </c>
      <c r="C1018" s="8" t="s">
        <v>3452</v>
      </c>
      <c r="D1018" s="8" t="s">
        <v>16</v>
      </c>
      <c r="E1018" s="8" t="s">
        <v>17</v>
      </c>
      <c r="F1018" s="9">
        <v>46171.0</v>
      </c>
      <c r="G1018" s="8" t="s">
        <v>3255</v>
      </c>
      <c r="H1018" s="8" t="s">
        <v>3256</v>
      </c>
      <c r="I1018" s="8" t="s">
        <v>3453</v>
      </c>
      <c r="J1018" s="8" t="s">
        <v>3454</v>
      </c>
    </row>
    <row r="1019">
      <c r="A1019" s="7">
        <v>2.0063873E7</v>
      </c>
      <c r="B1019" s="8" t="s">
        <v>3445</v>
      </c>
      <c r="C1019" s="8" t="s">
        <v>3455</v>
      </c>
      <c r="D1019" s="8" t="s">
        <v>16</v>
      </c>
      <c r="E1019" s="8" t="s">
        <v>17</v>
      </c>
      <c r="F1019" s="9">
        <v>46183.0</v>
      </c>
      <c r="G1019" s="8" t="s">
        <v>3456</v>
      </c>
      <c r="H1019" s="8" t="s">
        <v>3457</v>
      </c>
      <c r="I1019" s="8" t="s">
        <v>3458</v>
      </c>
      <c r="J1019" s="8" t="s">
        <v>3459</v>
      </c>
    </row>
    <row r="1020">
      <c r="A1020" s="7">
        <v>2.0063311E7</v>
      </c>
      <c r="B1020" s="8" t="s">
        <v>3445</v>
      </c>
      <c r="C1020" s="8" t="s">
        <v>3460</v>
      </c>
      <c r="D1020" s="8" t="s">
        <v>16</v>
      </c>
      <c r="E1020" s="8" t="s">
        <v>17</v>
      </c>
      <c r="F1020" s="9">
        <v>46193.0</v>
      </c>
      <c r="G1020" s="8" t="s">
        <v>410</v>
      </c>
      <c r="H1020" s="8" t="s">
        <v>411</v>
      </c>
      <c r="I1020" s="8" t="s">
        <v>3461</v>
      </c>
      <c r="J1020" s="8" t="s">
        <v>3462</v>
      </c>
    </row>
    <row r="1021">
      <c r="A1021" s="7">
        <v>2.006274E7</v>
      </c>
      <c r="B1021" s="8" t="s">
        <v>3445</v>
      </c>
      <c r="C1021" s="8" t="s">
        <v>3463</v>
      </c>
      <c r="D1021" s="8" t="s">
        <v>16</v>
      </c>
      <c r="E1021" s="8" t="s">
        <v>17</v>
      </c>
      <c r="F1021" s="9">
        <v>46183.0</v>
      </c>
      <c r="G1021" s="8" t="s">
        <v>184</v>
      </c>
      <c r="H1021" s="8" t="s">
        <v>185</v>
      </c>
      <c r="I1021" s="8" t="s">
        <v>3464</v>
      </c>
      <c r="J1021" s="8" t="s">
        <v>3465</v>
      </c>
    </row>
    <row r="1022">
      <c r="A1022" s="7">
        <v>2.0058448E7</v>
      </c>
      <c r="B1022" s="8" t="s">
        <v>3445</v>
      </c>
      <c r="C1022" s="8" t="s">
        <v>3466</v>
      </c>
      <c r="D1022" s="8" t="s">
        <v>16</v>
      </c>
      <c r="E1022" s="8" t="s">
        <v>17</v>
      </c>
      <c r="F1022" s="9">
        <v>46136.0</v>
      </c>
      <c r="G1022" s="8" t="s">
        <v>34</v>
      </c>
      <c r="H1022" s="8" t="s">
        <v>35</v>
      </c>
      <c r="I1022" s="8" t="s">
        <v>3467</v>
      </c>
      <c r="J1022" s="8" t="s">
        <v>3468</v>
      </c>
    </row>
    <row r="1023">
      <c r="A1023" s="7">
        <v>2.0054723E7</v>
      </c>
      <c r="B1023" s="8" t="s">
        <v>3445</v>
      </c>
      <c r="C1023" s="8" t="s">
        <v>3469</v>
      </c>
      <c r="D1023" s="8" t="s">
        <v>16</v>
      </c>
      <c r="E1023" s="8" t="s">
        <v>17</v>
      </c>
      <c r="F1023" s="9">
        <v>46150.0</v>
      </c>
      <c r="G1023" s="8" t="s">
        <v>2447</v>
      </c>
      <c r="H1023" s="8" t="s">
        <v>2448</v>
      </c>
      <c r="I1023" s="8" t="s">
        <v>3470</v>
      </c>
      <c r="J1023" s="8" t="s">
        <v>3471</v>
      </c>
    </row>
    <row r="1024">
      <c r="A1024" s="7">
        <v>2.0047503E7</v>
      </c>
      <c r="B1024" s="8" t="s">
        <v>3445</v>
      </c>
      <c r="C1024" s="8" t="s">
        <v>3472</v>
      </c>
      <c r="D1024" s="8" t="s">
        <v>16</v>
      </c>
      <c r="E1024" s="8" t="s">
        <v>17</v>
      </c>
      <c r="F1024" s="9">
        <v>46112.0</v>
      </c>
      <c r="G1024" s="8" t="s">
        <v>109</v>
      </c>
      <c r="H1024" s="8" t="s">
        <v>110</v>
      </c>
      <c r="I1024" s="8" t="s">
        <v>3473</v>
      </c>
      <c r="J1024" s="8" t="s">
        <v>3474</v>
      </c>
    </row>
    <row r="1025">
      <c r="A1025" s="7">
        <v>2.0046894E7</v>
      </c>
      <c r="B1025" s="8" t="s">
        <v>3445</v>
      </c>
      <c r="C1025" s="8" t="s">
        <v>3475</v>
      </c>
      <c r="D1025" s="8" t="s">
        <v>16</v>
      </c>
      <c r="E1025" s="8" t="s">
        <v>17</v>
      </c>
      <c r="F1025" s="9">
        <v>46098.0</v>
      </c>
      <c r="G1025" s="8" t="s">
        <v>923</v>
      </c>
      <c r="H1025" s="8" t="s">
        <v>71</v>
      </c>
      <c r="I1025" s="8" t="s">
        <v>3476</v>
      </c>
      <c r="J1025" s="8" t="s">
        <v>3477</v>
      </c>
    </row>
    <row r="1026">
      <c r="A1026" s="7">
        <v>2.0044496E7</v>
      </c>
      <c r="B1026" s="8" t="s">
        <v>3445</v>
      </c>
      <c r="C1026" s="8" t="s">
        <v>3478</v>
      </c>
      <c r="D1026" s="8" t="s">
        <v>16</v>
      </c>
      <c r="E1026" s="8" t="s">
        <v>17</v>
      </c>
      <c r="F1026" s="9">
        <v>46094.0</v>
      </c>
      <c r="G1026" s="8" t="s">
        <v>3207</v>
      </c>
      <c r="H1026" s="8" t="s">
        <v>3208</v>
      </c>
      <c r="I1026" s="8" t="s">
        <v>3479</v>
      </c>
      <c r="J1026" s="8" t="s">
        <v>3480</v>
      </c>
    </row>
    <row r="1027">
      <c r="A1027" s="7">
        <v>2.0044353E7</v>
      </c>
      <c r="B1027" s="8" t="s">
        <v>3445</v>
      </c>
      <c r="C1027" s="8" t="s">
        <v>3481</v>
      </c>
      <c r="D1027" s="8" t="s">
        <v>16</v>
      </c>
      <c r="E1027" s="8" t="s">
        <v>17</v>
      </c>
      <c r="F1027" s="9">
        <v>46091.0</v>
      </c>
      <c r="G1027" s="8" t="s">
        <v>64</v>
      </c>
      <c r="H1027" s="8" t="s">
        <v>65</v>
      </c>
      <c r="I1027" s="8" t="s">
        <v>3482</v>
      </c>
      <c r="J1027" s="8" t="s">
        <v>3483</v>
      </c>
    </row>
    <row r="1028">
      <c r="A1028" s="7">
        <v>2.0043393E7</v>
      </c>
      <c r="B1028" s="8" t="s">
        <v>3445</v>
      </c>
      <c r="C1028" s="8" t="s">
        <v>3484</v>
      </c>
      <c r="D1028" s="8" t="s">
        <v>16</v>
      </c>
      <c r="E1028" s="8" t="s">
        <v>17</v>
      </c>
      <c r="F1028" s="9">
        <v>46088.0</v>
      </c>
      <c r="G1028" s="8" t="s">
        <v>171</v>
      </c>
      <c r="H1028" s="8" t="s">
        <v>172</v>
      </c>
      <c r="I1028" s="8" t="s">
        <v>3485</v>
      </c>
      <c r="J1028" s="8" t="s">
        <v>3486</v>
      </c>
    </row>
    <row r="1029">
      <c r="A1029" s="7">
        <v>2.0040376E7</v>
      </c>
      <c r="B1029" s="8" t="s">
        <v>3445</v>
      </c>
      <c r="C1029" s="8" t="s">
        <v>3487</v>
      </c>
      <c r="D1029" s="8" t="s">
        <v>16</v>
      </c>
      <c r="E1029" s="8" t="s">
        <v>17</v>
      </c>
      <c r="F1029" s="9">
        <v>46083.0</v>
      </c>
      <c r="G1029" s="8" t="s">
        <v>873</v>
      </c>
      <c r="H1029" s="8" t="s">
        <v>874</v>
      </c>
      <c r="I1029" s="8" t="s">
        <v>3488</v>
      </c>
      <c r="J1029" s="8" t="s">
        <v>3489</v>
      </c>
    </row>
    <row r="1030">
      <c r="A1030" s="7">
        <v>2.0040728E7</v>
      </c>
      <c r="B1030" s="8" t="s">
        <v>3445</v>
      </c>
      <c r="C1030" s="8" t="s">
        <v>3490</v>
      </c>
      <c r="D1030" s="8" t="s">
        <v>16</v>
      </c>
      <c r="E1030" s="8" t="s">
        <v>17</v>
      </c>
      <c r="F1030" s="9">
        <v>46067.0</v>
      </c>
      <c r="G1030" s="8" t="s">
        <v>59</v>
      </c>
      <c r="H1030" s="8" t="s">
        <v>60</v>
      </c>
      <c r="I1030" s="8" t="s">
        <v>3491</v>
      </c>
      <c r="J1030" s="8" t="s">
        <v>3492</v>
      </c>
    </row>
    <row r="1031">
      <c r="A1031" s="7">
        <v>2.0040455E7</v>
      </c>
      <c r="B1031" s="8" t="s">
        <v>3445</v>
      </c>
      <c r="C1031" s="8" t="s">
        <v>3493</v>
      </c>
      <c r="D1031" s="8" t="s">
        <v>16</v>
      </c>
      <c r="E1031" s="8" t="s">
        <v>17</v>
      </c>
      <c r="F1031" s="9">
        <v>46075.0</v>
      </c>
      <c r="G1031" s="8" t="s">
        <v>613</v>
      </c>
      <c r="H1031" s="8" t="s">
        <v>614</v>
      </c>
      <c r="I1031" s="8" t="s">
        <v>3494</v>
      </c>
      <c r="J1031" s="8" t="s">
        <v>3495</v>
      </c>
    </row>
    <row r="1032">
      <c r="A1032" s="7">
        <v>2.0036266E7</v>
      </c>
      <c r="B1032" s="8" t="s">
        <v>3445</v>
      </c>
      <c r="C1032" s="8" t="s">
        <v>3496</v>
      </c>
      <c r="D1032" s="8" t="s">
        <v>16</v>
      </c>
      <c r="E1032" s="8" t="s">
        <v>17</v>
      </c>
      <c r="F1032" s="9">
        <v>46068.0</v>
      </c>
      <c r="G1032" s="8" t="s">
        <v>109</v>
      </c>
      <c r="H1032" s="8" t="s">
        <v>110</v>
      </c>
      <c r="I1032" s="8" t="s">
        <v>3497</v>
      </c>
      <c r="J1032" s="8" t="s">
        <v>3498</v>
      </c>
    </row>
    <row r="1033">
      <c r="A1033" s="7">
        <v>2.003653E7</v>
      </c>
      <c r="B1033" s="8" t="s">
        <v>3445</v>
      </c>
      <c r="C1033" s="8" t="s">
        <v>3499</v>
      </c>
      <c r="D1033" s="8" t="s">
        <v>16</v>
      </c>
      <c r="E1033" s="8" t="s">
        <v>17</v>
      </c>
      <c r="F1033" s="9">
        <v>46065.0</v>
      </c>
      <c r="G1033" s="8" t="s">
        <v>3500</v>
      </c>
      <c r="H1033" s="8" t="s">
        <v>3501</v>
      </c>
      <c r="I1033" s="8" t="s">
        <v>3502</v>
      </c>
      <c r="J1033" s="8" t="s">
        <v>3503</v>
      </c>
    </row>
    <row r="1034">
      <c r="A1034" s="7">
        <v>2.0034598E7</v>
      </c>
      <c r="B1034" s="8" t="s">
        <v>3445</v>
      </c>
      <c r="C1034" s="8" t="s">
        <v>3504</v>
      </c>
      <c r="D1034" s="8" t="s">
        <v>16</v>
      </c>
      <c r="E1034" s="8" t="s">
        <v>17</v>
      </c>
      <c r="F1034" s="9">
        <v>46056.0</v>
      </c>
      <c r="G1034" s="8" t="s">
        <v>1813</v>
      </c>
      <c r="H1034" s="8" t="s">
        <v>1814</v>
      </c>
      <c r="I1034" s="8" t="s">
        <v>3505</v>
      </c>
      <c r="J1034" s="8" t="s">
        <v>3506</v>
      </c>
    </row>
    <row r="1035">
      <c r="A1035" s="7">
        <v>2.0033652E7</v>
      </c>
      <c r="B1035" s="8" t="s">
        <v>3445</v>
      </c>
      <c r="C1035" s="8" t="s">
        <v>3507</v>
      </c>
      <c r="D1035" s="8" t="s">
        <v>16</v>
      </c>
      <c r="E1035" s="8" t="s">
        <v>17</v>
      </c>
      <c r="F1035" s="9">
        <v>46057.0</v>
      </c>
      <c r="G1035" s="8" t="s">
        <v>3508</v>
      </c>
      <c r="H1035" s="8" t="s">
        <v>3509</v>
      </c>
      <c r="I1035" s="8" t="s">
        <v>3510</v>
      </c>
      <c r="J1035" s="8" t="s">
        <v>3511</v>
      </c>
    </row>
    <row r="1036">
      <c r="A1036" s="7">
        <v>2.0032567E7</v>
      </c>
      <c r="B1036" s="8" t="s">
        <v>3445</v>
      </c>
      <c r="C1036" s="8" t="s">
        <v>3512</v>
      </c>
      <c r="D1036" s="8" t="s">
        <v>16</v>
      </c>
      <c r="E1036" s="8" t="s">
        <v>17</v>
      </c>
      <c r="F1036" s="9">
        <v>46042.0</v>
      </c>
      <c r="G1036" s="8" t="s">
        <v>385</v>
      </c>
      <c r="H1036" s="8" t="s">
        <v>386</v>
      </c>
      <c r="I1036" s="8" t="s">
        <v>3513</v>
      </c>
      <c r="J1036" s="8" t="s">
        <v>3514</v>
      </c>
    </row>
    <row r="1037">
      <c r="A1037" s="7">
        <v>2.00322E7</v>
      </c>
      <c r="B1037" s="8" t="s">
        <v>3445</v>
      </c>
      <c r="C1037" s="8" t="s">
        <v>3515</v>
      </c>
      <c r="D1037" s="8" t="s">
        <v>16</v>
      </c>
      <c r="E1037" s="8" t="s">
        <v>17</v>
      </c>
      <c r="F1037" s="9">
        <v>46040.0</v>
      </c>
      <c r="G1037" s="8" t="s">
        <v>109</v>
      </c>
      <c r="H1037" s="8" t="s">
        <v>110</v>
      </c>
      <c r="I1037" s="8" t="s">
        <v>3516</v>
      </c>
      <c r="J1037" s="8" t="s">
        <v>3517</v>
      </c>
    </row>
    <row r="1038">
      <c r="A1038" s="7">
        <v>2.0031846E7</v>
      </c>
      <c r="B1038" s="8" t="s">
        <v>3445</v>
      </c>
      <c r="C1038" s="8" t="s">
        <v>3518</v>
      </c>
      <c r="D1038" s="8" t="s">
        <v>16</v>
      </c>
      <c r="E1038" s="8" t="s">
        <v>17</v>
      </c>
      <c r="F1038" s="9">
        <v>46040.0</v>
      </c>
      <c r="G1038" s="8" t="s">
        <v>109</v>
      </c>
      <c r="H1038" s="8" t="s">
        <v>110</v>
      </c>
      <c r="I1038" s="8" t="s">
        <v>3519</v>
      </c>
      <c r="J1038" s="8" t="s">
        <v>3520</v>
      </c>
    </row>
    <row r="1039">
      <c r="A1039" s="7">
        <v>2.0028751E7</v>
      </c>
      <c r="B1039" s="8" t="s">
        <v>3445</v>
      </c>
      <c r="C1039" s="8" t="s">
        <v>3521</v>
      </c>
      <c r="D1039" s="8" t="s">
        <v>16</v>
      </c>
      <c r="E1039" s="8" t="s">
        <v>17</v>
      </c>
      <c r="F1039" s="9">
        <v>46041.0</v>
      </c>
      <c r="G1039" s="8" t="s">
        <v>91</v>
      </c>
      <c r="H1039" s="8" t="s">
        <v>92</v>
      </c>
      <c r="I1039" s="8" t="s">
        <v>3522</v>
      </c>
      <c r="J1039" s="8" t="s">
        <v>3523</v>
      </c>
    </row>
    <row r="1040">
      <c r="A1040" s="7">
        <v>2.0030296E7</v>
      </c>
      <c r="B1040" s="8" t="s">
        <v>3445</v>
      </c>
      <c r="C1040" s="8" t="s">
        <v>3524</v>
      </c>
      <c r="D1040" s="8" t="s">
        <v>16</v>
      </c>
      <c r="E1040" s="8" t="s">
        <v>17</v>
      </c>
      <c r="F1040" s="9">
        <v>46079.0</v>
      </c>
      <c r="G1040" s="8" t="s">
        <v>3525</v>
      </c>
      <c r="H1040" s="8" t="s">
        <v>44</v>
      </c>
      <c r="I1040" s="8" t="s">
        <v>3526</v>
      </c>
      <c r="J1040" s="8" t="s">
        <v>3527</v>
      </c>
    </row>
    <row r="1041">
      <c r="A1041" s="7">
        <v>2.0032372E7</v>
      </c>
      <c r="B1041" s="8" t="s">
        <v>3445</v>
      </c>
      <c r="C1041" s="8" t="s">
        <v>3528</v>
      </c>
      <c r="D1041" s="8" t="s">
        <v>16</v>
      </c>
      <c r="E1041" s="8" t="s">
        <v>17</v>
      </c>
      <c r="F1041" s="9">
        <v>46040.0</v>
      </c>
      <c r="G1041" s="8" t="s">
        <v>3255</v>
      </c>
      <c r="H1041" s="8" t="s">
        <v>3256</v>
      </c>
      <c r="I1041" s="8" t="s">
        <v>3529</v>
      </c>
      <c r="J1041" s="8" t="s">
        <v>3530</v>
      </c>
    </row>
    <row r="1042">
      <c r="A1042" s="7">
        <v>2.0032361E7</v>
      </c>
      <c r="B1042" s="8" t="s">
        <v>3445</v>
      </c>
      <c r="C1042" s="8" t="s">
        <v>3531</v>
      </c>
      <c r="D1042" s="8" t="s">
        <v>16</v>
      </c>
      <c r="E1042" s="8" t="s">
        <v>17</v>
      </c>
      <c r="F1042" s="9">
        <v>46056.0</v>
      </c>
      <c r="G1042" s="8" t="s">
        <v>3532</v>
      </c>
      <c r="H1042" s="8" t="s">
        <v>3533</v>
      </c>
      <c r="I1042" s="8" t="s">
        <v>3534</v>
      </c>
      <c r="J1042" s="8" t="s">
        <v>3535</v>
      </c>
    </row>
    <row r="1043">
      <c r="A1043" s="7">
        <v>2.0031526E7</v>
      </c>
      <c r="B1043" s="8" t="s">
        <v>3445</v>
      </c>
      <c r="C1043" s="8" t="s">
        <v>3536</v>
      </c>
      <c r="D1043" s="8" t="s">
        <v>16</v>
      </c>
      <c r="E1043" s="8" t="s">
        <v>17</v>
      </c>
      <c r="F1043" s="9">
        <v>46046.0</v>
      </c>
      <c r="G1043" s="8" t="s">
        <v>91</v>
      </c>
      <c r="H1043" s="8" t="s">
        <v>92</v>
      </c>
      <c r="I1043" s="8" t="s">
        <v>3537</v>
      </c>
      <c r="J1043" s="8" t="s">
        <v>3538</v>
      </c>
    </row>
    <row r="1044">
      <c r="A1044" s="7">
        <v>2.0032495E7</v>
      </c>
      <c r="B1044" s="8" t="s">
        <v>3445</v>
      </c>
      <c r="C1044" s="8" t="s">
        <v>3539</v>
      </c>
      <c r="D1044" s="8" t="s">
        <v>16</v>
      </c>
      <c r="E1044" s="8" t="s">
        <v>17</v>
      </c>
      <c r="F1044" s="9">
        <v>46048.0</v>
      </c>
      <c r="G1044" s="8" t="s">
        <v>314</v>
      </c>
      <c r="H1044" s="8" t="s">
        <v>315</v>
      </c>
      <c r="I1044" s="8" t="s">
        <v>3540</v>
      </c>
      <c r="J1044" s="8" t="s">
        <v>3541</v>
      </c>
    </row>
    <row r="1045">
      <c r="A1045" s="7">
        <v>2.0033098E7</v>
      </c>
      <c r="B1045" s="8" t="s">
        <v>3445</v>
      </c>
      <c r="C1045" s="8" t="s">
        <v>3542</v>
      </c>
      <c r="D1045" s="8" t="s">
        <v>16</v>
      </c>
      <c r="E1045" s="8" t="s">
        <v>17</v>
      </c>
      <c r="F1045" s="9">
        <v>46056.0</v>
      </c>
      <c r="G1045" s="8" t="s">
        <v>374</v>
      </c>
      <c r="H1045" s="8" t="s">
        <v>375</v>
      </c>
      <c r="I1045" s="8" t="s">
        <v>3543</v>
      </c>
      <c r="J1045" s="8" t="s">
        <v>3544</v>
      </c>
    </row>
    <row r="1046">
      <c r="A1046" s="7">
        <v>2.0031369E7</v>
      </c>
      <c r="B1046" s="8" t="s">
        <v>3445</v>
      </c>
      <c r="C1046" s="8" t="s">
        <v>3545</v>
      </c>
      <c r="D1046" s="8" t="s">
        <v>16</v>
      </c>
      <c r="E1046" s="8" t="s">
        <v>17</v>
      </c>
      <c r="F1046" s="9">
        <v>46047.0</v>
      </c>
      <c r="G1046" s="8" t="s">
        <v>59</v>
      </c>
      <c r="H1046" s="8" t="s">
        <v>60</v>
      </c>
      <c r="I1046" s="8" t="s">
        <v>3546</v>
      </c>
      <c r="J1046" s="8" t="s">
        <v>3547</v>
      </c>
    </row>
    <row r="1047">
      <c r="A1047" s="7">
        <v>2.0028965E7</v>
      </c>
      <c r="B1047" s="8" t="s">
        <v>3445</v>
      </c>
      <c r="C1047" s="8" t="s">
        <v>3548</v>
      </c>
      <c r="D1047" s="8" t="s">
        <v>16</v>
      </c>
      <c r="E1047" s="8" t="s">
        <v>17</v>
      </c>
      <c r="F1047" s="9">
        <v>46058.0</v>
      </c>
      <c r="G1047" s="8" t="s">
        <v>3549</v>
      </c>
      <c r="H1047" s="8" t="s">
        <v>3271</v>
      </c>
      <c r="I1047" s="8" t="s">
        <v>3550</v>
      </c>
      <c r="J1047" s="8" t="s">
        <v>3551</v>
      </c>
    </row>
    <row r="1048">
      <c r="A1048" s="7">
        <v>2.0032934E7</v>
      </c>
      <c r="B1048" s="8" t="s">
        <v>3445</v>
      </c>
      <c r="C1048" s="8" t="s">
        <v>3552</v>
      </c>
      <c r="D1048" s="8" t="s">
        <v>16</v>
      </c>
      <c r="E1048" s="8" t="s">
        <v>17</v>
      </c>
      <c r="F1048" s="9">
        <v>46041.0</v>
      </c>
      <c r="G1048" s="8" t="s">
        <v>2497</v>
      </c>
      <c r="H1048" s="8" t="s">
        <v>2498</v>
      </c>
      <c r="I1048" s="8" t="s">
        <v>3553</v>
      </c>
      <c r="J1048" s="8" t="s">
        <v>3554</v>
      </c>
    </row>
    <row r="1049">
      <c r="A1049" s="7">
        <v>2.0032999E7</v>
      </c>
      <c r="B1049" s="8" t="s">
        <v>3445</v>
      </c>
      <c r="C1049" s="8" t="s">
        <v>3555</v>
      </c>
      <c r="D1049" s="8" t="s">
        <v>16</v>
      </c>
      <c r="E1049" s="8" t="s">
        <v>17</v>
      </c>
      <c r="F1049" s="9">
        <v>46056.0</v>
      </c>
      <c r="G1049" s="8" t="s">
        <v>370</v>
      </c>
      <c r="H1049" s="8" t="s">
        <v>371</v>
      </c>
      <c r="I1049" s="8" t="s">
        <v>3556</v>
      </c>
      <c r="J1049" s="8" t="s">
        <v>3557</v>
      </c>
    </row>
    <row r="1050">
      <c r="A1050" s="7">
        <v>2.0032884E7</v>
      </c>
      <c r="B1050" s="8" t="s">
        <v>3445</v>
      </c>
      <c r="C1050" s="8" t="s">
        <v>3558</v>
      </c>
      <c r="D1050" s="8" t="s">
        <v>16</v>
      </c>
      <c r="E1050" s="8" t="s">
        <v>17</v>
      </c>
      <c r="F1050" s="9">
        <v>46044.0</v>
      </c>
      <c r="G1050" s="8" t="s">
        <v>634</v>
      </c>
      <c r="H1050" s="8" t="s">
        <v>635</v>
      </c>
      <c r="I1050" s="8" t="s">
        <v>3559</v>
      </c>
      <c r="J1050" s="8" t="s">
        <v>3560</v>
      </c>
    </row>
    <row r="1051">
      <c r="A1051" s="7">
        <v>2.0032884E7</v>
      </c>
      <c r="B1051" s="8" t="s">
        <v>3445</v>
      </c>
      <c r="C1051" s="8" t="s">
        <v>3558</v>
      </c>
      <c r="D1051" s="8" t="s">
        <v>16</v>
      </c>
      <c r="E1051" s="8" t="s">
        <v>17</v>
      </c>
      <c r="F1051" s="9">
        <v>46044.0</v>
      </c>
      <c r="G1051" s="8" t="s">
        <v>638</v>
      </c>
      <c r="H1051" s="8" t="s">
        <v>639</v>
      </c>
      <c r="I1051" s="8" t="s">
        <v>3561</v>
      </c>
      <c r="J1051" s="8" t="s">
        <v>3562</v>
      </c>
    </row>
    <row r="1052">
      <c r="A1052" s="7">
        <v>2.0032729E7</v>
      </c>
      <c r="B1052" s="8" t="s">
        <v>3445</v>
      </c>
      <c r="C1052" s="8" t="s">
        <v>3563</v>
      </c>
      <c r="D1052" s="8" t="s">
        <v>16</v>
      </c>
      <c r="E1052" s="8" t="s">
        <v>17</v>
      </c>
      <c r="F1052" s="9">
        <v>46028.0</v>
      </c>
      <c r="G1052" s="8" t="s">
        <v>195</v>
      </c>
      <c r="H1052" s="8" t="s">
        <v>196</v>
      </c>
      <c r="I1052" s="8" t="s">
        <v>3564</v>
      </c>
      <c r="J1052" s="8" t="s">
        <v>3565</v>
      </c>
    </row>
    <row r="1053">
      <c r="A1053" s="7">
        <v>2.0022769E7</v>
      </c>
      <c r="B1053" s="8" t="s">
        <v>3445</v>
      </c>
      <c r="C1053" s="8" t="s">
        <v>3566</v>
      </c>
      <c r="D1053" s="8" t="s">
        <v>16</v>
      </c>
      <c r="E1053" s="8" t="s">
        <v>17</v>
      </c>
      <c r="F1053" s="9">
        <v>46056.0</v>
      </c>
      <c r="G1053" s="8" t="s">
        <v>3567</v>
      </c>
      <c r="H1053" s="8" t="s">
        <v>3568</v>
      </c>
      <c r="I1053" s="8" t="s">
        <v>3569</v>
      </c>
      <c r="J1053" s="8" t="s">
        <v>3570</v>
      </c>
    </row>
    <row r="1054">
      <c r="A1054" s="7">
        <v>2.0030781E7</v>
      </c>
      <c r="B1054" s="8" t="s">
        <v>3445</v>
      </c>
      <c r="C1054" s="8" t="s">
        <v>3571</v>
      </c>
      <c r="D1054" s="8" t="s">
        <v>16</v>
      </c>
      <c r="E1054" s="8" t="s">
        <v>17</v>
      </c>
      <c r="F1054" s="9">
        <v>46030.0</v>
      </c>
      <c r="G1054" s="8" t="s">
        <v>3572</v>
      </c>
      <c r="H1054" s="8" t="s">
        <v>3573</v>
      </c>
      <c r="I1054" s="8" t="s">
        <v>3574</v>
      </c>
      <c r="J1054" s="8" t="s">
        <v>3575</v>
      </c>
    </row>
    <row r="1055">
      <c r="A1055" s="7">
        <v>2.0030953E7</v>
      </c>
      <c r="B1055" s="8" t="s">
        <v>3445</v>
      </c>
      <c r="C1055" s="8" t="s">
        <v>3576</v>
      </c>
      <c r="D1055" s="8" t="s">
        <v>16</v>
      </c>
      <c r="E1055" s="8" t="s">
        <v>17</v>
      </c>
      <c r="F1055" s="9">
        <v>46040.0</v>
      </c>
      <c r="G1055" s="8" t="s">
        <v>846</v>
      </c>
      <c r="H1055" s="8" t="s">
        <v>847</v>
      </c>
      <c r="I1055" s="8" t="s">
        <v>3577</v>
      </c>
      <c r="J1055" s="8" t="s">
        <v>3578</v>
      </c>
    </row>
    <row r="1056">
      <c r="A1056" s="7">
        <v>2.0026632E7</v>
      </c>
      <c r="B1056" s="8" t="s">
        <v>3445</v>
      </c>
      <c r="C1056" s="8" t="s">
        <v>3579</v>
      </c>
      <c r="D1056" s="8" t="s">
        <v>16</v>
      </c>
      <c r="E1056" s="8" t="s">
        <v>48</v>
      </c>
      <c r="F1056" s="9">
        <v>46039.0</v>
      </c>
      <c r="G1056" s="8" t="s">
        <v>273</v>
      </c>
      <c r="H1056" s="8" t="s">
        <v>274</v>
      </c>
      <c r="I1056" s="8" t="s">
        <v>3580</v>
      </c>
      <c r="J1056" s="8"/>
    </row>
    <row r="1057">
      <c r="A1057" s="7">
        <v>2.0018431E7</v>
      </c>
      <c r="B1057" s="8" t="s">
        <v>3445</v>
      </c>
      <c r="C1057" s="8" t="s">
        <v>3581</v>
      </c>
      <c r="D1057" s="8" t="s">
        <v>16</v>
      </c>
      <c r="E1057" s="8" t="s">
        <v>700</v>
      </c>
      <c r="F1057" s="9">
        <v>46062.0</v>
      </c>
      <c r="G1057" s="8" t="s">
        <v>303</v>
      </c>
      <c r="H1057" s="8" t="s">
        <v>304</v>
      </c>
      <c r="I1057" s="8" t="s">
        <v>3582</v>
      </c>
      <c r="J1057" s="8" t="s">
        <v>3583</v>
      </c>
    </row>
    <row r="1058">
      <c r="A1058" s="7">
        <v>2.0032231E7</v>
      </c>
      <c r="B1058" s="8" t="s">
        <v>3445</v>
      </c>
      <c r="C1058" s="8" t="s">
        <v>3584</v>
      </c>
      <c r="D1058" s="8" t="s">
        <v>16</v>
      </c>
      <c r="E1058" s="8" t="s">
        <v>17</v>
      </c>
      <c r="F1058" s="9">
        <v>46031.0</v>
      </c>
      <c r="G1058" s="8" t="s">
        <v>3585</v>
      </c>
      <c r="H1058" s="8" t="s">
        <v>3586</v>
      </c>
      <c r="I1058" s="8" t="s">
        <v>3587</v>
      </c>
      <c r="J1058" s="8" t="s">
        <v>3588</v>
      </c>
    </row>
    <row r="1059">
      <c r="A1059" s="7">
        <v>2.0032091E7</v>
      </c>
      <c r="B1059" s="8" t="s">
        <v>3445</v>
      </c>
      <c r="C1059" s="8" t="s">
        <v>3589</v>
      </c>
      <c r="D1059" s="8" t="s">
        <v>16</v>
      </c>
      <c r="E1059" s="8" t="s">
        <v>17</v>
      </c>
      <c r="F1059" s="9">
        <v>46056.0</v>
      </c>
      <c r="G1059" s="8" t="s">
        <v>171</v>
      </c>
      <c r="H1059" s="8" t="s">
        <v>172</v>
      </c>
      <c r="I1059" s="8" t="s">
        <v>3590</v>
      </c>
      <c r="J1059" s="8" t="s">
        <v>3591</v>
      </c>
    </row>
    <row r="1060">
      <c r="A1060" s="7">
        <v>2.0031043E7</v>
      </c>
      <c r="B1060" s="8" t="s">
        <v>3445</v>
      </c>
      <c r="C1060" s="8" t="s">
        <v>3592</v>
      </c>
      <c r="D1060" s="8" t="s">
        <v>16</v>
      </c>
      <c r="E1060" s="8" t="s">
        <v>17</v>
      </c>
      <c r="F1060" s="9">
        <v>46031.0</v>
      </c>
      <c r="G1060" s="8" t="s">
        <v>234</v>
      </c>
      <c r="H1060" s="8" t="s">
        <v>235</v>
      </c>
      <c r="I1060" s="8" t="s">
        <v>3593</v>
      </c>
      <c r="J1060" s="8" t="s">
        <v>3594</v>
      </c>
    </row>
    <row r="1061">
      <c r="A1061" s="7">
        <v>2.0031286E7</v>
      </c>
      <c r="B1061" s="8" t="s">
        <v>3445</v>
      </c>
      <c r="C1061" s="8" t="s">
        <v>3595</v>
      </c>
      <c r="D1061" s="8" t="s">
        <v>16</v>
      </c>
      <c r="E1061" s="8" t="s">
        <v>17</v>
      </c>
      <c r="F1061" s="9">
        <v>46031.0</v>
      </c>
      <c r="G1061" s="8" t="s">
        <v>339</v>
      </c>
      <c r="H1061" s="8" t="s">
        <v>340</v>
      </c>
      <c r="I1061" s="8" t="s">
        <v>3596</v>
      </c>
      <c r="J1061" s="8" t="s">
        <v>3597</v>
      </c>
    </row>
    <row r="1062">
      <c r="A1062" s="7">
        <v>2.0030921E7</v>
      </c>
      <c r="B1062" s="8" t="s">
        <v>3445</v>
      </c>
      <c r="C1062" s="8" t="s">
        <v>3598</v>
      </c>
      <c r="D1062" s="8" t="s">
        <v>16</v>
      </c>
      <c r="E1062" s="8" t="s">
        <v>17</v>
      </c>
      <c r="F1062" s="9">
        <v>46039.0</v>
      </c>
      <c r="G1062" s="8" t="s">
        <v>1045</v>
      </c>
      <c r="H1062" s="8" t="s">
        <v>909</v>
      </c>
      <c r="I1062" s="8" t="s">
        <v>3599</v>
      </c>
      <c r="J1062" s="8" t="s">
        <v>3600</v>
      </c>
    </row>
    <row r="1063">
      <c r="A1063" s="7">
        <v>2.0031464E7</v>
      </c>
      <c r="B1063" s="8" t="s">
        <v>3445</v>
      </c>
      <c r="C1063" s="8" t="s">
        <v>3601</v>
      </c>
      <c r="D1063" s="8" t="s">
        <v>16</v>
      </c>
      <c r="E1063" s="8" t="s">
        <v>17</v>
      </c>
      <c r="F1063" s="9">
        <v>46044.0</v>
      </c>
      <c r="G1063" s="8" t="s">
        <v>3602</v>
      </c>
      <c r="H1063" s="8" t="s">
        <v>3603</v>
      </c>
      <c r="I1063" s="8" t="s">
        <v>3604</v>
      </c>
      <c r="J1063" s="8" t="s">
        <v>3605</v>
      </c>
    </row>
    <row r="1064">
      <c r="A1064" s="7">
        <v>2.0031582E7</v>
      </c>
      <c r="B1064" s="8" t="s">
        <v>3445</v>
      </c>
      <c r="C1064" s="8" t="s">
        <v>3606</v>
      </c>
      <c r="D1064" s="8" t="s">
        <v>16</v>
      </c>
      <c r="E1064" s="8" t="s">
        <v>17</v>
      </c>
      <c r="F1064" s="9">
        <v>46043.0</v>
      </c>
      <c r="G1064" s="8" t="s">
        <v>3607</v>
      </c>
      <c r="H1064" s="8" t="s">
        <v>3608</v>
      </c>
      <c r="I1064" s="8" t="s">
        <v>3609</v>
      </c>
      <c r="J1064" s="8"/>
    </row>
    <row r="1065">
      <c r="A1065" s="7">
        <v>2.0031675E7</v>
      </c>
      <c r="B1065" s="8" t="s">
        <v>3445</v>
      </c>
      <c r="C1065" s="8" t="s">
        <v>3610</v>
      </c>
      <c r="D1065" s="8" t="s">
        <v>16</v>
      </c>
      <c r="E1065" s="8" t="s">
        <v>17</v>
      </c>
      <c r="F1065" s="9">
        <v>46042.0</v>
      </c>
      <c r="G1065" s="8" t="s">
        <v>18</v>
      </c>
      <c r="H1065" s="8" t="s">
        <v>19</v>
      </c>
      <c r="I1065" s="8" t="s">
        <v>3611</v>
      </c>
      <c r="J1065" s="8" t="s">
        <v>3612</v>
      </c>
    </row>
    <row r="1066">
      <c r="A1066" s="7">
        <v>2.0031755E7</v>
      </c>
      <c r="B1066" s="8" t="s">
        <v>3445</v>
      </c>
      <c r="C1066" s="8" t="s">
        <v>3613</v>
      </c>
      <c r="D1066" s="8" t="s">
        <v>16</v>
      </c>
      <c r="E1066" s="8" t="s">
        <v>17</v>
      </c>
      <c r="F1066" s="9">
        <v>46039.0</v>
      </c>
      <c r="G1066" s="8" t="s">
        <v>59</v>
      </c>
      <c r="H1066" s="8" t="s">
        <v>60</v>
      </c>
      <c r="I1066" s="8" t="s">
        <v>3614</v>
      </c>
      <c r="J1066" s="8" t="s">
        <v>3615</v>
      </c>
    </row>
    <row r="1067">
      <c r="A1067" s="7">
        <v>2.003167E7</v>
      </c>
      <c r="B1067" s="8" t="s">
        <v>3445</v>
      </c>
      <c r="C1067" s="8" t="s">
        <v>3616</v>
      </c>
      <c r="D1067" s="8" t="s">
        <v>16</v>
      </c>
      <c r="E1067" s="8" t="s">
        <v>17</v>
      </c>
      <c r="F1067" s="9">
        <v>46032.0</v>
      </c>
      <c r="G1067" s="8" t="s">
        <v>59</v>
      </c>
      <c r="H1067" s="8" t="s">
        <v>60</v>
      </c>
      <c r="I1067" s="8" t="s">
        <v>3617</v>
      </c>
      <c r="J1067" s="8" t="s">
        <v>3618</v>
      </c>
    </row>
    <row r="1068">
      <c r="A1068" s="7">
        <v>2.0029905E7</v>
      </c>
      <c r="B1068" s="8" t="s">
        <v>3445</v>
      </c>
      <c r="C1068" s="8" t="s">
        <v>3619</v>
      </c>
      <c r="D1068" s="8" t="s">
        <v>16</v>
      </c>
      <c r="E1068" s="8" t="s">
        <v>17</v>
      </c>
      <c r="F1068" s="9">
        <v>46031.0</v>
      </c>
      <c r="G1068" s="8" t="s">
        <v>75</v>
      </c>
      <c r="H1068" s="8" t="s">
        <v>76</v>
      </c>
      <c r="I1068" s="8" t="s">
        <v>3620</v>
      </c>
      <c r="J1068" s="8" t="s">
        <v>3621</v>
      </c>
    </row>
    <row r="1069">
      <c r="A1069" s="7">
        <v>2.0029088E7</v>
      </c>
      <c r="B1069" s="8" t="s">
        <v>3445</v>
      </c>
      <c r="C1069" s="8" t="s">
        <v>3622</v>
      </c>
      <c r="D1069" s="8" t="s">
        <v>16</v>
      </c>
      <c r="E1069" s="8" t="s">
        <v>17</v>
      </c>
      <c r="F1069" s="9">
        <v>46034.0</v>
      </c>
      <c r="G1069" s="8" t="s">
        <v>1110</v>
      </c>
      <c r="H1069" s="8" t="s">
        <v>1111</v>
      </c>
      <c r="I1069" s="8" t="s">
        <v>3623</v>
      </c>
      <c r="J1069" s="8" t="s">
        <v>3624</v>
      </c>
    </row>
    <row r="1070">
      <c r="A1070" s="7">
        <v>2.0031278E7</v>
      </c>
      <c r="B1070" s="8" t="s">
        <v>3445</v>
      </c>
      <c r="C1070" s="8" t="s">
        <v>3625</v>
      </c>
      <c r="D1070" s="8" t="s">
        <v>16</v>
      </c>
      <c r="E1070" s="8" t="s">
        <v>17</v>
      </c>
      <c r="F1070" s="9">
        <v>46031.0</v>
      </c>
      <c r="G1070" s="8" t="s">
        <v>873</v>
      </c>
      <c r="H1070" s="8" t="s">
        <v>874</v>
      </c>
      <c r="I1070" s="8" t="s">
        <v>3626</v>
      </c>
      <c r="J1070" s="8" t="s">
        <v>3627</v>
      </c>
    </row>
    <row r="1071">
      <c r="A1071" s="7">
        <v>2.0031258E7</v>
      </c>
      <c r="B1071" s="8" t="s">
        <v>3445</v>
      </c>
      <c r="C1071" s="8" t="s">
        <v>3628</v>
      </c>
      <c r="D1071" s="8" t="s">
        <v>16</v>
      </c>
      <c r="E1071" s="8" t="s">
        <v>17</v>
      </c>
      <c r="F1071" s="9">
        <v>46040.0</v>
      </c>
      <c r="G1071" s="8" t="s">
        <v>314</v>
      </c>
      <c r="H1071" s="8" t="s">
        <v>315</v>
      </c>
      <c r="I1071" s="8" t="s">
        <v>3629</v>
      </c>
      <c r="J1071" s="8" t="s">
        <v>3630</v>
      </c>
    </row>
    <row r="1072">
      <c r="A1072" s="7">
        <v>2.0028402E7</v>
      </c>
      <c r="B1072" s="8" t="s">
        <v>3445</v>
      </c>
      <c r="C1072" s="8" t="s">
        <v>3631</v>
      </c>
      <c r="D1072" s="8" t="s">
        <v>16</v>
      </c>
      <c r="E1072" s="8" t="s">
        <v>17</v>
      </c>
      <c r="F1072" s="9">
        <v>46036.0</v>
      </c>
      <c r="G1072" s="8" t="s">
        <v>59</v>
      </c>
      <c r="H1072" s="8" t="s">
        <v>60</v>
      </c>
      <c r="I1072" s="8" t="s">
        <v>3632</v>
      </c>
      <c r="J1072" s="8" t="s">
        <v>3633</v>
      </c>
    </row>
    <row r="1073">
      <c r="A1073" s="7">
        <v>2.0031266E7</v>
      </c>
      <c r="B1073" s="8" t="s">
        <v>3445</v>
      </c>
      <c r="C1073" s="8" t="s">
        <v>3634</v>
      </c>
      <c r="D1073" s="8" t="s">
        <v>16</v>
      </c>
      <c r="E1073" s="8" t="s">
        <v>17</v>
      </c>
      <c r="F1073" s="9">
        <v>46039.0</v>
      </c>
      <c r="G1073" s="8" t="s">
        <v>158</v>
      </c>
      <c r="H1073" s="8" t="s">
        <v>159</v>
      </c>
      <c r="I1073" s="8" t="s">
        <v>3635</v>
      </c>
      <c r="J1073" s="8" t="s">
        <v>3636</v>
      </c>
    </row>
    <row r="1074">
      <c r="A1074" s="7">
        <v>2.0029501E7</v>
      </c>
      <c r="B1074" s="8" t="s">
        <v>3445</v>
      </c>
      <c r="C1074" s="8" t="s">
        <v>3637</v>
      </c>
      <c r="D1074" s="8" t="s">
        <v>16</v>
      </c>
      <c r="E1074" s="8" t="s">
        <v>17</v>
      </c>
      <c r="F1074" s="9">
        <v>46038.0</v>
      </c>
      <c r="G1074" s="8" t="s">
        <v>805</v>
      </c>
      <c r="H1074" s="8" t="s">
        <v>806</v>
      </c>
      <c r="I1074" s="8" t="s">
        <v>3638</v>
      </c>
      <c r="J1074" s="8" t="s">
        <v>3639</v>
      </c>
    </row>
    <row r="1075">
      <c r="A1075" s="7">
        <v>2.003102E7</v>
      </c>
      <c r="B1075" s="8" t="s">
        <v>3445</v>
      </c>
      <c r="C1075" s="8" t="s">
        <v>3640</v>
      </c>
      <c r="D1075" s="8" t="s">
        <v>16</v>
      </c>
      <c r="E1075" s="8" t="s">
        <v>17</v>
      </c>
      <c r="F1075" s="9">
        <v>46026.0</v>
      </c>
      <c r="G1075" s="8" t="s">
        <v>91</v>
      </c>
      <c r="H1075" s="8" t="s">
        <v>92</v>
      </c>
      <c r="I1075" s="8" t="s">
        <v>3641</v>
      </c>
      <c r="J1075" s="8" t="s">
        <v>3642</v>
      </c>
    </row>
    <row r="1076">
      <c r="A1076" s="7">
        <v>2.0028557E7</v>
      </c>
      <c r="B1076" s="8" t="s">
        <v>3445</v>
      </c>
      <c r="C1076" s="8" t="s">
        <v>3643</v>
      </c>
      <c r="D1076" s="8" t="s">
        <v>16</v>
      </c>
      <c r="E1076" s="8" t="s">
        <v>17</v>
      </c>
      <c r="F1076" s="9">
        <v>46030.0</v>
      </c>
      <c r="G1076" s="8" t="s">
        <v>91</v>
      </c>
      <c r="H1076" s="8" t="s">
        <v>92</v>
      </c>
      <c r="I1076" s="8" t="s">
        <v>3644</v>
      </c>
      <c r="J1076" s="8" t="s">
        <v>3645</v>
      </c>
    </row>
    <row r="1077">
      <c r="A1077" s="7">
        <v>2.0030371E7</v>
      </c>
      <c r="B1077" s="8" t="s">
        <v>3445</v>
      </c>
      <c r="C1077" s="8" t="s">
        <v>3646</v>
      </c>
      <c r="D1077" s="8" t="s">
        <v>16</v>
      </c>
      <c r="E1077" s="8" t="s">
        <v>17</v>
      </c>
      <c r="F1077" s="9">
        <v>46038.0</v>
      </c>
      <c r="G1077" s="8" t="s">
        <v>361</v>
      </c>
      <c r="H1077" s="8" t="s">
        <v>362</v>
      </c>
      <c r="I1077" s="8" t="s">
        <v>3647</v>
      </c>
      <c r="J1077" s="8" t="s">
        <v>3648</v>
      </c>
    </row>
    <row r="1078">
      <c r="A1078" s="7">
        <v>2.0030513E7</v>
      </c>
      <c r="B1078" s="8" t="s">
        <v>3445</v>
      </c>
      <c r="C1078" s="8" t="s">
        <v>3649</v>
      </c>
      <c r="D1078" s="8" t="s">
        <v>16</v>
      </c>
      <c r="E1078" s="8" t="s">
        <v>17</v>
      </c>
      <c r="F1078" s="9">
        <v>46040.0</v>
      </c>
      <c r="G1078" s="8" t="s">
        <v>1355</v>
      </c>
      <c r="H1078" s="8" t="s">
        <v>1356</v>
      </c>
      <c r="I1078" s="8" t="s">
        <v>3650</v>
      </c>
      <c r="J1078" s="8" t="s">
        <v>3651</v>
      </c>
    </row>
    <row r="1079">
      <c r="A1079" s="7">
        <v>2.0030696E7</v>
      </c>
      <c r="B1079" s="8" t="s">
        <v>3445</v>
      </c>
      <c r="C1079" s="8" t="s">
        <v>3652</v>
      </c>
      <c r="D1079" s="8" t="s">
        <v>16</v>
      </c>
      <c r="E1079" s="8" t="s">
        <v>17</v>
      </c>
      <c r="F1079" s="9">
        <v>46031.0</v>
      </c>
      <c r="G1079" s="8" t="s">
        <v>220</v>
      </c>
      <c r="H1079" s="8" t="s">
        <v>221</v>
      </c>
      <c r="I1079" s="8" t="s">
        <v>3653</v>
      </c>
      <c r="J1079" s="8" t="s">
        <v>3654</v>
      </c>
    </row>
    <row r="1080">
      <c r="A1080" s="7">
        <v>2.0030107E7</v>
      </c>
      <c r="B1080" s="8" t="s">
        <v>3445</v>
      </c>
      <c r="C1080" s="8" t="s">
        <v>3655</v>
      </c>
      <c r="D1080" s="8" t="s">
        <v>16</v>
      </c>
      <c r="E1080" s="8" t="s">
        <v>17</v>
      </c>
      <c r="F1080" s="9">
        <v>46027.0</v>
      </c>
      <c r="G1080" s="8" t="s">
        <v>75</v>
      </c>
      <c r="H1080" s="8" t="s">
        <v>76</v>
      </c>
      <c r="I1080" s="8" t="s">
        <v>3656</v>
      </c>
      <c r="J1080" s="8" t="s">
        <v>3657</v>
      </c>
    </row>
    <row r="1081">
      <c r="A1081" s="7">
        <v>2.0026379E7</v>
      </c>
      <c r="B1081" s="8" t="s">
        <v>3445</v>
      </c>
      <c r="C1081" s="8" t="s">
        <v>3658</v>
      </c>
      <c r="D1081" s="8" t="s">
        <v>16</v>
      </c>
      <c r="E1081" s="8" t="s">
        <v>17</v>
      </c>
      <c r="F1081" s="9">
        <v>46030.0</v>
      </c>
      <c r="G1081" s="8" t="s">
        <v>3255</v>
      </c>
      <c r="H1081" s="8" t="s">
        <v>3256</v>
      </c>
      <c r="I1081" s="8" t="s">
        <v>3659</v>
      </c>
      <c r="J1081" s="8" t="s">
        <v>3660</v>
      </c>
    </row>
    <row r="1082">
      <c r="A1082" s="7">
        <v>2.0030558E7</v>
      </c>
      <c r="B1082" s="8" t="s">
        <v>3445</v>
      </c>
      <c r="C1082" s="8" t="s">
        <v>3661</v>
      </c>
      <c r="D1082" s="8" t="s">
        <v>16</v>
      </c>
      <c r="E1082" s="8" t="s">
        <v>17</v>
      </c>
      <c r="F1082" s="9">
        <v>46046.0</v>
      </c>
      <c r="G1082" s="8" t="s">
        <v>1998</v>
      </c>
      <c r="H1082" s="8" t="s">
        <v>1999</v>
      </c>
      <c r="I1082" s="8" t="s">
        <v>3662</v>
      </c>
      <c r="J1082" s="8" t="s">
        <v>3663</v>
      </c>
    </row>
    <row r="1083">
      <c r="A1083" s="7">
        <v>2.0030273E7</v>
      </c>
      <c r="B1083" s="8" t="s">
        <v>3445</v>
      </c>
      <c r="C1083" s="8" t="s">
        <v>3664</v>
      </c>
      <c r="D1083" s="8" t="s">
        <v>16</v>
      </c>
      <c r="E1083" s="8" t="s">
        <v>17</v>
      </c>
      <c r="F1083" s="9">
        <v>46029.0</v>
      </c>
      <c r="G1083" s="8" t="s">
        <v>91</v>
      </c>
      <c r="H1083" s="8" t="s">
        <v>92</v>
      </c>
      <c r="I1083" s="8" t="s">
        <v>3665</v>
      </c>
      <c r="J1083" s="8" t="s">
        <v>3666</v>
      </c>
    </row>
    <row r="1084">
      <c r="A1084" s="7">
        <v>2.0028189E7</v>
      </c>
      <c r="B1084" s="8" t="s">
        <v>3445</v>
      </c>
      <c r="C1084" s="8" t="s">
        <v>3667</v>
      </c>
      <c r="D1084" s="8" t="s">
        <v>16</v>
      </c>
      <c r="E1084" s="8" t="s">
        <v>17</v>
      </c>
      <c r="F1084" s="9">
        <v>46034.0</v>
      </c>
      <c r="G1084" s="8" t="s">
        <v>59</v>
      </c>
      <c r="H1084" s="8" t="s">
        <v>60</v>
      </c>
      <c r="I1084" s="8" t="s">
        <v>3668</v>
      </c>
      <c r="J1084" s="8" t="s">
        <v>3669</v>
      </c>
    </row>
    <row r="1085">
      <c r="A1085" s="7">
        <v>2.0026637E7</v>
      </c>
      <c r="B1085" s="8" t="s">
        <v>3445</v>
      </c>
      <c r="C1085" s="8" t="s">
        <v>3670</v>
      </c>
      <c r="D1085" s="8" t="s">
        <v>16</v>
      </c>
      <c r="E1085" s="8" t="s">
        <v>17</v>
      </c>
      <c r="F1085" s="9">
        <v>46055.0</v>
      </c>
      <c r="G1085" s="8" t="s">
        <v>428</v>
      </c>
      <c r="H1085" s="8" t="s">
        <v>429</v>
      </c>
      <c r="I1085" s="8" t="s">
        <v>3671</v>
      </c>
      <c r="J1085" s="8" t="s">
        <v>3672</v>
      </c>
    </row>
    <row r="1086">
      <c r="A1086" s="7">
        <v>2.0015411E7</v>
      </c>
      <c r="B1086" s="8" t="s">
        <v>3445</v>
      </c>
      <c r="C1086" s="8" t="s">
        <v>3673</v>
      </c>
      <c r="D1086" s="8" t="s">
        <v>16</v>
      </c>
      <c r="E1086" s="8" t="s">
        <v>17</v>
      </c>
      <c r="F1086" s="9">
        <v>46034.0</v>
      </c>
      <c r="G1086" s="8" t="s">
        <v>3674</v>
      </c>
      <c r="H1086" s="8" t="s">
        <v>44</v>
      </c>
      <c r="I1086" s="8" t="s">
        <v>3675</v>
      </c>
      <c r="J1086" s="8" t="s">
        <v>3676</v>
      </c>
    </row>
    <row r="1087">
      <c r="A1087" s="7">
        <v>2.0027827E7</v>
      </c>
      <c r="B1087" s="8" t="s">
        <v>3445</v>
      </c>
      <c r="C1087" s="8" t="s">
        <v>3677</v>
      </c>
      <c r="D1087" s="8" t="s">
        <v>16</v>
      </c>
      <c r="E1087" s="8" t="s">
        <v>17</v>
      </c>
      <c r="F1087" s="9">
        <v>46036.0</v>
      </c>
      <c r="G1087" s="8" t="s">
        <v>220</v>
      </c>
      <c r="H1087" s="8" t="s">
        <v>221</v>
      </c>
      <c r="I1087" s="8" t="s">
        <v>3678</v>
      </c>
      <c r="J1087" s="8" t="s">
        <v>3679</v>
      </c>
    </row>
    <row r="1088">
      <c r="A1088" s="7">
        <v>2.0027504E7</v>
      </c>
      <c r="B1088" s="8" t="s">
        <v>3445</v>
      </c>
      <c r="C1088" s="8" t="s">
        <v>3680</v>
      </c>
      <c r="D1088" s="8" t="s">
        <v>16</v>
      </c>
      <c r="E1088" s="8" t="s">
        <v>17</v>
      </c>
      <c r="F1088" s="9">
        <v>46033.0</v>
      </c>
      <c r="G1088" s="8" t="s">
        <v>1132</v>
      </c>
      <c r="H1088" s="8" t="s">
        <v>1133</v>
      </c>
      <c r="I1088" s="8" t="s">
        <v>3681</v>
      </c>
      <c r="J1088" s="8" t="s">
        <v>3682</v>
      </c>
    </row>
    <row r="1089">
      <c r="A1089" s="7">
        <v>2.0027504E7</v>
      </c>
      <c r="B1089" s="8" t="s">
        <v>3445</v>
      </c>
      <c r="C1089" s="8" t="s">
        <v>3680</v>
      </c>
      <c r="D1089" s="8" t="s">
        <v>16</v>
      </c>
      <c r="E1089" s="8" t="s">
        <v>17</v>
      </c>
      <c r="F1089" s="9">
        <v>46033.0</v>
      </c>
      <c r="G1089" s="8" t="s">
        <v>3683</v>
      </c>
      <c r="H1089" s="8" t="s">
        <v>3684</v>
      </c>
      <c r="I1089" s="8" t="s">
        <v>3685</v>
      </c>
      <c r="J1089" s="8" t="s">
        <v>3686</v>
      </c>
    </row>
    <row r="1090">
      <c r="A1090" s="7">
        <v>2.0030359E7</v>
      </c>
      <c r="B1090" s="8" t="s">
        <v>3445</v>
      </c>
      <c r="C1090" s="8" t="s">
        <v>3687</v>
      </c>
      <c r="D1090" s="8" t="s">
        <v>16</v>
      </c>
      <c r="E1090" s="8" t="s">
        <v>17</v>
      </c>
      <c r="F1090" s="9">
        <v>46042.0</v>
      </c>
      <c r="G1090" s="8" t="s">
        <v>3607</v>
      </c>
      <c r="H1090" s="8" t="s">
        <v>3608</v>
      </c>
      <c r="I1090" s="8" t="s">
        <v>3688</v>
      </c>
      <c r="J1090" s="8" t="s">
        <v>3689</v>
      </c>
    </row>
    <row r="1091">
      <c r="A1091" s="7">
        <v>2.0029939E7</v>
      </c>
      <c r="B1091" s="8" t="s">
        <v>3445</v>
      </c>
      <c r="C1091" s="8" t="s">
        <v>3690</v>
      </c>
      <c r="D1091" s="8" t="s">
        <v>16</v>
      </c>
      <c r="E1091" s="8" t="s">
        <v>17</v>
      </c>
      <c r="F1091" s="9">
        <v>46029.0</v>
      </c>
      <c r="G1091" s="8" t="s">
        <v>3027</v>
      </c>
      <c r="H1091" s="8" t="s">
        <v>909</v>
      </c>
      <c r="I1091" s="8" t="s">
        <v>3691</v>
      </c>
      <c r="J1091" s="8" t="s">
        <v>3692</v>
      </c>
    </row>
    <row r="1092">
      <c r="A1092" s="7">
        <v>2.0029149E7</v>
      </c>
      <c r="B1092" s="8" t="s">
        <v>3445</v>
      </c>
      <c r="C1092" s="8" t="s">
        <v>3693</v>
      </c>
      <c r="D1092" s="8" t="s">
        <v>16</v>
      </c>
      <c r="E1092" s="8" t="s">
        <v>17</v>
      </c>
      <c r="F1092" s="9">
        <v>46033.0</v>
      </c>
      <c r="G1092" s="8" t="s">
        <v>339</v>
      </c>
      <c r="H1092" s="8" t="s">
        <v>340</v>
      </c>
      <c r="I1092" s="8" t="s">
        <v>3694</v>
      </c>
      <c r="J1092" s="8" t="s">
        <v>3695</v>
      </c>
    </row>
    <row r="1093">
      <c r="A1093" s="7">
        <v>2.0029481E7</v>
      </c>
      <c r="B1093" s="8" t="s">
        <v>3445</v>
      </c>
      <c r="C1093" s="8" t="s">
        <v>3696</v>
      </c>
      <c r="D1093" s="8" t="s">
        <v>16</v>
      </c>
      <c r="E1093" s="8" t="s">
        <v>17</v>
      </c>
      <c r="F1093" s="9">
        <v>46028.0</v>
      </c>
      <c r="G1093" s="8" t="s">
        <v>759</v>
      </c>
      <c r="H1093" s="8" t="s">
        <v>760</v>
      </c>
      <c r="I1093" s="8" t="s">
        <v>3697</v>
      </c>
      <c r="J1093" s="8" t="s">
        <v>3698</v>
      </c>
    </row>
    <row r="1094">
      <c r="A1094" s="7">
        <v>2.0029221E7</v>
      </c>
      <c r="B1094" s="8" t="s">
        <v>3445</v>
      </c>
      <c r="C1094" s="8" t="s">
        <v>3699</v>
      </c>
      <c r="D1094" s="8" t="s">
        <v>16</v>
      </c>
      <c r="E1094" s="8" t="s">
        <v>17</v>
      </c>
      <c r="F1094" s="9">
        <v>46046.0</v>
      </c>
      <c r="G1094" s="8" t="s">
        <v>3700</v>
      </c>
      <c r="H1094" s="8" t="s">
        <v>3094</v>
      </c>
      <c r="I1094" s="8" t="s">
        <v>3701</v>
      </c>
      <c r="J1094" s="8" t="s">
        <v>3702</v>
      </c>
    </row>
    <row r="1095">
      <c r="A1095" s="7">
        <v>2.0028612E7</v>
      </c>
      <c r="B1095" s="8" t="s">
        <v>3445</v>
      </c>
      <c r="C1095" s="8" t="s">
        <v>3703</v>
      </c>
      <c r="D1095" s="8" t="s">
        <v>16</v>
      </c>
      <c r="E1095" s="8" t="s">
        <v>48</v>
      </c>
      <c r="F1095" s="9">
        <v>46039.0</v>
      </c>
      <c r="G1095" s="8" t="s">
        <v>1260</v>
      </c>
      <c r="H1095" s="8" t="s">
        <v>1261</v>
      </c>
      <c r="I1095" s="8" t="s">
        <v>3704</v>
      </c>
      <c r="J1095" s="8"/>
    </row>
    <row r="1096">
      <c r="A1096" s="7">
        <v>2.0029858E7</v>
      </c>
      <c r="B1096" s="8" t="s">
        <v>3445</v>
      </c>
      <c r="C1096" s="8" t="s">
        <v>3705</v>
      </c>
      <c r="D1096" s="8" t="s">
        <v>16</v>
      </c>
      <c r="E1096" s="8" t="s">
        <v>17</v>
      </c>
      <c r="F1096" s="9">
        <v>46042.0</v>
      </c>
      <c r="G1096" s="8" t="s">
        <v>3706</v>
      </c>
      <c r="H1096" s="8" t="s">
        <v>3707</v>
      </c>
      <c r="I1096" s="8"/>
      <c r="J1096" s="8" t="s">
        <v>1752</v>
      </c>
    </row>
    <row r="1097">
      <c r="A1097" s="7">
        <v>2.0027619E7</v>
      </c>
      <c r="B1097" s="8" t="s">
        <v>3445</v>
      </c>
      <c r="C1097" s="8" t="s">
        <v>3708</v>
      </c>
      <c r="D1097" s="8" t="s">
        <v>16</v>
      </c>
      <c r="E1097" s="8" t="s">
        <v>17</v>
      </c>
      <c r="F1097" s="9">
        <v>46032.0</v>
      </c>
      <c r="G1097" s="8" t="s">
        <v>3709</v>
      </c>
      <c r="H1097" s="8" t="s">
        <v>3710</v>
      </c>
      <c r="I1097" s="8" t="s">
        <v>3711</v>
      </c>
      <c r="J1097" s="8" t="s">
        <v>3712</v>
      </c>
    </row>
    <row r="1098">
      <c r="A1098" s="7">
        <v>2.0028877E7</v>
      </c>
      <c r="B1098" s="8" t="s">
        <v>3445</v>
      </c>
      <c r="C1098" s="8" t="s">
        <v>3713</v>
      </c>
      <c r="D1098" s="8" t="s">
        <v>16</v>
      </c>
      <c r="E1098" s="8" t="s">
        <v>17</v>
      </c>
      <c r="F1098" s="9">
        <v>46035.0</v>
      </c>
      <c r="G1098" s="8" t="s">
        <v>29</v>
      </c>
      <c r="H1098" s="8" t="s">
        <v>30</v>
      </c>
      <c r="I1098" s="8" t="s">
        <v>3714</v>
      </c>
      <c r="J1098" s="8" t="s">
        <v>3715</v>
      </c>
    </row>
    <row r="1099">
      <c r="A1099" s="7">
        <v>2.0028294E7</v>
      </c>
      <c r="B1099" s="8" t="s">
        <v>3445</v>
      </c>
      <c r="C1099" s="8" t="s">
        <v>3716</v>
      </c>
      <c r="D1099" s="8" t="s">
        <v>16</v>
      </c>
      <c r="E1099" s="8" t="s">
        <v>17</v>
      </c>
      <c r="F1099" s="9">
        <v>46026.0</v>
      </c>
      <c r="G1099" s="8" t="s">
        <v>1132</v>
      </c>
      <c r="H1099" s="8" t="s">
        <v>1133</v>
      </c>
      <c r="I1099" s="8" t="s">
        <v>3717</v>
      </c>
      <c r="J1099" s="8" t="s">
        <v>3718</v>
      </c>
    </row>
    <row r="1100">
      <c r="A1100" s="7">
        <v>2.0029453E7</v>
      </c>
      <c r="B1100" s="8" t="s">
        <v>3445</v>
      </c>
      <c r="C1100" s="8" t="s">
        <v>3719</v>
      </c>
      <c r="D1100" s="8" t="s">
        <v>16</v>
      </c>
      <c r="E1100" s="8" t="s">
        <v>17</v>
      </c>
      <c r="F1100" s="9">
        <v>46034.0</v>
      </c>
      <c r="G1100" s="8" t="s">
        <v>370</v>
      </c>
      <c r="H1100" s="8" t="s">
        <v>371</v>
      </c>
      <c r="I1100" s="8" t="s">
        <v>3720</v>
      </c>
      <c r="J1100" s="8" t="s">
        <v>3721</v>
      </c>
    </row>
    <row r="1101">
      <c r="A1101" s="7">
        <v>2.0027267E7</v>
      </c>
      <c r="B1101" s="8" t="s">
        <v>3445</v>
      </c>
      <c r="C1101" s="8" t="s">
        <v>3722</v>
      </c>
      <c r="D1101" s="8" t="s">
        <v>16</v>
      </c>
      <c r="E1101" s="8" t="s">
        <v>17</v>
      </c>
      <c r="F1101" s="9">
        <v>46039.0</v>
      </c>
      <c r="G1101" s="8" t="s">
        <v>1638</v>
      </c>
      <c r="H1101" s="8" t="s">
        <v>1639</v>
      </c>
      <c r="I1101" s="8" t="s">
        <v>3723</v>
      </c>
      <c r="J1101" s="8" t="s">
        <v>3724</v>
      </c>
    </row>
    <row r="1102">
      <c r="A1102" s="7">
        <v>2.002767E7</v>
      </c>
      <c r="B1102" s="8" t="s">
        <v>3445</v>
      </c>
      <c r="C1102" s="8" t="s">
        <v>3725</v>
      </c>
      <c r="D1102" s="8" t="s">
        <v>16</v>
      </c>
      <c r="E1102" s="8" t="s">
        <v>17</v>
      </c>
      <c r="F1102" s="9">
        <v>46025.0</v>
      </c>
      <c r="G1102" s="8" t="s">
        <v>91</v>
      </c>
      <c r="H1102" s="8" t="s">
        <v>92</v>
      </c>
      <c r="I1102" s="8" t="s">
        <v>3726</v>
      </c>
      <c r="J1102" s="8"/>
    </row>
    <row r="1103">
      <c r="A1103" s="7">
        <v>2.0028243E7</v>
      </c>
      <c r="B1103" s="8" t="s">
        <v>3445</v>
      </c>
      <c r="C1103" s="8" t="s">
        <v>3727</v>
      </c>
      <c r="D1103" s="8" t="s">
        <v>16</v>
      </c>
      <c r="E1103" s="8" t="s">
        <v>17</v>
      </c>
      <c r="F1103" s="9">
        <v>46056.0</v>
      </c>
      <c r="G1103" s="8" t="s">
        <v>158</v>
      </c>
      <c r="H1103" s="8" t="s">
        <v>159</v>
      </c>
      <c r="I1103" s="8" t="s">
        <v>3728</v>
      </c>
      <c r="J1103" s="8" t="s">
        <v>3729</v>
      </c>
    </row>
    <row r="1104">
      <c r="A1104" s="7">
        <v>2.0028894E7</v>
      </c>
      <c r="B1104" s="8" t="s">
        <v>3445</v>
      </c>
      <c r="C1104" s="8" t="s">
        <v>3730</v>
      </c>
      <c r="D1104" s="8" t="s">
        <v>16</v>
      </c>
      <c r="E1104" s="8" t="s">
        <v>17</v>
      </c>
      <c r="F1104" s="9">
        <v>46026.0</v>
      </c>
      <c r="G1104" s="8" t="s">
        <v>59</v>
      </c>
      <c r="H1104" s="8" t="s">
        <v>60</v>
      </c>
      <c r="I1104" s="8" t="s">
        <v>3731</v>
      </c>
      <c r="J1104" s="8" t="s">
        <v>3732</v>
      </c>
    </row>
    <row r="1105">
      <c r="A1105" s="7">
        <v>2.0025501E7</v>
      </c>
      <c r="B1105" s="8" t="s">
        <v>3445</v>
      </c>
      <c r="C1105" s="8" t="s">
        <v>3733</v>
      </c>
      <c r="D1105" s="8" t="s">
        <v>16</v>
      </c>
      <c r="E1105" s="8" t="s">
        <v>17</v>
      </c>
      <c r="F1105" s="9">
        <v>46039.0</v>
      </c>
      <c r="G1105" s="8" t="s">
        <v>262</v>
      </c>
      <c r="H1105" s="8" t="s">
        <v>263</v>
      </c>
      <c r="I1105" s="8" t="s">
        <v>3734</v>
      </c>
      <c r="J1105" s="8" t="s">
        <v>3735</v>
      </c>
    </row>
    <row r="1106">
      <c r="A1106" s="7">
        <v>2.0026277E7</v>
      </c>
      <c r="B1106" s="8" t="s">
        <v>3445</v>
      </c>
      <c r="C1106" s="8" t="s">
        <v>3736</v>
      </c>
      <c r="D1106" s="8" t="s">
        <v>16</v>
      </c>
      <c r="E1106" s="8" t="s">
        <v>17</v>
      </c>
      <c r="F1106" s="9">
        <v>46033.0</v>
      </c>
      <c r="G1106" s="8" t="s">
        <v>282</v>
      </c>
      <c r="H1106" s="8" t="s">
        <v>71</v>
      </c>
      <c r="I1106" s="8" t="s">
        <v>3737</v>
      </c>
      <c r="J1106" s="8"/>
    </row>
    <row r="1107">
      <c r="A1107" s="7">
        <v>2.0026277E7</v>
      </c>
      <c r="B1107" s="8" t="s">
        <v>3445</v>
      </c>
      <c r="C1107" s="8" t="s">
        <v>3736</v>
      </c>
      <c r="D1107" s="8" t="s">
        <v>16</v>
      </c>
      <c r="E1107" s="8" t="s">
        <v>17</v>
      </c>
      <c r="F1107" s="9">
        <v>46033.0</v>
      </c>
      <c r="G1107" s="8" t="s">
        <v>282</v>
      </c>
      <c r="H1107" s="8" t="s">
        <v>71</v>
      </c>
      <c r="I1107" s="8" t="s">
        <v>3738</v>
      </c>
      <c r="J1107" s="8" t="s">
        <v>3739</v>
      </c>
    </row>
    <row r="1108">
      <c r="A1108" s="7">
        <v>2.002905E7</v>
      </c>
      <c r="B1108" s="8" t="s">
        <v>3445</v>
      </c>
      <c r="C1108" s="8" t="s">
        <v>3740</v>
      </c>
      <c r="D1108" s="8" t="s">
        <v>16</v>
      </c>
      <c r="E1108" s="8" t="s">
        <v>17</v>
      </c>
      <c r="F1108" s="9">
        <v>46038.0</v>
      </c>
      <c r="G1108" s="8" t="s">
        <v>158</v>
      </c>
      <c r="H1108" s="8" t="s">
        <v>159</v>
      </c>
      <c r="I1108" s="8" t="s">
        <v>3741</v>
      </c>
      <c r="J1108" s="8" t="s">
        <v>3742</v>
      </c>
    </row>
    <row r="1109">
      <c r="A1109" s="7">
        <v>2.002854E7</v>
      </c>
      <c r="B1109" s="8" t="s">
        <v>3445</v>
      </c>
      <c r="C1109" s="8" t="s">
        <v>3743</v>
      </c>
      <c r="D1109" s="8" t="s">
        <v>16</v>
      </c>
      <c r="E1109" s="8" t="s">
        <v>17</v>
      </c>
      <c r="F1109" s="9">
        <v>46025.0</v>
      </c>
      <c r="G1109" s="8" t="s">
        <v>234</v>
      </c>
      <c r="H1109" s="8" t="s">
        <v>235</v>
      </c>
      <c r="I1109" s="8" t="s">
        <v>3744</v>
      </c>
      <c r="J1109" s="8" t="s">
        <v>3745</v>
      </c>
    </row>
    <row r="1110">
      <c r="A1110" s="7">
        <v>2.002865E7</v>
      </c>
      <c r="B1110" s="8" t="s">
        <v>3445</v>
      </c>
      <c r="C1110" s="8" t="s">
        <v>3746</v>
      </c>
      <c r="D1110" s="8" t="s">
        <v>16</v>
      </c>
      <c r="E1110" s="8" t="s">
        <v>17</v>
      </c>
      <c r="F1110" s="9">
        <v>46054.0</v>
      </c>
      <c r="G1110" s="8" t="s">
        <v>654</v>
      </c>
      <c r="H1110" s="8" t="s">
        <v>655</v>
      </c>
      <c r="I1110" s="8" t="s">
        <v>3747</v>
      </c>
      <c r="J1110" s="8" t="s">
        <v>3748</v>
      </c>
    </row>
    <row r="1111">
      <c r="A1111" s="7">
        <v>2.0027624E7</v>
      </c>
      <c r="B1111" s="8" t="s">
        <v>3445</v>
      </c>
      <c r="C1111" s="8" t="s">
        <v>3749</v>
      </c>
      <c r="D1111" s="8" t="s">
        <v>16</v>
      </c>
      <c r="E1111" s="8" t="s">
        <v>3750</v>
      </c>
      <c r="F1111" s="9">
        <v>46047.0</v>
      </c>
      <c r="G1111" s="8" t="s">
        <v>3418</v>
      </c>
      <c r="H1111" s="8" t="s">
        <v>2622</v>
      </c>
      <c r="I1111" s="8" t="s">
        <v>3751</v>
      </c>
      <c r="J1111" s="8" t="s">
        <v>3752</v>
      </c>
    </row>
    <row r="1112">
      <c r="A1112" s="7">
        <v>2.0026788E7</v>
      </c>
      <c r="B1112" s="8" t="s">
        <v>3445</v>
      </c>
      <c r="C1112" s="8" t="s">
        <v>3753</v>
      </c>
      <c r="D1112" s="8" t="s">
        <v>16</v>
      </c>
      <c r="E1112" s="8" t="s">
        <v>17</v>
      </c>
      <c r="F1112" s="9">
        <v>46037.0</v>
      </c>
      <c r="G1112" s="8" t="s">
        <v>29</v>
      </c>
      <c r="H1112" s="8" t="s">
        <v>30</v>
      </c>
      <c r="I1112" s="8" t="s">
        <v>3754</v>
      </c>
      <c r="J1112" s="8" t="s">
        <v>3755</v>
      </c>
    </row>
    <row r="1113">
      <c r="A1113" s="7">
        <v>2.0026657E7</v>
      </c>
      <c r="B1113" s="8" t="s">
        <v>3445</v>
      </c>
      <c r="C1113" s="8" t="s">
        <v>3756</v>
      </c>
      <c r="D1113" s="8" t="s">
        <v>16</v>
      </c>
      <c r="E1113" s="8" t="s">
        <v>17</v>
      </c>
      <c r="F1113" s="9">
        <v>46025.0</v>
      </c>
      <c r="G1113" s="8" t="s">
        <v>59</v>
      </c>
      <c r="H1113" s="8" t="s">
        <v>60</v>
      </c>
      <c r="I1113" s="8" t="s">
        <v>3757</v>
      </c>
      <c r="J1113" s="8" t="s">
        <v>3758</v>
      </c>
    </row>
    <row r="1114">
      <c r="A1114" s="7">
        <v>2.0026365E7</v>
      </c>
      <c r="B1114" s="8" t="s">
        <v>3445</v>
      </c>
      <c r="C1114" s="8" t="s">
        <v>3759</v>
      </c>
      <c r="D1114" s="8" t="s">
        <v>16</v>
      </c>
      <c r="E1114" s="8" t="s">
        <v>17</v>
      </c>
      <c r="F1114" s="9">
        <v>46036.0</v>
      </c>
      <c r="G1114" s="8" t="s">
        <v>3760</v>
      </c>
      <c r="H1114" s="8" t="s">
        <v>3761</v>
      </c>
      <c r="I1114" s="8" t="s">
        <v>3762</v>
      </c>
      <c r="J1114" s="8" t="s">
        <v>3763</v>
      </c>
    </row>
    <row r="1115">
      <c r="A1115" s="7">
        <v>2.0027739E7</v>
      </c>
      <c r="B1115" s="8" t="s">
        <v>3445</v>
      </c>
      <c r="C1115" s="8" t="s">
        <v>3764</v>
      </c>
      <c r="D1115" s="8" t="s">
        <v>16</v>
      </c>
      <c r="E1115" s="8" t="s">
        <v>17</v>
      </c>
      <c r="F1115" s="9">
        <v>46034.0</v>
      </c>
      <c r="G1115" s="8" t="s">
        <v>688</v>
      </c>
      <c r="H1115" s="8" t="s">
        <v>689</v>
      </c>
      <c r="I1115" s="8" t="s">
        <v>3765</v>
      </c>
      <c r="J1115" s="8" t="s">
        <v>3766</v>
      </c>
    </row>
    <row r="1116">
      <c r="A1116" s="7">
        <v>2.0027609E7</v>
      </c>
      <c r="B1116" s="8" t="s">
        <v>3445</v>
      </c>
      <c r="C1116" s="8" t="s">
        <v>3767</v>
      </c>
      <c r="D1116" s="8" t="s">
        <v>16</v>
      </c>
      <c r="E1116" s="8" t="s">
        <v>17</v>
      </c>
      <c r="F1116" s="9">
        <v>46024.0</v>
      </c>
      <c r="G1116" s="8" t="s">
        <v>184</v>
      </c>
      <c r="H1116" s="8" t="s">
        <v>185</v>
      </c>
      <c r="I1116" s="8" t="s">
        <v>3768</v>
      </c>
      <c r="J1116" s="8" t="s">
        <v>3769</v>
      </c>
    </row>
    <row r="1117">
      <c r="A1117" s="7">
        <v>2.0020138E7</v>
      </c>
      <c r="B1117" s="8" t="s">
        <v>3445</v>
      </c>
      <c r="C1117" s="8" t="s">
        <v>3770</v>
      </c>
      <c r="D1117" s="8" t="s">
        <v>16</v>
      </c>
      <c r="E1117" s="8" t="s">
        <v>17</v>
      </c>
      <c r="F1117" s="9">
        <v>46032.0</v>
      </c>
      <c r="G1117" s="8" t="s">
        <v>3771</v>
      </c>
      <c r="H1117" s="8" t="s">
        <v>3772</v>
      </c>
      <c r="I1117" s="8" t="s">
        <v>3773</v>
      </c>
      <c r="J1117" s="8" t="s">
        <v>3774</v>
      </c>
    </row>
    <row r="1118">
      <c r="A1118" s="7">
        <v>2.0023864E7</v>
      </c>
      <c r="B1118" s="8" t="s">
        <v>3445</v>
      </c>
      <c r="C1118" s="8" t="s">
        <v>3775</v>
      </c>
      <c r="D1118" s="8" t="s">
        <v>16</v>
      </c>
      <c r="E1118" s="8" t="s">
        <v>17</v>
      </c>
      <c r="F1118" s="9">
        <v>46025.0</v>
      </c>
      <c r="G1118" s="8" t="s">
        <v>3776</v>
      </c>
      <c r="H1118" s="8" t="s">
        <v>3777</v>
      </c>
      <c r="I1118" s="8" t="s">
        <v>3778</v>
      </c>
      <c r="J1118" s="8" t="s">
        <v>3779</v>
      </c>
    </row>
    <row r="1119">
      <c r="A1119" s="7">
        <v>2.0027591E7</v>
      </c>
      <c r="B1119" s="8" t="s">
        <v>3445</v>
      </c>
      <c r="C1119" s="8" t="s">
        <v>3780</v>
      </c>
      <c r="D1119" s="8" t="s">
        <v>16</v>
      </c>
      <c r="E1119" s="8" t="s">
        <v>48</v>
      </c>
      <c r="F1119" s="9">
        <v>46056.0</v>
      </c>
      <c r="G1119" s="8" t="s">
        <v>18</v>
      </c>
      <c r="H1119" s="8" t="s">
        <v>19</v>
      </c>
      <c r="I1119" s="8" t="s">
        <v>3781</v>
      </c>
      <c r="J1119" s="8" t="s">
        <v>3782</v>
      </c>
    </row>
    <row r="1120">
      <c r="A1120" s="7">
        <v>2.0027007E7</v>
      </c>
      <c r="B1120" s="8" t="s">
        <v>3445</v>
      </c>
      <c r="C1120" s="8" t="s">
        <v>3783</v>
      </c>
      <c r="D1120" s="8" t="s">
        <v>16</v>
      </c>
      <c r="E1120" s="8" t="s">
        <v>17</v>
      </c>
      <c r="F1120" s="9">
        <v>46025.0</v>
      </c>
      <c r="G1120" s="8" t="s">
        <v>171</v>
      </c>
      <c r="H1120" s="8" t="s">
        <v>172</v>
      </c>
      <c r="I1120" s="8" t="s">
        <v>3784</v>
      </c>
      <c r="J1120" s="8" t="s">
        <v>3785</v>
      </c>
    </row>
    <row r="1121">
      <c r="A1121" s="7">
        <v>2.0026597E7</v>
      </c>
      <c r="B1121" s="8" t="s">
        <v>3445</v>
      </c>
      <c r="C1121" s="8" t="s">
        <v>3786</v>
      </c>
      <c r="D1121" s="8" t="s">
        <v>16</v>
      </c>
      <c r="E1121" s="8" t="s">
        <v>17</v>
      </c>
      <c r="F1121" s="9">
        <v>46048.0</v>
      </c>
      <c r="G1121" s="8" t="s">
        <v>3787</v>
      </c>
      <c r="H1121" s="8" t="s">
        <v>50</v>
      </c>
      <c r="I1121" s="8" t="s">
        <v>3788</v>
      </c>
      <c r="J1121" s="8" t="s">
        <v>3789</v>
      </c>
    </row>
    <row r="1122">
      <c r="A1122" s="7">
        <v>2.0024407E7</v>
      </c>
      <c r="B1122" s="8" t="s">
        <v>3445</v>
      </c>
      <c r="C1122" s="8" t="s">
        <v>3790</v>
      </c>
      <c r="D1122" s="8" t="s">
        <v>16</v>
      </c>
      <c r="E1122" s="8" t="s">
        <v>17</v>
      </c>
      <c r="F1122" s="9">
        <v>46026.0</v>
      </c>
      <c r="G1122" s="8" t="s">
        <v>171</v>
      </c>
      <c r="H1122" s="8" t="s">
        <v>172</v>
      </c>
      <c r="I1122" s="8" t="s">
        <v>3791</v>
      </c>
      <c r="J1122" s="8" t="s">
        <v>3792</v>
      </c>
    </row>
    <row r="1123">
      <c r="A1123" s="7">
        <v>2.0024391E7</v>
      </c>
      <c r="B1123" s="8" t="s">
        <v>3445</v>
      </c>
      <c r="C1123" s="8" t="s">
        <v>3793</v>
      </c>
      <c r="D1123" s="8" t="s">
        <v>16</v>
      </c>
      <c r="E1123" s="8" t="s">
        <v>17</v>
      </c>
      <c r="F1123" s="9">
        <v>46026.0</v>
      </c>
      <c r="G1123" s="8" t="s">
        <v>158</v>
      </c>
      <c r="H1123" s="8" t="s">
        <v>159</v>
      </c>
      <c r="I1123" s="8" t="s">
        <v>3794</v>
      </c>
      <c r="J1123" s="8" t="s">
        <v>3795</v>
      </c>
    </row>
    <row r="1124">
      <c r="A1124" s="7">
        <v>2.001909E7</v>
      </c>
      <c r="B1124" s="8" t="s">
        <v>3445</v>
      </c>
      <c r="C1124" s="8" t="s">
        <v>3796</v>
      </c>
      <c r="D1124" s="8" t="s">
        <v>16</v>
      </c>
      <c r="E1124" s="8" t="s">
        <v>17</v>
      </c>
      <c r="F1124" s="9">
        <v>46048.0</v>
      </c>
      <c r="G1124" s="8" t="s">
        <v>3797</v>
      </c>
      <c r="H1124" s="8" t="s">
        <v>3410</v>
      </c>
      <c r="I1124" s="8" t="s">
        <v>3798</v>
      </c>
      <c r="J1124" s="8" t="s">
        <v>3799</v>
      </c>
    </row>
    <row r="1125">
      <c r="A1125" s="7">
        <v>2.001909E7</v>
      </c>
      <c r="B1125" s="8" t="s">
        <v>3445</v>
      </c>
      <c r="C1125" s="8" t="s">
        <v>3796</v>
      </c>
      <c r="D1125" s="8" t="s">
        <v>16</v>
      </c>
      <c r="E1125" s="8" t="s">
        <v>17</v>
      </c>
      <c r="F1125" s="9">
        <v>46048.0</v>
      </c>
      <c r="G1125" s="8" t="s">
        <v>1012</v>
      </c>
      <c r="H1125" s="8" t="s">
        <v>1013</v>
      </c>
      <c r="I1125" s="8" t="s">
        <v>3800</v>
      </c>
      <c r="J1125" s="8" t="s">
        <v>3801</v>
      </c>
    </row>
    <row r="1126">
      <c r="A1126" s="7">
        <v>2.0066353E7</v>
      </c>
      <c r="B1126" s="8" t="s">
        <v>1988</v>
      </c>
      <c r="C1126" s="8" t="s">
        <v>3802</v>
      </c>
      <c r="D1126" s="8" t="s">
        <v>16</v>
      </c>
      <c r="E1126" s="8" t="s">
        <v>17</v>
      </c>
      <c r="F1126" s="9">
        <v>46193.0</v>
      </c>
      <c r="G1126" s="8" t="s">
        <v>454</v>
      </c>
      <c r="H1126" s="8" t="s">
        <v>455</v>
      </c>
      <c r="I1126" s="8" t="s">
        <v>3803</v>
      </c>
      <c r="J1126" s="8" t="s">
        <v>3804</v>
      </c>
    </row>
    <row r="1127">
      <c r="A1127" s="7">
        <v>2.0047525E7</v>
      </c>
      <c r="B1127" s="8" t="s">
        <v>1988</v>
      </c>
      <c r="C1127" s="8" t="s">
        <v>3805</v>
      </c>
      <c r="D1127" s="8" t="s">
        <v>16</v>
      </c>
      <c r="E1127" s="8" t="s">
        <v>17</v>
      </c>
      <c r="F1127" s="9">
        <v>46100.0</v>
      </c>
      <c r="G1127" s="8" t="s">
        <v>805</v>
      </c>
      <c r="H1127" s="8" t="s">
        <v>806</v>
      </c>
      <c r="I1127" s="8" t="s">
        <v>3806</v>
      </c>
      <c r="J1127" s="8" t="s">
        <v>3807</v>
      </c>
    </row>
    <row r="1128">
      <c r="A1128" s="7">
        <v>2.0044471E7</v>
      </c>
      <c r="B1128" s="8" t="s">
        <v>1988</v>
      </c>
      <c r="C1128" s="8" t="s">
        <v>3808</v>
      </c>
      <c r="D1128" s="8" t="s">
        <v>16</v>
      </c>
      <c r="E1128" s="8" t="s">
        <v>17</v>
      </c>
      <c r="F1128" s="9">
        <v>46102.0</v>
      </c>
      <c r="G1128" s="8" t="s">
        <v>390</v>
      </c>
      <c r="H1128" s="8" t="s">
        <v>391</v>
      </c>
      <c r="I1128" s="8" t="s">
        <v>3809</v>
      </c>
      <c r="J1128" s="8" t="s">
        <v>3810</v>
      </c>
    </row>
    <row r="1129">
      <c r="A1129" s="7">
        <v>2.0039513E7</v>
      </c>
      <c r="B1129" s="8" t="s">
        <v>1988</v>
      </c>
      <c r="C1129" s="8" t="s">
        <v>3811</v>
      </c>
      <c r="D1129" s="8" t="s">
        <v>16</v>
      </c>
      <c r="E1129" s="8" t="s">
        <v>17</v>
      </c>
      <c r="F1129" s="9">
        <v>46078.0</v>
      </c>
      <c r="G1129" s="8" t="s">
        <v>3812</v>
      </c>
      <c r="H1129" s="8" t="s">
        <v>3813</v>
      </c>
      <c r="I1129" s="8" t="s">
        <v>3814</v>
      </c>
      <c r="J1129" s="8" t="s">
        <v>3815</v>
      </c>
    </row>
    <row r="1130">
      <c r="A1130" s="7">
        <v>2.0039513E7</v>
      </c>
      <c r="B1130" s="8" t="s">
        <v>1988</v>
      </c>
      <c r="C1130" s="8" t="s">
        <v>3811</v>
      </c>
      <c r="D1130" s="8" t="s">
        <v>16</v>
      </c>
      <c r="E1130" s="8" t="s">
        <v>17</v>
      </c>
      <c r="F1130" s="9">
        <v>46078.0</v>
      </c>
      <c r="G1130" s="8" t="s">
        <v>3812</v>
      </c>
      <c r="H1130" s="8" t="s">
        <v>3813</v>
      </c>
      <c r="I1130" s="8" t="s">
        <v>3816</v>
      </c>
      <c r="J1130" s="8" t="s">
        <v>3815</v>
      </c>
    </row>
    <row r="1131">
      <c r="A1131" s="7">
        <v>2.0023869E7</v>
      </c>
      <c r="B1131" s="8" t="s">
        <v>1988</v>
      </c>
      <c r="C1131" s="8" t="s">
        <v>3817</v>
      </c>
      <c r="D1131" s="8" t="s">
        <v>16</v>
      </c>
      <c r="E1131" s="8" t="s">
        <v>17</v>
      </c>
      <c r="F1131" s="9">
        <v>46054.0</v>
      </c>
      <c r="G1131" s="8" t="s">
        <v>3818</v>
      </c>
      <c r="H1131" s="8" t="s">
        <v>3819</v>
      </c>
      <c r="I1131" s="8" t="s">
        <v>3820</v>
      </c>
      <c r="J1131" s="8" t="s">
        <v>3821</v>
      </c>
    </row>
    <row r="1132">
      <c r="A1132" s="7">
        <v>2.0031013E7</v>
      </c>
      <c r="B1132" s="8" t="s">
        <v>1988</v>
      </c>
      <c r="C1132" s="8" t="s">
        <v>3822</v>
      </c>
      <c r="D1132" s="8" t="s">
        <v>16</v>
      </c>
      <c r="E1132" s="8" t="s">
        <v>17</v>
      </c>
      <c r="F1132" s="9">
        <v>46054.0</v>
      </c>
      <c r="G1132" s="8" t="s">
        <v>158</v>
      </c>
      <c r="H1132" s="8" t="s">
        <v>159</v>
      </c>
      <c r="I1132" s="8" t="s">
        <v>3823</v>
      </c>
      <c r="J1132" s="8"/>
    </row>
    <row r="1133">
      <c r="A1133" s="7">
        <v>2.0023842E7</v>
      </c>
      <c r="B1133" s="8" t="s">
        <v>1988</v>
      </c>
      <c r="C1133" s="8" t="s">
        <v>3824</v>
      </c>
      <c r="D1133" s="8" t="s">
        <v>16</v>
      </c>
      <c r="E1133" s="8" t="s">
        <v>17</v>
      </c>
      <c r="F1133" s="9">
        <v>46047.0</v>
      </c>
      <c r="G1133" s="8" t="s">
        <v>423</v>
      </c>
      <c r="H1133" s="8" t="s">
        <v>424</v>
      </c>
      <c r="I1133" s="8" t="s">
        <v>3825</v>
      </c>
      <c r="J1133" s="8" t="s">
        <v>3826</v>
      </c>
    </row>
    <row r="1134">
      <c r="A1134" s="7">
        <v>2.0029397E7</v>
      </c>
      <c r="B1134" s="8" t="s">
        <v>1988</v>
      </c>
      <c r="C1134" s="8" t="s">
        <v>3827</v>
      </c>
      <c r="D1134" s="8" t="s">
        <v>16</v>
      </c>
      <c r="E1134" s="8" t="s">
        <v>17</v>
      </c>
      <c r="F1134" s="9">
        <v>46054.0</v>
      </c>
      <c r="G1134" s="8" t="s">
        <v>1280</v>
      </c>
      <c r="H1134" s="8" t="s">
        <v>1281</v>
      </c>
      <c r="I1134" s="8" t="s">
        <v>3828</v>
      </c>
      <c r="J1134" s="8" t="s">
        <v>3829</v>
      </c>
    </row>
    <row r="1135">
      <c r="A1135" s="7">
        <v>2.0032534E7</v>
      </c>
      <c r="B1135" s="8" t="s">
        <v>1988</v>
      </c>
      <c r="C1135" s="8" t="s">
        <v>3830</v>
      </c>
      <c r="D1135" s="8" t="s">
        <v>16</v>
      </c>
      <c r="E1135" s="8" t="s">
        <v>17</v>
      </c>
      <c r="F1135" s="9">
        <v>46049.0</v>
      </c>
      <c r="G1135" s="8" t="s">
        <v>436</v>
      </c>
      <c r="H1135" s="8" t="s">
        <v>437</v>
      </c>
      <c r="I1135" s="8" t="s">
        <v>3831</v>
      </c>
      <c r="J1135" s="8" t="s">
        <v>3832</v>
      </c>
    </row>
    <row r="1136">
      <c r="A1136" s="7">
        <v>2.0030527E7</v>
      </c>
      <c r="B1136" s="8" t="s">
        <v>1988</v>
      </c>
      <c r="C1136" s="8" t="s">
        <v>3833</v>
      </c>
      <c r="D1136" s="8" t="s">
        <v>16</v>
      </c>
      <c r="E1136" s="8" t="s">
        <v>17</v>
      </c>
      <c r="F1136" s="9">
        <v>46041.0</v>
      </c>
      <c r="G1136" s="8" t="s">
        <v>234</v>
      </c>
      <c r="H1136" s="8" t="s">
        <v>235</v>
      </c>
      <c r="I1136" s="8" t="s">
        <v>3834</v>
      </c>
      <c r="J1136" s="8" t="s">
        <v>3835</v>
      </c>
    </row>
    <row r="1137">
      <c r="A1137" s="7">
        <v>2.0031285E7</v>
      </c>
      <c r="B1137" s="8" t="s">
        <v>1988</v>
      </c>
      <c r="C1137" s="8" t="s">
        <v>3836</v>
      </c>
      <c r="D1137" s="8" t="s">
        <v>16</v>
      </c>
      <c r="E1137" s="8" t="s">
        <v>17</v>
      </c>
      <c r="F1137" s="9">
        <v>46033.0</v>
      </c>
      <c r="G1137" s="8" t="s">
        <v>3837</v>
      </c>
      <c r="H1137" s="8" t="s">
        <v>3838</v>
      </c>
      <c r="I1137" s="8" t="s">
        <v>3839</v>
      </c>
      <c r="J1137" s="8" t="s">
        <v>3840</v>
      </c>
    </row>
    <row r="1138">
      <c r="A1138" s="7">
        <v>2.0031557E7</v>
      </c>
      <c r="B1138" s="8" t="s">
        <v>1988</v>
      </c>
      <c r="C1138" s="8" t="s">
        <v>3841</v>
      </c>
      <c r="D1138" s="8" t="s">
        <v>16</v>
      </c>
      <c r="E1138" s="8" t="s">
        <v>17</v>
      </c>
      <c r="F1138" s="9">
        <v>46056.0</v>
      </c>
      <c r="G1138" s="8" t="s">
        <v>1627</v>
      </c>
      <c r="H1138" s="8" t="s">
        <v>1628</v>
      </c>
      <c r="I1138" s="8" t="s">
        <v>3842</v>
      </c>
      <c r="J1138" s="8" t="s">
        <v>3843</v>
      </c>
    </row>
    <row r="1139">
      <c r="A1139" s="7">
        <v>2.0031174E7</v>
      </c>
      <c r="B1139" s="8" t="s">
        <v>1988</v>
      </c>
      <c r="C1139" s="8" t="s">
        <v>3844</v>
      </c>
      <c r="D1139" s="8" t="s">
        <v>16</v>
      </c>
      <c r="E1139" s="8" t="s">
        <v>17</v>
      </c>
      <c r="F1139" s="9">
        <v>46047.0</v>
      </c>
      <c r="G1139" s="8" t="s">
        <v>390</v>
      </c>
      <c r="H1139" s="8" t="s">
        <v>391</v>
      </c>
      <c r="I1139" s="8" t="s">
        <v>3845</v>
      </c>
      <c r="J1139" s="8" t="s">
        <v>3846</v>
      </c>
    </row>
    <row r="1140">
      <c r="A1140" s="7">
        <v>2.0031986E7</v>
      </c>
      <c r="B1140" s="8" t="s">
        <v>1988</v>
      </c>
      <c r="C1140" s="8" t="s">
        <v>3847</v>
      </c>
      <c r="D1140" s="8" t="s">
        <v>16</v>
      </c>
      <c r="E1140" s="8" t="s">
        <v>17</v>
      </c>
      <c r="F1140" s="9">
        <v>46046.0</v>
      </c>
      <c r="G1140" s="8" t="s">
        <v>2632</v>
      </c>
      <c r="H1140" s="8" t="s">
        <v>2633</v>
      </c>
      <c r="I1140" s="8" t="s">
        <v>3848</v>
      </c>
      <c r="J1140" s="8" t="s">
        <v>3849</v>
      </c>
    </row>
    <row r="1141">
      <c r="A1141" s="7">
        <v>2.0031006E7</v>
      </c>
      <c r="B1141" s="8" t="s">
        <v>1988</v>
      </c>
      <c r="C1141" s="8" t="s">
        <v>3850</v>
      </c>
      <c r="D1141" s="8" t="s">
        <v>16</v>
      </c>
      <c r="E1141" s="8" t="s">
        <v>17</v>
      </c>
      <c r="F1141" s="9">
        <v>46054.0</v>
      </c>
      <c r="G1141" s="8" t="s">
        <v>436</v>
      </c>
      <c r="H1141" s="8" t="s">
        <v>437</v>
      </c>
      <c r="I1141" s="8" t="s">
        <v>3851</v>
      </c>
      <c r="J1141" s="8" t="s">
        <v>3852</v>
      </c>
    </row>
    <row r="1142">
      <c r="A1142" s="7">
        <v>2.0030821E7</v>
      </c>
      <c r="B1142" s="8" t="s">
        <v>1988</v>
      </c>
      <c r="C1142" s="8" t="s">
        <v>3853</v>
      </c>
      <c r="D1142" s="8" t="s">
        <v>16</v>
      </c>
      <c r="E1142" s="8" t="s">
        <v>700</v>
      </c>
      <c r="F1142" s="9">
        <v>46044.0</v>
      </c>
      <c r="G1142" s="8" t="s">
        <v>91</v>
      </c>
      <c r="H1142" s="8" t="s">
        <v>92</v>
      </c>
      <c r="I1142" s="8" t="s">
        <v>3854</v>
      </c>
      <c r="J1142" s="8" t="s">
        <v>3855</v>
      </c>
    </row>
    <row r="1143">
      <c r="A1143" s="7">
        <v>2.0030821E7</v>
      </c>
      <c r="B1143" s="8" t="s">
        <v>1988</v>
      </c>
      <c r="C1143" s="8" t="s">
        <v>3853</v>
      </c>
      <c r="D1143" s="8" t="s">
        <v>16</v>
      </c>
      <c r="E1143" s="8" t="s">
        <v>700</v>
      </c>
      <c r="F1143" s="9">
        <v>46044.0</v>
      </c>
      <c r="G1143" s="8" t="s">
        <v>91</v>
      </c>
      <c r="H1143" s="8" t="s">
        <v>92</v>
      </c>
      <c r="I1143" s="8" t="s">
        <v>3856</v>
      </c>
      <c r="J1143" s="8" t="s">
        <v>3854</v>
      </c>
    </row>
    <row r="1144">
      <c r="A1144" s="7">
        <v>2.0030821E7</v>
      </c>
      <c r="B1144" s="8" t="s">
        <v>1988</v>
      </c>
      <c r="C1144" s="8" t="s">
        <v>3853</v>
      </c>
      <c r="D1144" s="8" t="s">
        <v>16</v>
      </c>
      <c r="E1144" s="8" t="s">
        <v>700</v>
      </c>
      <c r="F1144" s="9">
        <v>46044.0</v>
      </c>
      <c r="G1144" s="8" t="s">
        <v>91</v>
      </c>
      <c r="H1144" s="8" t="s">
        <v>92</v>
      </c>
      <c r="I1144" s="8" t="s">
        <v>3857</v>
      </c>
      <c r="J1144" s="8" t="s">
        <v>3855</v>
      </c>
    </row>
    <row r="1145">
      <c r="A1145" s="7">
        <v>2.0029396E7</v>
      </c>
      <c r="B1145" s="8" t="s">
        <v>1988</v>
      </c>
      <c r="C1145" s="8" t="s">
        <v>3858</v>
      </c>
      <c r="D1145" s="8" t="s">
        <v>16</v>
      </c>
      <c r="E1145" s="8" t="s">
        <v>17</v>
      </c>
      <c r="F1145" s="9">
        <v>46032.0</v>
      </c>
      <c r="G1145" s="8" t="s">
        <v>54</v>
      </c>
      <c r="H1145" s="8" t="s">
        <v>55</v>
      </c>
      <c r="I1145" s="8" t="s">
        <v>3859</v>
      </c>
      <c r="J1145" s="8" t="s">
        <v>3860</v>
      </c>
    </row>
    <row r="1146">
      <c r="A1146" s="7">
        <v>2.0031163E7</v>
      </c>
      <c r="B1146" s="8" t="s">
        <v>1988</v>
      </c>
      <c r="C1146" s="8" t="s">
        <v>3861</v>
      </c>
      <c r="D1146" s="8" t="s">
        <v>16</v>
      </c>
      <c r="E1146" s="8" t="s">
        <v>17</v>
      </c>
      <c r="F1146" s="9">
        <v>46046.0</v>
      </c>
      <c r="G1146" s="8" t="s">
        <v>543</v>
      </c>
      <c r="H1146" s="8" t="s">
        <v>544</v>
      </c>
      <c r="I1146" s="8" t="s">
        <v>3862</v>
      </c>
      <c r="J1146" s="8" t="s">
        <v>3863</v>
      </c>
    </row>
    <row r="1147">
      <c r="A1147" s="7">
        <v>2.0028032E7</v>
      </c>
      <c r="B1147" s="8" t="s">
        <v>1988</v>
      </c>
      <c r="C1147" s="8" t="s">
        <v>3864</v>
      </c>
      <c r="D1147" s="8" t="s">
        <v>16</v>
      </c>
      <c r="E1147" s="8" t="s">
        <v>17</v>
      </c>
      <c r="F1147" s="9">
        <v>46037.0</v>
      </c>
      <c r="G1147" s="8" t="s">
        <v>3865</v>
      </c>
      <c r="H1147" s="8" t="s">
        <v>3866</v>
      </c>
      <c r="I1147" s="8" t="s">
        <v>3867</v>
      </c>
      <c r="J1147" s="8" t="s">
        <v>3868</v>
      </c>
    </row>
    <row r="1148">
      <c r="A1148" s="7">
        <v>2.0031198E7</v>
      </c>
      <c r="B1148" s="8" t="s">
        <v>1988</v>
      </c>
      <c r="C1148" s="8" t="s">
        <v>3869</v>
      </c>
      <c r="D1148" s="8" t="s">
        <v>16</v>
      </c>
      <c r="E1148" s="8" t="s">
        <v>17</v>
      </c>
      <c r="F1148" s="9">
        <v>46041.0</v>
      </c>
      <c r="G1148" s="8" t="s">
        <v>184</v>
      </c>
      <c r="H1148" s="8" t="s">
        <v>185</v>
      </c>
      <c r="I1148" s="8" t="s">
        <v>3870</v>
      </c>
      <c r="J1148" s="8" t="s">
        <v>3871</v>
      </c>
    </row>
    <row r="1149">
      <c r="A1149" s="7">
        <v>2.0028831E7</v>
      </c>
      <c r="B1149" s="8" t="s">
        <v>1988</v>
      </c>
      <c r="C1149" s="8" t="s">
        <v>3872</v>
      </c>
      <c r="D1149" s="8" t="s">
        <v>16</v>
      </c>
      <c r="E1149" s="8" t="s">
        <v>17</v>
      </c>
      <c r="F1149" s="9">
        <v>46041.0</v>
      </c>
      <c r="G1149" s="8" t="s">
        <v>805</v>
      </c>
      <c r="H1149" s="8" t="s">
        <v>806</v>
      </c>
      <c r="I1149" s="8" t="s">
        <v>3873</v>
      </c>
      <c r="J1149" s="8" t="s">
        <v>3874</v>
      </c>
    </row>
    <row r="1150">
      <c r="A1150" s="7">
        <v>2.0030133E7</v>
      </c>
      <c r="B1150" s="8" t="s">
        <v>1988</v>
      </c>
      <c r="C1150" s="8" t="s">
        <v>3875</v>
      </c>
      <c r="D1150" s="8" t="s">
        <v>16</v>
      </c>
      <c r="E1150" s="8" t="s">
        <v>17</v>
      </c>
      <c r="F1150" s="9">
        <v>46033.0</v>
      </c>
      <c r="G1150" s="8" t="s">
        <v>75</v>
      </c>
      <c r="H1150" s="8" t="s">
        <v>76</v>
      </c>
      <c r="I1150" s="8" t="s">
        <v>3876</v>
      </c>
      <c r="J1150" s="8" t="s">
        <v>3877</v>
      </c>
    </row>
    <row r="1151">
      <c r="A1151" s="7">
        <v>2.0030472E7</v>
      </c>
      <c r="B1151" s="8" t="s">
        <v>1988</v>
      </c>
      <c r="C1151" s="8" t="s">
        <v>3878</v>
      </c>
      <c r="D1151" s="8" t="s">
        <v>16</v>
      </c>
      <c r="E1151" s="8" t="s">
        <v>17</v>
      </c>
      <c r="F1151" s="9">
        <v>46046.0</v>
      </c>
      <c r="G1151" s="8" t="s">
        <v>1049</v>
      </c>
      <c r="H1151" s="8" t="s">
        <v>1050</v>
      </c>
      <c r="I1151" s="8" t="s">
        <v>3879</v>
      </c>
      <c r="J1151" s="8" t="s">
        <v>3880</v>
      </c>
    </row>
    <row r="1152">
      <c r="A1152" s="7">
        <v>2.0029554E7</v>
      </c>
      <c r="B1152" s="8" t="s">
        <v>1988</v>
      </c>
      <c r="C1152" s="8" t="s">
        <v>3881</v>
      </c>
      <c r="D1152" s="8" t="s">
        <v>16</v>
      </c>
      <c r="E1152" s="8" t="s">
        <v>17</v>
      </c>
      <c r="F1152" s="9">
        <v>46049.0</v>
      </c>
      <c r="G1152" s="8" t="s">
        <v>436</v>
      </c>
      <c r="H1152" s="8" t="s">
        <v>437</v>
      </c>
      <c r="I1152" s="8" t="s">
        <v>3882</v>
      </c>
      <c r="J1152" s="8" t="s">
        <v>3883</v>
      </c>
    </row>
    <row r="1153">
      <c r="A1153" s="7">
        <v>2.002976E7</v>
      </c>
      <c r="B1153" s="8" t="s">
        <v>1988</v>
      </c>
      <c r="C1153" s="8" t="s">
        <v>3884</v>
      </c>
      <c r="D1153" s="8" t="s">
        <v>16</v>
      </c>
      <c r="E1153" s="8" t="s">
        <v>17</v>
      </c>
      <c r="F1153" s="9">
        <v>46038.0</v>
      </c>
      <c r="G1153" s="8" t="s">
        <v>34</v>
      </c>
      <c r="H1153" s="8" t="s">
        <v>35</v>
      </c>
      <c r="I1153" s="8" t="s">
        <v>3885</v>
      </c>
      <c r="J1153" s="8" t="s">
        <v>3886</v>
      </c>
    </row>
    <row r="1154">
      <c r="A1154" s="7">
        <v>2.0029843E7</v>
      </c>
      <c r="B1154" s="8" t="s">
        <v>1988</v>
      </c>
      <c r="C1154" s="8" t="s">
        <v>3887</v>
      </c>
      <c r="D1154" s="8" t="s">
        <v>16</v>
      </c>
      <c r="E1154" s="8" t="s">
        <v>17</v>
      </c>
      <c r="F1154" s="9">
        <v>46038.0</v>
      </c>
      <c r="G1154" s="8" t="s">
        <v>365</v>
      </c>
      <c r="H1154" s="8" t="s">
        <v>366</v>
      </c>
      <c r="I1154" s="8" t="s">
        <v>3888</v>
      </c>
      <c r="J1154" s="8" t="s">
        <v>3889</v>
      </c>
    </row>
    <row r="1155">
      <c r="A1155" s="7">
        <v>2.0030088E7</v>
      </c>
      <c r="B1155" s="8" t="s">
        <v>1988</v>
      </c>
      <c r="C1155" s="8" t="s">
        <v>3890</v>
      </c>
      <c r="D1155" s="8" t="s">
        <v>16</v>
      </c>
      <c r="E1155" s="8" t="s">
        <v>17</v>
      </c>
      <c r="F1155" s="9">
        <v>46044.0</v>
      </c>
      <c r="G1155" s="8" t="s">
        <v>1627</v>
      </c>
      <c r="H1155" s="8" t="s">
        <v>1628</v>
      </c>
      <c r="I1155" s="8" t="s">
        <v>3891</v>
      </c>
      <c r="J1155" s="8" t="s">
        <v>3892</v>
      </c>
    </row>
    <row r="1156">
      <c r="A1156" s="7">
        <v>2.0030374E7</v>
      </c>
      <c r="B1156" s="8" t="s">
        <v>1988</v>
      </c>
      <c r="C1156" s="8" t="s">
        <v>3893</v>
      </c>
      <c r="D1156" s="8" t="s">
        <v>16</v>
      </c>
      <c r="E1156" s="8" t="s">
        <v>17</v>
      </c>
      <c r="F1156" s="9">
        <v>46039.0</v>
      </c>
      <c r="G1156" s="8" t="s">
        <v>3894</v>
      </c>
      <c r="H1156" s="8" t="s">
        <v>3895</v>
      </c>
      <c r="I1156" s="8" t="s">
        <v>3896</v>
      </c>
      <c r="J1156" s="8" t="s">
        <v>3897</v>
      </c>
    </row>
    <row r="1157">
      <c r="A1157" s="7">
        <v>2.002946E7</v>
      </c>
      <c r="B1157" s="8" t="s">
        <v>1988</v>
      </c>
      <c r="C1157" s="8" t="s">
        <v>3898</v>
      </c>
      <c r="D1157" s="8" t="s">
        <v>16</v>
      </c>
      <c r="E1157" s="8" t="s">
        <v>17</v>
      </c>
      <c r="F1157" s="9">
        <v>46042.0</v>
      </c>
      <c r="G1157" s="8" t="s">
        <v>1408</v>
      </c>
      <c r="H1157" s="8" t="s">
        <v>1409</v>
      </c>
      <c r="I1157" s="8" t="s">
        <v>3899</v>
      </c>
      <c r="J1157" s="8" t="s">
        <v>3900</v>
      </c>
    </row>
    <row r="1158">
      <c r="A1158" s="7">
        <v>2.0029023E7</v>
      </c>
      <c r="B1158" s="8" t="s">
        <v>1988</v>
      </c>
      <c r="C1158" s="8" t="s">
        <v>3901</v>
      </c>
      <c r="D1158" s="8" t="s">
        <v>16</v>
      </c>
      <c r="E1158" s="8" t="s">
        <v>17</v>
      </c>
      <c r="F1158" s="9">
        <v>46036.0</v>
      </c>
      <c r="G1158" s="8" t="s">
        <v>1110</v>
      </c>
      <c r="H1158" s="8" t="s">
        <v>1111</v>
      </c>
      <c r="I1158" s="8" t="s">
        <v>3902</v>
      </c>
      <c r="J1158" s="8" t="s">
        <v>3903</v>
      </c>
    </row>
    <row r="1159">
      <c r="A1159" s="7">
        <v>2.0028725E7</v>
      </c>
      <c r="B1159" s="8" t="s">
        <v>1988</v>
      </c>
      <c r="C1159" s="8" t="s">
        <v>3904</v>
      </c>
      <c r="D1159" s="8" t="s">
        <v>16</v>
      </c>
      <c r="E1159" s="8" t="s">
        <v>17</v>
      </c>
      <c r="F1159" s="9">
        <v>46040.0</v>
      </c>
      <c r="G1159" s="8" t="s">
        <v>1627</v>
      </c>
      <c r="H1159" s="8" t="s">
        <v>1628</v>
      </c>
      <c r="I1159" s="8" t="s">
        <v>3905</v>
      </c>
      <c r="J1159" s="8" t="s">
        <v>3906</v>
      </c>
    </row>
    <row r="1160">
      <c r="A1160" s="7">
        <v>2.0029548E7</v>
      </c>
      <c r="B1160" s="8" t="s">
        <v>1988</v>
      </c>
      <c r="C1160" s="8" t="s">
        <v>3907</v>
      </c>
      <c r="D1160" s="8" t="s">
        <v>16</v>
      </c>
      <c r="E1160" s="8" t="s">
        <v>17</v>
      </c>
      <c r="F1160" s="9">
        <v>46042.0</v>
      </c>
      <c r="G1160" s="8" t="s">
        <v>1998</v>
      </c>
      <c r="H1160" s="8" t="s">
        <v>1999</v>
      </c>
      <c r="I1160" s="8" t="s">
        <v>3908</v>
      </c>
      <c r="J1160" s="8" t="s">
        <v>3909</v>
      </c>
    </row>
    <row r="1161">
      <c r="A1161" s="7">
        <v>2.0028844E7</v>
      </c>
      <c r="B1161" s="8" t="s">
        <v>1988</v>
      </c>
      <c r="C1161" s="8" t="s">
        <v>3910</v>
      </c>
      <c r="D1161" s="8" t="s">
        <v>16</v>
      </c>
      <c r="E1161" s="8" t="s">
        <v>17</v>
      </c>
      <c r="F1161" s="9">
        <v>46040.0</v>
      </c>
      <c r="G1161" s="8" t="s">
        <v>390</v>
      </c>
      <c r="H1161" s="8" t="s">
        <v>391</v>
      </c>
      <c r="I1161" s="8" t="s">
        <v>3911</v>
      </c>
      <c r="J1161" s="8" t="s">
        <v>3912</v>
      </c>
    </row>
    <row r="1162">
      <c r="A1162" s="7">
        <v>2.0028904E7</v>
      </c>
      <c r="B1162" s="8" t="s">
        <v>1988</v>
      </c>
      <c r="C1162" s="8" t="s">
        <v>3913</v>
      </c>
      <c r="D1162" s="8" t="s">
        <v>16</v>
      </c>
      <c r="E1162" s="8" t="s">
        <v>17</v>
      </c>
      <c r="F1162" s="9">
        <v>46024.0</v>
      </c>
      <c r="G1162" s="8" t="s">
        <v>365</v>
      </c>
      <c r="H1162" s="8" t="s">
        <v>366</v>
      </c>
      <c r="I1162" s="8" t="s">
        <v>3914</v>
      </c>
      <c r="J1162" s="8" t="s">
        <v>3915</v>
      </c>
    </row>
    <row r="1163">
      <c r="A1163" s="7">
        <v>2.0025137E7</v>
      </c>
      <c r="B1163" s="8" t="s">
        <v>1988</v>
      </c>
      <c r="C1163" s="8" t="s">
        <v>3916</v>
      </c>
      <c r="D1163" s="8" t="s">
        <v>16</v>
      </c>
      <c r="E1163" s="8" t="s">
        <v>17</v>
      </c>
      <c r="F1163" s="9">
        <v>46041.0</v>
      </c>
      <c r="G1163" s="8" t="s">
        <v>3917</v>
      </c>
      <c r="H1163" s="8" t="s">
        <v>3918</v>
      </c>
      <c r="I1163" s="8" t="s">
        <v>3919</v>
      </c>
      <c r="J1163" s="8" t="s">
        <v>3920</v>
      </c>
    </row>
    <row r="1164">
      <c r="A1164" s="7">
        <v>2.0025164E7</v>
      </c>
      <c r="B1164" s="8" t="s">
        <v>1988</v>
      </c>
      <c r="C1164" s="8" t="s">
        <v>3921</v>
      </c>
      <c r="D1164" s="8" t="s">
        <v>16</v>
      </c>
      <c r="E1164" s="8" t="s">
        <v>17</v>
      </c>
      <c r="F1164" s="9">
        <v>46025.0</v>
      </c>
      <c r="G1164" s="8" t="s">
        <v>2625</v>
      </c>
      <c r="H1164" s="8" t="s">
        <v>827</v>
      </c>
      <c r="I1164" s="8" t="s">
        <v>3922</v>
      </c>
      <c r="J1164" s="8" t="s">
        <v>3923</v>
      </c>
    </row>
    <row r="1165">
      <c r="A1165" s="7">
        <v>2.0028129E7</v>
      </c>
      <c r="B1165" s="8" t="s">
        <v>1988</v>
      </c>
      <c r="C1165" s="8" t="s">
        <v>3924</v>
      </c>
      <c r="D1165" s="8" t="s">
        <v>16</v>
      </c>
      <c r="E1165" s="8" t="s">
        <v>17</v>
      </c>
      <c r="F1165" s="9">
        <v>46025.0</v>
      </c>
      <c r="G1165" s="8" t="s">
        <v>365</v>
      </c>
      <c r="H1165" s="8" t="s">
        <v>366</v>
      </c>
      <c r="I1165" s="8" t="s">
        <v>3925</v>
      </c>
      <c r="J1165" s="8" t="s">
        <v>3926</v>
      </c>
    </row>
    <row r="1166">
      <c r="A1166" s="7">
        <v>2.0026086E7</v>
      </c>
      <c r="B1166" s="8" t="s">
        <v>1988</v>
      </c>
      <c r="C1166" s="8" t="s">
        <v>3927</v>
      </c>
      <c r="D1166" s="8" t="s">
        <v>16</v>
      </c>
      <c r="E1166" s="8" t="s">
        <v>17</v>
      </c>
      <c r="F1166" s="9">
        <v>46027.0</v>
      </c>
      <c r="G1166" s="8" t="s">
        <v>978</v>
      </c>
      <c r="H1166" s="8" t="s">
        <v>979</v>
      </c>
      <c r="I1166" s="8" t="s">
        <v>3928</v>
      </c>
      <c r="J1166" s="8" t="s">
        <v>3929</v>
      </c>
    </row>
    <row r="1167">
      <c r="A1167" s="7">
        <v>2.002622E7</v>
      </c>
      <c r="B1167" s="8" t="s">
        <v>1988</v>
      </c>
      <c r="C1167" s="8" t="s">
        <v>3930</v>
      </c>
      <c r="D1167" s="8" t="s">
        <v>16</v>
      </c>
      <c r="E1167" s="8" t="s">
        <v>17</v>
      </c>
      <c r="F1167" s="9">
        <v>46037.0</v>
      </c>
      <c r="G1167" s="8" t="s">
        <v>171</v>
      </c>
      <c r="H1167" s="8" t="s">
        <v>172</v>
      </c>
      <c r="I1167" s="8" t="s">
        <v>3931</v>
      </c>
      <c r="J1167" s="8" t="s">
        <v>3932</v>
      </c>
    </row>
    <row r="1168">
      <c r="A1168" s="7">
        <v>2.002808E7</v>
      </c>
      <c r="B1168" s="8" t="s">
        <v>1988</v>
      </c>
      <c r="C1168" s="8" t="s">
        <v>3933</v>
      </c>
      <c r="D1168" s="8" t="s">
        <v>16</v>
      </c>
      <c r="E1168" s="8" t="s">
        <v>17</v>
      </c>
      <c r="F1168" s="9">
        <v>46029.0</v>
      </c>
      <c r="G1168" s="8" t="s">
        <v>171</v>
      </c>
      <c r="H1168" s="8" t="s">
        <v>172</v>
      </c>
      <c r="I1168" s="8" t="s">
        <v>3934</v>
      </c>
      <c r="J1168" s="8" t="s">
        <v>3935</v>
      </c>
    </row>
    <row r="1169">
      <c r="A1169" s="7">
        <v>2.0027723E7</v>
      </c>
      <c r="B1169" s="8" t="s">
        <v>1988</v>
      </c>
      <c r="C1169" s="8" t="s">
        <v>3936</v>
      </c>
      <c r="D1169" s="8" t="s">
        <v>16</v>
      </c>
      <c r="E1169" s="8" t="s">
        <v>17</v>
      </c>
      <c r="F1169" s="9">
        <v>46031.0</v>
      </c>
      <c r="G1169" s="8" t="s">
        <v>370</v>
      </c>
      <c r="H1169" s="8" t="s">
        <v>371</v>
      </c>
      <c r="I1169" s="8" t="s">
        <v>3937</v>
      </c>
      <c r="J1169" s="8" t="s">
        <v>3938</v>
      </c>
    </row>
    <row r="1170">
      <c r="A1170" s="7">
        <v>2.0014096E7</v>
      </c>
      <c r="B1170" s="8" t="s">
        <v>1988</v>
      </c>
      <c r="C1170" s="8" t="s">
        <v>3939</v>
      </c>
      <c r="D1170" s="8" t="s">
        <v>16</v>
      </c>
      <c r="E1170" s="8" t="s">
        <v>17</v>
      </c>
      <c r="F1170" s="9">
        <v>46028.0</v>
      </c>
      <c r="G1170" s="8" t="s">
        <v>3940</v>
      </c>
      <c r="H1170" s="8" t="s">
        <v>2443</v>
      </c>
      <c r="I1170" s="8" t="s">
        <v>3941</v>
      </c>
      <c r="J1170" s="8" t="s">
        <v>3942</v>
      </c>
    </row>
    <row r="1171">
      <c r="A1171" s="7">
        <v>2.0027084E7</v>
      </c>
      <c r="B1171" s="8" t="s">
        <v>1988</v>
      </c>
      <c r="C1171" s="8" t="s">
        <v>3943</v>
      </c>
      <c r="D1171" s="8" t="s">
        <v>16</v>
      </c>
      <c r="E1171" s="8" t="s">
        <v>17</v>
      </c>
      <c r="F1171" s="9">
        <v>46024.0</v>
      </c>
      <c r="G1171" s="8" t="s">
        <v>64</v>
      </c>
      <c r="H1171" s="8" t="s">
        <v>65</v>
      </c>
      <c r="I1171" s="8" t="s">
        <v>3944</v>
      </c>
      <c r="J1171" s="8"/>
    </row>
    <row r="1172">
      <c r="A1172" s="7">
        <v>2.0015686E7</v>
      </c>
      <c r="B1172" s="8" t="s">
        <v>1988</v>
      </c>
      <c r="C1172" s="8" t="s">
        <v>3945</v>
      </c>
      <c r="D1172" s="8" t="s">
        <v>16</v>
      </c>
      <c r="E1172" s="8" t="s">
        <v>17</v>
      </c>
      <c r="F1172" s="9">
        <v>46027.0</v>
      </c>
      <c r="G1172" s="8" t="s">
        <v>1503</v>
      </c>
      <c r="H1172" s="8" t="s">
        <v>1504</v>
      </c>
      <c r="I1172" s="8" t="s">
        <v>3946</v>
      </c>
      <c r="J1172" s="8" t="s">
        <v>3947</v>
      </c>
    </row>
    <row r="1173">
      <c r="A1173" s="7">
        <v>2.002597E7</v>
      </c>
      <c r="B1173" s="8" t="s">
        <v>1988</v>
      </c>
      <c r="C1173" s="8" t="s">
        <v>3948</v>
      </c>
      <c r="D1173" s="8" t="s">
        <v>16</v>
      </c>
      <c r="E1173" s="8" t="s">
        <v>17</v>
      </c>
      <c r="F1173" s="9">
        <v>46025.0</v>
      </c>
      <c r="G1173" s="8" t="s">
        <v>1049</v>
      </c>
      <c r="H1173" s="8" t="s">
        <v>1050</v>
      </c>
      <c r="I1173" s="8" t="s">
        <v>3949</v>
      </c>
      <c r="J1173" s="8" t="s">
        <v>3950</v>
      </c>
    </row>
    <row r="1174">
      <c r="A1174" s="7">
        <v>2.0024812E7</v>
      </c>
      <c r="B1174" s="8" t="s">
        <v>1988</v>
      </c>
      <c r="C1174" s="8" t="s">
        <v>3951</v>
      </c>
      <c r="D1174" s="8" t="s">
        <v>16</v>
      </c>
      <c r="E1174" s="8" t="s">
        <v>700</v>
      </c>
      <c r="F1174" s="9">
        <v>46042.0</v>
      </c>
      <c r="G1174" s="8" t="s">
        <v>436</v>
      </c>
      <c r="H1174" s="8" t="s">
        <v>437</v>
      </c>
      <c r="I1174" s="8" t="s">
        <v>3952</v>
      </c>
      <c r="J1174" s="8" t="s">
        <v>3953</v>
      </c>
    </row>
    <row r="1175">
      <c r="A1175" s="7">
        <v>2.0024812E7</v>
      </c>
      <c r="B1175" s="8" t="s">
        <v>1988</v>
      </c>
      <c r="C1175" s="8" t="s">
        <v>3951</v>
      </c>
      <c r="D1175" s="8" t="s">
        <v>16</v>
      </c>
      <c r="E1175" s="8" t="s">
        <v>700</v>
      </c>
      <c r="F1175" s="9">
        <v>46042.0</v>
      </c>
      <c r="G1175" s="8" t="s">
        <v>436</v>
      </c>
      <c r="H1175" s="8" t="s">
        <v>437</v>
      </c>
      <c r="I1175" s="8" t="s">
        <v>3954</v>
      </c>
      <c r="J1175" s="8" t="s">
        <v>3953</v>
      </c>
    </row>
    <row r="1176">
      <c r="A1176" s="7">
        <v>2.0020894E7</v>
      </c>
      <c r="B1176" s="8" t="s">
        <v>1988</v>
      </c>
      <c r="C1176" s="8" t="s">
        <v>3955</v>
      </c>
      <c r="D1176" s="8" t="s">
        <v>16</v>
      </c>
      <c r="E1176" s="8" t="s">
        <v>17</v>
      </c>
      <c r="F1176" s="9">
        <v>46030.0</v>
      </c>
      <c r="G1176" s="8" t="s">
        <v>390</v>
      </c>
      <c r="H1176" s="8" t="s">
        <v>391</v>
      </c>
      <c r="I1176" s="8" t="s">
        <v>3956</v>
      </c>
      <c r="J1176" s="8" t="s">
        <v>3957</v>
      </c>
    </row>
    <row r="1177">
      <c r="A1177" s="7">
        <v>2.0023027E7</v>
      </c>
      <c r="B1177" s="8" t="s">
        <v>1988</v>
      </c>
      <c r="C1177" s="8" t="s">
        <v>3958</v>
      </c>
      <c r="D1177" s="8" t="s">
        <v>16</v>
      </c>
      <c r="E1177" s="8" t="s">
        <v>17</v>
      </c>
      <c r="F1177" s="9">
        <v>46024.0</v>
      </c>
      <c r="G1177" s="8" t="s">
        <v>436</v>
      </c>
      <c r="H1177" s="8" t="s">
        <v>437</v>
      </c>
      <c r="I1177" s="8" t="s">
        <v>3959</v>
      </c>
      <c r="J1177" s="8" t="s">
        <v>3960</v>
      </c>
    </row>
    <row r="1178">
      <c r="A1178" s="7">
        <v>2.0022948E7</v>
      </c>
      <c r="B1178" s="8" t="s">
        <v>1988</v>
      </c>
      <c r="C1178" s="8" t="s">
        <v>3961</v>
      </c>
      <c r="D1178" s="8" t="s">
        <v>16</v>
      </c>
      <c r="E1178" s="8" t="s">
        <v>17</v>
      </c>
      <c r="F1178" s="9">
        <v>46024.0</v>
      </c>
      <c r="G1178" s="8" t="s">
        <v>1366</v>
      </c>
      <c r="H1178" s="8" t="s">
        <v>1367</v>
      </c>
      <c r="I1178" s="8" t="s">
        <v>3962</v>
      </c>
      <c r="J1178" s="8" t="s">
        <v>3963</v>
      </c>
    </row>
    <row r="1179">
      <c r="A1179" s="7">
        <v>2.0022922E7</v>
      </c>
      <c r="B1179" s="8" t="s">
        <v>1988</v>
      </c>
      <c r="C1179" s="8" t="s">
        <v>3964</v>
      </c>
      <c r="D1179" s="8" t="s">
        <v>16</v>
      </c>
      <c r="E1179" s="8" t="s">
        <v>17</v>
      </c>
      <c r="F1179" s="9">
        <v>46028.0</v>
      </c>
      <c r="G1179" s="8" t="s">
        <v>3965</v>
      </c>
      <c r="H1179" s="8" t="s">
        <v>3966</v>
      </c>
      <c r="I1179" s="8" t="s">
        <v>3967</v>
      </c>
      <c r="J1179" s="8" t="s">
        <v>3968</v>
      </c>
    </row>
    <row r="1180">
      <c r="A1180" s="7">
        <v>2.0021792E7</v>
      </c>
      <c r="B1180" s="8" t="s">
        <v>1988</v>
      </c>
      <c r="C1180" s="8" t="s">
        <v>3969</v>
      </c>
      <c r="D1180" s="8" t="s">
        <v>16</v>
      </c>
      <c r="E1180" s="8" t="s">
        <v>17</v>
      </c>
      <c r="F1180" s="9">
        <v>46024.0</v>
      </c>
      <c r="G1180" s="8" t="s">
        <v>573</v>
      </c>
      <c r="H1180" s="8" t="s">
        <v>574</v>
      </c>
      <c r="I1180" s="8" t="s">
        <v>3970</v>
      </c>
      <c r="J1180" s="8" t="s">
        <v>3971</v>
      </c>
    </row>
    <row r="1181">
      <c r="A1181" s="7">
        <v>2.002299E7</v>
      </c>
      <c r="B1181" s="8" t="s">
        <v>1988</v>
      </c>
      <c r="C1181" s="8" t="s">
        <v>3972</v>
      </c>
      <c r="D1181" s="8" t="s">
        <v>16</v>
      </c>
      <c r="E1181" s="8" t="s">
        <v>17</v>
      </c>
      <c r="F1181" s="9">
        <v>46025.0</v>
      </c>
      <c r="G1181" s="8" t="s">
        <v>390</v>
      </c>
      <c r="H1181" s="8" t="s">
        <v>391</v>
      </c>
      <c r="I1181" s="8" t="s">
        <v>3973</v>
      </c>
      <c r="J1181" s="8" t="s">
        <v>3974</v>
      </c>
    </row>
    <row r="1182">
      <c r="A1182" s="7">
        <v>2.0059718E7</v>
      </c>
      <c r="B1182" s="8" t="s">
        <v>3975</v>
      </c>
      <c r="C1182" s="8" t="s">
        <v>3976</v>
      </c>
      <c r="D1182" s="8" t="s">
        <v>16</v>
      </c>
      <c r="E1182" s="8" t="s">
        <v>17</v>
      </c>
      <c r="F1182" s="9">
        <v>46182.0</v>
      </c>
      <c r="G1182" s="8" t="s">
        <v>171</v>
      </c>
      <c r="H1182" s="8" t="s">
        <v>172</v>
      </c>
      <c r="I1182" s="8" t="s">
        <v>3977</v>
      </c>
      <c r="J1182" s="8" t="s">
        <v>3978</v>
      </c>
    </row>
    <row r="1183">
      <c r="A1183" s="7">
        <v>2.0059184E7</v>
      </c>
      <c r="B1183" s="8" t="s">
        <v>3975</v>
      </c>
      <c r="C1183" s="8" t="s">
        <v>3979</v>
      </c>
      <c r="D1183" s="8" t="s">
        <v>16</v>
      </c>
      <c r="E1183" s="8" t="s">
        <v>17</v>
      </c>
      <c r="F1183" s="9">
        <v>46137.0</v>
      </c>
      <c r="G1183" s="8" t="s">
        <v>846</v>
      </c>
      <c r="H1183" s="8" t="s">
        <v>847</v>
      </c>
      <c r="I1183" s="8" t="s">
        <v>3980</v>
      </c>
      <c r="J1183" s="8" t="s">
        <v>3981</v>
      </c>
    </row>
    <row r="1184">
      <c r="A1184" s="7">
        <v>2.005882E7</v>
      </c>
      <c r="B1184" s="8" t="s">
        <v>3975</v>
      </c>
      <c r="C1184" s="8" t="s">
        <v>3982</v>
      </c>
      <c r="D1184" s="8" t="s">
        <v>16</v>
      </c>
      <c r="E1184" s="8" t="s">
        <v>17</v>
      </c>
      <c r="F1184" s="9">
        <v>46161.0</v>
      </c>
      <c r="G1184" s="8" t="s">
        <v>25</v>
      </c>
      <c r="H1184" s="8" t="s">
        <v>26</v>
      </c>
      <c r="I1184" s="8" t="s">
        <v>3983</v>
      </c>
      <c r="J1184" s="8"/>
    </row>
    <row r="1185">
      <c r="A1185" s="7">
        <v>2.0057599E7</v>
      </c>
      <c r="B1185" s="8" t="s">
        <v>3975</v>
      </c>
      <c r="C1185" s="8" t="s">
        <v>3984</v>
      </c>
      <c r="D1185" s="8" t="s">
        <v>16</v>
      </c>
      <c r="E1185" s="8" t="s">
        <v>17</v>
      </c>
      <c r="F1185" s="9">
        <v>46141.0</v>
      </c>
      <c r="G1185" s="8" t="s">
        <v>822</v>
      </c>
      <c r="H1185" s="8" t="s">
        <v>3985</v>
      </c>
      <c r="I1185" s="8" t="s">
        <v>3986</v>
      </c>
      <c r="J1185" s="8" t="s">
        <v>3987</v>
      </c>
    </row>
    <row r="1186">
      <c r="A1186" s="7">
        <v>2.0054424E7</v>
      </c>
      <c r="B1186" s="8" t="s">
        <v>3975</v>
      </c>
      <c r="C1186" s="8" t="s">
        <v>3988</v>
      </c>
      <c r="D1186" s="8" t="s">
        <v>16</v>
      </c>
      <c r="E1186" s="8" t="s">
        <v>17</v>
      </c>
      <c r="F1186" s="9">
        <v>46122.0</v>
      </c>
      <c r="G1186" s="8" t="s">
        <v>385</v>
      </c>
      <c r="H1186" s="8" t="s">
        <v>386</v>
      </c>
      <c r="I1186" s="8" t="s">
        <v>3989</v>
      </c>
      <c r="J1186" s="8" t="s">
        <v>3990</v>
      </c>
    </row>
    <row r="1187">
      <c r="A1187" s="7">
        <v>2.0046573E7</v>
      </c>
      <c r="B1187" s="8" t="s">
        <v>3975</v>
      </c>
      <c r="C1187" s="8" t="s">
        <v>3991</v>
      </c>
      <c r="D1187" s="8" t="s">
        <v>16</v>
      </c>
      <c r="E1187" s="8" t="s">
        <v>17</v>
      </c>
      <c r="F1187" s="9">
        <v>46084.0</v>
      </c>
      <c r="G1187" s="8" t="s">
        <v>3992</v>
      </c>
      <c r="H1187" s="8" t="s">
        <v>3993</v>
      </c>
      <c r="I1187" s="8" t="s">
        <v>3994</v>
      </c>
      <c r="J1187" s="8" t="s">
        <v>3995</v>
      </c>
    </row>
    <row r="1188">
      <c r="A1188" s="7">
        <v>2.0040447E7</v>
      </c>
      <c r="B1188" s="8" t="s">
        <v>3975</v>
      </c>
      <c r="C1188" s="8" t="s">
        <v>3996</v>
      </c>
      <c r="D1188" s="8" t="s">
        <v>16</v>
      </c>
      <c r="E1188" s="8" t="s">
        <v>17</v>
      </c>
      <c r="F1188" s="9">
        <v>46092.0</v>
      </c>
      <c r="G1188" s="8" t="s">
        <v>3997</v>
      </c>
      <c r="H1188" s="8" t="s">
        <v>3998</v>
      </c>
      <c r="I1188" s="8" t="s">
        <v>3999</v>
      </c>
      <c r="J1188" s="8" t="s">
        <v>4000</v>
      </c>
    </row>
    <row r="1189">
      <c r="A1189" s="7">
        <v>2.0040631E7</v>
      </c>
      <c r="B1189" s="8" t="s">
        <v>3975</v>
      </c>
      <c r="C1189" s="8" t="s">
        <v>4001</v>
      </c>
      <c r="D1189" s="8" t="s">
        <v>16</v>
      </c>
      <c r="E1189" s="8" t="s">
        <v>17</v>
      </c>
      <c r="F1189" s="9">
        <v>46090.0</v>
      </c>
      <c r="G1189" s="8" t="s">
        <v>1045</v>
      </c>
      <c r="H1189" s="8" t="s">
        <v>909</v>
      </c>
      <c r="I1189" s="8" t="s">
        <v>4002</v>
      </c>
      <c r="J1189" s="8" t="s">
        <v>4003</v>
      </c>
    </row>
    <row r="1190">
      <c r="A1190" s="7">
        <v>2.0033305E7</v>
      </c>
      <c r="B1190" s="8" t="s">
        <v>3975</v>
      </c>
      <c r="C1190" s="8" t="s">
        <v>4004</v>
      </c>
      <c r="D1190" s="8" t="s">
        <v>16</v>
      </c>
      <c r="E1190" s="8" t="s">
        <v>17</v>
      </c>
      <c r="F1190" s="9">
        <v>46039.0</v>
      </c>
      <c r="G1190" s="8" t="s">
        <v>826</v>
      </c>
      <c r="H1190" s="8" t="s">
        <v>827</v>
      </c>
      <c r="I1190" s="8" t="s">
        <v>4005</v>
      </c>
      <c r="J1190" s="8" t="s">
        <v>4006</v>
      </c>
    </row>
    <row r="1191">
      <c r="A1191" s="7">
        <v>2.0032698E7</v>
      </c>
      <c r="B1191" s="8" t="s">
        <v>3975</v>
      </c>
      <c r="C1191" s="8" t="s">
        <v>4007</v>
      </c>
      <c r="D1191" s="8" t="s">
        <v>16</v>
      </c>
      <c r="E1191" s="8" t="s">
        <v>17</v>
      </c>
      <c r="F1191" s="9">
        <v>46036.0</v>
      </c>
      <c r="G1191" s="8" t="s">
        <v>34</v>
      </c>
      <c r="H1191" s="8" t="s">
        <v>35</v>
      </c>
      <c r="I1191" s="8" t="s">
        <v>4008</v>
      </c>
      <c r="J1191" s="8" t="s">
        <v>4009</v>
      </c>
    </row>
    <row r="1192">
      <c r="A1192" s="7">
        <v>2.0032541E7</v>
      </c>
      <c r="B1192" s="8" t="s">
        <v>3975</v>
      </c>
      <c r="C1192" s="8" t="s">
        <v>4010</v>
      </c>
      <c r="D1192" s="8" t="s">
        <v>16</v>
      </c>
      <c r="E1192" s="8" t="s">
        <v>17</v>
      </c>
      <c r="F1192" s="9">
        <v>46036.0</v>
      </c>
      <c r="G1192" s="8" t="s">
        <v>1557</v>
      </c>
      <c r="H1192" s="8" t="s">
        <v>1558</v>
      </c>
      <c r="I1192" s="8" t="s">
        <v>4011</v>
      </c>
      <c r="J1192" s="8" t="s">
        <v>4012</v>
      </c>
    </row>
    <row r="1193">
      <c r="A1193" s="7">
        <v>2.0031528E7</v>
      </c>
      <c r="B1193" s="8" t="s">
        <v>3975</v>
      </c>
      <c r="C1193" s="8" t="s">
        <v>4013</v>
      </c>
      <c r="D1193" s="8" t="s">
        <v>16</v>
      </c>
      <c r="E1193" s="8" t="s">
        <v>17</v>
      </c>
      <c r="F1193" s="9">
        <v>46042.0</v>
      </c>
      <c r="G1193" s="8" t="s">
        <v>361</v>
      </c>
      <c r="H1193" s="8" t="s">
        <v>362</v>
      </c>
      <c r="I1193" s="8" t="s">
        <v>4014</v>
      </c>
      <c r="J1193" s="8" t="s">
        <v>4015</v>
      </c>
    </row>
    <row r="1194">
      <c r="A1194" s="7">
        <v>2.0011891E7</v>
      </c>
      <c r="B1194" s="8" t="s">
        <v>3975</v>
      </c>
      <c r="C1194" s="8" t="s">
        <v>4016</v>
      </c>
      <c r="D1194" s="8" t="s">
        <v>16</v>
      </c>
      <c r="E1194" s="8" t="s">
        <v>17</v>
      </c>
      <c r="F1194" s="9">
        <v>46033.0</v>
      </c>
      <c r="G1194" s="8" t="s">
        <v>59</v>
      </c>
      <c r="H1194" s="8" t="s">
        <v>60</v>
      </c>
      <c r="I1194" s="8" t="s">
        <v>4017</v>
      </c>
      <c r="J1194" s="8" t="s">
        <v>4018</v>
      </c>
    </row>
    <row r="1195">
      <c r="A1195" s="7">
        <v>2.0031246E7</v>
      </c>
      <c r="B1195" s="8" t="s">
        <v>3975</v>
      </c>
      <c r="C1195" s="8" t="s">
        <v>4019</v>
      </c>
      <c r="D1195" s="8" t="s">
        <v>16</v>
      </c>
      <c r="E1195" s="8" t="s">
        <v>17</v>
      </c>
      <c r="F1195" s="9">
        <v>46058.0</v>
      </c>
      <c r="G1195" s="8" t="s">
        <v>1969</v>
      </c>
      <c r="H1195" s="8" t="s">
        <v>1970</v>
      </c>
      <c r="I1195" s="8" t="s">
        <v>4020</v>
      </c>
      <c r="J1195" s="8" t="s">
        <v>4021</v>
      </c>
    </row>
    <row r="1196">
      <c r="A1196" s="7">
        <v>2.0031246E7</v>
      </c>
      <c r="B1196" s="8" t="s">
        <v>3975</v>
      </c>
      <c r="C1196" s="8" t="s">
        <v>4019</v>
      </c>
      <c r="D1196" s="8" t="s">
        <v>16</v>
      </c>
      <c r="E1196" s="8" t="s">
        <v>17</v>
      </c>
      <c r="F1196" s="9">
        <v>46058.0</v>
      </c>
      <c r="G1196" s="8" t="s">
        <v>1969</v>
      </c>
      <c r="H1196" s="8" t="s">
        <v>1970</v>
      </c>
      <c r="I1196" s="8"/>
      <c r="J1196" s="8" t="s">
        <v>4022</v>
      </c>
    </row>
    <row r="1197">
      <c r="A1197" s="7">
        <v>2.0031246E7</v>
      </c>
      <c r="B1197" s="8" t="s">
        <v>3975</v>
      </c>
      <c r="C1197" s="8" t="s">
        <v>4019</v>
      </c>
      <c r="D1197" s="8" t="s">
        <v>16</v>
      </c>
      <c r="E1197" s="8" t="s">
        <v>17</v>
      </c>
      <c r="F1197" s="9">
        <v>46058.0</v>
      </c>
      <c r="G1197" s="8" t="s">
        <v>4023</v>
      </c>
      <c r="H1197" s="8" t="s">
        <v>4024</v>
      </c>
      <c r="I1197" s="8" t="s">
        <v>4025</v>
      </c>
      <c r="J1197" s="8" t="s">
        <v>4026</v>
      </c>
    </row>
    <row r="1198">
      <c r="A1198" s="7">
        <v>2.0030333E7</v>
      </c>
      <c r="B1198" s="8" t="s">
        <v>3975</v>
      </c>
      <c r="C1198" s="8" t="s">
        <v>4027</v>
      </c>
      <c r="D1198" s="8" t="s">
        <v>16</v>
      </c>
      <c r="E1198" s="8" t="s">
        <v>17</v>
      </c>
      <c r="F1198" s="9">
        <v>46027.0</v>
      </c>
      <c r="G1198" s="8" t="s">
        <v>34</v>
      </c>
      <c r="H1198" s="8" t="s">
        <v>35</v>
      </c>
      <c r="I1198" s="8" t="s">
        <v>4028</v>
      </c>
      <c r="J1198" s="8" t="s">
        <v>4029</v>
      </c>
    </row>
    <row r="1199">
      <c r="A1199" s="7">
        <v>2.0028521E7</v>
      </c>
      <c r="B1199" s="8" t="s">
        <v>3975</v>
      </c>
      <c r="C1199" s="8" t="s">
        <v>4030</v>
      </c>
      <c r="D1199" s="8" t="s">
        <v>16</v>
      </c>
      <c r="E1199" s="8" t="s">
        <v>17</v>
      </c>
      <c r="F1199" s="9">
        <v>46028.0</v>
      </c>
      <c r="G1199" s="8" t="s">
        <v>234</v>
      </c>
      <c r="H1199" s="8" t="s">
        <v>235</v>
      </c>
      <c r="I1199" s="8" t="s">
        <v>4031</v>
      </c>
      <c r="J1199" s="8" t="s">
        <v>4032</v>
      </c>
    </row>
    <row r="1200">
      <c r="A1200" s="7">
        <v>2.0029943E7</v>
      </c>
      <c r="B1200" s="8" t="s">
        <v>3975</v>
      </c>
      <c r="C1200" s="8" t="s">
        <v>4033</v>
      </c>
      <c r="D1200" s="8" t="s">
        <v>16</v>
      </c>
      <c r="E1200" s="8" t="s">
        <v>17</v>
      </c>
      <c r="F1200" s="9">
        <v>46040.0</v>
      </c>
      <c r="G1200" s="8" t="s">
        <v>1638</v>
      </c>
      <c r="H1200" s="8" t="s">
        <v>1639</v>
      </c>
      <c r="I1200" s="8" t="s">
        <v>4034</v>
      </c>
      <c r="J1200" s="8" t="s">
        <v>4035</v>
      </c>
    </row>
    <row r="1201">
      <c r="A1201" s="7">
        <v>2.0029714E7</v>
      </c>
      <c r="B1201" s="8" t="s">
        <v>3975</v>
      </c>
      <c r="C1201" s="8" t="s">
        <v>4036</v>
      </c>
      <c r="D1201" s="8" t="s">
        <v>16</v>
      </c>
      <c r="E1201" s="8" t="s">
        <v>17</v>
      </c>
      <c r="F1201" s="9">
        <v>46050.0</v>
      </c>
      <c r="G1201" s="8" t="s">
        <v>4037</v>
      </c>
      <c r="H1201" s="8" t="s">
        <v>4038</v>
      </c>
      <c r="I1201" s="8" t="s">
        <v>4039</v>
      </c>
      <c r="J1201" s="8" t="s">
        <v>4040</v>
      </c>
    </row>
    <row r="1202">
      <c r="A1202" s="7">
        <v>2.0029902E7</v>
      </c>
      <c r="B1202" s="8" t="s">
        <v>3975</v>
      </c>
      <c r="C1202" s="8" t="s">
        <v>4041</v>
      </c>
      <c r="D1202" s="8" t="s">
        <v>16</v>
      </c>
      <c r="E1202" s="8" t="s">
        <v>17</v>
      </c>
      <c r="F1202" s="9">
        <v>46044.0</v>
      </c>
      <c r="G1202" s="8" t="s">
        <v>1911</v>
      </c>
      <c r="H1202" s="8" t="s">
        <v>1912</v>
      </c>
      <c r="I1202" s="8" t="s">
        <v>4042</v>
      </c>
      <c r="J1202" s="8" t="s">
        <v>4043</v>
      </c>
    </row>
    <row r="1203">
      <c r="A1203" s="7">
        <v>2.0029004E7</v>
      </c>
      <c r="B1203" s="8" t="s">
        <v>3975</v>
      </c>
      <c r="C1203" s="8" t="s">
        <v>4044</v>
      </c>
      <c r="D1203" s="8" t="s">
        <v>16</v>
      </c>
      <c r="E1203" s="8" t="s">
        <v>17</v>
      </c>
      <c r="F1203" s="9">
        <v>46036.0</v>
      </c>
      <c r="G1203" s="8" t="s">
        <v>4045</v>
      </c>
      <c r="H1203" s="8" t="s">
        <v>4046</v>
      </c>
      <c r="I1203" s="8" t="s">
        <v>4047</v>
      </c>
      <c r="J1203" s="8" t="s">
        <v>4048</v>
      </c>
    </row>
    <row r="1204">
      <c r="A1204" s="7">
        <v>2.0027833E7</v>
      </c>
      <c r="B1204" s="8" t="s">
        <v>3975</v>
      </c>
      <c r="C1204" s="8" t="s">
        <v>4049</v>
      </c>
      <c r="D1204" s="8" t="s">
        <v>16</v>
      </c>
      <c r="E1204" s="8" t="s">
        <v>17</v>
      </c>
      <c r="F1204" s="9">
        <v>46024.0</v>
      </c>
      <c r="G1204" s="8" t="s">
        <v>1638</v>
      </c>
      <c r="H1204" s="8" t="s">
        <v>1639</v>
      </c>
      <c r="I1204" s="8" t="s">
        <v>4050</v>
      </c>
      <c r="J1204" s="8" t="s">
        <v>4051</v>
      </c>
    </row>
    <row r="1205">
      <c r="A1205" s="7">
        <v>2.0026789E7</v>
      </c>
      <c r="B1205" s="8" t="s">
        <v>3975</v>
      </c>
      <c r="C1205" s="8" t="s">
        <v>4052</v>
      </c>
      <c r="D1205" s="8" t="s">
        <v>16</v>
      </c>
      <c r="E1205" s="8" t="s">
        <v>17</v>
      </c>
      <c r="F1205" s="9">
        <v>46028.0</v>
      </c>
      <c r="G1205" s="8" t="s">
        <v>3140</v>
      </c>
      <c r="H1205" s="8" t="s">
        <v>3141</v>
      </c>
      <c r="I1205" s="8" t="s">
        <v>4053</v>
      </c>
      <c r="J1205" s="8" t="s">
        <v>4054</v>
      </c>
    </row>
    <row r="1206">
      <c r="A1206" s="7">
        <v>2.002442E7</v>
      </c>
      <c r="B1206" s="8" t="s">
        <v>3975</v>
      </c>
      <c r="C1206" s="8" t="s">
        <v>4055</v>
      </c>
      <c r="D1206" s="8" t="s">
        <v>16</v>
      </c>
      <c r="E1206" s="8" t="s">
        <v>17</v>
      </c>
      <c r="F1206" s="9">
        <v>46026.0</v>
      </c>
      <c r="G1206" s="8" t="s">
        <v>3122</v>
      </c>
      <c r="H1206" s="8" t="s">
        <v>3123</v>
      </c>
      <c r="I1206" s="8" t="s">
        <v>4056</v>
      </c>
      <c r="J1206" s="8" t="s">
        <v>4057</v>
      </c>
    </row>
    <row r="1207">
      <c r="A1207" s="7">
        <v>2.002442E7</v>
      </c>
      <c r="B1207" s="8" t="s">
        <v>3975</v>
      </c>
      <c r="C1207" s="8" t="s">
        <v>4055</v>
      </c>
      <c r="D1207" s="8" t="s">
        <v>16</v>
      </c>
      <c r="E1207" s="8" t="s">
        <v>17</v>
      </c>
      <c r="F1207" s="9">
        <v>46026.0</v>
      </c>
      <c r="G1207" s="8" t="s">
        <v>3118</v>
      </c>
      <c r="H1207" s="8" t="s">
        <v>3119</v>
      </c>
      <c r="I1207" s="8" t="s">
        <v>4058</v>
      </c>
      <c r="J1207" s="8" t="s">
        <v>4059</v>
      </c>
    </row>
    <row r="1208">
      <c r="A1208" s="7">
        <v>2.002297E7</v>
      </c>
      <c r="B1208" s="8" t="s">
        <v>3975</v>
      </c>
      <c r="C1208" s="8" t="s">
        <v>4060</v>
      </c>
      <c r="D1208" s="8" t="s">
        <v>16</v>
      </c>
      <c r="E1208" s="8" t="s">
        <v>17</v>
      </c>
      <c r="F1208" s="9">
        <v>46128.0</v>
      </c>
      <c r="G1208" s="8" t="s">
        <v>4061</v>
      </c>
      <c r="H1208" s="8" t="s">
        <v>4062</v>
      </c>
      <c r="I1208" s="8" t="s">
        <v>4063</v>
      </c>
      <c r="J1208" s="8" t="s">
        <v>4064</v>
      </c>
    </row>
    <row r="1209">
      <c r="A1209" s="7">
        <v>2.002297E7</v>
      </c>
      <c r="B1209" s="8" t="s">
        <v>3975</v>
      </c>
      <c r="C1209" s="8" t="s">
        <v>4060</v>
      </c>
      <c r="D1209" s="8" t="s">
        <v>16</v>
      </c>
      <c r="E1209" s="8" t="s">
        <v>17</v>
      </c>
      <c r="F1209" s="9">
        <v>46128.0</v>
      </c>
      <c r="G1209" s="8" t="s">
        <v>4065</v>
      </c>
      <c r="H1209" s="8" t="s">
        <v>4066</v>
      </c>
      <c r="I1209" s="8" t="s">
        <v>4067</v>
      </c>
      <c r="J1209" s="8" t="s">
        <v>4064</v>
      </c>
    </row>
    <row r="1210">
      <c r="A1210" s="7">
        <v>2.0062743E7</v>
      </c>
      <c r="B1210" s="8" t="s">
        <v>2426</v>
      </c>
      <c r="C1210" s="8" t="s">
        <v>4068</v>
      </c>
      <c r="D1210" s="8" t="s">
        <v>16</v>
      </c>
      <c r="E1210" s="8" t="s">
        <v>17</v>
      </c>
      <c r="F1210" s="9">
        <v>46169.0</v>
      </c>
      <c r="G1210" s="8" t="s">
        <v>805</v>
      </c>
      <c r="H1210" s="8" t="s">
        <v>806</v>
      </c>
      <c r="I1210" s="8" t="s">
        <v>4069</v>
      </c>
      <c r="J1210" s="8" t="s">
        <v>4070</v>
      </c>
    </row>
    <row r="1211">
      <c r="A1211" s="7">
        <v>2.0062743E7</v>
      </c>
      <c r="B1211" s="8" t="s">
        <v>2426</v>
      </c>
      <c r="C1211" s="8" t="s">
        <v>4068</v>
      </c>
      <c r="D1211" s="8" t="s">
        <v>16</v>
      </c>
      <c r="E1211" s="8" t="s">
        <v>17</v>
      </c>
      <c r="F1211" s="9">
        <v>46169.0</v>
      </c>
      <c r="G1211" s="8" t="s">
        <v>1532</v>
      </c>
      <c r="H1211" s="8" t="s">
        <v>1533</v>
      </c>
      <c r="I1211" s="8" t="s">
        <v>4071</v>
      </c>
      <c r="J1211" s="8" t="s">
        <v>4072</v>
      </c>
    </row>
    <row r="1212">
      <c r="A1212" s="7">
        <v>2.0064676E7</v>
      </c>
      <c r="B1212" s="8" t="s">
        <v>2426</v>
      </c>
      <c r="C1212" s="8" t="s">
        <v>4073</v>
      </c>
      <c r="D1212" s="8" t="s">
        <v>16</v>
      </c>
      <c r="E1212" s="8" t="s">
        <v>17</v>
      </c>
      <c r="F1212" s="9">
        <v>46186.0</v>
      </c>
      <c r="G1212" s="8" t="s">
        <v>688</v>
      </c>
      <c r="H1212" s="8" t="s">
        <v>689</v>
      </c>
      <c r="I1212" s="8" t="s">
        <v>4074</v>
      </c>
      <c r="J1212" s="8" t="s">
        <v>4075</v>
      </c>
    </row>
    <row r="1213">
      <c r="A1213" s="7">
        <v>2.0063761E7</v>
      </c>
      <c r="B1213" s="8" t="s">
        <v>2426</v>
      </c>
      <c r="C1213" s="8" t="s">
        <v>4076</v>
      </c>
      <c r="D1213" s="8" t="s">
        <v>16</v>
      </c>
      <c r="E1213" s="8" t="s">
        <v>17</v>
      </c>
      <c r="F1213" s="9">
        <v>46163.0</v>
      </c>
      <c r="G1213" s="8" t="s">
        <v>805</v>
      </c>
      <c r="H1213" s="8" t="s">
        <v>806</v>
      </c>
      <c r="I1213" s="8" t="s">
        <v>4077</v>
      </c>
      <c r="J1213" s="8" t="s">
        <v>4078</v>
      </c>
    </row>
    <row r="1214">
      <c r="A1214" s="7">
        <v>2.0031051E7</v>
      </c>
      <c r="B1214" s="8" t="s">
        <v>2426</v>
      </c>
      <c r="C1214" s="8" t="s">
        <v>4079</v>
      </c>
      <c r="D1214" s="8" t="s">
        <v>16</v>
      </c>
      <c r="E1214" s="8" t="s">
        <v>17</v>
      </c>
      <c r="F1214" s="9">
        <v>46162.0</v>
      </c>
      <c r="G1214" s="8" t="s">
        <v>234</v>
      </c>
      <c r="H1214" s="8" t="s">
        <v>235</v>
      </c>
      <c r="I1214" s="8" t="s">
        <v>4080</v>
      </c>
      <c r="J1214" s="8" t="s">
        <v>4081</v>
      </c>
    </row>
    <row r="1215">
      <c r="A1215" s="7">
        <v>2.0060302E7</v>
      </c>
      <c r="B1215" s="8" t="s">
        <v>2426</v>
      </c>
      <c r="C1215" s="8" t="s">
        <v>4082</v>
      </c>
      <c r="D1215" s="8" t="s">
        <v>16</v>
      </c>
      <c r="E1215" s="8" t="s">
        <v>17</v>
      </c>
      <c r="F1215" s="9">
        <v>46161.0</v>
      </c>
      <c r="G1215" s="8" t="s">
        <v>64</v>
      </c>
      <c r="H1215" s="8" t="s">
        <v>65</v>
      </c>
      <c r="I1215" s="8" t="s">
        <v>4083</v>
      </c>
      <c r="J1215" s="8" t="s">
        <v>4084</v>
      </c>
    </row>
    <row r="1216">
      <c r="A1216" s="7">
        <v>2.0059565E7</v>
      </c>
      <c r="B1216" s="8" t="s">
        <v>2426</v>
      </c>
      <c r="C1216" s="8" t="s">
        <v>4085</v>
      </c>
      <c r="D1216" s="8" t="s">
        <v>16</v>
      </c>
      <c r="E1216" s="8" t="s">
        <v>17</v>
      </c>
      <c r="F1216" s="9">
        <v>46177.0</v>
      </c>
      <c r="G1216" s="8" t="s">
        <v>158</v>
      </c>
      <c r="H1216" s="8" t="s">
        <v>159</v>
      </c>
      <c r="I1216" s="8" t="s">
        <v>4086</v>
      </c>
      <c r="J1216" s="8" t="s">
        <v>4087</v>
      </c>
    </row>
    <row r="1217">
      <c r="A1217" s="7">
        <v>2.005094E7</v>
      </c>
      <c r="B1217" s="8" t="s">
        <v>2426</v>
      </c>
      <c r="C1217" s="8" t="s">
        <v>4088</v>
      </c>
      <c r="D1217" s="8" t="s">
        <v>16</v>
      </c>
      <c r="E1217" s="8" t="s">
        <v>17</v>
      </c>
      <c r="F1217" s="9">
        <v>46120.0</v>
      </c>
      <c r="G1217" s="8" t="s">
        <v>314</v>
      </c>
      <c r="H1217" s="8" t="s">
        <v>315</v>
      </c>
      <c r="I1217" s="8" t="s">
        <v>4089</v>
      </c>
      <c r="J1217" s="8" t="s">
        <v>4090</v>
      </c>
    </row>
    <row r="1218">
      <c r="A1218" s="7">
        <v>2.004425E7</v>
      </c>
      <c r="B1218" s="8" t="s">
        <v>2426</v>
      </c>
      <c r="C1218" s="8" t="s">
        <v>4091</v>
      </c>
      <c r="D1218" s="8" t="s">
        <v>16</v>
      </c>
      <c r="E1218" s="8" t="s">
        <v>17</v>
      </c>
      <c r="F1218" s="9">
        <v>46101.0</v>
      </c>
      <c r="G1218" s="8" t="s">
        <v>626</v>
      </c>
      <c r="H1218" s="8" t="s">
        <v>627</v>
      </c>
      <c r="I1218" s="8" t="s">
        <v>4092</v>
      </c>
      <c r="J1218" s="8" t="s">
        <v>4093</v>
      </c>
    </row>
    <row r="1219">
      <c r="A1219" s="7">
        <v>2.0041536E7</v>
      </c>
      <c r="B1219" s="8" t="s">
        <v>2426</v>
      </c>
      <c r="C1219" s="8" t="s">
        <v>4094</v>
      </c>
      <c r="D1219" s="8" t="s">
        <v>16</v>
      </c>
      <c r="E1219" s="8" t="s">
        <v>17</v>
      </c>
      <c r="F1219" s="9">
        <v>46075.0</v>
      </c>
      <c r="G1219" s="8" t="s">
        <v>365</v>
      </c>
      <c r="H1219" s="8" t="s">
        <v>366</v>
      </c>
      <c r="I1219" s="8" t="s">
        <v>4095</v>
      </c>
      <c r="J1219" s="8" t="s">
        <v>4096</v>
      </c>
    </row>
    <row r="1220">
      <c r="A1220" s="7">
        <v>2.004038E7</v>
      </c>
      <c r="B1220" s="8" t="s">
        <v>2426</v>
      </c>
      <c r="C1220" s="8" t="s">
        <v>4097</v>
      </c>
      <c r="D1220" s="8" t="s">
        <v>16</v>
      </c>
      <c r="E1220" s="8" t="s">
        <v>17</v>
      </c>
      <c r="F1220" s="9">
        <v>46078.0</v>
      </c>
      <c r="G1220" s="8" t="s">
        <v>436</v>
      </c>
      <c r="H1220" s="8" t="s">
        <v>437</v>
      </c>
      <c r="I1220" s="8" t="s">
        <v>4098</v>
      </c>
      <c r="J1220" s="8" t="s">
        <v>4099</v>
      </c>
    </row>
    <row r="1221">
      <c r="A1221" s="7">
        <v>2.0038799E7</v>
      </c>
      <c r="B1221" s="8" t="s">
        <v>2426</v>
      </c>
      <c r="C1221" s="8" t="s">
        <v>4100</v>
      </c>
      <c r="D1221" s="8" t="s">
        <v>16</v>
      </c>
      <c r="E1221" s="8" t="s">
        <v>17</v>
      </c>
      <c r="F1221" s="9">
        <v>46075.0</v>
      </c>
      <c r="G1221" s="8" t="s">
        <v>3088</v>
      </c>
      <c r="H1221" s="8" t="s">
        <v>3089</v>
      </c>
      <c r="I1221" s="8" t="s">
        <v>4101</v>
      </c>
      <c r="J1221" s="8" t="s">
        <v>4102</v>
      </c>
    </row>
    <row r="1222">
      <c r="A1222" s="7">
        <v>2.0040137E7</v>
      </c>
      <c r="B1222" s="8" t="s">
        <v>2426</v>
      </c>
      <c r="C1222" s="8" t="s">
        <v>4103</v>
      </c>
      <c r="D1222" s="8" t="s">
        <v>16</v>
      </c>
      <c r="E1222" s="8" t="s">
        <v>17</v>
      </c>
      <c r="F1222" s="9">
        <v>46066.0</v>
      </c>
      <c r="G1222" s="8" t="s">
        <v>91</v>
      </c>
      <c r="H1222" s="8" t="s">
        <v>92</v>
      </c>
      <c r="I1222" s="8" t="s">
        <v>4104</v>
      </c>
      <c r="J1222" s="8" t="s">
        <v>4105</v>
      </c>
    </row>
    <row r="1223">
      <c r="A1223" s="7">
        <v>2.0037426E7</v>
      </c>
      <c r="B1223" s="8" t="s">
        <v>2426</v>
      </c>
      <c r="C1223" s="8" t="s">
        <v>4106</v>
      </c>
      <c r="D1223" s="8" t="s">
        <v>16</v>
      </c>
      <c r="E1223" s="8" t="s">
        <v>17</v>
      </c>
      <c r="F1223" s="9">
        <v>46069.0</v>
      </c>
      <c r="G1223" s="8" t="s">
        <v>1319</v>
      </c>
      <c r="H1223" s="8" t="s">
        <v>1320</v>
      </c>
      <c r="I1223" s="8" t="s">
        <v>4107</v>
      </c>
      <c r="J1223" s="8" t="s">
        <v>4108</v>
      </c>
    </row>
    <row r="1224">
      <c r="A1224" s="7">
        <v>2.0037426E7</v>
      </c>
      <c r="B1224" s="8" t="s">
        <v>2426</v>
      </c>
      <c r="C1224" s="8" t="s">
        <v>4106</v>
      </c>
      <c r="D1224" s="8" t="s">
        <v>16</v>
      </c>
      <c r="E1224" s="8" t="s">
        <v>17</v>
      </c>
      <c r="F1224" s="9">
        <v>46069.0</v>
      </c>
      <c r="G1224" s="8" t="s">
        <v>3088</v>
      </c>
      <c r="H1224" s="8" t="s">
        <v>3089</v>
      </c>
      <c r="I1224" s="8" t="s">
        <v>4109</v>
      </c>
      <c r="J1224" s="8" t="s">
        <v>4110</v>
      </c>
    </row>
    <row r="1225">
      <c r="A1225" s="7">
        <v>2.0038907E7</v>
      </c>
      <c r="B1225" s="8" t="s">
        <v>2426</v>
      </c>
      <c r="C1225" s="8" t="s">
        <v>4111</v>
      </c>
      <c r="D1225" s="8" t="s">
        <v>16</v>
      </c>
      <c r="E1225" s="8" t="s">
        <v>17</v>
      </c>
      <c r="F1225" s="9">
        <v>46074.0</v>
      </c>
      <c r="G1225" s="8" t="s">
        <v>158</v>
      </c>
      <c r="H1225" s="8" t="s">
        <v>159</v>
      </c>
      <c r="I1225" s="8" t="s">
        <v>4112</v>
      </c>
      <c r="J1225" s="8" t="s">
        <v>4113</v>
      </c>
    </row>
    <row r="1226">
      <c r="A1226" s="7">
        <v>2.0027285E7</v>
      </c>
      <c r="B1226" s="8" t="s">
        <v>2426</v>
      </c>
      <c r="C1226" s="8" t="s">
        <v>4114</v>
      </c>
      <c r="D1226" s="8" t="s">
        <v>16</v>
      </c>
      <c r="E1226" s="8" t="s">
        <v>17</v>
      </c>
      <c r="F1226" s="9">
        <v>46038.0</v>
      </c>
      <c r="G1226" s="8" t="s">
        <v>59</v>
      </c>
      <c r="H1226" s="8" t="s">
        <v>60</v>
      </c>
      <c r="I1226" s="8" t="s">
        <v>4115</v>
      </c>
      <c r="J1226" s="8" t="s">
        <v>4116</v>
      </c>
    </row>
    <row r="1227">
      <c r="A1227" s="7">
        <v>2.0030926E7</v>
      </c>
      <c r="B1227" s="8" t="s">
        <v>2426</v>
      </c>
      <c r="C1227" s="8" t="s">
        <v>4117</v>
      </c>
      <c r="D1227" s="8" t="s">
        <v>16</v>
      </c>
      <c r="E1227" s="8" t="s">
        <v>17</v>
      </c>
      <c r="F1227" s="9">
        <v>46045.0</v>
      </c>
      <c r="G1227" s="8" t="s">
        <v>613</v>
      </c>
      <c r="H1227" s="8" t="s">
        <v>614</v>
      </c>
      <c r="I1227" s="8" t="s">
        <v>4118</v>
      </c>
      <c r="J1227" s="8" t="s">
        <v>4119</v>
      </c>
    </row>
    <row r="1228">
      <c r="A1228" s="7">
        <v>2.0032404E7</v>
      </c>
      <c r="B1228" s="8" t="s">
        <v>2426</v>
      </c>
      <c r="C1228" s="8" t="s">
        <v>4120</v>
      </c>
      <c r="D1228" s="8" t="s">
        <v>16</v>
      </c>
      <c r="E1228" s="8" t="s">
        <v>17</v>
      </c>
      <c r="F1228" s="9">
        <v>46076.0</v>
      </c>
      <c r="G1228" s="8" t="s">
        <v>2466</v>
      </c>
      <c r="H1228" s="8" t="s">
        <v>2467</v>
      </c>
      <c r="I1228" s="8" t="s">
        <v>4121</v>
      </c>
      <c r="J1228" s="8" t="s">
        <v>4122</v>
      </c>
    </row>
    <row r="1229">
      <c r="A1229" s="7">
        <v>2.0030101E7</v>
      </c>
      <c r="B1229" s="8" t="s">
        <v>2426</v>
      </c>
      <c r="C1229" s="8" t="s">
        <v>4123</v>
      </c>
      <c r="D1229" s="8" t="s">
        <v>16</v>
      </c>
      <c r="E1229" s="8" t="s">
        <v>17</v>
      </c>
      <c r="F1229" s="9">
        <v>46040.0</v>
      </c>
      <c r="G1229" s="8" t="s">
        <v>59</v>
      </c>
      <c r="H1229" s="8" t="s">
        <v>60</v>
      </c>
      <c r="I1229" s="8" t="s">
        <v>4124</v>
      </c>
      <c r="J1229" s="8" t="s">
        <v>4125</v>
      </c>
    </row>
    <row r="1230">
      <c r="A1230" s="7">
        <v>2.0028234E7</v>
      </c>
      <c r="B1230" s="8" t="s">
        <v>2426</v>
      </c>
      <c r="C1230" s="8" t="s">
        <v>4126</v>
      </c>
      <c r="D1230" s="8" t="s">
        <v>16</v>
      </c>
      <c r="E1230" s="8" t="s">
        <v>17</v>
      </c>
      <c r="F1230" s="9">
        <v>46043.0</v>
      </c>
      <c r="G1230" s="8" t="s">
        <v>2013</v>
      </c>
      <c r="H1230" s="8" t="s">
        <v>2014</v>
      </c>
      <c r="I1230" s="8" t="s">
        <v>4127</v>
      </c>
      <c r="J1230" s="8" t="s">
        <v>4128</v>
      </c>
    </row>
    <row r="1231">
      <c r="A1231" s="7">
        <v>2.0025473E7</v>
      </c>
      <c r="B1231" s="8" t="s">
        <v>2426</v>
      </c>
      <c r="C1231" s="8" t="s">
        <v>4129</v>
      </c>
      <c r="D1231" s="8" t="s">
        <v>16</v>
      </c>
      <c r="E1231" s="8" t="s">
        <v>17</v>
      </c>
      <c r="F1231" s="9">
        <v>46036.0</v>
      </c>
      <c r="G1231" s="8" t="s">
        <v>1746</v>
      </c>
      <c r="H1231" s="8" t="s">
        <v>4130</v>
      </c>
      <c r="I1231" s="8" t="s">
        <v>4131</v>
      </c>
      <c r="J1231" s="8" t="s">
        <v>4132</v>
      </c>
    </row>
    <row r="1232">
      <c r="A1232" s="7">
        <v>2.0033791E7</v>
      </c>
      <c r="B1232" s="8" t="s">
        <v>2426</v>
      </c>
      <c r="C1232" s="8" t="s">
        <v>4133</v>
      </c>
      <c r="D1232" s="8" t="s">
        <v>16</v>
      </c>
      <c r="E1232" s="8" t="s">
        <v>17</v>
      </c>
      <c r="F1232" s="9">
        <v>46051.0</v>
      </c>
      <c r="G1232" s="8" t="s">
        <v>158</v>
      </c>
      <c r="H1232" s="8" t="s">
        <v>159</v>
      </c>
      <c r="I1232" s="8" t="s">
        <v>4134</v>
      </c>
      <c r="J1232" s="8" t="s">
        <v>4135</v>
      </c>
    </row>
    <row r="1233">
      <c r="A1233" s="7">
        <v>2.0030222E7</v>
      </c>
      <c r="B1233" s="8" t="s">
        <v>2426</v>
      </c>
      <c r="C1233" s="8" t="s">
        <v>4136</v>
      </c>
      <c r="D1233" s="8" t="s">
        <v>16</v>
      </c>
      <c r="E1233" s="8" t="s">
        <v>17</v>
      </c>
      <c r="F1233" s="9">
        <v>46053.0</v>
      </c>
      <c r="G1233" s="8" t="s">
        <v>436</v>
      </c>
      <c r="H1233" s="8" t="s">
        <v>437</v>
      </c>
      <c r="I1233" s="8" t="s">
        <v>4137</v>
      </c>
      <c r="J1233" s="8" t="s">
        <v>4138</v>
      </c>
    </row>
    <row r="1234">
      <c r="A1234" s="7">
        <v>2.0029021E7</v>
      </c>
      <c r="B1234" s="8" t="s">
        <v>2426</v>
      </c>
      <c r="C1234" s="8" t="s">
        <v>4139</v>
      </c>
      <c r="D1234" s="8" t="s">
        <v>16</v>
      </c>
      <c r="E1234" s="8" t="s">
        <v>17</v>
      </c>
      <c r="F1234" s="9">
        <v>46040.0</v>
      </c>
      <c r="G1234" s="8" t="s">
        <v>4140</v>
      </c>
      <c r="H1234" s="8" t="s">
        <v>4141</v>
      </c>
      <c r="I1234" s="8" t="s">
        <v>4142</v>
      </c>
      <c r="J1234" s="8" t="s">
        <v>4143</v>
      </c>
    </row>
    <row r="1235">
      <c r="A1235" s="7">
        <v>2.003365E7</v>
      </c>
      <c r="B1235" s="8" t="s">
        <v>2426</v>
      </c>
      <c r="C1235" s="8" t="s">
        <v>4144</v>
      </c>
      <c r="D1235" s="8" t="s">
        <v>16</v>
      </c>
      <c r="E1235" s="8" t="s">
        <v>17</v>
      </c>
      <c r="F1235" s="9">
        <v>46047.0</v>
      </c>
      <c r="G1235" s="8" t="s">
        <v>1155</v>
      </c>
      <c r="H1235" s="8" t="s">
        <v>1156</v>
      </c>
      <c r="I1235" s="8" t="s">
        <v>4145</v>
      </c>
      <c r="J1235" s="8" t="s">
        <v>4146</v>
      </c>
    </row>
    <row r="1236">
      <c r="A1236" s="7">
        <v>2.0031573E7</v>
      </c>
      <c r="B1236" s="8" t="s">
        <v>2426</v>
      </c>
      <c r="C1236" s="8" t="s">
        <v>4147</v>
      </c>
      <c r="D1236" s="8" t="s">
        <v>16</v>
      </c>
      <c r="E1236" s="8" t="s">
        <v>17</v>
      </c>
      <c r="F1236" s="9">
        <v>46052.0</v>
      </c>
      <c r="G1236" s="8" t="s">
        <v>4148</v>
      </c>
      <c r="H1236" s="8" t="s">
        <v>4149</v>
      </c>
      <c r="I1236" s="8" t="s">
        <v>4150</v>
      </c>
      <c r="J1236" s="8" t="s">
        <v>4151</v>
      </c>
    </row>
    <row r="1237">
      <c r="A1237" s="7">
        <v>2.0030324E7</v>
      </c>
      <c r="B1237" s="8" t="s">
        <v>2426</v>
      </c>
      <c r="C1237" s="8" t="s">
        <v>4152</v>
      </c>
      <c r="D1237" s="8" t="s">
        <v>16</v>
      </c>
      <c r="E1237" s="8" t="s">
        <v>17</v>
      </c>
      <c r="F1237" s="9">
        <v>46047.0</v>
      </c>
      <c r="G1237" s="8" t="s">
        <v>4153</v>
      </c>
      <c r="H1237" s="8" t="s">
        <v>4154</v>
      </c>
      <c r="I1237" s="8" t="s">
        <v>4155</v>
      </c>
      <c r="J1237" s="8" t="s">
        <v>4156</v>
      </c>
    </row>
    <row r="1238">
      <c r="A1238" s="7">
        <v>2.0030124E7</v>
      </c>
      <c r="B1238" s="8" t="s">
        <v>2426</v>
      </c>
      <c r="C1238" s="8" t="s">
        <v>4157</v>
      </c>
      <c r="D1238" s="8" t="s">
        <v>16</v>
      </c>
      <c r="E1238" s="8" t="s">
        <v>17</v>
      </c>
      <c r="F1238" s="9">
        <v>46047.0</v>
      </c>
      <c r="G1238" s="8" t="s">
        <v>1155</v>
      </c>
      <c r="H1238" s="8" t="s">
        <v>1156</v>
      </c>
      <c r="I1238" s="8" t="s">
        <v>4158</v>
      </c>
      <c r="J1238" s="8" t="s">
        <v>4159</v>
      </c>
    </row>
    <row r="1239">
      <c r="A1239" s="7">
        <v>2.0029926E7</v>
      </c>
      <c r="B1239" s="8" t="s">
        <v>2426</v>
      </c>
      <c r="C1239" s="8" t="s">
        <v>4160</v>
      </c>
      <c r="D1239" s="8" t="s">
        <v>16</v>
      </c>
      <c r="E1239" s="8" t="s">
        <v>17</v>
      </c>
      <c r="F1239" s="9">
        <v>46048.0</v>
      </c>
      <c r="G1239" s="8" t="s">
        <v>1155</v>
      </c>
      <c r="H1239" s="8" t="s">
        <v>1156</v>
      </c>
      <c r="I1239" s="8" t="s">
        <v>4161</v>
      </c>
      <c r="J1239" s="8" t="s">
        <v>4162</v>
      </c>
    </row>
    <row r="1240">
      <c r="A1240" s="7">
        <v>2.0033071E7</v>
      </c>
      <c r="B1240" s="8" t="s">
        <v>2426</v>
      </c>
      <c r="C1240" s="8" t="s">
        <v>4163</v>
      </c>
      <c r="D1240" s="8" t="s">
        <v>16</v>
      </c>
      <c r="E1240" s="8" t="s">
        <v>17</v>
      </c>
      <c r="F1240" s="9">
        <v>46042.0</v>
      </c>
      <c r="G1240" s="8" t="s">
        <v>2689</v>
      </c>
      <c r="H1240" s="8" t="s">
        <v>2690</v>
      </c>
      <c r="I1240" s="8" t="s">
        <v>4164</v>
      </c>
      <c r="J1240" s="8" t="s">
        <v>4165</v>
      </c>
    </row>
    <row r="1241">
      <c r="A1241" s="7">
        <v>2.0031299E7</v>
      </c>
      <c r="B1241" s="8" t="s">
        <v>2426</v>
      </c>
      <c r="C1241" s="8" t="s">
        <v>4166</v>
      </c>
      <c r="D1241" s="8" t="s">
        <v>16</v>
      </c>
      <c r="E1241" s="8" t="s">
        <v>17</v>
      </c>
      <c r="F1241" s="9">
        <v>46032.0</v>
      </c>
      <c r="G1241" s="8" t="s">
        <v>423</v>
      </c>
      <c r="H1241" s="8" t="s">
        <v>424</v>
      </c>
      <c r="I1241" s="8" t="s">
        <v>4167</v>
      </c>
      <c r="J1241" s="8" t="s">
        <v>4168</v>
      </c>
    </row>
    <row r="1242">
      <c r="A1242" s="7">
        <v>2.0029825E7</v>
      </c>
      <c r="B1242" s="8" t="s">
        <v>2426</v>
      </c>
      <c r="C1242" s="8" t="s">
        <v>4169</v>
      </c>
      <c r="D1242" s="8" t="s">
        <v>16</v>
      </c>
      <c r="E1242" s="8" t="s">
        <v>17</v>
      </c>
      <c r="F1242" s="9">
        <v>46032.0</v>
      </c>
      <c r="G1242" s="8" t="s">
        <v>4170</v>
      </c>
      <c r="H1242" s="8" t="s">
        <v>1111</v>
      </c>
      <c r="I1242" s="8" t="s">
        <v>4171</v>
      </c>
      <c r="J1242" s="8" t="s">
        <v>4172</v>
      </c>
    </row>
    <row r="1243">
      <c r="A1243" s="7">
        <v>2.0029738E7</v>
      </c>
      <c r="B1243" s="8" t="s">
        <v>2426</v>
      </c>
      <c r="C1243" s="8" t="s">
        <v>4173</v>
      </c>
      <c r="D1243" s="8" t="s">
        <v>16</v>
      </c>
      <c r="E1243" s="8" t="s">
        <v>17</v>
      </c>
      <c r="F1243" s="9">
        <v>46046.0</v>
      </c>
      <c r="G1243" s="8" t="s">
        <v>390</v>
      </c>
      <c r="H1243" s="8" t="s">
        <v>391</v>
      </c>
      <c r="I1243" s="8" t="s">
        <v>4174</v>
      </c>
      <c r="J1243" s="8" t="s">
        <v>4175</v>
      </c>
    </row>
    <row r="1244">
      <c r="A1244" s="7">
        <v>2.0022599E7</v>
      </c>
      <c r="B1244" s="8" t="s">
        <v>2426</v>
      </c>
      <c r="C1244" s="8" t="s">
        <v>4176</v>
      </c>
      <c r="D1244" s="8" t="s">
        <v>16</v>
      </c>
      <c r="E1244" s="8" t="s">
        <v>17</v>
      </c>
      <c r="F1244" s="9">
        <v>46037.0</v>
      </c>
      <c r="G1244" s="8" t="s">
        <v>195</v>
      </c>
      <c r="H1244" s="8" t="s">
        <v>196</v>
      </c>
      <c r="I1244" s="8" t="s">
        <v>4177</v>
      </c>
      <c r="J1244" s="8" t="s">
        <v>4178</v>
      </c>
    </row>
    <row r="1245">
      <c r="A1245" s="7">
        <v>2.0023622E7</v>
      </c>
      <c r="B1245" s="8" t="s">
        <v>2426</v>
      </c>
      <c r="C1245" s="8" t="s">
        <v>4179</v>
      </c>
      <c r="D1245" s="8" t="s">
        <v>16</v>
      </c>
      <c r="E1245" s="8" t="s">
        <v>17</v>
      </c>
      <c r="F1245" s="9">
        <v>46036.0</v>
      </c>
      <c r="G1245" s="8" t="s">
        <v>846</v>
      </c>
      <c r="H1245" s="8" t="s">
        <v>847</v>
      </c>
      <c r="I1245" s="8" t="s">
        <v>4180</v>
      </c>
      <c r="J1245" s="8" t="s">
        <v>4181</v>
      </c>
    </row>
    <row r="1246">
      <c r="A1246" s="7">
        <v>2.0030611E7</v>
      </c>
      <c r="B1246" s="8" t="s">
        <v>2426</v>
      </c>
      <c r="C1246" s="8" t="s">
        <v>4182</v>
      </c>
      <c r="D1246" s="8" t="s">
        <v>16</v>
      </c>
      <c r="E1246" s="8" t="s">
        <v>17</v>
      </c>
      <c r="F1246" s="9">
        <v>46044.0</v>
      </c>
      <c r="G1246" s="8" t="s">
        <v>1480</v>
      </c>
      <c r="H1246" s="8" t="s">
        <v>1481</v>
      </c>
      <c r="I1246" s="8" t="s">
        <v>4183</v>
      </c>
      <c r="J1246" s="8" t="s">
        <v>4184</v>
      </c>
    </row>
    <row r="1247">
      <c r="A1247" s="7">
        <v>2.0030788E7</v>
      </c>
      <c r="B1247" s="8" t="s">
        <v>2426</v>
      </c>
      <c r="C1247" s="8" t="s">
        <v>4185</v>
      </c>
      <c r="D1247" s="8" t="s">
        <v>16</v>
      </c>
      <c r="E1247" s="8" t="s">
        <v>17</v>
      </c>
      <c r="F1247" s="9">
        <v>46032.0</v>
      </c>
      <c r="G1247" s="8" t="s">
        <v>91</v>
      </c>
      <c r="H1247" s="8" t="s">
        <v>92</v>
      </c>
      <c r="I1247" s="8" t="s">
        <v>4186</v>
      </c>
      <c r="J1247" s="8" t="s">
        <v>4187</v>
      </c>
    </row>
    <row r="1248">
      <c r="A1248" s="7">
        <v>2.0030225E7</v>
      </c>
      <c r="B1248" s="8" t="s">
        <v>2426</v>
      </c>
      <c r="C1248" s="8" t="s">
        <v>4188</v>
      </c>
      <c r="D1248" s="8" t="s">
        <v>16</v>
      </c>
      <c r="E1248" s="8" t="s">
        <v>17</v>
      </c>
      <c r="F1248" s="9">
        <v>46042.0</v>
      </c>
      <c r="G1248" s="8" t="s">
        <v>2666</v>
      </c>
      <c r="H1248" s="8" t="s">
        <v>2667</v>
      </c>
      <c r="I1248" s="8" t="s">
        <v>4189</v>
      </c>
      <c r="J1248" s="8" t="s">
        <v>4190</v>
      </c>
    </row>
    <row r="1249">
      <c r="A1249" s="7">
        <v>2.0028599E7</v>
      </c>
      <c r="B1249" s="8" t="s">
        <v>2426</v>
      </c>
      <c r="C1249" s="8" t="s">
        <v>4191</v>
      </c>
      <c r="D1249" s="8" t="s">
        <v>16</v>
      </c>
      <c r="E1249" s="8" t="s">
        <v>17</v>
      </c>
      <c r="F1249" s="9">
        <v>46037.0</v>
      </c>
      <c r="G1249" s="8" t="s">
        <v>59</v>
      </c>
      <c r="H1249" s="8" t="s">
        <v>60</v>
      </c>
      <c r="I1249" s="8" t="s">
        <v>4192</v>
      </c>
      <c r="J1249" s="8" t="s">
        <v>4193</v>
      </c>
    </row>
    <row r="1250">
      <c r="A1250" s="7">
        <v>2.00292E7</v>
      </c>
      <c r="B1250" s="8" t="s">
        <v>2426</v>
      </c>
      <c r="C1250" s="8" t="s">
        <v>4194</v>
      </c>
      <c r="D1250" s="8" t="s">
        <v>16</v>
      </c>
      <c r="E1250" s="8" t="s">
        <v>17</v>
      </c>
      <c r="F1250" s="9">
        <v>46040.0</v>
      </c>
      <c r="G1250" s="8" t="s">
        <v>109</v>
      </c>
      <c r="H1250" s="8" t="s">
        <v>110</v>
      </c>
      <c r="I1250" s="8" t="s">
        <v>4195</v>
      </c>
      <c r="J1250" s="8" t="s">
        <v>4196</v>
      </c>
    </row>
    <row r="1251">
      <c r="A1251" s="7">
        <v>2.0031925E7</v>
      </c>
      <c r="B1251" s="8" t="s">
        <v>2426</v>
      </c>
      <c r="C1251" s="8" t="s">
        <v>4197</v>
      </c>
      <c r="D1251" s="8" t="s">
        <v>16</v>
      </c>
      <c r="E1251" s="8" t="s">
        <v>17</v>
      </c>
      <c r="F1251" s="9">
        <v>46043.0</v>
      </c>
      <c r="G1251" s="8" t="s">
        <v>171</v>
      </c>
      <c r="H1251" s="8" t="s">
        <v>172</v>
      </c>
      <c r="I1251" s="8" t="s">
        <v>4198</v>
      </c>
      <c r="J1251" s="8" t="s">
        <v>4199</v>
      </c>
    </row>
    <row r="1252">
      <c r="A1252" s="7">
        <v>2.0032218E7</v>
      </c>
      <c r="B1252" s="8" t="s">
        <v>2426</v>
      </c>
      <c r="C1252" s="8" t="s">
        <v>4200</v>
      </c>
      <c r="D1252" s="8" t="s">
        <v>16</v>
      </c>
      <c r="E1252" s="8" t="s">
        <v>17</v>
      </c>
      <c r="F1252" s="9">
        <v>46052.0</v>
      </c>
      <c r="G1252" s="8" t="s">
        <v>4201</v>
      </c>
      <c r="H1252" s="8" t="s">
        <v>4202</v>
      </c>
      <c r="I1252" s="8" t="s">
        <v>4203</v>
      </c>
      <c r="J1252" s="8" t="s">
        <v>4204</v>
      </c>
    </row>
    <row r="1253">
      <c r="A1253" s="7">
        <v>2.0024938E7</v>
      </c>
      <c r="B1253" s="8" t="s">
        <v>2426</v>
      </c>
      <c r="C1253" s="8" t="s">
        <v>4205</v>
      </c>
      <c r="D1253" s="8" t="s">
        <v>16</v>
      </c>
      <c r="E1253" s="8" t="s">
        <v>17</v>
      </c>
      <c r="F1253" s="9">
        <v>46040.0</v>
      </c>
      <c r="G1253" s="8" t="s">
        <v>59</v>
      </c>
      <c r="H1253" s="8" t="s">
        <v>60</v>
      </c>
      <c r="I1253" s="8" t="s">
        <v>4206</v>
      </c>
      <c r="J1253" s="8" t="s">
        <v>4207</v>
      </c>
    </row>
    <row r="1254">
      <c r="A1254" s="7">
        <v>2.0026819E7</v>
      </c>
      <c r="B1254" s="8" t="s">
        <v>2426</v>
      </c>
      <c r="C1254" s="8" t="s">
        <v>4208</v>
      </c>
      <c r="D1254" s="8" t="s">
        <v>16</v>
      </c>
      <c r="E1254" s="8" t="s">
        <v>17</v>
      </c>
      <c r="F1254" s="9">
        <v>46050.0</v>
      </c>
      <c r="G1254" s="8" t="s">
        <v>4209</v>
      </c>
      <c r="H1254" s="8" t="s">
        <v>4210</v>
      </c>
      <c r="I1254" s="8" t="s">
        <v>4211</v>
      </c>
      <c r="J1254" s="8" t="s">
        <v>4212</v>
      </c>
    </row>
    <row r="1255">
      <c r="A1255" s="7">
        <v>2.0026819E7</v>
      </c>
      <c r="B1255" s="8" t="s">
        <v>2426</v>
      </c>
      <c r="C1255" s="8" t="s">
        <v>4208</v>
      </c>
      <c r="D1255" s="8" t="s">
        <v>16</v>
      </c>
      <c r="E1255" s="8" t="s">
        <v>17</v>
      </c>
      <c r="F1255" s="9">
        <v>46050.0</v>
      </c>
      <c r="G1255" s="8" t="s">
        <v>4209</v>
      </c>
      <c r="H1255" s="8" t="s">
        <v>4210</v>
      </c>
      <c r="I1255" s="8" t="s">
        <v>4213</v>
      </c>
      <c r="J1255" s="8" t="s">
        <v>4212</v>
      </c>
    </row>
    <row r="1256">
      <c r="A1256" s="7">
        <v>2.0026819E7</v>
      </c>
      <c r="B1256" s="8" t="s">
        <v>2426</v>
      </c>
      <c r="C1256" s="8" t="s">
        <v>4208</v>
      </c>
      <c r="D1256" s="8" t="s">
        <v>16</v>
      </c>
      <c r="E1256" s="8" t="s">
        <v>17</v>
      </c>
      <c r="F1256" s="9">
        <v>46050.0</v>
      </c>
      <c r="G1256" s="8" t="s">
        <v>4214</v>
      </c>
      <c r="H1256" s="8" t="s">
        <v>4215</v>
      </c>
      <c r="I1256" s="8" t="s">
        <v>4216</v>
      </c>
      <c r="J1256" s="8" t="s">
        <v>4217</v>
      </c>
    </row>
    <row r="1257">
      <c r="A1257" s="7">
        <v>2.0026122E7</v>
      </c>
      <c r="B1257" s="8" t="s">
        <v>2426</v>
      </c>
      <c r="C1257" s="8" t="s">
        <v>4218</v>
      </c>
      <c r="D1257" s="8" t="s">
        <v>16</v>
      </c>
      <c r="E1257" s="8" t="s">
        <v>17</v>
      </c>
      <c r="F1257" s="9">
        <v>46035.0</v>
      </c>
      <c r="G1257" s="8" t="s">
        <v>846</v>
      </c>
      <c r="H1257" s="8" t="s">
        <v>847</v>
      </c>
      <c r="I1257" s="8" t="s">
        <v>4219</v>
      </c>
      <c r="J1257" s="8" t="s">
        <v>4220</v>
      </c>
    </row>
    <row r="1258">
      <c r="A1258" s="7">
        <v>2.0028296E7</v>
      </c>
      <c r="B1258" s="8" t="s">
        <v>2426</v>
      </c>
      <c r="C1258" s="8" t="s">
        <v>4221</v>
      </c>
      <c r="D1258" s="8" t="s">
        <v>16</v>
      </c>
      <c r="E1258" s="8" t="s">
        <v>17</v>
      </c>
      <c r="F1258" s="9">
        <v>46045.0</v>
      </c>
      <c r="G1258" s="8" t="s">
        <v>1616</v>
      </c>
      <c r="H1258" s="8" t="s">
        <v>1617</v>
      </c>
      <c r="I1258" s="8" t="s">
        <v>4222</v>
      </c>
      <c r="J1258" s="8" t="s">
        <v>4223</v>
      </c>
    </row>
    <row r="1259">
      <c r="A1259" s="7">
        <v>2.0029651E7</v>
      </c>
      <c r="B1259" s="8" t="s">
        <v>2426</v>
      </c>
      <c r="C1259" s="8" t="s">
        <v>4224</v>
      </c>
      <c r="D1259" s="8" t="s">
        <v>16</v>
      </c>
      <c r="E1259" s="8" t="s">
        <v>17</v>
      </c>
      <c r="F1259" s="9">
        <v>46030.0</v>
      </c>
      <c r="G1259" s="8" t="s">
        <v>34</v>
      </c>
      <c r="H1259" s="8" t="s">
        <v>35</v>
      </c>
      <c r="I1259" s="8" t="s">
        <v>4225</v>
      </c>
      <c r="J1259" s="8" t="s">
        <v>4226</v>
      </c>
    </row>
    <row r="1260">
      <c r="A1260" s="7">
        <v>2.0031787E7</v>
      </c>
      <c r="B1260" s="8" t="s">
        <v>2426</v>
      </c>
      <c r="C1260" s="8" t="s">
        <v>4227</v>
      </c>
      <c r="D1260" s="8" t="s">
        <v>16</v>
      </c>
      <c r="E1260" s="8" t="s">
        <v>17</v>
      </c>
      <c r="F1260" s="9">
        <v>46047.0</v>
      </c>
      <c r="G1260" s="8" t="s">
        <v>158</v>
      </c>
      <c r="H1260" s="8" t="s">
        <v>159</v>
      </c>
      <c r="I1260" s="8" t="s">
        <v>4228</v>
      </c>
      <c r="J1260" s="8" t="s">
        <v>4229</v>
      </c>
    </row>
    <row r="1261">
      <c r="A1261" s="7">
        <v>2.0032053E7</v>
      </c>
      <c r="B1261" s="8" t="s">
        <v>2426</v>
      </c>
      <c r="C1261" s="8" t="s">
        <v>4230</v>
      </c>
      <c r="D1261" s="8" t="s">
        <v>16</v>
      </c>
      <c r="E1261" s="8" t="s">
        <v>17</v>
      </c>
      <c r="F1261" s="9">
        <v>46043.0</v>
      </c>
      <c r="G1261" s="8" t="s">
        <v>666</v>
      </c>
      <c r="H1261" s="8" t="s">
        <v>667</v>
      </c>
      <c r="I1261" s="8" t="s">
        <v>4231</v>
      </c>
      <c r="J1261" s="8" t="s">
        <v>4232</v>
      </c>
    </row>
    <row r="1262">
      <c r="A1262" s="7">
        <v>2.0029542E7</v>
      </c>
      <c r="B1262" s="8" t="s">
        <v>2426</v>
      </c>
      <c r="C1262" s="8" t="s">
        <v>4233</v>
      </c>
      <c r="D1262" s="8" t="s">
        <v>16</v>
      </c>
      <c r="E1262" s="8" t="s">
        <v>17</v>
      </c>
      <c r="F1262" s="9">
        <v>46045.0</v>
      </c>
      <c r="G1262" s="8" t="s">
        <v>436</v>
      </c>
      <c r="H1262" s="8" t="s">
        <v>437</v>
      </c>
      <c r="I1262" s="8" t="s">
        <v>4234</v>
      </c>
      <c r="J1262" s="8" t="s">
        <v>4235</v>
      </c>
    </row>
    <row r="1263">
      <c r="A1263" s="7">
        <v>2.0029519E7</v>
      </c>
      <c r="B1263" s="8" t="s">
        <v>2426</v>
      </c>
      <c r="C1263" s="8" t="s">
        <v>4236</v>
      </c>
      <c r="D1263" s="8" t="s">
        <v>16</v>
      </c>
      <c r="E1263" s="8" t="s">
        <v>17</v>
      </c>
      <c r="F1263" s="9">
        <v>46046.0</v>
      </c>
      <c r="G1263" s="8" t="s">
        <v>561</v>
      </c>
      <c r="H1263" s="8" t="s">
        <v>562</v>
      </c>
      <c r="I1263" s="8" t="s">
        <v>4237</v>
      </c>
      <c r="J1263" s="8" t="s">
        <v>4238</v>
      </c>
    </row>
    <row r="1264">
      <c r="A1264" s="7">
        <v>2.0029753E7</v>
      </c>
      <c r="B1264" s="8" t="s">
        <v>2426</v>
      </c>
      <c r="C1264" s="8" t="s">
        <v>4239</v>
      </c>
      <c r="D1264" s="8" t="s">
        <v>16</v>
      </c>
      <c r="E1264" s="8" t="s">
        <v>17</v>
      </c>
      <c r="F1264" s="9">
        <v>46043.0</v>
      </c>
      <c r="G1264" s="8" t="s">
        <v>1280</v>
      </c>
      <c r="H1264" s="8" t="s">
        <v>1281</v>
      </c>
      <c r="I1264" s="8" t="s">
        <v>4240</v>
      </c>
      <c r="J1264" s="8" t="s">
        <v>4241</v>
      </c>
    </row>
    <row r="1265">
      <c r="A1265" s="7">
        <v>2.0029277E7</v>
      </c>
      <c r="B1265" s="8" t="s">
        <v>2426</v>
      </c>
      <c r="C1265" s="8" t="s">
        <v>4242</v>
      </c>
      <c r="D1265" s="8" t="s">
        <v>16</v>
      </c>
      <c r="E1265" s="8" t="s">
        <v>4243</v>
      </c>
      <c r="F1265" s="9">
        <v>46031.0</v>
      </c>
      <c r="G1265" s="8" t="s">
        <v>2225</v>
      </c>
      <c r="H1265" s="8" t="s">
        <v>2226</v>
      </c>
      <c r="I1265" s="8" t="s">
        <v>4244</v>
      </c>
      <c r="J1265" s="8" t="s">
        <v>4245</v>
      </c>
    </row>
    <row r="1266">
      <c r="A1266" s="7">
        <v>2.0029277E7</v>
      </c>
      <c r="B1266" s="8" t="s">
        <v>2426</v>
      </c>
      <c r="C1266" s="8" t="s">
        <v>4242</v>
      </c>
      <c r="D1266" s="8" t="s">
        <v>16</v>
      </c>
      <c r="E1266" s="8" t="s">
        <v>4243</v>
      </c>
      <c r="F1266" s="9">
        <v>46031.0</v>
      </c>
      <c r="G1266" s="8" t="s">
        <v>2225</v>
      </c>
      <c r="H1266" s="8" t="s">
        <v>2226</v>
      </c>
      <c r="I1266" s="8" t="s">
        <v>4246</v>
      </c>
      <c r="J1266" s="8" t="s">
        <v>4245</v>
      </c>
    </row>
    <row r="1267">
      <c r="A1267" s="7">
        <v>2.0025583E7</v>
      </c>
      <c r="B1267" s="8" t="s">
        <v>2426</v>
      </c>
      <c r="C1267" s="8" t="s">
        <v>4247</v>
      </c>
      <c r="D1267" s="8" t="s">
        <v>16</v>
      </c>
      <c r="E1267" s="8" t="s">
        <v>17</v>
      </c>
      <c r="F1267" s="9">
        <v>46033.0</v>
      </c>
      <c r="G1267" s="8" t="s">
        <v>247</v>
      </c>
      <c r="H1267" s="8" t="s">
        <v>248</v>
      </c>
      <c r="I1267" s="8" t="s">
        <v>4248</v>
      </c>
      <c r="J1267" s="8" t="s">
        <v>4249</v>
      </c>
    </row>
    <row r="1268">
      <c r="A1268" s="7">
        <v>2.0025583E7</v>
      </c>
      <c r="B1268" s="8" t="s">
        <v>2426</v>
      </c>
      <c r="C1268" s="8" t="s">
        <v>4247</v>
      </c>
      <c r="D1268" s="8" t="s">
        <v>16</v>
      </c>
      <c r="E1268" s="8" t="s">
        <v>17</v>
      </c>
      <c r="F1268" s="9">
        <v>46033.0</v>
      </c>
      <c r="G1268" s="8" t="s">
        <v>4250</v>
      </c>
      <c r="H1268" s="8" t="s">
        <v>4251</v>
      </c>
      <c r="I1268" s="8" t="s">
        <v>4252</v>
      </c>
      <c r="J1268" s="8" t="s">
        <v>4253</v>
      </c>
    </row>
    <row r="1269">
      <c r="A1269" s="7">
        <v>2.0028875E7</v>
      </c>
      <c r="B1269" s="8" t="s">
        <v>2426</v>
      </c>
      <c r="C1269" s="8" t="s">
        <v>4254</v>
      </c>
      <c r="D1269" s="8" t="s">
        <v>16</v>
      </c>
      <c r="E1269" s="8" t="s">
        <v>17</v>
      </c>
      <c r="F1269" s="9">
        <v>46044.0</v>
      </c>
      <c r="G1269" s="8" t="s">
        <v>561</v>
      </c>
      <c r="H1269" s="8" t="s">
        <v>562</v>
      </c>
      <c r="I1269" s="8" t="s">
        <v>4255</v>
      </c>
      <c r="J1269" s="8" t="s">
        <v>4256</v>
      </c>
    </row>
    <row r="1270">
      <c r="A1270" s="7">
        <v>2.0028902E7</v>
      </c>
      <c r="B1270" s="8" t="s">
        <v>2426</v>
      </c>
      <c r="C1270" s="8" t="s">
        <v>4257</v>
      </c>
      <c r="D1270" s="8" t="s">
        <v>16</v>
      </c>
      <c r="E1270" s="8" t="s">
        <v>17</v>
      </c>
      <c r="F1270" s="9">
        <v>46042.0</v>
      </c>
      <c r="G1270" s="8" t="s">
        <v>184</v>
      </c>
      <c r="H1270" s="8" t="s">
        <v>185</v>
      </c>
      <c r="I1270" s="8" t="s">
        <v>4258</v>
      </c>
      <c r="J1270" s="8" t="s">
        <v>4259</v>
      </c>
    </row>
    <row r="1271">
      <c r="A1271" s="7">
        <v>2.0020191E7</v>
      </c>
      <c r="B1271" s="8" t="s">
        <v>2426</v>
      </c>
      <c r="C1271" s="8" t="s">
        <v>4260</v>
      </c>
      <c r="D1271" s="8" t="s">
        <v>16</v>
      </c>
      <c r="E1271" s="8" t="s">
        <v>17</v>
      </c>
      <c r="F1271" s="9">
        <v>46029.0</v>
      </c>
      <c r="G1271" s="8" t="s">
        <v>282</v>
      </c>
      <c r="H1271" s="8" t="s">
        <v>71</v>
      </c>
      <c r="I1271" s="8" t="s">
        <v>4261</v>
      </c>
      <c r="J1271" s="8" t="s">
        <v>4262</v>
      </c>
    </row>
    <row r="1272">
      <c r="A1272" s="7">
        <v>2.0028724E7</v>
      </c>
      <c r="B1272" s="8" t="s">
        <v>2426</v>
      </c>
      <c r="C1272" s="8" t="s">
        <v>4263</v>
      </c>
      <c r="D1272" s="8" t="s">
        <v>16</v>
      </c>
      <c r="E1272" s="8" t="s">
        <v>17</v>
      </c>
      <c r="F1272" s="9">
        <v>46031.0</v>
      </c>
      <c r="G1272" s="8" t="s">
        <v>59</v>
      </c>
      <c r="H1272" s="8" t="s">
        <v>60</v>
      </c>
      <c r="I1272" s="8" t="s">
        <v>4264</v>
      </c>
      <c r="J1272" s="8" t="s">
        <v>4265</v>
      </c>
    </row>
    <row r="1273">
      <c r="A1273" s="7">
        <v>2.002726E7</v>
      </c>
      <c r="B1273" s="8" t="s">
        <v>2426</v>
      </c>
      <c r="C1273" s="8" t="s">
        <v>4266</v>
      </c>
      <c r="D1273" s="8" t="s">
        <v>16</v>
      </c>
      <c r="E1273" s="8" t="s">
        <v>17</v>
      </c>
      <c r="F1273" s="9">
        <v>46031.0</v>
      </c>
      <c r="G1273" s="8" t="s">
        <v>4267</v>
      </c>
      <c r="H1273" s="8" t="s">
        <v>4268</v>
      </c>
      <c r="I1273" s="8" t="s">
        <v>4269</v>
      </c>
      <c r="J1273" s="8" t="s">
        <v>4270</v>
      </c>
    </row>
    <row r="1274">
      <c r="A1274" s="7">
        <v>2.0028562E7</v>
      </c>
      <c r="B1274" s="8" t="s">
        <v>2426</v>
      </c>
      <c r="C1274" s="8" t="s">
        <v>4271</v>
      </c>
      <c r="D1274" s="8" t="s">
        <v>16</v>
      </c>
      <c r="E1274" s="8" t="s">
        <v>17</v>
      </c>
      <c r="F1274" s="9">
        <v>46043.0</v>
      </c>
      <c r="G1274" s="8" t="s">
        <v>626</v>
      </c>
      <c r="H1274" s="8" t="s">
        <v>627</v>
      </c>
      <c r="I1274" s="8" t="s">
        <v>4272</v>
      </c>
      <c r="J1274" s="8" t="s">
        <v>4273</v>
      </c>
    </row>
    <row r="1275">
      <c r="A1275" s="7">
        <v>2.0028293E7</v>
      </c>
      <c r="B1275" s="8" t="s">
        <v>2426</v>
      </c>
      <c r="C1275" s="8" t="s">
        <v>4274</v>
      </c>
      <c r="D1275" s="8" t="s">
        <v>16</v>
      </c>
      <c r="E1275" s="8" t="s">
        <v>17</v>
      </c>
      <c r="F1275" s="9">
        <v>46042.0</v>
      </c>
      <c r="G1275" s="8" t="s">
        <v>158</v>
      </c>
      <c r="H1275" s="8" t="s">
        <v>159</v>
      </c>
      <c r="I1275" s="8" t="s">
        <v>4275</v>
      </c>
      <c r="J1275" s="8" t="s">
        <v>4276</v>
      </c>
    </row>
    <row r="1276">
      <c r="A1276" s="7">
        <v>2.0030508E7</v>
      </c>
      <c r="B1276" s="8" t="s">
        <v>2426</v>
      </c>
      <c r="C1276" s="8" t="s">
        <v>4277</v>
      </c>
      <c r="D1276" s="8" t="s">
        <v>16</v>
      </c>
      <c r="E1276" s="8" t="s">
        <v>17</v>
      </c>
      <c r="F1276" s="9">
        <v>46038.0</v>
      </c>
      <c r="G1276" s="8" t="s">
        <v>18</v>
      </c>
      <c r="H1276" s="8" t="s">
        <v>19</v>
      </c>
      <c r="I1276" s="8" t="s">
        <v>4278</v>
      </c>
      <c r="J1276" s="8" t="s">
        <v>4279</v>
      </c>
    </row>
    <row r="1277">
      <c r="A1277" s="7">
        <v>2.0030794E7</v>
      </c>
      <c r="B1277" s="8" t="s">
        <v>2426</v>
      </c>
      <c r="C1277" s="8" t="s">
        <v>4280</v>
      </c>
      <c r="D1277" s="8" t="s">
        <v>16</v>
      </c>
      <c r="E1277" s="8" t="s">
        <v>17</v>
      </c>
      <c r="F1277" s="9">
        <v>46040.0</v>
      </c>
      <c r="G1277" s="8" t="s">
        <v>171</v>
      </c>
      <c r="H1277" s="8" t="s">
        <v>172</v>
      </c>
      <c r="I1277" s="8" t="s">
        <v>4281</v>
      </c>
      <c r="J1277" s="8" t="s">
        <v>4282</v>
      </c>
    </row>
    <row r="1278">
      <c r="A1278" s="7">
        <v>2.0030847E7</v>
      </c>
      <c r="B1278" s="8" t="s">
        <v>2426</v>
      </c>
      <c r="C1278" s="8" t="s">
        <v>4283</v>
      </c>
      <c r="D1278" s="8" t="s">
        <v>16</v>
      </c>
      <c r="E1278" s="8" t="s">
        <v>17</v>
      </c>
      <c r="F1278" s="9">
        <v>46040.0</v>
      </c>
      <c r="G1278" s="8" t="s">
        <v>171</v>
      </c>
      <c r="H1278" s="8" t="s">
        <v>172</v>
      </c>
      <c r="I1278" s="8" t="s">
        <v>4284</v>
      </c>
      <c r="J1278" s="8" t="s">
        <v>4285</v>
      </c>
    </row>
    <row r="1279">
      <c r="A1279" s="7">
        <v>2.0028507E7</v>
      </c>
      <c r="B1279" s="8" t="s">
        <v>2426</v>
      </c>
      <c r="C1279" s="8" t="s">
        <v>4286</v>
      </c>
      <c r="D1279" s="8" t="s">
        <v>16</v>
      </c>
      <c r="E1279" s="8" t="s">
        <v>17</v>
      </c>
      <c r="F1279" s="9">
        <v>46028.0</v>
      </c>
      <c r="G1279" s="8" t="s">
        <v>91</v>
      </c>
      <c r="H1279" s="8" t="s">
        <v>92</v>
      </c>
      <c r="I1279" s="8" t="s">
        <v>4287</v>
      </c>
      <c r="J1279" s="8" t="s">
        <v>4288</v>
      </c>
    </row>
    <row r="1280">
      <c r="A1280" s="7">
        <v>2.0029531E7</v>
      </c>
      <c r="B1280" s="8" t="s">
        <v>2426</v>
      </c>
      <c r="C1280" s="8" t="s">
        <v>4289</v>
      </c>
      <c r="D1280" s="8" t="s">
        <v>16</v>
      </c>
      <c r="E1280" s="8" t="s">
        <v>17</v>
      </c>
      <c r="F1280" s="9">
        <v>46036.0</v>
      </c>
      <c r="G1280" s="8" t="s">
        <v>4290</v>
      </c>
      <c r="H1280" s="8" t="s">
        <v>4291</v>
      </c>
      <c r="I1280" s="8" t="s">
        <v>4292</v>
      </c>
      <c r="J1280" s="8" t="s">
        <v>4293</v>
      </c>
    </row>
    <row r="1281">
      <c r="A1281" s="7">
        <v>2.0025309E7</v>
      </c>
      <c r="B1281" s="8" t="s">
        <v>2426</v>
      </c>
      <c r="C1281" s="8" t="s">
        <v>4294</v>
      </c>
      <c r="D1281" s="8" t="s">
        <v>16</v>
      </c>
      <c r="E1281" s="8" t="s">
        <v>17</v>
      </c>
      <c r="F1281" s="9">
        <v>46031.0</v>
      </c>
      <c r="G1281" s="8" t="s">
        <v>59</v>
      </c>
      <c r="H1281" s="8" t="s">
        <v>60</v>
      </c>
      <c r="I1281" s="8" t="s">
        <v>4295</v>
      </c>
      <c r="J1281" s="8" t="s">
        <v>4296</v>
      </c>
    </row>
    <row r="1282">
      <c r="A1282" s="7">
        <v>2.002545E7</v>
      </c>
      <c r="B1282" s="8" t="s">
        <v>2426</v>
      </c>
      <c r="C1282" s="8" t="s">
        <v>4297</v>
      </c>
      <c r="D1282" s="8" t="s">
        <v>16</v>
      </c>
      <c r="E1282" s="8" t="s">
        <v>17</v>
      </c>
      <c r="F1282" s="9">
        <v>46047.0</v>
      </c>
      <c r="G1282" s="8" t="s">
        <v>1174</v>
      </c>
      <c r="H1282" s="8" t="s">
        <v>1175</v>
      </c>
      <c r="I1282" s="8" t="s">
        <v>4298</v>
      </c>
      <c r="J1282" s="8" t="s">
        <v>4299</v>
      </c>
    </row>
    <row r="1283">
      <c r="A1283" s="7">
        <v>2.0029624E7</v>
      </c>
      <c r="B1283" s="8" t="s">
        <v>2426</v>
      </c>
      <c r="C1283" s="8" t="s">
        <v>4300</v>
      </c>
      <c r="D1283" s="8" t="s">
        <v>16</v>
      </c>
      <c r="E1283" s="8" t="s">
        <v>17</v>
      </c>
      <c r="F1283" s="9">
        <v>46049.0</v>
      </c>
      <c r="G1283" s="8" t="s">
        <v>467</v>
      </c>
      <c r="H1283" s="8" t="s">
        <v>468</v>
      </c>
      <c r="I1283" s="8" t="s">
        <v>4301</v>
      </c>
      <c r="J1283" s="8" t="s">
        <v>4302</v>
      </c>
    </row>
    <row r="1284">
      <c r="A1284" s="7">
        <v>2.0028496E7</v>
      </c>
      <c r="B1284" s="8" t="s">
        <v>2426</v>
      </c>
      <c r="C1284" s="8" t="s">
        <v>4303</v>
      </c>
      <c r="D1284" s="8" t="s">
        <v>16</v>
      </c>
      <c r="E1284" s="8" t="s">
        <v>17</v>
      </c>
      <c r="F1284" s="9">
        <v>46042.0</v>
      </c>
      <c r="G1284" s="8" t="s">
        <v>2202</v>
      </c>
      <c r="H1284" s="8" t="s">
        <v>2203</v>
      </c>
      <c r="I1284" s="8" t="s">
        <v>4304</v>
      </c>
      <c r="J1284" s="8" t="s">
        <v>4305</v>
      </c>
    </row>
    <row r="1285">
      <c r="A1285" s="7">
        <v>2.0025973E7</v>
      </c>
      <c r="B1285" s="8" t="s">
        <v>2426</v>
      </c>
      <c r="C1285" s="8" t="s">
        <v>4306</v>
      </c>
      <c r="D1285" s="8" t="s">
        <v>16</v>
      </c>
      <c r="E1285" s="8" t="s">
        <v>17</v>
      </c>
      <c r="F1285" s="9">
        <v>46031.0</v>
      </c>
      <c r="G1285" s="8" t="s">
        <v>59</v>
      </c>
      <c r="H1285" s="8" t="s">
        <v>60</v>
      </c>
      <c r="I1285" s="8" t="s">
        <v>4307</v>
      </c>
      <c r="J1285" s="8" t="s">
        <v>4308</v>
      </c>
    </row>
    <row r="1286">
      <c r="A1286" s="7">
        <v>2.0030269E7</v>
      </c>
      <c r="B1286" s="8" t="s">
        <v>2426</v>
      </c>
      <c r="C1286" s="8" t="s">
        <v>4309</v>
      </c>
      <c r="D1286" s="8" t="s">
        <v>16</v>
      </c>
      <c r="E1286" s="8" t="s">
        <v>17</v>
      </c>
      <c r="F1286" s="9">
        <v>46042.0</v>
      </c>
      <c r="G1286" s="8" t="s">
        <v>1524</v>
      </c>
      <c r="H1286" s="8" t="s">
        <v>1525</v>
      </c>
      <c r="I1286" s="8" t="s">
        <v>4310</v>
      </c>
      <c r="J1286" s="8" t="s">
        <v>4311</v>
      </c>
    </row>
    <row r="1287">
      <c r="A1287" s="7">
        <v>2.0029613E7</v>
      </c>
      <c r="B1287" s="8" t="s">
        <v>2426</v>
      </c>
      <c r="C1287" s="8" t="s">
        <v>4312</v>
      </c>
      <c r="D1287" s="8" t="s">
        <v>16</v>
      </c>
      <c r="E1287" s="8" t="s">
        <v>17</v>
      </c>
      <c r="F1287" s="9">
        <v>46042.0</v>
      </c>
      <c r="G1287" s="8" t="s">
        <v>171</v>
      </c>
      <c r="H1287" s="8" t="s">
        <v>172</v>
      </c>
      <c r="I1287" s="8" t="s">
        <v>4313</v>
      </c>
      <c r="J1287" s="8" t="s">
        <v>4314</v>
      </c>
    </row>
    <row r="1288">
      <c r="A1288" s="7">
        <v>2.0029626E7</v>
      </c>
      <c r="B1288" s="8" t="s">
        <v>2426</v>
      </c>
      <c r="C1288" s="8" t="s">
        <v>4315</v>
      </c>
      <c r="D1288" s="8" t="s">
        <v>16</v>
      </c>
      <c r="E1288" s="8" t="s">
        <v>17</v>
      </c>
      <c r="F1288" s="9">
        <v>46045.0</v>
      </c>
      <c r="G1288" s="8" t="s">
        <v>171</v>
      </c>
      <c r="H1288" s="8" t="s">
        <v>172</v>
      </c>
      <c r="I1288" s="8" t="s">
        <v>4316</v>
      </c>
      <c r="J1288" s="8" t="s">
        <v>4317</v>
      </c>
    </row>
    <row r="1289">
      <c r="A1289" s="7">
        <v>2.0028592E7</v>
      </c>
      <c r="B1289" s="8" t="s">
        <v>2426</v>
      </c>
      <c r="C1289" s="8" t="s">
        <v>4318</v>
      </c>
      <c r="D1289" s="8" t="s">
        <v>16</v>
      </c>
      <c r="E1289" s="8" t="s">
        <v>17</v>
      </c>
      <c r="F1289" s="9">
        <v>46043.0</v>
      </c>
      <c r="G1289" s="8" t="s">
        <v>2170</v>
      </c>
      <c r="H1289" s="8" t="s">
        <v>2171</v>
      </c>
      <c r="I1289" s="8" t="s">
        <v>4319</v>
      </c>
      <c r="J1289" s="8" t="s">
        <v>4320</v>
      </c>
    </row>
    <row r="1290">
      <c r="A1290" s="7">
        <v>2.0026638E7</v>
      </c>
      <c r="B1290" s="8" t="s">
        <v>2426</v>
      </c>
      <c r="C1290" s="8" t="s">
        <v>4321</v>
      </c>
      <c r="D1290" s="8" t="s">
        <v>16</v>
      </c>
      <c r="E1290" s="8" t="s">
        <v>17</v>
      </c>
      <c r="F1290" s="9">
        <v>46029.0</v>
      </c>
      <c r="G1290" s="8" t="s">
        <v>195</v>
      </c>
      <c r="H1290" s="8" t="s">
        <v>196</v>
      </c>
      <c r="I1290" s="8" t="s">
        <v>4322</v>
      </c>
      <c r="J1290" s="8" t="s">
        <v>4323</v>
      </c>
    </row>
    <row r="1291">
      <c r="A1291" s="7">
        <v>2.002996E7</v>
      </c>
      <c r="B1291" s="8" t="s">
        <v>2426</v>
      </c>
      <c r="C1291" s="8" t="s">
        <v>4324</v>
      </c>
      <c r="D1291" s="8" t="s">
        <v>16</v>
      </c>
      <c r="E1291" s="8" t="s">
        <v>17</v>
      </c>
      <c r="F1291" s="9">
        <v>46046.0</v>
      </c>
      <c r="G1291" s="8" t="s">
        <v>410</v>
      </c>
      <c r="H1291" s="8" t="s">
        <v>411</v>
      </c>
      <c r="I1291" s="8" t="s">
        <v>4325</v>
      </c>
      <c r="J1291" s="8" t="s">
        <v>4326</v>
      </c>
    </row>
    <row r="1292">
      <c r="A1292" s="7">
        <v>2.0028128E7</v>
      </c>
      <c r="B1292" s="8" t="s">
        <v>2426</v>
      </c>
      <c r="C1292" s="8" t="s">
        <v>4327</v>
      </c>
      <c r="D1292" s="8" t="s">
        <v>16</v>
      </c>
      <c r="E1292" s="8" t="s">
        <v>17</v>
      </c>
      <c r="F1292" s="9">
        <v>46044.0</v>
      </c>
      <c r="G1292" s="8" t="s">
        <v>1616</v>
      </c>
      <c r="H1292" s="8" t="s">
        <v>1617</v>
      </c>
      <c r="I1292" s="8" t="s">
        <v>4328</v>
      </c>
      <c r="J1292" s="8" t="s">
        <v>4329</v>
      </c>
    </row>
    <row r="1293">
      <c r="A1293" s="7">
        <v>2.0028025E7</v>
      </c>
      <c r="B1293" s="8" t="s">
        <v>2426</v>
      </c>
      <c r="C1293" s="8" t="s">
        <v>4330</v>
      </c>
      <c r="D1293" s="8" t="s">
        <v>16</v>
      </c>
      <c r="E1293" s="8" t="s">
        <v>17</v>
      </c>
      <c r="F1293" s="9">
        <v>46032.0</v>
      </c>
      <c r="G1293" s="8" t="s">
        <v>365</v>
      </c>
      <c r="H1293" s="8" t="s">
        <v>366</v>
      </c>
      <c r="I1293" s="8" t="s">
        <v>4331</v>
      </c>
      <c r="J1293" s="8" t="s">
        <v>4332</v>
      </c>
    </row>
    <row r="1294">
      <c r="A1294" s="7">
        <v>2.0030233E7</v>
      </c>
      <c r="B1294" s="8" t="s">
        <v>2426</v>
      </c>
      <c r="C1294" s="8" t="s">
        <v>4333</v>
      </c>
      <c r="D1294" s="8" t="s">
        <v>16</v>
      </c>
      <c r="E1294" s="8" t="s">
        <v>17</v>
      </c>
      <c r="F1294" s="9">
        <v>46029.0</v>
      </c>
      <c r="G1294" s="8" t="s">
        <v>826</v>
      </c>
      <c r="H1294" s="8" t="s">
        <v>827</v>
      </c>
      <c r="I1294" s="8" t="s">
        <v>4334</v>
      </c>
      <c r="J1294" s="8" t="s">
        <v>4335</v>
      </c>
    </row>
    <row r="1295">
      <c r="A1295" s="7">
        <v>2.0029719E7</v>
      </c>
      <c r="B1295" s="8" t="s">
        <v>2426</v>
      </c>
      <c r="C1295" s="8" t="s">
        <v>4336</v>
      </c>
      <c r="D1295" s="8" t="s">
        <v>16</v>
      </c>
      <c r="E1295" s="8" t="s">
        <v>17</v>
      </c>
      <c r="F1295" s="9">
        <v>46054.0</v>
      </c>
      <c r="G1295" s="8" t="s">
        <v>171</v>
      </c>
      <c r="H1295" s="8" t="s">
        <v>172</v>
      </c>
      <c r="I1295" s="8" t="s">
        <v>4337</v>
      </c>
      <c r="J1295" s="8" t="s">
        <v>4338</v>
      </c>
    </row>
    <row r="1296">
      <c r="A1296" s="7">
        <v>2.0027478E7</v>
      </c>
      <c r="B1296" s="8" t="s">
        <v>2426</v>
      </c>
      <c r="C1296" s="8" t="s">
        <v>4339</v>
      </c>
      <c r="D1296" s="8" t="s">
        <v>16</v>
      </c>
      <c r="E1296" s="8" t="s">
        <v>17</v>
      </c>
      <c r="F1296" s="9">
        <v>46028.0</v>
      </c>
      <c r="G1296" s="8" t="s">
        <v>59</v>
      </c>
      <c r="H1296" s="8" t="s">
        <v>60</v>
      </c>
      <c r="I1296" s="8" t="s">
        <v>4340</v>
      </c>
      <c r="J1296" s="8" t="s">
        <v>4341</v>
      </c>
    </row>
    <row r="1297">
      <c r="A1297" s="7">
        <v>2.0027561E7</v>
      </c>
      <c r="B1297" s="8" t="s">
        <v>2426</v>
      </c>
      <c r="C1297" s="8" t="s">
        <v>4342</v>
      </c>
      <c r="D1297" s="8" t="s">
        <v>16</v>
      </c>
      <c r="E1297" s="8" t="s">
        <v>17</v>
      </c>
      <c r="F1297" s="9">
        <v>46045.0</v>
      </c>
      <c r="G1297" s="8" t="s">
        <v>626</v>
      </c>
      <c r="H1297" s="8" t="s">
        <v>627</v>
      </c>
      <c r="I1297" s="8" t="s">
        <v>4343</v>
      </c>
      <c r="J1297" s="8" t="s">
        <v>4344</v>
      </c>
    </row>
    <row r="1298">
      <c r="A1298" s="7">
        <v>2.0023836E7</v>
      </c>
      <c r="B1298" s="8" t="s">
        <v>2426</v>
      </c>
      <c r="C1298" s="8" t="s">
        <v>4345</v>
      </c>
      <c r="D1298" s="8" t="s">
        <v>16</v>
      </c>
      <c r="E1298" s="8" t="s">
        <v>17</v>
      </c>
      <c r="F1298" s="9">
        <v>46042.0</v>
      </c>
      <c r="G1298" s="8" t="s">
        <v>137</v>
      </c>
      <c r="H1298" s="8" t="s">
        <v>138</v>
      </c>
      <c r="I1298" s="8" t="s">
        <v>4346</v>
      </c>
      <c r="J1298" s="8" t="s">
        <v>4347</v>
      </c>
    </row>
    <row r="1299">
      <c r="A1299" s="7">
        <v>2.0030488E7</v>
      </c>
      <c r="B1299" s="8" t="s">
        <v>2426</v>
      </c>
      <c r="C1299" s="8" t="s">
        <v>4348</v>
      </c>
      <c r="D1299" s="8" t="s">
        <v>16</v>
      </c>
      <c r="E1299" s="8" t="s">
        <v>17</v>
      </c>
      <c r="F1299" s="9">
        <v>46046.0</v>
      </c>
      <c r="G1299" s="8" t="s">
        <v>124</v>
      </c>
      <c r="H1299" s="8" t="s">
        <v>125</v>
      </c>
      <c r="I1299" s="8" t="s">
        <v>4349</v>
      </c>
      <c r="J1299" s="8" t="s">
        <v>4350</v>
      </c>
    </row>
    <row r="1300">
      <c r="A1300" s="7">
        <v>2.0027449E7</v>
      </c>
      <c r="B1300" s="8" t="s">
        <v>2426</v>
      </c>
      <c r="C1300" s="8" t="s">
        <v>4351</v>
      </c>
      <c r="D1300" s="8" t="s">
        <v>16</v>
      </c>
      <c r="E1300" s="8" t="s">
        <v>17</v>
      </c>
      <c r="F1300" s="9">
        <v>46030.0</v>
      </c>
      <c r="G1300" s="8" t="s">
        <v>2486</v>
      </c>
      <c r="H1300" s="8" t="s">
        <v>44</v>
      </c>
      <c r="I1300" s="8" t="s">
        <v>4352</v>
      </c>
      <c r="J1300" s="8" t="s">
        <v>4353</v>
      </c>
    </row>
    <row r="1301">
      <c r="A1301" s="7">
        <v>2.0027649E7</v>
      </c>
      <c r="B1301" s="8" t="s">
        <v>2426</v>
      </c>
      <c r="C1301" s="8" t="s">
        <v>4354</v>
      </c>
      <c r="D1301" s="8" t="s">
        <v>16</v>
      </c>
      <c r="E1301" s="8" t="s">
        <v>17</v>
      </c>
      <c r="F1301" s="9">
        <v>46046.0</v>
      </c>
      <c r="G1301" s="8" t="s">
        <v>390</v>
      </c>
      <c r="H1301" s="8" t="s">
        <v>391</v>
      </c>
      <c r="I1301" s="8" t="s">
        <v>4355</v>
      </c>
      <c r="J1301" s="8" t="s">
        <v>4356</v>
      </c>
    </row>
    <row r="1302">
      <c r="A1302" s="7">
        <v>2.0012185E7</v>
      </c>
      <c r="B1302" s="8" t="s">
        <v>2426</v>
      </c>
      <c r="C1302" s="8" t="s">
        <v>4357</v>
      </c>
      <c r="D1302" s="8" t="s">
        <v>16</v>
      </c>
      <c r="E1302" s="8" t="s">
        <v>17</v>
      </c>
      <c r="F1302" s="9">
        <v>46032.0</v>
      </c>
      <c r="G1302" s="8" t="s">
        <v>195</v>
      </c>
      <c r="H1302" s="8" t="s">
        <v>196</v>
      </c>
      <c r="I1302" s="8" t="s">
        <v>4358</v>
      </c>
      <c r="J1302" s="8" t="s">
        <v>4359</v>
      </c>
    </row>
    <row r="1303">
      <c r="A1303" s="7">
        <v>2.0025545E7</v>
      </c>
      <c r="B1303" s="8" t="s">
        <v>2426</v>
      </c>
      <c r="C1303" s="8" t="s">
        <v>4360</v>
      </c>
      <c r="D1303" s="8" t="s">
        <v>16</v>
      </c>
      <c r="E1303" s="8" t="s">
        <v>17</v>
      </c>
      <c r="F1303" s="9">
        <v>46031.0</v>
      </c>
      <c r="G1303" s="8" t="s">
        <v>59</v>
      </c>
      <c r="H1303" s="8" t="s">
        <v>60</v>
      </c>
      <c r="I1303" s="8" t="s">
        <v>4361</v>
      </c>
      <c r="J1303" s="8" t="s">
        <v>4362</v>
      </c>
    </row>
    <row r="1304">
      <c r="A1304" s="7">
        <v>2.0027248E7</v>
      </c>
      <c r="B1304" s="8" t="s">
        <v>2426</v>
      </c>
      <c r="C1304" s="8" t="s">
        <v>4363</v>
      </c>
      <c r="D1304" s="8" t="s">
        <v>16</v>
      </c>
      <c r="E1304" s="8" t="s">
        <v>17</v>
      </c>
      <c r="F1304" s="9">
        <v>46036.0</v>
      </c>
      <c r="G1304" s="8" t="s">
        <v>91</v>
      </c>
      <c r="H1304" s="8" t="s">
        <v>92</v>
      </c>
      <c r="I1304" s="8" t="s">
        <v>4364</v>
      </c>
      <c r="J1304" s="8" t="s">
        <v>4365</v>
      </c>
    </row>
    <row r="1305">
      <c r="A1305" s="7">
        <v>2.0027693E7</v>
      </c>
      <c r="B1305" s="8" t="s">
        <v>2426</v>
      </c>
      <c r="C1305" s="8" t="s">
        <v>4366</v>
      </c>
      <c r="D1305" s="8" t="s">
        <v>16</v>
      </c>
      <c r="E1305" s="8" t="s">
        <v>17</v>
      </c>
      <c r="F1305" s="9">
        <v>46037.0</v>
      </c>
      <c r="G1305" s="8" t="s">
        <v>158</v>
      </c>
      <c r="H1305" s="8" t="s">
        <v>159</v>
      </c>
      <c r="I1305" s="8" t="s">
        <v>4367</v>
      </c>
      <c r="J1305" s="8" t="s">
        <v>4368</v>
      </c>
    </row>
    <row r="1306">
      <c r="A1306" s="7">
        <v>2.0020133E7</v>
      </c>
      <c r="B1306" s="8" t="s">
        <v>2426</v>
      </c>
      <c r="C1306" s="8" t="s">
        <v>4369</v>
      </c>
      <c r="D1306" s="8" t="s">
        <v>16</v>
      </c>
      <c r="E1306" s="8" t="s">
        <v>17</v>
      </c>
      <c r="F1306" s="9">
        <v>46039.0</v>
      </c>
      <c r="G1306" s="8" t="s">
        <v>361</v>
      </c>
      <c r="H1306" s="8" t="s">
        <v>362</v>
      </c>
      <c r="I1306" s="8" t="s">
        <v>4370</v>
      </c>
      <c r="J1306" s="8" t="s">
        <v>4371</v>
      </c>
    </row>
    <row r="1307">
      <c r="A1307" s="7">
        <v>2.0027121E7</v>
      </c>
      <c r="B1307" s="8" t="s">
        <v>2426</v>
      </c>
      <c r="C1307" s="8" t="s">
        <v>4372</v>
      </c>
      <c r="D1307" s="8" t="s">
        <v>16</v>
      </c>
      <c r="E1307" s="8" t="s">
        <v>17</v>
      </c>
      <c r="F1307" s="9">
        <v>46036.0</v>
      </c>
      <c r="G1307" s="8" t="s">
        <v>171</v>
      </c>
      <c r="H1307" s="8" t="s">
        <v>172</v>
      </c>
      <c r="I1307" s="8" t="s">
        <v>4373</v>
      </c>
      <c r="J1307" s="8" t="s">
        <v>4374</v>
      </c>
    </row>
    <row r="1308">
      <c r="A1308" s="7">
        <v>2.0026772E7</v>
      </c>
      <c r="B1308" s="8" t="s">
        <v>2426</v>
      </c>
      <c r="C1308" s="8" t="s">
        <v>4375</v>
      </c>
      <c r="D1308" s="8" t="s">
        <v>16</v>
      </c>
      <c r="E1308" s="8" t="s">
        <v>17</v>
      </c>
      <c r="F1308" s="9">
        <v>46041.0</v>
      </c>
      <c r="G1308" s="8" t="s">
        <v>171</v>
      </c>
      <c r="H1308" s="8" t="s">
        <v>172</v>
      </c>
      <c r="I1308" s="8" t="s">
        <v>4376</v>
      </c>
      <c r="J1308" s="8" t="s">
        <v>4377</v>
      </c>
    </row>
    <row r="1309">
      <c r="A1309" s="7">
        <v>2.0026759E7</v>
      </c>
      <c r="B1309" s="8" t="s">
        <v>2426</v>
      </c>
      <c r="C1309" s="8" t="s">
        <v>4378</v>
      </c>
      <c r="D1309" s="8" t="s">
        <v>16</v>
      </c>
      <c r="E1309" s="8" t="s">
        <v>17</v>
      </c>
      <c r="F1309" s="9">
        <v>46036.0</v>
      </c>
      <c r="G1309" s="8" t="s">
        <v>2931</v>
      </c>
      <c r="H1309" s="8" t="s">
        <v>2932</v>
      </c>
      <c r="I1309" s="8" t="s">
        <v>4379</v>
      </c>
      <c r="J1309" s="8" t="s">
        <v>4380</v>
      </c>
    </row>
    <row r="1310">
      <c r="A1310" s="7">
        <v>2.0027595E7</v>
      </c>
      <c r="B1310" s="8" t="s">
        <v>2426</v>
      </c>
      <c r="C1310" s="8" t="s">
        <v>4381</v>
      </c>
      <c r="D1310" s="8" t="s">
        <v>16</v>
      </c>
      <c r="E1310" s="8" t="s">
        <v>17</v>
      </c>
      <c r="F1310" s="9">
        <v>46039.0</v>
      </c>
      <c r="G1310" s="8" t="s">
        <v>4382</v>
      </c>
      <c r="H1310" s="8" t="s">
        <v>4383</v>
      </c>
      <c r="I1310" s="8" t="s">
        <v>4384</v>
      </c>
      <c r="J1310" s="8" t="s">
        <v>4385</v>
      </c>
    </row>
    <row r="1311">
      <c r="A1311" s="7">
        <v>2.0027394E7</v>
      </c>
      <c r="B1311" s="8" t="s">
        <v>2426</v>
      </c>
      <c r="C1311" s="8" t="s">
        <v>4386</v>
      </c>
      <c r="D1311" s="8" t="s">
        <v>16</v>
      </c>
      <c r="E1311" s="8" t="s">
        <v>17</v>
      </c>
      <c r="F1311" s="9">
        <v>46034.0</v>
      </c>
      <c r="G1311" s="8" t="s">
        <v>4387</v>
      </c>
      <c r="H1311" s="8" t="s">
        <v>4388</v>
      </c>
      <c r="I1311" s="8" t="s">
        <v>4389</v>
      </c>
      <c r="J1311" s="8" t="s">
        <v>4390</v>
      </c>
    </row>
    <row r="1312">
      <c r="A1312" s="7">
        <v>2.0027033E7</v>
      </c>
      <c r="B1312" s="8" t="s">
        <v>2426</v>
      </c>
      <c r="C1312" s="8" t="s">
        <v>4391</v>
      </c>
      <c r="D1312" s="8" t="s">
        <v>16</v>
      </c>
      <c r="E1312" s="8" t="s">
        <v>17</v>
      </c>
      <c r="F1312" s="9">
        <v>46035.0</v>
      </c>
      <c r="G1312" s="8" t="s">
        <v>4387</v>
      </c>
      <c r="H1312" s="8" t="s">
        <v>4388</v>
      </c>
      <c r="I1312" s="8" t="s">
        <v>4392</v>
      </c>
      <c r="J1312" s="8" t="s">
        <v>4393</v>
      </c>
    </row>
    <row r="1313">
      <c r="A1313" s="7">
        <v>2.0024221E7</v>
      </c>
      <c r="B1313" s="8" t="s">
        <v>2426</v>
      </c>
      <c r="C1313" s="8" t="s">
        <v>4394</v>
      </c>
      <c r="D1313" s="8" t="s">
        <v>16</v>
      </c>
      <c r="E1313" s="8" t="s">
        <v>17</v>
      </c>
      <c r="F1313" s="9">
        <v>46039.0</v>
      </c>
      <c r="G1313" s="8" t="s">
        <v>137</v>
      </c>
      <c r="H1313" s="8" t="s">
        <v>138</v>
      </c>
      <c r="I1313" s="8" t="s">
        <v>4395</v>
      </c>
      <c r="J1313" s="8" t="s">
        <v>4396</v>
      </c>
    </row>
    <row r="1314">
      <c r="A1314" s="7">
        <v>2.002676E7</v>
      </c>
      <c r="B1314" s="8" t="s">
        <v>2426</v>
      </c>
      <c r="C1314" s="8" t="s">
        <v>4397</v>
      </c>
      <c r="D1314" s="8" t="s">
        <v>16</v>
      </c>
      <c r="E1314" s="8" t="s">
        <v>17</v>
      </c>
      <c r="F1314" s="9">
        <v>46026.0</v>
      </c>
      <c r="G1314" s="8" t="s">
        <v>805</v>
      </c>
      <c r="H1314" s="8" t="s">
        <v>806</v>
      </c>
      <c r="I1314" s="8" t="s">
        <v>4398</v>
      </c>
      <c r="J1314" s="8" t="s">
        <v>4399</v>
      </c>
    </row>
    <row r="1315">
      <c r="A1315" s="7">
        <v>2.0026668E7</v>
      </c>
      <c r="B1315" s="8" t="s">
        <v>2426</v>
      </c>
      <c r="C1315" s="8" t="s">
        <v>4400</v>
      </c>
      <c r="D1315" s="8" t="s">
        <v>16</v>
      </c>
      <c r="E1315" s="8" t="s">
        <v>17</v>
      </c>
      <c r="F1315" s="9">
        <v>46035.0</v>
      </c>
      <c r="G1315" s="8" t="s">
        <v>4387</v>
      </c>
      <c r="H1315" s="8" t="s">
        <v>4388</v>
      </c>
      <c r="I1315" s="8" t="s">
        <v>4401</v>
      </c>
      <c r="J1315" s="8" t="s">
        <v>4402</v>
      </c>
    </row>
    <row r="1316">
      <c r="A1316" s="7">
        <v>2.0025715E7</v>
      </c>
      <c r="B1316" s="8" t="s">
        <v>2426</v>
      </c>
      <c r="C1316" s="8" t="s">
        <v>4403</v>
      </c>
      <c r="D1316" s="8" t="s">
        <v>16</v>
      </c>
      <c r="E1316" s="8" t="s">
        <v>17</v>
      </c>
      <c r="F1316" s="9">
        <v>46039.0</v>
      </c>
      <c r="G1316" s="8" t="s">
        <v>436</v>
      </c>
      <c r="H1316" s="8" t="s">
        <v>437</v>
      </c>
      <c r="I1316" s="8" t="s">
        <v>4404</v>
      </c>
      <c r="J1316" s="8" t="s">
        <v>4405</v>
      </c>
    </row>
    <row r="1317">
      <c r="A1317" s="7">
        <v>2.002317E7</v>
      </c>
      <c r="B1317" s="8" t="s">
        <v>2426</v>
      </c>
      <c r="C1317" s="8" t="s">
        <v>4406</v>
      </c>
      <c r="D1317" s="8" t="s">
        <v>16</v>
      </c>
      <c r="E1317" s="8" t="s">
        <v>17</v>
      </c>
      <c r="F1317" s="9">
        <v>46038.0</v>
      </c>
      <c r="G1317" s="8" t="s">
        <v>124</v>
      </c>
      <c r="H1317" s="8" t="s">
        <v>125</v>
      </c>
      <c r="I1317" s="8" t="s">
        <v>4407</v>
      </c>
      <c r="J1317" s="8" t="s">
        <v>4408</v>
      </c>
    </row>
    <row r="1318">
      <c r="A1318" s="7">
        <v>2.002558E7</v>
      </c>
      <c r="B1318" s="8" t="s">
        <v>2426</v>
      </c>
      <c r="C1318" s="8" t="s">
        <v>4409</v>
      </c>
      <c r="D1318" s="8" t="s">
        <v>16</v>
      </c>
      <c r="E1318" s="8" t="s">
        <v>17</v>
      </c>
      <c r="F1318" s="9">
        <v>46037.0</v>
      </c>
      <c r="G1318" s="8" t="s">
        <v>184</v>
      </c>
      <c r="H1318" s="8" t="s">
        <v>185</v>
      </c>
      <c r="I1318" s="8" t="s">
        <v>4410</v>
      </c>
      <c r="J1318" s="8" t="s">
        <v>4411</v>
      </c>
    </row>
    <row r="1319">
      <c r="A1319" s="7">
        <v>2.0026386E7</v>
      </c>
      <c r="B1319" s="8" t="s">
        <v>2426</v>
      </c>
      <c r="C1319" s="8" t="s">
        <v>4412</v>
      </c>
      <c r="D1319" s="8" t="s">
        <v>16</v>
      </c>
      <c r="E1319" s="8" t="s">
        <v>17</v>
      </c>
      <c r="F1319" s="9">
        <v>46036.0</v>
      </c>
      <c r="G1319" s="8" t="s">
        <v>410</v>
      </c>
      <c r="H1319" s="8" t="s">
        <v>411</v>
      </c>
      <c r="I1319" s="8" t="s">
        <v>4413</v>
      </c>
      <c r="J1319" s="8" t="s">
        <v>4414</v>
      </c>
    </row>
    <row r="1320">
      <c r="A1320" s="7">
        <v>2.0022587E7</v>
      </c>
      <c r="B1320" s="8" t="s">
        <v>2426</v>
      </c>
      <c r="C1320" s="8" t="s">
        <v>4415</v>
      </c>
      <c r="D1320" s="8" t="s">
        <v>16</v>
      </c>
      <c r="E1320" s="8" t="s">
        <v>17</v>
      </c>
      <c r="F1320" s="9">
        <v>46026.0</v>
      </c>
      <c r="G1320" s="8" t="s">
        <v>4416</v>
      </c>
      <c r="H1320" s="8" t="s">
        <v>4417</v>
      </c>
      <c r="I1320" s="8" t="s">
        <v>4418</v>
      </c>
      <c r="J1320" s="8" t="s">
        <v>4419</v>
      </c>
    </row>
    <row r="1321">
      <c r="A1321" s="7">
        <v>2.00255E7</v>
      </c>
      <c r="B1321" s="8" t="s">
        <v>2426</v>
      </c>
      <c r="C1321" s="8" t="s">
        <v>4420</v>
      </c>
      <c r="D1321" s="8" t="s">
        <v>16</v>
      </c>
      <c r="E1321" s="8" t="s">
        <v>17</v>
      </c>
      <c r="F1321" s="9">
        <v>46026.0</v>
      </c>
      <c r="G1321" s="8" t="s">
        <v>759</v>
      </c>
      <c r="H1321" s="8" t="s">
        <v>760</v>
      </c>
      <c r="I1321" s="8" t="s">
        <v>4421</v>
      </c>
      <c r="J1321" s="8" t="s">
        <v>4422</v>
      </c>
    </row>
    <row r="1322">
      <c r="A1322" s="7">
        <v>2.00255E7</v>
      </c>
      <c r="B1322" s="8" t="s">
        <v>2426</v>
      </c>
      <c r="C1322" s="8" t="s">
        <v>4420</v>
      </c>
      <c r="D1322" s="8" t="s">
        <v>16</v>
      </c>
      <c r="E1322" s="8" t="s">
        <v>17</v>
      </c>
      <c r="F1322" s="9">
        <v>46026.0</v>
      </c>
      <c r="G1322" s="8" t="s">
        <v>4423</v>
      </c>
      <c r="H1322" s="8" t="s">
        <v>4424</v>
      </c>
      <c r="I1322" s="8" t="s">
        <v>4425</v>
      </c>
      <c r="J1322" s="8" t="s">
        <v>4426</v>
      </c>
    </row>
    <row r="1323">
      <c r="A1323" s="7">
        <v>2.0026097E7</v>
      </c>
      <c r="B1323" s="8" t="s">
        <v>2426</v>
      </c>
      <c r="C1323" s="8" t="s">
        <v>4427</v>
      </c>
      <c r="D1323" s="8" t="s">
        <v>16</v>
      </c>
      <c r="E1323" s="8" t="s">
        <v>17</v>
      </c>
      <c r="F1323" s="9">
        <v>46024.0</v>
      </c>
      <c r="G1323" s="8" t="s">
        <v>390</v>
      </c>
      <c r="H1323" s="8" t="s">
        <v>391</v>
      </c>
      <c r="I1323" s="8" t="s">
        <v>4428</v>
      </c>
      <c r="J1323" s="8" t="s">
        <v>4429</v>
      </c>
    </row>
    <row r="1324">
      <c r="A1324" s="7">
        <v>2.0026044E7</v>
      </c>
      <c r="B1324" s="8" t="s">
        <v>2426</v>
      </c>
      <c r="C1324" s="8" t="s">
        <v>4430</v>
      </c>
      <c r="D1324" s="8" t="s">
        <v>16</v>
      </c>
      <c r="E1324" s="8" t="s">
        <v>17</v>
      </c>
      <c r="F1324" s="9">
        <v>46035.0</v>
      </c>
      <c r="G1324" s="8" t="s">
        <v>4431</v>
      </c>
      <c r="H1324" s="8" t="s">
        <v>4432</v>
      </c>
      <c r="I1324" s="8" t="s">
        <v>4433</v>
      </c>
      <c r="J1324" s="8" t="s">
        <v>4434</v>
      </c>
    </row>
    <row r="1325">
      <c r="A1325" s="7">
        <v>2.0025433E7</v>
      </c>
      <c r="B1325" s="8" t="s">
        <v>2426</v>
      </c>
      <c r="C1325" s="8" t="s">
        <v>4435</v>
      </c>
      <c r="D1325" s="8" t="s">
        <v>16</v>
      </c>
      <c r="E1325" s="8" t="s">
        <v>17</v>
      </c>
      <c r="F1325" s="9">
        <v>46026.0</v>
      </c>
      <c r="G1325" s="8" t="s">
        <v>390</v>
      </c>
      <c r="H1325" s="8" t="s">
        <v>391</v>
      </c>
      <c r="I1325" s="8" t="s">
        <v>4436</v>
      </c>
      <c r="J1325" s="8" t="s">
        <v>4437</v>
      </c>
    </row>
    <row r="1326">
      <c r="A1326" s="7">
        <v>2.0025326E7</v>
      </c>
      <c r="B1326" s="8" t="s">
        <v>2426</v>
      </c>
      <c r="C1326" s="8" t="s">
        <v>4438</v>
      </c>
      <c r="D1326" s="8" t="s">
        <v>16</v>
      </c>
      <c r="E1326" s="8" t="s">
        <v>4439</v>
      </c>
      <c r="F1326" s="9">
        <v>46027.0</v>
      </c>
      <c r="G1326" s="8" t="s">
        <v>4440</v>
      </c>
      <c r="H1326" s="8" t="s">
        <v>4441</v>
      </c>
      <c r="I1326" s="8" t="s">
        <v>4442</v>
      </c>
      <c r="J1326" s="8" t="s">
        <v>4443</v>
      </c>
    </row>
    <row r="1327">
      <c r="A1327" s="7">
        <v>2.0025326E7</v>
      </c>
      <c r="B1327" s="8" t="s">
        <v>2426</v>
      </c>
      <c r="C1327" s="8" t="s">
        <v>4438</v>
      </c>
      <c r="D1327" s="8" t="s">
        <v>16</v>
      </c>
      <c r="E1327" s="8" t="s">
        <v>4439</v>
      </c>
      <c r="F1327" s="9">
        <v>46027.0</v>
      </c>
      <c r="G1327" s="8" t="s">
        <v>225</v>
      </c>
      <c r="H1327" s="8" t="s">
        <v>226</v>
      </c>
      <c r="I1327" s="8" t="s">
        <v>4444</v>
      </c>
      <c r="J1327" s="8" t="s">
        <v>4445</v>
      </c>
    </row>
    <row r="1328">
      <c r="A1328" s="7">
        <v>2.0025111E7</v>
      </c>
      <c r="B1328" s="8" t="s">
        <v>2426</v>
      </c>
      <c r="C1328" s="8" t="s">
        <v>4446</v>
      </c>
      <c r="D1328" s="8" t="s">
        <v>16</v>
      </c>
      <c r="E1328" s="8" t="s">
        <v>17</v>
      </c>
      <c r="F1328" s="9">
        <v>46024.0</v>
      </c>
      <c r="G1328" s="8" t="s">
        <v>436</v>
      </c>
      <c r="H1328" s="8" t="s">
        <v>437</v>
      </c>
      <c r="I1328" s="8" t="s">
        <v>4447</v>
      </c>
      <c r="J1328" s="8" t="s">
        <v>4448</v>
      </c>
    </row>
    <row r="1329">
      <c r="A1329" s="7">
        <v>2.002727E7</v>
      </c>
      <c r="B1329" s="8" t="s">
        <v>2426</v>
      </c>
      <c r="C1329" s="8" t="s">
        <v>4449</v>
      </c>
      <c r="D1329" s="8" t="s">
        <v>16</v>
      </c>
      <c r="E1329" s="8" t="s">
        <v>17</v>
      </c>
      <c r="F1329" s="9">
        <v>46027.0</v>
      </c>
      <c r="G1329" s="8" t="s">
        <v>3313</v>
      </c>
      <c r="H1329" s="8" t="s">
        <v>2577</v>
      </c>
      <c r="I1329" s="8" t="s">
        <v>4450</v>
      </c>
      <c r="J1329" s="8" t="s">
        <v>4451</v>
      </c>
    </row>
    <row r="1330">
      <c r="A1330" s="7">
        <v>2.002727E7</v>
      </c>
      <c r="B1330" s="8" t="s">
        <v>2426</v>
      </c>
      <c r="C1330" s="8" t="s">
        <v>4449</v>
      </c>
      <c r="D1330" s="8" t="s">
        <v>16</v>
      </c>
      <c r="E1330" s="8" t="s">
        <v>17</v>
      </c>
      <c r="F1330" s="9">
        <v>46027.0</v>
      </c>
      <c r="G1330" s="8" t="s">
        <v>2625</v>
      </c>
      <c r="H1330" s="8" t="s">
        <v>827</v>
      </c>
      <c r="I1330" s="8" t="s">
        <v>4452</v>
      </c>
      <c r="J1330" s="8" t="s">
        <v>4453</v>
      </c>
    </row>
    <row r="1331">
      <c r="A1331" s="7">
        <v>2.0024791E7</v>
      </c>
      <c r="B1331" s="8" t="s">
        <v>2426</v>
      </c>
      <c r="C1331" s="8" t="s">
        <v>4454</v>
      </c>
      <c r="D1331" s="8" t="s">
        <v>16</v>
      </c>
      <c r="E1331" s="8" t="s">
        <v>17</v>
      </c>
      <c r="F1331" s="9">
        <v>46024.0</v>
      </c>
      <c r="G1331" s="8" t="s">
        <v>436</v>
      </c>
      <c r="H1331" s="8" t="s">
        <v>437</v>
      </c>
      <c r="I1331" s="8" t="s">
        <v>4455</v>
      </c>
      <c r="J1331" s="8" t="s">
        <v>4456</v>
      </c>
    </row>
    <row r="1332">
      <c r="A1332" s="7">
        <v>2.0024663E7</v>
      </c>
      <c r="B1332" s="8" t="s">
        <v>2426</v>
      </c>
      <c r="C1332" s="8" t="s">
        <v>4457</v>
      </c>
      <c r="D1332" s="8" t="s">
        <v>16</v>
      </c>
      <c r="E1332" s="8" t="s">
        <v>17</v>
      </c>
      <c r="F1332" s="9">
        <v>46029.0</v>
      </c>
      <c r="G1332" s="8" t="s">
        <v>390</v>
      </c>
      <c r="H1332" s="8" t="s">
        <v>391</v>
      </c>
      <c r="I1332" s="8" t="s">
        <v>4458</v>
      </c>
      <c r="J1332" s="8" t="s">
        <v>4459</v>
      </c>
    </row>
    <row r="1333">
      <c r="A1333" s="7">
        <v>2.0024528E7</v>
      </c>
      <c r="B1333" s="8" t="s">
        <v>2426</v>
      </c>
      <c r="C1333" s="8" t="s">
        <v>4460</v>
      </c>
      <c r="D1333" s="8" t="s">
        <v>16</v>
      </c>
      <c r="E1333" s="8" t="s">
        <v>17</v>
      </c>
      <c r="F1333" s="9">
        <v>46024.0</v>
      </c>
      <c r="G1333" s="8" t="s">
        <v>1627</v>
      </c>
      <c r="H1333" s="8" t="s">
        <v>1628</v>
      </c>
      <c r="I1333" s="8" t="s">
        <v>4461</v>
      </c>
      <c r="J1333" s="8" t="s">
        <v>4462</v>
      </c>
    </row>
    <row r="1334">
      <c r="A1334" s="7">
        <v>2.0025185E7</v>
      </c>
      <c r="B1334" s="8" t="s">
        <v>2426</v>
      </c>
      <c r="C1334" s="8" t="s">
        <v>4463</v>
      </c>
      <c r="D1334" s="8" t="s">
        <v>16</v>
      </c>
      <c r="E1334" s="8" t="s">
        <v>17</v>
      </c>
      <c r="F1334" s="9">
        <v>46025.0</v>
      </c>
      <c r="G1334" s="8" t="s">
        <v>2466</v>
      </c>
      <c r="H1334" s="8" t="s">
        <v>2467</v>
      </c>
      <c r="I1334" s="8" t="s">
        <v>4464</v>
      </c>
      <c r="J1334" s="8" t="s">
        <v>4465</v>
      </c>
    </row>
    <row r="1335">
      <c r="A1335" s="7">
        <v>2.0027119E7</v>
      </c>
      <c r="B1335" s="8" t="s">
        <v>2426</v>
      </c>
      <c r="C1335" s="8" t="s">
        <v>4466</v>
      </c>
      <c r="D1335" s="8" t="s">
        <v>16</v>
      </c>
      <c r="E1335" s="8" t="s">
        <v>17</v>
      </c>
      <c r="F1335" s="9">
        <v>46026.0</v>
      </c>
      <c r="G1335" s="8" t="s">
        <v>4467</v>
      </c>
      <c r="H1335" s="8" t="s">
        <v>4468</v>
      </c>
      <c r="I1335" s="8" t="s">
        <v>4469</v>
      </c>
      <c r="J1335" s="8" t="s">
        <v>4470</v>
      </c>
    </row>
    <row r="1336">
      <c r="A1336" s="7">
        <v>2.0023463E7</v>
      </c>
      <c r="B1336" s="8" t="s">
        <v>2426</v>
      </c>
      <c r="C1336" s="8" t="s">
        <v>4471</v>
      </c>
      <c r="D1336" s="8" t="s">
        <v>16</v>
      </c>
      <c r="E1336" s="8" t="s">
        <v>17</v>
      </c>
      <c r="F1336" s="9">
        <v>46029.0</v>
      </c>
      <c r="G1336" s="8" t="s">
        <v>4472</v>
      </c>
      <c r="H1336" s="8" t="s">
        <v>4473</v>
      </c>
      <c r="I1336" s="8" t="s">
        <v>4165</v>
      </c>
      <c r="J1336" s="8" t="s">
        <v>4474</v>
      </c>
    </row>
    <row r="1337">
      <c r="A1337" s="7">
        <v>2.0023463E7</v>
      </c>
      <c r="B1337" s="8" t="s">
        <v>2426</v>
      </c>
      <c r="C1337" s="8" t="s">
        <v>4471</v>
      </c>
      <c r="D1337" s="8" t="s">
        <v>16</v>
      </c>
      <c r="E1337" s="8" t="s">
        <v>17</v>
      </c>
      <c r="F1337" s="9">
        <v>46029.0</v>
      </c>
      <c r="G1337" s="8" t="s">
        <v>3088</v>
      </c>
      <c r="H1337" s="8" t="s">
        <v>3089</v>
      </c>
      <c r="I1337" s="8" t="s">
        <v>4475</v>
      </c>
      <c r="J1337" s="8" t="s">
        <v>4476</v>
      </c>
    </row>
    <row r="1338">
      <c r="A1338" s="7">
        <v>2.0022357E7</v>
      </c>
      <c r="B1338" s="8" t="s">
        <v>2426</v>
      </c>
      <c r="C1338" s="8" t="s">
        <v>4477</v>
      </c>
      <c r="D1338" s="8" t="s">
        <v>16</v>
      </c>
      <c r="E1338" s="8" t="s">
        <v>4243</v>
      </c>
      <c r="F1338" s="9">
        <v>46036.0</v>
      </c>
      <c r="G1338" s="8" t="s">
        <v>436</v>
      </c>
      <c r="H1338" s="8" t="s">
        <v>437</v>
      </c>
      <c r="I1338" s="8" t="s">
        <v>4478</v>
      </c>
      <c r="J1338" s="8" t="s">
        <v>4479</v>
      </c>
    </row>
    <row r="1339">
      <c r="A1339" s="7">
        <v>2.0022357E7</v>
      </c>
      <c r="B1339" s="8" t="s">
        <v>2426</v>
      </c>
      <c r="C1339" s="8" t="s">
        <v>4477</v>
      </c>
      <c r="D1339" s="8" t="s">
        <v>16</v>
      </c>
      <c r="E1339" s="8" t="s">
        <v>4243</v>
      </c>
      <c r="F1339" s="9">
        <v>46036.0</v>
      </c>
      <c r="G1339" s="8" t="s">
        <v>436</v>
      </c>
      <c r="H1339" s="8" t="s">
        <v>437</v>
      </c>
      <c r="I1339" s="8" t="s">
        <v>4480</v>
      </c>
      <c r="J1339" s="8" t="s">
        <v>4479</v>
      </c>
    </row>
    <row r="1340">
      <c r="A1340" s="7">
        <v>2.0051426E7</v>
      </c>
      <c r="B1340" s="8" t="s">
        <v>4481</v>
      </c>
      <c r="C1340" s="8" t="s">
        <v>4482</v>
      </c>
      <c r="D1340" s="8" t="s">
        <v>16</v>
      </c>
      <c r="E1340" s="8" t="s">
        <v>17</v>
      </c>
      <c r="F1340" s="9">
        <v>46111.0</v>
      </c>
      <c r="G1340" s="8" t="s">
        <v>759</v>
      </c>
      <c r="H1340" s="8" t="s">
        <v>760</v>
      </c>
      <c r="I1340" s="8" t="s">
        <v>4483</v>
      </c>
      <c r="J1340" s="8"/>
    </row>
    <row r="1341">
      <c r="A1341" s="7">
        <v>2.0051426E7</v>
      </c>
      <c r="B1341" s="8" t="s">
        <v>4481</v>
      </c>
      <c r="C1341" s="8" t="s">
        <v>4482</v>
      </c>
      <c r="D1341" s="8" t="s">
        <v>16</v>
      </c>
      <c r="E1341" s="8" t="s">
        <v>17</v>
      </c>
      <c r="F1341" s="9">
        <v>46111.0</v>
      </c>
      <c r="G1341" s="8" t="s">
        <v>759</v>
      </c>
      <c r="H1341" s="8" t="s">
        <v>760</v>
      </c>
      <c r="I1341" s="8" t="s">
        <v>4484</v>
      </c>
      <c r="J1341" s="8" t="s">
        <v>4485</v>
      </c>
    </row>
    <row r="1342">
      <c r="A1342" s="7">
        <v>2.0048382E7</v>
      </c>
      <c r="B1342" s="8" t="s">
        <v>4481</v>
      </c>
      <c r="C1342" s="8" t="s">
        <v>4486</v>
      </c>
      <c r="D1342" s="8" t="s">
        <v>16</v>
      </c>
      <c r="E1342" s="8" t="s">
        <v>17</v>
      </c>
      <c r="F1342" s="9">
        <v>46119.0</v>
      </c>
      <c r="G1342" s="8" t="s">
        <v>314</v>
      </c>
      <c r="H1342" s="8" t="s">
        <v>315</v>
      </c>
      <c r="I1342" s="8" t="s">
        <v>4487</v>
      </c>
      <c r="J1342" s="8"/>
    </row>
    <row r="1343">
      <c r="A1343" s="7">
        <v>2.0036433E7</v>
      </c>
      <c r="B1343" s="8" t="s">
        <v>4481</v>
      </c>
      <c r="C1343" s="8" t="s">
        <v>4488</v>
      </c>
      <c r="D1343" s="8" t="s">
        <v>16</v>
      </c>
      <c r="E1343" s="8" t="s">
        <v>17</v>
      </c>
      <c r="F1343" s="9">
        <v>46062.0</v>
      </c>
      <c r="G1343" s="8" t="s">
        <v>658</v>
      </c>
      <c r="H1343" s="8" t="s">
        <v>659</v>
      </c>
      <c r="I1343" s="8" t="s">
        <v>4489</v>
      </c>
      <c r="J1343" s="8"/>
    </row>
    <row r="1344">
      <c r="A1344" s="7">
        <v>2.0034413E7</v>
      </c>
      <c r="B1344" s="8" t="s">
        <v>4481</v>
      </c>
      <c r="C1344" s="8" t="s">
        <v>4490</v>
      </c>
      <c r="D1344" s="8" t="s">
        <v>16</v>
      </c>
      <c r="E1344" s="8" t="s">
        <v>48</v>
      </c>
      <c r="F1344" s="9">
        <v>46046.0</v>
      </c>
      <c r="G1344" s="8" t="s">
        <v>220</v>
      </c>
      <c r="H1344" s="8" t="s">
        <v>221</v>
      </c>
      <c r="I1344" s="8" t="s">
        <v>4491</v>
      </c>
      <c r="J1344" s="8"/>
    </row>
    <row r="1345">
      <c r="A1345" s="7">
        <v>2.0033572E7</v>
      </c>
      <c r="B1345" s="8" t="s">
        <v>4481</v>
      </c>
      <c r="C1345" s="8" t="s">
        <v>4492</v>
      </c>
      <c r="D1345" s="8" t="s">
        <v>16</v>
      </c>
      <c r="E1345" s="8" t="s">
        <v>17</v>
      </c>
      <c r="F1345" s="9">
        <v>46038.0</v>
      </c>
      <c r="G1345" s="8" t="s">
        <v>220</v>
      </c>
      <c r="H1345" s="8" t="s">
        <v>221</v>
      </c>
      <c r="I1345" s="8" t="s">
        <v>4493</v>
      </c>
      <c r="J1345" s="8" t="s">
        <v>4494</v>
      </c>
    </row>
    <row r="1346">
      <c r="A1346" s="7">
        <v>2.0031934E7</v>
      </c>
      <c r="B1346" s="8" t="s">
        <v>4481</v>
      </c>
      <c r="C1346" s="8" t="s">
        <v>4495</v>
      </c>
      <c r="D1346" s="8" t="s">
        <v>16</v>
      </c>
      <c r="E1346" s="8" t="s">
        <v>17</v>
      </c>
      <c r="F1346" s="9">
        <v>46042.0</v>
      </c>
      <c r="G1346" s="8" t="s">
        <v>4496</v>
      </c>
      <c r="H1346" s="8" t="s">
        <v>4497</v>
      </c>
      <c r="I1346" s="8" t="s">
        <v>4498</v>
      </c>
      <c r="J1346" s="8" t="s">
        <v>4499</v>
      </c>
    </row>
    <row r="1347">
      <c r="A1347" s="7">
        <v>2.0032692E7</v>
      </c>
      <c r="B1347" s="8" t="s">
        <v>4481</v>
      </c>
      <c r="C1347" s="8" t="s">
        <v>4500</v>
      </c>
      <c r="D1347" s="8" t="s">
        <v>16</v>
      </c>
      <c r="E1347" s="8" t="s">
        <v>17</v>
      </c>
      <c r="F1347" s="9">
        <v>46050.0</v>
      </c>
      <c r="G1347" s="8" t="s">
        <v>390</v>
      </c>
      <c r="H1347" s="8" t="s">
        <v>391</v>
      </c>
      <c r="I1347" s="8" t="s">
        <v>4501</v>
      </c>
      <c r="J1347" s="8"/>
    </row>
    <row r="1348">
      <c r="A1348" s="7">
        <v>2.0033253E7</v>
      </c>
      <c r="B1348" s="8" t="s">
        <v>4481</v>
      </c>
      <c r="C1348" s="8" t="s">
        <v>4502</v>
      </c>
      <c r="D1348" s="8" t="s">
        <v>16</v>
      </c>
      <c r="E1348" s="8" t="s">
        <v>17</v>
      </c>
      <c r="F1348" s="9">
        <v>46041.0</v>
      </c>
      <c r="G1348" s="8" t="s">
        <v>1949</v>
      </c>
      <c r="H1348" s="8" t="s">
        <v>1950</v>
      </c>
      <c r="I1348" s="8" t="s">
        <v>4503</v>
      </c>
      <c r="J1348" s="8" t="s">
        <v>4504</v>
      </c>
    </row>
    <row r="1349">
      <c r="A1349" s="7">
        <v>2.0033239E7</v>
      </c>
      <c r="B1349" s="8" t="s">
        <v>4481</v>
      </c>
      <c r="C1349" s="8" t="s">
        <v>4505</v>
      </c>
      <c r="D1349" s="8" t="s">
        <v>16</v>
      </c>
      <c r="E1349" s="8" t="s">
        <v>17</v>
      </c>
      <c r="F1349" s="9">
        <v>46037.0</v>
      </c>
      <c r="G1349" s="8" t="s">
        <v>365</v>
      </c>
      <c r="H1349" s="8" t="s">
        <v>366</v>
      </c>
      <c r="I1349" s="8" t="s">
        <v>4506</v>
      </c>
      <c r="J1349" s="8" t="s">
        <v>4507</v>
      </c>
    </row>
    <row r="1350">
      <c r="A1350" s="7">
        <v>2.0033239E7</v>
      </c>
      <c r="B1350" s="8" t="s">
        <v>4481</v>
      </c>
      <c r="C1350" s="8" t="s">
        <v>4505</v>
      </c>
      <c r="D1350" s="8" t="s">
        <v>16</v>
      </c>
      <c r="E1350" s="8" t="s">
        <v>17</v>
      </c>
      <c r="F1350" s="9">
        <v>46037.0</v>
      </c>
      <c r="G1350" s="8" t="s">
        <v>365</v>
      </c>
      <c r="H1350" s="8" t="s">
        <v>366</v>
      </c>
      <c r="I1350" s="8" t="s">
        <v>4508</v>
      </c>
      <c r="J1350" s="8" t="s">
        <v>4507</v>
      </c>
    </row>
    <row r="1351">
      <c r="A1351" s="7">
        <v>2.0033179E7</v>
      </c>
      <c r="B1351" s="8" t="s">
        <v>4481</v>
      </c>
      <c r="C1351" s="8" t="s">
        <v>4509</v>
      </c>
      <c r="D1351" s="8" t="s">
        <v>16</v>
      </c>
      <c r="E1351" s="8" t="s">
        <v>17</v>
      </c>
      <c r="F1351" s="9">
        <v>46043.0</v>
      </c>
      <c r="G1351" s="8" t="s">
        <v>400</v>
      </c>
      <c r="H1351" s="8" t="s">
        <v>401</v>
      </c>
      <c r="I1351" s="8" t="s">
        <v>4510</v>
      </c>
      <c r="J1351" s="8" t="s">
        <v>4511</v>
      </c>
    </row>
    <row r="1352">
      <c r="A1352" s="7">
        <v>2.0031952E7</v>
      </c>
      <c r="B1352" s="8" t="s">
        <v>4481</v>
      </c>
      <c r="C1352" s="8" t="s">
        <v>4512</v>
      </c>
      <c r="D1352" s="8" t="s">
        <v>16</v>
      </c>
      <c r="E1352" s="8" t="s">
        <v>17</v>
      </c>
      <c r="F1352" s="9">
        <v>46047.0</v>
      </c>
      <c r="G1352" s="8" t="s">
        <v>543</v>
      </c>
      <c r="H1352" s="8" t="s">
        <v>544</v>
      </c>
      <c r="I1352" s="8" t="s">
        <v>4513</v>
      </c>
      <c r="J1352" s="8"/>
    </row>
    <row r="1353">
      <c r="A1353" s="7">
        <v>2.0029289E7</v>
      </c>
      <c r="B1353" s="8" t="s">
        <v>4481</v>
      </c>
      <c r="C1353" s="8" t="s">
        <v>4514</v>
      </c>
      <c r="D1353" s="8" t="s">
        <v>16</v>
      </c>
      <c r="E1353" s="8" t="s">
        <v>17</v>
      </c>
      <c r="F1353" s="9">
        <v>46046.0</v>
      </c>
      <c r="G1353" s="8" t="s">
        <v>4467</v>
      </c>
      <c r="H1353" s="8" t="s">
        <v>4468</v>
      </c>
      <c r="I1353" s="8" t="s">
        <v>4515</v>
      </c>
      <c r="J1353" s="8" t="s">
        <v>4516</v>
      </c>
    </row>
    <row r="1354">
      <c r="A1354" s="7">
        <v>2.0031594E7</v>
      </c>
      <c r="B1354" s="8" t="s">
        <v>4481</v>
      </c>
      <c r="C1354" s="8" t="s">
        <v>4517</v>
      </c>
      <c r="D1354" s="8" t="s">
        <v>16</v>
      </c>
      <c r="E1354" s="8" t="s">
        <v>17</v>
      </c>
      <c r="F1354" s="9">
        <v>46048.0</v>
      </c>
      <c r="G1354" s="8" t="s">
        <v>114</v>
      </c>
      <c r="H1354" s="8" t="s">
        <v>115</v>
      </c>
      <c r="I1354" s="8" t="s">
        <v>4518</v>
      </c>
      <c r="J1354" s="8"/>
    </row>
    <row r="1355">
      <c r="A1355" s="7">
        <v>2.0031409E7</v>
      </c>
      <c r="B1355" s="8" t="s">
        <v>4481</v>
      </c>
      <c r="C1355" s="8" t="s">
        <v>4519</v>
      </c>
      <c r="D1355" s="8" t="s">
        <v>16</v>
      </c>
      <c r="E1355" s="8" t="s">
        <v>17</v>
      </c>
      <c r="F1355" s="9">
        <v>46032.0</v>
      </c>
      <c r="G1355" s="8" t="s">
        <v>273</v>
      </c>
      <c r="H1355" s="8" t="s">
        <v>274</v>
      </c>
      <c r="I1355" s="8" t="s">
        <v>4520</v>
      </c>
      <c r="J1355" s="8" t="s">
        <v>4521</v>
      </c>
    </row>
    <row r="1356">
      <c r="A1356" s="7">
        <v>2.0030845E7</v>
      </c>
      <c r="B1356" s="8" t="s">
        <v>4481</v>
      </c>
      <c r="C1356" s="8" t="s">
        <v>4522</v>
      </c>
      <c r="D1356" s="8" t="s">
        <v>16</v>
      </c>
      <c r="E1356" s="8" t="s">
        <v>17</v>
      </c>
      <c r="F1356" s="9">
        <v>46053.0</v>
      </c>
      <c r="G1356" s="8" t="s">
        <v>4523</v>
      </c>
      <c r="H1356" s="8" t="s">
        <v>4524</v>
      </c>
      <c r="I1356" s="8" t="s">
        <v>4525</v>
      </c>
      <c r="J1356" s="8"/>
    </row>
    <row r="1357">
      <c r="A1357" s="7">
        <v>2.0030853E7</v>
      </c>
      <c r="B1357" s="8" t="s">
        <v>4481</v>
      </c>
      <c r="C1357" s="8" t="s">
        <v>4526</v>
      </c>
      <c r="D1357" s="8" t="s">
        <v>16</v>
      </c>
      <c r="E1357" s="8" t="s">
        <v>48</v>
      </c>
      <c r="F1357" s="9">
        <v>46031.0</v>
      </c>
      <c r="G1357" s="8" t="s">
        <v>1319</v>
      </c>
      <c r="H1357" s="8" t="s">
        <v>1320</v>
      </c>
      <c r="I1357" s="8" t="s">
        <v>4527</v>
      </c>
      <c r="J1357" s="8"/>
    </row>
    <row r="1358">
      <c r="A1358" s="7">
        <v>2.0030355E7</v>
      </c>
      <c r="B1358" s="8" t="s">
        <v>4481</v>
      </c>
      <c r="C1358" s="8" t="s">
        <v>4528</v>
      </c>
      <c r="D1358" s="8" t="s">
        <v>16</v>
      </c>
      <c r="E1358" s="8" t="s">
        <v>17</v>
      </c>
      <c r="F1358" s="9">
        <v>46047.0</v>
      </c>
      <c r="G1358" s="8" t="s">
        <v>4529</v>
      </c>
      <c r="H1358" s="8" t="s">
        <v>4530</v>
      </c>
      <c r="I1358" s="8" t="s">
        <v>4531</v>
      </c>
      <c r="J1358" s="8"/>
    </row>
    <row r="1359">
      <c r="A1359" s="7">
        <v>2.0029833E7</v>
      </c>
      <c r="B1359" s="8" t="s">
        <v>4481</v>
      </c>
      <c r="C1359" s="8" t="s">
        <v>4532</v>
      </c>
      <c r="D1359" s="8" t="s">
        <v>16</v>
      </c>
      <c r="E1359" s="8" t="s">
        <v>48</v>
      </c>
      <c r="F1359" s="9">
        <v>46029.0</v>
      </c>
      <c r="G1359" s="8" t="s">
        <v>273</v>
      </c>
      <c r="H1359" s="8" t="s">
        <v>274</v>
      </c>
      <c r="I1359" s="8" t="s">
        <v>4533</v>
      </c>
      <c r="J1359" s="8"/>
    </row>
    <row r="1360">
      <c r="A1360" s="7">
        <v>2.0029601E7</v>
      </c>
      <c r="B1360" s="8" t="s">
        <v>4481</v>
      </c>
      <c r="C1360" s="8" t="s">
        <v>4534</v>
      </c>
      <c r="D1360" s="8" t="s">
        <v>16</v>
      </c>
      <c r="E1360" s="8" t="s">
        <v>17</v>
      </c>
      <c r="F1360" s="9">
        <v>46046.0</v>
      </c>
      <c r="G1360" s="8" t="s">
        <v>4535</v>
      </c>
      <c r="H1360" s="8" t="s">
        <v>4536</v>
      </c>
      <c r="I1360" s="8" t="s">
        <v>4537</v>
      </c>
      <c r="J1360" s="8" t="s">
        <v>4538</v>
      </c>
    </row>
    <row r="1361">
      <c r="A1361" s="7">
        <v>2.0029461E7</v>
      </c>
      <c r="B1361" s="8" t="s">
        <v>4481</v>
      </c>
      <c r="C1361" s="8" t="s">
        <v>4539</v>
      </c>
      <c r="D1361" s="8" t="s">
        <v>16</v>
      </c>
      <c r="E1361" s="8" t="s">
        <v>17</v>
      </c>
      <c r="F1361" s="9">
        <v>46045.0</v>
      </c>
      <c r="G1361" s="8" t="s">
        <v>1524</v>
      </c>
      <c r="H1361" s="8" t="s">
        <v>1525</v>
      </c>
      <c r="I1361" s="8" t="s">
        <v>4540</v>
      </c>
      <c r="J1361" s="8" t="s">
        <v>4541</v>
      </c>
    </row>
    <row r="1362">
      <c r="A1362" s="7">
        <v>2.002955E7</v>
      </c>
      <c r="B1362" s="8" t="s">
        <v>4481</v>
      </c>
      <c r="C1362" s="8" t="s">
        <v>4542</v>
      </c>
      <c r="D1362" s="8" t="s">
        <v>16</v>
      </c>
      <c r="E1362" s="8" t="s">
        <v>17</v>
      </c>
      <c r="F1362" s="9">
        <v>46032.0</v>
      </c>
      <c r="G1362" s="8" t="s">
        <v>1949</v>
      </c>
      <c r="H1362" s="8" t="s">
        <v>1950</v>
      </c>
      <c r="I1362" s="8" t="s">
        <v>4543</v>
      </c>
      <c r="J1362" s="8" t="s">
        <v>4544</v>
      </c>
    </row>
    <row r="1363">
      <c r="A1363" s="7">
        <v>2.0023038E7</v>
      </c>
      <c r="B1363" s="8" t="s">
        <v>4481</v>
      </c>
      <c r="C1363" s="8" t="s">
        <v>4545</v>
      </c>
      <c r="D1363" s="8" t="s">
        <v>16</v>
      </c>
      <c r="E1363" s="8" t="s">
        <v>17</v>
      </c>
      <c r="F1363" s="9">
        <v>46035.0</v>
      </c>
      <c r="G1363" s="8" t="s">
        <v>978</v>
      </c>
      <c r="H1363" s="8" t="s">
        <v>979</v>
      </c>
      <c r="I1363" s="8" t="s">
        <v>4546</v>
      </c>
      <c r="J1363" s="8" t="s">
        <v>4547</v>
      </c>
    </row>
    <row r="1364">
      <c r="A1364" s="7">
        <v>2.0025346E7</v>
      </c>
      <c r="B1364" s="8" t="s">
        <v>4481</v>
      </c>
      <c r="C1364" s="8" t="s">
        <v>4548</v>
      </c>
      <c r="D1364" s="8" t="s">
        <v>16</v>
      </c>
      <c r="E1364" s="8" t="s">
        <v>48</v>
      </c>
      <c r="F1364" s="9">
        <v>46045.0</v>
      </c>
      <c r="G1364" s="8" t="s">
        <v>1110</v>
      </c>
      <c r="H1364" s="8" t="s">
        <v>1111</v>
      </c>
      <c r="I1364" s="8" t="s">
        <v>4549</v>
      </c>
      <c r="J1364" s="8"/>
    </row>
    <row r="1365">
      <c r="A1365" s="7">
        <v>2.0025346E7</v>
      </c>
      <c r="B1365" s="8" t="s">
        <v>4481</v>
      </c>
      <c r="C1365" s="8" t="s">
        <v>4548</v>
      </c>
      <c r="D1365" s="8" t="s">
        <v>16</v>
      </c>
      <c r="E1365" s="8" t="s">
        <v>48</v>
      </c>
      <c r="F1365" s="9">
        <v>46045.0</v>
      </c>
      <c r="G1365" s="8" t="s">
        <v>1110</v>
      </c>
      <c r="H1365" s="8" t="s">
        <v>1111</v>
      </c>
      <c r="I1365" s="8" t="s">
        <v>4550</v>
      </c>
      <c r="J1365" s="8" t="s">
        <v>4551</v>
      </c>
    </row>
    <row r="1366">
      <c r="A1366" s="7">
        <v>2.0025346E7</v>
      </c>
      <c r="B1366" s="8" t="s">
        <v>4481</v>
      </c>
      <c r="C1366" s="8" t="s">
        <v>4548</v>
      </c>
      <c r="D1366" s="8" t="s">
        <v>16</v>
      </c>
      <c r="E1366" s="8" t="s">
        <v>48</v>
      </c>
      <c r="F1366" s="9">
        <v>46045.0</v>
      </c>
      <c r="G1366" s="8" t="s">
        <v>314</v>
      </c>
      <c r="H1366" s="8" t="s">
        <v>315</v>
      </c>
      <c r="I1366" s="8" t="s">
        <v>4552</v>
      </c>
      <c r="J1366" s="8" t="s">
        <v>4553</v>
      </c>
    </row>
    <row r="1367">
      <c r="A1367" s="7">
        <v>2.00295E7</v>
      </c>
      <c r="B1367" s="8" t="s">
        <v>4481</v>
      </c>
      <c r="C1367" s="8" t="s">
        <v>4554</v>
      </c>
      <c r="D1367" s="8" t="s">
        <v>16</v>
      </c>
      <c r="E1367" s="8" t="s">
        <v>17</v>
      </c>
      <c r="F1367" s="9">
        <v>46045.0</v>
      </c>
      <c r="G1367" s="8" t="s">
        <v>1280</v>
      </c>
      <c r="H1367" s="8" t="s">
        <v>1281</v>
      </c>
      <c r="I1367" s="8" t="s">
        <v>4555</v>
      </c>
      <c r="J1367" s="8" t="s">
        <v>4556</v>
      </c>
    </row>
    <row r="1368">
      <c r="A1368" s="7">
        <v>2.0028284E7</v>
      </c>
      <c r="B1368" s="8" t="s">
        <v>4481</v>
      </c>
      <c r="C1368" s="8" t="s">
        <v>4557</v>
      </c>
      <c r="D1368" s="8" t="s">
        <v>16</v>
      </c>
      <c r="E1368" s="8" t="s">
        <v>17</v>
      </c>
      <c r="F1368" s="9">
        <v>46026.0</v>
      </c>
      <c r="G1368" s="8" t="s">
        <v>1949</v>
      </c>
      <c r="H1368" s="8" t="s">
        <v>1950</v>
      </c>
      <c r="I1368" s="8" t="s">
        <v>4558</v>
      </c>
      <c r="J1368" s="8" t="s">
        <v>4559</v>
      </c>
    </row>
    <row r="1369">
      <c r="A1369" s="7">
        <v>2.0028932E7</v>
      </c>
      <c r="B1369" s="8" t="s">
        <v>4481</v>
      </c>
      <c r="C1369" s="8" t="s">
        <v>4560</v>
      </c>
      <c r="D1369" s="8" t="s">
        <v>16</v>
      </c>
      <c r="E1369" s="8" t="s">
        <v>17</v>
      </c>
      <c r="F1369" s="9">
        <v>46039.0</v>
      </c>
      <c r="G1369" s="8" t="s">
        <v>1236</v>
      </c>
      <c r="H1369" s="8" t="s">
        <v>1237</v>
      </c>
      <c r="I1369" s="8" t="s">
        <v>4561</v>
      </c>
      <c r="J1369" s="8" t="s">
        <v>4562</v>
      </c>
    </row>
    <row r="1370">
      <c r="A1370" s="7">
        <v>2.0028797E7</v>
      </c>
      <c r="B1370" s="8" t="s">
        <v>4481</v>
      </c>
      <c r="C1370" s="8" t="s">
        <v>4563</v>
      </c>
      <c r="D1370" s="8" t="s">
        <v>16</v>
      </c>
      <c r="E1370" s="8" t="s">
        <v>17</v>
      </c>
      <c r="F1370" s="9">
        <v>46038.0</v>
      </c>
      <c r="G1370" s="8" t="s">
        <v>4564</v>
      </c>
      <c r="H1370" s="8" t="s">
        <v>4565</v>
      </c>
      <c r="I1370" s="8" t="s">
        <v>4566</v>
      </c>
      <c r="J1370" s="8"/>
    </row>
    <row r="1371">
      <c r="A1371" s="7">
        <v>2.0028141E7</v>
      </c>
      <c r="B1371" s="8" t="s">
        <v>4481</v>
      </c>
      <c r="C1371" s="8" t="s">
        <v>4567</v>
      </c>
      <c r="D1371" s="8" t="s">
        <v>16</v>
      </c>
      <c r="E1371" s="8" t="s">
        <v>17</v>
      </c>
      <c r="F1371" s="9">
        <v>46038.0</v>
      </c>
      <c r="G1371" s="8" t="s">
        <v>626</v>
      </c>
      <c r="H1371" s="8" t="s">
        <v>627</v>
      </c>
      <c r="I1371" s="8" t="s">
        <v>4568</v>
      </c>
      <c r="J1371" s="8"/>
    </row>
    <row r="1372">
      <c r="A1372" s="7">
        <v>2.0024277E7</v>
      </c>
      <c r="B1372" s="8" t="s">
        <v>4481</v>
      </c>
      <c r="C1372" s="8" t="s">
        <v>4569</v>
      </c>
      <c r="D1372" s="8" t="s">
        <v>16</v>
      </c>
      <c r="E1372" s="8" t="s">
        <v>48</v>
      </c>
      <c r="F1372" s="9">
        <v>46025.0</v>
      </c>
      <c r="G1372" s="8" t="s">
        <v>3012</v>
      </c>
      <c r="H1372" s="8" t="s">
        <v>3013</v>
      </c>
      <c r="I1372" s="8" t="s">
        <v>4570</v>
      </c>
      <c r="J1372" s="8"/>
    </row>
    <row r="1373">
      <c r="A1373" s="7">
        <v>2.0027475E7</v>
      </c>
      <c r="B1373" s="8" t="s">
        <v>4481</v>
      </c>
      <c r="C1373" s="8" t="s">
        <v>4571</v>
      </c>
      <c r="D1373" s="8" t="s">
        <v>16</v>
      </c>
      <c r="E1373" s="8" t="s">
        <v>17</v>
      </c>
      <c r="F1373" s="9">
        <v>46027.0</v>
      </c>
      <c r="G1373" s="8" t="s">
        <v>2331</v>
      </c>
      <c r="H1373" s="8" t="s">
        <v>2332</v>
      </c>
      <c r="I1373" s="8" t="s">
        <v>4572</v>
      </c>
      <c r="J1373" s="8"/>
    </row>
    <row r="1374">
      <c r="A1374" s="7">
        <v>2.0027507E7</v>
      </c>
      <c r="B1374" s="8" t="s">
        <v>4481</v>
      </c>
      <c r="C1374" s="8" t="s">
        <v>4573</v>
      </c>
      <c r="D1374" s="8" t="s">
        <v>16</v>
      </c>
      <c r="E1374" s="8" t="s">
        <v>17</v>
      </c>
      <c r="F1374" s="9">
        <v>46032.0</v>
      </c>
      <c r="G1374" s="8" t="s">
        <v>4574</v>
      </c>
      <c r="H1374" s="8" t="s">
        <v>4575</v>
      </c>
      <c r="I1374" s="8" t="s">
        <v>4576</v>
      </c>
      <c r="J1374" s="8" t="s">
        <v>4577</v>
      </c>
    </row>
    <row r="1375">
      <c r="A1375" s="7">
        <v>2.0027315E7</v>
      </c>
      <c r="B1375" s="8" t="s">
        <v>4481</v>
      </c>
      <c r="C1375" s="8" t="s">
        <v>4578</v>
      </c>
      <c r="D1375" s="8" t="s">
        <v>16</v>
      </c>
      <c r="E1375" s="8" t="s">
        <v>17</v>
      </c>
      <c r="F1375" s="9">
        <v>46025.0</v>
      </c>
      <c r="G1375" s="8" t="s">
        <v>4579</v>
      </c>
      <c r="H1375" s="8" t="s">
        <v>4580</v>
      </c>
      <c r="I1375" s="8" t="s">
        <v>4581</v>
      </c>
      <c r="J1375" s="8" t="s">
        <v>4582</v>
      </c>
    </row>
    <row r="1376">
      <c r="A1376" s="7">
        <v>2.0027361E7</v>
      </c>
      <c r="B1376" s="8" t="s">
        <v>4481</v>
      </c>
      <c r="C1376" s="8" t="s">
        <v>4583</v>
      </c>
      <c r="D1376" s="8" t="s">
        <v>16</v>
      </c>
      <c r="E1376" s="8" t="s">
        <v>17</v>
      </c>
      <c r="F1376" s="9">
        <v>46033.0</v>
      </c>
      <c r="G1376" s="8" t="s">
        <v>132</v>
      </c>
      <c r="H1376" s="8" t="s">
        <v>133</v>
      </c>
      <c r="I1376" s="8" t="s">
        <v>4584</v>
      </c>
      <c r="J1376" s="8"/>
    </row>
    <row r="1377">
      <c r="A1377" s="7">
        <v>2.0026275E7</v>
      </c>
      <c r="B1377" s="8" t="s">
        <v>4481</v>
      </c>
      <c r="C1377" s="8" t="s">
        <v>4585</v>
      </c>
      <c r="D1377" s="8" t="s">
        <v>16</v>
      </c>
      <c r="E1377" s="8" t="s">
        <v>17</v>
      </c>
      <c r="F1377" s="9">
        <v>46050.0</v>
      </c>
      <c r="G1377" s="8" t="s">
        <v>1045</v>
      </c>
      <c r="H1377" s="8" t="s">
        <v>909</v>
      </c>
      <c r="I1377" s="8" t="s">
        <v>4586</v>
      </c>
      <c r="J1377" s="8" t="s">
        <v>4587</v>
      </c>
    </row>
    <row r="1378">
      <c r="A1378" s="7">
        <v>2.0026367E7</v>
      </c>
      <c r="B1378" s="8" t="s">
        <v>4481</v>
      </c>
      <c r="C1378" s="8" t="s">
        <v>4588</v>
      </c>
      <c r="D1378" s="8" t="s">
        <v>16</v>
      </c>
      <c r="E1378" s="8" t="s">
        <v>17</v>
      </c>
      <c r="F1378" s="9">
        <v>46029.0</v>
      </c>
      <c r="G1378" s="8" t="s">
        <v>390</v>
      </c>
      <c r="H1378" s="8" t="s">
        <v>391</v>
      </c>
      <c r="I1378" s="8" t="s">
        <v>4589</v>
      </c>
      <c r="J1378" s="8"/>
    </row>
    <row r="1379">
      <c r="A1379" s="7">
        <v>2.0026119E7</v>
      </c>
      <c r="B1379" s="8" t="s">
        <v>4481</v>
      </c>
      <c r="C1379" s="8" t="s">
        <v>4590</v>
      </c>
      <c r="D1379" s="8" t="s">
        <v>16</v>
      </c>
      <c r="E1379" s="8" t="s">
        <v>17</v>
      </c>
      <c r="F1379" s="9">
        <v>46026.0</v>
      </c>
      <c r="G1379" s="8" t="s">
        <v>158</v>
      </c>
      <c r="H1379" s="8" t="s">
        <v>159</v>
      </c>
      <c r="I1379" s="8" t="s">
        <v>4591</v>
      </c>
      <c r="J1379" s="8" t="s">
        <v>4592</v>
      </c>
    </row>
    <row r="1380">
      <c r="A1380" s="7">
        <v>2.0026472E7</v>
      </c>
      <c r="B1380" s="8" t="s">
        <v>4481</v>
      </c>
      <c r="C1380" s="8" t="s">
        <v>4593</v>
      </c>
      <c r="D1380" s="8" t="s">
        <v>16</v>
      </c>
      <c r="E1380" s="8" t="s">
        <v>17</v>
      </c>
      <c r="F1380" s="9">
        <v>46026.0</v>
      </c>
      <c r="G1380" s="8" t="s">
        <v>390</v>
      </c>
      <c r="H1380" s="8" t="s">
        <v>391</v>
      </c>
      <c r="I1380" s="8" t="s">
        <v>4594</v>
      </c>
      <c r="J1380" s="8"/>
    </row>
    <row r="1381">
      <c r="A1381" s="7">
        <v>2.0024602E7</v>
      </c>
      <c r="B1381" s="8" t="s">
        <v>4481</v>
      </c>
      <c r="C1381" s="8" t="s">
        <v>4595</v>
      </c>
      <c r="D1381" s="8" t="s">
        <v>16</v>
      </c>
      <c r="E1381" s="8" t="s">
        <v>17</v>
      </c>
      <c r="F1381" s="9">
        <v>46025.0</v>
      </c>
      <c r="G1381" s="8" t="s">
        <v>4596</v>
      </c>
      <c r="H1381" s="8" t="s">
        <v>4597</v>
      </c>
      <c r="I1381" s="8" t="s">
        <v>4598</v>
      </c>
      <c r="J1381" s="8"/>
    </row>
    <row r="1382">
      <c r="A1382" s="7">
        <v>2.0067129E7</v>
      </c>
      <c r="B1382" s="8" t="s">
        <v>4599</v>
      </c>
      <c r="C1382" s="8" t="s">
        <v>4600</v>
      </c>
      <c r="D1382" s="8" t="s">
        <v>2136</v>
      </c>
      <c r="E1382" s="8" t="s">
        <v>17</v>
      </c>
      <c r="F1382" s="9">
        <v>46184.0</v>
      </c>
      <c r="G1382" s="8" t="s">
        <v>3992</v>
      </c>
      <c r="H1382" s="8" t="s">
        <v>3993</v>
      </c>
      <c r="I1382" s="8" t="s">
        <v>4601</v>
      </c>
      <c r="J1382" s="8" t="s">
        <v>4602</v>
      </c>
    </row>
    <row r="1383">
      <c r="A1383" s="7">
        <v>2.0068133E7</v>
      </c>
      <c r="B1383" s="8" t="s">
        <v>4599</v>
      </c>
      <c r="C1383" s="8" t="s">
        <v>4603</v>
      </c>
      <c r="D1383" s="8" t="s">
        <v>16</v>
      </c>
      <c r="E1383" s="8" t="s">
        <v>17</v>
      </c>
      <c r="F1383" s="9">
        <v>46180.0</v>
      </c>
      <c r="G1383" s="8" t="s">
        <v>971</v>
      </c>
      <c r="H1383" s="8" t="s">
        <v>972</v>
      </c>
      <c r="I1383" s="8" t="s">
        <v>4604</v>
      </c>
      <c r="J1383" s="8" t="s">
        <v>4605</v>
      </c>
    </row>
    <row r="1384">
      <c r="A1384" s="7">
        <v>2.006505E7</v>
      </c>
      <c r="B1384" s="8" t="s">
        <v>4599</v>
      </c>
      <c r="C1384" s="8" t="s">
        <v>4606</v>
      </c>
      <c r="D1384" s="8" t="s">
        <v>2136</v>
      </c>
      <c r="E1384" s="8" t="s">
        <v>17</v>
      </c>
      <c r="F1384" s="9">
        <v>46173.0</v>
      </c>
      <c r="G1384" s="8" t="s">
        <v>29</v>
      </c>
      <c r="H1384" s="8" t="s">
        <v>30</v>
      </c>
      <c r="I1384" s="8" t="s">
        <v>4607</v>
      </c>
      <c r="J1384" s="8" t="s">
        <v>4608</v>
      </c>
    </row>
    <row r="1385">
      <c r="A1385" s="7">
        <v>2.0063648E7</v>
      </c>
      <c r="B1385" s="8" t="s">
        <v>4599</v>
      </c>
      <c r="C1385" s="8" t="s">
        <v>4609</v>
      </c>
      <c r="D1385" s="8" t="s">
        <v>16</v>
      </c>
      <c r="E1385" s="8" t="s">
        <v>17</v>
      </c>
      <c r="F1385" s="9">
        <v>46161.0</v>
      </c>
      <c r="G1385" s="8" t="s">
        <v>59</v>
      </c>
      <c r="H1385" s="8" t="s">
        <v>60</v>
      </c>
      <c r="I1385" s="8" t="s">
        <v>4610</v>
      </c>
      <c r="J1385" s="8" t="s">
        <v>4611</v>
      </c>
    </row>
    <row r="1386">
      <c r="A1386" s="7">
        <v>2.0063401E7</v>
      </c>
      <c r="B1386" s="8" t="s">
        <v>4599</v>
      </c>
      <c r="C1386" s="8" t="s">
        <v>4612</v>
      </c>
      <c r="D1386" s="8" t="s">
        <v>16</v>
      </c>
      <c r="E1386" s="8" t="s">
        <v>17</v>
      </c>
      <c r="F1386" s="9">
        <v>46154.0</v>
      </c>
      <c r="G1386" s="8" t="s">
        <v>365</v>
      </c>
      <c r="H1386" s="8" t="s">
        <v>366</v>
      </c>
      <c r="I1386" s="8" t="s">
        <v>4613</v>
      </c>
      <c r="J1386" s="8" t="s">
        <v>4614</v>
      </c>
    </row>
    <row r="1387">
      <c r="A1387" s="7">
        <v>2.0062644E7</v>
      </c>
      <c r="B1387" s="8" t="s">
        <v>4599</v>
      </c>
      <c r="C1387" s="8" t="s">
        <v>4615</v>
      </c>
      <c r="D1387" s="8" t="s">
        <v>16</v>
      </c>
      <c r="E1387" s="8" t="s">
        <v>17</v>
      </c>
      <c r="F1387" s="9">
        <v>46155.0</v>
      </c>
      <c r="G1387" s="8" t="s">
        <v>4616</v>
      </c>
      <c r="H1387" s="8" t="s">
        <v>4617</v>
      </c>
      <c r="I1387" s="8" t="s">
        <v>4618</v>
      </c>
      <c r="J1387" s="8" t="s">
        <v>4619</v>
      </c>
    </row>
    <row r="1388">
      <c r="A1388" s="7">
        <v>2.0062477E7</v>
      </c>
      <c r="B1388" s="8" t="s">
        <v>4599</v>
      </c>
      <c r="C1388" s="8" t="s">
        <v>4620</v>
      </c>
      <c r="D1388" s="8" t="s">
        <v>16</v>
      </c>
      <c r="E1388" s="8" t="s">
        <v>17</v>
      </c>
      <c r="F1388" s="9">
        <v>46188.0</v>
      </c>
      <c r="G1388" s="8" t="s">
        <v>184</v>
      </c>
      <c r="H1388" s="8" t="s">
        <v>185</v>
      </c>
      <c r="I1388" s="8" t="s">
        <v>4621</v>
      </c>
      <c r="J1388" s="8" t="s">
        <v>4622</v>
      </c>
    </row>
    <row r="1389">
      <c r="A1389" s="7">
        <v>2.0061634E7</v>
      </c>
      <c r="B1389" s="8" t="s">
        <v>4599</v>
      </c>
      <c r="C1389" s="8" t="s">
        <v>4623</v>
      </c>
      <c r="D1389" s="8" t="s">
        <v>16</v>
      </c>
      <c r="E1389" s="8" t="s">
        <v>17</v>
      </c>
      <c r="F1389" s="9">
        <v>46183.0</v>
      </c>
      <c r="G1389" s="8" t="s">
        <v>361</v>
      </c>
      <c r="H1389" s="8" t="s">
        <v>362</v>
      </c>
      <c r="I1389" s="8" t="s">
        <v>4624</v>
      </c>
      <c r="J1389" s="8" t="s">
        <v>4625</v>
      </c>
    </row>
    <row r="1390">
      <c r="A1390" s="7">
        <v>2.0060952E7</v>
      </c>
      <c r="B1390" s="8" t="s">
        <v>4599</v>
      </c>
      <c r="C1390" s="8" t="s">
        <v>4626</v>
      </c>
      <c r="D1390" s="8" t="s">
        <v>16</v>
      </c>
      <c r="E1390" s="8" t="s">
        <v>17</v>
      </c>
      <c r="F1390" s="9">
        <v>46154.0</v>
      </c>
      <c r="G1390" s="8" t="s">
        <v>4627</v>
      </c>
      <c r="H1390" s="8" t="s">
        <v>4628</v>
      </c>
      <c r="I1390" s="8" t="s">
        <v>4629</v>
      </c>
      <c r="J1390" s="8" t="s">
        <v>4630</v>
      </c>
    </row>
    <row r="1391">
      <c r="A1391" s="7">
        <v>2.0060709E7</v>
      </c>
      <c r="B1391" s="8" t="s">
        <v>4599</v>
      </c>
      <c r="C1391" s="8" t="s">
        <v>4631</v>
      </c>
      <c r="D1391" s="8" t="s">
        <v>2136</v>
      </c>
      <c r="E1391" s="8" t="s">
        <v>17</v>
      </c>
      <c r="F1391" s="9">
        <v>46143.0</v>
      </c>
      <c r="G1391" s="8" t="s">
        <v>846</v>
      </c>
      <c r="H1391" s="8" t="s">
        <v>847</v>
      </c>
      <c r="I1391" s="8" t="s">
        <v>4632</v>
      </c>
      <c r="J1391" s="8" t="s">
        <v>4633</v>
      </c>
    </row>
    <row r="1392">
      <c r="A1392" s="7">
        <v>2.0059984E7</v>
      </c>
      <c r="B1392" s="8" t="s">
        <v>4599</v>
      </c>
      <c r="C1392" s="8" t="s">
        <v>4634</v>
      </c>
      <c r="D1392" s="8" t="s">
        <v>16</v>
      </c>
      <c r="E1392" s="8" t="s">
        <v>17</v>
      </c>
      <c r="F1392" s="9">
        <v>46152.0</v>
      </c>
      <c r="G1392" s="8" t="s">
        <v>3255</v>
      </c>
      <c r="H1392" s="8" t="s">
        <v>3256</v>
      </c>
      <c r="I1392" s="8" t="s">
        <v>4635</v>
      </c>
      <c r="J1392" s="8" t="s">
        <v>4636</v>
      </c>
    </row>
    <row r="1393">
      <c r="A1393" s="7">
        <v>2.0059984E7</v>
      </c>
      <c r="B1393" s="8" t="s">
        <v>4599</v>
      </c>
      <c r="C1393" s="8" t="s">
        <v>4634</v>
      </c>
      <c r="D1393" s="8" t="s">
        <v>16</v>
      </c>
      <c r="E1393" s="8" t="s">
        <v>17</v>
      </c>
      <c r="F1393" s="9">
        <v>46152.0</v>
      </c>
      <c r="G1393" s="8" t="s">
        <v>234</v>
      </c>
      <c r="H1393" s="8" t="s">
        <v>235</v>
      </c>
      <c r="I1393" s="8" t="s">
        <v>4637</v>
      </c>
      <c r="J1393" s="8" t="s">
        <v>4638</v>
      </c>
    </row>
    <row r="1394">
      <c r="A1394" s="7">
        <v>2.0060254E7</v>
      </c>
      <c r="B1394" s="8" t="s">
        <v>4599</v>
      </c>
      <c r="C1394" s="8" t="s">
        <v>4639</v>
      </c>
      <c r="D1394" s="8" t="s">
        <v>16</v>
      </c>
      <c r="E1394" s="8" t="s">
        <v>17</v>
      </c>
      <c r="F1394" s="9">
        <v>46184.0</v>
      </c>
      <c r="G1394" s="8" t="s">
        <v>314</v>
      </c>
      <c r="H1394" s="8" t="s">
        <v>315</v>
      </c>
      <c r="I1394" s="8" t="s">
        <v>4640</v>
      </c>
      <c r="J1394" s="8" t="s">
        <v>4641</v>
      </c>
    </row>
    <row r="1395">
      <c r="A1395" s="7">
        <v>2.0059783E7</v>
      </c>
      <c r="B1395" s="8" t="s">
        <v>4599</v>
      </c>
      <c r="C1395" s="8" t="s">
        <v>4642</v>
      </c>
      <c r="D1395" s="8" t="s">
        <v>16</v>
      </c>
      <c r="E1395" s="8" t="s">
        <v>17</v>
      </c>
      <c r="F1395" s="9">
        <v>46139.0</v>
      </c>
      <c r="G1395" s="8" t="s">
        <v>805</v>
      </c>
      <c r="H1395" s="8" t="s">
        <v>806</v>
      </c>
      <c r="I1395" s="8" t="s">
        <v>4643</v>
      </c>
      <c r="J1395" s="8" t="s">
        <v>4644</v>
      </c>
    </row>
    <row r="1396">
      <c r="A1396" s="7">
        <v>2.0058682E7</v>
      </c>
      <c r="B1396" s="8" t="s">
        <v>4599</v>
      </c>
      <c r="C1396" s="8" t="s">
        <v>4645</v>
      </c>
      <c r="D1396" s="8" t="s">
        <v>16</v>
      </c>
      <c r="E1396" s="8" t="s">
        <v>17</v>
      </c>
      <c r="F1396" s="9">
        <v>46135.0</v>
      </c>
      <c r="G1396" s="8" t="s">
        <v>59</v>
      </c>
      <c r="H1396" s="8" t="s">
        <v>60</v>
      </c>
      <c r="I1396" s="8" t="s">
        <v>4646</v>
      </c>
      <c r="J1396" s="8" t="s">
        <v>4647</v>
      </c>
    </row>
    <row r="1397">
      <c r="A1397" s="7">
        <v>2.0057955E7</v>
      </c>
      <c r="B1397" s="8" t="s">
        <v>4599</v>
      </c>
      <c r="C1397" s="8" t="s">
        <v>4648</v>
      </c>
      <c r="D1397" s="8" t="s">
        <v>16</v>
      </c>
      <c r="E1397" s="8" t="s">
        <v>17</v>
      </c>
      <c r="F1397" s="9">
        <v>46134.0</v>
      </c>
      <c r="G1397" s="8" t="s">
        <v>385</v>
      </c>
      <c r="H1397" s="8" t="s">
        <v>386</v>
      </c>
      <c r="I1397" s="8" t="s">
        <v>4649</v>
      </c>
      <c r="J1397" s="8" t="s">
        <v>4650</v>
      </c>
    </row>
    <row r="1398">
      <c r="A1398" s="7">
        <v>2.0056951E7</v>
      </c>
      <c r="B1398" s="8" t="s">
        <v>4599</v>
      </c>
      <c r="C1398" s="8" t="s">
        <v>4651</v>
      </c>
      <c r="D1398" s="8" t="s">
        <v>16</v>
      </c>
      <c r="E1398" s="8" t="s">
        <v>17</v>
      </c>
      <c r="F1398" s="9">
        <v>46137.0</v>
      </c>
      <c r="G1398" s="8" t="s">
        <v>59</v>
      </c>
      <c r="H1398" s="8" t="s">
        <v>60</v>
      </c>
      <c r="I1398" s="8" t="s">
        <v>4652</v>
      </c>
      <c r="J1398" s="8" t="s">
        <v>4653</v>
      </c>
    </row>
    <row r="1399">
      <c r="A1399" s="7">
        <v>2.0053507E7</v>
      </c>
      <c r="B1399" s="8" t="s">
        <v>4599</v>
      </c>
      <c r="C1399" s="8" t="s">
        <v>4654</v>
      </c>
      <c r="D1399" s="8" t="s">
        <v>16</v>
      </c>
      <c r="E1399" s="8" t="s">
        <v>17</v>
      </c>
      <c r="F1399" s="9">
        <v>46180.0</v>
      </c>
      <c r="G1399" s="8" t="s">
        <v>75</v>
      </c>
      <c r="H1399" s="8" t="s">
        <v>76</v>
      </c>
      <c r="I1399" s="8" t="s">
        <v>4655</v>
      </c>
      <c r="J1399" s="8" t="s">
        <v>4656</v>
      </c>
    </row>
    <row r="1400">
      <c r="A1400" s="7">
        <v>2.0053507E7</v>
      </c>
      <c r="B1400" s="8" t="s">
        <v>4599</v>
      </c>
      <c r="C1400" s="8" t="s">
        <v>4654</v>
      </c>
      <c r="D1400" s="8" t="s">
        <v>16</v>
      </c>
      <c r="E1400" s="8" t="s">
        <v>17</v>
      </c>
      <c r="F1400" s="9">
        <v>46180.0</v>
      </c>
      <c r="G1400" s="8" t="s">
        <v>861</v>
      </c>
      <c r="H1400" s="8" t="s">
        <v>862</v>
      </c>
      <c r="I1400" s="8" t="s">
        <v>4657</v>
      </c>
      <c r="J1400" s="8" t="s">
        <v>4658</v>
      </c>
    </row>
    <row r="1401">
      <c r="A1401" s="7">
        <v>2.0057652E7</v>
      </c>
      <c r="B1401" s="8" t="s">
        <v>4599</v>
      </c>
      <c r="C1401" s="8" t="s">
        <v>4659</v>
      </c>
      <c r="D1401" s="8" t="s">
        <v>16</v>
      </c>
      <c r="E1401" s="8" t="s">
        <v>17</v>
      </c>
      <c r="F1401" s="9">
        <v>46152.0</v>
      </c>
      <c r="G1401" s="8" t="s">
        <v>666</v>
      </c>
      <c r="H1401" s="8" t="s">
        <v>667</v>
      </c>
      <c r="I1401" s="8" t="s">
        <v>4660</v>
      </c>
      <c r="J1401" s="8" t="s">
        <v>4661</v>
      </c>
    </row>
    <row r="1402">
      <c r="A1402" s="7">
        <v>2.0057545E7</v>
      </c>
      <c r="B1402" s="8" t="s">
        <v>4599</v>
      </c>
      <c r="C1402" s="8" t="s">
        <v>4662</v>
      </c>
      <c r="D1402" s="8" t="s">
        <v>16</v>
      </c>
      <c r="E1402" s="8" t="s">
        <v>17</v>
      </c>
      <c r="F1402" s="9">
        <v>46140.0</v>
      </c>
      <c r="G1402" s="8" t="s">
        <v>630</v>
      </c>
      <c r="H1402" s="8" t="s">
        <v>631</v>
      </c>
      <c r="I1402" s="8" t="s">
        <v>4663</v>
      </c>
      <c r="J1402" s="8" t="s">
        <v>4664</v>
      </c>
    </row>
    <row r="1403">
      <c r="A1403" s="7">
        <v>2.0056894E7</v>
      </c>
      <c r="B1403" s="8" t="s">
        <v>4599</v>
      </c>
      <c r="C1403" s="8" t="s">
        <v>4665</v>
      </c>
      <c r="D1403" s="8" t="s">
        <v>16</v>
      </c>
      <c r="E1403" s="8" t="s">
        <v>17</v>
      </c>
      <c r="F1403" s="9">
        <v>46140.0</v>
      </c>
      <c r="G1403" s="8" t="s">
        <v>1854</v>
      </c>
      <c r="H1403" s="8" t="s">
        <v>4666</v>
      </c>
      <c r="I1403" s="8" t="s">
        <v>4667</v>
      </c>
      <c r="J1403" s="8" t="s">
        <v>4668</v>
      </c>
    </row>
    <row r="1404">
      <c r="A1404" s="7">
        <v>2.0055323E7</v>
      </c>
      <c r="B1404" s="8" t="s">
        <v>4599</v>
      </c>
      <c r="C1404" s="8" t="s">
        <v>4669</v>
      </c>
      <c r="D1404" s="8" t="s">
        <v>16</v>
      </c>
      <c r="E1404" s="8" t="s">
        <v>17</v>
      </c>
      <c r="F1404" s="9">
        <v>46121.0</v>
      </c>
      <c r="G1404" s="8" t="s">
        <v>846</v>
      </c>
      <c r="H1404" s="8" t="s">
        <v>847</v>
      </c>
      <c r="I1404" s="8" t="s">
        <v>4670</v>
      </c>
      <c r="J1404" s="8" t="s">
        <v>4671</v>
      </c>
    </row>
    <row r="1405">
      <c r="A1405" s="7">
        <v>2.0054977E7</v>
      </c>
      <c r="B1405" s="8" t="s">
        <v>4599</v>
      </c>
      <c r="C1405" s="8" t="s">
        <v>4672</v>
      </c>
      <c r="D1405" s="8" t="s">
        <v>16</v>
      </c>
      <c r="E1405" s="8" t="s">
        <v>17</v>
      </c>
      <c r="F1405" s="9">
        <v>46119.0</v>
      </c>
      <c r="G1405" s="8" t="s">
        <v>59</v>
      </c>
      <c r="H1405" s="8" t="s">
        <v>60</v>
      </c>
      <c r="I1405" s="8" t="s">
        <v>4673</v>
      </c>
      <c r="J1405" s="8" t="s">
        <v>4674</v>
      </c>
    </row>
    <row r="1406">
      <c r="A1406" s="7">
        <v>2.0054412E7</v>
      </c>
      <c r="B1406" s="8" t="s">
        <v>4599</v>
      </c>
      <c r="C1406" s="8" t="s">
        <v>4675</v>
      </c>
      <c r="D1406" s="8" t="s">
        <v>16</v>
      </c>
      <c r="E1406" s="8" t="s">
        <v>17</v>
      </c>
      <c r="F1406" s="9">
        <v>46120.0</v>
      </c>
      <c r="G1406" s="8" t="s">
        <v>59</v>
      </c>
      <c r="H1406" s="8" t="s">
        <v>60</v>
      </c>
      <c r="I1406" s="8" t="s">
        <v>4676</v>
      </c>
      <c r="J1406" s="8" t="s">
        <v>4677</v>
      </c>
    </row>
    <row r="1407">
      <c r="A1407" s="7">
        <v>2.0051895E7</v>
      </c>
      <c r="B1407" s="8" t="s">
        <v>4599</v>
      </c>
      <c r="C1407" s="8" t="s">
        <v>4678</v>
      </c>
      <c r="D1407" s="8" t="s">
        <v>16</v>
      </c>
      <c r="E1407" s="8" t="s">
        <v>17</v>
      </c>
      <c r="F1407" s="9">
        <v>46109.0</v>
      </c>
      <c r="G1407" s="8" t="s">
        <v>908</v>
      </c>
      <c r="H1407" s="8" t="s">
        <v>909</v>
      </c>
      <c r="I1407" s="8" t="s">
        <v>4679</v>
      </c>
      <c r="J1407" s="8" t="s">
        <v>4680</v>
      </c>
    </row>
    <row r="1408">
      <c r="A1408" s="7">
        <v>2.0050632E7</v>
      </c>
      <c r="B1408" s="8" t="s">
        <v>4599</v>
      </c>
      <c r="C1408" s="8" t="s">
        <v>4681</v>
      </c>
      <c r="D1408" s="8" t="s">
        <v>16</v>
      </c>
      <c r="E1408" s="8" t="s">
        <v>17</v>
      </c>
      <c r="F1408" s="9">
        <v>46100.0</v>
      </c>
      <c r="G1408" s="8" t="s">
        <v>59</v>
      </c>
      <c r="H1408" s="8" t="s">
        <v>60</v>
      </c>
      <c r="I1408" s="8" t="s">
        <v>4682</v>
      </c>
      <c r="J1408" s="8" t="s">
        <v>4683</v>
      </c>
    </row>
    <row r="1409">
      <c r="A1409" s="7">
        <v>2.0045875E7</v>
      </c>
      <c r="B1409" s="8" t="s">
        <v>4599</v>
      </c>
      <c r="C1409" s="8" t="s">
        <v>4684</v>
      </c>
      <c r="D1409" s="8" t="s">
        <v>16</v>
      </c>
      <c r="E1409" s="8" t="s">
        <v>17</v>
      </c>
      <c r="F1409" s="9">
        <v>46087.0</v>
      </c>
      <c r="G1409" s="8" t="s">
        <v>4685</v>
      </c>
      <c r="H1409" s="8" t="s">
        <v>4686</v>
      </c>
      <c r="I1409" s="8" t="s">
        <v>4687</v>
      </c>
      <c r="J1409" s="8" t="s">
        <v>1752</v>
      </c>
    </row>
    <row r="1410">
      <c r="A1410" s="7">
        <v>2.00336E7</v>
      </c>
      <c r="B1410" s="8" t="s">
        <v>4599</v>
      </c>
      <c r="C1410" s="8" t="s">
        <v>4688</v>
      </c>
      <c r="D1410" s="8" t="s">
        <v>16</v>
      </c>
      <c r="E1410" s="8" t="s">
        <v>17</v>
      </c>
      <c r="F1410" s="9">
        <v>46038.0</v>
      </c>
      <c r="G1410" s="8" t="s">
        <v>195</v>
      </c>
      <c r="H1410" s="8" t="s">
        <v>196</v>
      </c>
      <c r="I1410" s="8" t="s">
        <v>4689</v>
      </c>
      <c r="J1410" s="8" t="s">
        <v>4690</v>
      </c>
    </row>
    <row r="1411">
      <c r="A1411" s="7">
        <v>2.0021984E7</v>
      </c>
      <c r="B1411" s="8" t="s">
        <v>4599</v>
      </c>
      <c r="C1411" s="8" t="s">
        <v>4691</v>
      </c>
      <c r="D1411" s="8" t="s">
        <v>16</v>
      </c>
      <c r="E1411" s="8" t="s">
        <v>17</v>
      </c>
      <c r="F1411" s="9">
        <v>46056.0</v>
      </c>
      <c r="G1411" s="8" t="s">
        <v>643</v>
      </c>
      <c r="H1411" s="8" t="s">
        <v>644</v>
      </c>
      <c r="I1411" s="8" t="s">
        <v>4692</v>
      </c>
      <c r="J1411" s="8" t="s">
        <v>4693</v>
      </c>
    </row>
    <row r="1412">
      <c r="A1412" s="7">
        <v>2.0033849E7</v>
      </c>
      <c r="B1412" s="8" t="s">
        <v>4599</v>
      </c>
      <c r="C1412" s="8" t="s">
        <v>4694</v>
      </c>
      <c r="D1412" s="8" t="s">
        <v>16</v>
      </c>
      <c r="E1412" s="8" t="s">
        <v>17</v>
      </c>
      <c r="F1412" s="9">
        <v>46052.0</v>
      </c>
      <c r="G1412" s="8" t="s">
        <v>361</v>
      </c>
      <c r="H1412" s="8" t="s">
        <v>362</v>
      </c>
      <c r="I1412" s="8" t="s">
        <v>4695</v>
      </c>
      <c r="J1412" s="8" t="s">
        <v>4696</v>
      </c>
    </row>
    <row r="1413">
      <c r="A1413" s="7">
        <v>2.0033875E7</v>
      </c>
      <c r="B1413" s="8" t="s">
        <v>4599</v>
      </c>
      <c r="C1413" s="8" t="s">
        <v>4697</v>
      </c>
      <c r="D1413" s="8" t="s">
        <v>16</v>
      </c>
      <c r="E1413" s="8" t="s">
        <v>17</v>
      </c>
      <c r="F1413" s="9">
        <v>46053.0</v>
      </c>
      <c r="G1413" s="8" t="s">
        <v>158</v>
      </c>
      <c r="H1413" s="8" t="s">
        <v>159</v>
      </c>
      <c r="I1413" s="8" t="s">
        <v>4698</v>
      </c>
      <c r="J1413" s="8" t="s">
        <v>4699</v>
      </c>
    </row>
    <row r="1414">
      <c r="A1414" s="7">
        <v>2.0033869E7</v>
      </c>
      <c r="B1414" s="8" t="s">
        <v>4599</v>
      </c>
      <c r="C1414" s="8" t="s">
        <v>4700</v>
      </c>
      <c r="D1414" s="8" t="s">
        <v>16</v>
      </c>
      <c r="E1414" s="8" t="s">
        <v>17</v>
      </c>
      <c r="F1414" s="9">
        <v>46040.0</v>
      </c>
      <c r="G1414" s="8" t="s">
        <v>59</v>
      </c>
      <c r="H1414" s="8" t="s">
        <v>60</v>
      </c>
      <c r="I1414" s="8" t="s">
        <v>4701</v>
      </c>
      <c r="J1414" s="8" t="s">
        <v>4702</v>
      </c>
    </row>
    <row r="1415">
      <c r="A1415" s="7">
        <v>2.0033744E7</v>
      </c>
      <c r="B1415" s="8" t="s">
        <v>4599</v>
      </c>
      <c r="C1415" s="8" t="s">
        <v>4703</v>
      </c>
      <c r="D1415" s="8" t="s">
        <v>16</v>
      </c>
      <c r="E1415" s="8" t="s">
        <v>17</v>
      </c>
      <c r="F1415" s="9">
        <v>46054.0</v>
      </c>
      <c r="G1415" s="8" t="s">
        <v>184</v>
      </c>
      <c r="H1415" s="8" t="s">
        <v>185</v>
      </c>
      <c r="I1415" s="8" t="s">
        <v>4704</v>
      </c>
      <c r="J1415" s="8" t="s">
        <v>4705</v>
      </c>
    </row>
    <row r="1416">
      <c r="A1416" s="7">
        <v>2.0033411E7</v>
      </c>
      <c r="B1416" s="8" t="s">
        <v>4599</v>
      </c>
      <c r="C1416" s="8" t="s">
        <v>4706</v>
      </c>
      <c r="D1416" s="8" t="s">
        <v>16</v>
      </c>
      <c r="E1416" s="8" t="s">
        <v>17</v>
      </c>
      <c r="F1416" s="9">
        <v>46044.0</v>
      </c>
      <c r="G1416" s="8" t="s">
        <v>54</v>
      </c>
      <c r="H1416" s="8" t="s">
        <v>55</v>
      </c>
      <c r="I1416" s="8" t="s">
        <v>4707</v>
      </c>
      <c r="J1416" s="8" t="s">
        <v>4708</v>
      </c>
    </row>
    <row r="1417">
      <c r="A1417" s="7">
        <v>2.0030438E7</v>
      </c>
      <c r="B1417" s="8" t="s">
        <v>4599</v>
      </c>
      <c r="C1417" s="8" t="s">
        <v>4709</v>
      </c>
      <c r="D1417" s="8" t="s">
        <v>16</v>
      </c>
      <c r="E1417" s="8" t="s">
        <v>17</v>
      </c>
      <c r="F1417" s="9">
        <v>46054.0</v>
      </c>
      <c r="G1417" s="8" t="s">
        <v>4710</v>
      </c>
      <c r="H1417" s="8" t="s">
        <v>4711</v>
      </c>
      <c r="I1417" s="8" t="s">
        <v>4712</v>
      </c>
      <c r="J1417" s="8"/>
    </row>
    <row r="1418">
      <c r="A1418" s="7">
        <v>2.0031086E7</v>
      </c>
      <c r="B1418" s="8" t="s">
        <v>4599</v>
      </c>
      <c r="C1418" s="8" t="s">
        <v>4713</v>
      </c>
      <c r="D1418" s="8" t="s">
        <v>16</v>
      </c>
      <c r="E1418" s="8" t="s">
        <v>17</v>
      </c>
      <c r="F1418" s="9">
        <v>46036.0</v>
      </c>
      <c r="G1418" s="8" t="s">
        <v>385</v>
      </c>
      <c r="H1418" s="8" t="s">
        <v>386</v>
      </c>
      <c r="I1418" s="8" t="s">
        <v>4714</v>
      </c>
      <c r="J1418" s="8" t="s">
        <v>4715</v>
      </c>
    </row>
    <row r="1419">
      <c r="A1419" s="7">
        <v>2.0032277E7</v>
      </c>
      <c r="B1419" s="8" t="s">
        <v>4599</v>
      </c>
      <c r="C1419" s="8" t="s">
        <v>4716</v>
      </c>
      <c r="D1419" s="8" t="s">
        <v>16</v>
      </c>
      <c r="E1419" s="8" t="s">
        <v>17</v>
      </c>
      <c r="F1419" s="9">
        <v>46046.0</v>
      </c>
      <c r="G1419" s="8" t="s">
        <v>4717</v>
      </c>
      <c r="H1419" s="8" t="s">
        <v>4718</v>
      </c>
      <c r="I1419" s="8" t="s">
        <v>4719</v>
      </c>
      <c r="J1419" s="8" t="s">
        <v>4720</v>
      </c>
    </row>
    <row r="1420">
      <c r="A1420" s="7">
        <v>2.0033615E7</v>
      </c>
      <c r="B1420" s="8" t="s">
        <v>4599</v>
      </c>
      <c r="C1420" s="8" t="s">
        <v>4721</v>
      </c>
      <c r="D1420" s="8" t="s">
        <v>16</v>
      </c>
      <c r="E1420" s="8" t="s">
        <v>17</v>
      </c>
      <c r="F1420" s="9">
        <v>46049.0</v>
      </c>
      <c r="G1420" s="8" t="s">
        <v>2094</v>
      </c>
      <c r="H1420" s="8" t="s">
        <v>2095</v>
      </c>
      <c r="I1420" s="8" t="s">
        <v>4722</v>
      </c>
      <c r="J1420" s="8" t="s">
        <v>4723</v>
      </c>
    </row>
    <row r="1421">
      <c r="A1421" s="7">
        <v>2.0033634E7</v>
      </c>
      <c r="B1421" s="8" t="s">
        <v>4599</v>
      </c>
      <c r="C1421" s="8" t="s">
        <v>4724</v>
      </c>
      <c r="D1421" s="8" t="s">
        <v>16</v>
      </c>
      <c r="E1421" s="8" t="s">
        <v>17</v>
      </c>
      <c r="F1421" s="9">
        <v>46051.0</v>
      </c>
      <c r="G1421" s="8" t="s">
        <v>410</v>
      </c>
      <c r="H1421" s="8" t="s">
        <v>411</v>
      </c>
      <c r="I1421" s="8" t="s">
        <v>4725</v>
      </c>
      <c r="J1421" s="8" t="s">
        <v>4726</v>
      </c>
    </row>
    <row r="1422">
      <c r="A1422" s="7">
        <v>2.0033571E7</v>
      </c>
      <c r="B1422" s="8" t="s">
        <v>4599</v>
      </c>
      <c r="C1422" s="8" t="s">
        <v>4727</v>
      </c>
      <c r="D1422" s="8" t="s">
        <v>16</v>
      </c>
      <c r="E1422" s="8" t="s">
        <v>17</v>
      </c>
      <c r="F1422" s="9">
        <v>46038.0</v>
      </c>
      <c r="G1422" s="8" t="s">
        <v>1461</v>
      </c>
      <c r="H1422" s="8" t="s">
        <v>1462</v>
      </c>
      <c r="I1422" s="8" t="s">
        <v>4728</v>
      </c>
      <c r="J1422" s="8" t="s">
        <v>4729</v>
      </c>
    </row>
    <row r="1423">
      <c r="A1423" s="7">
        <v>2.0033571E7</v>
      </c>
      <c r="B1423" s="8" t="s">
        <v>4599</v>
      </c>
      <c r="C1423" s="8" t="s">
        <v>4727</v>
      </c>
      <c r="D1423" s="8" t="s">
        <v>16</v>
      </c>
      <c r="E1423" s="8" t="s">
        <v>17</v>
      </c>
      <c r="F1423" s="9">
        <v>46038.0</v>
      </c>
      <c r="G1423" s="8" t="s">
        <v>1461</v>
      </c>
      <c r="H1423" s="8" t="s">
        <v>1462</v>
      </c>
      <c r="I1423" s="8" t="s">
        <v>4730</v>
      </c>
      <c r="J1423" s="8" t="s">
        <v>4729</v>
      </c>
    </row>
    <row r="1424">
      <c r="A1424" s="7">
        <v>2.0033382E7</v>
      </c>
      <c r="B1424" s="8" t="s">
        <v>4599</v>
      </c>
      <c r="C1424" s="8" t="s">
        <v>4731</v>
      </c>
      <c r="D1424" s="8" t="s">
        <v>16</v>
      </c>
      <c r="E1424" s="8" t="s">
        <v>48</v>
      </c>
      <c r="F1424" s="9">
        <v>46052.0</v>
      </c>
      <c r="G1424" s="8" t="s">
        <v>158</v>
      </c>
      <c r="H1424" s="8" t="s">
        <v>159</v>
      </c>
      <c r="I1424" s="8" t="s">
        <v>4732</v>
      </c>
      <c r="J1424" s="8"/>
    </row>
    <row r="1425">
      <c r="A1425" s="7">
        <v>2.0033263E7</v>
      </c>
      <c r="B1425" s="8" t="s">
        <v>4599</v>
      </c>
      <c r="C1425" s="8" t="s">
        <v>4733</v>
      </c>
      <c r="D1425" s="8" t="s">
        <v>16</v>
      </c>
      <c r="E1425" s="8" t="s">
        <v>17</v>
      </c>
      <c r="F1425" s="9">
        <v>46034.0</v>
      </c>
      <c r="G1425" s="8" t="s">
        <v>365</v>
      </c>
      <c r="H1425" s="8" t="s">
        <v>366</v>
      </c>
      <c r="I1425" s="8" t="s">
        <v>4734</v>
      </c>
      <c r="J1425" s="8" t="s">
        <v>4735</v>
      </c>
    </row>
    <row r="1426">
      <c r="A1426" s="7">
        <v>2.0032974E7</v>
      </c>
      <c r="B1426" s="8" t="s">
        <v>4599</v>
      </c>
      <c r="C1426" s="8" t="s">
        <v>4736</v>
      </c>
      <c r="D1426" s="8" t="s">
        <v>16</v>
      </c>
      <c r="E1426" s="8" t="s">
        <v>17</v>
      </c>
      <c r="F1426" s="9">
        <v>46032.0</v>
      </c>
      <c r="G1426" s="8" t="s">
        <v>75</v>
      </c>
      <c r="H1426" s="8" t="s">
        <v>76</v>
      </c>
      <c r="I1426" s="8" t="s">
        <v>4737</v>
      </c>
      <c r="J1426" s="8" t="s">
        <v>4738</v>
      </c>
    </row>
    <row r="1427">
      <c r="A1427" s="7">
        <v>2.0033176E7</v>
      </c>
      <c r="B1427" s="8" t="s">
        <v>4599</v>
      </c>
      <c r="C1427" s="8" t="s">
        <v>4739</v>
      </c>
      <c r="D1427" s="8" t="s">
        <v>16</v>
      </c>
      <c r="E1427" s="8" t="s">
        <v>17</v>
      </c>
      <c r="F1427" s="9">
        <v>46038.0</v>
      </c>
      <c r="G1427" s="8" t="s">
        <v>352</v>
      </c>
      <c r="H1427" s="8" t="s">
        <v>353</v>
      </c>
      <c r="I1427" s="8" t="s">
        <v>4740</v>
      </c>
      <c r="J1427" s="8" t="s">
        <v>4741</v>
      </c>
    </row>
    <row r="1428">
      <c r="A1428" s="7">
        <v>2.0031674E7</v>
      </c>
      <c r="B1428" s="8" t="s">
        <v>4599</v>
      </c>
      <c r="C1428" s="8" t="s">
        <v>4742</v>
      </c>
      <c r="D1428" s="8" t="s">
        <v>16</v>
      </c>
      <c r="E1428" s="8" t="s">
        <v>48</v>
      </c>
      <c r="F1428" s="9">
        <v>46039.0</v>
      </c>
      <c r="G1428" s="8" t="s">
        <v>282</v>
      </c>
      <c r="H1428" s="8" t="s">
        <v>71</v>
      </c>
      <c r="I1428" s="8" t="s">
        <v>4743</v>
      </c>
      <c r="J1428" s="8" t="s">
        <v>4744</v>
      </c>
    </row>
    <row r="1429">
      <c r="A1429" s="7">
        <v>2.0032707E7</v>
      </c>
      <c r="B1429" s="8" t="s">
        <v>4599</v>
      </c>
      <c r="C1429" s="8" t="s">
        <v>4745</v>
      </c>
      <c r="D1429" s="8" t="s">
        <v>16</v>
      </c>
      <c r="E1429" s="8" t="s">
        <v>17</v>
      </c>
      <c r="F1429" s="9">
        <v>46033.0</v>
      </c>
      <c r="G1429" s="8" t="s">
        <v>339</v>
      </c>
      <c r="H1429" s="8" t="s">
        <v>340</v>
      </c>
      <c r="I1429" s="8" t="s">
        <v>4746</v>
      </c>
      <c r="J1429" s="8" t="s">
        <v>4747</v>
      </c>
    </row>
    <row r="1430">
      <c r="A1430" s="7">
        <v>2.0031157E7</v>
      </c>
      <c r="B1430" s="8" t="s">
        <v>4599</v>
      </c>
      <c r="C1430" s="8" t="s">
        <v>4748</v>
      </c>
      <c r="D1430" s="8" t="s">
        <v>16</v>
      </c>
      <c r="E1430" s="8" t="s">
        <v>17</v>
      </c>
      <c r="F1430" s="9">
        <v>46036.0</v>
      </c>
      <c r="G1430" s="8" t="s">
        <v>29</v>
      </c>
      <c r="H1430" s="8" t="s">
        <v>30</v>
      </c>
      <c r="I1430" s="8" t="s">
        <v>4749</v>
      </c>
      <c r="J1430" s="8" t="s">
        <v>4750</v>
      </c>
    </row>
    <row r="1431">
      <c r="A1431" s="7">
        <v>2.0032252E7</v>
      </c>
      <c r="B1431" s="8" t="s">
        <v>4599</v>
      </c>
      <c r="C1431" s="8" t="s">
        <v>4751</v>
      </c>
      <c r="D1431" s="8" t="s">
        <v>16</v>
      </c>
      <c r="E1431" s="8" t="s">
        <v>17</v>
      </c>
      <c r="F1431" s="9">
        <v>46031.0</v>
      </c>
      <c r="G1431" s="8" t="s">
        <v>59</v>
      </c>
      <c r="H1431" s="8" t="s">
        <v>60</v>
      </c>
      <c r="I1431" s="8" t="s">
        <v>4752</v>
      </c>
      <c r="J1431" s="8" t="s">
        <v>4753</v>
      </c>
    </row>
    <row r="1432">
      <c r="A1432" s="7">
        <v>2.0032978E7</v>
      </c>
      <c r="B1432" s="8" t="s">
        <v>4599</v>
      </c>
      <c r="C1432" s="8" t="s">
        <v>4754</v>
      </c>
      <c r="D1432" s="8" t="s">
        <v>16</v>
      </c>
      <c r="E1432" s="8" t="s">
        <v>17</v>
      </c>
      <c r="F1432" s="9">
        <v>46042.0</v>
      </c>
      <c r="G1432" s="8" t="s">
        <v>1023</v>
      </c>
      <c r="H1432" s="8" t="s">
        <v>1024</v>
      </c>
      <c r="I1432" s="8" t="s">
        <v>4755</v>
      </c>
      <c r="J1432" s="8"/>
    </row>
    <row r="1433">
      <c r="A1433" s="7">
        <v>2.0032967E7</v>
      </c>
      <c r="B1433" s="8" t="s">
        <v>4599</v>
      </c>
      <c r="C1433" s="8" t="s">
        <v>4756</v>
      </c>
      <c r="D1433" s="8" t="s">
        <v>16</v>
      </c>
      <c r="E1433" s="8" t="s">
        <v>48</v>
      </c>
      <c r="F1433" s="9">
        <v>46042.0</v>
      </c>
      <c r="G1433" s="8" t="s">
        <v>1813</v>
      </c>
      <c r="H1433" s="8" t="s">
        <v>1814</v>
      </c>
      <c r="I1433" s="8" t="s">
        <v>4757</v>
      </c>
      <c r="J1433" s="8"/>
    </row>
    <row r="1434">
      <c r="A1434" s="7">
        <v>2.0032874E7</v>
      </c>
      <c r="B1434" s="8" t="s">
        <v>4599</v>
      </c>
      <c r="C1434" s="8" t="s">
        <v>4758</v>
      </c>
      <c r="D1434" s="8" t="s">
        <v>16</v>
      </c>
      <c r="E1434" s="8" t="s">
        <v>17</v>
      </c>
      <c r="F1434" s="9">
        <v>46032.0</v>
      </c>
      <c r="G1434" s="8" t="s">
        <v>385</v>
      </c>
      <c r="H1434" s="8" t="s">
        <v>386</v>
      </c>
      <c r="I1434" s="8" t="s">
        <v>4759</v>
      </c>
      <c r="J1434" s="8" t="s">
        <v>4760</v>
      </c>
    </row>
    <row r="1435">
      <c r="A1435" s="7">
        <v>2.0032875E7</v>
      </c>
      <c r="B1435" s="8" t="s">
        <v>4599</v>
      </c>
      <c r="C1435" s="8" t="s">
        <v>4761</v>
      </c>
      <c r="D1435" s="8" t="s">
        <v>16</v>
      </c>
      <c r="E1435" s="8" t="s">
        <v>17</v>
      </c>
      <c r="F1435" s="9">
        <v>46042.0</v>
      </c>
      <c r="G1435" s="8" t="s">
        <v>4762</v>
      </c>
      <c r="H1435" s="8" t="s">
        <v>4763</v>
      </c>
      <c r="I1435" s="8" t="s">
        <v>4764</v>
      </c>
      <c r="J1435" s="8" t="s">
        <v>4765</v>
      </c>
    </row>
    <row r="1436">
      <c r="A1436" s="7">
        <v>2.0031161E7</v>
      </c>
      <c r="B1436" s="8" t="s">
        <v>4599</v>
      </c>
      <c r="C1436" s="8" t="s">
        <v>4766</v>
      </c>
      <c r="D1436" s="8" t="s">
        <v>16</v>
      </c>
      <c r="E1436" s="8" t="s">
        <v>17</v>
      </c>
      <c r="F1436" s="9">
        <v>46029.0</v>
      </c>
      <c r="G1436" s="8" t="s">
        <v>59</v>
      </c>
      <c r="H1436" s="8" t="s">
        <v>60</v>
      </c>
      <c r="I1436" s="8" t="s">
        <v>4767</v>
      </c>
      <c r="J1436" s="8" t="s">
        <v>4768</v>
      </c>
    </row>
    <row r="1437">
      <c r="A1437" s="7">
        <v>2.0031379E7</v>
      </c>
      <c r="B1437" s="8" t="s">
        <v>4599</v>
      </c>
      <c r="C1437" s="8" t="s">
        <v>4769</v>
      </c>
      <c r="D1437" s="8" t="s">
        <v>16</v>
      </c>
      <c r="E1437" s="8" t="s">
        <v>17</v>
      </c>
      <c r="F1437" s="9">
        <v>46031.0</v>
      </c>
      <c r="G1437" s="8" t="s">
        <v>75</v>
      </c>
      <c r="H1437" s="8" t="s">
        <v>76</v>
      </c>
      <c r="I1437" s="8" t="s">
        <v>4770</v>
      </c>
      <c r="J1437" s="8" t="s">
        <v>4771</v>
      </c>
    </row>
    <row r="1438">
      <c r="A1438" s="7">
        <v>2.0031921E7</v>
      </c>
      <c r="B1438" s="8" t="s">
        <v>4599</v>
      </c>
      <c r="C1438" s="8" t="s">
        <v>4772</v>
      </c>
      <c r="D1438" s="8" t="s">
        <v>16</v>
      </c>
      <c r="E1438" s="8" t="s">
        <v>17</v>
      </c>
      <c r="F1438" s="9">
        <v>46028.0</v>
      </c>
      <c r="G1438" s="8" t="s">
        <v>59</v>
      </c>
      <c r="H1438" s="8" t="s">
        <v>60</v>
      </c>
      <c r="I1438" s="8" t="s">
        <v>4773</v>
      </c>
      <c r="J1438" s="8" t="s">
        <v>4774</v>
      </c>
    </row>
    <row r="1439">
      <c r="A1439" s="7">
        <v>2.0032578E7</v>
      </c>
      <c r="B1439" s="8" t="s">
        <v>4599</v>
      </c>
      <c r="C1439" s="8" t="s">
        <v>4775</v>
      </c>
      <c r="D1439" s="8" t="s">
        <v>16</v>
      </c>
      <c r="E1439" s="8" t="s">
        <v>48</v>
      </c>
      <c r="F1439" s="9">
        <v>46049.0</v>
      </c>
      <c r="G1439" s="8" t="s">
        <v>1813</v>
      </c>
      <c r="H1439" s="8" t="s">
        <v>1814</v>
      </c>
      <c r="I1439" s="8" t="s">
        <v>4776</v>
      </c>
      <c r="J1439" s="8"/>
    </row>
    <row r="1440">
      <c r="A1440" s="7">
        <v>2.0031845E7</v>
      </c>
      <c r="B1440" s="8" t="s">
        <v>4599</v>
      </c>
      <c r="C1440" s="8" t="s">
        <v>4777</v>
      </c>
      <c r="D1440" s="8" t="s">
        <v>16</v>
      </c>
      <c r="E1440" s="8" t="s">
        <v>17</v>
      </c>
      <c r="F1440" s="9">
        <v>46030.0</v>
      </c>
      <c r="G1440" s="8" t="s">
        <v>2511</v>
      </c>
      <c r="H1440" s="8" t="s">
        <v>2512</v>
      </c>
      <c r="I1440" s="8" t="s">
        <v>4778</v>
      </c>
      <c r="J1440" s="8" t="s">
        <v>4779</v>
      </c>
    </row>
    <row r="1441">
      <c r="A1441" s="7">
        <v>2.0031685E7</v>
      </c>
      <c r="B1441" s="8" t="s">
        <v>4599</v>
      </c>
      <c r="C1441" s="8" t="s">
        <v>4780</v>
      </c>
      <c r="D1441" s="8" t="s">
        <v>16</v>
      </c>
      <c r="E1441" s="8" t="s">
        <v>17</v>
      </c>
      <c r="F1441" s="9">
        <v>46032.0</v>
      </c>
      <c r="G1441" s="8" t="s">
        <v>195</v>
      </c>
      <c r="H1441" s="8" t="s">
        <v>196</v>
      </c>
      <c r="I1441" s="8" t="s">
        <v>4781</v>
      </c>
      <c r="J1441" s="8" t="s">
        <v>4782</v>
      </c>
    </row>
    <row r="1442">
      <c r="A1442" s="7">
        <v>2.0031924E7</v>
      </c>
      <c r="B1442" s="8" t="s">
        <v>4599</v>
      </c>
      <c r="C1442" s="8" t="s">
        <v>4783</v>
      </c>
      <c r="D1442" s="8" t="s">
        <v>16</v>
      </c>
      <c r="E1442" s="8" t="s">
        <v>17</v>
      </c>
      <c r="F1442" s="9">
        <v>46039.0</v>
      </c>
      <c r="G1442" s="8" t="s">
        <v>234</v>
      </c>
      <c r="H1442" s="8" t="s">
        <v>235</v>
      </c>
      <c r="I1442" s="8" t="s">
        <v>4784</v>
      </c>
      <c r="J1442" s="8" t="s">
        <v>4785</v>
      </c>
    </row>
    <row r="1443">
      <c r="A1443" s="7">
        <v>2.003198E7</v>
      </c>
      <c r="B1443" s="8" t="s">
        <v>4599</v>
      </c>
      <c r="C1443" s="8" t="s">
        <v>4786</v>
      </c>
      <c r="D1443" s="8" t="s">
        <v>16</v>
      </c>
      <c r="E1443" s="8" t="s">
        <v>17</v>
      </c>
      <c r="F1443" s="9">
        <v>46048.0</v>
      </c>
      <c r="G1443" s="8" t="s">
        <v>109</v>
      </c>
      <c r="H1443" s="8" t="s">
        <v>110</v>
      </c>
      <c r="I1443" s="8" t="s">
        <v>4787</v>
      </c>
      <c r="J1443" s="8" t="s">
        <v>4788</v>
      </c>
    </row>
    <row r="1444">
      <c r="A1444" s="7">
        <v>2.0032602E7</v>
      </c>
      <c r="B1444" s="8" t="s">
        <v>4599</v>
      </c>
      <c r="C1444" s="8" t="s">
        <v>4789</v>
      </c>
      <c r="D1444" s="8" t="s">
        <v>16</v>
      </c>
      <c r="E1444" s="8" t="s">
        <v>17</v>
      </c>
      <c r="F1444" s="9">
        <v>46030.0</v>
      </c>
      <c r="G1444" s="8" t="s">
        <v>91</v>
      </c>
      <c r="H1444" s="8" t="s">
        <v>92</v>
      </c>
      <c r="I1444" s="8" t="s">
        <v>4790</v>
      </c>
      <c r="J1444" s="8" t="s">
        <v>4791</v>
      </c>
    </row>
    <row r="1445">
      <c r="A1445" s="7">
        <v>2.0030744E7</v>
      </c>
      <c r="B1445" s="8" t="s">
        <v>4599</v>
      </c>
      <c r="C1445" s="8" t="s">
        <v>4792</v>
      </c>
      <c r="D1445" s="8" t="s">
        <v>16</v>
      </c>
      <c r="E1445" s="8" t="s">
        <v>17</v>
      </c>
      <c r="F1445" s="9">
        <v>46036.0</v>
      </c>
      <c r="G1445" s="8" t="s">
        <v>247</v>
      </c>
      <c r="H1445" s="8" t="s">
        <v>248</v>
      </c>
      <c r="I1445" s="8" t="s">
        <v>4793</v>
      </c>
      <c r="J1445" s="8" t="s">
        <v>4794</v>
      </c>
    </row>
    <row r="1446">
      <c r="A1446" s="7">
        <v>2.0032548E7</v>
      </c>
      <c r="B1446" s="8" t="s">
        <v>4599</v>
      </c>
      <c r="C1446" s="8" t="s">
        <v>4795</v>
      </c>
      <c r="D1446" s="8" t="s">
        <v>16</v>
      </c>
      <c r="E1446" s="8" t="s">
        <v>17</v>
      </c>
      <c r="F1446" s="9">
        <v>46043.0</v>
      </c>
      <c r="G1446" s="8" t="s">
        <v>4796</v>
      </c>
      <c r="H1446" s="8" t="s">
        <v>4797</v>
      </c>
      <c r="I1446" s="8" t="s">
        <v>4798</v>
      </c>
      <c r="J1446" s="8" t="s">
        <v>4799</v>
      </c>
    </row>
    <row r="1447">
      <c r="A1447" s="7">
        <v>2.0032504E7</v>
      </c>
      <c r="B1447" s="8" t="s">
        <v>4599</v>
      </c>
      <c r="C1447" s="8" t="s">
        <v>4800</v>
      </c>
      <c r="D1447" s="8" t="s">
        <v>16</v>
      </c>
      <c r="E1447" s="8" t="s">
        <v>17</v>
      </c>
      <c r="F1447" s="9">
        <v>46029.0</v>
      </c>
      <c r="G1447" s="8" t="s">
        <v>2511</v>
      </c>
      <c r="H1447" s="8" t="s">
        <v>2512</v>
      </c>
      <c r="I1447" s="8" t="s">
        <v>4801</v>
      </c>
      <c r="J1447" s="8" t="s">
        <v>4802</v>
      </c>
    </row>
    <row r="1448">
      <c r="A1448" s="7">
        <v>2.0030293E7</v>
      </c>
      <c r="B1448" s="8" t="s">
        <v>4599</v>
      </c>
      <c r="C1448" s="8" t="s">
        <v>4803</v>
      </c>
      <c r="D1448" s="8" t="s">
        <v>16</v>
      </c>
      <c r="E1448" s="8" t="s">
        <v>17</v>
      </c>
      <c r="F1448" s="9">
        <v>46029.0</v>
      </c>
      <c r="G1448" s="8" t="s">
        <v>846</v>
      </c>
      <c r="H1448" s="8" t="s">
        <v>847</v>
      </c>
      <c r="I1448" s="8" t="s">
        <v>4804</v>
      </c>
      <c r="J1448" s="8" t="s">
        <v>4805</v>
      </c>
    </row>
    <row r="1449">
      <c r="A1449" s="7">
        <v>2.0031239E7</v>
      </c>
      <c r="B1449" s="8" t="s">
        <v>4599</v>
      </c>
      <c r="C1449" s="8" t="s">
        <v>4806</v>
      </c>
      <c r="D1449" s="8" t="s">
        <v>16</v>
      </c>
      <c r="E1449" s="8" t="s">
        <v>17</v>
      </c>
      <c r="F1449" s="9">
        <v>46029.0</v>
      </c>
      <c r="G1449" s="8" t="s">
        <v>109</v>
      </c>
      <c r="H1449" s="8" t="s">
        <v>110</v>
      </c>
      <c r="I1449" s="8" t="s">
        <v>4807</v>
      </c>
      <c r="J1449" s="8" t="s">
        <v>4808</v>
      </c>
    </row>
    <row r="1450">
      <c r="A1450" s="7">
        <v>2.0032112E7</v>
      </c>
      <c r="B1450" s="8" t="s">
        <v>4599</v>
      </c>
      <c r="C1450" s="8" t="s">
        <v>4809</v>
      </c>
      <c r="D1450" s="8" t="s">
        <v>16</v>
      </c>
      <c r="E1450" s="8" t="s">
        <v>48</v>
      </c>
      <c r="F1450" s="9">
        <v>46048.0</v>
      </c>
      <c r="G1450" s="8" t="s">
        <v>4810</v>
      </c>
      <c r="H1450" s="8" t="s">
        <v>4811</v>
      </c>
      <c r="I1450" s="8" t="s">
        <v>4812</v>
      </c>
      <c r="J1450" s="8"/>
    </row>
    <row r="1451">
      <c r="A1451" s="7">
        <v>2.0032359E7</v>
      </c>
      <c r="B1451" s="8" t="s">
        <v>4599</v>
      </c>
      <c r="C1451" s="8" t="s">
        <v>4813</v>
      </c>
      <c r="D1451" s="8" t="s">
        <v>16</v>
      </c>
      <c r="E1451" s="8" t="s">
        <v>17</v>
      </c>
      <c r="F1451" s="9">
        <v>46031.0</v>
      </c>
      <c r="G1451" s="8" t="s">
        <v>54</v>
      </c>
      <c r="H1451" s="8" t="s">
        <v>55</v>
      </c>
      <c r="I1451" s="8" t="s">
        <v>4814</v>
      </c>
      <c r="J1451" s="8" t="s">
        <v>4815</v>
      </c>
    </row>
    <row r="1452">
      <c r="A1452" s="7">
        <v>2.003114E7</v>
      </c>
      <c r="B1452" s="8" t="s">
        <v>4599</v>
      </c>
      <c r="C1452" s="8" t="s">
        <v>4816</v>
      </c>
      <c r="D1452" s="8" t="s">
        <v>16</v>
      </c>
      <c r="E1452" s="8" t="s">
        <v>17</v>
      </c>
      <c r="F1452" s="9">
        <v>46033.0</v>
      </c>
      <c r="G1452" s="8" t="s">
        <v>339</v>
      </c>
      <c r="H1452" s="8" t="s">
        <v>340</v>
      </c>
      <c r="I1452" s="8" t="s">
        <v>4817</v>
      </c>
      <c r="J1452" s="8" t="s">
        <v>4818</v>
      </c>
    </row>
    <row r="1453">
      <c r="A1453" s="7">
        <v>2.0031847E7</v>
      </c>
      <c r="B1453" s="8" t="s">
        <v>4599</v>
      </c>
      <c r="C1453" s="8" t="s">
        <v>4819</v>
      </c>
      <c r="D1453" s="8" t="s">
        <v>16</v>
      </c>
      <c r="E1453" s="8" t="s">
        <v>17</v>
      </c>
      <c r="F1453" s="9">
        <v>46036.0</v>
      </c>
      <c r="G1453" s="8" t="s">
        <v>805</v>
      </c>
      <c r="H1453" s="8" t="s">
        <v>806</v>
      </c>
      <c r="I1453" s="8" t="s">
        <v>4820</v>
      </c>
      <c r="J1453" s="8" t="s">
        <v>4821</v>
      </c>
    </row>
    <row r="1454">
      <c r="A1454" s="7">
        <v>2.0028263E7</v>
      </c>
      <c r="B1454" s="8" t="s">
        <v>4599</v>
      </c>
      <c r="C1454" s="8" t="s">
        <v>4822</v>
      </c>
      <c r="D1454" s="8" t="s">
        <v>16</v>
      </c>
      <c r="E1454" s="8" t="s">
        <v>17</v>
      </c>
      <c r="F1454" s="9">
        <v>46036.0</v>
      </c>
      <c r="G1454" s="8" t="s">
        <v>247</v>
      </c>
      <c r="H1454" s="8" t="s">
        <v>248</v>
      </c>
      <c r="I1454" s="8" t="s">
        <v>4823</v>
      </c>
      <c r="J1454" s="8" t="s">
        <v>4824</v>
      </c>
    </row>
    <row r="1455">
      <c r="A1455" s="7">
        <v>2.0031604E7</v>
      </c>
      <c r="B1455" s="8" t="s">
        <v>4599</v>
      </c>
      <c r="C1455" s="8" t="s">
        <v>4825</v>
      </c>
      <c r="D1455" s="8" t="s">
        <v>16</v>
      </c>
      <c r="E1455" s="8" t="s">
        <v>17</v>
      </c>
      <c r="F1455" s="9">
        <v>46030.0</v>
      </c>
      <c r="G1455" s="8" t="s">
        <v>54</v>
      </c>
      <c r="H1455" s="8" t="s">
        <v>55</v>
      </c>
      <c r="I1455" s="8" t="s">
        <v>4826</v>
      </c>
      <c r="J1455" s="8" t="s">
        <v>4827</v>
      </c>
    </row>
    <row r="1456">
      <c r="A1456" s="7">
        <v>2.003236E7</v>
      </c>
      <c r="B1456" s="8" t="s">
        <v>4599</v>
      </c>
      <c r="C1456" s="8" t="s">
        <v>4828</v>
      </c>
      <c r="D1456" s="8" t="s">
        <v>16</v>
      </c>
      <c r="E1456" s="8" t="s">
        <v>17</v>
      </c>
      <c r="F1456" s="9">
        <v>46045.0</v>
      </c>
      <c r="G1456" s="8" t="s">
        <v>4829</v>
      </c>
      <c r="H1456" s="8" t="s">
        <v>4830</v>
      </c>
      <c r="I1456" s="8" t="s">
        <v>4831</v>
      </c>
      <c r="J1456" s="8" t="s">
        <v>4832</v>
      </c>
    </row>
    <row r="1457">
      <c r="A1457" s="7">
        <v>2.0032191E7</v>
      </c>
      <c r="B1457" s="8" t="s">
        <v>4599</v>
      </c>
      <c r="C1457" s="8" t="s">
        <v>4833</v>
      </c>
      <c r="D1457" s="8" t="s">
        <v>16</v>
      </c>
      <c r="E1457" s="8" t="s">
        <v>17</v>
      </c>
      <c r="F1457" s="9">
        <v>46029.0</v>
      </c>
      <c r="G1457" s="8" t="s">
        <v>1132</v>
      </c>
      <c r="H1457" s="8" t="s">
        <v>1133</v>
      </c>
      <c r="I1457" s="8" t="s">
        <v>4834</v>
      </c>
      <c r="J1457" s="8" t="s">
        <v>4835</v>
      </c>
    </row>
    <row r="1458">
      <c r="A1458" s="7">
        <v>2.002925E7</v>
      </c>
      <c r="B1458" s="8" t="s">
        <v>4599</v>
      </c>
      <c r="C1458" s="8" t="s">
        <v>4836</v>
      </c>
      <c r="D1458" s="8" t="s">
        <v>16</v>
      </c>
      <c r="E1458" s="8" t="s">
        <v>17</v>
      </c>
      <c r="F1458" s="9">
        <v>46033.0</v>
      </c>
      <c r="G1458" s="8" t="s">
        <v>4837</v>
      </c>
      <c r="H1458" s="8" t="s">
        <v>4838</v>
      </c>
      <c r="I1458" s="8" t="s">
        <v>4839</v>
      </c>
      <c r="J1458" s="8" t="s">
        <v>4840</v>
      </c>
    </row>
    <row r="1459">
      <c r="A1459" s="7">
        <v>2.0032203E7</v>
      </c>
      <c r="B1459" s="8" t="s">
        <v>4599</v>
      </c>
      <c r="C1459" s="8" t="s">
        <v>4841</v>
      </c>
      <c r="D1459" s="8" t="s">
        <v>16</v>
      </c>
      <c r="E1459" s="8" t="s">
        <v>17</v>
      </c>
      <c r="F1459" s="9">
        <v>46047.0</v>
      </c>
      <c r="G1459" s="8" t="s">
        <v>184</v>
      </c>
      <c r="H1459" s="8" t="s">
        <v>185</v>
      </c>
      <c r="I1459" s="8" t="s">
        <v>4842</v>
      </c>
      <c r="J1459" s="8" t="s">
        <v>4843</v>
      </c>
    </row>
    <row r="1460">
      <c r="A1460" s="7">
        <v>2.0032208E7</v>
      </c>
      <c r="B1460" s="8" t="s">
        <v>4599</v>
      </c>
      <c r="C1460" s="8" t="s">
        <v>4844</v>
      </c>
      <c r="D1460" s="8" t="s">
        <v>16</v>
      </c>
      <c r="E1460" s="8" t="s">
        <v>48</v>
      </c>
      <c r="F1460" s="9">
        <v>46046.0</v>
      </c>
      <c r="G1460" s="8" t="s">
        <v>18</v>
      </c>
      <c r="H1460" s="8" t="s">
        <v>19</v>
      </c>
      <c r="I1460" s="8" t="s">
        <v>4845</v>
      </c>
      <c r="J1460" s="8"/>
    </row>
    <row r="1461">
      <c r="A1461" s="7">
        <v>2.0031472E7</v>
      </c>
      <c r="B1461" s="8" t="s">
        <v>4599</v>
      </c>
      <c r="C1461" s="8" t="s">
        <v>4846</v>
      </c>
      <c r="D1461" s="8" t="s">
        <v>16</v>
      </c>
      <c r="E1461" s="8" t="s">
        <v>17</v>
      </c>
      <c r="F1461" s="9">
        <v>46028.0</v>
      </c>
      <c r="G1461" s="8" t="s">
        <v>3207</v>
      </c>
      <c r="H1461" s="8" t="s">
        <v>3208</v>
      </c>
      <c r="I1461" s="8" t="s">
        <v>4847</v>
      </c>
      <c r="J1461" s="8" t="s">
        <v>4848</v>
      </c>
    </row>
    <row r="1462">
      <c r="A1462" s="7">
        <v>2.0031694E7</v>
      </c>
      <c r="B1462" s="8" t="s">
        <v>4599</v>
      </c>
      <c r="C1462" s="8" t="s">
        <v>4849</v>
      </c>
      <c r="D1462" s="8" t="s">
        <v>16</v>
      </c>
      <c r="E1462" s="8" t="s">
        <v>17</v>
      </c>
      <c r="F1462" s="9">
        <v>46029.0</v>
      </c>
      <c r="G1462" s="8" t="s">
        <v>4850</v>
      </c>
      <c r="H1462" s="8" t="s">
        <v>4851</v>
      </c>
      <c r="I1462" s="8" t="s">
        <v>4852</v>
      </c>
      <c r="J1462" s="8" t="s">
        <v>4853</v>
      </c>
    </row>
    <row r="1463">
      <c r="A1463" s="7">
        <v>2.0029961E7</v>
      </c>
      <c r="B1463" s="8" t="s">
        <v>4599</v>
      </c>
      <c r="C1463" s="8" t="s">
        <v>4854</v>
      </c>
      <c r="D1463" s="8" t="s">
        <v>16</v>
      </c>
      <c r="E1463" s="8" t="s">
        <v>17</v>
      </c>
      <c r="F1463" s="9">
        <v>46041.0</v>
      </c>
      <c r="G1463" s="8" t="s">
        <v>3093</v>
      </c>
      <c r="H1463" s="8" t="s">
        <v>3094</v>
      </c>
      <c r="I1463" s="8" t="s">
        <v>4855</v>
      </c>
      <c r="J1463" s="8" t="s">
        <v>4856</v>
      </c>
    </row>
    <row r="1464">
      <c r="A1464" s="7">
        <v>2.0031985E7</v>
      </c>
      <c r="B1464" s="8" t="s">
        <v>4599</v>
      </c>
      <c r="C1464" s="8" t="s">
        <v>4857</v>
      </c>
      <c r="D1464" s="8" t="s">
        <v>16</v>
      </c>
      <c r="E1464" s="8" t="s">
        <v>17</v>
      </c>
      <c r="F1464" s="9">
        <v>46042.0</v>
      </c>
      <c r="G1464" s="8" t="s">
        <v>171</v>
      </c>
      <c r="H1464" s="8" t="s">
        <v>172</v>
      </c>
      <c r="I1464" s="8" t="s">
        <v>4858</v>
      </c>
      <c r="J1464" s="8" t="s">
        <v>4859</v>
      </c>
    </row>
    <row r="1465">
      <c r="A1465" s="7">
        <v>2.0027393E7</v>
      </c>
      <c r="B1465" s="8" t="s">
        <v>4599</v>
      </c>
      <c r="C1465" s="8" t="s">
        <v>4860</v>
      </c>
      <c r="D1465" s="8" t="s">
        <v>16</v>
      </c>
      <c r="E1465" s="8" t="s">
        <v>17</v>
      </c>
      <c r="F1465" s="9">
        <v>46027.0</v>
      </c>
      <c r="G1465" s="8" t="s">
        <v>109</v>
      </c>
      <c r="H1465" s="8" t="s">
        <v>110</v>
      </c>
      <c r="I1465" s="8" t="s">
        <v>4861</v>
      </c>
      <c r="J1465" s="8" t="s">
        <v>4862</v>
      </c>
    </row>
    <row r="1466">
      <c r="A1466" s="7">
        <v>2.0031748E7</v>
      </c>
      <c r="B1466" s="8" t="s">
        <v>4599</v>
      </c>
      <c r="C1466" s="8" t="s">
        <v>4863</v>
      </c>
      <c r="D1466" s="8" t="s">
        <v>16</v>
      </c>
      <c r="E1466" s="8" t="s">
        <v>17</v>
      </c>
      <c r="F1466" s="9">
        <v>46026.0</v>
      </c>
      <c r="G1466" s="8" t="s">
        <v>91</v>
      </c>
      <c r="H1466" s="8" t="s">
        <v>92</v>
      </c>
      <c r="I1466" s="8" t="s">
        <v>4864</v>
      </c>
      <c r="J1466" s="8" t="s">
        <v>4865</v>
      </c>
    </row>
    <row r="1467">
      <c r="A1467" s="7">
        <v>2.0030952E7</v>
      </c>
      <c r="B1467" s="8" t="s">
        <v>4599</v>
      </c>
      <c r="C1467" s="8" t="s">
        <v>4866</v>
      </c>
      <c r="D1467" s="8" t="s">
        <v>16</v>
      </c>
      <c r="E1467" s="8" t="s">
        <v>17</v>
      </c>
      <c r="F1467" s="9">
        <v>46027.0</v>
      </c>
      <c r="G1467" s="8" t="s">
        <v>3207</v>
      </c>
      <c r="H1467" s="8" t="s">
        <v>3208</v>
      </c>
      <c r="I1467" s="8" t="s">
        <v>4867</v>
      </c>
      <c r="J1467" s="8" t="s">
        <v>1752</v>
      </c>
    </row>
    <row r="1468">
      <c r="A1468" s="7">
        <v>2.0031586E7</v>
      </c>
      <c r="B1468" s="8" t="s">
        <v>4599</v>
      </c>
      <c r="C1468" s="8" t="s">
        <v>4868</v>
      </c>
      <c r="D1468" s="8" t="s">
        <v>16</v>
      </c>
      <c r="E1468" s="8" t="s">
        <v>17</v>
      </c>
      <c r="F1468" s="9">
        <v>46047.0</v>
      </c>
      <c r="G1468" s="8" t="s">
        <v>2079</v>
      </c>
      <c r="H1468" s="8" t="s">
        <v>2080</v>
      </c>
      <c r="I1468" s="8" t="s">
        <v>4869</v>
      </c>
      <c r="J1468" s="8"/>
    </row>
    <row r="1469">
      <c r="A1469" s="7">
        <v>2.0031584E7</v>
      </c>
      <c r="B1469" s="8" t="s">
        <v>4599</v>
      </c>
      <c r="C1469" s="8" t="s">
        <v>4870</v>
      </c>
      <c r="D1469" s="8" t="s">
        <v>16</v>
      </c>
      <c r="E1469" s="8" t="s">
        <v>17</v>
      </c>
      <c r="F1469" s="9">
        <v>46029.0</v>
      </c>
      <c r="G1469" s="8" t="s">
        <v>3200</v>
      </c>
      <c r="H1469" s="8" t="s">
        <v>401</v>
      </c>
      <c r="I1469" s="8" t="s">
        <v>4871</v>
      </c>
      <c r="J1469" s="8" t="s">
        <v>4872</v>
      </c>
    </row>
    <row r="1470">
      <c r="A1470" s="7">
        <v>2.0025204E7</v>
      </c>
      <c r="B1470" s="8" t="s">
        <v>4599</v>
      </c>
      <c r="C1470" s="8" t="s">
        <v>4873</v>
      </c>
      <c r="D1470" s="8" t="s">
        <v>16</v>
      </c>
      <c r="E1470" s="8" t="s">
        <v>17</v>
      </c>
      <c r="F1470" s="9">
        <v>46048.0</v>
      </c>
      <c r="G1470" s="8" t="s">
        <v>4416</v>
      </c>
      <c r="H1470" s="8" t="s">
        <v>4417</v>
      </c>
      <c r="I1470" s="8" t="s">
        <v>4874</v>
      </c>
      <c r="J1470" s="8" t="s">
        <v>4875</v>
      </c>
    </row>
    <row r="1471">
      <c r="A1471" s="7">
        <v>2.0025204E7</v>
      </c>
      <c r="B1471" s="8" t="s">
        <v>4599</v>
      </c>
      <c r="C1471" s="8" t="s">
        <v>4873</v>
      </c>
      <c r="D1471" s="8" t="s">
        <v>16</v>
      </c>
      <c r="E1471" s="8" t="s">
        <v>17</v>
      </c>
      <c r="F1471" s="9">
        <v>46048.0</v>
      </c>
      <c r="G1471" s="8" t="s">
        <v>1007</v>
      </c>
      <c r="H1471" s="8" t="s">
        <v>1008</v>
      </c>
      <c r="I1471" s="8" t="s">
        <v>4876</v>
      </c>
      <c r="J1471" s="8" t="s">
        <v>4877</v>
      </c>
    </row>
    <row r="1472">
      <c r="A1472" s="7">
        <v>2.0025594E7</v>
      </c>
      <c r="B1472" s="8" t="s">
        <v>4599</v>
      </c>
      <c r="C1472" s="8" t="s">
        <v>4878</v>
      </c>
      <c r="D1472" s="8" t="s">
        <v>16</v>
      </c>
      <c r="E1472" s="8" t="s">
        <v>17</v>
      </c>
      <c r="F1472" s="9">
        <v>46044.0</v>
      </c>
      <c r="G1472" s="8" t="s">
        <v>4879</v>
      </c>
      <c r="H1472" s="8" t="s">
        <v>4880</v>
      </c>
      <c r="I1472" s="8" t="s">
        <v>4881</v>
      </c>
      <c r="J1472" s="8" t="s">
        <v>4882</v>
      </c>
    </row>
    <row r="1473">
      <c r="A1473" s="7">
        <v>2.0031319E7</v>
      </c>
      <c r="B1473" s="8" t="s">
        <v>4599</v>
      </c>
      <c r="C1473" s="8" t="s">
        <v>4883</v>
      </c>
      <c r="D1473" s="8" t="s">
        <v>16</v>
      </c>
      <c r="E1473" s="8" t="s">
        <v>17</v>
      </c>
      <c r="F1473" s="9">
        <v>46038.0</v>
      </c>
      <c r="G1473" s="8" t="s">
        <v>314</v>
      </c>
      <c r="H1473" s="8" t="s">
        <v>315</v>
      </c>
      <c r="I1473" s="8" t="s">
        <v>4884</v>
      </c>
      <c r="J1473" s="8" t="s">
        <v>4885</v>
      </c>
    </row>
    <row r="1474">
      <c r="A1474" s="7">
        <v>2.0031488E7</v>
      </c>
      <c r="B1474" s="8" t="s">
        <v>4599</v>
      </c>
      <c r="C1474" s="8" t="s">
        <v>4886</v>
      </c>
      <c r="D1474" s="8" t="s">
        <v>16</v>
      </c>
      <c r="E1474" s="8" t="s">
        <v>17</v>
      </c>
      <c r="F1474" s="9">
        <v>46026.0</v>
      </c>
      <c r="G1474" s="8" t="s">
        <v>59</v>
      </c>
      <c r="H1474" s="8" t="s">
        <v>60</v>
      </c>
      <c r="I1474" s="8" t="s">
        <v>4887</v>
      </c>
      <c r="J1474" s="8" t="s">
        <v>4888</v>
      </c>
    </row>
    <row r="1475">
      <c r="A1475" s="7">
        <v>2.0030731E7</v>
      </c>
      <c r="B1475" s="8" t="s">
        <v>4599</v>
      </c>
      <c r="C1475" s="8" t="s">
        <v>4889</v>
      </c>
      <c r="D1475" s="8" t="s">
        <v>16</v>
      </c>
      <c r="E1475" s="8" t="s">
        <v>48</v>
      </c>
      <c r="F1475" s="9">
        <v>46034.0</v>
      </c>
      <c r="G1475" s="8" t="s">
        <v>428</v>
      </c>
      <c r="H1475" s="8" t="s">
        <v>429</v>
      </c>
      <c r="I1475" s="8" t="s">
        <v>4890</v>
      </c>
      <c r="J1475" s="8"/>
    </row>
    <row r="1476">
      <c r="A1476" s="7">
        <v>2.0031413E7</v>
      </c>
      <c r="B1476" s="8" t="s">
        <v>4599</v>
      </c>
      <c r="C1476" s="8" t="s">
        <v>4891</v>
      </c>
      <c r="D1476" s="8" t="s">
        <v>16</v>
      </c>
      <c r="E1476" s="8" t="s">
        <v>48</v>
      </c>
      <c r="F1476" s="9">
        <v>46030.0</v>
      </c>
      <c r="G1476" s="8" t="s">
        <v>49</v>
      </c>
      <c r="H1476" s="8" t="s">
        <v>50</v>
      </c>
      <c r="I1476" s="8" t="s">
        <v>4892</v>
      </c>
      <c r="J1476" s="8"/>
    </row>
    <row r="1477">
      <c r="A1477" s="7">
        <v>2.0031308E7</v>
      </c>
      <c r="B1477" s="8" t="s">
        <v>4599</v>
      </c>
      <c r="C1477" s="8" t="s">
        <v>4893</v>
      </c>
      <c r="D1477" s="8" t="s">
        <v>16</v>
      </c>
      <c r="E1477" s="8" t="s">
        <v>17</v>
      </c>
      <c r="F1477" s="9">
        <v>46026.0</v>
      </c>
      <c r="G1477" s="8" t="s">
        <v>34</v>
      </c>
      <c r="H1477" s="8" t="s">
        <v>35</v>
      </c>
      <c r="I1477" s="8" t="s">
        <v>4894</v>
      </c>
      <c r="J1477" s="8" t="s">
        <v>4895</v>
      </c>
    </row>
    <row r="1478">
      <c r="A1478" s="7">
        <v>2.0031287E7</v>
      </c>
      <c r="B1478" s="8" t="s">
        <v>4599</v>
      </c>
      <c r="C1478" s="8" t="s">
        <v>4896</v>
      </c>
      <c r="D1478" s="8" t="s">
        <v>16</v>
      </c>
      <c r="E1478" s="8" t="s">
        <v>48</v>
      </c>
      <c r="F1478" s="9">
        <v>46040.0</v>
      </c>
      <c r="G1478" s="8" t="s">
        <v>158</v>
      </c>
      <c r="H1478" s="8" t="s">
        <v>159</v>
      </c>
      <c r="I1478" s="8" t="s">
        <v>4897</v>
      </c>
      <c r="J1478" s="8"/>
    </row>
    <row r="1479">
      <c r="A1479" s="7">
        <v>2.0031189E7</v>
      </c>
      <c r="B1479" s="8" t="s">
        <v>4599</v>
      </c>
      <c r="C1479" s="8" t="s">
        <v>4898</v>
      </c>
      <c r="D1479" s="8" t="s">
        <v>16</v>
      </c>
      <c r="E1479" s="8" t="s">
        <v>48</v>
      </c>
      <c r="F1479" s="9">
        <v>46036.0</v>
      </c>
      <c r="G1479" s="8" t="s">
        <v>913</v>
      </c>
      <c r="H1479" s="8" t="s">
        <v>914</v>
      </c>
      <c r="I1479" s="8" t="s">
        <v>4899</v>
      </c>
      <c r="J1479" s="8"/>
    </row>
    <row r="1480">
      <c r="A1480" s="7">
        <v>2.0027801E7</v>
      </c>
      <c r="B1480" s="8" t="s">
        <v>4599</v>
      </c>
      <c r="C1480" s="8" t="s">
        <v>4900</v>
      </c>
      <c r="D1480" s="8" t="s">
        <v>16</v>
      </c>
      <c r="E1480" s="8" t="s">
        <v>17</v>
      </c>
      <c r="F1480" s="9">
        <v>46029.0</v>
      </c>
      <c r="G1480" s="8" t="s">
        <v>339</v>
      </c>
      <c r="H1480" s="8" t="s">
        <v>340</v>
      </c>
      <c r="I1480" s="8" t="s">
        <v>4901</v>
      </c>
      <c r="J1480" s="8" t="s">
        <v>4902</v>
      </c>
    </row>
    <row r="1481">
      <c r="A1481" s="7">
        <v>2.0031076E7</v>
      </c>
      <c r="B1481" s="8" t="s">
        <v>4599</v>
      </c>
      <c r="C1481" s="8" t="s">
        <v>4903</v>
      </c>
      <c r="D1481" s="8" t="s">
        <v>16</v>
      </c>
      <c r="E1481" s="8" t="s">
        <v>17</v>
      </c>
      <c r="F1481" s="9">
        <v>46025.0</v>
      </c>
      <c r="G1481" s="8" t="s">
        <v>220</v>
      </c>
      <c r="H1481" s="8" t="s">
        <v>221</v>
      </c>
      <c r="I1481" s="8" t="s">
        <v>4904</v>
      </c>
      <c r="J1481" s="8" t="s">
        <v>4905</v>
      </c>
    </row>
    <row r="1482">
      <c r="A1482" s="7">
        <v>2.0031088E7</v>
      </c>
      <c r="B1482" s="8" t="s">
        <v>4599</v>
      </c>
      <c r="C1482" s="8" t="s">
        <v>4906</v>
      </c>
      <c r="D1482" s="8" t="s">
        <v>16</v>
      </c>
      <c r="E1482" s="8" t="s">
        <v>17</v>
      </c>
      <c r="F1482" s="9">
        <v>46027.0</v>
      </c>
      <c r="G1482" s="8" t="s">
        <v>220</v>
      </c>
      <c r="H1482" s="8" t="s">
        <v>221</v>
      </c>
      <c r="I1482" s="8" t="s">
        <v>4907</v>
      </c>
      <c r="J1482" s="8" t="s">
        <v>4908</v>
      </c>
    </row>
    <row r="1483">
      <c r="A1483" s="7">
        <v>2.0029771E7</v>
      </c>
      <c r="B1483" s="8" t="s">
        <v>4599</v>
      </c>
      <c r="C1483" s="8" t="s">
        <v>4909</v>
      </c>
      <c r="D1483" s="8" t="s">
        <v>16</v>
      </c>
      <c r="E1483" s="8" t="s">
        <v>17</v>
      </c>
      <c r="F1483" s="9">
        <v>46031.0</v>
      </c>
      <c r="G1483" s="8" t="s">
        <v>4910</v>
      </c>
      <c r="H1483" s="8" t="s">
        <v>4911</v>
      </c>
      <c r="I1483" s="8" t="s">
        <v>4912</v>
      </c>
      <c r="J1483" s="8" t="s">
        <v>4913</v>
      </c>
    </row>
    <row r="1484">
      <c r="A1484" s="7">
        <v>2.0029771E7</v>
      </c>
      <c r="B1484" s="8" t="s">
        <v>4599</v>
      </c>
      <c r="C1484" s="8" t="s">
        <v>4909</v>
      </c>
      <c r="D1484" s="8" t="s">
        <v>16</v>
      </c>
      <c r="E1484" s="8" t="s">
        <v>17</v>
      </c>
      <c r="F1484" s="9">
        <v>46031.0</v>
      </c>
      <c r="G1484" s="8" t="s">
        <v>153</v>
      </c>
      <c r="H1484" s="8" t="s">
        <v>154</v>
      </c>
      <c r="I1484" s="8" t="s">
        <v>4914</v>
      </c>
      <c r="J1484" s="8" t="s">
        <v>4915</v>
      </c>
    </row>
    <row r="1485">
      <c r="A1485" s="7">
        <v>2.0030645E7</v>
      </c>
      <c r="B1485" s="8" t="s">
        <v>4599</v>
      </c>
      <c r="C1485" s="8" t="s">
        <v>4916</v>
      </c>
      <c r="D1485" s="8" t="s">
        <v>16</v>
      </c>
      <c r="E1485" s="8" t="s">
        <v>17</v>
      </c>
      <c r="F1485" s="9">
        <v>46028.0</v>
      </c>
      <c r="G1485" s="8" t="s">
        <v>1532</v>
      </c>
      <c r="H1485" s="8" t="s">
        <v>1533</v>
      </c>
      <c r="I1485" s="8" t="s">
        <v>4917</v>
      </c>
      <c r="J1485" s="8" t="s">
        <v>4918</v>
      </c>
    </row>
    <row r="1486">
      <c r="A1486" s="7">
        <v>2.0030829E7</v>
      </c>
      <c r="B1486" s="8" t="s">
        <v>4599</v>
      </c>
      <c r="C1486" s="8" t="s">
        <v>4919</v>
      </c>
      <c r="D1486" s="8" t="s">
        <v>16</v>
      </c>
      <c r="E1486" s="8" t="s">
        <v>17</v>
      </c>
      <c r="F1486" s="9">
        <v>46024.0</v>
      </c>
      <c r="G1486" s="8" t="s">
        <v>365</v>
      </c>
      <c r="H1486" s="8" t="s">
        <v>366</v>
      </c>
      <c r="I1486" s="8" t="s">
        <v>4920</v>
      </c>
      <c r="J1486" s="8" t="s">
        <v>4921</v>
      </c>
    </row>
    <row r="1487">
      <c r="A1487" s="7">
        <v>2.0030831E7</v>
      </c>
      <c r="B1487" s="8" t="s">
        <v>4599</v>
      </c>
      <c r="C1487" s="8" t="s">
        <v>4922</v>
      </c>
      <c r="D1487" s="8" t="s">
        <v>16</v>
      </c>
      <c r="E1487" s="8" t="s">
        <v>17</v>
      </c>
      <c r="F1487" s="9">
        <v>46040.0</v>
      </c>
      <c r="G1487" s="8" t="s">
        <v>1936</v>
      </c>
      <c r="H1487" s="8" t="s">
        <v>1937</v>
      </c>
      <c r="I1487" s="8" t="s">
        <v>4923</v>
      </c>
      <c r="J1487" s="8" t="s">
        <v>4924</v>
      </c>
    </row>
    <row r="1488">
      <c r="A1488" s="7">
        <v>2.003084E7</v>
      </c>
      <c r="B1488" s="8" t="s">
        <v>4599</v>
      </c>
      <c r="C1488" s="8" t="s">
        <v>4925</v>
      </c>
      <c r="D1488" s="8" t="s">
        <v>16</v>
      </c>
      <c r="E1488" s="8" t="s">
        <v>17</v>
      </c>
      <c r="F1488" s="9">
        <v>46038.0</v>
      </c>
      <c r="G1488" s="8" t="s">
        <v>1508</v>
      </c>
      <c r="H1488" s="8" t="s">
        <v>1509</v>
      </c>
      <c r="I1488" s="8" t="s">
        <v>4926</v>
      </c>
      <c r="J1488" s="8" t="s">
        <v>4927</v>
      </c>
    </row>
    <row r="1489">
      <c r="A1489" s="7">
        <v>2.0030772E7</v>
      </c>
      <c r="B1489" s="8" t="s">
        <v>4599</v>
      </c>
      <c r="C1489" s="8" t="s">
        <v>4928</v>
      </c>
      <c r="D1489" s="8" t="s">
        <v>16</v>
      </c>
      <c r="E1489" s="8" t="s">
        <v>17</v>
      </c>
      <c r="F1489" s="9">
        <v>46032.0</v>
      </c>
      <c r="G1489" s="8" t="s">
        <v>3264</v>
      </c>
      <c r="H1489" s="8" t="s">
        <v>827</v>
      </c>
      <c r="I1489" s="8" t="s">
        <v>4929</v>
      </c>
      <c r="J1489" s="8" t="s">
        <v>4930</v>
      </c>
    </row>
    <row r="1490">
      <c r="A1490" s="7">
        <v>2.0025783E7</v>
      </c>
      <c r="B1490" s="8" t="s">
        <v>4599</v>
      </c>
      <c r="C1490" s="8" t="s">
        <v>4931</v>
      </c>
      <c r="D1490" s="8" t="s">
        <v>16</v>
      </c>
      <c r="E1490" s="8" t="s">
        <v>17</v>
      </c>
      <c r="F1490" s="9">
        <v>46029.0</v>
      </c>
      <c r="G1490" s="8" t="s">
        <v>220</v>
      </c>
      <c r="H1490" s="8" t="s">
        <v>221</v>
      </c>
      <c r="I1490" s="8" t="s">
        <v>4932</v>
      </c>
      <c r="J1490" s="8" t="s">
        <v>4933</v>
      </c>
    </row>
    <row r="1491">
      <c r="A1491" s="7">
        <v>2.003063E7</v>
      </c>
      <c r="B1491" s="8" t="s">
        <v>4599</v>
      </c>
      <c r="C1491" s="8" t="s">
        <v>4934</v>
      </c>
      <c r="D1491" s="8" t="s">
        <v>16</v>
      </c>
      <c r="E1491" s="8" t="s">
        <v>17</v>
      </c>
      <c r="F1491" s="9">
        <v>46040.0</v>
      </c>
      <c r="G1491" s="8" t="s">
        <v>171</v>
      </c>
      <c r="H1491" s="8" t="s">
        <v>172</v>
      </c>
      <c r="I1491" s="8" t="s">
        <v>4935</v>
      </c>
      <c r="J1491" s="8" t="s">
        <v>4936</v>
      </c>
    </row>
    <row r="1492">
      <c r="A1492" s="7">
        <v>2.0030548E7</v>
      </c>
      <c r="B1492" s="8" t="s">
        <v>4599</v>
      </c>
      <c r="C1492" s="8" t="s">
        <v>4937</v>
      </c>
      <c r="D1492" s="8" t="s">
        <v>16</v>
      </c>
      <c r="E1492" s="8" t="s">
        <v>17</v>
      </c>
      <c r="F1492" s="9">
        <v>46057.0</v>
      </c>
      <c r="G1492" s="8" t="s">
        <v>4938</v>
      </c>
      <c r="H1492" s="8" t="s">
        <v>4939</v>
      </c>
      <c r="I1492" s="8" t="s">
        <v>4940</v>
      </c>
      <c r="J1492" s="8" t="s">
        <v>4941</v>
      </c>
    </row>
    <row r="1493">
      <c r="A1493" s="7">
        <v>2.0030548E7</v>
      </c>
      <c r="B1493" s="8" t="s">
        <v>4599</v>
      </c>
      <c r="C1493" s="8" t="s">
        <v>4937</v>
      </c>
      <c r="D1493" s="8" t="s">
        <v>16</v>
      </c>
      <c r="E1493" s="8" t="s">
        <v>17</v>
      </c>
      <c r="F1493" s="9">
        <v>46057.0</v>
      </c>
      <c r="G1493" s="8" t="s">
        <v>4942</v>
      </c>
      <c r="H1493" s="8" t="s">
        <v>4943</v>
      </c>
      <c r="I1493" s="8" t="s">
        <v>4944</v>
      </c>
      <c r="J1493" s="8" t="s">
        <v>4945</v>
      </c>
    </row>
    <row r="1494">
      <c r="A1494" s="7">
        <v>2.0030266E7</v>
      </c>
      <c r="B1494" s="8" t="s">
        <v>4599</v>
      </c>
      <c r="C1494" s="8" t="s">
        <v>4946</v>
      </c>
      <c r="D1494" s="8" t="s">
        <v>16</v>
      </c>
      <c r="E1494" s="8" t="s">
        <v>17</v>
      </c>
      <c r="F1494" s="9">
        <v>46039.0</v>
      </c>
      <c r="G1494" s="8" t="s">
        <v>184</v>
      </c>
      <c r="H1494" s="8" t="s">
        <v>185</v>
      </c>
      <c r="I1494" s="8" t="s">
        <v>4947</v>
      </c>
      <c r="J1494" s="8" t="s">
        <v>4948</v>
      </c>
    </row>
    <row r="1495">
      <c r="A1495" s="7">
        <v>2.0028058E7</v>
      </c>
      <c r="B1495" s="8" t="s">
        <v>4599</v>
      </c>
      <c r="C1495" s="8" t="s">
        <v>4949</v>
      </c>
      <c r="D1495" s="8" t="s">
        <v>16</v>
      </c>
      <c r="E1495" s="8" t="s">
        <v>17</v>
      </c>
      <c r="F1495" s="9">
        <v>46025.0</v>
      </c>
      <c r="G1495" s="8" t="s">
        <v>868</v>
      </c>
      <c r="H1495" s="8" t="s">
        <v>869</v>
      </c>
      <c r="I1495" s="8" t="s">
        <v>4950</v>
      </c>
      <c r="J1495" s="8" t="s">
        <v>4951</v>
      </c>
    </row>
    <row r="1496">
      <c r="A1496" s="7">
        <v>2.0029764E7</v>
      </c>
      <c r="B1496" s="8" t="s">
        <v>4599</v>
      </c>
      <c r="C1496" s="8" t="s">
        <v>4952</v>
      </c>
      <c r="D1496" s="8" t="s">
        <v>16</v>
      </c>
      <c r="E1496" s="8" t="s">
        <v>17</v>
      </c>
      <c r="F1496" s="9">
        <v>46033.0</v>
      </c>
      <c r="G1496" s="8" t="s">
        <v>314</v>
      </c>
      <c r="H1496" s="8" t="s">
        <v>315</v>
      </c>
      <c r="I1496" s="8" t="s">
        <v>4953</v>
      </c>
      <c r="J1496" s="8" t="s">
        <v>4954</v>
      </c>
    </row>
    <row r="1497">
      <c r="A1497" s="7">
        <v>2.00303E7</v>
      </c>
      <c r="B1497" s="8" t="s">
        <v>4599</v>
      </c>
      <c r="C1497" s="8" t="s">
        <v>4955</v>
      </c>
      <c r="D1497" s="8" t="s">
        <v>16</v>
      </c>
      <c r="E1497" s="8" t="s">
        <v>17</v>
      </c>
      <c r="F1497" s="9">
        <v>46035.0</v>
      </c>
      <c r="G1497" s="8" t="s">
        <v>2339</v>
      </c>
      <c r="H1497" s="8" t="s">
        <v>2340</v>
      </c>
      <c r="I1497" s="8" t="s">
        <v>4956</v>
      </c>
      <c r="J1497" s="8" t="s">
        <v>4957</v>
      </c>
    </row>
    <row r="1498">
      <c r="A1498" s="7">
        <v>2.0029408E7</v>
      </c>
      <c r="B1498" s="8" t="s">
        <v>4599</v>
      </c>
      <c r="C1498" s="8" t="s">
        <v>4958</v>
      </c>
      <c r="D1498" s="8" t="s">
        <v>16</v>
      </c>
      <c r="E1498" s="8" t="s">
        <v>17</v>
      </c>
      <c r="F1498" s="9">
        <v>46025.0</v>
      </c>
      <c r="G1498" s="8" t="s">
        <v>423</v>
      </c>
      <c r="H1498" s="8" t="s">
        <v>424</v>
      </c>
      <c r="I1498" s="8" t="s">
        <v>4959</v>
      </c>
      <c r="J1498" s="8" t="s">
        <v>4960</v>
      </c>
    </row>
    <row r="1499">
      <c r="A1499" s="7">
        <v>2.0029782E7</v>
      </c>
      <c r="B1499" s="8" t="s">
        <v>4599</v>
      </c>
      <c r="C1499" s="8" t="s">
        <v>4961</v>
      </c>
      <c r="D1499" s="8" t="s">
        <v>16</v>
      </c>
      <c r="E1499" s="8" t="s">
        <v>17</v>
      </c>
      <c r="F1499" s="9">
        <v>46026.0</v>
      </c>
      <c r="G1499" s="8" t="s">
        <v>1949</v>
      </c>
      <c r="H1499" s="8" t="s">
        <v>1950</v>
      </c>
      <c r="I1499" s="8" t="s">
        <v>4962</v>
      </c>
      <c r="J1499" s="8" t="s">
        <v>4963</v>
      </c>
    </row>
    <row r="1500">
      <c r="A1500" s="7">
        <v>2.0028117E7</v>
      </c>
      <c r="B1500" s="8" t="s">
        <v>4599</v>
      </c>
      <c r="C1500" s="8" t="s">
        <v>4964</v>
      </c>
      <c r="D1500" s="8" t="s">
        <v>16</v>
      </c>
      <c r="E1500" s="8" t="s">
        <v>17</v>
      </c>
      <c r="F1500" s="9">
        <v>46024.0</v>
      </c>
      <c r="G1500" s="8" t="s">
        <v>1557</v>
      </c>
      <c r="H1500" s="8" t="s">
        <v>1558</v>
      </c>
      <c r="I1500" s="8" t="s">
        <v>4965</v>
      </c>
      <c r="J1500" s="8" t="s">
        <v>4966</v>
      </c>
    </row>
    <row r="1501">
      <c r="A1501" s="7">
        <v>2.0029839E7</v>
      </c>
      <c r="B1501" s="8" t="s">
        <v>4599</v>
      </c>
      <c r="C1501" s="8" t="s">
        <v>4967</v>
      </c>
      <c r="D1501" s="8" t="s">
        <v>16</v>
      </c>
      <c r="E1501" s="8" t="s">
        <v>17</v>
      </c>
      <c r="F1501" s="9">
        <v>46035.0</v>
      </c>
      <c r="G1501" s="8" t="s">
        <v>361</v>
      </c>
      <c r="H1501" s="8" t="s">
        <v>362</v>
      </c>
      <c r="I1501" s="8" t="s">
        <v>4968</v>
      </c>
      <c r="J1501" s="8" t="s">
        <v>4969</v>
      </c>
    </row>
    <row r="1502">
      <c r="A1502" s="7">
        <v>2.0029403E7</v>
      </c>
      <c r="B1502" s="8" t="s">
        <v>4599</v>
      </c>
      <c r="C1502" s="8" t="s">
        <v>4970</v>
      </c>
      <c r="D1502" s="8" t="s">
        <v>16</v>
      </c>
      <c r="E1502" s="8" t="s">
        <v>17</v>
      </c>
      <c r="F1502" s="9">
        <v>46040.0</v>
      </c>
      <c r="G1502" s="8" t="s">
        <v>29</v>
      </c>
      <c r="H1502" s="8" t="s">
        <v>30</v>
      </c>
      <c r="I1502" s="8" t="s">
        <v>4971</v>
      </c>
      <c r="J1502" s="8" t="s">
        <v>4972</v>
      </c>
    </row>
    <row r="1503">
      <c r="A1503" s="7">
        <v>2.002975E7</v>
      </c>
      <c r="B1503" s="8" t="s">
        <v>4599</v>
      </c>
      <c r="C1503" s="8" t="s">
        <v>4973</v>
      </c>
      <c r="D1503" s="8" t="s">
        <v>16</v>
      </c>
      <c r="E1503" s="8" t="s">
        <v>17</v>
      </c>
      <c r="F1503" s="9">
        <v>46039.0</v>
      </c>
      <c r="G1503" s="8" t="s">
        <v>688</v>
      </c>
      <c r="H1503" s="8" t="s">
        <v>689</v>
      </c>
      <c r="I1503" s="8" t="s">
        <v>4974</v>
      </c>
      <c r="J1503" s="8" t="s">
        <v>4975</v>
      </c>
    </row>
    <row r="1504">
      <c r="A1504" s="7">
        <v>2.0029697E7</v>
      </c>
      <c r="B1504" s="8" t="s">
        <v>4599</v>
      </c>
      <c r="C1504" s="8" t="s">
        <v>4976</v>
      </c>
      <c r="D1504" s="8" t="s">
        <v>16</v>
      </c>
      <c r="E1504" s="8" t="s">
        <v>17</v>
      </c>
      <c r="F1504" s="9">
        <v>46025.0</v>
      </c>
      <c r="G1504" s="8" t="s">
        <v>882</v>
      </c>
      <c r="H1504" s="8" t="s">
        <v>883</v>
      </c>
      <c r="I1504" s="8" t="s">
        <v>4977</v>
      </c>
      <c r="J1504" s="8" t="s">
        <v>4978</v>
      </c>
    </row>
    <row r="1505">
      <c r="A1505" s="7">
        <v>2.0029464E7</v>
      </c>
      <c r="B1505" s="8" t="s">
        <v>4599</v>
      </c>
      <c r="C1505" s="8" t="s">
        <v>4979</v>
      </c>
      <c r="D1505" s="8" t="s">
        <v>16</v>
      </c>
      <c r="E1505" s="8" t="s">
        <v>17</v>
      </c>
      <c r="F1505" s="9">
        <v>46040.0</v>
      </c>
      <c r="G1505" s="8" t="s">
        <v>4980</v>
      </c>
      <c r="H1505" s="8" t="s">
        <v>4981</v>
      </c>
      <c r="I1505" s="8" t="s">
        <v>4982</v>
      </c>
      <c r="J1505" s="8" t="s">
        <v>4983</v>
      </c>
    </row>
    <row r="1506">
      <c r="A1506" s="7">
        <v>2.0028918E7</v>
      </c>
      <c r="B1506" s="8" t="s">
        <v>4599</v>
      </c>
      <c r="C1506" s="8" t="s">
        <v>4984</v>
      </c>
      <c r="D1506" s="8" t="s">
        <v>16</v>
      </c>
      <c r="E1506" s="8" t="s">
        <v>17</v>
      </c>
      <c r="F1506" s="9">
        <v>46035.0</v>
      </c>
      <c r="G1506" s="8" t="s">
        <v>601</v>
      </c>
      <c r="H1506" s="8" t="s">
        <v>602</v>
      </c>
      <c r="I1506" s="8" t="s">
        <v>4985</v>
      </c>
      <c r="J1506" s="8" t="s">
        <v>4986</v>
      </c>
    </row>
    <row r="1507">
      <c r="A1507" s="7">
        <v>2.0029418E7</v>
      </c>
      <c r="B1507" s="8" t="s">
        <v>4599</v>
      </c>
      <c r="C1507" s="8" t="s">
        <v>4987</v>
      </c>
      <c r="D1507" s="8" t="s">
        <v>16</v>
      </c>
      <c r="E1507" s="8" t="s">
        <v>17</v>
      </c>
      <c r="F1507" s="9">
        <v>46035.0</v>
      </c>
      <c r="G1507" s="8" t="s">
        <v>137</v>
      </c>
      <c r="H1507" s="8" t="s">
        <v>138</v>
      </c>
      <c r="I1507" s="8" t="s">
        <v>4988</v>
      </c>
      <c r="J1507" s="8" t="s">
        <v>4989</v>
      </c>
    </row>
    <row r="1508">
      <c r="A1508" s="7">
        <v>2.0029452E7</v>
      </c>
      <c r="B1508" s="8" t="s">
        <v>4599</v>
      </c>
      <c r="C1508" s="8" t="s">
        <v>4990</v>
      </c>
      <c r="D1508" s="8" t="s">
        <v>16</v>
      </c>
      <c r="E1508" s="8" t="s">
        <v>48</v>
      </c>
      <c r="F1508" s="9">
        <v>46036.0</v>
      </c>
      <c r="G1508" s="8" t="s">
        <v>64</v>
      </c>
      <c r="H1508" s="8" t="s">
        <v>65</v>
      </c>
      <c r="I1508" s="8" t="s">
        <v>4991</v>
      </c>
      <c r="J1508" s="8"/>
    </row>
    <row r="1509">
      <c r="A1509" s="7">
        <v>2.0029074E7</v>
      </c>
      <c r="B1509" s="8" t="s">
        <v>4599</v>
      </c>
      <c r="C1509" s="8" t="s">
        <v>4992</v>
      </c>
      <c r="D1509" s="8" t="s">
        <v>16</v>
      </c>
      <c r="E1509" s="8" t="s">
        <v>48</v>
      </c>
      <c r="F1509" s="9">
        <v>46035.0</v>
      </c>
      <c r="G1509" s="8" t="s">
        <v>158</v>
      </c>
      <c r="H1509" s="8" t="s">
        <v>159</v>
      </c>
      <c r="I1509" s="8" t="s">
        <v>4993</v>
      </c>
      <c r="J1509" s="8"/>
    </row>
    <row r="1510">
      <c r="A1510" s="7">
        <v>2.0025484E7</v>
      </c>
      <c r="B1510" s="8" t="s">
        <v>4599</v>
      </c>
      <c r="C1510" s="8" t="s">
        <v>4994</v>
      </c>
      <c r="D1510" s="8" t="s">
        <v>16</v>
      </c>
      <c r="E1510" s="8" t="s">
        <v>17</v>
      </c>
      <c r="F1510" s="9">
        <v>46039.0</v>
      </c>
      <c r="G1510" s="8" t="s">
        <v>2918</v>
      </c>
      <c r="H1510" s="8" t="s">
        <v>2919</v>
      </c>
      <c r="I1510" s="8" t="s">
        <v>4995</v>
      </c>
      <c r="J1510" s="8" t="s">
        <v>4996</v>
      </c>
    </row>
    <row r="1511">
      <c r="A1511" s="7">
        <v>2.0028357E7</v>
      </c>
      <c r="B1511" s="8" t="s">
        <v>4599</v>
      </c>
      <c r="C1511" s="8" t="s">
        <v>4997</v>
      </c>
      <c r="D1511" s="8" t="s">
        <v>16</v>
      </c>
      <c r="E1511" s="8" t="s">
        <v>48</v>
      </c>
      <c r="F1511" s="9">
        <v>46035.0</v>
      </c>
      <c r="G1511" s="8" t="s">
        <v>64</v>
      </c>
      <c r="H1511" s="8" t="s">
        <v>65</v>
      </c>
      <c r="I1511" s="8" t="s">
        <v>4998</v>
      </c>
      <c r="J1511" s="8"/>
    </row>
    <row r="1512">
      <c r="A1512" s="7">
        <v>2.0028551E7</v>
      </c>
      <c r="B1512" s="8" t="s">
        <v>4599</v>
      </c>
      <c r="C1512" s="8" t="s">
        <v>4999</v>
      </c>
      <c r="D1512" s="8" t="s">
        <v>16</v>
      </c>
      <c r="E1512" s="8" t="s">
        <v>48</v>
      </c>
      <c r="F1512" s="9">
        <v>46038.0</v>
      </c>
      <c r="G1512" s="8" t="s">
        <v>171</v>
      </c>
      <c r="H1512" s="8" t="s">
        <v>172</v>
      </c>
      <c r="I1512" s="8" t="s">
        <v>5000</v>
      </c>
      <c r="J1512" s="8"/>
    </row>
    <row r="1513">
      <c r="A1513" s="7">
        <v>2.0028613E7</v>
      </c>
      <c r="B1513" s="8" t="s">
        <v>4599</v>
      </c>
      <c r="C1513" s="8" t="s">
        <v>5001</v>
      </c>
      <c r="D1513" s="8" t="s">
        <v>16</v>
      </c>
      <c r="E1513" s="8" t="s">
        <v>48</v>
      </c>
      <c r="F1513" s="9">
        <v>46036.0</v>
      </c>
      <c r="G1513" s="8" t="s">
        <v>2331</v>
      </c>
      <c r="H1513" s="8" t="s">
        <v>2332</v>
      </c>
      <c r="I1513" s="8" t="s">
        <v>5002</v>
      </c>
      <c r="J1513" s="8"/>
    </row>
    <row r="1514">
      <c r="A1514" s="7">
        <v>2.0028292E7</v>
      </c>
      <c r="B1514" s="8" t="s">
        <v>4599</v>
      </c>
      <c r="C1514" s="8" t="s">
        <v>5003</v>
      </c>
      <c r="D1514" s="8" t="s">
        <v>16</v>
      </c>
      <c r="E1514" s="8" t="s">
        <v>17</v>
      </c>
      <c r="F1514" s="9">
        <v>46025.0</v>
      </c>
      <c r="G1514" s="8" t="s">
        <v>822</v>
      </c>
      <c r="H1514" s="8" t="s">
        <v>120</v>
      </c>
      <c r="I1514" s="8" t="s">
        <v>5004</v>
      </c>
      <c r="J1514" s="8" t="s">
        <v>5005</v>
      </c>
    </row>
    <row r="1515">
      <c r="A1515" s="7">
        <v>2.0028099E7</v>
      </c>
      <c r="B1515" s="8" t="s">
        <v>4599</v>
      </c>
      <c r="C1515" s="8" t="s">
        <v>5006</v>
      </c>
      <c r="D1515" s="8" t="s">
        <v>16</v>
      </c>
      <c r="E1515" s="8" t="s">
        <v>48</v>
      </c>
      <c r="F1515" s="9">
        <v>46025.0</v>
      </c>
      <c r="G1515" s="8" t="s">
        <v>158</v>
      </c>
      <c r="H1515" s="8" t="s">
        <v>159</v>
      </c>
      <c r="I1515" s="8" t="s">
        <v>5007</v>
      </c>
      <c r="J1515" s="8"/>
    </row>
    <row r="1516">
      <c r="A1516" s="7">
        <v>2.0027873E7</v>
      </c>
      <c r="B1516" s="8" t="s">
        <v>4599</v>
      </c>
      <c r="C1516" s="8" t="s">
        <v>5008</v>
      </c>
      <c r="D1516" s="8" t="s">
        <v>16</v>
      </c>
      <c r="E1516" s="8" t="s">
        <v>48</v>
      </c>
      <c r="F1516" s="9">
        <v>46029.0</v>
      </c>
      <c r="G1516" s="8" t="s">
        <v>158</v>
      </c>
      <c r="H1516" s="8" t="s">
        <v>159</v>
      </c>
      <c r="I1516" s="8" t="s">
        <v>5009</v>
      </c>
      <c r="J1516" s="8"/>
    </row>
    <row r="1517">
      <c r="A1517" s="7">
        <v>2.0027625E7</v>
      </c>
      <c r="B1517" s="8" t="s">
        <v>4599</v>
      </c>
      <c r="C1517" s="8" t="s">
        <v>5010</v>
      </c>
      <c r="D1517" s="8" t="s">
        <v>16</v>
      </c>
      <c r="E1517" s="8" t="s">
        <v>17</v>
      </c>
      <c r="F1517" s="9">
        <v>46025.0</v>
      </c>
      <c r="G1517" s="8" t="s">
        <v>314</v>
      </c>
      <c r="H1517" s="8" t="s">
        <v>315</v>
      </c>
      <c r="I1517" s="8" t="s">
        <v>5011</v>
      </c>
      <c r="J1517" s="8" t="s">
        <v>5012</v>
      </c>
    </row>
    <row r="1518">
      <c r="A1518" s="7">
        <v>2.0027686E7</v>
      </c>
      <c r="B1518" s="8" t="s">
        <v>4599</v>
      </c>
      <c r="C1518" s="8" t="s">
        <v>5013</v>
      </c>
      <c r="D1518" s="8" t="s">
        <v>16</v>
      </c>
      <c r="E1518" s="8" t="s">
        <v>48</v>
      </c>
      <c r="F1518" s="9">
        <v>46030.0</v>
      </c>
      <c r="G1518" s="8" t="s">
        <v>184</v>
      </c>
      <c r="H1518" s="8" t="s">
        <v>185</v>
      </c>
      <c r="I1518" s="8" t="s">
        <v>5014</v>
      </c>
      <c r="J1518" s="8"/>
    </row>
    <row r="1519">
      <c r="A1519" s="7">
        <v>2.0024609E7</v>
      </c>
      <c r="B1519" s="8" t="s">
        <v>4599</v>
      </c>
      <c r="C1519" s="8" t="s">
        <v>5015</v>
      </c>
      <c r="D1519" s="8" t="s">
        <v>16</v>
      </c>
      <c r="E1519" s="8" t="s">
        <v>48</v>
      </c>
      <c r="F1519" s="9">
        <v>46024.0</v>
      </c>
      <c r="G1519" s="8" t="s">
        <v>5016</v>
      </c>
      <c r="H1519" s="8" t="s">
        <v>5017</v>
      </c>
      <c r="I1519" s="8" t="s">
        <v>5018</v>
      </c>
      <c r="J1519" s="8"/>
    </row>
    <row r="1520">
      <c r="A1520" s="7">
        <v>2.0027305E7</v>
      </c>
      <c r="B1520" s="8" t="s">
        <v>4599</v>
      </c>
      <c r="C1520" s="8" t="s">
        <v>5019</v>
      </c>
      <c r="D1520" s="8" t="s">
        <v>16</v>
      </c>
      <c r="E1520" s="8" t="s">
        <v>48</v>
      </c>
      <c r="F1520" s="9">
        <v>46025.0</v>
      </c>
      <c r="G1520" s="8" t="s">
        <v>64</v>
      </c>
      <c r="H1520" s="8" t="s">
        <v>65</v>
      </c>
      <c r="I1520" s="8" t="s">
        <v>5020</v>
      </c>
      <c r="J1520" s="8"/>
    </row>
    <row r="1521">
      <c r="A1521" s="7">
        <v>2.0027047E7</v>
      </c>
      <c r="B1521" s="8" t="s">
        <v>4599</v>
      </c>
      <c r="C1521" s="8" t="s">
        <v>5021</v>
      </c>
      <c r="D1521" s="8" t="s">
        <v>16</v>
      </c>
      <c r="E1521" s="8" t="s">
        <v>48</v>
      </c>
      <c r="F1521" s="9">
        <v>46024.0</v>
      </c>
      <c r="G1521" s="8" t="s">
        <v>2186</v>
      </c>
      <c r="H1521" s="8" t="s">
        <v>2187</v>
      </c>
      <c r="I1521" s="8" t="s">
        <v>5022</v>
      </c>
      <c r="J1521" s="8"/>
    </row>
    <row r="1522">
      <c r="A1522" s="7">
        <v>2.0026965E7</v>
      </c>
      <c r="B1522" s="8" t="s">
        <v>4599</v>
      </c>
      <c r="C1522" s="8" t="s">
        <v>5023</v>
      </c>
      <c r="D1522" s="8" t="s">
        <v>16</v>
      </c>
      <c r="E1522" s="8" t="s">
        <v>48</v>
      </c>
      <c r="F1522" s="9">
        <v>46030.0</v>
      </c>
      <c r="G1522" s="8" t="s">
        <v>5024</v>
      </c>
      <c r="H1522" s="8" t="s">
        <v>5025</v>
      </c>
      <c r="I1522" s="8" t="s">
        <v>5026</v>
      </c>
      <c r="J1522" s="8"/>
    </row>
    <row r="1523">
      <c r="A1523" s="7">
        <v>2.0023811E7</v>
      </c>
      <c r="B1523" s="8" t="s">
        <v>4599</v>
      </c>
      <c r="C1523" s="8" t="s">
        <v>5027</v>
      </c>
      <c r="D1523" s="8" t="s">
        <v>16</v>
      </c>
      <c r="E1523" s="8" t="s">
        <v>48</v>
      </c>
      <c r="F1523" s="9">
        <v>46024.0</v>
      </c>
      <c r="G1523" s="8" t="s">
        <v>319</v>
      </c>
      <c r="H1523" s="8" t="s">
        <v>320</v>
      </c>
      <c r="I1523" s="8" t="s">
        <v>5028</v>
      </c>
      <c r="J1523" s="8"/>
    </row>
    <row r="1524">
      <c r="A1524" s="7">
        <v>2.0026451E7</v>
      </c>
      <c r="B1524" s="8" t="s">
        <v>4599</v>
      </c>
      <c r="C1524" s="8" t="s">
        <v>5029</v>
      </c>
      <c r="D1524" s="8" t="s">
        <v>16</v>
      </c>
      <c r="E1524" s="8" t="s">
        <v>17</v>
      </c>
      <c r="F1524" s="9">
        <v>46025.0</v>
      </c>
      <c r="G1524" s="8" t="s">
        <v>5030</v>
      </c>
      <c r="H1524" s="8" t="s">
        <v>44</v>
      </c>
      <c r="I1524" s="8" t="s">
        <v>5031</v>
      </c>
      <c r="J1524" s="8" t="s">
        <v>5032</v>
      </c>
    </row>
    <row r="1525">
      <c r="A1525" s="7">
        <v>2.0026451E7</v>
      </c>
      <c r="B1525" s="8" t="s">
        <v>4599</v>
      </c>
      <c r="C1525" s="8" t="s">
        <v>5029</v>
      </c>
      <c r="D1525" s="8" t="s">
        <v>16</v>
      </c>
      <c r="E1525" s="8" t="s">
        <v>17</v>
      </c>
      <c r="F1525" s="9">
        <v>46025.0</v>
      </c>
      <c r="G1525" s="8" t="s">
        <v>3093</v>
      </c>
      <c r="H1525" s="8" t="s">
        <v>3094</v>
      </c>
      <c r="I1525" s="8" t="s">
        <v>5033</v>
      </c>
      <c r="J1525" s="8" t="s">
        <v>5034</v>
      </c>
    </row>
    <row r="1526">
      <c r="A1526" s="7">
        <v>2.0026285E7</v>
      </c>
      <c r="B1526" s="8" t="s">
        <v>4599</v>
      </c>
      <c r="C1526" s="8" t="s">
        <v>5035</v>
      </c>
      <c r="D1526" s="8" t="s">
        <v>16</v>
      </c>
      <c r="E1526" s="8" t="s">
        <v>48</v>
      </c>
      <c r="F1526" s="9">
        <v>46025.0</v>
      </c>
      <c r="G1526" s="8" t="s">
        <v>2331</v>
      </c>
      <c r="H1526" s="8" t="s">
        <v>2332</v>
      </c>
      <c r="I1526" s="8" t="s">
        <v>5036</v>
      </c>
      <c r="J1526" s="8"/>
    </row>
    <row r="1527">
      <c r="A1527" s="7">
        <v>2.0019533E7</v>
      </c>
      <c r="B1527" s="8" t="s">
        <v>4599</v>
      </c>
      <c r="C1527" s="8" t="s">
        <v>5037</v>
      </c>
      <c r="D1527" s="8" t="s">
        <v>16</v>
      </c>
      <c r="E1527" s="8" t="s">
        <v>48</v>
      </c>
      <c r="F1527" s="9">
        <v>46025.0</v>
      </c>
      <c r="G1527" s="8" t="s">
        <v>5038</v>
      </c>
      <c r="H1527" s="8" t="s">
        <v>5039</v>
      </c>
      <c r="I1527" s="8" t="s">
        <v>5040</v>
      </c>
      <c r="J1527" s="8"/>
    </row>
    <row r="1528">
      <c r="A1528" s="7">
        <v>2.0066663E7</v>
      </c>
      <c r="B1528" s="8" t="s">
        <v>5041</v>
      </c>
      <c r="C1528" s="8" t="s">
        <v>5042</v>
      </c>
      <c r="D1528" s="8" t="s">
        <v>16</v>
      </c>
      <c r="E1528" s="8" t="s">
        <v>17</v>
      </c>
      <c r="F1528" s="9">
        <v>46191.0</v>
      </c>
      <c r="G1528" s="8" t="s">
        <v>666</v>
      </c>
      <c r="H1528" s="8" t="s">
        <v>667</v>
      </c>
      <c r="I1528" s="8" t="s">
        <v>5043</v>
      </c>
      <c r="J1528" s="8" t="s">
        <v>5044</v>
      </c>
    </row>
    <row r="1529">
      <c r="A1529" s="7">
        <v>2.0061845E7</v>
      </c>
      <c r="B1529" s="8" t="s">
        <v>5041</v>
      </c>
      <c r="C1529" s="8" t="s">
        <v>5045</v>
      </c>
      <c r="D1529" s="8" t="s">
        <v>16</v>
      </c>
      <c r="E1529" s="8" t="s">
        <v>17</v>
      </c>
      <c r="F1529" s="9">
        <v>46158.0</v>
      </c>
      <c r="G1529" s="8" t="s">
        <v>5046</v>
      </c>
      <c r="H1529" s="8" t="s">
        <v>5047</v>
      </c>
      <c r="I1529" s="8" t="s">
        <v>5048</v>
      </c>
      <c r="J1529" s="8" t="s">
        <v>5049</v>
      </c>
    </row>
    <row r="1530">
      <c r="A1530" s="7">
        <v>2.0061845E7</v>
      </c>
      <c r="B1530" s="8" t="s">
        <v>5041</v>
      </c>
      <c r="C1530" s="8" t="s">
        <v>5045</v>
      </c>
      <c r="D1530" s="8" t="s">
        <v>16</v>
      </c>
      <c r="E1530" s="8" t="s">
        <v>17</v>
      </c>
      <c r="F1530" s="9">
        <v>46158.0</v>
      </c>
      <c r="G1530" s="8" t="s">
        <v>5050</v>
      </c>
      <c r="H1530" s="8" t="s">
        <v>5051</v>
      </c>
      <c r="I1530" s="8" t="s">
        <v>5052</v>
      </c>
      <c r="J1530" s="8" t="s">
        <v>5049</v>
      </c>
    </row>
    <row r="1531">
      <c r="A1531" s="7">
        <v>2.0061512E7</v>
      </c>
      <c r="B1531" s="8" t="s">
        <v>5041</v>
      </c>
      <c r="C1531" s="8" t="s">
        <v>5053</v>
      </c>
      <c r="D1531" s="8" t="s">
        <v>16</v>
      </c>
      <c r="E1531" s="8" t="s">
        <v>17</v>
      </c>
      <c r="F1531" s="9">
        <v>46162.0</v>
      </c>
      <c r="G1531" s="8" t="s">
        <v>630</v>
      </c>
      <c r="H1531" s="8" t="s">
        <v>631</v>
      </c>
      <c r="I1531" s="8" t="s">
        <v>5054</v>
      </c>
      <c r="J1531" s="8" t="s">
        <v>5055</v>
      </c>
    </row>
    <row r="1532">
      <c r="A1532" s="7">
        <v>2.0039909E7</v>
      </c>
      <c r="B1532" s="8" t="s">
        <v>5041</v>
      </c>
      <c r="C1532" s="8" t="s">
        <v>5056</v>
      </c>
      <c r="D1532" s="8" t="s">
        <v>16</v>
      </c>
      <c r="E1532" s="8" t="s">
        <v>17</v>
      </c>
      <c r="F1532" s="9">
        <v>46089.0</v>
      </c>
      <c r="G1532" s="8" t="s">
        <v>5057</v>
      </c>
      <c r="H1532" s="8" t="s">
        <v>44</v>
      </c>
      <c r="I1532" s="8" t="s">
        <v>5058</v>
      </c>
      <c r="J1532" s="8" t="s">
        <v>5059</v>
      </c>
    </row>
    <row r="1533">
      <c r="A1533" s="7">
        <v>2.0039909E7</v>
      </c>
      <c r="B1533" s="8" t="s">
        <v>5041</v>
      </c>
      <c r="C1533" s="8" t="s">
        <v>5056</v>
      </c>
      <c r="D1533" s="8" t="s">
        <v>16</v>
      </c>
      <c r="E1533" s="8" t="s">
        <v>17</v>
      </c>
      <c r="F1533" s="9">
        <v>46089.0</v>
      </c>
      <c r="G1533" s="8" t="s">
        <v>5060</v>
      </c>
      <c r="H1533" s="8" t="s">
        <v>5061</v>
      </c>
      <c r="I1533" s="8" t="s">
        <v>5062</v>
      </c>
      <c r="J1533" s="8" t="s">
        <v>5063</v>
      </c>
    </row>
    <row r="1534">
      <c r="A1534" s="7">
        <v>2.0039909E7</v>
      </c>
      <c r="B1534" s="8" t="s">
        <v>5041</v>
      </c>
      <c r="C1534" s="8" t="s">
        <v>5056</v>
      </c>
      <c r="D1534" s="8" t="s">
        <v>16</v>
      </c>
      <c r="E1534" s="8" t="s">
        <v>17</v>
      </c>
      <c r="F1534" s="9">
        <v>46089.0</v>
      </c>
      <c r="G1534" s="8" t="s">
        <v>5064</v>
      </c>
      <c r="H1534" s="8" t="s">
        <v>5065</v>
      </c>
      <c r="I1534" s="8" t="s">
        <v>5066</v>
      </c>
      <c r="J1534" s="8" t="s">
        <v>5063</v>
      </c>
    </row>
    <row r="1535">
      <c r="A1535" s="7">
        <v>2.0041304E7</v>
      </c>
      <c r="B1535" s="8" t="s">
        <v>5041</v>
      </c>
      <c r="C1535" s="8" t="s">
        <v>5067</v>
      </c>
      <c r="D1535" s="8" t="s">
        <v>16</v>
      </c>
      <c r="E1535" s="8" t="s">
        <v>17</v>
      </c>
      <c r="F1535" s="9">
        <v>46089.0</v>
      </c>
      <c r="G1535" s="8" t="s">
        <v>1280</v>
      </c>
      <c r="H1535" s="8" t="s">
        <v>1281</v>
      </c>
      <c r="I1535" s="8" t="s">
        <v>5068</v>
      </c>
      <c r="J1535" s="8" t="s">
        <v>5069</v>
      </c>
    </row>
    <row r="1536">
      <c r="A1536" s="7">
        <v>2.0040777E7</v>
      </c>
      <c r="B1536" s="8" t="s">
        <v>5041</v>
      </c>
      <c r="C1536" s="8" t="s">
        <v>5070</v>
      </c>
      <c r="D1536" s="8" t="s">
        <v>16</v>
      </c>
      <c r="E1536" s="8" t="s">
        <v>17</v>
      </c>
      <c r="F1536" s="9">
        <v>46082.0</v>
      </c>
      <c r="G1536" s="8" t="s">
        <v>561</v>
      </c>
      <c r="H1536" s="8" t="s">
        <v>562</v>
      </c>
      <c r="I1536" s="8" t="s">
        <v>5071</v>
      </c>
      <c r="J1536" s="8" t="s">
        <v>5072</v>
      </c>
    </row>
    <row r="1537">
      <c r="A1537" s="7">
        <v>2.0031583E7</v>
      </c>
      <c r="B1537" s="8" t="s">
        <v>5041</v>
      </c>
      <c r="C1537" s="8" t="s">
        <v>5073</v>
      </c>
      <c r="D1537" s="8" t="s">
        <v>16</v>
      </c>
      <c r="E1537" s="8" t="s">
        <v>17</v>
      </c>
      <c r="F1537" s="9">
        <v>46042.0</v>
      </c>
      <c r="G1537" s="8" t="s">
        <v>3207</v>
      </c>
      <c r="H1537" s="8" t="s">
        <v>3208</v>
      </c>
      <c r="I1537" s="8" t="s">
        <v>5074</v>
      </c>
      <c r="J1537" s="8" t="s">
        <v>5075</v>
      </c>
    </row>
    <row r="1538">
      <c r="A1538" s="7">
        <v>2.0031583E7</v>
      </c>
      <c r="B1538" s="8" t="s">
        <v>5041</v>
      </c>
      <c r="C1538" s="8" t="s">
        <v>5073</v>
      </c>
      <c r="D1538" s="8" t="s">
        <v>16</v>
      </c>
      <c r="E1538" s="8" t="s">
        <v>17</v>
      </c>
      <c r="F1538" s="9">
        <v>46042.0</v>
      </c>
      <c r="G1538" s="8" t="s">
        <v>5076</v>
      </c>
      <c r="H1538" s="8" t="s">
        <v>5077</v>
      </c>
      <c r="I1538" s="8" t="s">
        <v>5078</v>
      </c>
      <c r="J1538" s="8" t="s">
        <v>5079</v>
      </c>
    </row>
    <row r="1539">
      <c r="A1539" s="7">
        <v>2.0033746E7</v>
      </c>
      <c r="B1539" s="8" t="s">
        <v>5041</v>
      </c>
      <c r="C1539" s="8" t="s">
        <v>5080</v>
      </c>
      <c r="D1539" s="8" t="s">
        <v>16</v>
      </c>
      <c r="E1539" s="8" t="s">
        <v>17</v>
      </c>
      <c r="F1539" s="9">
        <v>46053.0</v>
      </c>
      <c r="G1539" s="8" t="s">
        <v>1998</v>
      </c>
      <c r="H1539" s="8" t="s">
        <v>1999</v>
      </c>
      <c r="I1539" s="8" t="s">
        <v>5081</v>
      </c>
      <c r="J1539" s="8" t="s">
        <v>5082</v>
      </c>
    </row>
    <row r="1540">
      <c r="A1540" s="7">
        <v>2.0033397E7</v>
      </c>
      <c r="B1540" s="8" t="s">
        <v>5041</v>
      </c>
      <c r="C1540" s="8" t="s">
        <v>5083</v>
      </c>
      <c r="D1540" s="8" t="s">
        <v>16</v>
      </c>
      <c r="E1540" s="8" t="s">
        <v>17</v>
      </c>
      <c r="F1540" s="9">
        <v>46050.0</v>
      </c>
      <c r="G1540" s="8" t="s">
        <v>2809</v>
      </c>
      <c r="H1540" s="8" t="s">
        <v>2810</v>
      </c>
      <c r="I1540" s="8" t="s">
        <v>5084</v>
      </c>
      <c r="J1540" s="8" t="s">
        <v>5085</v>
      </c>
    </row>
    <row r="1541">
      <c r="A1541" s="7">
        <v>2.0033369E7</v>
      </c>
      <c r="B1541" s="8" t="s">
        <v>5041</v>
      </c>
      <c r="C1541" s="8" t="s">
        <v>5086</v>
      </c>
      <c r="D1541" s="8" t="s">
        <v>16</v>
      </c>
      <c r="E1541" s="8" t="s">
        <v>17</v>
      </c>
      <c r="F1541" s="9">
        <v>46052.0</v>
      </c>
      <c r="G1541" s="8" t="s">
        <v>390</v>
      </c>
      <c r="H1541" s="8" t="s">
        <v>391</v>
      </c>
      <c r="I1541" s="8" t="s">
        <v>5087</v>
      </c>
      <c r="J1541" s="8" t="s">
        <v>5088</v>
      </c>
    </row>
    <row r="1542">
      <c r="A1542" s="7">
        <v>2.003315E7</v>
      </c>
      <c r="B1542" s="8" t="s">
        <v>5041</v>
      </c>
      <c r="C1542" s="8" t="s">
        <v>5089</v>
      </c>
      <c r="D1542" s="8" t="s">
        <v>16</v>
      </c>
      <c r="E1542" s="8" t="s">
        <v>17</v>
      </c>
      <c r="F1542" s="9">
        <v>46049.0</v>
      </c>
      <c r="G1542" s="8" t="s">
        <v>171</v>
      </c>
      <c r="H1542" s="8" t="s">
        <v>172</v>
      </c>
      <c r="I1542" s="8" t="s">
        <v>5090</v>
      </c>
      <c r="J1542" s="8" t="s">
        <v>5091</v>
      </c>
    </row>
    <row r="1543">
      <c r="A1543" s="7">
        <v>2.002965E7</v>
      </c>
      <c r="B1543" s="8" t="s">
        <v>5041</v>
      </c>
      <c r="C1543" s="8" t="s">
        <v>5092</v>
      </c>
      <c r="D1543" s="8" t="s">
        <v>16</v>
      </c>
      <c r="E1543" s="8" t="s">
        <v>17</v>
      </c>
      <c r="F1543" s="9">
        <v>46049.0</v>
      </c>
      <c r="G1543" s="8" t="s">
        <v>436</v>
      </c>
      <c r="H1543" s="8" t="s">
        <v>437</v>
      </c>
      <c r="I1543" s="8" t="s">
        <v>5093</v>
      </c>
      <c r="J1543" s="8" t="s">
        <v>5094</v>
      </c>
    </row>
    <row r="1544">
      <c r="A1544" s="7">
        <v>2.0030218E7</v>
      </c>
      <c r="B1544" s="8" t="s">
        <v>5041</v>
      </c>
      <c r="C1544" s="8" t="s">
        <v>5095</v>
      </c>
      <c r="D1544" s="8" t="s">
        <v>16</v>
      </c>
      <c r="E1544" s="8" t="s">
        <v>17</v>
      </c>
      <c r="F1544" s="9">
        <v>46049.0</v>
      </c>
      <c r="G1544" s="8" t="s">
        <v>486</v>
      </c>
      <c r="H1544" s="8" t="s">
        <v>487</v>
      </c>
      <c r="I1544" s="8" t="s">
        <v>5096</v>
      </c>
      <c r="J1544" s="8" t="s">
        <v>5097</v>
      </c>
    </row>
    <row r="1545">
      <c r="A1545" s="7">
        <v>2.0033003E7</v>
      </c>
      <c r="B1545" s="8" t="s">
        <v>5041</v>
      </c>
      <c r="C1545" s="8" t="s">
        <v>5098</v>
      </c>
      <c r="D1545" s="8" t="s">
        <v>16</v>
      </c>
      <c r="E1545" s="8" t="s">
        <v>17</v>
      </c>
      <c r="F1545" s="9">
        <v>46039.0</v>
      </c>
      <c r="G1545" s="8" t="s">
        <v>908</v>
      </c>
      <c r="H1545" s="8" t="s">
        <v>909</v>
      </c>
      <c r="I1545" s="8" t="s">
        <v>5099</v>
      </c>
      <c r="J1545" s="8" t="s">
        <v>5100</v>
      </c>
    </row>
    <row r="1546">
      <c r="A1546" s="7">
        <v>2.0032953E7</v>
      </c>
      <c r="B1546" s="8" t="s">
        <v>5041</v>
      </c>
      <c r="C1546" s="8" t="s">
        <v>5101</v>
      </c>
      <c r="D1546" s="8" t="s">
        <v>16</v>
      </c>
      <c r="E1546" s="8" t="s">
        <v>17</v>
      </c>
      <c r="F1546" s="9">
        <v>46045.0</v>
      </c>
      <c r="G1546" s="8" t="s">
        <v>184</v>
      </c>
      <c r="H1546" s="8" t="s">
        <v>185</v>
      </c>
      <c r="I1546" s="8" t="s">
        <v>5102</v>
      </c>
      <c r="J1546" s="8" t="s">
        <v>5103</v>
      </c>
    </row>
    <row r="1547">
      <c r="A1547" s="7">
        <v>2.0032697E7</v>
      </c>
      <c r="B1547" s="8" t="s">
        <v>5041</v>
      </c>
      <c r="C1547" s="8" t="s">
        <v>5104</v>
      </c>
      <c r="D1547" s="8" t="s">
        <v>16</v>
      </c>
      <c r="E1547" s="8" t="s">
        <v>17</v>
      </c>
      <c r="F1547" s="9">
        <v>46037.0</v>
      </c>
      <c r="G1547" s="8" t="s">
        <v>5105</v>
      </c>
      <c r="H1547" s="8" t="s">
        <v>909</v>
      </c>
      <c r="I1547" s="8" t="s">
        <v>5106</v>
      </c>
      <c r="J1547" s="8" t="s">
        <v>5107</v>
      </c>
    </row>
    <row r="1548">
      <c r="A1548" s="7">
        <v>2.0026055E7</v>
      </c>
      <c r="B1548" s="8" t="s">
        <v>5041</v>
      </c>
      <c r="C1548" s="8" t="s">
        <v>5108</v>
      </c>
      <c r="D1548" s="8" t="s">
        <v>16</v>
      </c>
      <c r="E1548" s="8" t="s">
        <v>17</v>
      </c>
      <c r="F1548" s="9">
        <v>46044.0</v>
      </c>
      <c r="G1548" s="8" t="s">
        <v>390</v>
      </c>
      <c r="H1548" s="8" t="s">
        <v>391</v>
      </c>
      <c r="I1548" s="8" t="s">
        <v>5109</v>
      </c>
      <c r="J1548" s="8" t="s">
        <v>5110</v>
      </c>
    </row>
    <row r="1549">
      <c r="A1549" s="7">
        <v>2.0032685E7</v>
      </c>
      <c r="B1549" s="8" t="s">
        <v>5041</v>
      </c>
      <c r="C1549" s="8" t="s">
        <v>5111</v>
      </c>
      <c r="D1549" s="8" t="s">
        <v>16</v>
      </c>
      <c r="E1549" s="8" t="s">
        <v>17</v>
      </c>
      <c r="F1549" s="9">
        <v>46042.0</v>
      </c>
      <c r="G1549" s="8" t="s">
        <v>390</v>
      </c>
      <c r="H1549" s="8" t="s">
        <v>391</v>
      </c>
      <c r="I1549" s="8" t="s">
        <v>5112</v>
      </c>
      <c r="J1549" s="8" t="s">
        <v>5113</v>
      </c>
    </row>
    <row r="1550">
      <c r="A1550" s="7">
        <v>2.0032659E7</v>
      </c>
      <c r="B1550" s="8" t="s">
        <v>5041</v>
      </c>
      <c r="C1550" s="8" t="s">
        <v>5114</v>
      </c>
      <c r="D1550" s="8" t="s">
        <v>16</v>
      </c>
      <c r="E1550" s="8" t="s">
        <v>17</v>
      </c>
      <c r="F1550" s="9">
        <v>46043.0</v>
      </c>
      <c r="G1550" s="8" t="s">
        <v>390</v>
      </c>
      <c r="H1550" s="8" t="s">
        <v>391</v>
      </c>
      <c r="I1550" s="8" t="s">
        <v>5115</v>
      </c>
      <c r="J1550" s="8" t="s">
        <v>5116</v>
      </c>
    </row>
    <row r="1551">
      <c r="A1551" s="7">
        <v>2.0032528E7</v>
      </c>
      <c r="B1551" s="8" t="s">
        <v>5041</v>
      </c>
      <c r="C1551" s="8" t="s">
        <v>5117</v>
      </c>
      <c r="D1551" s="8" t="s">
        <v>16</v>
      </c>
      <c r="E1551" s="8" t="s">
        <v>700</v>
      </c>
      <c r="F1551" s="9">
        <v>46040.0</v>
      </c>
      <c r="G1551" s="8" t="s">
        <v>1427</v>
      </c>
      <c r="H1551" s="8" t="s">
        <v>1428</v>
      </c>
      <c r="I1551" s="8" t="s">
        <v>5118</v>
      </c>
      <c r="J1551" s="8" t="s">
        <v>5119</v>
      </c>
    </row>
    <row r="1552">
      <c r="A1552" s="7">
        <v>2.0030715E7</v>
      </c>
      <c r="B1552" s="8" t="s">
        <v>5041</v>
      </c>
      <c r="C1552" s="8" t="s">
        <v>5120</v>
      </c>
      <c r="D1552" s="8" t="s">
        <v>16</v>
      </c>
      <c r="E1552" s="8" t="s">
        <v>17</v>
      </c>
      <c r="F1552" s="9">
        <v>46033.0</v>
      </c>
      <c r="G1552" s="8" t="s">
        <v>220</v>
      </c>
      <c r="H1552" s="8" t="s">
        <v>221</v>
      </c>
      <c r="I1552" s="8" t="s">
        <v>5121</v>
      </c>
      <c r="J1552" s="8" t="s">
        <v>5122</v>
      </c>
    </row>
    <row r="1553">
      <c r="A1553" s="7">
        <v>2.0032093E7</v>
      </c>
      <c r="B1553" s="8" t="s">
        <v>5041</v>
      </c>
      <c r="C1553" s="8" t="s">
        <v>5123</v>
      </c>
      <c r="D1553" s="8" t="s">
        <v>16</v>
      </c>
      <c r="E1553" s="8" t="s">
        <v>17</v>
      </c>
      <c r="F1553" s="9">
        <v>46048.0</v>
      </c>
      <c r="G1553" s="8" t="s">
        <v>763</v>
      </c>
      <c r="H1553" s="8" t="s">
        <v>764</v>
      </c>
      <c r="I1553" s="8" t="s">
        <v>5124</v>
      </c>
      <c r="J1553" s="8" t="s">
        <v>5125</v>
      </c>
    </row>
    <row r="1554">
      <c r="A1554" s="7">
        <v>2.003214E7</v>
      </c>
      <c r="B1554" s="8" t="s">
        <v>5041</v>
      </c>
      <c r="C1554" s="8" t="s">
        <v>5126</v>
      </c>
      <c r="D1554" s="8" t="s">
        <v>16</v>
      </c>
      <c r="E1554" s="8" t="s">
        <v>17</v>
      </c>
      <c r="F1554" s="9">
        <v>46041.0</v>
      </c>
      <c r="G1554" s="8" t="s">
        <v>5127</v>
      </c>
      <c r="H1554" s="8" t="s">
        <v>5128</v>
      </c>
      <c r="I1554" s="8" t="s">
        <v>5129</v>
      </c>
      <c r="J1554" s="8" t="s">
        <v>5130</v>
      </c>
    </row>
    <row r="1555">
      <c r="A1555" s="7">
        <v>2.0032065E7</v>
      </c>
      <c r="B1555" s="8" t="s">
        <v>5041</v>
      </c>
      <c r="C1555" s="8" t="s">
        <v>5131</v>
      </c>
      <c r="D1555" s="8" t="s">
        <v>16</v>
      </c>
      <c r="E1555" s="8" t="s">
        <v>17</v>
      </c>
      <c r="F1555" s="9">
        <v>46031.0</v>
      </c>
      <c r="G1555" s="8" t="s">
        <v>504</v>
      </c>
      <c r="H1555" s="8" t="s">
        <v>505</v>
      </c>
      <c r="I1555" s="8" t="s">
        <v>5132</v>
      </c>
      <c r="J1555" s="8" t="s">
        <v>5133</v>
      </c>
    </row>
    <row r="1556">
      <c r="A1556" s="7">
        <v>2.0031917E7</v>
      </c>
      <c r="B1556" s="8" t="s">
        <v>5041</v>
      </c>
      <c r="C1556" s="8" t="s">
        <v>5134</v>
      </c>
      <c r="D1556" s="8" t="s">
        <v>16</v>
      </c>
      <c r="E1556" s="8" t="s">
        <v>17</v>
      </c>
      <c r="F1556" s="9">
        <v>46030.0</v>
      </c>
      <c r="G1556" s="8" t="s">
        <v>504</v>
      </c>
      <c r="H1556" s="8" t="s">
        <v>505</v>
      </c>
      <c r="I1556" s="8" t="s">
        <v>5135</v>
      </c>
      <c r="J1556" s="8" t="s">
        <v>5136</v>
      </c>
    </row>
    <row r="1557">
      <c r="A1557" s="7">
        <v>2.0031355E7</v>
      </c>
      <c r="B1557" s="8" t="s">
        <v>5041</v>
      </c>
      <c r="C1557" s="8" t="s">
        <v>5137</v>
      </c>
      <c r="D1557" s="8" t="s">
        <v>16</v>
      </c>
      <c r="E1557" s="8" t="s">
        <v>17</v>
      </c>
      <c r="F1557" s="9">
        <v>46042.0</v>
      </c>
      <c r="G1557" s="8" t="s">
        <v>64</v>
      </c>
      <c r="H1557" s="8" t="s">
        <v>65</v>
      </c>
      <c r="I1557" s="8" t="s">
        <v>5138</v>
      </c>
      <c r="J1557" s="8" t="s">
        <v>5139</v>
      </c>
    </row>
    <row r="1558">
      <c r="A1558" s="7">
        <v>2.0031213E7</v>
      </c>
      <c r="B1558" s="8" t="s">
        <v>5041</v>
      </c>
      <c r="C1558" s="8" t="s">
        <v>5140</v>
      </c>
      <c r="D1558" s="8" t="s">
        <v>16</v>
      </c>
      <c r="E1558" s="8" t="s">
        <v>17</v>
      </c>
      <c r="F1558" s="9">
        <v>46039.0</v>
      </c>
      <c r="G1558" s="8" t="s">
        <v>410</v>
      </c>
      <c r="H1558" s="8" t="s">
        <v>411</v>
      </c>
      <c r="I1558" s="8" t="s">
        <v>5141</v>
      </c>
      <c r="J1558" s="8" t="s">
        <v>5142</v>
      </c>
    </row>
    <row r="1559">
      <c r="A1559" s="7">
        <v>2.0031063E7</v>
      </c>
      <c r="B1559" s="8" t="s">
        <v>5041</v>
      </c>
      <c r="C1559" s="8" t="s">
        <v>5143</v>
      </c>
      <c r="D1559" s="8" t="s">
        <v>16</v>
      </c>
      <c r="E1559" s="8" t="s">
        <v>17</v>
      </c>
      <c r="F1559" s="9">
        <v>46046.0</v>
      </c>
      <c r="G1559" s="8" t="s">
        <v>171</v>
      </c>
      <c r="H1559" s="8" t="s">
        <v>172</v>
      </c>
      <c r="I1559" s="8" t="s">
        <v>5144</v>
      </c>
      <c r="J1559" s="8" t="s">
        <v>5145</v>
      </c>
    </row>
    <row r="1560">
      <c r="A1560" s="7">
        <v>2.0031023E7</v>
      </c>
      <c r="B1560" s="8" t="s">
        <v>5041</v>
      </c>
      <c r="C1560" s="8" t="s">
        <v>5146</v>
      </c>
      <c r="D1560" s="8" t="s">
        <v>16</v>
      </c>
      <c r="E1560" s="8" t="s">
        <v>17</v>
      </c>
      <c r="F1560" s="9">
        <v>46046.0</v>
      </c>
      <c r="G1560" s="8" t="s">
        <v>171</v>
      </c>
      <c r="H1560" s="8" t="s">
        <v>172</v>
      </c>
      <c r="I1560" s="8" t="s">
        <v>5147</v>
      </c>
      <c r="J1560" s="8" t="s">
        <v>5148</v>
      </c>
    </row>
    <row r="1561">
      <c r="A1561" s="7">
        <v>2.0030801E7</v>
      </c>
      <c r="B1561" s="8" t="s">
        <v>5041</v>
      </c>
      <c r="C1561" s="8" t="s">
        <v>5149</v>
      </c>
      <c r="D1561" s="8" t="s">
        <v>16</v>
      </c>
      <c r="E1561" s="8" t="s">
        <v>17</v>
      </c>
      <c r="F1561" s="9">
        <v>46030.0</v>
      </c>
      <c r="G1561" s="8" t="s">
        <v>220</v>
      </c>
      <c r="H1561" s="8" t="s">
        <v>221</v>
      </c>
      <c r="I1561" s="8" t="s">
        <v>5150</v>
      </c>
      <c r="J1561" s="8" t="s">
        <v>5151</v>
      </c>
    </row>
    <row r="1562">
      <c r="A1562" s="7">
        <v>2.0030198E7</v>
      </c>
      <c r="B1562" s="8" t="s">
        <v>5041</v>
      </c>
      <c r="C1562" s="8" t="s">
        <v>5152</v>
      </c>
      <c r="D1562" s="8" t="s">
        <v>16</v>
      </c>
      <c r="E1562" s="8" t="s">
        <v>17</v>
      </c>
      <c r="F1562" s="9">
        <v>46032.0</v>
      </c>
      <c r="G1562" s="8" t="s">
        <v>5153</v>
      </c>
      <c r="H1562" s="8" t="s">
        <v>5154</v>
      </c>
      <c r="I1562" s="8" t="s">
        <v>5155</v>
      </c>
      <c r="J1562" s="8" t="s">
        <v>5156</v>
      </c>
    </row>
    <row r="1563">
      <c r="A1563" s="7">
        <v>2.0026554E7</v>
      </c>
      <c r="B1563" s="8" t="s">
        <v>5041</v>
      </c>
      <c r="C1563" s="8" t="s">
        <v>5157</v>
      </c>
      <c r="D1563" s="8" t="s">
        <v>16</v>
      </c>
      <c r="E1563" s="8" t="s">
        <v>17</v>
      </c>
      <c r="F1563" s="9">
        <v>46045.0</v>
      </c>
      <c r="G1563" s="8" t="s">
        <v>176</v>
      </c>
      <c r="H1563" s="8" t="s">
        <v>177</v>
      </c>
      <c r="I1563" s="8" t="s">
        <v>5158</v>
      </c>
      <c r="J1563" s="8" t="s">
        <v>5159</v>
      </c>
    </row>
    <row r="1564">
      <c r="A1564" s="7">
        <v>2.0030232E7</v>
      </c>
      <c r="B1564" s="8" t="s">
        <v>5041</v>
      </c>
      <c r="C1564" s="8" t="s">
        <v>5160</v>
      </c>
      <c r="D1564" s="8" t="s">
        <v>16</v>
      </c>
      <c r="E1564" s="8" t="s">
        <v>17</v>
      </c>
      <c r="F1564" s="9">
        <v>46045.0</v>
      </c>
      <c r="G1564" s="8" t="s">
        <v>158</v>
      </c>
      <c r="H1564" s="8" t="s">
        <v>159</v>
      </c>
      <c r="I1564" s="8" t="s">
        <v>5161</v>
      </c>
      <c r="J1564" s="8" t="s">
        <v>5162</v>
      </c>
    </row>
    <row r="1565">
      <c r="A1565" s="7">
        <v>2.0030018E7</v>
      </c>
      <c r="B1565" s="8" t="s">
        <v>5041</v>
      </c>
      <c r="C1565" s="8" t="s">
        <v>5163</v>
      </c>
      <c r="D1565" s="8" t="s">
        <v>16</v>
      </c>
      <c r="E1565" s="8" t="s">
        <v>17</v>
      </c>
      <c r="F1565" s="9">
        <v>46040.0</v>
      </c>
      <c r="G1565" s="8" t="s">
        <v>467</v>
      </c>
      <c r="H1565" s="8" t="s">
        <v>468</v>
      </c>
      <c r="I1565" s="8" t="s">
        <v>5164</v>
      </c>
      <c r="J1565" s="8" t="s">
        <v>5165</v>
      </c>
    </row>
    <row r="1566">
      <c r="A1566" s="7">
        <v>2.0029141E7</v>
      </c>
      <c r="B1566" s="8" t="s">
        <v>5041</v>
      </c>
      <c r="C1566" s="8" t="s">
        <v>5166</v>
      </c>
      <c r="D1566" s="8" t="s">
        <v>16</v>
      </c>
      <c r="E1566" s="8" t="s">
        <v>17</v>
      </c>
      <c r="F1566" s="9">
        <v>46037.0</v>
      </c>
      <c r="G1566" s="8" t="s">
        <v>613</v>
      </c>
      <c r="H1566" s="8" t="s">
        <v>614</v>
      </c>
      <c r="I1566" s="8" t="s">
        <v>5167</v>
      </c>
      <c r="J1566" s="8" t="s">
        <v>5168</v>
      </c>
    </row>
    <row r="1567">
      <c r="A1567" s="7">
        <v>2.0028173E7</v>
      </c>
      <c r="B1567" s="8" t="s">
        <v>5041</v>
      </c>
      <c r="C1567" s="8" t="s">
        <v>5169</v>
      </c>
      <c r="D1567" s="8" t="s">
        <v>16</v>
      </c>
      <c r="E1567" s="8" t="s">
        <v>17</v>
      </c>
      <c r="F1567" s="9">
        <v>46030.0</v>
      </c>
      <c r="G1567" s="8" t="s">
        <v>759</v>
      </c>
      <c r="H1567" s="8" t="s">
        <v>760</v>
      </c>
      <c r="I1567" s="8" t="s">
        <v>5170</v>
      </c>
      <c r="J1567" s="8" t="s">
        <v>5171</v>
      </c>
    </row>
    <row r="1568">
      <c r="A1568" s="7">
        <v>2.0028498E7</v>
      </c>
      <c r="B1568" s="8" t="s">
        <v>5041</v>
      </c>
      <c r="C1568" s="8" t="s">
        <v>5172</v>
      </c>
      <c r="D1568" s="8" t="s">
        <v>16</v>
      </c>
      <c r="E1568" s="8" t="s">
        <v>17</v>
      </c>
      <c r="F1568" s="9">
        <v>46024.0</v>
      </c>
      <c r="G1568" s="8" t="s">
        <v>59</v>
      </c>
      <c r="H1568" s="8" t="s">
        <v>60</v>
      </c>
      <c r="I1568" s="8" t="s">
        <v>5173</v>
      </c>
      <c r="J1568" s="8" t="s">
        <v>5174</v>
      </c>
    </row>
    <row r="1569">
      <c r="A1569" s="7">
        <v>2.0029617E7</v>
      </c>
      <c r="B1569" s="8" t="s">
        <v>5041</v>
      </c>
      <c r="C1569" s="8" t="s">
        <v>5175</v>
      </c>
      <c r="D1569" s="8" t="s">
        <v>16</v>
      </c>
      <c r="E1569" s="8" t="s">
        <v>17</v>
      </c>
      <c r="F1569" s="9">
        <v>46039.0</v>
      </c>
      <c r="G1569" s="8" t="s">
        <v>137</v>
      </c>
      <c r="H1569" s="8" t="s">
        <v>138</v>
      </c>
      <c r="I1569" s="8" t="s">
        <v>5176</v>
      </c>
      <c r="J1569" s="8" t="s">
        <v>5177</v>
      </c>
    </row>
    <row r="1570">
      <c r="A1570" s="7">
        <v>2.0029266E7</v>
      </c>
      <c r="B1570" s="8" t="s">
        <v>5041</v>
      </c>
      <c r="C1570" s="8" t="s">
        <v>5178</v>
      </c>
      <c r="D1570" s="8" t="s">
        <v>16</v>
      </c>
      <c r="E1570" s="8" t="s">
        <v>17</v>
      </c>
      <c r="F1570" s="9">
        <v>46035.0</v>
      </c>
      <c r="G1570" s="8" t="s">
        <v>390</v>
      </c>
      <c r="H1570" s="8" t="s">
        <v>391</v>
      </c>
      <c r="I1570" s="8" t="s">
        <v>5179</v>
      </c>
      <c r="J1570" s="8" t="s">
        <v>5180</v>
      </c>
    </row>
    <row r="1571">
      <c r="A1571" s="7">
        <v>2.0028784E7</v>
      </c>
      <c r="B1571" s="8" t="s">
        <v>5041</v>
      </c>
      <c r="C1571" s="8" t="s">
        <v>5181</v>
      </c>
      <c r="D1571" s="8" t="s">
        <v>16</v>
      </c>
      <c r="E1571" s="8" t="s">
        <v>17</v>
      </c>
      <c r="F1571" s="9">
        <v>46042.0</v>
      </c>
      <c r="G1571" s="8" t="s">
        <v>601</v>
      </c>
      <c r="H1571" s="8" t="s">
        <v>602</v>
      </c>
      <c r="I1571" s="8" t="s">
        <v>5182</v>
      </c>
      <c r="J1571" s="8" t="s">
        <v>5183</v>
      </c>
    </row>
    <row r="1572">
      <c r="A1572" s="7">
        <v>2.0028903E7</v>
      </c>
      <c r="B1572" s="8" t="s">
        <v>5041</v>
      </c>
      <c r="C1572" s="8" t="s">
        <v>5184</v>
      </c>
      <c r="D1572" s="8" t="s">
        <v>16</v>
      </c>
      <c r="E1572" s="8" t="s">
        <v>17</v>
      </c>
      <c r="F1572" s="9">
        <v>46053.0</v>
      </c>
      <c r="G1572" s="8" t="s">
        <v>688</v>
      </c>
      <c r="H1572" s="8" t="s">
        <v>689</v>
      </c>
      <c r="I1572" s="8" t="s">
        <v>5185</v>
      </c>
      <c r="J1572" s="8" t="s">
        <v>5186</v>
      </c>
    </row>
    <row r="1573">
      <c r="A1573" s="7">
        <v>2.0028903E7</v>
      </c>
      <c r="B1573" s="8" t="s">
        <v>5041</v>
      </c>
      <c r="C1573" s="8" t="s">
        <v>5184</v>
      </c>
      <c r="D1573" s="8" t="s">
        <v>16</v>
      </c>
      <c r="E1573" s="8" t="s">
        <v>17</v>
      </c>
      <c r="F1573" s="9">
        <v>46053.0</v>
      </c>
      <c r="G1573" s="8" t="s">
        <v>688</v>
      </c>
      <c r="H1573" s="8" t="s">
        <v>689</v>
      </c>
      <c r="I1573" s="8" t="s">
        <v>5187</v>
      </c>
      <c r="J1573" s="8" t="s">
        <v>5185</v>
      </c>
    </row>
    <row r="1574">
      <c r="A1574" s="7">
        <v>2.0028615E7</v>
      </c>
      <c r="B1574" s="8" t="s">
        <v>5041</v>
      </c>
      <c r="C1574" s="8" t="s">
        <v>5188</v>
      </c>
      <c r="D1574" s="8" t="s">
        <v>16</v>
      </c>
      <c r="E1574" s="8" t="s">
        <v>17</v>
      </c>
      <c r="F1574" s="9">
        <v>46039.0</v>
      </c>
      <c r="G1574" s="8" t="s">
        <v>2400</v>
      </c>
      <c r="H1574" s="8" t="s">
        <v>2401</v>
      </c>
      <c r="I1574" s="8" t="s">
        <v>5189</v>
      </c>
      <c r="J1574" s="8" t="s">
        <v>5190</v>
      </c>
    </row>
    <row r="1575">
      <c r="A1575" s="7">
        <v>2.0028523E7</v>
      </c>
      <c r="B1575" s="8" t="s">
        <v>5041</v>
      </c>
      <c r="C1575" s="8" t="s">
        <v>5191</v>
      </c>
      <c r="D1575" s="8" t="s">
        <v>16</v>
      </c>
      <c r="E1575" s="8" t="s">
        <v>17</v>
      </c>
      <c r="F1575" s="9">
        <v>46034.0</v>
      </c>
      <c r="G1575" s="8" t="s">
        <v>5192</v>
      </c>
      <c r="H1575" s="8" t="s">
        <v>5193</v>
      </c>
      <c r="I1575" s="8" t="s">
        <v>5194</v>
      </c>
      <c r="J1575" s="8" t="s">
        <v>5195</v>
      </c>
    </row>
    <row r="1576">
      <c r="A1576" s="7">
        <v>2.0028707E7</v>
      </c>
      <c r="B1576" s="8" t="s">
        <v>5041</v>
      </c>
      <c r="C1576" s="8" t="s">
        <v>5196</v>
      </c>
      <c r="D1576" s="8" t="s">
        <v>16</v>
      </c>
      <c r="E1576" s="8" t="s">
        <v>17</v>
      </c>
      <c r="F1576" s="9">
        <v>46031.0</v>
      </c>
      <c r="G1576" s="8" t="s">
        <v>3572</v>
      </c>
      <c r="H1576" s="8" t="s">
        <v>3573</v>
      </c>
      <c r="I1576" s="8" t="s">
        <v>5197</v>
      </c>
      <c r="J1576" s="8" t="s">
        <v>5198</v>
      </c>
    </row>
    <row r="1577">
      <c r="A1577" s="7">
        <v>2.0028707E7</v>
      </c>
      <c r="B1577" s="8" t="s">
        <v>5041</v>
      </c>
      <c r="C1577" s="8" t="s">
        <v>5196</v>
      </c>
      <c r="D1577" s="8" t="s">
        <v>16</v>
      </c>
      <c r="E1577" s="8" t="s">
        <v>17</v>
      </c>
      <c r="F1577" s="9">
        <v>46031.0</v>
      </c>
      <c r="G1577" s="8" t="s">
        <v>3572</v>
      </c>
      <c r="H1577" s="8" t="s">
        <v>3573</v>
      </c>
      <c r="I1577" s="8" t="s">
        <v>5199</v>
      </c>
      <c r="J1577" s="8" t="s">
        <v>5198</v>
      </c>
    </row>
    <row r="1578">
      <c r="A1578" s="7">
        <v>2.002811E7</v>
      </c>
      <c r="B1578" s="8" t="s">
        <v>5041</v>
      </c>
      <c r="C1578" s="8" t="s">
        <v>5200</v>
      </c>
      <c r="D1578" s="8" t="s">
        <v>16</v>
      </c>
      <c r="E1578" s="8" t="s">
        <v>17</v>
      </c>
      <c r="F1578" s="9">
        <v>46039.0</v>
      </c>
      <c r="G1578" s="8" t="s">
        <v>86</v>
      </c>
      <c r="H1578" s="8" t="s">
        <v>87</v>
      </c>
      <c r="I1578" s="8" t="s">
        <v>5201</v>
      </c>
      <c r="J1578" s="8" t="s">
        <v>5202</v>
      </c>
    </row>
    <row r="1579">
      <c r="A1579" s="7">
        <v>2.0019653E7</v>
      </c>
      <c r="B1579" s="8" t="s">
        <v>5041</v>
      </c>
      <c r="C1579" s="8" t="s">
        <v>5203</v>
      </c>
      <c r="D1579" s="8" t="s">
        <v>16</v>
      </c>
      <c r="E1579" s="8" t="s">
        <v>17</v>
      </c>
      <c r="F1579" s="9">
        <v>46058.0</v>
      </c>
      <c r="G1579" s="8" t="s">
        <v>2466</v>
      </c>
      <c r="H1579" s="8" t="s">
        <v>2467</v>
      </c>
      <c r="I1579" s="8" t="s">
        <v>5204</v>
      </c>
      <c r="J1579" s="8" t="s">
        <v>5205</v>
      </c>
    </row>
    <row r="1580">
      <c r="A1580" s="7">
        <v>2.0019653E7</v>
      </c>
      <c r="B1580" s="8" t="s">
        <v>5041</v>
      </c>
      <c r="C1580" s="8" t="s">
        <v>5203</v>
      </c>
      <c r="D1580" s="8" t="s">
        <v>16</v>
      </c>
      <c r="E1580" s="8" t="s">
        <v>17</v>
      </c>
      <c r="F1580" s="9">
        <v>46058.0</v>
      </c>
      <c r="G1580" s="8" t="s">
        <v>2466</v>
      </c>
      <c r="H1580" s="8" t="s">
        <v>2467</v>
      </c>
      <c r="I1580" s="8" t="s">
        <v>5206</v>
      </c>
      <c r="J1580" s="8"/>
    </row>
    <row r="1581">
      <c r="A1581" s="7">
        <v>2.0027448E7</v>
      </c>
      <c r="B1581" s="8" t="s">
        <v>5041</v>
      </c>
      <c r="C1581" s="8" t="s">
        <v>5207</v>
      </c>
      <c r="D1581" s="8" t="s">
        <v>16</v>
      </c>
      <c r="E1581" s="8" t="s">
        <v>17</v>
      </c>
      <c r="F1581" s="9">
        <v>46024.0</v>
      </c>
      <c r="G1581" s="8" t="s">
        <v>1616</v>
      </c>
      <c r="H1581" s="8" t="s">
        <v>1617</v>
      </c>
      <c r="I1581" s="8" t="s">
        <v>5208</v>
      </c>
      <c r="J1581" s="8" t="s">
        <v>5209</v>
      </c>
    </row>
    <row r="1582">
      <c r="A1582" s="7">
        <v>2.0027281E7</v>
      </c>
      <c r="B1582" s="8" t="s">
        <v>5041</v>
      </c>
      <c r="C1582" s="8" t="s">
        <v>5210</v>
      </c>
      <c r="D1582" s="8" t="s">
        <v>16</v>
      </c>
      <c r="E1582" s="8" t="s">
        <v>17</v>
      </c>
      <c r="F1582" s="9">
        <v>46024.0</v>
      </c>
      <c r="G1582" s="8" t="s">
        <v>2479</v>
      </c>
      <c r="H1582" s="8" t="s">
        <v>2480</v>
      </c>
      <c r="I1582" s="8" t="s">
        <v>5211</v>
      </c>
      <c r="J1582" s="8" t="s">
        <v>5212</v>
      </c>
    </row>
    <row r="1583">
      <c r="A1583" s="7">
        <v>2.0025241E7</v>
      </c>
      <c r="B1583" s="8" t="s">
        <v>5041</v>
      </c>
      <c r="C1583" s="8" t="s">
        <v>5213</v>
      </c>
      <c r="D1583" s="8" t="s">
        <v>16</v>
      </c>
      <c r="E1583" s="8" t="s">
        <v>17</v>
      </c>
      <c r="F1583" s="9">
        <v>46026.0</v>
      </c>
      <c r="G1583" s="8" t="s">
        <v>297</v>
      </c>
      <c r="H1583" s="8" t="s">
        <v>298</v>
      </c>
      <c r="I1583" s="8" t="s">
        <v>5214</v>
      </c>
      <c r="J1583" s="8" t="s">
        <v>5215</v>
      </c>
    </row>
    <row r="1584">
      <c r="A1584" s="7">
        <v>2.0026786E7</v>
      </c>
      <c r="B1584" s="8" t="s">
        <v>5041</v>
      </c>
      <c r="C1584" s="8" t="s">
        <v>5216</v>
      </c>
      <c r="D1584" s="8" t="s">
        <v>16</v>
      </c>
      <c r="E1584" s="8" t="s">
        <v>17</v>
      </c>
      <c r="F1584" s="9">
        <v>46028.0</v>
      </c>
      <c r="G1584" s="8" t="s">
        <v>647</v>
      </c>
      <c r="H1584" s="8" t="s">
        <v>648</v>
      </c>
      <c r="I1584" s="8" t="s">
        <v>5217</v>
      </c>
      <c r="J1584" s="8" t="s">
        <v>5218</v>
      </c>
    </row>
    <row r="1585">
      <c r="A1585" s="7">
        <v>2.0025351E7</v>
      </c>
      <c r="B1585" s="8" t="s">
        <v>5041</v>
      </c>
      <c r="C1585" s="8" t="s">
        <v>5219</v>
      </c>
      <c r="D1585" s="8" t="s">
        <v>16</v>
      </c>
      <c r="E1585" s="8" t="s">
        <v>17</v>
      </c>
      <c r="F1585" s="9">
        <v>46026.0</v>
      </c>
      <c r="G1585" s="8" t="s">
        <v>314</v>
      </c>
      <c r="H1585" s="8" t="s">
        <v>315</v>
      </c>
      <c r="I1585" s="8" t="s">
        <v>5220</v>
      </c>
      <c r="J1585" s="8" t="s">
        <v>5221</v>
      </c>
    </row>
    <row r="1586">
      <c r="A1586" s="7">
        <v>2.0065422E7</v>
      </c>
      <c r="B1586" s="8" t="s">
        <v>5222</v>
      </c>
      <c r="C1586" s="8" t="s">
        <v>5223</v>
      </c>
      <c r="D1586" s="8" t="s">
        <v>2136</v>
      </c>
      <c r="E1586" s="8" t="s">
        <v>17</v>
      </c>
      <c r="F1586" s="9">
        <v>46163.0</v>
      </c>
      <c r="G1586" s="8" t="s">
        <v>1007</v>
      </c>
      <c r="H1586" s="8" t="s">
        <v>1008</v>
      </c>
      <c r="I1586" s="8" t="s">
        <v>5224</v>
      </c>
      <c r="J1586" s="8" t="s">
        <v>5225</v>
      </c>
    </row>
    <row r="1587">
      <c r="A1587" s="7">
        <v>2.0039545E7</v>
      </c>
      <c r="B1587" s="8" t="s">
        <v>5222</v>
      </c>
      <c r="C1587" s="8" t="s">
        <v>5226</v>
      </c>
      <c r="D1587" s="8" t="s">
        <v>16</v>
      </c>
      <c r="E1587" s="8" t="s">
        <v>17</v>
      </c>
      <c r="F1587" s="9">
        <v>46090.0</v>
      </c>
      <c r="G1587" s="8" t="s">
        <v>630</v>
      </c>
      <c r="H1587" s="8" t="s">
        <v>631</v>
      </c>
      <c r="I1587" s="8" t="s">
        <v>5227</v>
      </c>
      <c r="J1587" s="8" t="s">
        <v>5228</v>
      </c>
    </row>
    <row r="1588">
      <c r="A1588" s="7">
        <v>2.0038464E7</v>
      </c>
      <c r="B1588" s="8" t="s">
        <v>5222</v>
      </c>
      <c r="C1588" s="8" t="s">
        <v>5229</v>
      </c>
      <c r="D1588" s="8" t="s">
        <v>16</v>
      </c>
      <c r="E1588" s="8" t="s">
        <v>17</v>
      </c>
      <c r="F1588" s="9">
        <v>46055.0</v>
      </c>
      <c r="G1588" s="8" t="s">
        <v>873</v>
      </c>
      <c r="H1588" s="8" t="s">
        <v>874</v>
      </c>
      <c r="I1588" s="8" t="s">
        <v>5230</v>
      </c>
      <c r="J1588" s="8" t="s">
        <v>5231</v>
      </c>
    </row>
    <row r="1589">
      <c r="A1589" s="7">
        <v>2.0033645E7</v>
      </c>
      <c r="B1589" s="8" t="s">
        <v>5222</v>
      </c>
      <c r="C1589" s="8" t="s">
        <v>5232</v>
      </c>
      <c r="D1589" s="8" t="s">
        <v>16</v>
      </c>
      <c r="E1589" s="8" t="s">
        <v>17</v>
      </c>
      <c r="F1589" s="9">
        <v>46035.0</v>
      </c>
      <c r="G1589" s="8" t="s">
        <v>91</v>
      </c>
      <c r="H1589" s="8" t="s">
        <v>92</v>
      </c>
      <c r="I1589" s="8" t="s">
        <v>5233</v>
      </c>
      <c r="J1589" s="8" t="s">
        <v>5234</v>
      </c>
    </row>
    <row r="1590">
      <c r="A1590" s="7">
        <v>2.0030739E7</v>
      </c>
      <c r="B1590" s="8" t="s">
        <v>5222</v>
      </c>
      <c r="C1590" s="8" t="s">
        <v>5235</v>
      </c>
      <c r="D1590" s="8" t="s">
        <v>16</v>
      </c>
      <c r="E1590" s="8" t="s">
        <v>17</v>
      </c>
      <c r="F1590" s="9">
        <v>46030.0</v>
      </c>
      <c r="G1590" s="8" t="s">
        <v>978</v>
      </c>
      <c r="H1590" s="8" t="s">
        <v>979</v>
      </c>
      <c r="I1590" s="8" t="s">
        <v>5236</v>
      </c>
      <c r="J1590" s="8" t="s">
        <v>5237</v>
      </c>
    </row>
    <row r="1591">
      <c r="A1591" s="7">
        <v>2.0030463E7</v>
      </c>
      <c r="B1591" s="8" t="s">
        <v>5222</v>
      </c>
      <c r="C1591" s="8" t="s">
        <v>5238</v>
      </c>
      <c r="D1591" s="8" t="s">
        <v>16</v>
      </c>
      <c r="E1591" s="8" t="s">
        <v>17</v>
      </c>
      <c r="F1591" s="9">
        <v>46036.0</v>
      </c>
      <c r="G1591" s="8" t="s">
        <v>234</v>
      </c>
      <c r="H1591" s="8" t="s">
        <v>235</v>
      </c>
      <c r="I1591" s="8" t="s">
        <v>5239</v>
      </c>
      <c r="J1591" s="8" t="s">
        <v>5240</v>
      </c>
    </row>
    <row r="1592">
      <c r="A1592" s="7">
        <v>2.0029962E7</v>
      </c>
      <c r="B1592" s="8" t="s">
        <v>5222</v>
      </c>
      <c r="C1592" s="8" t="s">
        <v>5241</v>
      </c>
      <c r="D1592" s="8" t="s">
        <v>16</v>
      </c>
      <c r="E1592" s="8" t="s">
        <v>17</v>
      </c>
      <c r="F1592" s="9">
        <v>46033.0</v>
      </c>
      <c r="G1592" s="8" t="s">
        <v>54</v>
      </c>
      <c r="H1592" s="8" t="s">
        <v>55</v>
      </c>
      <c r="I1592" s="8" t="s">
        <v>5242</v>
      </c>
      <c r="J1592" s="8" t="s">
        <v>5243</v>
      </c>
    </row>
    <row r="1593">
      <c r="A1593" s="7">
        <v>2.0030734E7</v>
      </c>
      <c r="B1593" s="8" t="s">
        <v>5222</v>
      </c>
      <c r="C1593" s="8" t="s">
        <v>5244</v>
      </c>
      <c r="D1593" s="8" t="s">
        <v>16</v>
      </c>
      <c r="E1593" s="8" t="s">
        <v>17</v>
      </c>
      <c r="F1593" s="9">
        <v>46034.0</v>
      </c>
      <c r="G1593" s="8" t="s">
        <v>153</v>
      </c>
      <c r="H1593" s="8" t="s">
        <v>154</v>
      </c>
      <c r="I1593" s="8" t="s">
        <v>5245</v>
      </c>
      <c r="J1593" s="8" t="s">
        <v>5246</v>
      </c>
    </row>
    <row r="1594">
      <c r="A1594" s="7">
        <v>2.0032314E7</v>
      </c>
      <c r="B1594" s="8" t="s">
        <v>5222</v>
      </c>
      <c r="C1594" s="8" t="s">
        <v>5247</v>
      </c>
      <c r="D1594" s="8" t="s">
        <v>16</v>
      </c>
      <c r="E1594" s="8" t="s">
        <v>17</v>
      </c>
      <c r="F1594" s="9">
        <v>46028.0</v>
      </c>
      <c r="G1594" s="8" t="s">
        <v>873</v>
      </c>
      <c r="H1594" s="8" t="s">
        <v>874</v>
      </c>
      <c r="I1594" s="8" t="s">
        <v>5248</v>
      </c>
      <c r="J1594" s="8" t="s">
        <v>5249</v>
      </c>
    </row>
    <row r="1595">
      <c r="A1595" s="7">
        <v>2.0028842E7</v>
      </c>
      <c r="B1595" s="8" t="s">
        <v>5222</v>
      </c>
      <c r="C1595" s="8" t="s">
        <v>5250</v>
      </c>
      <c r="D1595" s="8" t="s">
        <v>16</v>
      </c>
      <c r="E1595" s="8" t="s">
        <v>17</v>
      </c>
      <c r="F1595" s="9">
        <v>46035.0</v>
      </c>
      <c r="G1595" s="8" t="s">
        <v>1638</v>
      </c>
      <c r="H1595" s="8" t="s">
        <v>1639</v>
      </c>
      <c r="I1595" s="8" t="s">
        <v>5251</v>
      </c>
      <c r="J1595" s="8" t="s">
        <v>5252</v>
      </c>
    </row>
    <row r="1596">
      <c r="A1596" s="7">
        <v>2.0028578E7</v>
      </c>
      <c r="B1596" s="8" t="s">
        <v>5222</v>
      </c>
      <c r="C1596" s="8" t="s">
        <v>5253</v>
      </c>
      <c r="D1596" s="8" t="s">
        <v>16</v>
      </c>
      <c r="E1596" s="8" t="s">
        <v>17</v>
      </c>
      <c r="F1596" s="9">
        <v>46031.0</v>
      </c>
      <c r="G1596" s="8" t="s">
        <v>195</v>
      </c>
      <c r="H1596" s="8" t="s">
        <v>196</v>
      </c>
      <c r="I1596" s="8" t="s">
        <v>5254</v>
      </c>
      <c r="J1596" s="8" t="s">
        <v>5255</v>
      </c>
    </row>
    <row r="1597">
      <c r="A1597" s="7">
        <v>2.0030582E7</v>
      </c>
      <c r="B1597" s="8" t="s">
        <v>5222</v>
      </c>
      <c r="C1597" s="8" t="s">
        <v>5256</v>
      </c>
      <c r="D1597" s="8" t="s">
        <v>16</v>
      </c>
      <c r="E1597" s="8" t="s">
        <v>17</v>
      </c>
      <c r="F1597" s="9">
        <v>46027.0</v>
      </c>
      <c r="G1597" s="8" t="s">
        <v>3012</v>
      </c>
      <c r="H1597" s="8" t="s">
        <v>3013</v>
      </c>
      <c r="I1597" s="8" t="s">
        <v>5257</v>
      </c>
      <c r="J1597" s="8" t="s">
        <v>5258</v>
      </c>
    </row>
    <row r="1598">
      <c r="A1598" s="7">
        <v>2.0029451E7</v>
      </c>
      <c r="B1598" s="8" t="s">
        <v>5222</v>
      </c>
      <c r="C1598" s="8" t="s">
        <v>5259</v>
      </c>
      <c r="D1598" s="8" t="s">
        <v>16</v>
      </c>
      <c r="E1598" s="8" t="s">
        <v>17</v>
      </c>
      <c r="F1598" s="9">
        <v>46028.0</v>
      </c>
      <c r="G1598" s="8" t="s">
        <v>220</v>
      </c>
      <c r="H1598" s="8" t="s">
        <v>221</v>
      </c>
      <c r="I1598" s="8" t="s">
        <v>5260</v>
      </c>
      <c r="J1598" s="8" t="s">
        <v>5261</v>
      </c>
    </row>
    <row r="1599">
      <c r="A1599" s="7">
        <v>2.0029451E7</v>
      </c>
      <c r="B1599" s="8" t="s">
        <v>5222</v>
      </c>
      <c r="C1599" s="8" t="s">
        <v>5259</v>
      </c>
      <c r="D1599" s="8" t="s">
        <v>16</v>
      </c>
      <c r="E1599" s="8" t="s">
        <v>17</v>
      </c>
      <c r="F1599" s="9">
        <v>46028.0</v>
      </c>
      <c r="G1599" s="8" t="s">
        <v>5262</v>
      </c>
      <c r="H1599" s="8" t="s">
        <v>5263</v>
      </c>
      <c r="I1599" s="8" t="s">
        <v>5264</v>
      </c>
      <c r="J1599" s="8" t="s">
        <v>5265</v>
      </c>
    </row>
    <row r="1600">
      <c r="A1600" s="7">
        <v>2.0030642E7</v>
      </c>
      <c r="B1600" s="8" t="s">
        <v>5222</v>
      </c>
      <c r="C1600" s="8" t="s">
        <v>5266</v>
      </c>
      <c r="D1600" s="8" t="s">
        <v>16</v>
      </c>
      <c r="E1600" s="8" t="s">
        <v>17</v>
      </c>
      <c r="F1600" s="9">
        <v>46027.0</v>
      </c>
      <c r="G1600" s="8" t="s">
        <v>91</v>
      </c>
      <c r="H1600" s="8" t="s">
        <v>92</v>
      </c>
      <c r="I1600" s="8" t="s">
        <v>5267</v>
      </c>
      <c r="J1600" s="8" t="s">
        <v>5268</v>
      </c>
    </row>
    <row r="1601">
      <c r="A1601" s="7">
        <v>2.0030262E7</v>
      </c>
      <c r="B1601" s="8" t="s">
        <v>5222</v>
      </c>
      <c r="C1601" s="8" t="s">
        <v>5269</v>
      </c>
      <c r="D1601" s="8" t="s">
        <v>16</v>
      </c>
      <c r="E1601" s="8" t="s">
        <v>17</v>
      </c>
      <c r="F1601" s="9">
        <v>46028.0</v>
      </c>
      <c r="G1601" s="8" t="s">
        <v>1319</v>
      </c>
      <c r="H1601" s="8" t="s">
        <v>1320</v>
      </c>
      <c r="I1601" s="8" t="s">
        <v>5270</v>
      </c>
      <c r="J1601" s="8" t="s">
        <v>5271</v>
      </c>
    </row>
    <row r="1602">
      <c r="A1602" s="7">
        <v>2.0027506E7</v>
      </c>
      <c r="B1602" s="8" t="s">
        <v>5222</v>
      </c>
      <c r="C1602" s="8" t="s">
        <v>5272</v>
      </c>
      <c r="D1602" s="8" t="s">
        <v>16</v>
      </c>
      <c r="E1602" s="8" t="s">
        <v>17</v>
      </c>
      <c r="F1602" s="9">
        <v>46027.0</v>
      </c>
      <c r="G1602" s="8" t="s">
        <v>273</v>
      </c>
      <c r="H1602" s="8" t="s">
        <v>274</v>
      </c>
      <c r="I1602" s="8" t="s">
        <v>5273</v>
      </c>
      <c r="J1602" s="8" t="s">
        <v>5274</v>
      </c>
    </row>
    <row r="1603">
      <c r="A1603" s="7">
        <v>2.0029448E7</v>
      </c>
      <c r="B1603" s="8" t="s">
        <v>5222</v>
      </c>
      <c r="C1603" s="8" t="s">
        <v>5275</v>
      </c>
      <c r="D1603" s="8" t="s">
        <v>16</v>
      </c>
      <c r="E1603" s="8" t="s">
        <v>17</v>
      </c>
      <c r="F1603" s="9">
        <v>46028.0</v>
      </c>
      <c r="G1603" s="8" t="s">
        <v>846</v>
      </c>
      <c r="H1603" s="8" t="s">
        <v>847</v>
      </c>
      <c r="I1603" s="8" t="s">
        <v>5276</v>
      </c>
      <c r="J1603" s="8" t="s">
        <v>5277</v>
      </c>
    </row>
    <row r="1604">
      <c r="A1604" s="7">
        <v>2.0028376E7</v>
      </c>
      <c r="B1604" s="8" t="s">
        <v>5222</v>
      </c>
      <c r="C1604" s="8" t="s">
        <v>5278</v>
      </c>
      <c r="D1604" s="8" t="s">
        <v>16</v>
      </c>
      <c r="E1604" s="8" t="s">
        <v>17</v>
      </c>
      <c r="F1604" s="9">
        <v>46024.0</v>
      </c>
      <c r="G1604" s="8" t="s">
        <v>109</v>
      </c>
      <c r="H1604" s="8" t="s">
        <v>110</v>
      </c>
      <c r="I1604" s="8" t="s">
        <v>5279</v>
      </c>
      <c r="J1604" s="8" t="s">
        <v>5280</v>
      </c>
    </row>
    <row r="1605">
      <c r="A1605" s="7">
        <v>2.002874E7</v>
      </c>
      <c r="B1605" s="8" t="s">
        <v>5222</v>
      </c>
      <c r="C1605" s="8" t="s">
        <v>5281</v>
      </c>
      <c r="D1605" s="8" t="s">
        <v>16</v>
      </c>
      <c r="E1605" s="8" t="s">
        <v>17</v>
      </c>
      <c r="F1605" s="9">
        <v>46026.0</v>
      </c>
      <c r="G1605" s="8" t="s">
        <v>5282</v>
      </c>
      <c r="H1605" s="8" t="s">
        <v>5283</v>
      </c>
      <c r="I1605" s="8" t="s">
        <v>5284</v>
      </c>
      <c r="J1605" s="8" t="s">
        <v>5285</v>
      </c>
    </row>
    <row r="1606">
      <c r="A1606" s="7">
        <v>2.002874E7</v>
      </c>
      <c r="B1606" s="8" t="s">
        <v>5222</v>
      </c>
      <c r="C1606" s="8" t="s">
        <v>5281</v>
      </c>
      <c r="D1606" s="8" t="s">
        <v>16</v>
      </c>
      <c r="E1606" s="8" t="s">
        <v>17</v>
      </c>
      <c r="F1606" s="9">
        <v>46026.0</v>
      </c>
      <c r="G1606" s="8" t="s">
        <v>234</v>
      </c>
      <c r="H1606" s="8" t="s">
        <v>235</v>
      </c>
      <c r="I1606" s="8" t="s">
        <v>5286</v>
      </c>
      <c r="J1606" s="8" t="s">
        <v>5287</v>
      </c>
    </row>
    <row r="1607">
      <c r="A1607" s="7">
        <v>2.0028016E7</v>
      </c>
      <c r="B1607" s="8" t="s">
        <v>5222</v>
      </c>
      <c r="C1607" s="8" t="s">
        <v>5288</v>
      </c>
      <c r="D1607" s="8" t="s">
        <v>16</v>
      </c>
      <c r="E1607" s="8" t="s">
        <v>17</v>
      </c>
      <c r="F1607" s="9">
        <v>46039.0</v>
      </c>
      <c r="G1607" s="8" t="s">
        <v>1911</v>
      </c>
      <c r="H1607" s="8" t="s">
        <v>1912</v>
      </c>
      <c r="I1607" s="8" t="s">
        <v>5289</v>
      </c>
      <c r="J1607" s="8" t="s">
        <v>5290</v>
      </c>
    </row>
    <row r="1608">
      <c r="A1608" s="7">
        <v>2.0025892E7</v>
      </c>
      <c r="B1608" s="8" t="s">
        <v>5222</v>
      </c>
      <c r="C1608" s="8" t="s">
        <v>5291</v>
      </c>
      <c r="D1608" s="8" t="s">
        <v>16</v>
      </c>
      <c r="E1608" s="8" t="s">
        <v>17</v>
      </c>
      <c r="F1608" s="9">
        <v>46033.0</v>
      </c>
      <c r="G1608" s="8" t="s">
        <v>2576</v>
      </c>
      <c r="H1608" s="8" t="s">
        <v>2577</v>
      </c>
      <c r="I1608" s="8" t="s">
        <v>5292</v>
      </c>
      <c r="J1608" s="8" t="s">
        <v>5293</v>
      </c>
    </row>
    <row r="1609">
      <c r="A1609" s="7">
        <v>2.0025892E7</v>
      </c>
      <c r="B1609" s="8" t="s">
        <v>5222</v>
      </c>
      <c r="C1609" s="8" t="s">
        <v>5291</v>
      </c>
      <c r="D1609" s="8" t="s">
        <v>16</v>
      </c>
      <c r="E1609" s="8" t="s">
        <v>17</v>
      </c>
      <c r="F1609" s="9">
        <v>46033.0</v>
      </c>
      <c r="G1609" s="8" t="s">
        <v>1297</v>
      </c>
      <c r="H1609" s="8" t="s">
        <v>827</v>
      </c>
      <c r="I1609" s="8" t="s">
        <v>5294</v>
      </c>
      <c r="J1609" s="8" t="s">
        <v>5295</v>
      </c>
    </row>
    <row r="1610">
      <c r="A1610" s="7">
        <v>2.0025884E7</v>
      </c>
      <c r="B1610" s="8" t="s">
        <v>5222</v>
      </c>
      <c r="C1610" s="8" t="s">
        <v>5296</v>
      </c>
      <c r="D1610" s="8" t="s">
        <v>16</v>
      </c>
      <c r="E1610" s="8" t="s">
        <v>17</v>
      </c>
      <c r="F1610" s="9">
        <v>46033.0</v>
      </c>
      <c r="G1610" s="8" t="s">
        <v>2576</v>
      </c>
      <c r="H1610" s="8" t="s">
        <v>2577</v>
      </c>
      <c r="I1610" s="8" t="s">
        <v>5297</v>
      </c>
      <c r="J1610" s="8" t="s">
        <v>5298</v>
      </c>
    </row>
    <row r="1611">
      <c r="A1611" s="7">
        <v>2.0025884E7</v>
      </c>
      <c r="B1611" s="8" t="s">
        <v>5222</v>
      </c>
      <c r="C1611" s="8" t="s">
        <v>5296</v>
      </c>
      <c r="D1611" s="8" t="s">
        <v>16</v>
      </c>
      <c r="E1611" s="8" t="s">
        <v>17</v>
      </c>
      <c r="F1611" s="9">
        <v>46033.0</v>
      </c>
      <c r="G1611" s="8" t="s">
        <v>1297</v>
      </c>
      <c r="H1611" s="8" t="s">
        <v>827</v>
      </c>
      <c r="I1611" s="8" t="s">
        <v>5299</v>
      </c>
      <c r="J1611" s="8" t="s">
        <v>5300</v>
      </c>
    </row>
    <row r="1612">
      <c r="A1612" s="7">
        <v>2.0041256E7</v>
      </c>
      <c r="B1612" s="8" t="s">
        <v>5301</v>
      </c>
      <c r="C1612" s="8" t="s">
        <v>5302</v>
      </c>
      <c r="D1612" s="8" t="s">
        <v>16</v>
      </c>
      <c r="E1612" s="8" t="s">
        <v>17</v>
      </c>
      <c r="F1612" s="9">
        <v>46064.0</v>
      </c>
      <c r="G1612" s="8" t="s">
        <v>195</v>
      </c>
      <c r="H1612" s="8" t="s">
        <v>196</v>
      </c>
      <c r="I1612" s="8" t="s">
        <v>5303</v>
      </c>
      <c r="J1612" s="8" t="s">
        <v>5304</v>
      </c>
    </row>
    <row r="1613">
      <c r="A1613" s="7">
        <v>2.0011815E7</v>
      </c>
      <c r="B1613" s="8" t="s">
        <v>5301</v>
      </c>
      <c r="C1613" s="8" t="s">
        <v>5305</v>
      </c>
      <c r="D1613" s="8" t="s">
        <v>16</v>
      </c>
      <c r="E1613" s="8" t="s">
        <v>48</v>
      </c>
      <c r="F1613" s="9">
        <v>46066.0</v>
      </c>
      <c r="G1613" s="8" t="s">
        <v>5306</v>
      </c>
      <c r="H1613" s="8" t="s">
        <v>5307</v>
      </c>
      <c r="I1613" s="8" t="s">
        <v>5308</v>
      </c>
      <c r="J1613" s="8" t="s">
        <v>5309</v>
      </c>
    </row>
    <row r="1614">
      <c r="A1614" s="7">
        <v>2.003753E7</v>
      </c>
      <c r="B1614" s="8" t="s">
        <v>5301</v>
      </c>
      <c r="C1614" s="8" t="s">
        <v>5310</v>
      </c>
      <c r="D1614" s="8" t="s">
        <v>16</v>
      </c>
      <c r="E1614" s="8" t="s">
        <v>17</v>
      </c>
      <c r="F1614" s="9">
        <v>46061.0</v>
      </c>
      <c r="G1614" s="8" t="s">
        <v>1813</v>
      </c>
      <c r="H1614" s="8" t="s">
        <v>1814</v>
      </c>
      <c r="I1614" s="8" t="s">
        <v>5311</v>
      </c>
      <c r="J1614" s="8" t="s">
        <v>5312</v>
      </c>
    </row>
    <row r="1615">
      <c r="A1615" s="7">
        <v>2.0036333E7</v>
      </c>
      <c r="B1615" s="8" t="s">
        <v>5301</v>
      </c>
      <c r="C1615" s="8" t="s">
        <v>5313</v>
      </c>
      <c r="D1615" s="8" t="s">
        <v>16</v>
      </c>
      <c r="E1615" s="8" t="s">
        <v>17</v>
      </c>
      <c r="F1615" s="9">
        <v>46051.0</v>
      </c>
      <c r="G1615" s="8" t="s">
        <v>282</v>
      </c>
      <c r="H1615" s="8" t="s">
        <v>71</v>
      </c>
      <c r="I1615" s="8" t="s">
        <v>5314</v>
      </c>
      <c r="J1615" s="8" t="s">
        <v>5315</v>
      </c>
    </row>
    <row r="1616">
      <c r="A1616" s="7">
        <v>2.0033885E7</v>
      </c>
      <c r="B1616" s="8" t="s">
        <v>5301</v>
      </c>
      <c r="C1616" s="8" t="s">
        <v>5316</v>
      </c>
      <c r="D1616" s="8" t="s">
        <v>16</v>
      </c>
      <c r="E1616" s="8" t="s">
        <v>17</v>
      </c>
      <c r="F1616" s="9">
        <v>46051.0</v>
      </c>
      <c r="G1616" s="8" t="s">
        <v>5317</v>
      </c>
      <c r="H1616" s="8" t="s">
        <v>5318</v>
      </c>
      <c r="I1616" s="8" t="s">
        <v>5319</v>
      </c>
      <c r="J1616" s="8" t="s">
        <v>5320</v>
      </c>
    </row>
    <row r="1617">
      <c r="A1617" s="7">
        <v>2.0027224E7</v>
      </c>
      <c r="B1617" s="8" t="s">
        <v>5301</v>
      </c>
      <c r="C1617" s="8" t="s">
        <v>5321</v>
      </c>
      <c r="D1617" s="8" t="s">
        <v>16</v>
      </c>
      <c r="E1617" s="8" t="s">
        <v>17</v>
      </c>
      <c r="F1617" s="9">
        <v>46038.0</v>
      </c>
      <c r="G1617" s="8" t="s">
        <v>282</v>
      </c>
      <c r="H1617" s="8" t="s">
        <v>71</v>
      </c>
      <c r="I1617" s="8" t="s">
        <v>5322</v>
      </c>
      <c r="J1617" s="8" t="s">
        <v>5323</v>
      </c>
    </row>
    <row r="1618">
      <c r="A1618" s="7">
        <v>2.0031206E7</v>
      </c>
      <c r="B1618" s="8" t="s">
        <v>5301</v>
      </c>
      <c r="C1618" s="8" t="s">
        <v>5324</v>
      </c>
      <c r="D1618" s="8" t="s">
        <v>16</v>
      </c>
      <c r="E1618" s="8" t="s">
        <v>17</v>
      </c>
      <c r="F1618" s="9">
        <v>46050.0</v>
      </c>
      <c r="G1618" s="8" t="s">
        <v>158</v>
      </c>
      <c r="H1618" s="8" t="s">
        <v>159</v>
      </c>
      <c r="I1618" s="8" t="s">
        <v>5325</v>
      </c>
      <c r="J1618" s="8" t="s">
        <v>5326</v>
      </c>
    </row>
    <row r="1619">
      <c r="A1619" s="7">
        <v>2.0033342E7</v>
      </c>
      <c r="B1619" s="8" t="s">
        <v>5301</v>
      </c>
      <c r="C1619" s="8" t="s">
        <v>5327</v>
      </c>
      <c r="D1619" s="8" t="s">
        <v>16</v>
      </c>
      <c r="E1619" s="8" t="s">
        <v>17</v>
      </c>
      <c r="F1619" s="9">
        <v>46050.0</v>
      </c>
      <c r="G1619" s="8" t="s">
        <v>361</v>
      </c>
      <c r="H1619" s="8" t="s">
        <v>362</v>
      </c>
      <c r="I1619" s="8" t="s">
        <v>5328</v>
      </c>
      <c r="J1619" s="8" t="s">
        <v>5329</v>
      </c>
    </row>
    <row r="1620">
      <c r="A1620" s="7">
        <v>2.0033058E7</v>
      </c>
      <c r="B1620" s="8" t="s">
        <v>5301</v>
      </c>
      <c r="C1620" s="8" t="s">
        <v>5330</v>
      </c>
      <c r="D1620" s="8" t="s">
        <v>16</v>
      </c>
      <c r="E1620" s="8" t="s">
        <v>17</v>
      </c>
      <c r="F1620" s="9">
        <v>46041.0</v>
      </c>
      <c r="G1620" s="8" t="s">
        <v>908</v>
      </c>
      <c r="H1620" s="8" t="s">
        <v>909</v>
      </c>
      <c r="I1620" s="8" t="s">
        <v>5331</v>
      </c>
      <c r="J1620" s="8" t="s">
        <v>5332</v>
      </c>
    </row>
    <row r="1621">
      <c r="A1621" s="7">
        <v>2.0032952E7</v>
      </c>
      <c r="B1621" s="8" t="s">
        <v>5301</v>
      </c>
      <c r="C1621" s="8" t="s">
        <v>5333</v>
      </c>
      <c r="D1621" s="8" t="s">
        <v>16</v>
      </c>
      <c r="E1621" s="8" t="s">
        <v>17</v>
      </c>
      <c r="F1621" s="9">
        <v>46030.0</v>
      </c>
      <c r="G1621" s="8" t="s">
        <v>2294</v>
      </c>
      <c r="H1621" s="8" t="s">
        <v>2295</v>
      </c>
      <c r="I1621" s="8" t="s">
        <v>5334</v>
      </c>
      <c r="J1621" s="8" t="s">
        <v>5335</v>
      </c>
    </row>
    <row r="1622">
      <c r="A1622" s="7">
        <v>2.0032968E7</v>
      </c>
      <c r="B1622" s="8" t="s">
        <v>5301</v>
      </c>
      <c r="C1622" s="8" t="s">
        <v>5336</v>
      </c>
      <c r="D1622" s="8" t="s">
        <v>16</v>
      </c>
      <c r="E1622" s="8" t="s">
        <v>17</v>
      </c>
      <c r="F1622" s="9">
        <v>46034.0</v>
      </c>
      <c r="G1622" s="8" t="s">
        <v>91</v>
      </c>
      <c r="H1622" s="8" t="s">
        <v>92</v>
      </c>
      <c r="I1622" s="8" t="s">
        <v>5337</v>
      </c>
      <c r="J1622" s="8" t="s">
        <v>5338</v>
      </c>
    </row>
    <row r="1623">
      <c r="A1623" s="7">
        <v>2.0032968E7</v>
      </c>
      <c r="B1623" s="8" t="s">
        <v>5301</v>
      </c>
      <c r="C1623" s="8" t="s">
        <v>5336</v>
      </c>
      <c r="D1623" s="8" t="s">
        <v>16</v>
      </c>
      <c r="E1623" s="8" t="s">
        <v>17</v>
      </c>
      <c r="F1623" s="9">
        <v>46034.0</v>
      </c>
      <c r="G1623" s="8" t="s">
        <v>846</v>
      </c>
      <c r="H1623" s="8" t="s">
        <v>847</v>
      </c>
      <c r="I1623" s="8" t="s">
        <v>5339</v>
      </c>
      <c r="J1623" s="8" t="s">
        <v>5340</v>
      </c>
    </row>
    <row r="1624">
      <c r="A1624" s="7">
        <v>2.0032347E7</v>
      </c>
      <c r="B1624" s="8" t="s">
        <v>5301</v>
      </c>
      <c r="C1624" s="8" t="s">
        <v>5341</v>
      </c>
      <c r="D1624" s="8" t="s">
        <v>16</v>
      </c>
      <c r="E1624" s="8" t="s">
        <v>17</v>
      </c>
      <c r="F1624" s="9">
        <v>46031.0</v>
      </c>
      <c r="G1624" s="8" t="s">
        <v>59</v>
      </c>
      <c r="H1624" s="8" t="s">
        <v>60</v>
      </c>
      <c r="I1624" s="8" t="s">
        <v>5342</v>
      </c>
      <c r="J1624" s="8" t="s">
        <v>5343</v>
      </c>
    </row>
    <row r="1625">
      <c r="A1625" s="7">
        <v>2.0032639E7</v>
      </c>
      <c r="B1625" s="8" t="s">
        <v>5301</v>
      </c>
      <c r="C1625" s="8" t="s">
        <v>5344</v>
      </c>
      <c r="D1625" s="8" t="s">
        <v>16</v>
      </c>
      <c r="E1625" s="8" t="s">
        <v>17</v>
      </c>
      <c r="F1625" s="9">
        <v>46036.0</v>
      </c>
      <c r="G1625" s="8" t="s">
        <v>49</v>
      </c>
      <c r="H1625" s="8" t="s">
        <v>50</v>
      </c>
      <c r="I1625" s="8" t="s">
        <v>5345</v>
      </c>
      <c r="J1625" s="8" t="s">
        <v>5346</v>
      </c>
    </row>
    <row r="1626">
      <c r="A1626" s="7">
        <v>2.0032586E7</v>
      </c>
      <c r="B1626" s="8" t="s">
        <v>5301</v>
      </c>
      <c r="C1626" s="8" t="s">
        <v>5347</v>
      </c>
      <c r="D1626" s="8" t="s">
        <v>16</v>
      </c>
      <c r="E1626" s="8" t="s">
        <v>17</v>
      </c>
      <c r="F1626" s="9">
        <v>46042.0</v>
      </c>
      <c r="G1626" s="8" t="s">
        <v>2052</v>
      </c>
      <c r="H1626" s="8" t="s">
        <v>2053</v>
      </c>
      <c r="I1626" s="8" t="s">
        <v>5348</v>
      </c>
      <c r="J1626" s="8" t="s">
        <v>5349</v>
      </c>
    </row>
    <row r="1627">
      <c r="A1627" s="7">
        <v>2.0032561E7</v>
      </c>
      <c r="B1627" s="8" t="s">
        <v>5301</v>
      </c>
      <c r="C1627" s="8" t="s">
        <v>5350</v>
      </c>
      <c r="D1627" s="8" t="s">
        <v>16</v>
      </c>
      <c r="E1627" s="8" t="s">
        <v>17</v>
      </c>
      <c r="F1627" s="9">
        <v>46028.0</v>
      </c>
      <c r="G1627" s="8" t="s">
        <v>339</v>
      </c>
      <c r="H1627" s="8" t="s">
        <v>340</v>
      </c>
      <c r="I1627" s="8" t="s">
        <v>5351</v>
      </c>
      <c r="J1627" s="8" t="s">
        <v>5352</v>
      </c>
    </row>
    <row r="1628">
      <c r="A1628" s="7">
        <v>2.0028735E7</v>
      </c>
      <c r="B1628" s="8" t="s">
        <v>5301</v>
      </c>
      <c r="C1628" s="8" t="s">
        <v>5353</v>
      </c>
      <c r="D1628" s="8" t="s">
        <v>16</v>
      </c>
      <c r="E1628" s="8" t="s">
        <v>17</v>
      </c>
      <c r="F1628" s="9">
        <v>46035.0</v>
      </c>
      <c r="G1628" s="8" t="s">
        <v>846</v>
      </c>
      <c r="H1628" s="8" t="s">
        <v>847</v>
      </c>
      <c r="I1628" s="8" t="s">
        <v>5354</v>
      </c>
      <c r="J1628" s="8" t="s">
        <v>5355</v>
      </c>
    </row>
    <row r="1629">
      <c r="A1629" s="7">
        <v>2.0031522E7</v>
      </c>
      <c r="B1629" s="8" t="s">
        <v>5301</v>
      </c>
      <c r="C1629" s="8" t="s">
        <v>5356</v>
      </c>
      <c r="D1629" s="8" t="s">
        <v>16</v>
      </c>
      <c r="E1629" s="8" t="s">
        <v>17</v>
      </c>
      <c r="F1629" s="9">
        <v>46032.0</v>
      </c>
      <c r="G1629" s="8" t="s">
        <v>91</v>
      </c>
      <c r="H1629" s="8" t="s">
        <v>92</v>
      </c>
      <c r="I1629" s="8" t="s">
        <v>5357</v>
      </c>
      <c r="J1629" s="8" t="s">
        <v>5358</v>
      </c>
    </row>
    <row r="1630">
      <c r="A1630" s="7">
        <v>2.0031522E7</v>
      </c>
      <c r="B1630" s="8" t="s">
        <v>5301</v>
      </c>
      <c r="C1630" s="8" t="s">
        <v>5356</v>
      </c>
      <c r="D1630" s="8" t="s">
        <v>16</v>
      </c>
      <c r="E1630" s="8" t="s">
        <v>17</v>
      </c>
      <c r="F1630" s="9">
        <v>46032.0</v>
      </c>
      <c r="G1630" s="8" t="s">
        <v>846</v>
      </c>
      <c r="H1630" s="8" t="s">
        <v>847</v>
      </c>
      <c r="I1630" s="8" t="s">
        <v>5359</v>
      </c>
      <c r="J1630" s="8" t="s">
        <v>5360</v>
      </c>
    </row>
    <row r="1631">
      <c r="A1631" s="7">
        <v>2.003176E7</v>
      </c>
      <c r="B1631" s="8" t="s">
        <v>5301</v>
      </c>
      <c r="C1631" s="8" t="s">
        <v>5361</v>
      </c>
      <c r="D1631" s="8" t="s">
        <v>16</v>
      </c>
      <c r="E1631" s="8" t="s">
        <v>17</v>
      </c>
      <c r="F1631" s="9">
        <v>46028.0</v>
      </c>
      <c r="G1631" s="8" t="s">
        <v>882</v>
      </c>
      <c r="H1631" s="8" t="s">
        <v>883</v>
      </c>
      <c r="I1631" s="8" t="s">
        <v>5362</v>
      </c>
      <c r="J1631" s="8" t="s">
        <v>5363</v>
      </c>
    </row>
    <row r="1632">
      <c r="A1632" s="7">
        <v>2.0031398E7</v>
      </c>
      <c r="B1632" s="8" t="s">
        <v>5301</v>
      </c>
      <c r="C1632" s="8" t="s">
        <v>5364</v>
      </c>
      <c r="D1632" s="8" t="s">
        <v>16</v>
      </c>
      <c r="E1632" s="8" t="s">
        <v>17</v>
      </c>
      <c r="F1632" s="9">
        <v>46029.0</v>
      </c>
      <c r="G1632" s="8" t="s">
        <v>4616</v>
      </c>
      <c r="H1632" s="8" t="s">
        <v>5365</v>
      </c>
      <c r="I1632" s="8" t="s">
        <v>5366</v>
      </c>
      <c r="J1632" s="8" t="s">
        <v>5367</v>
      </c>
    </row>
    <row r="1633">
      <c r="A1633" s="7">
        <v>2.0031886E7</v>
      </c>
      <c r="B1633" s="8" t="s">
        <v>5301</v>
      </c>
      <c r="C1633" s="8" t="s">
        <v>5368</v>
      </c>
      <c r="D1633" s="8" t="s">
        <v>16</v>
      </c>
      <c r="E1633" s="8" t="s">
        <v>17</v>
      </c>
      <c r="F1633" s="9">
        <v>46026.0</v>
      </c>
      <c r="G1633" s="8" t="s">
        <v>846</v>
      </c>
      <c r="H1633" s="8" t="s">
        <v>847</v>
      </c>
      <c r="I1633" s="8" t="s">
        <v>5369</v>
      </c>
      <c r="J1633" s="8" t="s">
        <v>5370</v>
      </c>
    </row>
    <row r="1634">
      <c r="A1634" s="7">
        <v>2.0031331E7</v>
      </c>
      <c r="B1634" s="8" t="s">
        <v>5301</v>
      </c>
      <c r="C1634" s="8" t="s">
        <v>5371</v>
      </c>
      <c r="D1634" s="8" t="s">
        <v>16</v>
      </c>
      <c r="E1634" s="8" t="s">
        <v>17</v>
      </c>
      <c r="F1634" s="9">
        <v>46030.0</v>
      </c>
      <c r="G1634" s="8" t="s">
        <v>91</v>
      </c>
      <c r="H1634" s="8" t="s">
        <v>92</v>
      </c>
      <c r="I1634" s="8" t="s">
        <v>5372</v>
      </c>
      <c r="J1634" s="8" t="s">
        <v>5373</v>
      </c>
    </row>
    <row r="1635">
      <c r="A1635" s="7">
        <v>2.0031269E7</v>
      </c>
      <c r="B1635" s="8" t="s">
        <v>5301</v>
      </c>
      <c r="C1635" s="8" t="s">
        <v>5374</v>
      </c>
      <c r="D1635" s="8" t="s">
        <v>16</v>
      </c>
      <c r="E1635" s="8" t="s">
        <v>17</v>
      </c>
      <c r="F1635" s="9">
        <v>46043.0</v>
      </c>
      <c r="G1635" s="8" t="s">
        <v>1936</v>
      </c>
      <c r="H1635" s="8" t="s">
        <v>1937</v>
      </c>
      <c r="I1635" s="8" t="s">
        <v>5375</v>
      </c>
      <c r="J1635" s="8" t="s">
        <v>5376</v>
      </c>
    </row>
    <row r="1636">
      <c r="A1636" s="7">
        <v>2.0030685E7</v>
      </c>
      <c r="B1636" s="8" t="s">
        <v>5301</v>
      </c>
      <c r="C1636" s="8" t="s">
        <v>5377</v>
      </c>
      <c r="D1636" s="8" t="s">
        <v>16</v>
      </c>
      <c r="E1636" s="8" t="s">
        <v>17</v>
      </c>
      <c r="F1636" s="9">
        <v>46029.0</v>
      </c>
      <c r="G1636" s="8" t="s">
        <v>5030</v>
      </c>
      <c r="H1636" s="8" t="s">
        <v>44</v>
      </c>
      <c r="I1636" s="8" t="s">
        <v>5378</v>
      </c>
      <c r="J1636" s="8" t="s">
        <v>5379</v>
      </c>
    </row>
    <row r="1637">
      <c r="A1637" s="7">
        <v>2.0031196E7</v>
      </c>
      <c r="B1637" s="8" t="s">
        <v>5301</v>
      </c>
      <c r="C1637" s="8" t="s">
        <v>5380</v>
      </c>
      <c r="D1637" s="8" t="s">
        <v>16</v>
      </c>
      <c r="E1637" s="8" t="s">
        <v>17</v>
      </c>
      <c r="F1637" s="9">
        <v>46033.0</v>
      </c>
      <c r="G1637" s="8" t="s">
        <v>630</v>
      </c>
      <c r="H1637" s="8" t="s">
        <v>631</v>
      </c>
      <c r="I1637" s="8" t="s">
        <v>5381</v>
      </c>
      <c r="J1637" s="8" t="s">
        <v>5382</v>
      </c>
    </row>
    <row r="1638">
      <c r="A1638" s="7">
        <v>2.0028086E7</v>
      </c>
      <c r="B1638" s="8" t="s">
        <v>5301</v>
      </c>
      <c r="C1638" s="8" t="s">
        <v>5383</v>
      </c>
      <c r="D1638" s="8" t="s">
        <v>16</v>
      </c>
      <c r="E1638" s="8" t="s">
        <v>48</v>
      </c>
      <c r="F1638" s="9">
        <v>46048.0</v>
      </c>
      <c r="G1638" s="8" t="s">
        <v>3894</v>
      </c>
      <c r="H1638" s="8" t="s">
        <v>3895</v>
      </c>
      <c r="I1638" s="8" t="s">
        <v>5384</v>
      </c>
      <c r="J1638" s="8"/>
    </row>
    <row r="1639">
      <c r="A1639" s="7">
        <v>2.0024468E7</v>
      </c>
      <c r="B1639" s="8" t="s">
        <v>5301</v>
      </c>
      <c r="C1639" s="8" t="s">
        <v>5385</v>
      </c>
      <c r="D1639" s="8" t="s">
        <v>16</v>
      </c>
      <c r="E1639" s="8" t="s">
        <v>17</v>
      </c>
      <c r="F1639" s="9">
        <v>46048.0</v>
      </c>
      <c r="G1639" s="8" t="s">
        <v>64</v>
      </c>
      <c r="H1639" s="8" t="s">
        <v>65</v>
      </c>
      <c r="I1639" s="8" t="s">
        <v>5386</v>
      </c>
      <c r="J1639" s="8"/>
    </row>
    <row r="1640">
      <c r="A1640" s="7">
        <v>2.0030658E7</v>
      </c>
      <c r="B1640" s="8" t="s">
        <v>5301</v>
      </c>
      <c r="C1640" s="8" t="s">
        <v>5387</v>
      </c>
      <c r="D1640" s="8" t="s">
        <v>16</v>
      </c>
      <c r="E1640" s="8" t="s">
        <v>17</v>
      </c>
      <c r="F1640" s="9">
        <v>46046.0</v>
      </c>
      <c r="G1640" s="8" t="s">
        <v>361</v>
      </c>
      <c r="H1640" s="8" t="s">
        <v>362</v>
      </c>
      <c r="I1640" s="8" t="s">
        <v>5388</v>
      </c>
      <c r="J1640" s="8" t="s">
        <v>5389</v>
      </c>
    </row>
    <row r="1641">
      <c r="A1641" s="7">
        <v>2.0030546E7</v>
      </c>
      <c r="B1641" s="8" t="s">
        <v>5301</v>
      </c>
      <c r="C1641" s="8" t="s">
        <v>5390</v>
      </c>
      <c r="D1641" s="8" t="s">
        <v>16</v>
      </c>
      <c r="E1641" s="8" t="s">
        <v>17</v>
      </c>
      <c r="F1641" s="9">
        <v>46026.0</v>
      </c>
      <c r="G1641" s="8" t="s">
        <v>517</v>
      </c>
      <c r="H1641" s="8" t="s">
        <v>518</v>
      </c>
      <c r="I1641" s="8" t="s">
        <v>5391</v>
      </c>
      <c r="J1641" s="8" t="s">
        <v>5392</v>
      </c>
    </row>
    <row r="1642">
      <c r="A1642" s="7">
        <v>2.0029503E7</v>
      </c>
      <c r="B1642" s="8" t="s">
        <v>5301</v>
      </c>
      <c r="C1642" s="8" t="s">
        <v>5393</v>
      </c>
      <c r="D1642" s="8" t="s">
        <v>16</v>
      </c>
      <c r="E1642" s="8" t="s">
        <v>17</v>
      </c>
      <c r="F1642" s="9">
        <v>46026.0</v>
      </c>
      <c r="G1642" s="8" t="s">
        <v>3172</v>
      </c>
      <c r="H1642" s="8" t="s">
        <v>120</v>
      </c>
      <c r="I1642" s="8" t="s">
        <v>5394</v>
      </c>
      <c r="J1642" s="8" t="s">
        <v>5395</v>
      </c>
    </row>
    <row r="1643">
      <c r="A1643" s="7">
        <v>2.0026707E7</v>
      </c>
      <c r="B1643" s="8" t="s">
        <v>5301</v>
      </c>
      <c r="C1643" s="8" t="s">
        <v>5396</v>
      </c>
      <c r="D1643" s="8" t="s">
        <v>16</v>
      </c>
      <c r="E1643" s="8" t="s">
        <v>17</v>
      </c>
      <c r="F1643" s="9">
        <v>46044.0</v>
      </c>
      <c r="G1643" s="8" t="s">
        <v>1638</v>
      </c>
      <c r="H1643" s="8" t="s">
        <v>1639</v>
      </c>
      <c r="I1643" s="8" t="s">
        <v>5397</v>
      </c>
      <c r="J1643" s="8" t="s">
        <v>5398</v>
      </c>
    </row>
    <row r="1644">
      <c r="A1644" s="7">
        <v>2.0028828E7</v>
      </c>
      <c r="B1644" s="8" t="s">
        <v>5301</v>
      </c>
      <c r="C1644" s="8" t="s">
        <v>5399</v>
      </c>
      <c r="D1644" s="8" t="s">
        <v>16</v>
      </c>
      <c r="E1644" s="8" t="s">
        <v>48</v>
      </c>
      <c r="F1644" s="9">
        <v>46041.0</v>
      </c>
      <c r="G1644" s="8" t="s">
        <v>3997</v>
      </c>
      <c r="H1644" s="8" t="s">
        <v>3998</v>
      </c>
      <c r="I1644" s="8" t="s">
        <v>5400</v>
      </c>
      <c r="J1644" s="8" t="s">
        <v>5401</v>
      </c>
    </row>
    <row r="1645">
      <c r="A1645" s="7">
        <v>2.0027575E7</v>
      </c>
      <c r="B1645" s="8" t="s">
        <v>5301</v>
      </c>
      <c r="C1645" s="8" t="s">
        <v>5402</v>
      </c>
      <c r="D1645" s="8" t="s">
        <v>16</v>
      </c>
      <c r="E1645" s="8" t="s">
        <v>17</v>
      </c>
      <c r="F1645" s="9">
        <v>46037.0</v>
      </c>
      <c r="G1645" s="8" t="s">
        <v>171</v>
      </c>
      <c r="H1645" s="8" t="s">
        <v>172</v>
      </c>
      <c r="I1645" s="8" t="s">
        <v>5403</v>
      </c>
      <c r="J1645" s="8" t="s">
        <v>5404</v>
      </c>
    </row>
    <row r="1646">
      <c r="A1646" s="7">
        <v>2.0026692E7</v>
      </c>
      <c r="B1646" s="8" t="s">
        <v>5301</v>
      </c>
      <c r="C1646" s="8" t="s">
        <v>5405</v>
      </c>
      <c r="D1646" s="8" t="s">
        <v>16</v>
      </c>
      <c r="E1646" s="8" t="s">
        <v>700</v>
      </c>
      <c r="F1646" s="9">
        <v>46025.0</v>
      </c>
      <c r="G1646" s="8" t="s">
        <v>423</v>
      </c>
      <c r="H1646" s="8" t="s">
        <v>424</v>
      </c>
      <c r="I1646" s="8" t="s">
        <v>5406</v>
      </c>
      <c r="J1646" s="8" t="s">
        <v>5407</v>
      </c>
    </row>
    <row r="1647">
      <c r="A1647" s="7">
        <v>2.0025071E7</v>
      </c>
      <c r="B1647" s="8" t="s">
        <v>5301</v>
      </c>
      <c r="C1647" s="8" t="s">
        <v>5408</v>
      </c>
      <c r="D1647" s="8" t="s">
        <v>16</v>
      </c>
      <c r="E1647" s="8" t="s">
        <v>17</v>
      </c>
      <c r="F1647" s="9">
        <v>46024.0</v>
      </c>
      <c r="G1647" s="8" t="s">
        <v>882</v>
      </c>
      <c r="H1647" s="8" t="s">
        <v>883</v>
      </c>
      <c r="I1647" s="8" t="s">
        <v>5409</v>
      </c>
      <c r="J1647" s="8" t="s">
        <v>5410</v>
      </c>
    </row>
    <row r="1648">
      <c r="A1648" s="7">
        <v>2.0025897E7</v>
      </c>
      <c r="B1648" s="8" t="s">
        <v>5301</v>
      </c>
      <c r="C1648" s="8" t="s">
        <v>5411</v>
      </c>
      <c r="D1648" s="8" t="s">
        <v>16</v>
      </c>
      <c r="E1648" s="8" t="s">
        <v>17</v>
      </c>
      <c r="F1648" s="9">
        <v>46038.0</v>
      </c>
      <c r="G1648" s="8" t="s">
        <v>601</v>
      </c>
      <c r="H1648" s="8" t="s">
        <v>602</v>
      </c>
      <c r="I1648" s="8" t="s">
        <v>5412</v>
      </c>
      <c r="J1648" s="8" t="s">
        <v>5413</v>
      </c>
    </row>
    <row r="1649">
      <c r="A1649" s="7">
        <v>2.0026525E7</v>
      </c>
      <c r="B1649" s="8" t="s">
        <v>5301</v>
      </c>
      <c r="C1649" s="8" t="s">
        <v>5414</v>
      </c>
      <c r="D1649" s="8" t="s">
        <v>16</v>
      </c>
      <c r="E1649" s="8" t="s">
        <v>48</v>
      </c>
      <c r="F1649" s="9">
        <v>46025.0</v>
      </c>
      <c r="G1649" s="8" t="s">
        <v>3260</v>
      </c>
      <c r="H1649" s="8" t="s">
        <v>3261</v>
      </c>
      <c r="I1649" s="8" t="s">
        <v>5415</v>
      </c>
      <c r="J1649" s="8" t="s">
        <v>5416</v>
      </c>
    </row>
    <row r="1650">
      <c r="A1650" s="7">
        <v>2.0069315E7</v>
      </c>
      <c r="B1650" s="8" t="s">
        <v>5417</v>
      </c>
      <c r="C1650" s="8" t="s">
        <v>5418</v>
      </c>
      <c r="D1650" s="8" t="s">
        <v>16</v>
      </c>
      <c r="E1650" s="8" t="s">
        <v>48</v>
      </c>
      <c r="F1650" s="9">
        <v>46186.0</v>
      </c>
      <c r="G1650" s="8" t="s">
        <v>630</v>
      </c>
      <c r="H1650" s="8" t="s">
        <v>631</v>
      </c>
      <c r="I1650" s="8" t="s">
        <v>5419</v>
      </c>
      <c r="J1650" s="8" t="s">
        <v>5420</v>
      </c>
    </row>
    <row r="1651">
      <c r="A1651" s="7">
        <v>2.0062147E7</v>
      </c>
      <c r="B1651" s="8" t="s">
        <v>5417</v>
      </c>
      <c r="C1651" s="8" t="s">
        <v>5421</v>
      </c>
      <c r="D1651" s="8" t="s">
        <v>16</v>
      </c>
      <c r="E1651" s="8" t="s">
        <v>17</v>
      </c>
      <c r="F1651" s="9">
        <v>46150.0</v>
      </c>
      <c r="G1651" s="8" t="s">
        <v>91</v>
      </c>
      <c r="H1651" s="8" t="s">
        <v>92</v>
      </c>
      <c r="I1651" s="8" t="s">
        <v>5422</v>
      </c>
      <c r="J1651" s="8" t="s">
        <v>5423</v>
      </c>
    </row>
    <row r="1652">
      <c r="A1652" s="7">
        <v>2.0055668E7</v>
      </c>
      <c r="B1652" s="8" t="s">
        <v>5417</v>
      </c>
      <c r="C1652" s="8" t="s">
        <v>5424</v>
      </c>
      <c r="D1652" s="8" t="s">
        <v>16</v>
      </c>
      <c r="E1652" s="8" t="s">
        <v>17</v>
      </c>
      <c r="F1652" s="9">
        <v>46177.0</v>
      </c>
      <c r="G1652" s="8" t="s">
        <v>5425</v>
      </c>
      <c r="H1652" s="8" t="s">
        <v>5426</v>
      </c>
      <c r="I1652" s="8" t="s">
        <v>5427</v>
      </c>
      <c r="J1652" s="8" t="s">
        <v>5428</v>
      </c>
    </row>
    <row r="1653">
      <c r="A1653" s="7">
        <v>2.0055668E7</v>
      </c>
      <c r="B1653" s="8" t="s">
        <v>5417</v>
      </c>
      <c r="C1653" s="8" t="s">
        <v>5424</v>
      </c>
      <c r="D1653" s="8" t="s">
        <v>16</v>
      </c>
      <c r="E1653" s="8" t="s">
        <v>17</v>
      </c>
      <c r="F1653" s="9">
        <v>46177.0</v>
      </c>
      <c r="G1653" s="8" t="s">
        <v>5425</v>
      </c>
      <c r="H1653" s="8" t="s">
        <v>5426</v>
      </c>
      <c r="I1653" s="8" t="s">
        <v>5429</v>
      </c>
      <c r="J1653" s="8" t="s">
        <v>5428</v>
      </c>
    </row>
    <row r="1654">
      <c r="A1654" s="7">
        <v>2.0055668E7</v>
      </c>
      <c r="B1654" s="8" t="s">
        <v>5417</v>
      </c>
      <c r="C1654" s="8" t="s">
        <v>5424</v>
      </c>
      <c r="D1654" s="8" t="s">
        <v>16</v>
      </c>
      <c r="E1654" s="8" t="s">
        <v>17</v>
      </c>
      <c r="F1654" s="9">
        <v>46177.0</v>
      </c>
      <c r="G1654" s="8" t="s">
        <v>5425</v>
      </c>
      <c r="H1654" s="8" t="s">
        <v>5426</v>
      </c>
      <c r="I1654" s="8" t="s">
        <v>5430</v>
      </c>
      <c r="J1654" s="8" t="s">
        <v>5429</v>
      </c>
    </row>
    <row r="1655">
      <c r="A1655" s="7">
        <v>2.0055668E7</v>
      </c>
      <c r="B1655" s="8" t="s">
        <v>5417</v>
      </c>
      <c r="C1655" s="8" t="s">
        <v>5424</v>
      </c>
      <c r="D1655" s="8" t="s">
        <v>16</v>
      </c>
      <c r="E1655" s="8" t="s">
        <v>17</v>
      </c>
      <c r="F1655" s="9">
        <v>46177.0</v>
      </c>
      <c r="G1655" s="8" t="s">
        <v>5431</v>
      </c>
      <c r="H1655" s="8" t="s">
        <v>5432</v>
      </c>
      <c r="I1655" s="8" t="s">
        <v>5433</v>
      </c>
      <c r="J1655" s="8" t="s">
        <v>5434</v>
      </c>
    </row>
    <row r="1656">
      <c r="A1656" s="7">
        <v>2.0054376E7</v>
      </c>
      <c r="B1656" s="8" t="s">
        <v>5417</v>
      </c>
      <c r="C1656" s="8" t="s">
        <v>5435</v>
      </c>
      <c r="D1656" s="8" t="s">
        <v>16</v>
      </c>
      <c r="E1656" s="8" t="s">
        <v>17</v>
      </c>
      <c r="F1656" s="9">
        <v>46118.0</v>
      </c>
      <c r="G1656" s="8" t="s">
        <v>59</v>
      </c>
      <c r="H1656" s="8" t="s">
        <v>60</v>
      </c>
      <c r="I1656" s="8" t="s">
        <v>5436</v>
      </c>
      <c r="J1656" s="8" t="s">
        <v>5437</v>
      </c>
    </row>
    <row r="1657">
      <c r="A1657" s="7">
        <v>2.0047854E7</v>
      </c>
      <c r="B1657" s="8" t="s">
        <v>5417</v>
      </c>
      <c r="C1657" s="8" t="s">
        <v>5438</v>
      </c>
      <c r="D1657" s="8" t="s">
        <v>16</v>
      </c>
      <c r="E1657" s="8" t="s">
        <v>17</v>
      </c>
      <c r="F1657" s="9">
        <v>46109.0</v>
      </c>
      <c r="G1657" s="8" t="s">
        <v>5439</v>
      </c>
      <c r="H1657" s="8" t="s">
        <v>5440</v>
      </c>
      <c r="I1657" s="8" t="s">
        <v>5441</v>
      </c>
      <c r="J1657" s="8" t="s">
        <v>5442</v>
      </c>
    </row>
    <row r="1658">
      <c r="A1658" s="7">
        <v>2.0043465E7</v>
      </c>
      <c r="B1658" s="8" t="s">
        <v>5417</v>
      </c>
      <c r="C1658" s="8" t="s">
        <v>5443</v>
      </c>
      <c r="D1658" s="8" t="s">
        <v>16</v>
      </c>
      <c r="E1658" s="8" t="s">
        <v>17</v>
      </c>
      <c r="F1658" s="9">
        <v>46088.0</v>
      </c>
      <c r="G1658" s="8" t="s">
        <v>630</v>
      </c>
      <c r="H1658" s="8" t="s">
        <v>631</v>
      </c>
      <c r="I1658" s="8" t="s">
        <v>5444</v>
      </c>
      <c r="J1658" s="8" t="s">
        <v>5445</v>
      </c>
    </row>
    <row r="1659">
      <c r="A1659" s="7">
        <v>2.0041578E7</v>
      </c>
      <c r="B1659" s="8" t="s">
        <v>5417</v>
      </c>
      <c r="C1659" s="8" t="s">
        <v>5446</v>
      </c>
      <c r="D1659" s="8" t="s">
        <v>16</v>
      </c>
      <c r="E1659" s="8" t="s">
        <v>17</v>
      </c>
      <c r="F1659" s="9">
        <v>46091.0</v>
      </c>
      <c r="G1659" s="8" t="s">
        <v>846</v>
      </c>
      <c r="H1659" s="8" t="s">
        <v>847</v>
      </c>
      <c r="I1659" s="8" t="s">
        <v>5447</v>
      </c>
      <c r="J1659" s="8" t="s">
        <v>5448</v>
      </c>
    </row>
    <row r="1660">
      <c r="A1660" s="7">
        <v>2.0032421E7</v>
      </c>
      <c r="B1660" s="8" t="s">
        <v>5417</v>
      </c>
      <c r="C1660" s="8" t="s">
        <v>5449</v>
      </c>
      <c r="D1660" s="8" t="s">
        <v>16</v>
      </c>
      <c r="E1660" s="8" t="s">
        <v>17</v>
      </c>
      <c r="F1660" s="9">
        <v>46036.0</v>
      </c>
      <c r="G1660" s="8" t="s">
        <v>5450</v>
      </c>
      <c r="H1660" s="8" t="s">
        <v>5451</v>
      </c>
      <c r="I1660" s="8" t="s">
        <v>5452</v>
      </c>
      <c r="J1660" s="8" t="s">
        <v>5453</v>
      </c>
    </row>
    <row r="1661">
      <c r="A1661" s="7">
        <v>2.0030454E7</v>
      </c>
      <c r="B1661" s="8" t="s">
        <v>5417</v>
      </c>
      <c r="C1661" s="8" t="s">
        <v>5454</v>
      </c>
      <c r="D1661" s="8" t="s">
        <v>16</v>
      </c>
      <c r="E1661" s="8" t="s">
        <v>17</v>
      </c>
      <c r="F1661" s="9">
        <v>46053.0</v>
      </c>
      <c r="G1661" s="8" t="s">
        <v>5455</v>
      </c>
      <c r="H1661" s="8" t="s">
        <v>5456</v>
      </c>
      <c r="I1661" s="8" t="s">
        <v>5457</v>
      </c>
      <c r="J1661" s="8" t="s">
        <v>5458</v>
      </c>
    </row>
    <row r="1662">
      <c r="A1662" s="7">
        <v>2.0028441E7</v>
      </c>
      <c r="B1662" s="8" t="s">
        <v>5417</v>
      </c>
      <c r="C1662" s="8" t="s">
        <v>5459</v>
      </c>
      <c r="D1662" s="8" t="s">
        <v>16</v>
      </c>
      <c r="E1662" s="8" t="s">
        <v>48</v>
      </c>
      <c r="F1662" s="9">
        <v>46031.0</v>
      </c>
      <c r="G1662" s="8" t="s">
        <v>70</v>
      </c>
      <c r="H1662" s="8" t="s">
        <v>71</v>
      </c>
      <c r="I1662" s="8" t="s">
        <v>5460</v>
      </c>
      <c r="J1662" s="8" t="s">
        <v>5461</v>
      </c>
    </row>
    <row r="1663">
      <c r="A1663" s="7">
        <v>2.0031501E7</v>
      </c>
      <c r="B1663" s="8" t="s">
        <v>5417</v>
      </c>
      <c r="C1663" s="8" t="s">
        <v>5462</v>
      </c>
      <c r="D1663" s="8" t="s">
        <v>16</v>
      </c>
      <c r="E1663" s="8" t="s">
        <v>17</v>
      </c>
      <c r="F1663" s="9">
        <v>46039.0</v>
      </c>
      <c r="G1663" s="8" t="s">
        <v>2109</v>
      </c>
      <c r="H1663" s="8" t="s">
        <v>2110</v>
      </c>
      <c r="I1663" s="8" t="s">
        <v>5463</v>
      </c>
      <c r="J1663" s="8" t="s">
        <v>5464</v>
      </c>
    </row>
    <row r="1664">
      <c r="A1664" s="7">
        <v>2.0029294E7</v>
      </c>
      <c r="B1664" s="8" t="s">
        <v>5417</v>
      </c>
      <c r="C1664" s="8" t="s">
        <v>5465</v>
      </c>
      <c r="D1664" s="8" t="s">
        <v>16</v>
      </c>
      <c r="E1664" s="8" t="s">
        <v>17</v>
      </c>
      <c r="F1664" s="9">
        <v>46033.0</v>
      </c>
      <c r="G1664" s="8" t="s">
        <v>5030</v>
      </c>
      <c r="H1664" s="8" t="s">
        <v>44</v>
      </c>
      <c r="I1664" s="8" t="s">
        <v>5466</v>
      </c>
      <c r="J1664" s="8" t="s">
        <v>5467</v>
      </c>
    </row>
    <row r="1665">
      <c r="A1665" s="7">
        <v>2.0030773E7</v>
      </c>
      <c r="B1665" s="8" t="s">
        <v>5417</v>
      </c>
      <c r="C1665" s="8" t="s">
        <v>5468</v>
      </c>
      <c r="D1665" s="8" t="s">
        <v>16</v>
      </c>
      <c r="E1665" s="8" t="s">
        <v>17</v>
      </c>
      <c r="F1665" s="9">
        <v>46034.0</v>
      </c>
      <c r="G1665" s="8" t="s">
        <v>1081</v>
      </c>
      <c r="H1665" s="8" t="s">
        <v>44</v>
      </c>
      <c r="I1665" s="8" t="s">
        <v>5469</v>
      </c>
      <c r="J1665" s="8" t="s">
        <v>5470</v>
      </c>
    </row>
    <row r="1666">
      <c r="A1666" s="7">
        <v>2.0030006E7</v>
      </c>
      <c r="B1666" s="8" t="s">
        <v>5417</v>
      </c>
      <c r="C1666" s="8" t="s">
        <v>5471</v>
      </c>
      <c r="D1666" s="8" t="s">
        <v>16</v>
      </c>
      <c r="E1666" s="8" t="s">
        <v>48</v>
      </c>
      <c r="F1666" s="9">
        <v>46044.0</v>
      </c>
      <c r="G1666" s="8" t="s">
        <v>5472</v>
      </c>
      <c r="H1666" s="8" t="s">
        <v>3410</v>
      </c>
      <c r="I1666" s="8" t="s">
        <v>5473</v>
      </c>
      <c r="J1666" s="8" t="s">
        <v>5474</v>
      </c>
    </row>
    <row r="1667">
      <c r="A1667" s="7">
        <v>2.0030006E7</v>
      </c>
      <c r="B1667" s="8" t="s">
        <v>5417</v>
      </c>
      <c r="C1667" s="8" t="s">
        <v>5471</v>
      </c>
      <c r="D1667" s="8" t="s">
        <v>16</v>
      </c>
      <c r="E1667" s="8" t="s">
        <v>48</v>
      </c>
      <c r="F1667" s="9">
        <v>46044.0</v>
      </c>
      <c r="G1667" s="8" t="s">
        <v>5472</v>
      </c>
      <c r="H1667" s="8" t="s">
        <v>3410</v>
      </c>
      <c r="I1667" s="8" t="s">
        <v>5473</v>
      </c>
      <c r="J1667" s="8"/>
    </row>
    <row r="1668">
      <c r="A1668" s="7">
        <v>2.0030702E7</v>
      </c>
      <c r="B1668" s="8" t="s">
        <v>5417</v>
      </c>
      <c r="C1668" s="8" t="s">
        <v>5475</v>
      </c>
      <c r="D1668" s="8" t="s">
        <v>16</v>
      </c>
      <c r="E1668" s="8" t="s">
        <v>17</v>
      </c>
      <c r="F1668" s="9">
        <v>46031.0</v>
      </c>
      <c r="G1668" s="8" t="s">
        <v>868</v>
      </c>
      <c r="H1668" s="8" t="s">
        <v>869</v>
      </c>
      <c r="I1668" s="8" t="s">
        <v>5476</v>
      </c>
      <c r="J1668" s="8" t="s">
        <v>5477</v>
      </c>
    </row>
    <row r="1669">
      <c r="A1669" s="7">
        <v>2.0031507E7</v>
      </c>
      <c r="B1669" s="8" t="s">
        <v>5417</v>
      </c>
      <c r="C1669" s="8" t="s">
        <v>5478</v>
      </c>
      <c r="D1669" s="8" t="s">
        <v>16</v>
      </c>
      <c r="E1669" s="8" t="s">
        <v>17</v>
      </c>
      <c r="F1669" s="9">
        <v>46045.0</v>
      </c>
      <c r="G1669" s="8" t="s">
        <v>5479</v>
      </c>
      <c r="H1669" s="8" t="s">
        <v>5480</v>
      </c>
      <c r="I1669" s="8" t="s">
        <v>5481</v>
      </c>
      <c r="J1669" s="8" t="s">
        <v>5482</v>
      </c>
    </row>
    <row r="1670">
      <c r="A1670" s="7">
        <v>2.0029989E7</v>
      </c>
      <c r="B1670" s="8" t="s">
        <v>5417</v>
      </c>
      <c r="C1670" s="8" t="s">
        <v>5483</v>
      </c>
      <c r="D1670" s="8" t="s">
        <v>16</v>
      </c>
      <c r="E1670" s="8" t="s">
        <v>17</v>
      </c>
      <c r="F1670" s="9">
        <v>46041.0</v>
      </c>
      <c r="G1670" s="8" t="s">
        <v>2052</v>
      </c>
      <c r="H1670" s="8" t="s">
        <v>2053</v>
      </c>
      <c r="I1670" s="8" t="s">
        <v>5484</v>
      </c>
      <c r="J1670" s="8" t="s">
        <v>5485</v>
      </c>
    </row>
    <row r="1671">
      <c r="A1671" s="7">
        <v>2.0029992E7</v>
      </c>
      <c r="B1671" s="8" t="s">
        <v>5417</v>
      </c>
      <c r="C1671" s="8" t="s">
        <v>5486</v>
      </c>
      <c r="D1671" s="8" t="s">
        <v>16</v>
      </c>
      <c r="E1671" s="8" t="s">
        <v>48</v>
      </c>
      <c r="F1671" s="9">
        <v>46025.0</v>
      </c>
      <c r="G1671" s="8" t="s">
        <v>1093</v>
      </c>
      <c r="H1671" s="8" t="s">
        <v>1094</v>
      </c>
      <c r="I1671" s="8" t="s">
        <v>5487</v>
      </c>
      <c r="J1671" s="8" t="s">
        <v>5488</v>
      </c>
    </row>
    <row r="1672">
      <c r="A1672" s="7">
        <v>2.003019E7</v>
      </c>
      <c r="B1672" s="8" t="s">
        <v>5417</v>
      </c>
      <c r="C1672" s="8" t="s">
        <v>5489</v>
      </c>
      <c r="D1672" s="8" t="s">
        <v>16</v>
      </c>
      <c r="E1672" s="8" t="s">
        <v>48</v>
      </c>
      <c r="F1672" s="9">
        <v>46027.0</v>
      </c>
      <c r="G1672" s="8" t="s">
        <v>5490</v>
      </c>
      <c r="H1672" s="8" t="s">
        <v>5491</v>
      </c>
      <c r="I1672" s="8" t="s">
        <v>5492</v>
      </c>
      <c r="J1672" s="8" t="s">
        <v>5493</v>
      </c>
    </row>
    <row r="1673">
      <c r="A1673" s="7">
        <v>2.0030246E7</v>
      </c>
      <c r="B1673" s="8" t="s">
        <v>5417</v>
      </c>
      <c r="C1673" s="8" t="s">
        <v>5494</v>
      </c>
      <c r="D1673" s="8" t="s">
        <v>16</v>
      </c>
      <c r="E1673" s="8" t="s">
        <v>48</v>
      </c>
      <c r="F1673" s="9">
        <v>46048.0</v>
      </c>
      <c r="G1673" s="8" t="s">
        <v>5495</v>
      </c>
      <c r="H1673" s="8" t="s">
        <v>5496</v>
      </c>
      <c r="I1673" s="8"/>
      <c r="J1673" s="8" t="s">
        <v>5497</v>
      </c>
    </row>
    <row r="1674">
      <c r="A1674" s="7">
        <v>2.0028442E7</v>
      </c>
      <c r="B1674" s="8" t="s">
        <v>5417</v>
      </c>
      <c r="C1674" s="8" t="s">
        <v>5498</v>
      </c>
      <c r="D1674" s="8" t="s">
        <v>16</v>
      </c>
      <c r="E1674" s="8" t="s">
        <v>17</v>
      </c>
      <c r="F1674" s="9">
        <v>46025.0</v>
      </c>
      <c r="G1674" s="8" t="s">
        <v>49</v>
      </c>
      <c r="H1674" s="8" t="s">
        <v>50</v>
      </c>
      <c r="I1674" s="8" t="s">
        <v>5499</v>
      </c>
      <c r="J1674" s="8" t="s">
        <v>5500</v>
      </c>
    </row>
    <row r="1675">
      <c r="A1675" s="7">
        <v>2.0026777E7</v>
      </c>
      <c r="B1675" s="8" t="s">
        <v>5417</v>
      </c>
      <c r="C1675" s="8" t="s">
        <v>5501</v>
      </c>
      <c r="D1675" s="8" t="s">
        <v>16</v>
      </c>
      <c r="E1675" s="8" t="s">
        <v>17</v>
      </c>
      <c r="F1675" s="9">
        <v>46035.0</v>
      </c>
      <c r="G1675" s="8" t="s">
        <v>5502</v>
      </c>
      <c r="H1675" s="8" t="s">
        <v>5503</v>
      </c>
      <c r="I1675" s="8" t="s">
        <v>5504</v>
      </c>
      <c r="J1675" s="8" t="s">
        <v>5505</v>
      </c>
    </row>
    <row r="1676">
      <c r="A1676" s="7">
        <v>2.0027431E7</v>
      </c>
      <c r="B1676" s="8" t="s">
        <v>5417</v>
      </c>
      <c r="C1676" s="8" t="s">
        <v>5506</v>
      </c>
      <c r="D1676" s="8" t="s">
        <v>16</v>
      </c>
      <c r="E1676" s="8" t="s">
        <v>17</v>
      </c>
      <c r="F1676" s="9">
        <v>46029.0</v>
      </c>
      <c r="G1676" s="8" t="s">
        <v>242</v>
      </c>
      <c r="H1676" s="8" t="s">
        <v>243</v>
      </c>
      <c r="I1676" s="8" t="s">
        <v>5507</v>
      </c>
      <c r="J1676" s="8" t="s">
        <v>5508</v>
      </c>
    </row>
    <row r="1677">
      <c r="A1677" s="7">
        <v>2.0026881E7</v>
      </c>
      <c r="B1677" s="8" t="s">
        <v>5417</v>
      </c>
      <c r="C1677" s="8" t="s">
        <v>5509</v>
      </c>
      <c r="D1677" s="8" t="s">
        <v>16</v>
      </c>
      <c r="E1677" s="8" t="s">
        <v>17</v>
      </c>
      <c r="F1677" s="9">
        <v>46044.0</v>
      </c>
      <c r="G1677" s="8" t="s">
        <v>5510</v>
      </c>
      <c r="H1677" s="8" t="s">
        <v>5511</v>
      </c>
      <c r="I1677" s="8" t="s">
        <v>5512</v>
      </c>
      <c r="J1677" s="8" t="s">
        <v>5513</v>
      </c>
    </row>
    <row r="1678">
      <c r="A1678" s="7">
        <v>2.0033208E7</v>
      </c>
      <c r="B1678" s="8" t="s">
        <v>5514</v>
      </c>
      <c r="C1678" s="8" t="s">
        <v>5515</v>
      </c>
      <c r="D1678" s="8" t="s">
        <v>16</v>
      </c>
      <c r="E1678" s="8" t="s">
        <v>17</v>
      </c>
      <c r="F1678" s="9">
        <v>46046.0</v>
      </c>
      <c r="G1678" s="8" t="s">
        <v>314</v>
      </c>
      <c r="H1678" s="8" t="s">
        <v>315</v>
      </c>
      <c r="I1678" s="8" t="s">
        <v>5516</v>
      </c>
      <c r="J1678" s="8" t="s">
        <v>5517</v>
      </c>
    </row>
    <row r="1679">
      <c r="A1679" s="7">
        <v>2.0032848E7</v>
      </c>
      <c r="B1679" s="8" t="s">
        <v>5514</v>
      </c>
      <c r="C1679" s="8" t="s">
        <v>5518</v>
      </c>
      <c r="D1679" s="8" t="s">
        <v>16</v>
      </c>
      <c r="E1679" s="8" t="s">
        <v>17</v>
      </c>
      <c r="F1679" s="9">
        <v>46041.0</v>
      </c>
      <c r="G1679" s="8" t="s">
        <v>277</v>
      </c>
      <c r="H1679" s="8" t="s">
        <v>278</v>
      </c>
      <c r="I1679" s="8" t="s">
        <v>5519</v>
      </c>
      <c r="J1679" s="8" t="s">
        <v>5520</v>
      </c>
    </row>
    <row r="1680">
      <c r="A1680" s="7">
        <v>2.0032848E7</v>
      </c>
      <c r="B1680" s="8" t="s">
        <v>5514</v>
      </c>
      <c r="C1680" s="8" t="s">
        <v>5518</v>
      </c>
      <c r="D1680" s="8" t="s">
        <v>16</v>
      </c>
      <c r="E1680" s="8" t="s">
        <v>17</v>
      </c>
      <c r="F1680" s="9">
        <v>46041.0</v>
      </c>
      <c r="G1680" s="8" t="s">
        <v>220</v>
      </c>
      <c r="H1680" s="8" t="s">
        <v>221</v>
      </c>
      <c r="I1680" s="8" t="s">
        <v>5521</v>
      </c>
      <c r="J1680" s="8" t="s">
        <v>5522</v>
      </c>
    </row>
    <row r="1681">
      <c r="A1681" s="7">
        <v>2.0032233E7</v>
      </c>
      <c r="B1681" s="8" t="s">
        <v>5514</v>
      </c>
      <c r="C1681" s="8" t="s">
        <v>5523</v>
      </c>
      <c r="D1681" s="8" t="s">
        <v>16</v>
      </c>
      <c r="E1681" s="8" t="s">
        <v>17</v>
      </c>
      <c r="F1681" s="9">
        <v>46032.0</v>
      </c>
      <c r="G1681" s="8" t="s">
        <v>882</v>
      </c>
      <c r="H1681" s="8" t="s">
        <v>883</v>
      </c>
      <c r="I1681" s="8" t="s">
        <v>5524</v>
      </c>
      <c r="J1681" s="8" t="s">
        <v>5525</v>
      </c>
    </row>
    <row r="1682">
      <c r="A1682" s="7">
        <v>2.0032195E7</v>
      </c>
      <c r="B1682" s="8" t="s">
        <v>5514</v>
      </c>
      <c r="C1682" s="8" t="s">
        <v>5526</v>
      </c>
      <c r="D1682" s="8" t="s">
        <v>16</v>
      </c>
      <c r="E1682" s="8" t="s">
        <v>17</v>
      </c>
      <c r="F1682" s="9">
        <v>46031.0</v>
      </c>
      <c r="G1682" s="8" t="s">
        <v>3585</v>
      </c>
      <c r="H1682" s="8" t="s">
        <v>3586</v>
      </c>
      <c r="I1682" s="8" t="s">
        <v>5527</v>
      </c>
      <c r="J1682" s="8" t="s">
        <v>5528</v>
      </c>
    </row>
    <row r="1683">
      <c r="A1683" s="7">
        <v>2.0032195E7</v>
      </c>
      <c r="B1683" s="8" t="s">
        <v>5514</v>
      </c>
      <c r="C1683" s="8" t="s">
        <v>5526</v>
      </c>
      <c r="D1683" s="8" t="s">
        <v>16</v>
      </c>
      <c r="E1683" s="8" t="s">
        <v>17</v>
      </c>
      <c r="F1683" s="9">
        <v>46031.0</v>
      </c>
      <c r="G1683" s="8" t="s">
        <v>418</v>
      </c>
      <c r="H1683" s="8" t="s">
        <v>419</v>
      </c>
      <c r="I1683" s="8" t="s">
        <v>5529</v>
      </c>
      <c r="J1683" s="8" t="s">
        <v>5530</v>
      </c>
    </row>
    <row r="1684">
      <c r="A1684" s="7">
        <v>2.0030372E7</v>
      </c>
      <c r="B1684" s="8" t="s">
        <v>5514</v>
      </c>
      <c r="C1684" s="8" t="s">
        <v>5531</v>
      </c>
      <c r="D1684" s="8" t="s">
        <v>16</v>
      </c>
      <c r="E1684" s="8" t="s">
        <v>17</v>
      </c>
      <c r="F1684" s="9">
        <v>46047.0</v>
      </c>
      <c r="G1684" s="8" t="s">
        <v>2576</v>
      </c>
      <c r="H1684" s="8" t="s">
        <v>2577</v>
      </c>
      <c r="I1684" s="8" t="s">
        <v>5532</v>
      </c>
      <c r="J1684" s="8" t="s">
        <v>5533</v>
      </c>
    </row>
    <row r="1685">
      <c r="A1685" s="7">
        <v>2.0030372E7</v>
      </c>
      <c r="B1685" s="8" t="s">
        <v>5514</v>
      </c>
      <c r="C1685" s="8" t="s">
        <v>5531</v>
      </c>
      <c r="D1685" s="8" t="s">
        <v>16</v>
      </c>
      <c r="E1685" s="8" t="s">
        <v>17</v>
      </c>
      <c r="F1685" s="9">
        <v>46047.0</v>
      </c>
      <c r="G1685" s="8" t="s">
        <v>1297</v>
      </c>
      <c r="H1685" s="8" t="s">
        <v>827</v>
      </c>
      <c r="I1685" s="8" t="s">
        <v>5534</v>
      </c>
      <c r="J1685" s="8" t="s">
        <v>5535</v>
      </c>
    </row>
    <row r="1686">
      <c r="A1686" s="7">
        <v>2.0030372E7</v>
      </c>
      <c r="B1686" s="8" t="s">
        <v>5514</v>
      </c>
      <c r="C1686" s="8" t="s">
        <v>5531</v>
      </c>
      <c r="D1686" s="8" t="s">
        <v>16</v>
      </c>
      <c r="E1686" s="8" t="s">
        <v>17</v>
      </c>
      <c r="F1686" s="9">
        <v>46047.0</v>
      </c>
      <c r="G1686" s="8" t="s">
        <v>1297</v>
      </c>
      <c r="H1686" s="8" t="s">
        <v>827</v>
      </c>
      <c r="I1686" s="8" t="s">
        <v>5536</v>
      </c>
      <c r="J1686" s="8" t="s">
        <v>5535</v>
      </c>
    </row>
    <row r="1687">
      <c r="A1687" s="7">
        <v>2.0029631E7</v>
      </c>
      <c r="B1687" s="8" t="s">
        <v>5514</v>
      </c>
      <c r="C1687" s="8" t="s">
        <v>5537</v>
      </c>
      <c r="D1687" s="8" t="s">
        <v>16</v>
      </c>
      <c r="E1687" s="8" t="s">
        <v>17</v>
      </c>
      <c r="F1687" s="9">
        <v>46057.0</v>
      </c>
      <c r="G1687" s="8" t="s">
        <v>423</v>
      </c>
      <c r="H1687" s="8" t="s">
        <v>424</v>
      </c>
      <c r="I1687" s="8" t="s">
        <v>5538</v>
      </c>
      <c r="J1687" s="8" t="s">
        <v>5539</v>
      </c>
    </row>
    <row r="1688">
      <c r="A1688" s="7">
        <v>2.0029631E7</v>
      </c>
      <c r="B1688" s="8" t="s">
        <v>5514</v>
      </c>
      <c r="C1688" s="8" t="s">
        <v>5537</v>
      </c>
      <c r="D1688" s="8" t="s">
        <v>16</v>
      </c>
      <c r="E1688" s="8" t="s">
        <v>17</v>
      </c>
      <c r="F1688" s="9">
        <v>46057.0</v>
      </c>
      <c r="G1688" s="8" t="s">
        <v>297</v>
      </c>
      <c r="H1688" s="8" t="s">
        <v>298</v>
      </c>
      <c r="I1688" s="8" t="s">
        <v>5540</v>
      </c>
      <c r="J1688" s="8" t="s">
        <v>5541</v>
      </c>
    </row>
    <row r="1689">
      <c r="A1689" s="7">
        <v>2.0029631E7</v>
      </c>
      <c r="B1689" s="8" t="s">
        <v>5514</v>
      </c>
      <c r="C1689" s="8" t="s">
        <v>5537</v>
      </c>
      <c r="D1689" s="8" t="s">
        <v>16</v>
      </c>
      <c r="E1689" s="8" t="s">
        <v>17</v>
      </c>
      <c r="F1689" s="9">
        <v>46057.0</v>
      </c>
      <c r="G1689" s="8" t="s">
        <v>908</v>
      </c>
      <c r="H1689" s="8" t="s">
        <v>909</v>
      </c>
      <c r="I1689" s="8" t="s">
        <v>5542</v>
      </c>
      <c r="J1689" s="8" t="s">
        <v>5543</v>
      </c>
    </row>
    <row r="1690">
      <c r="A1690" s="7">
        <v>2.0029631E7</v>
      </c>
      <c r="B1690" s="8" t="s">
        <v>5514</v>
      </c>
      <c r="C1690" s="8" t="s">
        <v>5537</v>
      </c>
      <c r="D1690" s="8" t="s">
        <v>16</v>
      </c>
      <c r="E1690" s="8" t="s">
        <v>17</v>
      </c>
      <c r="F1690" s="9">
        <v>46057.0</v>
      </c>
      <c r="G1690" s="8" t="s">
        <v>297</v>
      </c>
      <c r="H1690" s="8" t="s">
        <v>298</v>
      </c>
      <c r="I1690" s="8" t="s">
        <v>5544</v>
      </c>
      <c r="J1690" s="8" t="s">
        <v>5540</v>
      </c>
    </row>
    <row r="1691">
      <c r="A1691" s="7">
        <v>2.0029941E7</v>
      </c>
      <c r="B1691" s="8" t="s">
        <v>5514</v>
      </c>
      <c r="C1691" s="8" t="s">
        <v>5545</v>
      </c>
      <c r="D1691" s="8" t="s">
        <v>16</v>
      </c>
      <c r="E1691" s="8" t="s">
        <v>17</v>
      </c>
      <c r="F1691" s="9">
        <v>46031.0</v>
      </c>
      <c r="G1691" s="8" t="s">
        <v>2339</v>
      </c>
      <c r="H1691" s="8" t="s">
        <v>2340</v>
      </c>
      <c r="I1691" s="8" t="s">
        <v>5546</v>
      </c>
      <c r="J1691" s="8" t="s">
        <v>5547</v>
      </c>
    </row>
    <row r="1692">
      <c r="A1692" s="7">
        <v>2.002992E7</v>
      </c>
      <c r="B1692" s="8" t="s">
        <v>5514</v>
      </c>
      <c r="C1692" s="8" t="s">
        <v>5548</v>
      </c>
      <c r="D1692" s="8" t="s">
        <v>16</v>
      </c>
      <c r="E1692" s="8" t="s">
        <v>17</v>
      </c>
      <c r="F1692" s="9">
        <v>46025.0</v>
      </c>
      <c r="G1692" s="8" t="s">
        <v>873</v>
      </c>
      <c r="H1692" s="8" t="s">
        <v>874</v>
      </c>
      <c r="I1692" s="8" t="s">
        <v>5549</v>
      </c>
      <c r="J1692" s="8" t="s">
        <v>5550</v>
      </c>
    </row>
    <row r="1693">
      <c r="A1693" s="7">
        <v>2.0029524E7</v>
      </c>
      <c r="B1693" s="8" t="s">
        <v>5514</v>
      </c>
      <c r="C1693" s="8" t="s">
        <v>5551</v>
      </c>
      <c r="D1693" s="8" t="s">
        <v>16</v>
      </c>
      <c r="E1693" s="8" t="s">
        <v>17</v>
      </c>
      <c r="F1693" s="9">
        <v>46038.0</v>
      </c>
      <c r="G1693" s="8" t="s">
        <v>1293</v>
      </c>
      <c r="H1693" s="8" t="s">
        <v>1294</v>
      </c>
      <c r="I1693" s="8" t="s">
        <v>5552</v>
      </c>
      <c r="J1693" s="8" t="s">
        <v>5553</v>
      </c>
    </row>
    <row r="1694">
      <c r="A1694" s="7">
        <v>2.0029524E7</v>
      </c>
      <c r="B1694" s="8" t="s">
        <v>5514</v>
      </c>
      <c r="C1694" s="8" t="s">
        <v>5551</v>
      </c>
      <c r="D1694" s="8" t="s">
        <v>16</v>
      </c>
      <c r="E1694" s="8" t="s">
        <v>17</v>
      </c>
      <c r="F1694" s="9">
        <v>46038.0</v>
      </c>
      <c r="G1694" s="8" t="s">
        <v>3421</v>
      </c>
      <c r="H1694" s="8" t="s">
        <v>3145</v>
      </c>
      <c r="I1694" s="8" t="s">
        <v>5554</v>
      </c>
      <c r="J1694" s="8"/>
    </row>
    <row r="1695">
      <c r="A1695" s="7">
        <v>2.0029524E7</v>
      </c>
      <c r="B1695" s="8" t="s">
        <v>5514</v>
      </c>
      <c r="C1695" s="8" t="s">
        <v>5551</v>
      </c>
      <c r="D1695" s="8" t="s">
        <v>16</v>
      </c>
      <c r="E1695" s="8" t="s">
        <v>17</v>
      </c>
      <c r="F1695" s="9">
        <v>46038.0</v>
      </c>
      <c r="G1695" s="8" t="s">
        <v>1297</v>
      </c>
      <c r="H1695" s="8" t="s">
        <v>827</v>
      </c>
      <c r="I1695" s="8" t="s">
        <v>5555</v>
      </c>
      <c r="J1695" s="8" t="s">
        <v>5556</v>
      </c>
    </row>
    <row r="1696">
      <c r="A1696" s="7">
        <v>2.0029463E7</v>
      </c>
      <c r="B1696" s="8" t="s">
        <v>5514</v>
      </c>
      <c r="C1696" s="8" t="s">
        <v>5557</v>
      </c>
      <c r="D1696" s="8" t="s">
        <v>16</v>
      </c>
      <c r="E1696" s="8" t="s">
        <v>17</v>
      </c>
      <c r="F1696" s="9">
        <v>46047.0</v>
      </c>
      <c r="G1696" s="8" t="s">
        <v>3313</v>
      </c>
      <c r="H1696" s="8" t="s">
        <v>2577</v>
      </c>
      <c r="I1696" s="8" t="s">
        <v>5558</v>
      </c>
      <c r="J1696" s="8" t="s">
        <v>5559</v>
      </c>
    </row>
    <row r="1697">
      <c r="A1697" s="7">
        <v>2.0029463E7</v>
      </c>
      <c r="B1697" s="8" t="s">
        <v>5514</v>
      </c>
      <c r="C1697" s="8" t="s">
        <v>5557</v>
      </c>
      <c r="D1697" s="8" t="s">
        <v>16</v>
      </c>
      <c r="E1697" s="8" t="s">
        <v>17</v>
      </c>
      <c r="F1697" s="9">
        <v>46047.0</v>
      </c>
      <c r="G1697" s="8" t="s">
        <v>3316</v>
      </c>
      <c r="H1697" s="8" t="s">
        <v>3145</v>
      </c>
      <c r="I1697" s="8" t="s">
        <v>5560</v>
      </c>
      <c r="J1697" s="8"/>
    </row>
    <row r="1698">
      <c r="A1698" s="7">
        <v>2.0029463E7</v>
      </c>
      <c r="B1698" s="8" t="s">
        <v>5514</v>
      </c>
      <c r="C1698" s="8" t="s">
        <v>5557</v>
      </c>
      <c r="D1698" s="8" t="s">
        <v>16</v>
      </c>
      <c r="E1698" s="8" t="s">
        <v>17</v>
      </c>
      <c r="F1698" s="9">
        <v>46047.0</v>
      </c>
      <c r="G1698" s="8" t="s">
        <v>2625</v>
      </c>
      <c r="H1698" s="8" t="s">
        <v>827</v>
      </c>
      <c r="I1698" s="8" t="s">
        <v>5561</v>
      </c>
      <c r="J1698" s="8" t="s">
        <v>5562</v>
      </c>
    </row>
    <row r="1699">
      <c r="A1699" s="7">
        <v>2.0029502E7</v>
      </c>
      <c r="B1699" s="8" t="s">
        <v>5514</v>
      </c>
      <c r="C1699" s="8" t="s">
        <v>5563</v>
      </c>
      <c r="D1699" s="8" t="s">
        <v>16</v>
      </c>
      <c r="E1699" s="8" t="s">
        <v>17</v>
      </c>
      <c r="F1699" s="9">
        <v>46025.0</v>
      </c>
      <c r="G1699" s="8" t="s">
        <v>34</v>
      </c>
      <c r="H1699" s="8" t="s">
        <v>35</v>
      </c>
      <c r="I1699" s="8" t="s">
        <v>5564</v>
      </c>
      <c r="J1699" s="8" t="s">
        <v>5565</v>
      </c>
    </row>
    <row r="1700">
      <c r="A1700" s="7">
        <v>2.0029502E7</v>
      </c>
      <c r="B1700" s="8" t="s">
        <v>5514</v>
      </c>
      <c r="C1700" s="8" t="s">
        <v>5563</v>
      </c>
      <c r="D1700" s="8" t="s">
        <v>16</v>
      </c>
      <c r="E1700" s="8" t="s">
        <v>17</v>
      </c>
      <c r="F1700" s="9">
        <v>46025.0</v>
      </c>
      <c r="G1700" s="8" t="s">
        <v>34</v>
      </c>
      <c r="H1700" s="8" t="s">
        <v>35</v>
      </c>
      <c r="I1700" s="8"/>
      <c r="J1700" s="8" t="s">
        <v>5565</v>
      </c>
    </row>
    <row r="1701">
      <c r="A1701" s="7">
        <v>2.0029262E7</v>
      </c>
      <c r="B1701" s="8" t="s">
        <v>5514</v>
      </c>
      <c r="C1701" s="8" t="s">
        <v>5566</v>
      </c>
      <c r="D1701" s="8" t="s">
        <v>16</v>
      </c>
      <c r="E1701" s="8" t="s">
        <v>17</v>
      </c>
      <c r="F1701" s="9">
        <v>46034.0</v>
      </c>
      <c r="G1701" s="8" t="s">
        <v>171</v>
      </c>
      <c r="H1701" s="8" t="s">
        <v>172</v>
      </c>
      <c r="I1701" s="8" t="s">
        <v>5567</v>
      </c>
      <c r="J1701" s="8" t="s">
        <v>5568</v>
      </c>
    </row>
    <row r="1702">
      <c r="A1702" s="7">
        <v>2.0028995E7</v>
      </c>
      <c r="B1702" s="8" t="s">
        <v>5514</v>
      </c>
      <c r="C1702" s="8" t="s">
        <v>5569</v>
      </c>
      <c r="D1702" s="8" t="s">
        <v>16</v>
      </c>
      <c r="E1702" s="8" t="s">
        <v>17</v>
      </c>
      <c r="F1702" s="9">
        <v>46036.0</v>
      </c>
      <c r="G1702" s="8" t="s">
        <v>5570</v>
      </c>
      <c r="H1702" s="8" t="s">
        <v>5571</v>
      </c>
      <c r="I1702" s="8"/>
      <c r="J1702" s="8" t="s">
        <v>5572</v>
      </c>
    </row>
    <row r="1703">
      <c r="A1703" s="7">
        <v>2.0029207E7</v>
      </c>
      <c r="B1703" s="8" t="s">
        <v>5514</v>
      </c>
      <c r="C1703" s="8" t="s">
        <v>5573</v>
      </c>
      <c r="D1703" s="8" t="s">
        <v>16</v>
      </c>
      <c r="E1703" s="8" t="s">
        <v>17</v>
      </c>
      <c r="F1703" s="9">
        <v>46037.0</v>
      </c>
      <c r="G1703" s="8" t="s">
        <v>29</v>
      </c>
      <c r="H1703" s="8" t="s">
        <v>30</v>
      </c>
      <c r="I1703" s="8" t="s">
        <v>5574</v>
      </c>
      <c r="J1703" s="8" t="s">
        <v>5575</v>
      </c>
    </row>
    <row r="1704">
      <c r="A1704" s="7">
        <v>2.0028636E7</v>
      </c>
      <c r="B1704" s="8" t="s">
        <v>5514</v>
      </c>
      <c r="C1704" s="8" t="s">
        <v>5576</v>
      </c>
      <c r="D1704" s="8" t="s">
        <v>16</v>
      </c>
      <c r="E1704" s="8" t="s">
        <v>17</v>
      </c>
      <c r="F1704" s="9">
        <v>46034.0</v>
      </c>
      <c r="G1704" s="8" t="s">
        <v>18</v>
      </c>
      <c r="H1704" s="8" t="s">
        <v>19</v>
      </c>
      <c r="I1704" s="8" t="s">
        <v>5577</v>
      </c>
      <c r="J1704" s="8" t="s">
        <v>5578</v>
      </c>
    </row>
    <row r="1705">
      <c r="A1705" s="7">
        <v>2.0027857E7</v>
      </c>
      <c r="B1705" s="8" t="s">
        <v>5514</v>
      </c>
      <c r="C1705" s="8" t="s">
        <v>5579</v>
      </c>
      <c r="D1705" s="8" t="s">
        <v>16</v>
      </c>
      <c r="E1705" s="8" t="s">
        <v>700</v>
      </c>
      <c r="F1705" s="9">
        <v>46027.0</v>
      </c>
      <c r="G1705" s="8" t="s">
        <v>1841</v>
      </c>
      <c r="H1705" s="8" t="s">
        <v>1842</v>
      </c>
      <c r="I1705" s="8" t="s">
        <v>5580</v>
      </c>
      <c r="J1705" s="8"/>
    </row>
    <row r="1706">
      <c r="A1706" s="7">
        <v>2.0027857E7</v>
      </c>
      <c r="B1706" s="8" t="s">
        <v>5514</v>
      </c>
      <c r="C1706" s="8" t="s">
        <v>5579</v>
      </c>
      <c r="D1706" s="8" t="s">
        <v>16</v>
      </c>
      <c r="E1706" s="8" t="s">
        <v>700</v>
      </c>
      <c r="F1706" s="9">
        <v>46027.0</v>
      </c>
      <c r="G1706" s="8" t="s">
        <v>791</v>
      </c>
      <c r="H1706" s="8" t="s">
        <v>792</v>
      </c>
      <c r="I1706" s="8" t="s">
        <v>5581</v>
      </c>
      <c r="J1706" s="8"/>
    </row>
    <row r="1707">
      <c r="A1707" s="7">
        <v>2.0026796E7</v>
      </c>
      <c r="B1707" s="8" t="s">
        <v>5514</v>
      </c>
      <c r="C1707" s="8" t="s">
        <v>5582</v>
      </c>
      <c r="D1707" s="8" t="s">
        <v>16</v>
      </c>
      <c r="E1707" s="8" t="s">
        <v>17</v>
      </c>
      <c r="F1707" s="9">
        <v>46025.0</v>
      </c>
      <c r="G1707" s="8" t="s">
        <v>1557</v>
      </c>
      <c r="H1707" s="8" t="s">
        <v>1558</v>
      </c>
      <c r="I1707" s="8" t="s">
        <v>5583</v>
      </c>
      <c r="J1707" s="8" t="s">
        <v>5584</v>
      </c>
    </row>
    <row r="1708">
      <c r="A1708" s="7">
        <v>2.0064193E7</v>
      </c>
      <c r="B1708" s="8" t="s">
        <v>5585</v>
      </c>
      <c r="C1708" s="8" t="s">
        <v>5586</v>
      </c>
      <c r="D1708" s="8" t="s">
        <v>16</v>
      </c>
      <c r="E1708" s="8" t="s">
        <v>17</v>
      </c>
      <c r="F1708" s="9">
        <v>46189.0</v>
      </c>
      <c r="G1708" s="8" t="s">
        <v>361</v>
      </c>
      <c r="H1708" s="8" t="s">
        <v>362</v>
      </c>
      <c r="I1708" s="8" t="s">
        <v>5587</v>
      </c>
      <c r="J1708" s="8" t="s">
        <v>5588</v>
      </c>
    </row>
    <row r="1709">
      <c r="A1709" s="7">
        <v>2.0053689E7</v>
      </c>
      <c r="B1709" s="8" t="s">
        <v>5585</v>
      </c>
      <c r="C1709" s="8" t="s">
        <v>5589</v>
      </c>
      <c r="D1709" s="8" t="s">
        <v>16</v>
      </c>
      <c r="E1709" s="8" t="s">
        <v>17</v>
      </c>
      <c r="F1709" s="9">
        <v>46122.0</v>
      </c>
      <c r="G1709" s="8" t="s">
        <v>5590</v>
      </c>
      <c r="H1709" s="8" t="s">
        <v>2062</v>
      </c>
      <c r="I1709" s="8" t="s">
        <v>5591</v>
      </c>
      <c r="J1709" s="8" t="s">
        <v>5592</v>
      </c>
    </row>
    <row r="1710">
      <c r="A1710" s="7">
        <v>2.005155E7</v>
      </c>
      <c r="B1710" s="8" t="s">
        <v>5585</v>
      </c>
      <c r="C1710" s="8" t="s">
        <v>5593</v>
      </c>
      <c r="D1710" s="8" t="s">
        <v>16</v>
      </c>
      <c r="E1710" s="8" t="s">
        <v>17</v>
      </c>
      <c r="F1710" s="9">
        <v>46120.0</v>
      </c>
      <c r="G1710" s="8" t="s">
        <v>361</v>
      </c>
      <c r="H1710" s="8" t="s">
        <v>362</v>
      </c>
      <c r="I1710" s="8" t="s">
        <v>5594</v>
      </c>
      <c r="J1710" s="8" t="s">
        <v>5595</v>
      </c>
    </row>
    <row r="1711">
      <c r="A1711" s="7">
        <v>2.0033736E7</v>
      </c>
      <c r="B1711" s="8" t="s">
        <v>5585</v>
      </c>
      <c r="C1711" s="8" t="s">
        <v>5596</v>
      </c>
      <c r="D1711" s="8" t="s">
        <v>16</v>
      </c>
      <c r="E1711" s="8" t="s">
        <v>17</v>
      </c>
      <c r="F1711" s="9">
        <v>46048.0</v>
      </c>
      <c r="G1711" s="8" t="s">
        <v>1754</v>
      </c>
      <c r="H1711" s="8" t="s">
        <v>1755</v>
      </c>
      <c r="I1711" s="8" t="s">
        <v>5597</v>
      </c>
      <c r="J1711" s="8" t="s">
        <v>5598</v>
      </c>
    </row>
    <row r="1712">
      <c r="A1712" s="7">
        <v>2.0031981E7</v>
      </c>
      <c r="B1712" s="8" t="s">
        <v>5585</v>
      </c>
      <c r="C1712" s="8" t="s">
        <v>5599</v>
      </c>
      <c r="D1712" s="8" t="s">
        <v>16</v>
      </c>
      <c r="E1712" s="8" t="s">
        <v>48</v>
      </c>
      <c r="F1712" s="9">
        <v>46041.0</v>
      </c>
      <c r="G1712" s="8" t="s">
        <v>3812</v>
      </c>
      <c r="H1712" s="8" t="s">
        <v>3813</v>
      </c>
      <c r="I1712" s="8" t="s">
        <v>5600</v>
      </c>
      <c r="J1712" s="8"/>
    </row>
    <row r="1713">
      <c r="A1713" s="7">
        <v>2.0033173E7</v>
      </c>
      <c r="B1713" s="8" t="s">
        <v>5585</v>
      </c>
      <c r="C1713" s="8" t="s">
        <v>5601</v>
      </c>
      <c r="D1713" s="8" t="s">
        <v>16</v>
      </c>
      <c r="E1713" s="8" t="s">
        <v>17</v>
      </c>
      <c r="F1713" s="9">
        <v>46043.0</v>
      </c>
      <c r="G1713" s="8" t="s">
        <v>314</v>
      </c>
      <c r="H1713" s="8" t="s">
        <v>315</v>
      </c>
      <c r="I1713" s="8" t="s">
        <v>5602</v>
      </c>
      <c r="J1713" s="8" t="s">
        <v>5603</v>
      </c>
    </row>
    <row r="1714">
      <c r="A1714" s="7">
        <v>2.0033147E7</v>
      </c>
      <c r="B1714" s="8" t="s">
        <v>5585</v>
      </c>
      <c r="C1714" s="8" t="s">
        <v>5604</v>
      </c>
      <c r="D1714" s="8" t="s">
        <v>16</v>
      </c>
      <c r="E1714" s="8" t="s">
        <v>17</v>
      </c>
      <c r="F1714" s="9">
        <v>46057.0</v>
      </c>
      <c r="G1714" s="8" t="s">
        <v>436</v>
      </c>
      <c r="H1714" s="8" t="s">
        <v>437</v>
      </c>
      <c r="I1714" s="8" t="s">
        <v>5605</v>
      </c>
      <c r="J1714" s="8"/>
    </row>
    <row r="1715">
      <c r="A1715" s="7">
        <v>2.0032558E7</v>
      </c>
      <c r="B1715" s="8" t="s">
        <v>5585</v>
      </c>
      <c r="C1715" s="8" t="s">
        <v>5606</v>
      </c>
      <c r="D1715" s="8" t="s">
        <v>16</v>
      </c>
      <c r="E1715" s="8" t="s">
        <v>17</v>
      </c>
      <c r="F1715" s="9">
        <v>46047.0</v>
      </c>
      <c r="G1715" s="8" t="s">
        <v>436</v>
      </c>
      <c r="H1715" s="8" t="s">
        <v>437</v>
      </c>
      <c r="I1715" s="8" t="s">
        <v>5607</v>
      </c>
      <c r="J1715" s="8" t="s">
        <v>5608</v>
      </c>
    </row>
    <row r="1716">
      <c r="A1716" s="7">
        <v>2.0032556E7</v>
      </c>
      <c r="B1716" s="8" t="s">
        <v>5585</v>
      </c>
      <c r="C1716" s="8" t="s">
        <v>5609</v>
      </c>
      <c r="D1716" s="8" t="s">
        <v>16</v>
      </c>
      <c r="E1716" s="8" t="s">
        <v>17</v>
      </c>
      <c r="F1716" s="9">
        <v>46031.0</v>
      </c>
      <c r="G1716" s="8" t="s">
        <v>873</v>
      </c>
      <c r="H1716" s="8" t="s">
        <v>874</v>
      </c>
      <c r="I1716" s="8" t="s">
        <v>5610</v>
      </c>
      <c r="J1716" s="8" t="s">
        <v>5611</v>
      </c>
    </row>
    <row r="1717">
      <c r="A1717" s="7">
        <v>2.0031645E7</v>
      </c>
      <c r="B1717" s="8" t="s">
        <v>5585</v>
      </c>
      <c r="C1717" s="8" t="s">
        <v>5612</v>
      </c>
      <c r="D1717" s="8" t="s">
        <v>16</v>
      </c>
      <c r="E1717" s="8" t="s">
        <v>17</v>
      </c>
      <c r="F1717" s="9">
        <v>46046.0</v>
      </c>
      <c r="G1717" s="8" t="s">
        <v>613</v>
      </c>
      <c r="H1717" s="8" t="s">
        <v>614</v>
      </c>
      <c r="I1717" s="8" t="s">
        <v>5613</v>
      </c>
      <c r="J1717" s="8" t="s">
        <v>5614</v>
      </c>
    </row>
    <row r="1718">
      <c r="A1718" s="7">
        <v>2.003164E7</v>
      </c>
      <c r="B1718" s="8" t="s">
        <v>5585</v>
      </c>
      <c r="C1718" s="8" t="s">
        <v>5615</v>
      </c>
      <c r="D1718" s="8" t="s">
        <v>16</v>
      </c>
      <c r="E1718" s="8" t="s">
        <v>17</v>
      </c>
      <c r="F1718" s="9">
        <v>46044.0</v>
      </c>
      <c r="G1718" s="8" t="s">
        <v>5616</v>
      </c>
      <c r="H1718" s="8" t="s">
        <v>5617</v>
      </c>
      <c r="I1718" s="8" t="s">
        <v>5618</v>
      </c>
      <c r="J1718" s="8" t="s">
        <v>5619</v>
      </c>
    </row>
    <row r="1719">
      <c r="A1719" s="7">
        <v>2.0031547E7</v>
      </c>
      <c r="B1719" s="8" t="s">
        <v>5585</v>
      </c>
      <c r="C1719" s="8" t="s">
        <v>5620</v>
      </c>
      <c r="D1719" s="8" t="s">
        <v>16</v>
      </c>
      <c r="E1719" s="8" t="s">
        <v>17</v>
      </c>
      <c r="F1719" s="9">
        <v>46035.0</v>
      </c>
      <c r="G1719" s="8" t="s">
        <v>273</v>
      </c>
      <c r="H1719" s="8" t="s">
        <v>274</v>
      </c>
      <c r="I1719" s="8" t="s">
        <v>5621</v>
      </c>
      <c r="J1719" s="8" t="s">
        <v>5622</v>
      </c>
    </row>
    <row r="1720">
      <c r="A1720" s="7">
        <v>2.003145E7</v>
      </c>
      <c r="B1720" s="8" t="s">
        <v>5585</v>
      </c>
      <c r="C1720" s="8" t="s">
        <v>5623</v>
      </c>
      <c r="D1720" s="8" t="s">
        <v>16</v>
      </c>
      <c r="E1720" s="8" t="s">
        <v>17</v>
      </c>
      <c r="F1720" s="9">
        <v>46046.0</v>
      </c>
      <c r="G1720" s="8" t="s">
        <v>171</v>
      </c>
      <c r="H1720" s="8" t="s">
        <v>172</v>
      </c>
      <c r="I1720" s="8" t="s">
        <v>5624</v>
      </c>
      <c r="J1720" s="8" t="s">
        <v>5625</v>
      </c>
    </row>
    <row r="1721">
      <c r="A1721" s="7">
        <v>2.0031069E7</v>
      </c>
      <c r="B1721" s="8" t="s">
        <v>5585</v>
      </c>
      <c r="C1721" s="8" t="s">
        <v>5626</v>
      </c>
      <c r="D1721" s="8" t="s">
        <v>16</v>
      </c>
      <c r="E1721" s="8" t="s">
        <v>17</v>
      </c>
      <c r="F1721" s="9">
        <v>46042.0</v>
      </c>
      <c r="G1721" s="8" t="s">
        <v>607</v>
      </c>
      <c r="H1721" s="8" t="s">
        <v>608</v>
      </c>
      <c r="I1721" s="8" t="s">
        <v>5627</v>
      </c>
      <c r="J1721" s="8" t="s">
        <v>5628</v>
      </c>
    </row>
    <row r="1722">
      <c r="A1722" s="7">
        <v>2.003107E7</v>
      </c>
      <c r="B1722" s="8" t="s">
        <v>5585</v>
      </c>
      <c r="C1722" s="8" t="s">
        <v>5629</v>
      </c>
      <c r="D1722" s="8" t="s">
        <v>16</v>
      </c>
      <c r="E1722" s="8" t="s">
        <v>17</v>
      </c>
      <c r="F1722" s="9">
        <v>46042.0</v>
      </c>
      <c r="G1722" s="8" t="s">
        <v>114</v>
      </c>
      <c r="H1722" s="8" t="s">
        <v>115</v>
      </c>
      <c r="I1722" s="8" t="s">
        <v>5630</v>
      </c>
      <c r="J1722" s="8" t="s">
        <v>5631</v>
      </c>
    </row>
    <row r="1723">
      <c r="A1723" s="7">
        <v>2.0030272E7</v>
      </c>
      <c r="B1723" s="8" t="s">
        <v>5585</v>
      </c>
      <c r="C1723" s="8" t="s">
        <v>5632</v>
      </c>
      <c r="D1723" s="8" t="s">
        <v>16</v>
      </c>
      <c r="E1723" s="8" t="s">
        <v>17</v>
      </c>
      <c r="F1723" s="9">
        <v>46028.0</v>
      </c>
      <c r="G1723" s="8" t="s">
        <v>1532</v>
      </c>
      <c r="H1723" s="8" t="s">
        <v>1533</v>
      </c>
      <c r="I1723" s="8" t="s">
        <v>5633</v>
      </c>
      <c r="J1723" s="8" t="s">
        <v>5634</v>
      </c>
    </row>
    <row r="1724">
      <c r="A1724" s="7">
        <v>2.0030379E7</v>
      </c>
      <c r="B1724" s="8" t="s">
        <v>5585</v>
      </c>
      <c r="C1724" s="8" t="s">
        <v>5635</v>
      </c>
      <c r="D1724" s="8" t="s">
        <v>16</v>
      </c>
      <c r="E1724" s="8" t="s">
        <v>17</v>
      </c>
      <c r="F1724" s="9">
        <v>46041.0</v>
      </c>
      <c r="G1724" s="8" t="s">
        <v>158</v>
      </c>
      <c r="H1724" s="8" t="s">
        <v>159</v>
      </c>
      <c r="I1724" s="8" t="s">
        <v>5636</v>
      </c>
      <c r="J1724" s="8" t="s">
        <v>5637</v>
      </c>
    </row>
    <row r="1725">
      <c r="A1725" s="7">
        <v>2.0029872E7</v>
      </c>
      <c r="B1725" s="8" t="s">
        <v>5585</v>
      </c>
      <c r="C1725" s="8" t="s">
        <v>5638</v>
      </c>
      <c r="D1725" s="8" t="s">
        <v>16</v>
      </c>
      <c r="E1725" s="8" t="s">
        <v>17</v>
      </c>
      <c r="F1725" s="9">
        <v>46026.0</v>
      </c>
      <c r="G1725" s="8" t="s">
        <v>1880</v>
      </c>
      <c r="H1725" s="8" t="s">
        <v>55</v>
      </c>
      <c r="I1725" s="8" t="s">
        <v>5639</v>
      </c>
      <c r="J1725" s="8" t="s">
        <v>5640</v>
      </c>
    </row>
    <row r="1726">
      <c r="A1726" s="7">
        <v>2.0030071E7</v>
      </c>
      <c r="B1726" s="8" t="s">
        <v>5585</v>
      </c>
      <c r="C1726" s="8" t="s">
        <v>5641</v>
      </c>
      <c r="D1726" s="8" t="s">
        <v>16</v>
      </c>
      <c r="E1726" s="8" t="s">
        <v>17</v>
      </c>
      <c r="F1726" s="9">
        <v>46039.0</v>
      </c>
      <c r="G1726" s="8" t="s">
        <v>158</v>
      </c>
      <c r="H1726" s="8" t="s">
        <v>159</v>
      </c>
      <c r="I1726" s="8" t="s">
        <v>5642</v>
      </c>
      <c r="J1726" s="8" t="s">
        <v>5643</v>
      </c>
    </row>
    <row r="1727">
      <c r="A1727" s="7">
        <v>2.0029552E7</v>
      </c>
      <c r="B1727" s="8" t="s">
        <v>5585</v>
      </c>
      <c r="C1727" s="8" t="s">
        <v>5644</v>
      </c>
      <c r="D1727" s="8" t="s">
        <v>16</v>
      </c>
      <c r="E1727" s="8" t="s">
        <v>17</v>
      </c>
      <c r="F1727" s="9">
        <v>46039.0</v>
      </c>
      <c r="G1727" s="8" t="s">
        <v>4467</v>
      </c>
      <c r="H1727" s="8" t="s">
        <v>4468</v>
      </c>
      <c r="I1727" s="8" t="s">
        <v>5645</v>
      </c>
      <c r="J1727" s="8" t="s">
        <v>5646</v>
      </c>
    </row>
    <row r="1728">
      <c r="A1728" s="7">
        <v>2.0024401E7</v>
      </c>
      <c r="B1728" s="8" t="s">
        <v>5585</v>
      </c>
      <c r="C1728" s="8" t="s">
        <v>5647</v>
      </c>
      <c r="D1728" s="8" t="s">
        <v>16</v>
      </c>
      <c r="E1728" s="8" t="s">
        <v>17</v>
      </c>
      <c r="F1728" s="9">
        <v>46058.0</v>
      </c>
      <c r="G1728" s="8" t="s">
        <v>137</v>
      </c>
      <c r="H1728" s="8" t="s">
        <v>138</v>
      </c>
      <c r="I1728" s="8" t="s">
        <v>5648</v>
      </c>
      <c r="J1728" s="8" t="s">
        <v>5649</v>
      </c>
    </row>
    <row r="1729">
      <c r="A1729" s="7">
        <v>2.0024401E7</v>
      </c>
      <c r="B1729" s="8" t="s">
        <v>5585</v>
      </c>
      <c r="C1729" s="8" t="s">
        <v>5647</v>
      </c>
      <c r="D1729" s="8" t="s">
        <v>16</v>
      </c>
      <c r="E1729" s="8" t="s">
        <v>17</v>
      </c>
      <c r="F1729" s="9">
        <v>46058.0</v>
      </c>
      <c r="G1729" s="8" t="s">
        <v>137</v>
      </c>
      <c r="H1729" s="8" t="s">
        <v>138</v>
      </c>
      <c r="I1729" s="8" t="s">
        <v>5650</v>
      </c>
      <c r="J1729" s="8" t="s">
        <v>5649</v>
      </c>
    </row>
    <row r="1730">
      <c r="A1730" s="7">
        <v>2.0023319E7</v>
      </c>
      <c r="B1730" s="8" t="s">
        <v>5585</v>
      </c>
      <c r="C1730" s="8" t="s">
        <v>5651</v>
      </c>
      <c r="D1730" s="8" t="s">
        <v>16</v>
      </c>
      <c r="E1730" s="8" t="s">
        <v>17</v>
      </c>
      <c r="F1730" s="9">
        <v>46039.0</v>
      </c>
      <c r="G1730" s="8" t="s">
        <v>5652</v>
      </c>
      <c r="H1730" s="8" t="s">
        <v>5653</v>
      </c>
      <c r="I1730" s="8" t="s">
        <v>5654</v>
      </c>
      <c r="J1730" s="8" t="s">
        <v>5655</v>
      </c>
    </row>
    <row r="1731">
      <c r="A1731" s="7">
        <v>2.0028854E7</v>
      </c>
      <c r="B1731" s="8" t="s">
        <v>5585</v>
      </c>
      <c r="C1731" s="8" t="s">
        <v>5656</v>
      </c>
      <c r="D1731" s="8" t="s">
        <v>16</v>
      </c>
      <c r="E1731" s="8" t="s">
        <v>17</v>
      </c>
      <c r="F1731" s="9">
        <v>46040.0</v>
      </c>
      <c r="G1731" s="8" t="s">
        <v>390</v>
      </c>
      <c r="H1731" s="8" t="s">
        <v>391</v>
      </c>
      <c r="I1731" s="8" t="s">
        <v>5657</v>
      </c>
      <c r="J1731" s="8" t="s">
        <v>5658</v>
      </c>
    </row>
    <row r="1732">
      <c r="A1732" s="7">
        <v>2.0028714E7</v>
      </c>
      <c r="B1732" s="8" t="s">
        <v>5585</v>
      </c>
      <c r="C1732" s="8" t="s">
        <v>5659</v>
      </c>
      <c r="D1732" s="8" t="s">
        <v>16</v>
      </c>
      <c r="E1732" s="8" t="s">
        <v>17</v>
      </c>
      <c r="F1732" s="9">
        <v>46042.0</v>
      </c>
      <c r="G1732" s="8" t="s">
        <v>5660</v>
      </c>
      <c r="H1732" s="8" t="s">
        <v>5661</v>
      </c>
      <c r="I1732" s="8" t="s">
        <v>5662</v>
      </c>
      <c r="J1732" s="8" t="s">
        <v>5663</v>
      </c>
    </row>
    <row r="1733">
      <c r="A1733" s="7">
        <v>2.0028616E7</v>
      </c>
      <c r="B1733" s="8" t="s">
        <v>5585</v>
      </c>
      <c r="C1733" s="8" t="s">
        <v>5664</v>
      </c>
      <c r="D1733" s="8" t="s">
        <v>16</v>
      </c>
      <c r="E1733" s="8" t="s">
        <v>17</v>
      </c>
      <c r="F1733" s="9">
        <v>46040.0</v>
      </c>
      <c r="G1733" s="8" t="s">
        <v>390</v>
      </c>
      <c r="H1733" s="8" t="s">
        <v>391</v>
      </c>
      <c r="I1733" s="8" t="s">
        <v>5665</v>
      </c>
      <c r="J1733" s="8" t="s">
        <v>5666</v>
      </c>
    </row>
    <row r="1734">
      <c r="A1734" s="7">
        <v>2.0028146E7</v>
      </c>
      <c r="B1734" s="8" t="s">
        <v>5585</v>
      </c>
      <c r="C1734" s="8" t="s">
        <v>5667</v>
      </c>
      <c r="D1734" s="8" t="s">
        <v>16</v>
      </c>
      <c r="E1734" s="8" t="s">
        <v>17</v>
      </c>
      <c r="F1734" s="9">
        <v>46039.0</v>
      </c>
      <c r="G1734" s="8" t="s">
        <v>1255</v>
      </c>
      <c r="H1734" s="8" t="s">
        <v>1256</v>
      </c>
      <c r="I1734" s="8" t="s">
        <v>5668</v>
      </c>
      <c r="J1734" s="8" t="s">
        <v>5669</v>
      </c>
    </row>
    <row r="1735">
      <c r="A1735" s="7">
        <v>2.002849E7</v>
      </c>
      <c r="B1735" s="8" t="s">
        <v>5585</v>
      </c>
      <c r="C1735" s="8" t="s">
        <v>5670</v>
      </c>
      <c r="D1735" s="8" t="s">
        <v>16</v>
      </c>
      <c r="E1735" s="8" t="s">
        <v>17</v>
      </c>
      <c r="F1735" s="9">
        <v>46040.0</v>
      </c>
      <c r="G1735" s="8" t="s">
        <v>390</v>
      </c>
      <c r="H1735" s="8" t="s">
        <v>391</v>
      </c>
      <c r="I1735" s="8" t="s">
        <v>5671</v>
      </c>
      <c r="J1735" s="8" t="s">
        <v>5672</v>
      </c>
    </row>
    <row r="1736">
      <c r="A1736" s="7">
        <v>2.0027777E7</v>
      </c>
      <c r="B1736" s="8" t="s">
        <v>5585</v>
      </c>
      <c r="C1736" s="8" t="s">
        <v>5673</v>
      </c>
      <c r="D1736" s="8" t="s">
        <v>16</v>
      </c>
      <c r="E1736" s="8" t="s">
        <v>17</v>
      </c>
      <c r="F1736" s="9">
        <v>46027.0</v>
      </c>
      <c r="G1736" s="8" t="s">
        <v>436</v>
      </c>
      <c r="H1736" s="8" t="s">
        <v>437</v>
      </c>
      <c r="I1736" s="8" t="s">
        <v>5674</v>
      </c>
      <c r="J1736" s="8" t="s">
        <v>5675</v>
      </c>
    </row>
    <row r="1737">
      <c r="A1737" s="7">
        <v>2.0019717E7</v>
      </c>
      <c r="B1737" s="8" t="s">
        <v>5676</v>
      </c>
      <c r="C1737" s="8" t="s">
        <v>5677</v>
      </c>
      <c r="D1737" s="8" t="s">
        <v>16</v>
      </c>
      <c r="E1737" s="8" t="s">
        <v>17</v>
      </c>
      <c r="F1737" s="9">
        <v>46043.0</v>
      </c>
      <c r="G1737" s="8" t="s">
        <v>826</v>
      </c>
      <c r="H1737" s="8" t="s">
        <v>827</v>
      </c>
      <c r="I1737" s="8" t="s">
        <v>5678</v>
      </c>
      <c r="J1737" s="8" t="s">
        <v>5679</v>
      </c>
    </row>
    <row r="1738">
      <c r="A1738" s="7">
        <v>2.0017195E7</v>
      </c>
      <c r="B1738" s="8" t="s">
        <v>5676</v>
      </c>
      <c r="C1738" s="8" t="s">
        <v>5680</v>
      </c>
      <c r="D1738" s="8" t="s">
        <v>16</v>
      </c>
      <c r="E1738" s="8" t="s">
        <v>17</v>
      </c>
      <c r="F1738" s="9">
        <v>46044.0</v>
      </c>
      <c r="G1738" s="8" t="s">
        <v>119</v>
      </c>
      <c r="H1738" s="8" t="s">
        <v>120</v>
      </c>
      <c r="I1738" s="8" t="s">
        <v>5681</v>
      </c>
      <c r="J1738" s="8" t="s">
        <v>5682</v>
      </c>
    </row>
    <row r="1739">
      <c r="A1739" s="7">
        <v>2.0028839E7</v>
      </c>
      <c r="B1739" s="8" t="s">
        <v>5676</v>
      </c>
      <c r="C1739" s="8" t="s">
        <v>5683</v>
      </c>
      <c r="D1739" s="8" t="s">
        <v>16</v>
      </c>
      <c r="E1739" s="8" t="s">
        <v>48</v>
      </c>
      <c r="F1739" s="9">
        <v>46034.0</v>
      </c>
      <c r="G1739" s="8" t="s">
        <v>423</v>
      </c>
      <c r="H1739" s="8" t="s">
        <v>424</v>
      </c>
      <c r="I1739" s="8" t="s">
        <v>5684</v>
      </c>
      <c r="J1739" s="8" t="s">
        <v>5685</v>
      </c>
    </row>
    <row r="1740">
      <c r="A1740" s="7">
        <v>2.0028821E7</v>
      </c>
      <c r="B1740" s="8" t="s">
        <v>5676</v>
      </c>
      <c r="C1740" s="8" t="s">
        <v>5686</v>
      </c>
      <c r="D1740" s="8" t="s">
        <v>16</v>
      </c>
      <c r="E1740" s="8" t="s">
        <v>48</v>
      </c>
      <c r="F1740" s="9">
        <v>46035.0</v>
      </c>
      <c r="G1740" s="8" t="s">
        <v>5687</v>
      </c>
      <c r="H1740" s="8" t="s">
        <v>5688</v>
      </c>
      <c r="I1740" s="8" t="s">
        <v>5689</v>
      </c>
      <c r="J1740" s="8" t="s">
        <v>5690</v>
      </c>
    </row>
    <row r="1741">
      <c r="A1741" s="7">
        <v>2.002785E7</v>
      </c>
      <c r="B1741" s="8" t="s">
        <v>5676</v>
      </c>
      <c r="C1741" s="8" t="s">
        <v>5691</v>
      </c>
      <c r="D1741" s="8" t="s">
        <v>16</v>
      </c>
      <c r="E1741" s="8" t="s">
        <v>17</v>
      </c>
      <c r="F1741" s="9">
        <v>46034.0</v>
      </c>
      <c r="G1741" s="8" t="s">
        <v>2625</v>
      </c>
      <c r="H1741" s="8" t="s">
        <v>827</v>
      </c>
      <c r="I1741" s="8" t="s">
        <v>5692</v>
      </c>
      <c r="J1741" s="8" t="s">
        <v>5693</v>
      </c>
    </row>
    <row r="1742">
      <c r="A1742" s="7">
        <v>2.0028799E7</v>
      </c>
      <c r="B1742" s="8" t="s">
        <v>5676</v>
      </c>
      <c r="C1742" s="8" t="s">
        <v>5694</v>
      </c>
      <c r="D1742" s="8" t="s">
        <v>16</v>
      </c>
      <c r="E1742" s="8" t="s">
        <v>48</v>
      </c>
      <c r="F1742" s="9">
        <v>46028.0</v>
      </c>
      <c r="G1742" s="8" t="s">
        <v>282</v>
      </c>
      <c r="H1742" s="8" t="s">
        <v>71</v>
      </c>
      <c r="I1742" s="8" t="s">
        <v>5695</v>
      </c>
      <c r="J1742" s="8" t="s">
        <v>5696</v>
      </c>
    </row>
    <row r="1743">
      <c r="A1743" s="7">
        <v>2.0028805E7</v>
      </c>
      <c r="B1743" s="8" t="s">
        <v>5676</v>
      </c>
      <c r="C1743" s="8" t="s">
        <v>5697</v>
      </c>
      <c r="D1743" s="8" t="s">
        <v>16</v>
      </c>
      <c r="E1743" s="8" t="s">
        <v>17</v>
      </c>
      <c r="F1743" s="9">
        <v>46034.0</v>
      </c>
      <c r="G1743" s="8" t="s">
        <v>314</v>
      </c>
      <c r="H1743" s="8" t="s">
        <v>315</v>
      </c>
      <c r="I1743" s="8" t="s">
        <v>5698</v>
      </c>
      <c r="J1743" s="8" t="s">
        <v>5699</v>
      </c>
    </row>
    <row r="1744">
      <c r="A1744" s="7">
        <v>2.0028095E7</v>
      </c>
      <c r="B1744" s="8" t="s">
        <v>5676</v>
      </c>
      <c r="C1744" s="8" t="s">
        <v>5700</v>
      </c>
      <c r="D1744" s="8" t="s">
        <v>16</v>
      </c>
      <c r="E1744" s="8" t="s">
        <v>48</v>
      </c>
      <c r="F1744" s="9">
        <v>46028.0</v>
      </c>
      <c r="G1744" s="8" t="s">
        <v>282</v>
      </c>
      <c r="H1744" s="8" t="s">
        <v>71</v>
      </c>
      <c r="I1744" s="8" t="s">
        <v>5701</v>
      </c>
      <c r="J1744" s="8" t="s">
        <v>5702</v>
      </c>
    </row>
    <row r="1745">
      <c r="A1745" s="7">
        <v>2.0026562E7</v>
      </c>
      <c r="B1745" s="8" t="s">
        <v>5676</v>
      </c>
      <c r="C1745" s="8" t="s">
        <v>5703</v>
      </c>
      <c r="D1745" s="8" t="s">
        <v>16</v>
      </c>
      <c r="E1745" s="8" t="s">
        <v>17</v>
      </c>
      <c r="F1745" s="9">
        <v>46034.0</v>
      </c>
      <c r="G1745" s="8" t="s">
        <v>2109</v>
      </c>
      <c r="H1745" s="8" t="s">
        <v>2110</v>
      </c>
      <c r="I1745" s="8" t="s">
        <v>5704</v>
      </c>
      <c r="J1745" s="8" t="s">
        <v>5705</v>
      </c>
    </row>
    <row r="1746">
      <c r="A1746" s="7">
        <v>2.0049094E7</v>
      </c>
      <c r="B1746" s="8" t="s">
        <v>5706</v>
      </c>
      <c r="C1746" s="8" t="s">
        <v>5707</v>
      </c>
      <c r="D1746" s="8" t="s">
        <v>16</v>
      </c>
      <c r="E1746" s="8" t="s">
        <v>17</v>
      </c>
      <c r="F1746" s="9">
        <v>46100.0</v>
      </c>
      <c r="G1746" s="8" t="s">
        <v>3043</v>
      </c>
      <c r="H1746" s="8" t="s">
        <v>1111</v>
      </c>
      <c r="I1746" s="8" t="s">
        <v>5708</v>
      </c>
      <c r="J1746" s="8" t="s">
        <v>5709</v>
      </c>
    </row>
    <row r="1747">
      <c r="A1747" s="7">
        <v>2.0032761E7</v>
      </c>
      <c r="B1747" s="8" t="s">
        <v>5706</v>
      </c>
      <c r="C1747" s="8" t="s">
        <v>5710</v>
      </c>
      <c r="D1747" s="8" t="s">
        <v>16</v>
      </c>
      <c r="E1747" s="8" t="s">
        <v>17</v>
      </c>
      <c r="F1747" s="9">
        <v>46044.0</v>
      </c>
      <c r="G1747" s="8" t="s">
        <v>3812</v>
      </c>
      <c r="H1747" s="8" t="s">
        <v>3813</v>
      </c>
      <c r="I1747" s="8" t="s">
        <v>5711</v>
      </c>
      <c r="J1747" s="8" t="s">
        <v>5712</v>
      </c>
    </row>
    <row r="1748">
      <c r="A1748" s="7">
        <v>2.003282E7</v>
      </c>
      <c r="B1748" s="8" t="s">
        <v>5706</v>
      </c>
      <c r="C1748" s="8" t="s">
        <v>5713</v>
      </c>
      <c r="D1748" s="8" t="s">
        <v>16</v>
      </c>
      <c r="E1748" s="8" t="s">
        <v>17</v>
      </c>
      <c r="F1748" s="9">
        <v>46037.0</v>
      </c>
      <c r="G1748" s="8" t="s">
        <v>2511</v>
      </c>
      <c r="H1748" s="8" t="s">
        <v>2512</v>
      </c>
      <c r="I1748" s="8" t="s">
        <v>5714</v>
      </c>
      <c r="J1748" s="8" t="s">
        <v>5715</v>
      </c>
    </row>
    <row r="1749">
      <c r="A1749" s="7">
        <v>2.0033272E7</v>
      </c>
      <c r="B1749" s="8" t="s">
        <v>5706</v>
      </c>
      <c r="C1749" s="8" t="s">
        <v>5716</v>
      </c>
      <c r="D1749" s="8" t="s">
        <v>16</v>
      </c>
      <c r="E1749" s="8" t="s">
        <v>17</v>
      </c>
      <c r="F1749" s="9">
        <v>46051.0</v>
      </c>
      <c r="G1749" s="8" t="s">
        <v>184</v>
      </c>
      <c r="H1749" s="8" t="s">
        <v>185</v>
      </c>
      <c r="I1749" s="8" t="s">
        <v>5717</v>
      </c>
      <c r="J1749" s="8" t="s">
        <v>5718</v>
      </c>
    </row>
    <row r="1750">
      <c r="A1750" s="7">
        <v>2.0031597E7</v>
      </c>
      <c r="B1750" s="8" t="s">
        <v>5706</v>
      </c>
      <c r="C1750" s="8" t="s">
        <v>5719</v>
      </c>
      <c r="D1750" s="8" t="s">
        <v>16</v>
      </c>
      <c r="E1750" s="8" t="s">
        <v>17</v>
      </c>
      <c r="F1750" s="9">
        <v>46047.0</v>
      </c>
      <c r="G1750" s="8" t="s">
        <v>1969</v>
      </c>
      <c r="H1750" s="8" t="s">
        <v>1970</v>
      </c>
      <c r="I1750" s="8" t="s">
        <v>5720</v>
      </c>
      <c r="J1750" s="8" t="s">
        <v>5721</v>
      </c>
    </row>
    <row r="1751">
      <c r="A1751" s="7">
        <v>2.0032836E7</v>
      </c>
      <c r="B1751" s="8" t="s">
        <v>5706</v>
      </c>
      <c r="C1751" s="8" t="s">
        <v>5722</v>
      </c>
      <c r="D1751" s="8" t="s">
        <v>16</v>
      </c>
      <c r="E1751" s="8" t="s">
        <v>17</v>
      </c>
      <c r="F1751" s="9">
        <v>46038.0</v>
      </c>
      <c r="G1751" s="8" t="s">
        <v>5723</v>
      </c>
      <c r="H1751" s="8" t="s">
        <v>909</v>
      </c>
      <c r="I1751" s="8" t="s">
        <v>5724</v>
      </c>
      <c r="J1751" s="8" t="s">
        <v>5725</v>
      </c>
    </row>
    <row r="1752">
      <c r="A1752" s="7">
        <v>2.0032545E7</v>
      </c>
      <c r="B1752" s="8" t="s">
        <v>5706</v>
      </c>
      <c r="C1752" s="8" t="s">
        <v>5726</v>
      </c>
      <c r="D1752" s="8" t="s">
        <v>16</v>
      </c>
      <c r="E1752" s="8" t="s">
        <v>17</v>
      </c>
      <c r="F1752" s="9">
        <v>46043.0</v>
      </c>
      <c r="G1752" s="8" t="s">
        <v>882</v>
      </c>
      <c r="H1752" s="8" t="s">
        <v>883</v>
      </c>
      <c r="I1752" s="8" t="s">
        <v>5727</v>
      </c>
      <c r="J1752" s="8" t="s">
        <v>5728</v>
      </c>
    </row>
    <row r="1753">
      <c r="A1753" s="7">
        <v>2.0032515E7</v>
      </c>
      <c r="B1753" s="8" t="s">
        <v>5706</v>
      </c>
      <c r="C1753" s="8" t="s">
        <v>5729</v>
      </c>
      <c r="D1753" s="8" t="s">
        <v>16</v>
      </c>
      <c r="E1753" s="8" t="s">
        <v>17</v>
      </c>
      <c r="F1753" s="9">
        <v>46035.0</v>
      </c>
      <c r="G1753" s="8" t="s">
        <v>805</v>
      </c>
      <c r="H1753" s="8" t="s">
        <v>806</v>
      </c>
      <c r="I1753" s="8" t="s">
        <v>5730</v>
      </c>
      <c r="J1753" s="8" t="s">
        <v>5731</v>
      </c>
    </row>
    <row r="1754">
      <c r="A1754" s="7">
        <v>2.0032717E7</v>
      </c>
      <c r="B1754" s="8" t="s">
        <v>5706</v>
      </c>
      <c r="C1754" s="8" t="s">
        <v>5732</v>
      </c>
      <c r="D1754" s="8" t="s">
        <v>16</v>
      </c>
      <c r="E1754" s="8" t="s">
        <v>17</v>
      </c>
      <c r="F1754" s="9">
        <v>46031.0</v>
      </c>
      <c r="G1754" s="8" t="s">
        <v>4170</v>
      </c>
      <c r="H1754" s="8" t="s">
        <v>1111</v>
      </c>
      <c r="I1754" s="8" t="s">
        <v>5733</v>
      </c>
      <c r="J1754" s="8" t="s">
        <v>5734</v>
      </c>
    </row>
    <row r="1755">
      <c r="A1755" s="7">
        <v>2.003109E7</v>
      </c>
      <c r="B1755" s="8" t="s">
        <v>5706</v>
      </c>
      <c r="C1755" s="8" t="s">
        <v>5735</v>
      </c>
      <c r="D1755" s="8" t="s">
        <v>16</v>
      </c>
      <c r="E1755" s="8" t="s">
        <v>17</v>
      </c>
      <c r="F1755" s="9">
        <v>46036.0</v>
      </c>
      <c r="G1755" s="8" t="s">
        <v>234</v>
      </c>
      <c r="H1755" s="8" t="s">
        <v>235</v>
      </c>
      <c r="I1755" s="8" t="s">
        <v>5736</v>
      </c>
      <c r="J1755" s="8" t="s">
        <v>5737</v>
      </c>
    </row>
    <row r="1756">
      <c r="A1756" s="7">
        <v>2.0031405E7</v>
      </c>
      <c r="B1756" s="8" t="s">
        <v>5706</v>
      </c>
      <c r="C1756" s="8" t="s">
        <v>5738</v>
      </c>
      <c r="D1756" s="8" t="s">
        <v>16</v>
      </c>
      <c r="E1756" s="8" t="s">
        <v>17</v>
      </c>
      <c r="F1756" s="9">
        <v>46028.0</v>
      </c>
      <c r="G1756" s="8" t="s">
        <v>1132</v>
      </c>
      <c r="H1756" s="8" t="s">
        <v>1133</v>
      </c>
      <c r="I1756" s="8" t="s">
        <v>5739</v>
      </c>
      <c r="J1756" s="8" t="s">
        <v>5740</v>
      </c>
    </row>
    <row r="1757">
      <c r="A1757" s="7">
        <v>2.0030962E7</v>
      </c>
      <c r="B1757" s="8" t="s">
        <v>5706</v>
      </c>
      <c r="C1757" s="8" t="s">
        <v>5741</v>
      </c>
      <c r="D1757" s="8" t="s">
        <v>16</v>
      </c>
      <c r="E1757" s="8" t="s">
        <v>48</v>
      </c>
      <c r="F1757" s="9">
        <v>46027.0</v>
      </c>
      <c r="G1757" s="8" t="s">
        <v>59</v>
      </c>
      <c r="H1757" s="8" t="s">
        <v>60</v>
      </c>
      <c r="I1757" s="8" t="s">
        <v>5742</v>
      </c>
      <c r="J1757" s="8" t="s">
        <v>5743</v>
      </c>
    </row>
    <row r="1758">
      <c r="A1758" s="7">
        <v>2.003076E7</v>
      </c>
      <c r="B1758" s="8" t="s">
        <v>5706</v>
      </c>
      <c r="C1758" s="8" t="s">
        <v>5744</v>
      </c>
      <c r="D1758" s="8" t="s">
        <v>16</v>
      </c>
      <c r="E1758" s="8" t="s">
        <v>17</v>
      </c>
      <c r="F1758" s="9">
        <v>46031.0</v>
      </c>
      <c r="G1758" s="8" t="s">
        <v>504</v>
      </c>
      <c r="H1758" s="8" t="s">
        <v>505</v>
      </c>
      <c r="I1758" s="8" t="s">
        <v>5745</v>
      </c>
      <c r="J1758" s="8" t="s">
        <v>5746</v>
      </c>
    </row>
    <row r="1759">
      <c r="A1759" s="7">
        <v>2.0030079E7</v>
      </c>
      <c r="B1759" s="8" t="s">
        <v>5706</v>
      </c>
      <c r="C1759" s="8" t="s">
        <v>5747</v>
      </c>
      <c r="D1759" s="8" t="s">
        <v>16</v>
      </c>
      <c r="E1759" s="8" t="s">
        <v>17</v>
      </c>
      <c r="F1759" s="9">
        <v>46034.0</v>
      </c>
      <c r="G1759" s="8" t="s">
        <v>400</v>
      </c>
      <c r="H1759" s="8" t="s">
        <v>401</v>
      </c>
      <c r="I1759" s="8" t="s">
        <v>5748</v>
      </c>
      <c r="J1759" s="8" t="s">
        <v>5749</v>
      </c>
    </row>
    <row r="1760">
      <c r="A1760" s="7">
        <v>2.0029417E7</v>
      </c>
      <c r="B1760" s="8" t="s">
        <v>5706</v>
      </c>
      <c r="C1760" s="8" t="s">
        <v>5750</v>
      </c>
      <c r="D1760" s="8" t="s">
        <v>16</v>
      </c>
      <c r="E1760" s="8" t="s">
        <v>17</v>
      </c>
      <c r="F1760" s="9">
        <v>46037.0</v>
      </c>
      <c r="G1760" s="8" t="s">
        <v>158</v>
      </c>
      <c r="H1760" s="8" t="s">
        <v>159</v>
      </c>
      <c r="I1760" s="8" t="s">
        <v>5751</v>
      </c>
      <c r="J1760" s="8" t="s">
        <v>5752</v>
      </c>
    </row>
    <row r="1761">
      <c r="A1761" s="7">
        <v>2.0030251E7</v>
      </c>
      <c r="B1761" s="8" t="s">
        <v>5706</v>
      </c>
      <c r="C1761" s="8" t="s">
        <v>5753</v>
      </c>
      <c r="D1761" s="8" t="s">
        <v>16</v>
      </c>
      <c r="E1761" s="8" t="s">
        <v>17</v>
      </c>
      <c r="F1761" s="9">
        <v>46028.0</v>
      </c>
      <c r="G1761" s="8" t="s">
        <v>34</v>
      </c>
      <c r="H1761" s="8" t="s">
        <v>35</v>
      </c>
      <c r="I1761" s="8" t="s">
        <v>5754</v>
      </c>
      <c r="J1761" s="8" t="s">
        <v>5755</v>
      </c>
    </row>
    <row r="1762">
      <c r="A1762" s="7">
        <v>2.0029835E7</v>
      </c>
      <c r="B1762" s="8" t="s">
        <v>5706</v>
      </c>
      <c r="C1762" s="8" t="s">
        <v>5756</v>
      </c>
      <c r="D1762" s="8" t="s">
        <v>16</v>
      </c>
      <c r="E1762" s="8" t="s">
        <v>17</v>
      </c>
      <c r="F1762" s="9">
        <v>46027.0</v>
      </c>
      <c r="G1762" s="8" t="s">
        <v>846</v>
      </c>
      <c r="H1762" s="8" t="s">
        <v>847</v>
      </c>
      <c r="I1762" s="8" t="s">
        <v>5757</v>
      </c>
      <c r="J1762" s="8" t="s">
        <v>5758</v>
      </c>
    </row>
    <row r="1763">
      <c r="A1763" s="7">
        <v>2.002989E7</v>
      </c>
      <c r="B1763" s="8" t="s">
        <v>5706</v>
      </c>
      <c r="C1763" s="8" t="s">
        <v>5759</v>
      </c>
      <c r="D1763" s="8" t="s">
        <v>16</v>
      </c>
      <c r="E1763" s="8" t="s">
        <v>17</v>
      </c>
      <c r="F1763" s="9">
        <v>46024.0</v>
      </c>
      <c r="G1763" s="8" t="s">
        <v>91</v>
      </c>
      <c r="H1763" s="8" t="s">
        <v>92</v>
      </c>
      <c r="I1763" s="8" t="s">
        <v>5760</v>
      </c>
      <c r="J1763" s="8" t="s">
        <v>5761</v>
      </c>
    </row>
    <row r="1764">
      <c r="A1764" s="7">
        <v>2.0029581E7</v>
      </c>
      <c r="B1764" s="8" t="s">
        <v>5706</v>
      </c>
      <c r="C1764" s="8" t="s">
        <v>5762</v>
      </c>
      <c r="D1764" s="8" t="s">
        <v>16</v>
      </c>
      <c r="E1764" s="8" t="s">
        <v>17</v>
      </c>
      <c r="F1764" s="9">
        <v>46024.0</v>
      </c>
      <c r="G1764" s="8" t="s">
        <v>339</v>
      </c>
      <c r="H1764" s="8" t="s">
        <v>340</v>
      </c>
      <c r="I1764" s="8" t="s">
        <v>5763</v>
      </c>
      <c r="J1764" s="8" t="s">
        <v>5764</v>
      </c>
    </row>
    <row r="1765">
      <c r="A1765" s="7">
        <v>2.0028529E7</v>
      </c>
      <c r="B1765" s="8" t="s">
        <v>5706</v>
      </c>
      <c r="C1765" s="8" t="s">
        <v>5765</v>
      </c>
      <c r="D1765" s="8" t="s">
        <v>16</v>
      </c>
      <c r="E1765" s="8" t="s">
        <v>17</v>
      </c>
      <c r="F1765" s="9">
        <v>46057.0</v>
      </c>
      <c r="G1765" s="8" t="s">
        <v>5766</v>
      </c>
      <c r="H1765" s="8" t="s">
        <v>4062</v>
      </c>
      <c r="I1765" s="8"/>
      <c r="J1765" s="8" t="s">
        <v>5767</v>
      </c>
    </row>
    <row r="1766">
      <c r="A1766" s="7">
        <v>2.0028529E7</v>
      </c>
      <c r="B1766" s="8" t="s">
        <v>5706</v>
      </c>
      <c r="C1766" s="8" t="s">
        <v>5765</v>
      </c>
      <c r="D1766" s="8" t="s">
        <v>16</v>
      </c>
      <c r="E1766" s="8" t="s">
        <v>17</v>
      </c>
      <c r="F1766" s="9">
        <v>46057.0</v>
      </c>
      <c r="G1766" s="8" t="s">
        <v>5768</v>
      </c>
      <c r="H1766" s="8" t="s">
        <v>5769</v>
      </c>
      <c r="I1766" s="8"/>
      <c r="J1766" s="8" t="s">
        <v>5770</v>
      </c>
    </row>
    <row r="1767">
      <c r="A1767" s="7">
        <v>2.0028529E7</v>
      </c>
      <c r="B1767" s="8" t="s">
        <v>5706</v>
      </c>
      <c r="C1767" s="8" t="s">
        <v>5765</v>
      </c>
      <c r="D1767" s="8" t="s">
        <v>16</v>
      </c>
      <c r="E1767" s="8" t="s">
        <v>17</v>
      </c>
      <c r="F1767" s="9">
        <v>46057.0</v>
      </c>
      <c r="G1767" s="8" t="s">
        <v>5766</v>
      </c>
      <c r="H1767" s="8" t="s">
        <v>4062</v>
      </c>
      <c r="I1767" s="8" t="s">
        <v>5771</v>
      </c>
      <c r="J1767" s="8" t="s">
        <v>5767</v>
      </c>
    </row>
    <row r="1768">
      <c r="A1768" s="7">
        <v>2.0028529E7</v>
      </c>
      <c r="B1768" s="8" t="s">
        <v>5706</v>
      </c>
      <c r="C1768" s="8" t="s">
        <v>5765</v>
      </c>
      <c r="D1768" s="8" t="s">
        <v>16</v>
      </c>
      <c r="E1768" s="8" t="s">
        <v>17</v>
      </c>
      <c r="F1768" s="9">
        <v>46057.0</v>
      </c>
      <c r="G1768" s="8" t="s">
        <v>5768</v>
      </c>
      <c r="H1768" s="8" t="s">
        <v>5769</v>
      </c>
      <c r="I1768" s="8" t="s">
        <v>5772</v>
      </c>
      <c r="J1768" s="8" t="s">
        <v>5770</v>
      </c>
    </row>
    <row r="1769">
      <c r="A1769" s="7">
        <v>2.0028589E7</v>
      </c>
      <c r="B1769" s="8" t="s">
        <v>5706</v>
      </c>
      <c r="C1769" s="8" t="s">
        <v>5773</v>
      </c>
      <c r="D1769" s="8" t="s">
        <v>16</v>
      </c>
      <c r="E1769" s="8" t="s">
        <v>17</v>
      </c>
      <c r="F1769" s="9">
        <v>46042.0</v>
      </c>
      <c r="G1769" s="8" t="s">
        <v>324</v>
      </c>
      <c r="H1769" s="8" t="s">
        <v>325</v>
      </c>
      <c r="I1769" s="8" t="s">
        <v>5774</v>
      </c>
      <c r="J1769" s="8" t="s">
        <v>5775</v>
      </c>
    </row>
    <row r="1770">
      <c r="A1770" s="7">
        <v>2.0058617E7</v>
      </c>
      <c r="B1770" s="8" t="s">
        <v>5776</v>
      </c>
      <c r="C1770" s="8" t="s">
        <v>5777</v>
      </c>
      <c r="D1770" s="8" t="s">
        <v>16</v>
      </c>
      <c r="E1770" s="8" t="s">
        <v>17</v>
      </c>
      <c r="F1770" s="9">
        <v>46136.0</v>
      </c>
      <c r="G1770" s="8" t="s">
        <v>59</v>
      </c>
      <c r="H1770" s="8" t="s">
        <v>60</v>
      </c>
      <c r="I1770" s="8" t="s">
        <v>5778</v>
      </c>
      <c r="J1770" s="8" t="s">
        <v>5779</v>
      </c>
    </row>
    <row r="1771">
      <c r="A1771" s="7">
        <v>2.0058183E7</v>
      </c>
      <c r="B1771" s="8" t="s">
        <v>5776</v>
      </c>
      <c r="C1771" s="8" t="s">
        <v>5780</v>
      </c>
      <c r="D1771" s="8" t="s">
        <v>16</v>
      </c>
      <c r="E1771" s="8" t="s">
        <v>17</v>
      </c>
      <c r="F1771" s="9">
        <v>46135.0</v>
      </c>
      <c r="G1771" s="8" t="s">
        <v>385</v>
      </c>
      <c r="H1771" s="8" t="s">
        <v>386</v>
      </c>
      <c r="I1771" s="8" t="s">
        <v>5781</v>
      </c>
      <c r="J1771" s="8" t="s">
        <v>5782</v>
      </c>
    </row>
    <row r="1772">
      <c r="A1772" s="7">
        <v>2.0054006E7</v>
      </c>
      <c r="B1772" s="8" t="s">
        <v>5776</v>
      </c>
      <c r="C1772" s="8" t="s">
        <v>5783</v>
      </c>
      <c r="D1772" s="8" t="s">
        <v>16</v>
      </c>
      <c r="E1772" s="8" t="s">
        <v>17</v>
      </c>
      <c r="F1772" s="9">
        <v>46126.0</v>
      </c>
      <c r="G1772" s="8" t="s">
        <v>3549</v>
      </c>
      <c r="H1772" s="8" t="s">
        <v>5784</v>
      </c>
      <c r="I1772" s="8" t="s">
        <v>5785</v>
      </c>
      <c r="J1772" s="8" t="s">
        <v>5786</v>
      </c>
    </row>
    <row r="1773">
      <c r="A1773" s="7">
        <v>2.0053294E7</v>
      </c>
      <c r="B1773" s="8" t="s">
        <v>5776</v>
      </c>
      <c r="C1773" s="8" t="s">
        <v>5787</v>
      </c>
      <c r="D1773" s="8" t="s">
        <v>16</v>
      </c>
      <c r="E1773" s="8" t="s">
        <v>17</v>
      </c>
      <c r="F1773" s="9">
        <v>46130.0</v>
      </c>
      <c r="G1773" s="8" t="s">
        <v>3136</v>
      </c>
      <c r="H1773" s="8" t="s">
        <v>3137</v>
      </c>
      <c r="I1773" s="8" t="s">
        <v>5788</v>
      </c>
      <c r="J1773" s="8"/>
    </row>
    <row r="1774">
      <c r="A1774" s="7">
        <v>2.0040517E7</v>
      </c>
      <c r="B1774" s="8" t="s">
        <v>5776</v>
      </c>
      <c r="C1774" s="8" t="s">
        <v>5789</v>
      </c>
      <c r="D1774" s="8" t="s">
        <v>16</v>
      </c>
      <c r="E1774" s="8" t="s">
        <v>17</v>
      </c>
      <c r="F1774" s="9">
        <v>46070.0</v>
      </c>
      <c r="G1774" s="8" t="s">
        <v>282</v>
      </c>
      <c r="H1774" s="8" t="s">
        <v>71</v>
      </c>
      <c r="I1774" s="8" t="s">
        <v>5790</v>
      </c>
      <c r="J1774" s="8" t="s">
        <v>5791</v>
      </c>
    </row>
    <row r="1775">
      <c r="A1775" s="7">
        <v>2.0040225E7</v>
      </c>
      <c r="B1775" s="8" t="s">
        <v>5776</v>
      </c>
      <c r="C1775" s="8" t="s">
        <v>5792</v>
      </c>
      <c r="D1775" s="8" t="s">
        <v>16</v>
      </c>
      <c r="E1775" s="8" t="s">
        <v>17</v>
      </c>
      <c r="F1775" s="9">
        <v>46077.0</v>
      </c>
      <c r="G1775" s="8" t="s">
        <v>18</v>
      </c>
      <c r="H1775" s="8" t="s">
        <v>19</v>
      </c>
      <c r="I1775" s="8" t="s">
        <v>5793</v>
      </c>
      <c r="J1775" s="8" t="s">
        <v>5794</v>
      </c>
    </row>
    <row r="1776">
      <c r="A1776" s="7">
        <v>2.0033164E7</v>
      </c>
      <c r="B1776" s="8" t="s">
        <v>5776</v>
      </c>
      <c r="C1776" s="8" t="s">
        <v>5795</v>
      </c>
      <c r="D1776" s="8" t="s">
        <v>16</v>
      </c>
      <c r="E1776" s="8" t="s">
        <v>17</v>
      </c>
      <c r="F1776" s="9">
        <v>46036.0</v>
      </c>
      <c r="G1776" s="8" t="s">
        <v>517</v>
      </c>
      <c r="H1776" s="8" t="s">
        <v>518</v>
      </c>
      <c r="I1776" s="8" t="s">
        <v>5796</v>
      </c>
      <c r="J1776" s="8" t="s">
        <v>5797</v>
      </c>
    </row>
    <row r="1777">
      <c r="A1777" s="7">
        <v>2.0033385E7</v>
      </c>
      <c r="B1777" s="8" t="s">
        <v>5776</v>
      </c>
      <c r="C1777" s="8" t="s">
        <v>5798</v>
      </c>
      <c r="D1777" s="8" t="s">
        <v>16</v>
      </c>
      <c r="E1777" s="8" t="s">
        <v>17</v>
      </c>
      <c r="F1777" s="9">
        <v>46036.0</v>
      </c>
      <c r="G1777" s="8" t="s">
        <v>273</v>
      </c>
      <c r="H1777" s="8" t="s">
        <v>274</v>
      </c>
      <c r="I1777" s="8" t="s">
        <v>5799</v>
      </c>
      <c r="J1777" s="8" t="s">
        <v>5800</v>
      </c>
    </row>
    <row r="1778">
      <c r="A1778" s="7">
        <v>2.0032667E7</v>
      </c>
      <c r="B1778" s="8" t="s">
        <v>5776</v>
      </c>
      <c r="C1778" s="8" t="s">
        <v>5801</v>
      </c>
      <c r="D1778" s="8" t="s">
        <v>16</v>
      </c>
      <c r="E1778" s="8" t="s">
        <v>17</v>
      </c>
      <c r="F1778" s="9">
        <v>46047.0</v>
      </c>
      <c r="G1778" s="8" t="s">
        <v>195</v>
      </c>
      <c r="H1778" s="8" t="s">
        <v>196</v>
      </c>
      <c r="I1778" s="8" t="s">
        <v>5802</v>
      </c>
      <c r="J1778" s="8" t="s">
        <v>5803</v>
      </c>
    </row>
    <row r="1779">
      <c r="A1779" s="7">
        <v>2.0032666E7</v>
      </c>
      <c r="B1779" s="8" t="s">
        <v>5776</v>
      </c>
      <c r="C1779" s="8" t="s">
        <v>5804</v>
      </c>
      <c r="D1779" s="8" t="s">
        <v>16</v>
      </c>
      <c r="E1779" s="8" t="s">
        <v>17</v>
      </c>
      <c r="F1779" s="9">
        <v>46047.0</v>
      </c>
      <c r="G1779" s="8" t="s">
        <v>247</v>
      </c>
      <c r="H1779" s="8" t="s">
        <v>248</v>
      </c>
      <c r="I1779" s="8" t="s">
        <v>5805</v>
      </c>
      <c r="J1779" s="8" t="s">
        <v>5806</v>
      </c>
    </row>
    <row r="1780">
      <c r="A1780" s="7">
        <v>2.0033279E7</v>
      </c>
      <c r="B1780" s="8" t="s">
        <v>5776</v>
      </c>
      <c r="C1780" s="8" t="s">
        <v>5807</v>
      </c>
      <c r="D1780" s="8" t="s">
        <v>16</v>
      </c>
      <c r="E1780" s="8" t="s">
        <v>17</v>
      </c>
      <c r="F1780" s="9">
        <v>46045.0</v>
      </c>
      <c r="G1780" s="8" t="s">
        <v>5808</v>
      </c>
      <c r="H1780" s="8" t="s">
        <v>5809</v>
      </c>
      <c r="I1780" s="8" t="s">
        <v>5810</v>
      </c>
      <c r="J1780" s="8" t="s">
        <v>5811</v>
      </c>
    </row>
    <row r="1781">
      <c r="A1781" s="7">
        <v>2.0033279E7</v>
      </c>
      <c r="B1781" s="8" t="s">
        <v>5776</v>
      </c>
      <c r="C1781" s="8" t="s">
        <v>5807</v>
      </c>
      <c r="D1781" s="8" t="s">
        <v>16</v>
      </c>
      <c r="E1781" s="8" t="s">
        <v>17</v>
      </c>
      <c r="F1781" s="9">
        <v>46045.0</v>
      </c>
      <c r="G1781" s="8" t="s">
        <v>5812</v>
      </c>
      <c r="H1781" s="8" t="s">
        <v>5813</v>
      </c>
      <c r="I1781" s="8" t="s">
        <v>5814</v>
      </c>
      <c r="J1781" s="8" t="s">
        <v>5815</v>
      </c>
    </row>
    <row r="1782">
      <c r="A1782" s="7">
        <v>2.0032928E7</v>
      </c>
      <c r="B1782" s="8" t="s">
        <v>5776</v>
      </c>
      <c r="C1782" s="8" t="s">
        <v>5816</v>
      </c>
      <c r="D1782" s="8" t="s">
        <v>16</v>
      </c>
      <c r="E1782" s="8" t="s">
        <v>17</v>
      </c>
      <c r="F1782" s="9">
        <v>46042.0</v>
      </c>
      <c r="G1782" s="8" t="s">
        <v>400</v>
      </c>
      <c r="H1782" s="8" t="s">
        <v>401</v>
      </c>
      <c r="I1782" s="8" t="s">
        <v>5817</v>
      </c>
      <c r="J1782" s="8" t="s">
        <v>5818</v>
      </c>
    </row>
    <row r="1783">
      <c r="A1783" s="7">
        <v>2.0032922E7</v>
      </c>
      <c r="B1783" s="8" t="s">
        <v>5776</v>
      </c>
      <c r="C1783" s="8" t="s">
        <v>5819</v>
      </c>
      <c r="D1783" s="8" t="s">
        <v>16</v>
      </c>
      <c r="E1783" s="8" t="s">
        <v>17</v>
      </c>
      <c r="F1783" s="9">
        <v>46045.0</v>
      </c>
      <c r="G1783" s="8" t="s">
        <v>361</v>
      </c>
      <c r="H1783" s="8" t="s">
        <v>362</v>
      </c>
      <c r="I1783" s="8" t="s">
        <v>5820</v>
      </c>
      <c r="J1783" s="8" t="s">
        <v>5821</v>
      </c>
    </row>
    <row r="1784">
      <c r="A1784" s="7">
        <v>2.0032923E7</v>
      </c>
      <c r="B1784" s="8" t="s">
        <v>5776</v>
      </c>
      <c r="C1784" s="8" t="s">
        <v>5822</v>
      </c>
      <c r="D1784" s="8" t="s">
        <v>16</v>
      </c>
      <c r="E1784" s="8" t="s">
        <v>17</v>
      </c>
      <c r="F1784" s="9">
        <v>46042.0</v>
      </c>
      <c r="G1784" s="8" t="s">
        <v>3965</v>
      </c>
      <c r="H1784" s="8" t="s">
        <v>3966</v>
      </c>
      <c r="I1784" s="8" t="s">
        <v>5823</v>
      </c>
      <c r="J1784" s="8" t="s">
        <v>5824</v>
      </c>
    </row>
    <row r="1785">
      <c r="A1785" s="7">
        <v>2.003239E7</v>
      </c>
      <c r="B1785" s="8" t="s">
        <v>5776</v>
      </c>
      <c r="C1785" s="8" t="s">
        <v>5825</v>
      </c>
      <c r="D1785" s="8" t="s">
        <v>16</v>
      </c>
      <c r="E1785" s="8" t="s">
        <v>17</v>
      </c>
      <c r="F1785" s="9">
        <v>46043.0</v>
      </c>
      <c r="G1785" s="8" t="s">
        <v>184</v>
      </c>
      <c r="H1785" s="8" t="s">
        <v>185</v>
      </c>
      <c r="I1785" s="8" t="s">
        <v>5826</v>
      </c>
      <c r="J1785" s="8" t="s">
        <v>5827</v>
      </c>
    </row>
    <row r="1786">
      <c r="A1786" s="7">
        <v>2.0031823E7</v>
      </c>
      <c r="B1786" s="8" t="s">
        <v>5776</v>
      </c>
      <c r="C1786" s="8" t="s">
        <v>5828</v>
      </c>
      <c r="D1786" s="8" t="s">
        <v>16</v>
      </c>
      <c r="E1786" s="8" t="s">
        <v>17</v>
      </c>
      <c r="F1786" s="9">
        <v>46036.0</v>
      </c>
      <c r="G1786" s="8" t="s">
        <v>34</v>
      </c>
      <c r="H1786" s="8" t="s">
        <v>35</v>
      </c>
      <c r="I1786" s="8" t="s">
        <v>5829</v>
      </c>
      <c r="J1786" s="8" t="s">
        <v>5830</v>
      </c>
    </row>
    <row r="1787">
      <c r="A1787" s="7">
        <v>2.0031823E7</v>
      </c>
      <c r="B1787" s="8" t="s">
        <v>5776</v>
      </c>
      <c r="C1787" s="8" t="s">
        <v>5828</v>
      </c>
      <c r="D1787" s="8" t="s">
        <v>16</v>
      </c>
      <c r="E1787" s="8" t="s">
        <v>17</v>
      </c>
      <c r="F1787" s="9">
        <v>46036.0</v>
      </c>
      <c r="G1787" s="8" t="s">
        <v>2511</v>
      </c>
      <c r="H1787" s="8" t="s">
        <v>2512</v>
      </c>
      <c r="I1787" s="8" t="s">
        <v>5831</v>
      </c>
      <c r="J1787" s="8" t="s">
        <v>5832</v>
      </c>
    </row>
    <row r="1788">
      <c r="A1788" s="7">
        <v>2.00324E7</v>
      </c>
      <c r="B1788" s="8" t="s">
        <v>5776</v>
      </c>
      <c r="C1788" s="8" t="s">
        <v>5833</v>
      </c>
      <c r="D1788" s="8" t="s">
        <v>16</v>
      </c>
      <c r="E1788" s="8" t="s">
        <v>17</v>
      </c>
      <c r="F1788" s="9">
        <v>46033.0</v>
      </c>
      <c r="G1788" s="8" t="s">
        <v>2589</v>
      </c>
      <c r="H1788" s="8" t="s">
        <v>208</v>
      </c>
      <c r="I1788" s="8" t="s">
        <v>5834</v>
      </c>
      <c r="J1788" s="8" t="s">
        <v>5835</v>
      </c>
    </row>
    <row r="1789">
      <c r="A1789" s="7">
        <v>2.0032136E7</v>
      </c>
      <c r="B1789" s="8" t="s">
        <v>5776</v>
      </c>
      <c r="C1789" s="8" t="s">
        <v>5836</v>
      </c>
      <c r="D1789" s="8" t="s">
        <v>16</v>
      </c>
      <c r="E1789" s="8" t="s">
        <v>17</v>
      </c>
      <c r="F1789" s="9">
        <v>46035.0</v>
      </c>
      <c r="G1789" s="8" t="s">
        <v>59</v>
      </c>
      <c r="H1789" s="8" t="s">
        <v>60</v>
      </c>
      <c r="I1789" s="8" t="s">
        <v>5837</v>
      </c>
      <c r="J1789" s="8" t="s">
        <v>5838</v>
      </c>
    </row>
    <row r="1790">
      <c r="A1790" s="7">
        <v>2.0031812E7</v>
      </c>
      <c r="B1790" s="8" t="s">
        <v>5776</v>
      </c>
      <c r="C1790" s="8" t="s">
        <v>5839</v>
      </c>
      <c r="D1790" s="8" t="s">
        <v>16</v>
      </c>
      <c r="E1790" s="8" t="s">
        <v>17</v>
      </c>
      <c r="F1790" s="9">
        <v>46035.0</v>
      </c>
      <c r="G1790" s="8" t="s">
        <v>339</v>
      </c>
      <c r="H1790" s="8" t="s">
        <v>340</v>
      </c>
      <c r="I1790" s="8" t="s">
        <v>5840</v>
      </c>
      <c r="J1790" s="8" t="s">
        <v>5841</v>
      </c>
    </row>
    <row r="1791">
      <c r="A1791" s="7">
        <v>2.0030935E7</v>
      </c>
      <c r="B1791" s="8" t="s">
        <v>5776</v>
      </c>
      <c r="C1791" s="8" t="s">
        <v>5842</v>
      </c>
      <c r="D1791" s="8" t="s">
        <v>16</v>
      </c>
      <c r="E1791" s="8" t="s">
        <v>48</v>
      </c>
      <c r="F1791" s="9">
        <v>46058.0</v>
      </c>
      <c r="G1791" s="8" t="s">
        <v>978</v>
      </c>
      <c r="H1791" s="8" t="s">
        <v>979</v>
      </c>
      <c r="I1791" s="8"/>
      <c r="J1791" s="8" t="s">
        <v>5843</v>
      </c>
    </row>
    <row r="1792">
      <c r="A1792" s="7">
        <v>2.0030935E7</v>
      </c>
      <c r="B1792" s="8" t="s">
        <v>5776</v>
      </c>
      <c r="C1792" s="8" t="s">
        <v>5842</v>
      </c>
      <c r="D1792" s="8" t="s">
        <v>16</v>
      </c>
      <c r="E1792" s="8" t="s">
        <v>48</v>
      </c>
      <c r="F1792" s="9">
        <v>46058.0</v>
      </c>
      <c r="G1792" s="8" t="s">
        <v>978</v>
      </c>
      <c r="H1792" s="8" t="s">
        <v>979</v>
      </c>
      <c r="I1792" s="8" t="s">
        <v>5844</v>
      </c>
      <c r="J1792" s="8" t="s">
        <v>5843</v>
      </c>
    </row>
    <row r="1793">
      <c r="A1793" s="7">
        <v>2.0029849E7</v>
      </c>
      <c r="B1793" s="8" t="s">
        <v>5776</v>
      </c>
      <c r="C1793" s="8" t="s">
        <v>5845</v>
      </c>
      <c r="D1793" s="8" t="s">
        <v>16</v>
      </c>
      <c r="E1793" s="8" t="s">
        <v>17</v>
      </c>
      <c r="F1793" s="9">
        <v>46031.0</v>
      </c>
      <c r="G1793" s="8" t="s">
        <v>119</v>
      </c>
      <c r="H1793" s="8" t="s">
        <v>120</v>
      </c>
      <c r="I1793" s="8" t="s">
        <v>5846</v>
      </c>
      <c r="J1793" s="8" t="s">
        <v>5847</v>
      </c>
    </row>
    <row r="1794">
      <c r="A1794" s="7">
        <v>2.0030811E7</v>
      </c>
      <c r="B1794" s="8" t="s">
        <v>5776</v>
      </c>
      <c r="C1794" s="8" t="s">
        <v>5848</v>
      </c>
      <c r="D1794" s="8" t="s">
        <v>16</v>
      </c>
      <c r="E1794" s="8" t="s">
        <v>17</v>
      </c>
      <c r="F1794" s="9">
        <v>46043.0</v>
      </c>
      <c r="G1794" s="8" t="s">
        <v>29</v>
      </c>
      <c r="H1794" s="8" t="s">
        <v>30</v>
      </c>
      <c r="I1794" s="8" t="s">
        <v>5849</v>
      </c>
      <c r="J1794" s="8" t="s">
        <v>5850</v>
      </c>
    </row>
    <row r="1795">
      <c r="A1795" s="7">
        <v>2.0031808E7</v>
      </c>
      <c r="B1795" s="8" t="s">
        <v>5776</v>
      </c>
      <c r="C1795" s="8" t="s">
        <v>5851</v>
      </c>
      <c r="D1795" s="8" t="s">
        <v>16</v>
      </c>
      <c r="E1795" s="8" t="s">
        <v>17</v>
      </c>
      <c r="F1795" s="9">
        <v>46043.0</v>
      </c>
      <c r="G1795" s="8" t="s">
        <v>666</v>
      </c>
      <c r="H1795" s="8" t="s">
        <v>667</v>
      </c>
      <c r="I1795" s="8" t="s">
        <v>5852</v>
      </c>
      <c r="J1795" s="8" t="s">
        <v>5853</v>
      </c>
    </row>
    <row r="1796">
      <c r="A1796" s="7">
        <v>2.0031816E7</v>
      </c>
      <c r="B1796" s="8" t="s">
        <v>5776</v>
      </c>
      <c r="C1796" s="8" t="s">
        <v>5854</v>
      </c>
      <c r="D1796" s="8" t="s">
        <v>16</v>
      </c>
      <c r="E1796" s="8" t="s">
        <v>700</v>
      </c>
      <c r="F1796" s="9">
        <v>46030.0</v>
      </c>
      <c r="G1796" s="8" t="s">
        <v>220</v>
      </c>
      <c r="H1796" s="8" t="s">
        <v>221</v>
      </c>
      <c r="I1796" s="8" t="s">
        <v>5855</v>
      </c>
      <c r="J1796" s="8" t="s">
        <v>5856</v>
      </c>
    </row>
    <row r="1797">
      <c r="A1797" s="7">
        <v>2.0030434E7</v>
      </c>
      <c r="B1797" s="8" t="s">
        <v>5776</v>
      </c>
      <c r="C1797" s="8" t="s">
        <v>5857</v>
      </c>
      <c r="D1797" s="8" t="s">
        <v>16</v>
      </c>
      <c r="E1797" s="8" t="s">
        <v>17</v>
      </c>
      <c r="F1797" s="9">
        <v>46033.0</v>
      </c>
      <c r="G1797" s="8" t="s">
        <v>3027</v>
      </c>
      <c r="H1797" s="8" t="s">
        <v>909</v>
      </c>
      <c r="I1797" s="8" t="s">
        <v>5858</v>
      </c>
      <c r="J1797" s="8" t="s">
        <v>5859</v>
      </c>
    </row>
    <row r="1798">
      <c r="A1798" s="7">
        <v>2.0031435E7</v>
      </c>
      <c r="B1798" s="8" t="s">
        <v>5776</v>
      </c>
      <c r="C1798" s="8" t="s">
        <v>5860</v>
      </c>
      <c r="D1798" s="8" t="s">
        <v>16</v>
      </c>
      <c r="E1798" s="8" t="s">
        <v>17</v>
      </c>
      <c r="F1798" s="9">
        <v>46059.0</v>
      </c>
      <c r="G1798" s="8" t="s">
        <v>5861</v>
      </c>
      <c r="H1798" s="8" t="s">
        <v>5862</v>
      </c>
      <c r="I1798" s="8" t="s">
        <v>5863</v>
      </c>
      <c r="J1798" s="8" t="s">
        <v>5864</v>
      </c>
    </row>
    <row r="1799">
      <c r="A1799" s="7">
        <v>2.0031435E7</v>
      </c>
      <c r="B1799" s="8" t="s">
        <v>5776</v>
      </c>
      <c r="C1799" s="8" t="s">
        <v>5860</v>
      </c>
      <c r="D1799" s="8" t="s">
        <v>16</v>
      </c>
      <c r="E1799" s="8" t="s">
        <v>17</v>
      </c>
      <c r="F1799" s="9">
        <v>46059.0</v>
      </c>
      <c r="G1799" s="8" t="s">
        <v>5861</v>
      </c>
      <c r="H1799" s="8" t="s">
        <v>5862</v>
      </c>
      <c r="I1799" s="8" t="s">
        <v>5865</v>
      </c>
      <c r="J1799" s="8" t="s">
        <v>5864</v>
      </c>
    </row>
    <row r="1800">
      <c r="A1800" s="7">
        <v>2.0031435E7</v>
      </c>
      <c r="B1800" s="8" t="s">
        <v>5776</v>
      </c>
      <c r="C1800" s="8" t="s">
        <v>5860</v>
      </c>
      <c r="D1800" s="8" t="s">
        <v>16</v>
      </c>
      <c r="E1800" s="8" t="s">
        <v>17</v>
      </c>
      <c r="F1800" s="9">
        <v>46059.0</v>
      </c>
      <c r="G1800" s="8" t="s">
        <v>5866</v>
      </c>
      <c r="H1800" s="8" t="s">
        <v>1111</v>
      </c>
      <c r="I1800" s="8" t="s">
        <v>5867</v>
      </c>
      <c r="J1800" s="8" t="s">
        <v>5868</v>
      </c>
    </row>
    <row r="1801">
      <c r="A1801" s="7">
        <v>2.0031436E7</v>
      </c>
      <c r="B1801" s="8" t="s">
        <v>5776</v>
      </c>
      <c r="C1801" s="8" t="s">
        <v>5869</v>
      </c>
      <c r="D1801" s="8" t="s">
        <v>16</v>
      </c>
      <c r="E1801" s="8" t="s">
        <v>17</v>
      </c>
      <c r="F1801" s="9">
        <v>46058.0</v>
      </c>
      <c r="G1801" s="8" t="s">
        <v>5870</v>
      </c>
      <c r="H1801" s="8" t="s">
        <v>1294</v>
      </c>
      <c r="I1801" s="8" t="s">
        <v>5871</v>
      </c>
      <c r="J1801" s="8" t="s">
        <v>5871</v>
      </c>
    </row>
    <row r="1802">
      <c r="A1802" s="7">
        <v>2.0031436E7</v>
      </c>
      <c r="B1802" s="8" t="s">
        <v>5776</v>
      </c>
      <c r="C1802" s="8" t="s">
        <v>5869</v>
      </c>
      <c r="D1802" s="8" t="s">
        <v>16</v>
      </c>
      <c r="E1802" s="8" t="s">
        <v>17</v>
      </c>
      <c r="F1802" s="9">
        <v>46058.0</v>
      </c>
      <c r="G1802" s="8" t="s">
        <v>5870</v>
      </c>
      <c r="H1802" s="8" t="s">
        <v>1294</v>
      </c>
      <c r="I1802" s="8" t="s">
        <v>5872</v>
      </c>
      <c r="J1802" s="8" t="s">
        <v>5873</v>
      </c>
    </row>
    <row r="1803">
      <c r="A1803" s="7">
        <v>2.0031436E7</v>
      </c>
      <c r="B1803" s="8" t="s">
        <v>5776</v>
      </c>
      <c r="C1803" s="8" t="s">
        <v>5869</v>
      </c>
      <c r="D1803" s="8" t="s">
        <v>16</v>
      </c>
      <c r="E1803" s="8" t="s">
        <v>17</v>
      </c>
      <c r="F1803" s="9">
        <v>46058.0</v>
      </c>
      <c r="G1803" s="8" t="s">
        <v>2625</v>
      </c>
      <c r="H1803" s="8" t="s">
        <v>827</v>
      </c>
      <c r="I1803" s="8" t="s">
        <v>5874</v>
      </c>
      <c r="J1803" s="8" t="s">
        <v>5875</v>
      </c>
    </row>
    <row r="1804">
      <c r="A1804" s="7">
        <v>2.0031427E7</v>
      </c>
      <c r="B1804" s="8" t="s">
        <v>5776</v>
      </c>
      <c r="C1804" s="8" t="s">
        <v>5876</v>
      </c>
      <c r="D1804" s="8" t="s">
        <v>16</v>
      </c>
      <c r="E1804" s="8" t="s">
        <v>17</v>
      </c>
      <c r="F1804" s="9">
        <v>46032.0</v>
      </c>
      <c r="G1804" s="8" t="s">
        <v>365</v>
      </c>
      <c r="H1804" s="8" t="s">
        <v>366</v>
      </c>
      <c r="I1804" s="8" t="s">
        <v>5877</v>
      </c>
      <c r="J1804" s="8" t="s">
        <v>5878</v>
      </c>
    </row>
    <row r="1805">
      <c r="A1805" s="7">
        <v>2.0030433E7</v>
      </c>
      <c r="B1805" s="8" t="s">
        <v>5776</v>
      </c>
      <c r="C1805" s="8" t="s">
        <v>5879</v>
      </c>
      <c r="D1805" s="8" t="s">
        <v>16</v>
      </c>
      <c r="E1805" s="8" t="s">
        <v>17</v>
      </c>
      <c r="F1805" s="9">
        <v>46030.0</v>
      </c>
      <c r="G1805" s="8" t="s">
        <v>908</v>
      </c>
      <c r="H1805" s="8" t="s">
        <v>909</v>
      </c>
      <c r="I1805" s="8" t="s">
        <v>5880</v>
      </c>
      <c r="J1805" s="8" t="s">
        <v>5881</v>
      </c>
    </row>
    <row r="1806">
      <c r="A1806" s="7">
        <v>2.0030171E7</v>
      </c>
      <c r="B1806" s="8" t="s">
        <v>5776</v>
      </c>
      <c r="C1806" s="8" t="s">
        <v>5882</v>
      </c>
      <c r="D1806" s="8" t="s">
        <v>16</v>
      </c>
      <c r="E1806" s="8" t="s">
        <v>17</v>
      </c>
      <c r="F1806" s="9">
        <v>46032.0</v>
      </c>
      <c r="G1806" s="8" t="s">
        <v>339</v>
      </c>
      <c r="H1806" s="8" t="s">
        <v>340</v>
      </c>
      <c r="I1806" s="8" t="s">
        <v>5883</v>
      </c>
      <c r="J1806" s="8" t="s">
        <v>5884</v>
      </c>
    </row>
    <row r="1807">
      <c r="A1807" s="7">
        <v>2.0030036E7</v>
      </c>
      <c r="B1807" s="8" t="s">
        <v>5776</v>
      </c>
      <c r="C1807" s="8" t="s">
        <v>5885</v>
      </c>
      <c r="D1807" s="8" t="s">
        <v>16</v>
      </c>
      <c r="E1807" s="8" t="s">
        <v>17</v>
      </c>
      <c r="F1807" s="9">
        <v>46026.0</v>
      </c>
      <c r="G1807" s="8" t="s">
        <v>385</v>
      </c>
      <c r="H1807" s="8" t="s">
        <v>386</v>
      </c>
      <c r="I1807" s="8" t="s">
        <v>5886</v>
      </c>
      <c r="J1807" s="8" t="s">
        <v>5887</v>
      </c>
    </row>
    <row r="1808">
      <c r="A1808" s="7">
        <v>2.0030963E7</v>
      </c>
      <c r="B1808" s="8" t="s">
        <v>5776</v>
      </c>
      <c r="C1808" s="8" t="s">
        <v>5888</v>
      </c>
      <c r="D1808" s="8" t="s">
        <v>16</v>
      </c>
      <c r="E1808" s="8" t="s">
        <v>17</v>
      </c>
      <c r="F1808" s="9">
        <v>46028.0</v>
      </c>
      <c r="G1808" s="8" t="s">
        <v>91</v>
      </c>
      <c r="H1808" s="8" t="s">
        <v>92</v>
      </c>
      <c r="I1808" s="8" t="s">
        <v>5889</v>
      </c>
      <c r="J1808" s="8" t="s">
        <v>5890</v>
      </c>
    </row>
    <row r="1809">
      <c r="A1809" s="7">
        <v>2.0030671E7</v>
      </c>
      <c r="B1809" s="8" t="s">
        <v>5776</v>
      </c>
      <c r="C1809" s="8" t="s">
        <v>5891</v>
      </c>
      <c r="D1809" s="8" t="s">
        <v>16</v>
      </c>
      <c r="E1809" s="8" t="s">
        <v>17</v>
      </c>
      <c r="F1809" s="9">
        <v>46040.0</v>
      </c>
      <c r="G1809" s="8" t="s">
        <v>64</v>
      </c>
      <c r="H1809" s="8" t="s">
        <v>65</v>
      </c>
      <c r="I1809" s="8" t="s">
        <v>5892</v>
      </c>
      <c r="J1809" s="8" t="s">
        <v>5893</v>
      </c>
    </row>
    <row r="1810">
      <c r="A1810" s="7">
        <v>2.0030425E7</v>
      </c>
      <c r="B1810" s="8" t="s">
        <v>5776</v>
      </c>
      <c r="C1810" s="8" t="s">
        <v>5894</v>
      </c>
      <c r="D1810" s="8" t="s">
        <v>16</v>
      </c>
      <c r="E1810" s="8" t="s">
        <v>17</v>
      </c>
      <c r="F1810" s="9">
        <v>46025.0</v>
      </c>
      <c r="G1810" s="8" t="s">
        <v>365</v>
      </c>
      <c r="H1810" s="8" t="s">
        <v>366</v>
      </c>
      <c r="I1810" s="8" t="s">
        <v>5895</v>
      </c>
      <c r="J1810" s="8" t="s">
        <v>5896</v>
      </c>
    </row>
    <row r="1811">
      <c r="A1811" s="7">
        <v>2.002967E7</v>
      </c>
      <c r="B1811" s="8" t="s">
        <v>5776</v>
      </c>
      <c r="C1811" s="8" t="s">
        <v>5897</v>
      </c>
      <c r="D1811" s="8" t="s">
        <v>16</v>
      </c>
      <c r="E1811" s="8" t="s">
        <v>17</v>
      </c>
      <c r="F1811" s="9">
        <v>46042.0</v>
      </c>
      <c r="G1811" s="8" t="s">
        <v>5570</v>
      </c>
      <c r="H1811" s="8" t="s">
        <v>5571</v>
      </c>
      <c r="I1811" s="8"/>
      <c r="J1811" s="8" t="s">
        <v>5898</v>
      </c>
    </row>
    <row r="1812">
      <c r="A1812" s="7">
        <v>2.0028459E7</v>
      </c>
      <c r="B1812" s="8" t="s">
        <v>5776</v>
      </c>
      <c r="C1812" s="8" t="s">
        <v>5899</v>
      </c>
      <c r="D1812" s="8" t="s">
        <v>16</v>
      </c>
      <c r="E1812" s="8" t="s">
        <v>17</v>
      </c>
      <c r="F1812" s="9">
        <v>46025.0</v>
      </c>
      <c r="G1812" s="8" t="s">
        <v>5900</v>
      </c>
      <c r="H1812" s="8" t="s">
        <v>5901</v>
      </c>
      <c r="I1812" s="8" t="s">
        <v>5902</v>
      </c>
      <c r="J1812" s="8" t="s">
        <v>5903</v>
      </c>
    </row>
    <row r="1813">
      <c r="A1813" s="7">
        <v>2.0028459E7</v>
      </c>
      <c r="B1813" s="8" t="s">
        <v>5776</v>
      </c>
      <c r="C1813" s="8" t="s">
        <v>5899</v>
      </c>
      <c r="D1813" s="8" t="s">
        <v>16</v>
      </c>
      <c r="E1813" s="8" t="s">
        <v>17</v>
      </c>
      <c r="F1813" s="9">
        <v>46025.0</v>
      </c>
      <c r="G1813" s="8" t="s">
        <v>1007</v>
      </c>
      <c r="H1813" s="8" t="s">
        <v>1008</v>
      </c>
      <c r="I1813" s="8" t="s">
        <v>5904</v>
      </c>
      <c r="J1813" s="8" t="s">
        <v>5905</v>
      </c>
    </row>
    <row r="1814">
      <c r="A1814" s="7">
        <v>2.0028118E7</v>
      </c>
      <c r="B1814" s="8" t="s">
        <v>5776</v>
      </c>
      <c r="C1814" s="8" t="s">
        <v>5906</v>
      </c>
      <c r="D1814" s="8" t="s">
        <v>16</v>
      </c>
      <c r="E1814" s="8" t="s">
        <v>17</v>
      </c>
      <c r="F1814" s="9">
        <v>46040.0</v>
      </c>
      <c r="G1814" s="8" t="s">
        <v>319</v>
      </c>
      <c r="H1814" s="8" t="s">
        <v>320</v>
      </c>
      <c r="I1814" s="8" t="s">
        <v>5907</v>
      </c>
      <c r="J1814" s="8" t="s">
        <v>5908</v>
      </c>
    </row>
    <row r="1815">
      <c r="A1815" s="7">
        <v>2.0058324E7</v>
      </c>
      <c r="B1815" s="8" t="s">
        <v>5909</v>
      </c>
      <c r="C1815" s="8" t="s">
        <v>5910</v>
      </c>
      <c r="D1815" s="8" t="s">
        <v>16</v>
      </c>
      <c r="E1815" s="8" t="s">
        <v>17</v>
      </c>
      <c r="F1815" s="9">
        <v>46146.0</v>
      </c>
      <c r="G1815" s="8" t="s">
        <v>630</v>
      </c>
      <c r="H1815" s="8" t="s">
        <v>631</v>
      </c>
      <c r="I1815" s="8" t="s">
        <v>5911</v>
      </c>
      <c r="J1815" s="8"/>
    </row>
    <row r="1816">
      <c r="A1816" s="7">
        <v>2.005383E7</v>
      </c>
      <c r="B1816" s="8" t="s">
        <v>5909</v>
      </c>
      <c r="C1816" s="8" t="s">
        <v>5912</v>
      </c>
      <c r="D1816" s="8" t="s">
        <v>16</v>
      </c>
      <c r="E1816" s="8" t="s">
        <v>17</v>
      </c>
      <c r="F1816" s="9">
        <v>46125.0</v>
      </c>
      <c r="G1816" s="8" t="s">
        <v>220</v>
      </c>
      <c r="H1816" s="8" t="s">
        <v>221</v>
      </c>
      <c r="I1816" s="8" t="s">
        <v>5913</v>
      </c>
      <c r="J1816" s="8" t="s">
        <v>5914</v>
      </c>
    </row>
    <row r="1817">
      <c r="A1817" s="7">
        <v>2.0059233E7</v>
      </c>
      <c r="B1817" s="8" t="s">
        <v>5909</v>
      </c>
      <c r="C1817" s="8" t="s">
        <v>5915</v>
      </c>
      <c r="D1817" s="8" t="s">
        <v>16</v>
      </c>
      <c r="E1817" s="8" t="s">
        <v>17</v>
      </c>
      <c r="F1817" s="9">
        <v>46155.0</v>
      </c>
      <c r="G1817" s="8" t="s">
        <v>5916</v>
      </c>
      <c r="H1817" s="8" t="s">
        <v>5917</v>
      </c>
      <c r="I1817" s="8" t="s">
        <v>5918</v>
      </c>
      <c r="J1817" s="8" t="s">
        <v>5919</v>
      </c>
    </row>
    <row r="1818">
      <c r="A1818" s="7">
        <v>2.0059779E7</v>
      </c>
      <c r="B1818" s="8" t="s">
        <v>5909</v>
      </c>
      <c r="C1818" s="8" t="s">
        <v>5920</v>
      </c>
      <c r="D1818" s="8" t="s">
        <v>16</v>
      </c>
      <c r="E1818" s="8" t="s">
        <v>17</v>
      </c>
      <c r="F1818" s="9">
        <v>46182.0</v>
      </c>
      <c r="G1818" s="8" t="s">
        <v>158</v>
      </c>
      <c r="H1818" s="8" t="s">
        <v>159</v>
      </c>
      <c r="I1818" s="8" t="s">
        <v>5921</v>
      </c>
      <c r="J1818" s="8"/>
    </row>
    <row r="1819">
      <c r="A1819" s="7">
        <v>2.005783E7</v>
      </c>
      <c r="B1819" s="8" t="s">
        <v>5909</v>
      </c>
      <c r="C1819" s="8" t="s">
        <v>5922</v>
      </c>
      <c r="D1819" s="8" t="s">
        <v>16</v>
      </c>
      <c r="E1819" s="8" t="s">
        <v>17</v>
      </c>
      <c r="F1819" s="9">
        <v>46180.0</v>
      </c>
      <c r="G1819" s="8" t="s">
        <v>5127</v>
      </c>
      <c r="H1819" s="8" t="s">
        <v>5128</v>
      </c>
      <c r="I1819" s="8" t="s">
        <v>5923</v>
      </c>
      <c r="J1819" s="8"/>
    </row>
    <row r="1820">
      <c r="A1820" s="7">
        <v>2.006292E7</v>
      </c>
      <c r="B1820" s="8" t="s">
        <v>5909</v>
      </c>
      <c r="C1820" s="8" t="s">
        <v>5924</v>
      </c>
      <c r="D1820" s="8" t="s">
        <v>16</v>
      </c>
      <c r="E1820" s="8" t="s">
        <v>17</v>
      </c>
      <c r="F1820" s="9">
        <v>46158.0</v>
      </c>
      <c r="G1820" s="8" t="s">
        <v>3572</v>
      </c>
      <c r="H1820" s="8" t="s">
        <v>3573</v>
      </c>
      <c r="I1820" s="8" t="s">
        <v>5925</v>
      </c>
      <c r="J1820" s="8" t="s">
        <v>5926</v>
      </c>
    </row>
    <row r="1821">
      <c r="A1821" s="7">
        <v>2.0062652E7</v>
      </c>
      <c r="B1821" s="8" t="s">
        <v>5909</v>
      </c>
      <c r="C1821" s="8" t="s">
        <v>5927</v>
      </c>
      <c r="D1821" s="8" t="s">
        <v>16</v>
      </c>
      <c r="E1821" s="8" t="s">
        <v>17</v>
      </c>
      <c r="F1821" s="9">
        <v>46185.0</v>
      </c>
      <c r="G1821" s="8" t="s">
        <v>1627</v>
      </c>
      <c r="H1821" s="8" t="s">
        <v>1628</v>
      </c>
      <c r="I1821" s="8" t="s">
        <v>5928</v>
      </c>
      <c r="J1821" s="8"/>
    </row>
    <row r="1822">
      <c r="A1822" s="7">
        <v>2.0055857E7</v>
      </c>
      <c r="B1822" s="8" t="s">
        <v>5909</v>
      </c>
      <c r="C1822" s="8" t="s">
        <v>5929</v>
      </c>
      <c r="D1822" s="8" t="s">
        <v>16</v>
      </c>
      <c r="E1822" s="8" t="s">
        <v>17</v>
      </c>
      <c r="F1822" s="9">
        <v>46193.0</v>
      </c>
      <c r="G1822" s="8" t="s">
        <v>436</v>
      </c>
      <c r="H1822" s="8" t="s">
        <v>437</v>
      </c>
      <c r="I1822" s="8" t="s">
        <v>5930</v>
      </c>
      <c r="J1822" s="8"/>
    </row>
    <row r="1823">
      <c r="A1823" s="7">
        <v>2.0055857E7</v>
      </c>
      <c r="B1823" s="8" t="s">
        <v>5909</v>
      </c>
      <c r="C1823" s="8" t="s">
        <v>5929</v>
      </c>
      <c r="D1823" s="8" t="s">
        <v>16</v>
      </c>
      <c r="E1823" s="8" t="s">
        <v>17</v>
      </c>
      <c r="F1823" s="9">
        <v>46193.0</v>
      </c>
      <c r="G1823" s="8" t="s">
        <v>436</v>
      </c>
      <c r="H1823" s="8" t="s">
        <v>437</v>
      </c>
      <c r="I1823" s="8" t="s">
        <v>5931</v>
      </c>
      <c r="J1823" s="8"/>
    </row>
    <row r="1824">
      <c r="A1824" s="7">
        <v>2.0056825E7</v>
      </c>
      <c r="B1824" s="8" t="s">
        <v>5909</v>
      </c>
      <c r="C1824" s="8" t="s">
        <v>5932</v>
      </c>
      <c r="D1824" s="8" t="s">
        <v>16</v>
      </c>
      <c r="E1824" s="8" t="s">
        <v>17</v>
      </c>
      <c r="F1824" s="9">
        <v>46141.0</v>
      </c>
      <c r="G1824" s="8" t="s">
        <v>34</v>
      </c>
      <c r="H1824" s="8" t="s">
        <v>35</v>
      </c>
      <c r="I1824" s="8" t="s">
        <v>5933</v>
      </c>
      <c r="J1824" s="8" t="s">
        <v>5934</v>
      </c>
    </row>
    <row r="1825">
      <c r="A1825" s="7">
        <v>2.0061959E7</v>
      </c>
      <c r="B1825" s="8" t="s">
        <v>5909</v>
      </c>
      <c r="C1825" s="8" t="s">
        <v>5935</v>
      </c>
      <c r="D1825" s="8" t="s">
        <v>16</v>
      </c>
      <c r="E1825" s="8" t="s">
        <v>17</v>
      </c>
      <c r="F1825" s="9">
        <v>46182.0</v>
      </c>
      <c r="G1825" s="8" t="s">
        <v>2749</v>
      </c>
      <c r="H1825" s="8" t="s">
        <v>2750</v>
      </c>
      <c r="I1825" s="8" t="s">
        <v>5936</v>
      </c>
      <c r="J1825" s="8"/>
    </row>
    <row r="1826">
      <c r="A1826" s="7">
        <v>2.0067681E7</v>
      </c>
      <c r="B1826" s="8" t="s">
        <v>5909</v>
      </c>
      <c r="C1826" s="8" t="s">
        <v>5937</v>
      </c>
      <c r="D1826" s="8" t="s">
        <v>16</v>
      </c>
      <c r="E1826" s="8" t="s">
        <v>17</v>
      </c>
      <c r="F1826" s="9">
        <v>46193.0</v>
      </c>
      <c r="G1826" s="8" t="s">
        <v>5938</v>
      </c>
      <c r="H1826" s="8" t="s">
        <v>5939</v>
      </c>
      <c r="I1826" s="8" t="s">
        <v>5940</v>
      </c>
      <c r="J1826" s="8"/>
    </row>
    <row r="1827">
      <c r="A1827" s="7">
        <v>2.0067954E7</v>
      </c>
      <c r="B1827" s="8" t="s">
        <v>5909</v>
      </c>
      <c r="C1827" s="8" t="s">
        <v>5941</v>
      </c>
      <c r="D1827" s="8" t="s">
        <v>16</v>
      </c>
      <c r="E1827" s="8" t="s">
        <v>17</v>
      </c>
      <c r="F1827" s="9">
        <v>46187.0</v>
      </c>
      <c r="G1827" s="8" t="s">
        <v>630</v>
      </c>
      <c r="H1827" s="8" t="s">
        <v>631</v>
      </c>
      <c r="I1827" s="8" t="s">
        <v>5942</v>
      </c>
      <c r="J1827" s="8"/>
    </row>
    <row r="1828">
      <c r="A1828" s="7">
        <v>2.0062894E7</v>
      </c>
      <c r="B1828" s="8" t="s">
        <v>5909</v>
      </c>
      <c r="C1828" s="8" t="s">
        <v>5943</v>
      </c>
      <c r="D1828" s="8" t="s">
        <v>16</v>
      </c>
      <c r="E1828" s="8" t="s">
        <v>17</v>
      </c>
      <c r="F1828" s="9">
        <v>46187.0</v>
      </c>
      <c r="G1828" s="8" t="s">
        <v>158</v>
      </c>
      <c r="H1828" s="8" t="s">
        <v>159</v>
      </c>
      <c r="I1828" s="8" t="s">
        <v>5944</v>
      </c>
      <c r="J1828" s="8"/>
    </row>
    <row r="1829">
      <c r="A1829" s="7">
        <v>2.0058551E7</v>
      </c>
      <c r="B1829" s="8" t="s">
        <v>5909</v>
      </c>
      <c r="C1829" s="8" t="s">
        <v>5945</v>
      </c>
      <c r="D1829" s="8" t="s">
        <v>16</v>
      </c>
      <c r="E1829" s="8" t="s">
        <v>17</v>
      </c>
      <c r="F1829" s="9">
        <v>46180.0</v>
      </c>
      <c r="G1829" s="8" t="s">
        <v>436</v>
      </c>
      <c r="H1829" s="8" t="s">
        <v>437</v>
      </c>
      <c r="I1829" s="8" t="s">
        <v>5946</v>
      </c>
      <c r="J1829" s="8"/>
    </row>
    <row r="1830">
      <c r="A1830" s="7">
        <v>2.0040408E7</v>
      </c>
      <c r="B1830" s="8" t="s">
        <v>2484</v>
      </c>
      <c r="C1830" s="8" t="s">
        <v>5947</v>
      </c>
      <c r="D1830" s="8" t="s">
        <v>16</v>
      </c>
      <c r="E1830" s="8" t="s">
        <v>17</v>
      </c>
      <c r="F1830" s="9">
        <v>46072.0</v>
      </c>
      <c r="G1830" s="8" t="s">
        <v>59</v>
      </c>
      <c r="H1830" s="8" t="s">
        <v>60</v>
      </c>
      <c r="I1830" s="8" t="s">
        <v>5948</v>
      </c>
      <c r="J1830" s="8" t="s">
        <v>5949</v>
      </c>
    </row>
    <row r="1831">
      <c r="A1831" s="7">
        <v>2.0040822E7</v>
      </c>
      <c r="B1831" s="8" t="s">
        <v>2484</v>
      </c>
      <c r="C1831" s="8" t="s">
        <v>5950</v>
      </c>
      <c r="D1831" s="8" t="s">
        <v>16</v>
      </c>
      <c r="E1831" s="8" t="s">
        <v>17</v>
      </c>
      <c r="F1831" s="9">
        <v>46080.0</v>
      </c>
      <c r="G1831" s="8" t="s">
        <v>5951</v>
      </c>
      <c r="H1831" s="8" t="s">
        <v>5952</v>
      </c>
      <c r="I1831" s="8" t="s">
        <v>5953</v>
      </c>
      <c r="J1831" s="8" t="s">
        <v>5954</v>
      </c>
    </row>
    <row r="1832">
      <c r="A1832" s="7">
        <v>2.0068536E7</v>
      </c>
      <c r="B1832" s="8" t="s">
        <v>2484</v>
      </c>
      <c r="C1832" s="8" t="s">
        <v>5955</v>
      </c>
      <c r="D1832" s="8" t="s">
        <v>16</v>
      </c>
      <c r="E1832" s="8" t="s">
        <v>17</v>
      </c>
      <c r="F1832" s="9">
        <v>46186.0</v>
      </c>
      <c r="G1832" s="8" t="s">
        <v>822</v>
      </c>
      <c r="H1832" s="8" t="s">
        <v>3985</v>
      </c>
      <c r="I1832" s="8" t="s">
        <v>5956</v>
      </c>
      <c r="J1832" s="8" t="s">
        <v>5957</v>
      </c>
    </row>
    <row r="1833">
      <c r="A1833" s="7">
        <v>2.0067901E7</v>
      </c>
      <c r="B1833" s="8" t="s">
        <v>2484</v>
      </c>
      <c r="C1833" s="8" t="s">
        <v>5958</v>
      </c>
      <c r="D1833" s="8" t="s">
        <v>16</v>
      </c>
      <c r="E1833" s="8" t="s">
        <v>17</v>
      </c>
      <c r="F1833" s="9">
        <v>46179.0</v>
      </c>
      <c r="G1833" s="8" t="s">
        <v>5479</v>
      </c>
      <c r="H1833" s="8" t="s">
        <v>5480</v>
      </c>
      <c r="I1833" s="8" t="s">
        <v>5959</v>
      </c>
      <c r="J1833" s="8" t="s">
        <v>5960</v>
      </c>
    </row>
    <row r="1834">
      <c r="A1834" s="7">
        <v>2.0062921E7</v>
      </c>
      <c r="B1834" s="8" t="s">
        <v>2484</v>
      </c>
      <c r="C1834" s="8" t="s">
        <v>5961</v>
      </c>
      <c r="D1834" s="8" t="s">
        <v>16</v>
      </c>
      <c r="E1834" s="8" t="s">
        <v>17</v>
      </c>
      <c r="F1834" s="9">
        <v>46183.0</v>
      </c>
      <c r="G1834" s="8" t="s">
        <v>124</v>
      </c>
      <c r="H1834" s="8" t="s">
        <v>125</v>
      </c>
      <c r="I1834" s="8" t="s">
        <v>5962</v>
      </c>
      <c r="J1834" s="8" t="s">
        <v>5963</v>
      </c>
    </row>
    <row r="1835">
      <c r="A1835" s="7">
        <v>2.0057556E7</v>
      </c>
      <c r="B1835" s="8" t="s">
        <v>2484</v>
      </c>
      <c r="C1835" s="8" t="s">
        <v>5964</v>
      </c>
      <c r="D1835" s="8" t="s">
        <v>16</v>
      </c>
      <c r="E1835" s="8" t="s">
        <v>17</v>
      </c>
      <c r="F1835" s="9">
        <v>46153.0</v>
      </c>
      <c r="G1835" s="8" t="s">
        <v>688</v>
      </c>
      <c r="H1835" s="8" t="s">
        <v>689</v>
      </c>
      <c r="I1835" s="8" t="s">
        <v>5965</v>
      </c>
      <c r="J1835" s="8" t="s">
        <v>5966</v>
      </c>
    </row>
    <row r="1836">
      <c r="A1836" s="7">
        <v>2.0056406E7</v>
      </c>
      <c r="B1836" s="8" t="s">
        <v>2484</v>
      </c>
      <c r="C1836" s="8" t="s">
        <v>5967</v>
      </c>
      <c r="D1836" s="8" t="s">
        <v>16</v>
      </c>
      <c r="E1836" s="8" t="s">
        <v>17</v>
      </c>
      <c r="F1836" s="9">
        <v>46145.0</v>
      </c>
      <c r="G1836" s="8" t="s">
        <v>171</v>
      </c>
      <c r="H1836" s="8" t="s">
        <v>172</v>
      </c>
      <c r="I1836" s="8" t="s">
        <v>5968</v>
      </c>
      <c r="J1836" s="8" t="s">
        <v>5969</v>
      </c>
    </row>
    <row r="1837">
      <c r="A1837" s="7">
        <v>2.0054583E7</v>
      </c>
      <c r="B1837" s="8" t="s">
        <v>2484</v>
      </c>
      <c r="C1837" s="8" t="s">
        <v>5970</v>
      </c>
      <c r="D1837" s="8" t="s">
        <v>16</v>
      </c>
      <c r="E1837" s="8" t="s">
        <v>17</v>
      </c>
      <c r="F1837" s="9">
        <v>46118.0</v>
      </c>
      <c r="G1837" s="8" t="s">
        <v>846</v>
      </c>
      <c r="H1837" s="8" t="s">
        <v>847</v>
      </c>
      <c r="I1837" s="8" t="s">
        <v>5971</v>
      </c>
      <c r="J1837" s="8" t="s">
        <v>5972</v>
      </c>
    </row>
    <row r="1838">
      <c r="A1838" s="7">
        <v>2.0052918E7</v>
      </c>
      <c r="B1838" s="8" t="s">
        <v>2484</v>
      </c>
      <c r="C1838" s="8" t="s">
        <v>5973</v>
      </c>
      <c r="D1838" s="8" t="s">
        <v>16</v>
      </c>
      <c r="E1838" s="8" t="s">
        <v>17</v>
      </c>
      <c r="F1838" s="9">
        <v>46121.0</v>
      </c>
      <c r="G1838" s="8" t="s">
        <v>5916</v>
      </c>
      <c r="H1838" s="8" t="s">
        <v>5917</v>
      </c>
      <c r="I1838" s="8" t="s">
        <v>5974</v>
      </c>
      <c r="J1838" s="8" t="s">
        <v>5975</v>
      </c>
    </row>
    <row r="1839">
      <c r="A1839" s="7">
        <v>2.0051164E7</v>
      </c>
      <c r="B1839" s="8" t="s">
        <v>2484</v>
      </c>
      <c r="C1839" s="8" t="s">
        <v>5976</v>
      </c>
      <c r="D1839" s="8" t="s">
        <v>16</v>
      </c>
      <c r="E1839" s="8" t="s">
        <v>17</v>
      </c>
      <c r="F1839" s="9">
        <v>46101.0</v>
      </c>
      <c r="G1839" s="8" t="s">
        <v>59</v>
      </c>
      <c r="H1839" s="8" t="s">
        <v>60</v>
      </c>
      <c r="I1839" s="8" t="s">
        <v>5977</v>
      </c>
      <c r="J1839" s="8" t="s">
        <v>5978</v>
      </c>
    </row>
    <row r="1840">
      <c r="A1840" s="7">
        <v>2.0070265E7</v>
      </c>
      <c r="B1840" s="8" t="s">
        <v>2484</v>
      </c>
      <c r="C1840" s="8" t="s">
        <v>5979</v>
      </c>
      <c r="D1840" s="8" t="s">
        <v>16</v>
      </c>
      <c r="E1840" s="8" t="s">
        <v>17</v>
      </c>
      <c r="F1840" s="9">
        <v>46189.0</v>
      </c>
      <c r="G1840" s="8" t="s">
        <v>4616</v>
      </c>
      <c r="H1840" s="8" t="s">
        <v>4617</v>
      </c>
      <c r="I1840" s="8" t="s">
        <v>5980</v>
      </c>
      <c r="J1840" s="8" t="s">
        <v>5981</v>
      </c>
    </row>
    <row r="1841">
      <c r="A1841" s="7">
        <v>2.0067999E7</v>
      </c>
      <c r="B1841" s="8" t="s">
        <v>2484</v>
      </c>
      <c r="C1841" s="8" t="s">
        <v>5982</v>
      </c>
      <c r="D1841" s="8" t="s">
        <v>16</v>
      </c>
      <c r="E1841" s="8" t="s">
        <v>17</v>
      </c>
      <c r="F1841" s="9">
        <v>46185.0</v>
      </c>
      <c r="G1841" s="8" t="s">
        <v>59</v>
      </c>
      <c r="H1841" s="8" t="s">
        <v>60</v>
      </c>
      <c r="I1841" s="8" t="s">
        <v>5983</v>
      </c>
      <c r="J1841" s="8" t="s">
        <v>5984</v>
      </c>
    </row>
    <row r="1842">
      <c r="A1842" s="7">
        <v>2.0063818E7</v>
      </c>
      <c r="B1842" s="8" t="s">
        <v>2484</v>
      </c>
      <c r="C1842" s="8" t="s">
        <v>5985</v>
      </c>
      <c r="D1842" s="8" t="s">
        <v>16</v>
      </c>
      <c r="E1842" s="8" t="s">
        <v>17</v>
      </c>
      <c r="F1842" s="9">
        <v>46167.0</v>
      </c>
      <c r="G1842" s="8" t="s">
        <v>59</v>
      </c>
      <c r="H1842" s="8" t="s">
        <v>60</v>
      </c>
      <c r="I1842" s="8" t="s">
        <v>5986</v>
      </c>
      <c r="J1842" s="8" t="s">
        <v>5987</v>
      </c>
    </row>
    <row r="1843">
      <c r="A1843" s="7">
        <v>2.006121E7</v>
      </c>
      <c r="B1843" s="8" t="s">
        <v>2484</v>
      </c>
      <c r="C1843" s="8" t="s">
        <v>5988</v>
      </c>
      <c r="D1843" s="8" t="s">
        <v>16</v>
      </c>
      <c r="E1843" s="8" t="s">
        <v>17</v>
      </c>
      <c r="F1843" s="9">
        <v>46145.0</v>
      </c>
      <c r="G1843" s="8" t="s">
        <v>34</v>
      </c>
      <c r="H1843" s="8" t="s">
        <v>35</v>
      </c>
      <c r="I1843" s="8" t="s">
        <v>5989</v>
      </c>
      <c r="J1843" s="8" t="s">
        <v>5990</v>
      </c>
    </row>
    <row r="1844">
      <c r="A1844" s="7">
        <v>2.0063664E7</v>
      </c>
      <c r="B1844" s="8" t="s">
        <v>2484</v>
      </c>
      <c r="C1844" s="8" t="s">
        <v>5991</v>
      </c>
      <c r="D1844" s="8" t="s">
        <v>16</v>
      </c>
      <c r="E1844" s="8" t="s">
        <v>17</v>
      </c>
      <c r="F1844" s="9">
        <v>46155.0</v>
      </c>
      <c r="G1844" s="8" t="s">
        <v>882</v>
      </c>
      <c r="H1844" s="8" t="s">
        <v>883</v>
      </c>
      <c r="I1844" s="8" t="s">
        <v>5992</v>
      </c>
      <c r="J1844" s="8" t="s">
        <v>5993</v>
      </c>
    </row>
    <row r="1845">
      <c r="A1845" s="7">
        <v>2.0044826E7</v>
      </c>
      <c r="B1845" s="8" t="s">
        <v>2484</v>
      </c>
      <c r="C1845" s="8" t="s">
        <v>5994</v>
      </c>
      <c r="D1845" s="8" t="s">
        <v>16</v>
      </c>
      <c r="E1845" s="8" t="s">
        <v>17</v>
      </c>
      <c r="F1845" s="9">
        <v>46102.0</v>
      </c>
      <c r="G1845" s="8" t="s">
        <v>2079</v>
      </c>
      <c r="H1845" s="8" t="s">
        <v>2080</v>
      </c>
      <c r="I1845" s="8" t="s">
        <v>5995</v>
      </c>
      <c r="J1845" s="8" t="s">
        <v>5996</v>
      </c>
    </row>
    <row r="1846">
      <c r="A1846" s="7">
        <v>2.0037857E7</v>
      </c>
      <c r="B1846" s="8" t="s">
        <v>2484</v>
      </c>
      <c r="C1846" s="8" t="s">
        <v>5997</v>
      </c>
      <c r="D1846" s="8" t="s">
        <v>16</v>
      </c>
      <c r="E1846" s="8" t="s">
        <v>17</v>
      </c>
      <c r="F1846" s="9">
        <v>46061.0</v>
      </c>
      <c r="G1846" s="8" t="s">
        <v>1746</v>
      </c>
      <c r="H1846" s="8" t="s">
        <v>4130</v>
      </c>
      <c r="I1846" s="8" t="s">
        <v>5998</v>
      </c>
      <c r="J1846" s="8" t="s">
        <v>5999</v>
      </c>
    </row>
    <row r="1847">
      <c r="A1847" s="7">
        <v>2.0035449E7</v>
      </c>
      <c r="B1847" s="8" t="s">
        <v>2484</v>
      </c>
      <c r="C1847" s="8" t="s">
        <v>6000</v>
      </c>
      <c r="D1847" s="8" t="s">
        <v>16</v>
      </c>
      <c r="E1847" s="8" t="s">
        <v>17</v>
      </c>
      <c r="F1847" s="9">
        <v>46044.0</v>
      </c>
      <c r="G1847" s="8" t="s">
        <v>91</v>
      </c>
      <c r="H1847" s="8" t="s">
        <v>92</v>
      </c>
      <c r="I1847" s="8" t="s">
        <v>6001</v>
      </c>
      <c r="J1847" s="8" t="s">
        <v>6002</v>
      </c>
    </row>
    <row r="1848">
      <c r="A1848" s="7">
        <v>2.0070484E7</v>
      </c>
      <c r="B1848" s="8" t="s">
        <v>2484</v>
      </c>
      <c r="C1848" s="8" t="s">
        <v>6003</v>
      </c>
      <c r="D1848" s="8" t="s">
        <v>16</v>
      </c>
      <c r="E1848" s="8" t="s">
        <v>17</v>
      </c>
      <c r="F1848" s="9">
        <v>46191.0</v>
      </c>
      <c r="G1848" s="8" t="s">
        <v>3012</v>
      </c>
      <c r="H1848" s="8" t="s">
        <v>3013</v>
      </c>
      <c r="I1848" s="8" t="s">
        <v>6004</v>
      </c>
      <c r="J1848" s="8" t="s">
        <v>6005</v>
      </c>
    </row>
    <row r="1849">
      <c r="A1849" s="7">
        <v>2.0067241E7</v>
      </c>
      <c r="B1849" s="8" t="s">
        <v>2484</v>
      </c>
      <c r="C1849" s="8" t="s">
        <v>6006</v>
      </c>
      <c r="D1849" s="8" t="s">
        <v>16</v>
      </c>
      <c r="E1849" s="8" t="s">
        <v>17</v>
      </c>
      <c r="F1849" s="9">
        <v>46170.0</v>
      </c>
      <c r="G1849" s="8" t="s">
        <v>385</v>
      </c>
      <c r="H1849" s="8" t="s">
        <v>386</v>
      </c>
      <c r="I1849" s="8" t="s">
        <v>6007</v>
      </c>
      <c r="J1849" s="8" t="s">
        <v>6008</v>
      </c>
    </row>
    <row r="1850">
      <c r="A1850" s="7">
        <v>2.0062406E7</v>
      </c>
      <c r="B1850" s="8" t="s">
        <v>2484</v>
      </c>
      <c r="C1850" s="8" t="s">
        <v>6009</v>
      </c>
      <c r="D1850" s="8" t="s">
        <v>16</v>
      </c>
      <c r="E1850" s="8" t="s">
        <v>17</v>
      </c>
      <c r="F1850" s="9">
        <v>46161.0</v>
      </c>
      <c r="G1850" s="8" t="s">
        <v>54</v>
      </c>
      <c r="H1850" s="8" t="s">
        <v>6010</v>
      </c>
      <c r="I1850" s="8" t="s">
        <v>6011</v>
      </c>
      <c r="J1850" s="8" t="s">
        <v>6012</v>
      </c>
    </row>
    <row r="1851">
      <c r="A1851" s="7">
        <v>2.0057497E7</v>
      </c>
      <c r="B1851" s="8" t="s">
        <v>2484</v>
      </c>
      <c r="C1851" s="8" t="s">
        <v>6013</v>
      </c>
      <c r="D1851" s="8" t="s">
        <v>16</v>
      </c>
      <c r="E1851" s="8" t="s">
        <v>17</v>
      </c>
      <c r="F1851" s="9">
        <v>46140.0</v>
      </c>
      <c r="G1851" s="8" t="s">
        <v>882</v>
      </c>
      <c r="H1851" s="8" t="s">
        <v>883</v>
      </c>
      <c r="I1851" s="8" t="s">
        <v>6014</v>
      </c>
      <c r="J1851" s="8" t="s">
        <v>6015</v>
      </c>
    </row>
    <row r="1852">
      <c r="A1852" s="7">
        <v>2.0054951E7</v>
      </c>
      <c r="B1852" s="8" t="s">
        <v>2484</v>
      </c>
      <c r="C1852" s="8" t="s">
        <v>6016</v>
      </c>
      <c r="D1852" s="8" t="s">
        <v>16</v>
      </c>
      <c r="E1852" s="8" t="s">
        <v>17</v>
      </c>
      <c r="F1852" s="9">
        <v>46133.0</v>
      </c>
      <c r="G1852" s="8" t="s">
        <v>59</v>
      </c>
      <c r="H1852" s="8" t="s">
        <v>60</v>
      </c>
      <c r="I1852" s="8" t="s">
        <v>6017</v>
      </c>
      <c r="J1852" s="8" t="s">
        <v>6018</v>
      </c>
    </row>
    <row r="1853">
      <c r="A1853" s="7">
        <v>2.0050177E7</v>
      </c>
      <c r="B1853" s="8" t="s">
        <v>2484</v>
      </c>
      <c r="C1853" s="8" t="s">
        <v>6019</v>
      </c>
      <c r="D1853" s="8" t="s">
        <v>16</v>
      </c>
      <c r="E1853" s="8" t="s">
        <v>17</v>
      </c>
      <c r="F1853" s="9">
        <v>46105.0</v>
      </c>
      <c r="G1853" s="8" t="s">
        <v>4850</v>
      </c>
      <c r="H1853" s="8" t="s">
        <v>4851</v>
      </c>
      <c r="I1853" s="8" t="s">
        <v>6020</v>
      </c>
      <c r="J1853" s="8" t="s">
        <v>6021</v>
      </c>
    </row>
    <row r="1854">
      <c r="A1854" s="7">
        <v>2.0050177E7</v>
      </c>
      <c r="B1854" s="8" t="s">
        <v>2484</v>
      </c>
      <c r="C1854" s="8" t="s">
        <v>6019</v>
      </c>
      <c r="D1854" s="8" t="s">
        <v>16</v>
      </c>
      <c r="E1854" s="8" t="s">
        <v>17</v>
      </c>
      <c r="F1854" s="9">
        <v>46105.0</v>
      </c>
      <c r="G1854" s="8" t="s">
        <v>2511</v>
      </c>
      <c r="H1854" s="8" t="s">
        <v>2512</v>
      </c>
      <c r="I1854" s="8" t="s">
        <v>6022</v>
      </c>
      <c r="J1854" s="8" t="s">
        <v>6023</v>
      </c>
    </row>
    <row r="1855">
      <c r="A1855" s="7">
        <v>2.0038865E7</v>
      </c>
      <c r="B1855" s="8" t="s">
        <v>2484</v>
      </c>
      <c r="C1855" s="8" t="s">
        <v>6024</v>
      </c>
      <c r="D1855" s="8" t="s">
        <v>16</v>
      </c>
      <c r="E1855" s="8" t="s">
        <v>17</v>
      </c>
      <c r="F1855" s="9">
        <v>46066.0</v>
      </c>
      <c r="G1855" s="8" t="s">
        <v>273</v>
      </c>
      <c r="H1855" s="8" t="s">
        <v>274</v>
      </c>
      <c r="I1855" s="8" t="s">
        <v>6025</v>
      </c>
      <c r="J1855" s="8" t="s">
        <v>6026</v>
      </c>
    </row>
    <row r="1856">
      <c r="A1856" s="7">
        <v>2.0038871E7</v>
      </c>
      <c r="B1856" s="8" t="s">
        <v>2484</v>
      </c>
      <c r="C1856" s="8" t="s">
        <v>6027</v>
      </c>
      <c r="D1856" s="8" t="s">
        <v>16</v>
      </c>
      <c r="E1856" s="8" t="s">
        <v>17</v>
      </c>
      <c r="F1856" s="9">
        <v>46067.0</v>
      </c>
      <c r="G1856" s="8" t="s">
        <v>195</v>
      </c>
      <c r="H1856" s="8" t="s">
        <v>196</v>
      </c>
      <c r="I1856" s="8" t="s">
        <v>6028</v>
      </c>
      <c r="J1856" s="8" t="s">
        <v>6029</v>
      </c>
    </row>
    <row r="1857">
      <c r="A1857" s="7">
        <v>2.0037019E7</v>
      </c>
      <c r="B1857" s="8" t="s">
        <v>2484</v>
      </c>
      <c r="C1857" s="8" t="s">
        <v>6030</v>
      </c>
      <c r="D1857" s="8" t="s">
        <v>16</v>
      </c>
      <c r="E1857" s="8" t="s">
        <v>17</v>
      </c>
      <c r="F1857" s="9">
        <v>46055.0</v>
      </c>
      <c r="G1857" s="8" t="s">
        <v>6031</v>
      </c>
      <c r="H1857" s="8" t="s">
        <v>6032</v>
      </c>
      <c r="I1857" s="8" t="s">
        <v>6033</v>
      </c>
      <c r="J1857" s="8" t="s">
        <v>6034</v>
      </c>
    </row>
    <row r="1858">
      <c r="A1858" s="7">
        <v>2.0037019E7</v>
      </c>
      <c r="B1858" s="8" t="s">
        <v>2484</v>
      </c>
      <c r="C1858" s="8" t="s">
        <v>6030</v>
      </c>
      <c r="D1858" s="8" t="s">
        <v>16</v>
      </c>
      <c r="E1858" s="8" t="s">
        <v>17</v>
      </c>
      <c r="F1858" s="9">
        <v>46055.0</v>
      </c>
      <c r="G1858" s="8" t="s">
        <v>846</v>
      </c>
      <c r="H1858" s="8" t="s">
        <v>847</v>
      </c>
      <c r="I1858" s="8" t="s">
        <v>6035</v>
      </c>
      <c r="J1858" s="8" t="s">
        <v>6036</v>
      </c>
    </row>
    <row r="1859">
      <c r="A1859" s="7">
        <v>2.0069449E7</v>
      </c>
      <c r="B1859" s="8" t="s">
        <v>2484</v>
      </c>
      <c r="C1859" s="8" t="s">
        <v>6037</v>
      </c>
      <c r="D1859" s="8" t="s">
        <v>16</v>
      </c>
      <c r="E1859" s="8" t="s">
        <v>17</v>
      </c>
      <c r="F1859" s="9">
        <v>46191.0</v>
      </c>
      <c r="G1859" s="8" t="s">
        <v>6038</v>
      </c>
      <c r="H1859" s="8" t="s">
        <v>6039</v>
      </c>
      <c r="I1859" s="8" t="s">
        <v>6040</v>
      </c>
      <c r="J1859" s="8" t="s">
        <v>6041</v>
      </c>
    </row>
    <row r="1860">
      <c r="A1860" s="7">
        <v>2.006924E7</v>
      </c>
      <c r="B1860" s="8" t="s">
        <v>2484</v>
      </c>
      <c r="C1860" s="8" t="s">
        <v>6042</v>
      </c>
      <c r="D1860" s="8" t="s">
        <v>16</v>
      </c>
      <c r="E1860" s="8" t="s">
        <v>17</v>
      </c>
      <c r="F1860" s="9">
        <v>46179.0</v>
      </c>
      <c r="G1860" s="8" t="s">
        <v>846</v>
      </c>
      <c r="H1860" s="8" t="s">
        <v>847</v>
      </c>
      <c r="I1860" s="8" t="s">
        <v>6043</v>
      </c>
      <c r="J1860" s="8" t="s">
        <v>6044</v>
      </c>
    </row>
    <row r="1861">
      <c r="A1861" s="7">
        <v>2.0064622E7</v>
      </c>
      <c r="B1861" s="8" t="s">
        <v>2484</v>
      </c>
      <c r="C1861" s="8" t="s">
        <v>6045</v>
      </c>
      <c r="D1861" s="8" t="s">
        <v>16</v>
      </c>
      <c r="E1861" s="8" t="s">
        <v>17</v>
      </c>
      <c r="F1861" s="9">
        <v>46185.0</v>
      </c>
      <c r="G1861" s="8" t="s">
        <v>428</v>
      </c>
      <c r="H1861" s="8" t="s">
        <v>429</v>
      </c>
      <c r="I1861" s="8" t="s">
        <v>6046</v>
      </c>
      <c r="J1861" s="8" t="s">
        <v>6047</v>
      </c>
    </row>
    <row r="1862">
      <c r="A1862" s="7">
        <v>2.0060965E7</v>
      </c>
      <c r="B1862" s="8" t="s">
        <v>2484</v>
      </c>
      <c r="C1862" s="8" t="s">
        <v>6048</v>
      </c>
      <c r="D1862" s="8" t="s">
        <v>16</v>
      </c>
      <c r="E1862" s="8" t="s">
        <v>17</v>
      </c>
      <c r="F1862" s="9">
        <v>46145.0</v>
      </c>
      <c r="G1862" s="8" t="s">
        <v>59</v>
      </c>
      <c r="H1862" s="8" t="s">
        <v>60</v>
      </c>
      <c r="I1862" s="8" t="s">
        <v>6049</v>
      </c>
      <c r="J1862" s="8" t="s">
        <v>6050</v>
      </c>
    </row>
    <row r="1863">
      <c r="A1863" s="7">
        <v>2.0056222E7</v>
      </c>
      <c r="B1863" s="8" t="s">
        <v>2484</v>
      </c>
      <c r="C1863" s="8" t="s">
        <v>6051</v>
      </c>
      <c r="D1863" s="8" t="s">
        <v>16</v>
      </c>
      <c r="E1863" s="8" t="s">
        <v>17</v>
      </c>
      <c r="F1863" s="9">
        <v>46134.0</v>
      </c>
      <c r="G1863" s="8" t="s">
        <v>273</v>
      </c>
      <c r="H1863" s="8" t="s">
        <v>274</v>
      </c>
      <c r="I1863" s="8" t="s">
        <v>6052</v>
      </c>
      <c r="J1863" s="8" t="s">
        <v>6053</v>
      </c>
    </row>
    <row r="1864">
      <c r="A1864" s="7">
        <v>2.0055815E7</v>
      </c>
      <c r="B1864" s="8" t="s">
        <v>2484</v>
      </c>
      <c r="C1864" s="8" t="s">
        <v>6054</v>
      </c>
      <c r="D1864" s="8" t="s">
        <v>16</v>
      </c>
      <c r="E1864" s="8" t="s">
        <v>17</v>
      </c>
      <c r="F1864" s="9">
        <v>46137.0</v>
      </c>
      <c r="G1864" s="8" t="s">
        <v>220</v>
      </c>
      <c r="H1864" s="8" t="s">
        <v>221</v>
      </c>
      <c r="I1864" s="8" t="s">
        <v>6055</v>
      </c>
      <c r="J1864" s="8" t="s">
        <v>6056</v>
      </c>
    </row>
    <row r="1865">
      <c r="A1865" s="7">
        <v>2.0055815E7</v>
      </c>
      <c r="B1865" s="8" t="s">
        <v>2484</v>
      </c>
      <c r="C1865" s="8" t="s">
        <v>6054</v>
      </c>
      <c r="D1865" s="8" t="s">
        <v>16</v>
      </c>
      <c r="E1865" s="8" t="s">
        <v>17</v>
      </c>
      <c r="F1865" s="9">
        <v>46137.0</v>
      </c>
      <c r="G1865" s="8" t="s">
        <v>277</v>
      </c>
      <c r="H1865" s="8" t="s">
        <v>278</v>
      </c>
      <c r="I1865" s="8" t="s">
        <v>6057</v>
      </c>
      <c r="J1865" s="8" t="s">
        <v>6058</v>
      </c>
    </row>
    <row r="1866">
      <c r="A1866" s="7">
        <v>2.0051876E7</v>
      </c>
      <c r="B1866" s="8" t="s">
        <v>2484</v>
      </c>
      <c r="C1866" s="8" t="s">
        <v>6059</v>
      </c>
      <c r="D1866" s="8" t="s">
        <v>16</v>
      </c>
      <c r="E1866" s="8" t="s">
        <v>17</v>
      </c>
      <c r="F1866" s="9">
        <v>46107.0</v>
      </c>
      <c r="G1866" s="8" t="s">
        <v>385</v>
      </c>
      <c r="H1866" s="8" t="s">
        <v>386</v>
      </c>
      <c r="I1866" s="8" t="s">
        <v>6060</v>
      </c>
      <c r="J1866" s="8" t="s">
        <v>6061</v>
      </c>
    </row>
    <row r="1867">
      <c r="A1867" s="7">
        <v>2.0051365E7</v>
      </c>
      <c r="B1867" s="8" t="s">
        <v>2484</v>
      </c>
      <c r="C1867" s="8" t="s">
        <v>6062</v>
      </c>
      <c r="D1867" s="8" t="s">
        <v>16</v>
      </c>
      <c r="E1867" s="8" t="s">
        <v>17</v>
      </c>
      <c r="F1867" s="9">
        <v>46109.0</v>
      </c>
      <c r="G1867" s="8" t="s">
        <v>517</v>
      </c>
      <c r="H1867" s="8" t="s">
        <v>518</v>
      </c>
      <c r="I1867" s="8" t="s">
        <v>6063</v>
      </c>
      <c r="J1867" s="8" t="s">
        <v>6064</v>
      </c>
    </row>
    <row r="1868">
      <c r="A1868" s="7">
        <v>2.0048599E7</v>
      </c>
      <c r="B1868" s="8" t="s">
        <v>2484</v>
      </c>
      <c r="C1868" s="8" t="s">
        <v>6065</v>
      </c>
      <c r="D1868" s="8" t="s">
        <v>16</v>
      </c>
      <c r="E1868" s="8" t="s">
        <v>17</v>
      </c>
      <c r="F1868" s="9">
        <v>46113.0</v>
      </c>
      <c r="G1868" s="8" t="s">
        <v>1557</v>
      </c>
      <c r="H1868" s="8" t="s">
        <v>1558</v>
      </c>
      <c r="I1868" s="8" t="s">
        <v>6066</v>
      </c>
      <c r="J1868" s="8" t="s">
        <v>6067</v>
      </c>
    </row>
    <row r="1869">
      <c r="A1869" s="7">
        <v>2.0037418E7</v>
      </c>
      <c r="B1869" s="8" t="s">
        <v>2484</v>
      </c>
      <c r="C1869" s="8" t="s">
        <v>6068</v>
      </c>
      <c r="D1869" s="8" t="s">
        <v>16</v>
      </c>
      <c r="E1869" s="8" t="s">
        <v>17</v>
      </c>
      <c r="F1869" s="9">
        <v>46064.0</v>
      </c>
      <c r="G1869" s="8" t="s">
        <v>352</v>
      </c>
      <c r="H1869" s="8" t="s">
        <v>353</v>
      </c>
      <c r="I1869" s="8" t="s">
        <v>6069</v>
      </c>
      <c r="J1869" s="8" t="s">
        <v>6070</v>
      </c>
    </row>
    <row r="1870">
      <c r="A1870" s="7">
        <v>2.0036384E7</v>
      </c>
      <c r="B1870" s="8" t="s">
        <v>2484</v>
      </c>
      <c r="C1870" s="8" t="s">
        <v>6071</v>
      </c>
      <c r="D1870" s="8" t="s">
        <v>16</v>
      </c>
      <c r="E1870" s="8" t="s">
        <v>17</v>
      </c>
      <c r="F1870" s="9">
        <v>46056.0</v>
      </c>
      <c r="G1870" s="8" t="s">
        <v>6072</v>
      </c>
      <c r="H1870" s="8" t="s">
        <v>6073</v>
      </c>
      <c r="I1870" s="8" t="s">
        <v>6074</v>
      </c>
      <c r="J1870" s="8" t="s">
        <v>6075</v>
      </c>
    </row>
    <row r="1871">
      <c r="A1871" s="7">
        <v>2.0035302E7</v>
      </c>
      <c r="B1871" s="8" t="s">
        <v>2484</v>
      </c>
      <c r="C1871" s="8" t="s">
        <v>6076</v>
      </c>
      <c r="D1871" s="8" t="s">
        <v>16</v>
      </c>
      <c r="E1871" s="8" t="s">
        <v>17</v>
      </c>
      <c r="F1871" s="9">
        <v>46056.0</v>
      </c>
      <c r="G1871" s="8" t="s">
        <v>6077</v>
      </c>
      <c r="H1871" s="8" t="s">
        <v>6078</v>
      </c>
      <c r="I1871" s="8" t="s">
        <v>6079</v>
      </c>
      <c r="J1871" s="8" t="s">
        <v>6080</v>
      </c>
    </row>
    <row r="1872">
      <c r="A1872" s="7">
        <v>2.0062246E7</v>
      </c>
      <c r="B1872" s="8" t="s">
        <v>2484</v>
      </c>
      <c r="C1872" s="8" t="s">
        <v>6081</v>
      </c>
      <c r="D1872" s="8" t="s">
        <v>16</v>
      </c>
      <c r="E1872" s="8" t="s">
        <v>17</v>
      </c>
      <c r="F1872" s="9">
        <v>46185.0</v>
      </c>
      <c r="G1872" s="8" t="s">
        <v>158</v>
      </c>
      <c r="H1872" s="8" t="s">
        <v>159</v>
      </c>
      <c r="I1872" s="8" t="s">
        <v>6082</v>
      </c>
      <c r="J1872" s="8" t="s">
        <v>6083</v>
      </c>
    </row>
    <row r="1873">
      <c r="A1873" s="7">
        <v>2.0060087E7</v>
      </c>
      <c r="B1873" s="8" t="s">
        <v>2484</v>
      </c>
      <c r="C1873" s="8" t="s">
        <v>6084</v>
      </c>
      <c r="D1873" s="8" t="s">
        <v>16</v>
      </c>
      <c r="E1873" s="8" t="s">
        <v>17</v>
      </c>
      <c r="F1873" s="9">
        <v>46181.0</v>
      </c>
      <c r="G1873" s="8" t="s">
        <v>137</v>
      </c>
      <c r="H1873" s="8" t="s">
        <v>138</v>
      </c>
      <c r="I1873" s="8" t="s">
        <v>6085</v>
      </c>
      <c r="J1873" s="8" t="s">
        <v>6086</v>
      </c>
    </row>
    <row r="1874">
      <c r="A1874" s="7">
        <v>2.0057232E7</v>
      </c>
      <c r="B1874" s="8" t="s">
        <v>2484</v>
      </c>
      <c r="C1874" s="8" t="s">
        <v>6087</v>
      </c>
      <c r="D1874" s="8" t="s">
        <v>16</v>
      </c>
      <c r="E1874" s="8" t="s">
        <v>17</v>
      </c>
      <c r="F1874" s="9">
        <v>46144.0</v>
      </c>
      <c r="G1874" s="8" t="s">
        <v>314</v>
      </c>
      <c r="H1874" s="8" t="s">
        <v>315</v>
      </c>
      <c r="I1874" s="8" t="s">
        <v>6088</v>
      </c>
      <c r="J1874" s="8" t="s">
        <v>6089</v>
      </c>
    </row>
    <row r="1875">
      <c r="A1875" s="7">
        <v>2.0059094E7</v>
      </c>
      <c r="B1875" s="8" t="s">
        <v>2484</v>
      </c>
      <c r="C1875" s="8" t="s">
        <v>6090</v>
      </c>
      <c r="D1875" s="8" t="s">
        <v>16</v>
      </c>
      <c r="E1875" s="8" t="s">
        <v>17</v>
      </c>
      <c r="F1875" s="9">
        <v>46150.0</v>
      </c>
      <c r="G1875" s="8" t="s">
        <v>5866</v>
      </c>
      <c r="H1875" s="8" t="s">
        <v>6091</v>
      </c>
      <c r="I1875" s="8" t="s">
        <v>6092</v>
      </c>
      <c r="J1875" s="8" t="s">
        <v>6093</v>
      </c>
    </row>
    <row r="1876">
      <c r="A1876" s="7">
        <v>2.0057491E7</v>
      </c>
      <c r="B1876" s="8" t="s">
        <v>2484</v>
      </c>
      <c r="C1876" s="8" t="s">
        <v>6094</v>
      </c>
      <c r="D1876" s="8" t="s">
        <v>16</v>
      </c>
      <c r="E1876" s="8" t="s">
        <v>17</v>
      </c>
      <c r="F1876" s="9">
        <v>46184.0</v>
      </c>
      <c r="G1876" s="8" t="s">
        <v>171</v>
      </c>
      <c r="H1876" s="8" t="s">
        <v>172</v>
      </c>
      <c r="I1876" s="8" t="s">
        <v>6095</v>
      </c>
      <c r="J1876" s="8" t="s">
        <v>6096</v>
      </c>
    </row>
    <row r="1877">
      <c r="A1877" s="7">
        <v>2.0054262E7</v>
      </c>
      <c r="B1877" s="8" t="s">
        <v>2484</v>
      </c>
      <c r="C1877" s="8" t="s">
        <v>6097</v>
      </c>
      <c r="D1877" s="8" t="s">
        <v>16</v>
      </c>
      <c r="E1877" s="8" t="s">
        <v>17</v>
      </c>
      <c r="F1877" s="9">
        <v>46119.0</v>
      </c>
      <c r="G1877" s="8" t="s">
        <v>385</v>
      </c>
      <c r="H1877" s="8" t="s">
        <v>386</v>
      </c>
      <c r="I1877" s="8" t="s">
        <v>6098</v>
      </c>
      <c r="J1877" s="8" t="s">
        <v>6099</v>
      </c>
    </row>
    <row r="1878">
      <c r="A1878" s="7">
        <v>2.0049105E7</v>
      </c>
      <c r="B1878" s="8" t="s">
        <v>2484</v>
      </c>
      <c r="C1878" s="8" t="s">
        <v>6100</v>
      </c>
      <c r="D1878" s="8" t="s">
        <v>16</v>
      </c>
      <c r="E1878" s="8" t="s">
        <v>17</v>
      </c>
      <c r="F1878" s="9">
        <v>46128.0</v>
      </c>
      <c r="G1878" s="8" t="s">
        <v>1611</v>
      </c>
      <c r="H1878" s="8" t="s">
        <v>1612</v>
      </c>
      <c r="I1878" s="8" t="s">
        <v>6101</v>
      </c>
      <c r="J1878" s="8" t="s">
        <v>6102</v>
      </c>
    </row>
    <row r="1879">
      <c r="A1879" s="7">
        <v>2.0049913E7</v>
      </c>
      <c r="B1879" s="8" t="s">
        <v>2484</v>
      </c>
      <c r="C1879" s="8" t="s">
        <v>6103</v>
      </c>
      <c r="D1879" s="8" t="s">
        <v>16</v>
      </c>
      <c r="E1879" s="8" t="s">
        <v>17</v>
      </c>
      <c r="F1879" s="9">
        <v>46102.0</v>
      </c>
      <c r="G1879" s="8" t="s">
        <v>220</v>
      </c>
      <c r="H1879" s="8" t="s">
        <v>221</v>
      </c>
      <c r="I1879" s="8" t="s">
        <v>6104</v>
      </c>
      <c r="J1879" s="8" t="s">
        <v>6105</v>
      </c>
    </row>
    <row r="1880">
      <c r="A1880" s="7">
        <v>2.0049583E7</v>
      </c>
      <c r="B1880" s="8" t="s">
        <v>2484</v>
      </c>
      <c r="C1880" s="8" t="s">
        <v>6106</v>
      </c>
      <c r="D1880" s="8" t="s">
        <v>16</v>
      </c>
      <c r="E1880" s="8" t="s">
        <v>17</v>
      </c>
      <c r="F1880" s="9">
        <v>46096.0</v>
      </c>
      <c r="G1880" s="8" t="s">
        <v>846</v>
      </c>
      <c r="H1880" s="8" t="s">
        <v>847</v>
      </c>
      <c r="I1880" s="8" t="s">
        <v>6107</v>
      </c>
      <c r="J1880" s="8" t="s">
        <v>6108</v>
      </c>
    </row>
    <row r="1881">
      <c r="A1881" s="7">
        <v>2.0048595E7</v>
      </c>
      <c r="B1881" s="8" t="s">
        <v>2484</v>
      </c>
      <c r="C1881" s="8" t="s">
        <v>6109</v>
      </c>
      <c r="D1881" s="8" t="s">
        <v>16</v>
      </c>
      <c r="E1881" s="8" t="s">
        <v>17</v>
      </c>
      <c r="F1881" s="9">
        <v>46109.0</v>
      </c>
      <c r="G1881" s="8" t="s">
        <v>91</v>
      </c>
      <c r="H1881" s="8" t="s">
        <v>92</v>
      </c>
      <c r="I1881" s="8" t="s">
        <v>6110</v>
      </c>
      <c r="J1881" s="8" t="s">
        <v>6111</v>
      </c>
    </row>
    <row r="1882">
      <c r="A1882" s="7">
        <v>2.0048595E7</v>
      </c>
      <c r="B1882" s="8" t="s">
        <v>2484</v>
      </c>
      <c r="C1882" s="8" t="s">
        <v>6109</v>
      </c>
      <c r="D1882" s="8" t="s">
        <v>16</v>
      </c>
      <c r="E1882" s="8" t="s">
        <v>17</v>
      </c>
      <c r="F1882" s="9">
        <v>46109.0</v>
      </c>
      <c r="G1882" s="8" t="s">
        <v>846</v>
      </c>
      <c r="H1882" s="8" t="s">
        <v>847</v>
      </c>
      <c r="I1882" s="8" t="s">
        <v>6112</v>
      </c>
      <c r="J1882" s="8" t="s">
        <v>6113</v>
      </c>
    </row>
    <row r="1883">
      <c r="A1883" s="7">
        <v>2.0044195E7</v>
      </c>
      <c r="B1883" s="8" t="s">
        <v>2484</v>
      </c>
      <c r="C1883" s="8" t="s">
        <v>6114</v>
      </c>
      <c r="D1883" s="8" t="s">
        <v>16</v>
      </c>
      <c r="E1883" s="8" t="s">
        <v>17</v>
      </c>
      <c r="F1883" s="9">
        <v>46081.0</v>
      </c>
      <c r="G1883" s="8" t="s">
        <v>971</v>
      </c>
      <c r="H1883" s="8" t="s">
        <v>972</v>
      </c>
      <c r="I1883" s="8" t="s">
        <v>6115</v>
      </c>
      <c r="J1883" s="8" t="s">
        <v>6116</v>
      </c>
    </row>
    <row r="1884">
      <c r="A1884" s="7">
        <v>2.0042467E7</v>
      </c>
      <c r="B1884" s="8" t="s">
        <v>2484</v>
      </c>
      <c r="C1884" s="8" t="s">
        <v>6117</v>
      </c>
      <c r="D1884" s="8" t="s">
        <v>16</v>
      </c>
      <c r="E1884" s="8" t="s">
        <v>17</v>
      </c>
      <c r="F1884" s="9">
        <v>46078.0</v>
      </c>
      <c r="G1884" s="8" t="s">
        <v>826</v>
      </c>
      <c r="H1884" s="8" t="s">
        <v>827</v>
      </c>
      <c r="I1884" s="8" t="s">
        <v>6118</v>
      </c>
      <c r="J1884" s="8" t="s">
        <v>6119</v>
      </c>
    </row>
    <row r="1885">
      <c r="A1885" s="7">
        <v>2.0064247E7</v>
      </c>
      <c r="B1885" s="8" t="s">
        <v>2484</v>
      </c>
      <c r="C1885" s="8" t="s">
        <v>6120</v>
      </c>
      <c r="D1885" s="8" t="s">
        <v>16</v>
      </c>
      <c r="E1885" s="8" t="s">
        <v>17</v>
      </c>
      <c r="F1885" s="9">
        <v>46176.0</v>
      </c>
      <c r="G1885" s="8" t="s">
        <v>2724</v>
      </c>
      <c r="H1885" s="8" t="s">
        <v>2725</v>
      </c>
      <c r="I1885" s="8" t="s">
        <v>6121</v>
      </c>
      <c r="J1885" s="8" t="s">
        <v>6122</v>
      </c>
    </row>
    <row r="1886">
      <c r="A1886" s="7">
        <v>2.0050846E7</v>
      </c>
      <c r="B1886" s="8" t="s">
        <v>2484</v>
      </c>
      <c r="C1886" s="8" t="s">
        <v>6123</v>
      </c>
      <c r="D1886" s="8" t="s">
        <v>16</v>
      </c>
      <c r="E1886" s="8" t="s">
        <v>17</v>
      </c>
      <c r="F1886" s="9">
        <v>46117.0</v>
      </c>
      <c r="G1886" s="8" t="s">
        <v>5590</v>
      </c>
      <c r="H1886" s="8" t="s">
        <v>2062</v>
      </c>
      <c r="I1886" s="8" t="s">
        <v>6124</v>
      </c>
      <c r="J1886" s="8" t="s">
        <v>6125</v>
      </c>
    </row>
    <row r="1887">
      <c r="A1887" s="7">
        <v>2.0050846E7</v>
      </c>
      <c r="B1887" s="8" t="s">
        <v>2484</v>
      </c>
      <c r="C1887" s="8" t="s">
        <v>6123</v>
      </c>
      <c r="D1887" s="8" t="s">
        <v>16</v>
      </c>
      <c r="E1887" s="8" t="s">
        <v>17</v>
      </c>
      <c r="F1887" s="9">
        <v>46117.0</v>
      </c>
      <c r="G1887" s="8" t="s">
        <v>504</v>
      </c>
      <c r="H1887" s="8" t="s">
        <v>505</v>
      </c>
      <c r="I1887" s="8" t="s">
        <v>6126</v>
      </c>
      <c r="J1887" s="8" t="s">
        <v>6127</v>
      </c>
    </row>
    <row r="1888">
      <c r="A1888" s="7">
        <v>2.0050846E7</v>
      </c>
      <c r="B1888" s="8" t="s">
        <v>2484</v>
      </c>
      <c r="C1888" s="8" t="s">
        <v>6123</v>
      </c>
      <c r="D1888" s="8" t="s">
        <v>16</v>
      </c>
      <c r="E1888" s="8" t="s">
        <v>17</v>
      </c>
      <c r="F1888" s="9">
        <v>46117.0</v>
      </c>
      <c r="G1888" s="8" t="s">
        <v>517</v>
      </c>
      <c r="H1888" s="8" t="s">
        <v>518</v>
      </c>
      <c r="I1888" s="8" t="s">
        <v>6128</v>
      </c>
      <c r="J1888" s="8" t="s">
        <v>6129</v>
      </c>
    </row>
    <row r="1889">
      <c r="A1889" s="7">
        <v>2.0046257E7</v>
      </c>
      <c r="B1889" s="8" t="s">
        <v>2484</v>
      </c>
      <c r="C1889" s="8" t="s">
        <v>6130</v>
      </c>
      <c r="D1889" s="8" t="s">
        <v>16</v>
      </c>
      <c r="E1889" s="8" t="s">
        <v>17</v>
      </c>
      <c r="F1889" s="9">
        <v>46084.0</v>
      </c>
      <c r="G1889" s="8" t="s">
        <v>59</v>
      </c>
      <c r="H1889" s="8" t="s">
        <v>60</v>
      </c>
      <c r="I1889" s="8" t="s">
        <v>6131</v>
      </c>
      <c r="J1889" s="8" t="s">
        <v>6132</v>
      </c>
    </row>
    <row r="1890">
      <c r="A1890" s="7">
        <v>2.0035081E7</v>
      </c>
      <c r="B1890" s="8" t="s">
        <v>2484</v>
      </c>
      <c r="C1890" s="8" t="s">
        <v>6133</v>
      </c>
      <c r="D1890" s="8" t="s">
        <v>16</v>
      </c>
      <c r="E1890" s="8" t="s">
        <v>17</v>
      </c>
      <c r="F1890" s="9">
        <v>46077.0</v>
      </c>
      <c r="G1890" s="8" t="s">
        <v>6134</v>
      </c>
      <c r="H1890" s="8" t="s">
        <v>6135</v>
      </c>
      <c r="I1890" s="8" t="s">
        <v>6136</v>
      </c>
      <c r="J1890" s="8" t="s">
        <v>6137</v>
      </c>
    </row>
    <row r="1891">
      <c r="A1891" s="7">
        <v>2.0069862E7</v>
      </c>
      <c r="B1891" s="8" t="s">
        <v>2484</v>
      </c>
      <c r="C1891" s="8" t="s">
        <v>6138</v>
      </c>
      <c r="D1891" s="8" t="s">
        <v>16</v>
      </c>
      <c r="E1891" s="8" t="s">
        <v>17</v>
      </c>
      <c r="F1891" s="9">
        <v>46189.0</v>
      </c>
      <c r="G1891" s="8" t="s">
        <v>3118</v>
      </c>
      <c r="H1891" s="8" t="s">
        <v>3119</v>
      </c>
      <c r="I1891" s="8" t="s">
        <v>6139</v>
      </c>
      <c r="J1891" s="8" t="s">
        <v>6140</v>
      </c>
    </row>
    <row r="1892">
      <c r="A1892" s="7">
        <v>2.0062503E7</v>
      </c>
      <c r="B1892" s="8" t="s">
        <v>2484</v>
      </c>
      <c r="C1892" s="8" t="s">
        <v>6141</v>
      </c>
      <c r="D1892" s="8" t="s">
        <v>16</v>
      </c>
      <c r="E1892" s="8" t="s">
        <v>17</v>
      </c>
      <c r="F1892" s="9">
        <v>46165.0</v>
      </c>
      <c r="G1892" s="8" t="s">
        <v>6142</v>
      </c>
      <c r="H1892" s="8" t="s">
        <v>6143</v>
      </c>
      <c r="I1892" s="8" t="s">
        <v>6144</v>
      </c>
      <c r="J1892" s="8" t="s">
        <v>6145</v>
      </c>
    </row>
    <row r="1893">
      <c r="A1893" s="7">
        <v>2.0060241E7</v>
      </c>
      <c r="B1893" s="8" t="s">
        <v>2484</v>
      </c>
      <c r="C1893" s="8" t="s">
        <v>6146</v>
      </c>
      <c r="D1893" s="8" t="s">
        <v>16</v>
      </c>
      <c r="E1893" s="8" t="s">
        <v>17</v>
      </c>
      <c r="F1893" s="9">
        <v>46151.0</v>
      </c>
      <c r="G1893" s="8" t="s">
        <v>1859</v>
      </c>
      <c r="H1893" s="8" t="s">
        <v>6147</v>
      </c>
      <c r="I1893" s="8" t="s">
        <v>6148</v>
      </c>
      <c r="J1893" s="8" t="s">
        <v>6149</v>
      </c>
    </row>
    <row r="1894">
      <c r="A1894" s="7">
        <v>2.0054086E7</v>
      </c>
      <c r="B1894" s="8" t="s">
        <v>2484</v>
      </c>
      <c r="C1894" s="8" t="s">
        <v>6150</v>
      </c>
      <c r="D1894" s="8" t="s">
        <v>16</v>
      </c>
      <c r="E1894" s="8" t="s">
        <v>17</v>
      </c>
      <c r="F1894" s="9">
        <v>46121.0</v>
      </c>
      <c r="G1894" s="8" t="s">
        <v>91</v>
      </c>
      <c r="H1894" s="8" t="s">
        <v>92</v>
      </c>
      <c r="I1894" s="8" t="s">
        <v>6151</v>
      </c>
      <c r="J1894" s="8" t="s">
        <v>6152</v>
      </c>
    </row>
    <row r="1895">
      <c r="A1895" s="7">
        <v>2.004042E7</v>
      </c>
      <c r="B1895" s="8" t="s">
        <v>2484</v>
      </c>
      <c r="C1895" s="8" t="s">
        <v>6153</v>
      </c>
      <c r="D1895" s="8" t="s">
        <v>16</v>
      </c>
      <c r="E1895" s="8" t="s">
        <v>17</v>
      </c>
      <c r="F1895" s="9">
        <v>46088.0</v>
      </c>
      <c r="G1895" s="8" t="s">
        <v>59</v>
      </c>
      <c r="H1895" s="8" t="s">
        <v>60</v>
      </c>
      <c r="I1895" s="8" t="s">
        <v>6154</v>
      </c>
      <c r="J1895" s="8" t="s">
        <v>6155</v>
      </c>
    </row>
    <row r="1896">
      <c r="A1896" s="7">
        <v>2.0069213E7</v>
      </c>
      <c r="B1896" s="8" t="s">
        <v>2484</v>
      </c>
      <c r="C1896" s="8" t="s">
        <v>6156</v>
      </c>
      <c r="D1896" s="8" t="s">
        <v>16</v>
      </c>
      <c r="E1896" s="8" t="s">
        <v>17</v>
      </c>
      <c r="F1896" s="9">
        <v>46189.0</v>
      </c>
      <c r="G1896" s="8" t="s">
        <v>846</v>
      </c>
      <c r="H1896" s="8" t="s">
        <v>847</v>
      </c>
      <c r="I1896" s="8" t="s">
        <v>6157</v>
      </c>
      <c r="J1896" s="8" t="s">
        <v>6158</v>
      </c>
    </row>
    <row r="1897">
      <c r="A1897" s="7">
        <v>2.0064148E7</v>
      </c>
      <c r="B1897" s="8" t="s">
        <v>2484</v>
      </c>
      <c r="C1897" s="8" t="s">
        <v>6159</v>
      </c>
      <c r="D1897" s="8" t="s">
        <v>16</v>
      </c>
      <c r="E1897" s="8" t="s">
        <v>17</v>
      </c>
      <c r="F1897" s="9">
        <v>46177.0</v>
      </c>
      <c r="G1897" s="8" t="s">
        <v>109</v>
      </c>
      <c r="H1897" s="8" t="s">
        <v>110</v>
      </c>
      <c r="I1897" s="8" t="s">
        <v>6160</v>
      </c>
      <c r="J1897" s="8" t="s">
        <v>6161</v>
      </c>
    </row>
    <row r="1898">
      <c r="A1898" s="7">
        <v>2.0064148E7</v>
      </c>
      <c r="B1898" s="8" t="s">
        <v>2484</v>
      </c>
      <c r="C1898" s="8" t="s">
        <v>6159</v>
      </c>
      <c r="D1898" s="8" t="s">
        <v>16</v>
      </c>
      <c r="E1898" s="8" t="s">
        <v>17</v>
      </c>
      <c r="F1898" s="9">
        <v>46177.0</v>
      </c>
      <c r="G1898" s="8" t="s">
        <v>6162</v>
      </c>
      <c r="H1898" s="8" t="s">
        <v>6163</v>
      </c>
      <c r="I1898" s="8" t="s">
        <v>6164</v>
      </c>
      <c r="J1898" s="8" t="s">
        <v>6165</v>
      </c>
    </row>
    <row r="1899">
      <c r="A1899" s="7">
        <v>2.0064705E7</v>
      </c>
      <c r="B1899" s="8" t="s">
        <v>2484</v>
      </c>
      <c r="C1899" s="8" t="s">
        <v>6166</v>
      </c>
      <c r="D1899" s="8" t="s">
        <v>16</v>
      </c>
      <c r="E1899" s="8" t="s">
        <v>17</v>
      </c>
      <c r="F1899" s="9">
        <v>46185.0</v>
      </c>
      <c r="G1899" s="8" t="s">
        <v>428</v>
      </c>
      <c r="H1899" s="8" t="s">
        <v>429</v>
      </c>
      <c r="I1899" s="8" t="s">
        <v>6167</v>
      </c>
      <c r="J1899" s="8" t="s">
        <v>6168</v>
      </c>
    </row>
    <row r="1900">
      <c r="A1900" s="7">
        <v>2.0065349E7</v>
      </c>
      <c r="B1900" s="8" t="s">
        <v>2484</v>
      </c>
      <c r="C1900" s="8" t="s">
        <v>6169</v>
      </c>
      <c r="D1900" s="8" t="s">
        <v>16</v>
      </c>
      <c r="E1900" s="8" t="s">
        <v>17</v>
      </c>
      <c r="F1900" s="9">
        <v>46169.0</v>
      </c>
      <c r="G1900" s="8" t="s">
        <v>59</v>
      </c>
      <c r="H1900" s="8" t="s">
        <v>60</v>
      </c>
      <c r="I1900" s="8" t="s">
        <v>6170</v>
      </c>
      <c r="J1900" s="8" t="s">
        <v>6171</v>
      </c>
    </row>
    <row r="1901">
      <c r="A1901" s="7">
        <v>2.0065349E7</v>
      </c>
      <c r="B1901" s="8" t="s">
        <v>2484</v>
      </c>
      <c r="C1901" s="8" t="s">
        <v>6169</v>
      </c>
      <c r="D1901" s="8" t="s">
        <v>16</v>
      </c>
      <c r="E1901" s="8" t="s">
        <v>17</v>
      </c>
      <c r="F1901" s="9">
        <v>46169.0</v>
      </c>
      <c r="G1901" s="8" t="s">
        <v>365</v>
      </c>
      <c r="H1901" s="8" t="s">
        <v>366</v>
      </c>
      <c r="I1901" s="8" t="s">
        <v>6172</v>
      </c>
      <c r="J1901" s="8" t="s">
        <v>6173</v>
      </c>
    </row>
    <row r="1902">
      <c r="A1902" s="7">
        <v>2.0063767E7</v>
      </c>
      <c r="B1902" s="8" t="s">
        <v>2484</v>
      </c>
      <c r="C1902" s="8" t="s">
        <v>6174</v>
      </c>
      <c r="D1902" s="8" t="s">
        <v>16</v>
      </c>
      <c r="E1902" s="8" t="s">
        <v>17</v>
      </c>
      <c r="F1902" s="9">
        <v>46164.0</v>
      </c>
      <c r="G1902" s="8" t="s">
        <v>34</v>
      </c>
      <c r="H1902" s="8" t="s">
        <v>35</v>
      </c>
      <c r="I1902" s="8" t="s">
        <v>6175</v>
      </c>
      <c r="J1902" s="8" t="s">
        <v>6176</v>
      </c>
    </row>
    <row r="1903">
      <c r="A1903" s="7">
        <v>2.0050334E7</v>
      </c>
      <c r="B1903" s="8" t="s">
        <v>2484</v>
      </c>
      <c r="C1903" s="8" t="s">
        <v>6177</v>
      </c>
      <c r="D1903" s="8" t="s">
        <v>16</v>
      </c>
      <c r="E1903" s="8" t="s">
        <v>17</v>
      </c>
      <c r="F1903" s="9">
        <v>46117.0</v>
      </c>
      <c r="G1903" s="8" t="s">
        <v>3093</v>
      </c>
      <c r="H1903" s="8" t="s">
        <v>3094</v>
      </c>
      <c r="I1903" s="8" t="s">
        <v>6178</v>
      </c>
      <c r="J1903" s="8" t="s">
        <v>6179</v>
      </c>
    </row>
    <row r="1904">
      <c r="A1904" s="7">
        <v>2.0063819E7</v>
      </c>
      <c r="B1904" s="8" t="s">
        <v>2484</v>
      </c>
      <c r="C1904" s="8" t="s">
        <v>6180</v>
      </c>
      <c r="D1904" s="8" t="s">
        <v>16</v>
      </c>
      <c r="E1904" s="8" t="s">
        <v>17</v>
      </c>
      <c r="F1904" s="9">
        <v>46186.0</v>
      </c>
      <c r="G1904" s="8" t="s">
        <v>6181</v>
      </c>
      <c r="H1904" s="8" t="s">
        <v>6182</v>
      </c>
      <c r="I1904" s="8" t="s">
        <v>6183</v>
      </c>
      <c r="J1904" s="8" t="s">
        <v>6184</v>
      </c>
    </row>
    <row r="1905">
      <c r="A1905" s="7">
        <v>2.0063819E7</v>
      </c>
      <c r="B1905" s="8" t="s">
        <v>2484</v>
      </c>
      <c r="C1905" s="8" t="s">
        <v>6180</v>
      </c>
      <c r="D1905" s="8" t="s">
        <v>16</v>
      </c>
      <c r="E1905" s="8" t="s">
        <v>17</v>
      </c>
      <c r="F1905" s="9">
        <v>46186.0</v>
      </c>
      <c r="G1905" s="8" t="s">
        <v>6185</v>
      </c>
      <c r="H1905" s="8" t="s">
        <v>6186</v>
      </c>
      <c r="I1905" s="8" t="s">
        <v>6187</v>
      </c>
      <c r="J1905" s="8" t="s">
        <v>6188</v>
      </c>
    </row>
    <row r="1906">
      <c r="A1906" s="7">
        <v>2.0062258E7</v>
      </c>
      <c r="B1906" s="8" t="s">
        <v>2484</v>
      </c>
      <c r="C1906" s="8" t="s">
        <v>6189</v>
      </c>
      <c r="D1906" s="8" t="s">
        <v>16</v>
      </c>
      <c r="E1906" s="8" t="s">
        <v>17</v>
      </c>
      <c r="F1906" s="9">
        <v>46169.0</v>
      </c>
      <c r="G1906" s="8" t="s">
        <v>234</v>
      </c>
      <c r="H1906" s="8" t="s">
        <v>235</v>
      </c>
      <c r="I1906" s="8" t="s">
        <v>6190</v>
      </c>
      <c r="J1906" s="8" t="s">
        <v>6191</v>
      </c>
    </row>
    <row r="1907">
      <c r="A1907" s="7">
        <v>2.0064391E7</v>
      </c>
      <c r="B1907" s="8" t="s">
        <v>2484</v>
      </c>
      <c r="C1907" s="8" t="s">
        <v>6192</v>
      </c>
      <c r="D1907" s="8" t="s">
        <v>16</v>
      </c>
      <c r="E1907" s="8" t="s">
        <v>17</v>
      </c>
      <c r="F1907" s="9">
        <v>46191.0</v>
      </c>
      <c r="G1907" s="8" t="s">
        <v>6193</v>
      </c>
      <c r="H1907" s="8" t="s">
        <v>6194</v>
      </c>
      <c r="I1907" s="8" t="s">
        <v>6195</v>
      </c>
      <c r="J1907" s="8" t="s">
        <v>6196</v>
      </c>
    </row>
    <row r="1908">
      <c r="A1908" s="7">
        <v>2.0035498E7</v>
      </c>
      <c r="B1908" s="8" t="s">
        <v>2484</v>
      </c>
      <c r="C1908" s="8" t="s">
        <v>6197</v>
      </c>
      <c r="D1908" s="8" t="s">
        <v>16</v>
      </c>
      <c r="E1908" s="8" t="s">
        <v>17</v>
      </c>
      <c r="F1908" s="9">
        <v>46044.0</v>
      </c>
      <c r="G1908" s="8" t="s">
        <v>91</v>
      </c>
      <c r="H1908" s="8" t="s">
        <v>92</v>
      </c>
      <c r="I1908" s="8" t="s">
        <v>6198</v>
      </c>
      <c r="J1908" s="8" t="s">
        <v>6199</v>
      </c>
    </row>
    <row r="1909">
      <c r="A1909" s="7">
        <v>2.0035198E7</v>
      </c>
      <c r="B1909" s="8" t="s">
        <v>2484</v>
      </c>
      <c r="C1909" s="8" t="s">
        <v>6200</v>
      </c>
      <c r="D1909" s="8" t="s">
        <v>16</v>
      </c>
      <c r="E1909" s="8" t="s">
        <v>17</v>
      </c>
      <c r="F1909" s="9">
        <v>46047.0</v>
      </c>
      <c r="G1909" s="8" t="s">
        <v>282</v>
      </c>
      <c r="H1909" s="8" t="s">
        <v>71</v>
      </c>
      <c r="I1909" s="8" t="s">
        <v>6201</v>
      </c>
      <c r="J1909" s="8" t="s">
        <v>6202</v>
      </c>
    </row>
    <row r="1910">
      <c r="A1910" s="7">
        <v>2.0061993E7</v>
      </c>
      <c r="B1910" s="8" t="s">
        <v>2484</v>
      </c>
      <c r="C1910" s="8" t="s">
        <v>6203</v>
      </c>
      <c r="D1910" s="8" t="s">
        <v>16</v>
      </c>
      <c r="E1910" s="8" t="s">
        <v>17</v>
      </c>
      <c r="F1910" s="9">
        <v>46186.0</v>
      </c>
      <c r="G1910" s="8" t="s">
        <v>6204</v>
      </c>
      <c r="H1910" s="8" t="s">
        <v>6205</v>
      </c>
      <c r="I1910" s="8"/>
      <c r="J1910" s="8" t="s">
        <v>6206</v>
      </c>
    </row>
    <row r="1911">
      <c r="A1911" s="7">
        <v>2.0058588E7</v>
      </c>
      <c r="B1911" s="8" t="s">
        <v>2484</v>
      </c>
      <c r="C1911" s="8" t="s">
        <v>6207</v>
      </c>
      <c r="D1911" s="8" t="s">
        <v>16</v>
      </c>
      <c r="E1911" s="8" t="s">
        <v>17</v>
      </c>
      <c r="F1911" s="9">
        <v>46144.0</v>
      </c>
      <c r="G1911" s="8" t="s">
        <v>3339</v>
      </c>
      <c r="H1911" s="8" t="s">
        <v>6208</v>
      </c>
      <c r="I1911" s="8" t="s">
        <v>6209</v>
      </c>
      <c r="J1911" s="8" t="s">
        <v>6210</v>
      </c>
    </row>
    <row r="1912">
      <c r="A1912" s="7">
        <v>2.0058297E7</v>
      </c>
      <c r="B1912" s="8" t="s">
        <v>2484</v>
      </c>
      <c r="C1912" s="8" t="s">
        <v>6211</v>
      </c>
      <c r="D1912" s="8" t="s">
        <v>16</v>
      </c>
      <c r="E1912" s="8" t="s">
        <v>17</v>
      </c>
      <c r="F1912" s="9">
        <v>46180.0</v>
      </c>
      <c r="G1912" s="8" t="s">
        <v>6212</v>
      </c>
      <c r="H1912" s="8" t="s">
        <v>6213</v>
      </c>
      <c r="I1912" s="8" t="s">
        <v>6214</v>
      </c>
      <c r="J1912" s="8" t="s">
        <v>6215</v>
      </c>
    </row>
    <row r="1913">
      <c r="A1913" s="7">
        <v>2.0054481E7</v>
      </c>
      <c r="B1913" s="8" t="s">
        <v>2484</v>
      </c>
      <c r="C1913" s="8" t="s">
        <v>6216</v>
      </c>
      <c r="D1913" s="8" t="s">
        <v>16</v>
      </c>
      <c r="E1913" s="8" t="s">
        <v>17</v>
      </c>
      <c r="F1913" s="9">
        <v>46125.0</v>
      </c>
      <c r="G1913" s="8" t="s">
        <v>59</v>
      </c>
      <c r="H1913" s="8" t="s">
        <v>60</v>
      </c>
      <c r="I1913" s="8" t="s">
        <v>6217</v>
      </c>
      <c r="J1913" s="8" t="s">
        <v>6218</v>
      </c>
    </row>
    <row r="1914">
      <c r="A1914" s="7">
        <v>2.0053932E7</v>
      </c>
      <c r="B1914" s="8" t="s">
        <v>2484</v>
      </c>
      <c r="C1914" s="8" t="s">
        <v>6219</v>
      </c>
      <c r="D1914" s="8" t="s">
        <v>16</v>
      </c>
      <c r="E1914" s="8" t="s">
        <v>48</v>
      </c>
      <c r="F1914" s="9">
        <v>46142.0</v>
      </c>
      <c r="G1914" s="8" t="s">
        <v>3706</v>
      </c>
      <c r="H1914" s="8" t="s">
        <v>3707</v>
      </c>
      <c r="I1914" s="8" t="s">
        <v>6220</v>
      </c>
      <c r="J1914" s="8"/>
    </row>
    <row r="1915">
      <c r="A1915" s="7">
        <v>2.0053317E7</v>
      </c>
      <c r="B1915" s="8" t="s">
        <v>2484</v>
      </c>
      <c r="C1915" s="8" t="s">
        <v>6221</v>
      </c>
      <c r="D1915" s="8" t="s">
        <v>16</v>
      </c>
      <c r="E1915" s="8" t="s">
        <v>17</v>
      </c>
      <c r="F1915" s="9">
        <v>46143.0</v>
      </c>
      <c r="G1915" s="8" t="s">
        <v>297</v>
      </c>
      <c r="H1915" s="8" t="s">
        <v>298</v>
      </c>
      <c r="I1915" s="8" t="s">
        <v>6222</v>
      </c>
      <c r="J1915" s="8" t="s">
        <v>6223</v>
      </c>
    </row>
    <row r="1916">
      <c r="A1916" s="7">
        <v>2.0052401E7</v>
      </c>
      <c r="B1916" s="8" t="s">
        <v>2484</v>
      </c>
      <c r="C1916" s="8" t="s">
        <v>6224</v>
      </c>
      <c r="D1916" s="8" t="s">
        <v>16</v>
      </c>
      <c r="E1916" s="8" t="s">
        <v>17</v>
      </c>
      <c r="F1916" s="9">
        <v>46122.0</v>
      </c>
      <c r="G1916" s="8" t="s">
        <v>195</v>
      </c>
      <c r="H1916" s="8" t="s">
        <v>196</v>
      </c>
      <c r="I1916" s="8" t="s">
        <v>6225</v>
      </c>
      <c r="J1916" s="8" t="s">
        <v>6226</v>
      </c>
    </row>
    <row r="1917">
      <c r="A1917" s="7">
        <v>2.0052099E7</v>
      </c>
      <c r="B1917" s="8" t="s">
        <v>2484</v>
      </c>
      <c r="C1917" s="8" t="s">
        <v>6227</v>
      </c>
      <c r="D1917" s="8" t="s">
        <v>16</v>
      </c>
      <c r="E1917" s="8" t="s">
        <v>48</v>
      </c>
      <c r="F1917" s="9">
        <v>46143.0</v>
      </c>
      <c r="G1917" s="8" t="s">
        <v>6228</v>
      </c>
      <c r="H1917" s="8" t="s">
        <v>6229</v>
      </c>
      <c r="I1917" s="8" t="s">
        <v>6230</v>
      </c>
      <c r="J1917" s="8"/>
    </row>
    <row r="1918">
      <c r="A1918" s="7">
        <v>2.0051222E7</v>
      </c>
      <c r="B1918" s="8" t="s">
        <v>2484</v>
      </c>
      <c r="C1918" s="8" t="s">
        <v>6231</v>
      </c>
      <c r="D1918" s="8" t="s">
        <v>16</v>
      </c>
      <c r="E1918" s="8" t="s">
        <v>17</v>
      </c>
      <c r="F1918" s="9">
        <v>46105.0</v>
      </c>
      <c r="G1918" s="8" t="s">
        <v>2625</v>
      </c>
      <c r="H1918" s="8" t="s">
        <v>827</v>
      </c>
      <c r="I1918" s="8" t="s">
        <v>6232</v>
      </c>
      <c r="J1918" s="8" t="s">
        <v>6233</v>
      </c>
    </row>
    <row r="1919">
      <c r="A1919" s="7">
        <v>2.0045918E7</v>
      </c>
      <c r="B1919" s="8" t="s">
        <v>2484</v>
      </c>
      <c r="C1919" s="8" t="s">
        <v>6234</v>
      </c>
      <c r="D1919" s="8" t="s">
        <v>16</v>
      </c>
      <c r="E1919" s="8" t="s">
        <v>17</v>
      </c>
      <c r="F1919" s="9">
        <v>46087.0</v>
      </c>
      <c r="G1919" s="8" t="s">
        <v>6235</v>
      </c>
      <c r="H1919" s="8" t="s">
        <v>6236</v>
      </c>
      <c r="I1919" s="8" t="s">
        <v>6237</v>
      </c>
      <c r="J1919" s="8" t="s">
        <v>6238</v>
      </c>
    </row>
    <row r="1920">
      <c r="A1920" s="7">
        <v>2.0037579E7</v>
      </c>
      <c r="B1920" s="8" t="s">
        <v>2484</v>
      </c>
      <c r="C1920" s="8" t="s">
        <v>6239</v>
      </c>
      <c r="D1920" s="8" t="s">
        <v>16</v>
      </c>
      <c r="E1920" s="8" t="s">
        <v>17</v>
      </c>
      <c r="F1920" s="9">
        <v>46057.0</v>
      </c>
      <c r="G1920" s="8" t="s">
        <v>297</v>
      </c>
      <c r="H1920" s="8" t="s">
        <v>298</v>
      </c>
      <c r="I1920" s="8" t="s">
        <v>6240</v>
      </c>
      <c r="J1920" s="8" t="s">
        <v>6241</v>
      </c>
    </row>
    <row r="1921">
      <c r="A1921" s="7">
        <v>2.0065084E7</v>
      </c>
      <c r="B1921" s="8" t="s">
        <v>2484</v>
      </c>
      <c r="C1921" s="8" t="s">
        <v>6242</v>
      </c>
      <c r="D1921" s="8" t="s">
        <v>16</v>
      </c>
      <c r="E1921" s="8" t="s">
        <v>17</v>
      </c>
      <c r="F1921" s="9">
        <v>46177.0</v>
      </c>
      <c r="G1921" s="8" t="s">
        <v>59</v>
      </c>
      <c r="H1921" s="8" t="s">
        <v>60</v>
      </c>
      <c r="I1921" s="8" t="s">
        <v>6243</v>
      </c>
      <c r="J1921" s="8" t="s">
        <v>6244</v>
      </c>
    </row>
    <row r="1922">
      <c r="A1922" s="7">
        <v>2.0065084E7</v>
      </c>
      <c r="B1922" s="8" t="s">
        <v>2484</v>
      </c>
      <c r="C1922" s="8" t="s">
        <v>6242</v>
      </c>
      <c r="D1922" s="8" t="s">
        <v>16</v>
      </c>
      <c r="E1922" s="8" t="s">
        <v>17</v>
      </c>
      <c r="F1922" s="9">
        <v>46177.0</v>
      </c>
      <c r="G1922" s="8" t="s">
        <v>365</v>
      </c>
      <c r="H1922" s="8" t="s">
        <v>366</v>
      </c>
      <c r="I1922" s="8" t="s">
        <v>6245</v>
      </c>
      <c r="J1922" s="8" t="s">
        <v>6246</v>
      </c>
    </row>
    <row r="1923">
      <c r="A1923" s="7">
        <v>2.0061051E7</v>
      </c>
      <c r="B1923" s="8" t="s">
        <v>2484</v>
      </c>
      <c r="C1923" s="8" t="s">
        <v>6247</v>
      </c>
      <c r="D1923" s="8" t="s">
        <v>16</v>
      </c>
      <c r="E1923" s="8" t="s">
        <v>17</v>
      </c>
      <c r="F1923" s="9">
        <v>46182.0</v>
      </c>
      <c r="G1923" s="8" t="s">
        <v>2170</v>
      </c>
      <c r="H1923" s="8" t="s">
        <v>2171</v>
      </c>
      <c r="I1923" s="8" t="s">
        <v>6248</v>
      </c>
      <c r="J1923" s="8" t="s">
        <v>6249</v>
      </c>
    </row>
    <row r="1924">
      <c r="A1924" s="7">
        <v>2.0061358E7</v>
      </c>
      <c r="B1924" s="8" t="s">
        <v>2484</v>
      </c>
      <c r="C1924" s="8" t="s">
        <v>6250</v>
      </c>
      <c r="D1924" s="8" t="s">
        <v>16</v>
      </c>
      <c r="E1924" s="8" t="s">
        <v>17</v>
      </c>
      <c r="F1924" s="9">
        <v>46149.0</v>
      </c>
      <c r="G1924" s="8" t="s">
        <v>1132</v>
      </c>
      <c r="H1924" s="8" t="s">
        <v>1133</v>
      </c>
      <c r="I1924" s="8" t="s">
        <v>6251</v>
      </c>
      <c r="J1924" s="8" t="s">
        <v>6252</v>
      </c>
    </row>
    <row r="1925">
      <c r="A1925" s="7">
        <v>2.0056999E7</v>
      </c>
      <c r="B1925" s="8" t="s">
        <v>2484</v>
      </c>
      <c r="C1925" s="8" t="s">
        <v>6253</v>
      </c>
      <c r="D1925" s="8" t="s">
        <v>16</v>
      </c>
      <c r="E1925" s="8" t="s">
        <v>17</v>
      </c>
      <c r="F1925" s="9">
        <v>46186.0</v>
      </c>
      <c r="G1925" s="8" t="s">
        <v>6254</v>
      </c>
      <c r="H1925" s="8" t="s">
        <v>6255</v>
      </c>
      <c r="I1925" s="8" t="s">
        <v>6256</v>
      </c>
      <c r="J1925" s="8" t="s">
        <v>6257</v>
      </c>
    </row>
    <row r="1926">
      <c r="A1926" s="7">
        <v>2.0056643E7</v>
      </c>
      <c r="B1926" s="8" t="s">
        <v>2484</v>
      </c>
      <c r="C1926" s="8" t="s">
        <v>6258</v>
      </c>
      <c r="D1926" s="8" t="s">
        <v>16</v>
      </c>
      <c r="E1926" s="8" t="s">
        <v>17</v>
      </c>
      <c r="F1926" s="9">
        <v>46137.0</v>
      </c>
      <c r="G1926" s="8" t="s">
        <v>454</v>
      </c>
      <c r="H1926" s="8" t="s">
        <v>455</v>
      </c>
      <c r="I1926" s="8" t="s">
        <v>6259</v>
      </c>
      <c r="J1926" s="8" t="s">
        <v>6260</v>
      </c>
    </row>
    <row r="1927">
      <c r="A1927" s="7">
        <v>2.005227E7</v>
      </c>
      <c r="B1927" s="8" t="s">
        <v>2484</v>
      </c>
      <c r="C1927" s="8" t="s">
        <v>6261</v>
      </c>
      <c r="D1927" s="8" t="s">
        <v>16</v>
      </c>
      <c r="E1927" s="8" t="s">
        <v>17</v>
      </c>
      <c r="F1927" s="9">
        <v>46119.0</v>
      </c>
      <c r="G1927" s="8" t="s">
        <v>873</v>
      </c>
      <c r="H1927" s="8" t="s">
        <v>874</v>
      </c>
      <c r="I1927" s="8" t="s">
        <v>6262</v>
      </c>
      <c r="J1927" s="8" t="s">
        <v>6263</v>
      </c>
    </row>
    <row r="1928">
      <c r="A1928" s="7">
        <v>2.0049441E7</v>
      </c>
      <c r="B1928" s="8" t="s">
        <v>2484</v>
      </c>
      <c r="C1928" s="8" t="s">
        <v>6264</v>
      </c>
      <c r="D1928" s="8" t="s">
        <v>16</v>
      </c>
      <c r="E1928" s="8" t="s">
        <v>17</v>
      </c>
      <c r="F1928" s="9">
        <v>46101.0</v>
      </c>
      <c r="G1928" s="8" t="s">
        <v>440</v>
      </c>
      <c r="H1928" s="8" t="s">
        <v>44</v>
      </c>
      <c r="I1928" s="8" t="s">
        <v>6265</v>
      </c>
      <c r="J1928" s="8" t="s">
        <v>6266</v>
      </c>
    </row>
    <row r="1929">
      <c r="A1929" s="7">
        <v>2.0048228E7</v>
      </c>
      <c r="B1929" s="8" t="s">
        <v>2484</v>
      </c>
      <c r="C1929" s="8" t="s">
        <v>6267</v>
      </c>
      <c r="D1929" s="8" t="s">
        <v>16</v>
      </c>
      <c r="E1929" s="8" t="s">
        <v>17</v>
      </c>
      <c r="F1929" s="9">
        <v>46108.0</v>
      </c>
      <c r="G1929" s="8" t="s">
        <v>6268</v>
      </c>
      <c r="H1929" s="8" t="s">
        <v>6269</v>
      </c>
      <c r="I1929" s="8" t="s">
        <v>6270</v>
      </c>
      <c r="J1929" s="8" t="s">
        <v>6271</v>
      </c>
    </row>
    <row r="1930">
      <c r="A1930" s="7">
        <v>2.0035201E7</v>
      </c>
      <c r="B1930" s="8" t="s">
        <v>2484</v>
      </c>
      <c r="C1930" s="8" t="s">
        <v>6272</v>
      </c>
      <c r="D1930" s="8" t="s">
        <v>16</v>
      </c>
      <c r="E1930" s="8" t="s">
        <v>17</v>
      </c>
      <c r="F1930" s="9">
        <v>46046.0</v>
      </c>
      <c r="G1930" s="8" t="s">
        <v>6273</v>
      </c>
      <c r="H1930" s="8" t="s">
        <v>1301</v>
      </c>
      <c r="I1930" s="8" t="s">
        <v>6274</v>
      </c>
      <c r="J1930" s="8" t="s">
        <v>6275</v>
      </c>
    </row>
    <row r="1931">
      <c r="A1931" s="7">
        <v>2.0034294E7</v>
      </c>
      <c r="B1931" s="8" t="s">
        <v>2484</v>
      </c>
      <c r="C1931" s="8" t="s">
        <v>6276</v>
      </c>
      <c r="D1931" s="8" t="s">
        <v>16</v>
      </c>
      <c r="E1931" s="8" t="s">
        <v>17</v>
      </c>
      <c r="F1931" s="9">
        <v>46071.0</v>
      </c>
      <c r="G1931" s="8" t="s">
        <v>2122</v>
      </c>
      <c r="H1931" s="8" t="s">
        <v>2123</v>
      </c>
      <c r="I1931" s="8" t="s">
        <v>6277</v>
      </c>
      <c r="J1931" s="8" t="s">
        <v>6278</v>
      </c>
    </row>
    <row r="1932">
      <c r="A1932" s="7">
        <v>2.0034386E7</v>
      </c>
      <c r="B1932" s="8" t="s">
        <v>2484</v>
      </c>
      <c r="C1932" s="8" t="s">
        <v>6279</v>
      </c>
      <c r="D1932" s="8" t="s">
        <v>16</v>
      </c>
      <c r="E1932" s="8" t="s">
        <v>17</v>
      </c>
      <c r="F1932" s="9">
        <v>46048.0</v>
      </c>
      <c r="G1932" s="8" t="s">
        <v>3572</v>
      </c>
      <c r="H1932" s="8" t="s">
        <v>3573</v>
      </c>
      <c r="I1932" s="8" t="s">
        <v>6280</v>
      </c>
      <c r="J1932" s="8" t="s">
        <v>6281</v>
      </c>
    </row>
    <row r="1933">
      <c r="A1933" s="7">
        <v>2.0034102E7</v>
      </c>
      <c r="B1933" s="8" t="s">
        <v>2484</v>
      </c>
      <c r="C1933" s="8" t="s">
        <v>6282</v>
      </c>
      <c r="D1933" s="8" t="s">
        <v>16</v>
      </c>
      <c r="E1933" s="8" t="s">
        <v>17</v>
      </c>
      <c r="F1933" s="9">
        <v>46071.0</v>
      </c>
      <c r="G1933" s="8" t="s">
        <v>3140</v>
      </c>
      <c r="H1933" s="8" t="s">
        <v>3141</v>
      </c>
      <c r="I1933" s="8" t="s">
        <v>6283</v>
      </c>
      <c r="J1933" s="8" t="s">
        <v>6284</v>
      </c>
    </row>
    <row r="1934">
      <c r="A1934" s="7">
        <v>2.0034102E7</v>
      </c>
      <c r="B1934" s="8" t="s">
        <v>2484</v>
      </c>
      <c r="C1934" s="8" t="s">
        <v>6282</v>
      </c>
      <c r="D1934" s="8" t="s">
        <v>16</v>
      </c>
      <c r="E1934" s="8" t="s">
        <v>17</v>
      </c>
      <c r="F1934" s="9">
        <v>46071.0</v>
      </c>
      <c r="G1934" s="8" t="s">
        <v>6285</v>
      </c>
      <c r="H1934" s="8" t="s">
        <v>5065</v>
      </c>
      <c r="I1934" s="8" t="s">
        <v>6286</v>
      </c>
      <c r="J1934" s="8" t="s">
        <v>6287</v>
      </c>
    </row>
    <row r="1935">
      <c r="A1935" s="7">
        <v>2.0034102E7</v>
      </c>
      <c r="B1935" s="8" t="s">
        <v>2484</v>
      </c>
      <c r="C1935" s="8" t="s">
        <v>6282</v>
      </c>
      <c r="D1935" s="8" t="s">
        <v>16</v>
      </c>
      <c r="E1935" s="8" t="s">
        <v>17</v>
      </c>
      <c r="F1935" s="9">
        <v>46071.0</v>
      </c>
      <c r="G1935" s="8" t="s">
        <v>3140</v>
      </c>
      <c r="H1935" s="8" t="s">
        <v>3141</v>
      </c>
      <c r="I1935" s="8" t="s">
        <v>6288</v>
      </c>
      <c r="J1935" s="8" t="s">
        <v>6284</v>
      </c>
    </row>
    <row r="1936">
      <c r="A1936" s="7">
        <v>2.0033381E7</v>
      </c>
      <c r="B1936" s="8" t="s">
        <v>2484</v>
      </c>
      <c r="C1936" s="8" t="s">
        <v>6289</v>
      </c>
      <c r="D1936" s="8" t="s">
        <v>16</v>
      </c>
      <c r="E1936" s="8" t="s">
        <v>17</v>
      </c>
      <c r="F1936" s="9">
        <v>46045.0</v>
      </c>
      <c r="G1936" s="8" t="s">
        <v>153</v>
      </c>
      <c r="H1936" s="8" t="s">
        <v>154</v>
      </c>
      <c r="I1936" s="8" t="s">
        <v>6290</v>
      </c>
      <c r="J1936" s="8" t="s">
        <v>6291</v>
      </c>
    </row>
    <row r="1937">
      <c r="A1937" s="7">
        <v>2.0065144E7</v>
      </c>
      <c r="B1937" s="8" t="s">
        <v>2484</v>
      </c>
      <c r="C1937" s="8" t="s">
        <v>6292</v>
      </c>
      <c r="D1937" s="8" t="s">
        <v>16</v>
      </c>
      <c r="E1937" s="8" t="s">
        <v>17</v>
      </c>
      <c r="F1937" s="9">
        <v>46164.0</v>
      </c>
      <c r="G1937" s="8" t="s">
        <v>59</v>
      </c>
      <c r="H1937" s="8" t="s">
        <v>60</v>
      </c>
      <c r="I1937" s="8" t="s">
        <v>6293</v>
      </c>
      <c r="J1937" s="8" t="s">
        <v>6294</v>
      </c>
    </row>
    <row r="1938">
      <c r="A1938" s="7">
        <v>2.0064646E7</v>
      </c>
      <c r="B1938" s="8" t="s">
        <v>2484</v>
      </c>
      <c r="C1938" s="8" t="s">
        <v>6295</v>
      </c>
      <c r="D1938" s="8" t="s">
        <v>16</v>
      </c>
      <c r="E1938" s="8" t="s">
        <v>17</v>
      </c>
      <c r="F1938" s="9">
        <v>46182.0</v>
      </c>
      <c r="G1938" s="8" t="s">
        <v>1813</v>
      </c>
      <c r="H1938" s="8" t="s">
        <v>1814</v>
      </c>
      <c r="I1938" s="8" t="s">
        <v>6296</v>
      </c>
      <c r="J1938" s="8" t="s">
        <v>6297</v>
      </c>
    </row>
    <row r="1939">
      <c r="A1939" s="7">
        <v>2.0059319E7</v>
      </c>
      <c r="B1939" s="8" t="s">
        <v>2484</v>
      </c>
      <c r="C1939" s="8" t="s">
        <v>6298</v>
      </c>
      <c r="D1939" s="8" t="s">
        <v>16</v>
      </c>
      <c r="E1939" s="8" t="s">
        <v>17</v>
      </c>
      <c r="F1939" s="9">
        <v>46160.0</v>
      </c>
      <c r="G1939" s="8" t="s">
        <v>64</v>
      </c>
      <c r="H1939" s="8" t="s">
        <v>65</v>
      </c>
      <c r="I1939" s="8" t="s">
        <v>6299</v>
      </c>
      <c r="J1939" s="8" t="s">
        <v>6300</v>
      </c>
    </row>
    <row r="1940">
      <c r="A1940" s="7">
        <v>2.0057086E7</v>
      </c>
      <c r="B1940" s="8" t="s">
        <v>2484</v>
      </c>
      <c r="C1940" s="8" t="s">
        <v>6301</v>
      </c>
      <c r="D1940" s="8" t="s">
        <v>16</v>
      </c>
      <c r="E1940" s="8" t="s">
        <v>17</v>
      </c>
      <c r="F1940" s="9">
        <v>46154.0</v>
      </c>
      <c r="G1940" s="8" t="s">
        <v>64</v>
      </c>
      <c r="H1940" s="8" t="s">
        <v>65</v>
      </c>
      <c r="I1940" s="8" t="s">
        <v>6302</v>
      </c>
      <c r="J1940" s="8" t="s">
        <v>6303</v>
      </c>
    </row>
    <row r="1941">
      <c r="A1941" s="7">
        <v>2.0055275E7</v>
      </c>
      <c r="B1941" s="8" t="s">
        <v>2484</v>
      </c>
      <c r="C1941" s="8" t="s">
        <v>6304</v>
      </c>
      <c r="D1941" s="8" t="s">
        <v>16</v>
      </c>
      <c r="E1941" s="8" t="s">
        <v>17</v>
      </c>
      <c r="F1941" s="9">
        <v>46134.0</v>
      </c>
      <c r="G1941" s="8" t="s">
        <v>6305</v>
      </c>
      <c r="H1941" s="8" t="s">
        <v>6306</v>
      </c>
      <c r="I1941" s="8" t="s">
        <v>6307</v>
      </c>
      <c r="J1941" s="8" t="s">
        <v>6308</v>
      </c>
    </row>
    <row r="1942">
      <c r="A1942" s="7">
        <v>2.0043982E7</v>
      </c>
      <c r="B1942" s="8" t="s">
        <v>2484</v>
      </c>
      <c r="C1942" s="8" t="s">
        <v>6309</v>
      </c>
      <c r="D1942" s="8" t="s">
        <v>16</v>
      </c>
      <c r="E1942" s="8" t="s">
        <v>17</v>
      </c>
      <c r="F1942" s="9">
        <v>46081.0</v>
      </c>
      <c r="G1942" s="8" t="s">
        <v>234</v>
      </c>
      <c r="H1942" s="8" t="s">
        <v>235</v>
      </c>
      <c r="I1942" s="8" t="s">
        <v>6310</v>
      </c>
      <c r="J1942" s="8" t="s">
        <v>6311</v>
      </c>
    </row>
    <row r="1943">
      <c r="A1943" s="7">
        <v>2.0063068E7</v>
      </c>
      <c r="B1943" s="8" t="s">
        <v>2484</v>
      </c>
      <c r="C1943" s="8" t="s">
        <v>6312</v>
      </c>
      <c r="D1943" s="8" t="s">
        <v>16</v>
      </c>
      <c r="E1943" s="8" t="s">
        <v>17</v>
      </c>
      <c r="F1943" s="9">
        <v>46178.0</v>
      </c>
      <c r="G1943" s="8" t="s">
        <v>64</v>
      </c>
      <c r="H1943" s="8" t="s">
        <v>65</v>
      </c>
      <c r="I1943" s="8" t="s">
        <v>6313</v>
      </c>
      <c r="J1943" s="8" t="s">
        <v>6314</v>
      </c>
    </row>
    <row r="1944">
      <c r="A1944" s="7">
        <v>2.0062663E7</v>
      </c>
      <c r="B1944" s="8" t="s">
        <v>2484</v>
      </c>
      <c r="C1944" s="8" t="s">
        <v>6315</v>
      </c>
      <c r="D1944" s="8" t="s">
        <v>16</v>
      </c>
      <c r="E1944" s="8" t="s">
        <v>17</v>
      </c>
      <c r="F1944" s="9">
        <v>46151.0</v>
      </c>
      <c r="G1944" s="8" t="s">
        <v>978</v>
      </c>
      <c r="H1944" s="8" t="s">
        <v>979</v>
      </c>
      <c r="I1944" s="8" t="s">
        <v>6316</v>
      </c>
      <c r="J1944" s="8" t="s">
        <v>6317</v>
      </c>
    </row>
    <row r="1945">
      <c r="A1945" s="7">
        <v>2.0058845E7</v>
      </c>
      <c r="B1945" s="8" t="s">
        <v>2484</v>
      </c>
      <c r="C1945" s="8" t="s">
        <v>6318</v>
      </c>
      <c r="D1945" s="8" t="s">
        <v>16</v>
      </c>
      <c r="E1945" s="8" t="s">
        <v>17</v>
      </c>
      <c r="F1945" s="9">
        <v>46161.0</v>
      </c>
      <c r="G1945" s="8" t="s">
        <v>1841</v>
      </c>
      <c r="H1945" s="8" t="s">
        <v>1842</v>
      </c>
      <c r="I1945" s="8" t="s">
        <v>6319</v>
      </c>
      <c r="J1945" s="8" t="s">
        <v>6320</v>
      </c>
    </row>
    <row r="1946">
      <c r="A1946" s="7">
        <v>2.0056204E7</v>
      </c>
      <c r="B1946" s="8" t="s">
        <v>2484</v>
      </c>
      <c r="C1946" s="8" t="s">
        <v>6321</v>
      </c>
      <c r="D1946" s="8" t="s">
        <v>16</v>
      </c>
      <c r="E1946" s="8" t="s">
        <v>17</v>
      </c>
      <c r="F1946" s="9">
        <v>46130.0</v>
      </c>
      <c r="G1946" s="8" t="s">
        <v>59</v>
      </c>
      <c r="H1946" s="8" t="s">
        <v>60</v>
      </c>
      <c r="I1946" s="8" t="s">
        <v>6322</v>
      </c>
      <c r="J1946" s="8" t="s">
        <v>6323</v>
      </c>
    </row>
    <row r="1947">
      <c r="A1947" s="7">
        <v>2.0037025E7</v>
      </c>
      <c r="B1947" s="8" t="s">
        <v>2484</v>
      </c>
      <c r="C1947" s="8" t="s">
        <v>6324</v>
      </c>
      <c r="D1947" s="8" t="s">
        <v>16</v>
      </c>
      <c r="E1947" s="8" t="s">
        <v>17</v>
      </c>
      <c r="F1947" s="9">
        <v>46052.0</v>
      </c>
      <c r="G1947" s="8" t="s">
        <v>3264</v>
      </c>
      <c r="H1947" s="8" t="s">
        <v>827</v>
      </c>
      <c r="I1947" s="8" t="s">
        <v>6325</v>
      </c>
      <c r="J1947" s="8" t="s">
        <v>6326</v>
      </c>
    </row>
    <row r="1948">
      <c r="A1948" s="7">
        <v>2.0063723E7</v>
      </c>
      <c r="B1948" s="8" t="s">
        <v>2484</v>
      </c>
      <c r="C1948" s="8" t="s">
        <v>6327</v>
      </c>
      <c r="D1948" s="8" t="s">
        <v>16</v>
      </c>
      <c r="E1948" s="8" t="s">
        <v>17</v>
      </c>
      <c r="F1948" s="9">
        <v>46158.0</v>
      </c>
      <c r="G1948" s="8" t="s">
        <v>1319</v>
      </c>
      <c r="H1948" s="8" t="s">
        <v>1320</v>
      </c>
      <c r="I1948" s="8" t="s">
        <v>6328</v>
      </c>
      <c r="J1948" s="8" t="s">
        <v>6329</v>
      </c>
    </row>
    <row r="1949">
      <c r="A1949" s="7">
        <v>2.0057E7</v>
      </c>
      <c r="B1949" s="8" t="s">
        <v>2484</v>
      </c>
      <c r="C1949" s="8" t="s">
        <v>6330</v>
      </c>
      <c r="D1949" s="8" t="s">
        <v>16</v>
      </c>
      <c r="E1949" s="8" t="s">
        <v>17</v>
      </c>
      <c r="F1949" s="9">
        <v>46158.0</v>
      </c>
      <c r="G1949" s="8" t="s">
        <v>158</v>
      </c>
      <c r="H1949" s="8" t="s">
        <v>159</v>
      </c>
      <c r="I1949" s="8" t="s">
        <v>6331</v>
      </c>
      <c r="J1949" s="8" t="s">
        <v>6332</v>
      </c>
    </row>
    <row r="1950">
      <c r="A1950" s="7">
        <v>2.0046486E7</v>
      </c>
      <c r="B1950" s="8" t="s">
        <v>2484</v>
      </c>
      <c r="C1950" s="8" t="s">
        <v>6333</v>
      </c>
      <c r="D1950" s="8" t="s">
        <v>16</v>
      </c>
      <c r="E1950" s="8" t="s">
        <v>17</v>
      </c>
      <c r="F1950" s="9">
        <v>46092.0</v>
      </c>
      <c r="G1950" s="8" t="s">
        <v>630</v>
      </c>
      <c r="H1950" s="8" t="s">
        <v>631</v>
      </c>
      <c r="I1950" s="8" t="s">
        <v>6334</v>
      </c>
      <c r="J1950" s="8" t="s">
        <v>6335</v>
      </c>
    </row>
    <row r="1951">
      <c r="A1951" s="7">
        <v>2.0043258E7</v>
      </c>
      <c r="B1951" s="8" t="s">
        <v>2484</v>
      </c>
      <c r="C1951" s="8" t="s">
        <v>6336</v>
      </c>
      <c r="D1951" s="8" t="s">
        <v>16</v>
      </c>
      <c r="E1951" s="8" t="s">
        <v>17</v>
      </c>
      <c r="F1951" s="9">
        <v>46070.0</v>
      </c>
      <c r="G1951" s="8" t="s">
        <v>59</v>
      </c>
      <c r="H1951" s="8" t="s">
        <v>60</v>
      </c>
      <c r="I1951" s="8" t="s">
        <v>6337</v>
      </c>
      <c r="J1951" s="8" t="s">
        <v>6338</v>
      </c>
    </row>
    <row r="1952">
      <c r="A1952" s="7">
        <v>2.0061284E7</v>
      </c>
      <c r="B1952" s="8" t="s">
        <v>2484</v>
      </c>
      <c r="C1952" s="8" t="s">
        <v>6339</v>
      </c>
      <c r="D1952" s="8" t="s">
        <v>16</v>
      </c>
      <c r="E1952" s="8" t="s">
        <v>17</v>
      </c>
      <c r="F1952" s="9">
        <v>46175.0</v>
      </c>
      <c r="G1952" s="8" t="s">
        <v>6340</v>
      </c>
      <c r="H1952" s="8" t="s">
        <v>6341</v>
      </c>
      <c r="I1952" s="8" t="s">
        <v>6342</v>
      </c>
      <c r="J1952" s="8" t="s">
        <v>6343</v>
      </c>
    </row>
    <row r="1953">
      <c r="A1953" s="7">
        <v>2.0064741E7</v>
      </c>
      <c r="B1953" s="8" t="s">
        <v>2484</v>
      </c>
      <c r="C1953" s="8" t="s">
        <v>6344</v>
      </c>
      <c r="D1953" s="8" t="s">
        <v>16</v>
      </c>
      <c r="E1953" s="8" t="s">
        <v>17</v>
      </c>
      <c r="F1953" s="9">
        <v>46163.0</v>
      </c>
      <c r="G1953" s="8" t="s">
        <v>1800</v>
      </c>
      <c r="H1953" s="8" t="s">
        <v>1801</v>
      </c>
      <c r="I1953" s="8" t="s">
        <v>6345</v>
      </c>
      <c r="J1953" s="8" t="s">
        <v>6346</v>
      </c>
    </row>
    <row r="1954">
      <c r="A1954" s="7">
        <v>2.006344E7</v>
      </c>
      <c r="B1954" s="8" t="s">
        <v>2484</v>
      </c>
      <c r="C1954" s="8" t="s">
        <v>6347</v>
      </c>
      <c r="D1954" s="8" t="s">
        <v>16</v>
      </c>
      <c r="E1954" s="8" t="s">
        <v>17</v>
      </c>
      <c r="F1954" s="9">
        <v>46193.0</v>
      </c>
      <c r="G1954" s="8" t="s">
        <v>1085</v>
      </c>
      <c r="H1954" s="8" t="s">
        <v>1086</v>
      </c>
      <c r="I1954" s="8" t="s">
        <v>6348</v>
      </c>
      <c r="J1954" s="8" t="s">
        <v>6349</v>
      </c>
    </row>
    <row r="1955">
      <c r="A1955" s="7">
        <v>2.0057364E7</v>
      </c>
      <c r="B1955" s="8" t="s">
        <v>2484</v>
      </c>
      <c r="C1955" s="8" t="s">
        <v>6350</v>
      </c>
      <c r="D1955" s="8" t="s">
        <v>16</v>
      </c>
      <c r="E1955" s="8" t="s">
        <v>17</v>
      </c>
      <c r="F1955" s="9">
        <v>46149.0</v>
      </c>
      <c r="G1955" s="8" t="s">
        <v>423</v>
      </c>
      <c r="H1955" s="8" t="s">
        <v>6351</v>
      </c>
      <c r="I1955" s="8" t="s">
        <v>6352</v>
      </c>
      <c r="J1955" s="8" t="s">
        <v>6353</v>
      </c>
    </row>
    <row r="1956">
      <c r="A1956" s="7">
        <v>2.0058964E7</v>
      </c>
      <c r="B1956" s="8" t="s">
        <v>2484</v>
      </c>
      <c r="C1956" s="8" t="s">
        <v>6354</v>
      </c>
      <c r="D1956" s="8" t="s">
        <v>16</v>
      </c>
      <c r="E1956" s="8" t="s">
        <v>17</v>
      </c>
      <c r="F1956" s="9">
        <v>46179.0</v>
      </c>
      <c r="G1956" s="8" t="s">
        <v>357</v>
      </c>
      <c r="H1956" s="8" t="s">
        <v>358</v>
      </c>
      <c r="I1956" s="8" t="s">
        <v>6355</v>
      </c>
      <c r="J1956" s="8" t="s">
        <v>6356</v>
      </c>
    </row>
    <row r="1957">
      <c r="A1957" s="7">
        <v>2.0052527E7</v>
      </c>
      <c r="B1957" s="8" t="s">
        <v>2484</v>
      </c>
      <c r="C1957" s="8" t="s">
        <v>6357</v>
      </c>
      <c r="D1957" s="8" t="s">
        <v>16</v>
      </c>
      <c r="E1957" s="8" t="s">
        <v>17</v>
      </c>
      <c r="F1957" s="9">
        <v>46136.0</v>
      </c>
      <c r="G1957" s="8" t="s">
        <v>791</v>
      </c>
      <c r="H1957" s="8" t="s">
        <v>792</v>
      </c>
      <c r="I1957" s="8" t="s">
        <v>6358</v>
      </c>
      <c r="J1957" s="8"/>
    </row>
    <row r="1958">
      <c r="A1958" s="7">
        <v>2.0048027E7</v>
      </c>
      <c r="B1958" s="8" t="s">
        <v>2484</v>
      </c>
      <c r="C1958" s="8" t="s">
        <v>6359</v>
      </c>
      <c r="D1958" s="8" t="s">
        <v>16</v>
      </c>
      <c r="E1958" s="8" t="s">
        <v>17</v>
      </c>
      <c r="F1958" s="9">
        <v>46114.0</v>
      </c>
      <c r="G1958" s="8" t="s">
        <v>6360</v>
      </c>
      <c r="H1958" s="8" t="s">
        <v>6361</v>
      </c>
      <c r="I1958" s="8" t="s">
        <v>6362</v>
      </c>
      <c r="J1958" s="8" t="s">
        <v>6363</v>
      </c>
    </row>
    <row r="1959">
      <c r="A1959" s="7">
        <v>2.0048027E7</v>
      </c>
      <c r="B1959" s="8" t="s">
        <v>2484</v>
      </c>
      <c r="C1959" s="8" t="s">
        <v>6359</v>
      </c>
      <c r="D1959" s="8" t="s">
        <v>16</v>
      </c>
      <c r="E1959" s="8" t="s">
        <v>17</v>
      </c>
      <c r="F1959" s="9">
        <v>46114.0</v>
      </c>
      <c r="G1959" s="8" t="s">
        <v>4938</v>
      </c>
      <c r="H1959" s="8" t="s">
        <v>4939</v>
      </c>
      <c r="I1959" s="8" t="s">
        <v>6364</v>
      </c>
      <c r="J1959" s="8" t="s">
        <v>6365</v>
      </c>
    </row>
    <row r="1960">
      <c r="A1960" s="7">
        <v>2.0042017E7</v>
      </c>
      <c r="B1960" s="8" t="s">
        <v>2484</v>
      </c>
      <c r="C1960" s="8" t="s">
        <v>6366</v>
      </c>
      <c r="D1960" s="8" t="s">
        <v>16</v>
      </c>
      <c r="E1960" s="8" t="s">
        <v>17</v>
      </c>
      <c r="F1960" s="9">
        <v>46077.0</v>
      </c>
      <c r="G1960" s="8" t="s">
        <v>873</v>
      </c>
      <c r="H1960" s="8" t="s">
        <v>874</v>
      </c>
      <c r="I1960" s="8" t="s">
        <v>6367</v>
      </c>
      <c r="J1960" s="8" t="s">
        <v>6368</v>
      </c>
    </row>
    <row r="1961">
      <c r="A1961" s="7">
        <v>2.0036053E7</v>
      </c>
      <c r="B1961" s="8" t="s">
        <v>2484</v>
      </c>
      <c r="C1961" s="8" t="s">
        <v>6369</v>
      </c>
      <c r="D1961" s="8" t="s">
        <v>16</v>
      </c>
      <c r="E1961" s="8" t="s">
        <v>17</v>
      </c>
      <c r="F1961" s="9">
        <v>46058.0</v>
      </c>
      <c r="G1961" s="8" t="s">
        <v>6370</v>
      </c>
      <c r="H1961" s="8" t="s">
        <v>6371</v>
      </c>
      <c r="I1961" s="8" t="s">
        <v>6372</v>
      </c>
      <c r="J1961" s="8" t="s">
        <v>6373</v>
      </c>
    </row>
    <row r="1962">
      <c r="A1962" s="7">
        <v>2.0034811E7</v>
      </c>
      <c r="B1962" s="8" t="s">
        <v>2484</v>
      </c>
      <c r="C1962" s="8" t="s">
        <v>6374</v>
      </c>
      <c r="D1962" s="8" t="s">
        <v>16</v>
      </c>
      <c r="E1962" s="8" t="s">
        <v>17</v>
      </c>
      <c r="F1962" s="9">
        <v>46051.0</v>
      </c>
      <c r="G1962" s="8" t="s">
        <v>75</v>
      </c>
      <c r="H1962" s="8" t="s">
        <v>76</v>
      </c>
      <c r="I1962" s="8" t="s">
        <v>6375</v>
      </c>
      <c r="J1962" s="8" t="s">
        <v>6376</v>
      </c>
    </row>
    <row r="1963">
      <c r="A1963" s="7">
        <v>2.0068537E7</v>
      </c>
      <c r="B1963" s="8" t="s">
        <v>2484</v>
      </c>
      <c r="C1963" s="8" t="s">
        <v>6377</v>
      </c>
      <c r="D1963" s="8" t="s">
        <v>16</v>
      </c>
      <c r="E1963" s="8" t="s">
        <v>17</v>
      </c>
      <c r="F1963" s="9">
        <v>46188.0</v>
      </c>
      <c r="G1963" s="8" t="s">
        <v>3172</v>
      </c>
      <c r="H1963" s="8" t="s">
        <v>6378</v>
      </c>
      <c r="I1963" s="8" t="s">
        <v>6379</v>
      </c>
      <c r="J1963" s="8" t="s">
        <v>6380</v>
      </c>
    </row>
    <row r="1964">
      <c r="A1964" s="7">
        <v>2.0066823E7</v>
      </c>
      <c r="B1964" s="8" t="s">
        <v>2484</v>
      </c>
      <c r="C1964" s="8" t="s">
        <v>6381</v>
      </c>
      <c r="D1964" s="8" t="s">
        <v>16</v>
      </c>
      <c r="E1964" s="8" t="s">
        <v>17</v>
      </c>
      <c r="F1964" s="9">
        <v>46179.0</v>
      </c>
      <c r="G1964" s="8" t="s">
        <v>234</v>
      </c>
      <c r="H1964" s="8" t="s">
        <v>235</v>
      </c>
      <c r="I1964" s="8" t="s">
        <v>6382</v>
      </c>
      <c r="J1964" s="8" t="s">
        <v>6383</v>
      </c>
    </row>
    <row r="1965">
      <c r="A1965" s="7">
        <v>2.0063184E7</v>
      </c>
      <c r="B1965" s="8" t="s">
        <v>2484</v>
      </c>
      <c r="C1965" s="8" t="s">
        <v>6384</v>
      </c>
      <c r="D1965" s="8" t="s">
        <v>16</v>
      </c>
      <c r="E1965" s="8" t="s">
        <v>17</v>
      </c>
      <c r="F1965" s="9">
        <v>46166.0</v>
      </c>
      <c r="G1965" s="8" t="s">
        <v>6038</v>
      </c>
      <c r="H1965" s="8" t="s">
        <v>6039</v>
      </c>
      <c r="I1965" s="8" t="s">
        <v>6385</v>
      </c>
      <c r="J1965" s="8" t="s">
        <v>6386</v>
      </c>
    </row>
    <row r="1966">
      <c r="A1966" s="7">
        <v>2.0058109E7</v>
      </c>
      <c r="B1966" s="8" t="s">
        <v>2484</v>
      </c>
      <c r="C1966" s="8" t="s">
        <v>6387</v>
      </c>
      <c r="D1966" s="8" t="s">
        <v>16</v>
      </c>
      <c r="E1966" s="8" t="s">
        <v>17</v>
      </c>
      <c r="F1966" s="9">
        <v>46152.0</v>
      </c>
      <c r="G1966" s="8" t="s">
        <v>6388</v>
      </c>
      <c r="H1966" s="8" t="s">
        <v>6389</v>
      </c>
      <c r="I1966" s="8" t="s">
        <v>6390</v>
      </c>
      <c r="J1966" s="8" t="s">
        <v>6391</v>
      </c>
    </row>
    <row r="1967">
      <c r="A1967" s="7">
        <v>2.0055891E7</v>
      </c>
      <c r="B1967" s="8" t="s">
        <v>2484</v>
      </c>
      <c r="C1967" s="8" t="s">
        <v>6392</v>
      </c>
      <c r="D1967" s="8" t="s">
        <v>16</v>
      </c>
      <c r="E1967" s="8" t="s">
        <v>17</v>
      </c>
      <c r="F1967" s="9">
        <v>46143.0</v>
      </c>
      <c r="G1967" s="8" t="s">
        <v>171</v>
      </c>
      <c r="H1967" s="8" t="s">
        <v>172</v>
      </c>
      <c r="I1967" s="8" t="s">
        <v>6393</v>
      </c>
      <c r="J1967" s="8" t="s">
        <v>6394</v>
      </c>
    </row>
    <row r="1968">
      <c r="A1968" s="7">
        <v>2.0055297E7</v>
      </c>
      <c r="B1968" s="8" t="s">
        <v>2484</v>
      </c>
      <c r="C1968" s="8" t="s">
        <v>6395</v>
      </c>
      <c r="D1968" s="8" t="s">
        <v>16</v>
      </c>
      <c r="E1968" s="8" t="s">
        <v>17</v>
      </c>
      <c r="F1968" s="9">
        <v>46142.0</v>
      </c>
      <c r="G1968" s="8" t="s">
        <v>171</v>
      </c>
      <c r="H1968" s="8" t="s">
        <v>172</v>
      </c>
      <c r="I1968" s="8" t="s">
        <v>6396</v>
      </c>
      <c r="J1968" s="8" t="s">
        <v>6397</v>
      </c>
    </row>
    <row r="1969">
      <c r="A1969" s="7">
        <v>2.0032592E7</v>
      </c>
      <c r="B1969" s="8" t="s">
        <v>2484</v>
      </c>
      <c r="C1969" s="8" t="s">
        <v>6398</v>
      </c>
      <c r="D1969" s="8" t="s">
        <v>16</v>
      </c>
      <c r="E1969" s="8" t="s">
        <v>17</v>
      </c>
      <c r="F1969" s="9">
        <v>46039.0</v>
      </c>
      <c r="G1969" s="8" t="s">
        <v>6399</v>
      </c>
      <c r="H1969" s="8" t="s">
        <v>120</v>
      </c>
      <c r="I1969" s="8" t="s">
        <v>6400</v>
      </c>
      <c r="J1969" s="8" t="s">
        <v>6401</v>
      </c>
    </row>
    <row r="1970">
      <c r="A1970" s="7">
        <v>2.006223E7</v>
      </c>
      <c r="B1970" s="8" t="s">
        <v>2484</v>
      </c>
      <c r="C1970" s="8" t="s">
        <v>6402</v>
      </c>
      <c r="D1970" s="8" t="s">
        <v>16</v>
      </c>
      <c r="E1970" s="8" t="s">
        <v>17</v>
      </c>
      <c r="F1970" s="9">
        <v>46180.0</v>
      </c>
      <c r="G1970" s="8" t="s">
        <v>59</v>
      </c>
      <c r="H1970" s="8" t="s">
        <v>60</v>
      </c>
      <c r="I1970" s="8" t="s">
        <v>6403</v>
      </c>
      <c r="J1970" s="8" t="s">
        <v>1752</v>
      </c>
    </row>
    <row r="1971">
      <c r="A1971" s="7">
        <v>2.0050336E7</v>
      </c>
      <c r="B1971" s="8" t="s">
        <v>2484</v>
      </c>
      <c r="C1971" s="8" t="s">
        <v>6404</v>
      </c>
      <c r="D1971" s="8" t="s">
        <v>16</v>
      </c>
      <c r="E1971" s="8" t="s">
        <v>17</v>
      </c>
      <c r="F1971" s="9">
        <v>46125.0</v>
      </c>
      <c r="G1971" s="8" t="s">
        <v>6072</v>
      </c>
      <c r="H1971" s="8" t="s">
        <v>6073</v>
      </c>
      <c r="I1971" s="8" t="s">
        <v>6405</v>
      </c>
      <c r="J1971" s="8" t="s">
        <v>6074</v>
      </c>
    </row>
    <row r="1972">
      <c r="A1972" s="7">
        <v>2.0047921E7</v>
      </c>
      <c r="B1972" s="8" t="s">
        <v>2484</v>
      </c>
      <c r="C1972" s="8" t="s">
        <v>6406</v>
      </c>
      <c r="D1972" s="8" t="s">
        <v>16</v>
      </c>
      <c r="E1972" s="8" t="s">
        <v>17</v>
      </c>
      <c r="F1972" s="9">
        <v>46091.0</v>
      </c>
      <c r="G1972" s="8" t="s">
        <v>882</v>
      </c>
      <c r="H1972" s="8" t="s">
        <v>883</v>
      </c>
      <c r="I1972" s="8" t="s">
        <v>6407</v>
      </c>
      <c r="J1972" s="8" t="s">
        <v>6408</v>
      </c>
    </row>
    <row r="1973">
      <c r="A1973" s="7">
        <v>2.0045818E7</v>
      </c>
      <c r="B1973" s="8" t="s">
        <v>2484</v>
      </c>
      <c r="C1973" s="8" t="s">
        <v>6409</v>
      </c>
      <c r="D1973" s="8" t="s">
        <v>16</v>
      </c>
      <c r="E1973" s="8" t="s">
        <v>17</v>
      </c>
      <c r="F1973" s="9">
        <v>46080.0</v>
      </c>
      <c r="G1973" s="8" t="s">
        <v>59</v>
      </c>
      <c r="H1973" s="8" t="s">
        <v>60</v>
      </c>
      <c r="I1973" s="8" t="s">
        <v>6410</v>
      </c>
      <c r="J1973" s="8" t="s">
        <v>6411</v>
      </c>
    </row>
    <row r="1974">
      <c r="A1974" s="7">
        <v>2.0064048E7</v>
      </c>
      <c r="B1974" s="8" t="s">
        <v>2484</v>
      </c>
      <c r="C1974" s="8" t="s">
        <v>6412</v>
      </c>
      <c r="D1974" s="8" t="s">
        <v>16</v>
      </c>
      <c r="E1974" s="8" t="s">
        <v>17</v>
      </c>
      <c r="F1974" s="9">
        <v>46190.0</v>
      </c>
      <c r="G1974" s="8" t="s">
        <v>124</v>
      </c>
      <c r="H1974" s="8" t="s">
        <v>125</v>
      </c>
      <c r="I1974" s="8" t="s">
        <v>6413</v>
      </c>
      <c r="J1974" s="8" t="s">
        <v>6414</v>
      </c>
    </row>
    <row r="1975">
      <c r="A1975" s="7">
        <v>2.006315E7</v>
      </c>
      <c r="B1975" s="8" t="s">
        <v>2484</v>
      </c>
      <c r="C1975" s="8" t="s">
        <v>6415</v>
      </c>
      <c r="D1975" s="8" t="s">
        <v>16</v>
      </c>
      <c r="E1975" s="8" t="s">
        <v>17</v>
      </c>
      <c r="F1975" s="9">
        <v>46161.0</v>
      </c>
      <c r="G1975" s="8" t="s">
        <v>882</v>
      </c>
      <c r="H1975" s="8" t="s">
        <v>883</v>
      </c>
      <c r="I1975" s="8" t="s">
        <v>6416</v>
      </c>
      <c r="J1975" s="8" t="s">
        <v>6417</v>
      </c>
    </row>
    <row r="1976">
      <c r="A1976" s="7">
        <v>2.0060679E7</v>
      </c>
      <c r="B1976" s="8" t="s">
        <v>2484</v>
      </c>
      <c r="C1976" s="8" t="s">
        <v>6418</v>
      </c>
      <c r="D1976" s="8" t="s">
        <v>16</v>
      </c>
      <c r="E1976" s="8" t="s">
        <v>17</v>
      </c>
      <c r="F1976" s="9">
        <v>46179.0</v>
      </c>
      <c r="G1976" s="8" t="s">
        <v>171</v>
      </c>
      <c r="H1976" s="8" t="s">
        <v>172</v>
      </c>
      <c r="I1976" s="8" t="s">
        <v>6419</v>
      </c>
      <c r="J1976" s="8" t="s">
        <v>6420</v>
      </c>
    </row>
    <row r="1977">
      <c r="A1977" s="7">
        <v>2.0060653E7</v>
      </c>
      <c r="B1977" s="8" t="s">
        <v>2484</v>
      </c>
      <c r="C1977" s="8" t="s">
        <v>6421</v>
      </c>
      <c r="D1977" s="8" t="s">
        <v>16</v>
      </c>
      <c r="E1977" s="8" t="s">
        <v>17</v>
      </c>
      <c r="F1977" s="9">
        <v>46182.0</v>
      </c>
      <c r="G1977" s="8" t="s">
        <v>171</v>
      </c>
      <c r="H1977" s="8" t="s">
        <v>172</v>
      </c>
      <c r="I1977" s="8" t="s">
        <v>6422</v>
      </c>
      <c r="J1977" s="8" t="s">
        <v>6423</v>
      </c>
    </row>
    <row r="1978">
      <c r="A1978" s="7">
        <v>2.0059583E7</v>
      </c>
      <c r="B1978" s="8" t="s">
        <v>2484</v>
      </c>
      <c r="C1978" s="8" t="s">
        <v>6424</v>
      </c>
      <c r="D1978" s="8" t="s">
        <v>16</v>
      </c>
      <c r="E1978" s="8" t="s">
        <v>17</v>
      </c>
      <c r="F1978" s="9">
        <v>46185.0</v>
      </c>
      <c r="G1978" s="8" t="s">
        <v>314</v>
      </c>
      <c r="H1978" s="8" t="s">
        <v>315</v>
      </c>
      <c r="I1978" s="8" t="s">
        <v>6425</v>
      </c>
      <c r="J1978" s="8" t="s">
        <v>6426</v>
      </c>
    </row>
    <row r="1979">
      <c r="A1979" s="7">
        <v>2.0039779E7</v>
      </c>
      <c r="B1979" s="8" t="s">
        <v>2484</v>
      </c>
      <c r="C1979" s="8" t="s">
        <v>6427</v>
      </c>
      <c r="D1979" s="8" t="s">
        <v>16</v>
      </c>
      <c r="E1979" s="8" t="s">
        <v>17</v>
      </c>
      <c r="F1979" s="9">
        <v>46079.0</v>
      </c>
      <c r="G1979" s="8" t="s">
        <v>1998</v>
      </c>
      <c r="H1979" s="8" t="s">
        <v>1999</v>
      </c>
      <c r="I1979" s="8" t="s">
        <v>6428</v>
      </c>
      <c r="J1979" s="8" t="s">
        <v>6429</v>
      </c>
    </row>
    <row r="1980">
      <c r="A1980" s="7">
        <v>2.0034778E7</v>
      </c>
      <c r="B1980" s="8" t="s">
        <v>2484</v>
      </c>
      <c r="C1980" s="8" t="s">
        <v>6430</v>
      </c>
      <c r="D1980" s="8" t="s">
        <v>16</v>
      </c>
      <c r="E1980" s="8" t="s">
        <v>17</v>
      </c>
      <c r="F1980" s="9">
        <v>46053.0</v>
      </c>
      <c r="G1980" s="8" t="s">
        <v>3133</v>
      </c>
      <c r="H1980" s="8" t="s">
        <v>3134</v>
      </c>
      <c r="I1980" s="8" t="s">
        <v>6431</v>
      </c>
      <c r="J1980" s="8"/>
    </row>
    <row r="1981">
      <c r="A1981" s="7">
        <v>2.0066838E7</v>
      </c>
      <c r="B1981" s="8" t="s">
        <v>2484</v>
      </c>
      <c r="C1981" s="8" t="s">
        <v>6432</v>
      </c>
      <c r="D1981" s="8" t="s">
        <v>16</v>
      </c>
      <c r="E1981" s="8" t="s">
        <v>17</v>
      </c>
      <c r="F1981" s="9">
        <v>46182.0</v>
      </c>
      <c r="G1981" s="8" t="s">
        <v>908</v>
      </c>
      <c r="H1981" s="8" t="s">
        <v>909</v>
      </c>
      <c r="I1981" s="8" t="s">
        <v>6433</v>
      </c>
      <c r="J1981" s="8" t="s">
        <v>6434</v>
      </c>
    </row>
    <row r="1982">
      <c r="A1982" s="7">
        <v>2.0067433E7</v>
      </c>
      <c r="B1982" s="8" t="s">
        <v>2484</v>
      </c>
      <c r="C1982" s="8" t="s">
        <v>6435</v>
      </c>
      <c r="D1982" s="8" t="s">
        <v>16</v>
      </c>
      <c r="E1982" s="8" t="s">
        <v>17</v>
      </c>
      <c r="F1982" s="9">
        <v>46176.0</v>
      </c>
      <c r="G1982" s="8" t="s">
        <v>220</v>
      </c>
      <c r="H1982" s="8" t="s">
        <v>221</v>
      </c>
      <c r="I1982" s="8" t="s">
        <v>6436</v>
      </c>
      <c r="J1982" s="8" t="s">
        <v>6437</v>
      </c>
    </row>
    <row r="1983">
      <c r="A1983" s="7">
        <v>2.0056617E7</v>
      </c>
      <c r="B1983" s="8" t="s">
        <v>2484</v>
      </c>
      <c r="C1983" s="8" t="s">
        <v>6438</v>
      </c>
      <c r="D1983" s="8" t="s">
        <v>16</v>
      </c>
      <c r="E1983" s="8" t="s">
        <v>17</v>
      </c>
      <c r="F1983" s="9">
        <v>46162.0</v>
      </c>
      <c r="G1983" s="8" t="s">
        <v>1045</v>
      </c>
      <c r="H1983" s="8" t="s">
        <v>909</v>
      </c>
      <c r="I1983" s="8" t="s">
        <v>6439</v>
      </c>
      <c r="J1983" s="8" t="s">
        <v>6440</v>
      </c>
    </row>
    <row r="1984">
      <c r="A1984" s="7">
        <v>2.0060373E7</v>
      </c>
      <c r="B1984" s="8" t="s">
        <v>2484</v>
      </c>
      <c r="C1984" s="8" t="s">
        <v>6441</v>
      </c>
      <c r="D1984" s="8" t="s">
        <v>16</v>
      </c>
      <c r="E1984" s="8" t="s">
        <v>17</v>
      </c>
      <c r="F1984" s="9">
        <v>46177.0</v>
      </c>
      <c r="G1984" s="8" t="s">
        <v>6442</v>
      </c>
      <c r="H1984" s="8" t="s">
        <v>6443</v>
      </c>
      <c r="I1984" s="8" t="s">
        <v>6444</v>
      </c>
      <c r="J1984" s="8" t="s">
        <v>6445</v>
      </c>
    </row>
    <row r="1985">
      <c r="A1985" s="7">
        <v>2.0057719E7</v>
      </c>
      <c r="B1985" s="8" t="s">
        <v>2484</v>
      </c>
      <c r="C1985" s="8" t="s">
        <v>6446</v>
      </c>
      <c r="D1985" s="8" t="s">
        <v>16</v>
      </c>
      <c r="E1985" s="8" t="s">
        <v>17</v>
      </c>
      <c r="F1985" s="9">
        <v>46135.0</v>
      </c>
      <c r="G1985" s="8" t="s">
        <v>59</v>
      </c>
      <c r="H1985" s="8" t="s">
        <v>60</v>
      </c>
      <c r="I1985" s="8" t="s">
        <v>6447</v>
      </c>
      <c r="J1985" s="8" t="s">
        <v>6448</v>
      </c>
    </row>
    <row r="1986">
      <c r="A1986" s="7">
        <v>2.0050871E7</v>
      </c>
      <c r="B1986" s="8" t="s">
        <v>2484</v>
      </c>
      <c r="C1986" s="8" t="s">
        <v>6449</v>
      </c>
      <c r="D1986" s="8" t="s">
        <v>16</v>
      </c>
      <c r="E1986" s="8" t="s">
        <v>17</v>
      </c>
      <c r="F1986" s="9">
        <v>46136.0</v>
      </c>
      <c r="G1986" s="8" t="s">
        <v>158</v>
      </c>
      <c r="H1986" s="8" t="s">
        <v>159</v>
      </c>
      <c r="I1986" s="8" t="s">
        <v>6450</v>
      </c>
      <c r="J1986" s="8" t="s">
        <v>6451</v>
      </c>
    </row>
    <row r="1987">
      <c r="A1987" s="7">
        <v>2.0043134E7</v>
      </c>
      <c r="B1987" s="8" t="s">
        <v>2484</v>
      </c>
      <c r="C1987" s="8" t="s">
        <v>6452</v>
      </c>
      <c r="D1987" s="8" t="s">
        <v>16</v>
      </c>
      <c r="E1987" s="8" t="s">
        <v>17</v>
      </c>
      <c r="F1987" s="9">
        <v>46102.0</v>
      </c>
      <c r="G1987" s="8" t="s">
        <v>873</v>
      </c>
      <c r="H1987" s="8" t="s">
        <v>874</v>
      </c>
      <c r="I1987" s="8" t="s">
        <v>6453</v>
      </c>
      <c r="J1987" s="8" t="s">
        <v>6454</v>
      </c>
    </row>
    <row r="1988">
      <c r="A1988" s="7">
        <v>2.0035974E7</v>
      </c>
      <c r="B1988" s="8" t="s">
        <v>2484</v>
      </c>
      <c r="C1988" s="8" t="s">
        <v>6455</v>
      </c>
      <c r="D1988" s="8" t="s">
        <v>16</v>
      </c>
      <c r="E1988" s="8" t="s">
        <v>17</v>
      </c>
      <c r="F1988" s="9">
        <v>46045.0</v>
      </c>
      <c r="G1988" s="8" t="s">
        <v>59</v>
      </c>
      <c r="H1988" s="8" t="s">
        <v>60</v>
      </c>
      <c r="I1988" s="8" t="s">
        <v>6456</v>
      </c>
      <c r="J1988" s="8" t="s">
        <v>6457</v>
      </c>
    </row>
    <row r="1989">
      <c r="A1989" s="7">
        <v>2.0055075E7</v>
      </c>
      <c r="B1989" s="8" t="s">
        <v>2484</v>
      </c>
      <c r="C1989" s="8" t="s">
        <v>6458</v>
      </c>
      <c r="D1989" s="8" t="s">
        <v>16</v>
      </c>
      <c r="E1989" s="8" t="s">
        <v>17</v>
      </c>
      <c r="F1989" s="9">
        <v>46183.0</v>
      </c>
      <c r="G1989" s="8" t="s">
        <v>6459</v>
      </c>
      <c r="H1989" s="8" t="s">
        <v>6460</v>
      </c>
      <c r="I1989" s="8" t="s">
        <v>6461</v>
      </c>
      <c r="J1989" s="8" t="s">
        <v>6462</v>
      </c>
    </row>
    <row r="1990">
      <c r="A1990" s="7">
        <v>2.0058556E7</v>
      </c>
      <c r="B1990" s="8" t="s">
        <v>2484</v>
      </c>
      <c r="C1990" s="8" t="s">
        <v>6463</v>
      </c>
      <c r="D1990" s="8" t="s">
        <v>16</v>
      </c>
      <c r="E1990" s="8" t="s">
        <v>17</v>
      </c>
      <c r="F1990" s="9">
        <v>46157.0</v>
      </c>
      <c r="G1990" s="8" t="s">
        <v>75</v>
      </c>
      <c r="H1990" s="8" t="s">
        <v>76</v>
      </c>
      <c r="I1990" s="8" t="s">
        <v>6464</v>
      </c>
      <c r="J1990" s="8" t="s">
        <v>6465</v>
      </c>
    </row>
    <row r="1991">
      <c r="A1991" s="7">
        <v>2.0054931E7</v>
      </c>
      <c r="B1991" s="8" t="s">
        <v>2484</v>
      </c>
      <c r="C1991" s="8" t="s">
        <v>6466</v>
      </c>
      <c r="D1991" s="8" t="s">
        <v>16</v>
      </c>
      <c r="E1991" s="8" t="s">
        <v>17</v>
      </c>
      <c r="F1991" s="9">
        <v>46140.0</v>
      </c>
      <c r="G1991" s="8" t="s">
        <v>6467</v>
      </c>
      <c r="H1991" s="8" t="s">
        <v>6468</v>
      </c>
      <c r="I1991" s="8" t="s">
        <v>6469</v>
      </c>
      <c r="J1991" s="8" t="s">
        <v>6470</v>
      </c>
    </row>
    <row r="1992">
      <c r="A1992" s="7">
        <v>2.0054552E7</v>
      </c>
      <c r="B1992" s="8" t="s">
        <v>2484</v>
      </c>
      <c r="C1992" s="8" t="s">
        <v>6471</v>
      </c>
      <c r="D1992" s="8" t="s">
        <v>16</v>
      </c>
      <c r="E1992" s="8" t="s">
        <v>17</v>
      </c>
      <c r="F1992" s="9">
        <v>46133.0</v>
      </c>
      <c r="G1992" s="8" t="s">
        <v>1557</v>
      </c>
      <c r="H1992" s="8" t="s">
        <v>1558</v>
      </c>
      <c r="I1992" s="8" t="s">
        <v>6472</v>
      </c>
      <c r="J1992" s="8" t="s">
        <v>6473</v>
      </c>
    </row>
    <row r="1993">
      <c r="A1993" s="7">
        <v>2.0039293E7</v>
      </c>
      <c r="B1993" s="8" t="s">
        <v>2484</v>
      </c>
      <c r="C1993" s="8" t="s">
        <v>6474</v>
      </c>
      <c r="D1993" s="8" t="s">
        <v>16</v>
      </c>
      <c r="E1993" s="8" t="s">
        <v>17</v>
      </c>
      <c r="F1993" s="9">
        <v>46061.0</v>
      </c>
      <c r="G1993" s="8" t="s">
        <v>5723</v>
      </c>
      <c r="H1993" s="8" t="s">
        <v>909</v>
      </c>
      <c r="I1993" s="8" t="s">
        <v>6475</v>
      </c>
      <c r="J1993" s="8" t="s">
        <v>6476</v>
      </c>
    </row>
    <row r="1994">
      <c r="A1994" s="7">
        <v>2.0035175E7</v>
      </c>
      <c r="B1994" s="8" t="s">
        <v>2484</v>
      </c>
      <c r="C1994" s="8" t="s">
        <v>6477</v>
      </c>
      <c r="D1994" s="8" t="s">
        <v>16</v>
      </c>
      <c r="E1994" s="8" t="s">
        <v>17</v>
      </c>
      <c r="F1994" s="9">
        <v>46044.0</v>
      </c>
      <c r="G1994" s="8" t="s">
        <v>3812</v>
      </c>
      <c r="H1994" s="8" t="s">
        <v>3813</v>
      </c>
      <c r="I1994" s="8" t="s">
        <v>6478</v>
      </c>
      <c r="J1994" s="8" t="s">
        <v>6479</v>
      </c>
    </row>
    <row r="1995">
      <c r="A1995" s="7">
        <v>2.0056755E7</v>
      </c>
      <c r="B1995" s="8" t="s">
        <v>2484</v>
      </c>
      <c r="C1995" s="8" t="s">
        <v>6480</v>
      </c>
      <c r="D1995" s="8" t="s">
        <v>16</v>
      </c>
      <c r="E1995" s="8" t="s">
        <v>17</v>
      </c>
      <c r="F1995" s="9">
        <v>46151.0</v>
      </c>
      <c r="G1995" s="8" t="s">
        <v>158</v>
      </c>
      <c r="H1995" s="8" t="s">
        <v>159</v>
      </c>
      <c r="I1995" s="8" t="s">
        <v>6481</v>
      </c>
      <c r="J1995" s="8" t="s">
        <v>6482</v>
      </c>
    </row>
    <row r="1996">
      <c r="A1996" s="7">
        <v>2.0053121E7</v>
      </c>
      <c r="B1996" s="8" t="s">
        <v>2484</v>
      </c>
      <c r="C1996" s="8" t="s">
        <v>6483</v>
      </c>
      <c r="D1996" s="8" t="s">
        <v>16</v>
      </c>
      <c r="E1996" s="8" t="s">
        <v>17</v>
      </c>
      <c r="F1996" s="9">
        <v>46113.0</v>
      </c>
      <c r="G1996" s="8" t="s">
        <v>385</v>
      </c>
      <c r="H1996" s="8" t="s">
        <v>386</v>
      </c>
      <c r="I1996" s="8" t="s">
        <v>6484</v>
      </c>
      <c r="J1996" s="8" t="s">
        <v>6485</v>
      </c>
    </row>
    <row r="1997">
      <c r="A1997" s="7">
        <v>2.0049652E7</v>
      </c>
      <c r="B1997" s="8" t="s">
        <v>2484</v>
      </c>
      <c r="C1997" s="8" t="s">
        <v>6486</v>
      </c>
      <c r="D1997" s="8" t="s">
        <v>16</v>
      </c>
      <c r="E1997" s="8" t="s">
        <v>17</v>
      </c>
      <c r="F1997" s="9">
        <v>46109.0</v>
      </c>
      <c r="G1997" s="8" t="s">
        <v>634</v>
      </c>
      <c r="H1997" s="8" t="s">
        <v>635</v>
      </c>
      <c r="I1997" s="8" t="s">
        <v>6487</v>
      </c>
      <c r="J1997" s="8" t="s">
        <v>6488</v>
      </c>
    </row>
    <row r="1998">
      <c r="A1998" s="7">
        <v>2.004185E7</v>
      </c>
      <c r="B1998" s="8" t="s">
        <v>2484</v>
      </c>
      <c r="C1998" s="8" t="s">
        <v>6489</v>
      </c>
      <c r="D1998" s="8" t="s">
        <v>16</v>
      </c>
      <c r="E1998" s="8" t="s">
        <v>17</v>
      </c>
      <c r="F1998" s="9">
        <v>46081.0</v>
      </c>
      <c r="G1998" s="8" t="s">
        <v>822</v>
      </c>
      <c r="H1998" s="8" t="s">
        <v>120</v>
      </c>
      <c r="I1998" s="8" t="s">
        <v>6490</v>
      </c>
      <c r="J1998" s="8" t="s">
        <v>6491</v>
      </c>
    </row>
    <row r="1999">
      <c r="A1999" s="7">
        <v>2.004185E7</v>
      </c>
      <c r="B1999" s="8" t="s">
        <v>2484</v>
      </c>
      <c r="C1999" s="8" t="s">
        <v>6489</v>
      </c>
      <c r="D1999" s="8" t="s">
        <v>16</v>
      </c>
      <c r="E1999" s="8" t="s">
        <v>17</v>
      </c>
      <c r="F1999" s="9">
        <v>46081.0</v>
      </c>
      <c r="G1999" s="8" t="s">
        <v>822</v>
      </c>
      <c r="H1999" s="8" t="s">
        <v>120</v>
      </c>
      <c r="I1999" s="8" t="s">
        <v>6492</v>
      </c>
      <c r="J1999" s="8" t="s">
        <v>6491</v>
      </c>
    </row>
    <row r="2000">
      <c r="A2000" s="7">
        <v>2.0034298E7</v>
      </c>
      <c r="B2000" s="8" t="s">
        <v>2484</v>
      </c>
      <c r="C2000" s="8" t="s">
        <v>6493</v>
      </c>
      <c r="D2000" s="8" t="s">
        <v>16</v>
      </c>
      <c r="E2000" s="8" t="s">
        <v>17</v>
      </c>
      <c r="F2000" s="9">
        <v>46059.0</v>
      </c>
      <c r="G2000" s="8" t="s">
        <v>3133</v>
      </c>
      <c r="H2000" s="8" t="s">
        <v>3134</v>
      </c>
      <c r="I2000" s="8" t="s">
        <v>6494</v>
      </c>
      <c r="J2000" s="8"/>
    </row>
    <row r="2001">
      <c r="A2001" s="7">
        <v>2.0070073E7</v>
      </c>
      <c r="B2001" s="8" t="s">
        <v>2484</v>
      </c>
      <c r="C2001" s="8" t="s">
        <v>6495</v>
      </c>
      <c r="D2001" s="8" t="s">
        <v>16</v>
      </c>
      <c r="E2001" s="8" t="s">
        <v>17</v>
      </c>
      <c r="F2001" s="9">
        <v>46191.0</v>
      </c>
      <c r="G2001" s="8" t="s">
        <v>908</v>
      </c>
      <c r="H2001" s="8" t="s">
        <v>909</v>
      </c>
      <c r="I2001" s="8" t="s">
        <v>6496</v>
      </c>
      <c r="J2001" s="8" t="s">
        <v>6497</v>
      </c>
    </row>
    <row r="2002">
      <c r="A2002" s="7">
        <v>2.0068864E7</v>
      </c>
      <c r="B2002" s="8" t="s">
        <v>2484</v>
      </c>
      <c r="C2002" s="8" t="s">
        <v>6498</v>
      </c>
      <c r="D2002" s="8" t="s">
        <v>16</v>
      </c>
      <c r="E2002" s="8" t="s">
        <v>17</v>
      </c>
      <c r="F2002" s="9">
        <v>46189.0</v>
      </c>
      <c r="G2002" s="8" t="s">
        <v>4616</v>
      </c>
      <c r="H2002" s="8" t="s">
        <v>4617</v>
      </c>
      <c r="I2002" s="8" t="s">
        <v>6499</v>
      </c>
      <c r="J2002" s="8" t="s">
        <v>6500</v>
      </c>
    </row>
    <row r="2003">
      <c r="A2003" s="7">
        <v>2.0058227E7</v>
      </c>
      <c r="B2003" s="8" t="s">
        <v>2484</v>
      </c>
      <c r="C2003" s="8" t="s">
        <v>6501</v>
      </c>
      <c r="D2003" s="8" t="s">
        <v>16</v>
      </c>
      <c r="E2003" s="8" t="s">
        <v>17</v>
      </c>
      <c r="F2003" s="9">
        <v>46177.0</v>
      </c>
      <c r="G2003" s="8" t="s">
        <v>5439</v>
      </c>
      <c r="H2003" s="8" t="s">
        <v>5440</v>
      </c>
      <c r="I2003" s="8" t="s">
        <v>6502</v>
      </c>
      <c r="J2003" s="8" t="s">
        <v>6503</v>
      </c>
    </row>
    <row r="2004">
      <c r="A2004" s="7">
        <v>2.0056167E7</v>
      </c>
      <c r="B2004" s="8" t="s">
        <v>2484</v>
      </c>
      <c r="C2004" s="8" t="s">
        <v>6504</v>
      </c>
      <c r="D2004" s="8" t="s">
        <v>16</v>
      </c>
      <c r="E2004" s="8" t="s">
        <v>17</v>
      </c>
      <c r="F2004" s="9">
        <v>46143.0</v>
      </c>
      <c r="G2004" s="8" t="s">
        <v>171</v>
      </c>
      <c r="H2004" s="8" t="s">
        <v>172</v>
      </c>
      <c r="I2004" s="8" t="s">
        <v>6505</v>
      </c>
      <c r="J2004" s="8" t="s">
        <v>6506</v>
      </c>
    </row>
    <row r="2005">
      <c r="A2005" s="7">
        <v>2.0054956E7</v>
      </c>
      <c r="B2005" s="8" t="s">
        <v>2484</v>
      </c>
      <c r="C2005" s="8" t="s">
        <v>6507</v>
      </c>
      <c r="D2005" s="8" t="s">
        <v>16</v>
      </c>
      <c r="E2005" s="8" t="s">
        <v>17</v>
      </c>
      <c r="F2005" s="9">
        <v>46139.0</v>
      </c>
      <c r="G2005" s="8" t="s">
        <v>49</v>
      </c>
      <c r="H2005" s="8" t="s">
        <v>50</v>
      </c>
      <c r="I2005" s="8" t="s">
        <v>6508</v>
      </c>
      <c r="J2005" s="8" t="s">
        <v>6509</v>
      </c>
    </row>
    <row r="2006">
      <c r="A2006" s="7">
        <v>2.0054949E7</v>
      </c>
      <c r="B2006" s="8" t="s">
        <v>2484</v>
      </c>
      <c r="C2006" s="8" t="s">
        <v>6510</v>
      </c>
      <c r="D2006" s="8" t="s">
        <v>16</v>
      </c>
      <c r="E2006" s="8" t="s">
        <v>17</v>
      </c>
      <c r="F2006" s="9">
        <v>46121.0</v>
      </c>
      <c r="G2006" s="8" t="s">
        <v>59</v>
      </c>
      <c r="H2006" s="8" t="s">
        <v>60</v>
      </c>
      <c r="I2006" s="8" t="s">
        <v>6511</v>
      </c>
      <c r="J2006" s="8" t="s">
        <v>6512</v>
      </c>
    </row>
    <row r="2007">
      <c r="A2007" s="7">
        <v>2.0053321E7</v>
      </c>
      <c r="B2007" s="8" t="s">
        <v>2484</v>
      </c>
      <c r="C2007" s="8" t="s">
        <v>6513</v>
      </c>
      <c r="D2007" s="8" t="s">
        <v>16</v>
      </c>
      <c r="E2007" s="8" t="s">
        <v>17</v>
      </c>
      <c r="F2007" s="9">
        <v>46119.0</v>
      </c>
      <c r="G2007" s="8" t="s">
        <v>908</v>
      </c>
      <c r="H2007" s="8" t="s">
        <v>909</v>
      </c>
      <c r="I2007" s="8" t="s">
        <v>6514</v>
      </c>
      <c r="J2007" s="8" t="s">
        <v>6515</v>
      </c>
    </row>
    <row r="2008">
      <c r="A2008" s="7">
        <v>2.0050324E7</v>
      </c>
      <c r="B2008" s="8" t="s">
        <v>2484</v>
      </c>
      <c r="C2008" s="8" t="s">
        <v>6516</v>
      </c>
      <c r="D2008" s="8" t="s">
        <v>16</v>
      </c>
      <c r="E2008" s="8" t="s">
        <v>17</v>
      </c>
      <c r="F2008" s="9">
        <v>46123.0</v>
      </c>
      <c r="G2008" s="8" t="s">
        <v>846</v>
      </c>
      <c r="H2008" s="8" t="s">
        <v>847</v>
      </c>
      <c r="I2008" s="8" t="s">
        <v>6517</v>
      </c>
      <c r="J2008" s="8" t="s">
        <v>6518</v>
      </c>
    </row>
    <row r="2009">
      <c r="A2009" s="7">
        <v>2.0051559E7</v>
      </c>
      <c r="B2009" s="8" t="s">
        <v>2484</v>
      </c>
      <c r="C2009" s="8" t="s">
        <v>6519</v>
      </c>
      <c r="D2009" s="8" t="s">
        <v>16</v>
      </c>
      <c r="E2009" s="8" t="s">
        <v>17</v>
      </c>
      <c r="F2009" s="9">
        <v>46108.0</v>
      </c>
      <c r="G2009" s="8" t="s">
        <v>873</v>
      </c>
      <c r="H2009" s="8" t="s">
        <v>874</v>
      </c>
      <c r="I2009" s="8" t="s">
        <v>6520</v>
      </c>
      <c r="J2009" s="8" t="s">
        <v>6521</v>
      </c>
    </row>
    <row r="2010">
      <c r="A2010" s="7">
        <v>2.0051559E7</v>
      </c>
      <c r="B2010" s="8" t="s">
        <v>2484</v>
      </c>
      <c r="C2010" s="8" t="s">
        <v>6522</v>
      </c>
      <c r="D2010" s="8" t="s">
        <v>16</v>
      </c>
      <c r="E2010" s="8" t="s">
        <v>17</v>
      </c>
      <c r="F2010" s="9">
        <v>46109.0</v>
      </c>
      <c r="G2010" s="8" t="s">
        <v>339</v>
      </c>
      <c r="H2010" s="8" t="s">
        <v>340</v>
      </c>
      <c r="I2010" s="8" t="s">
        <v>6523</v>
      </c>
      <c r="J2010" s="8" t="s">
        <v>6524</v>
      </c>
    </row>
    <row r="2011">
      <c r="A2011" s="7">
        <v>2.0046098E7</v>
      </c>
      <c r="B2011" s="8" t="s">
        <v>2484</v>
      </c>
      <c r="C2011" s="8" t="s">
        <v>6525</v>
      </c>
      <c r="D2011" s="8" t="s">
        <v>16</v>
      </c>
      <c r="E2011" s="8" t="s">
        <v>17</v>
      </c>
      <c r="F2011" s="9">
        <v>46105.0</v>
      </c>
      <c r="G2011" s="8" t="s">
        <v>6072</v>
      </c>
      <c r="H2011" s="8" t="s">
        <v>6073</v>
      </c>
      <c r="I2011" s="8" t="s">
        <v>6526</v>
      </c>
      <c r="J2011" s="8" t="s">
        <v>6527</v>
      </c>
    </row>
    <row r="2012">
      <c r="A2012" s="7">
        <v>2.0033814E7</v>
      </c>
      <c r="B2012" s="8" t="s">
        <v>2484</v>
      </c>
      <c r="C2012" s="8" t="s">
        <v>6528</v>
      </c>
      <c r="D2012" s="8" t="s">
        <v>16</v>
      </c>
      <c r="E2012" s="8" t="s">
        <v>17</v>
      </c>
      <c r="F2012" s="9">
        <v>46037.0</v>
      </c>
      <c r="G2012" s="8" t="s">
        <v>2225</v>
      </c>
      <c r="H2012" s="8" t="s">
        <v>2226</v>
      </c>
      <c r="I2012" s="8" t="s">
        <v>6529</v>
      </c>
      <c r="J2012" s="8" t="s">
        <v>6530</v>
      </c>
    </row>
    <row r="2013">
      <c r="A2013" s="7">
        <v>2.0069718E7</v>
      </c>
      <c r="B2013" s="8" t="s">
        <v>2484</v>
      </c>
      <c r="C2013" s="8" t="s">
        <v>6531</v>
      </c>
      <c r="D2013" s="8" t="s">
        <v>16</v>
      </c>
      <c r="E2013" s="8" t="s">
        <v>17</v>
      </c>
      <c r="F2013" s="9">
        <v>46186.0</v>
      </c>
      <c r="G2013" s="8" t="s">
        <v>385</v>
      </c>
      <c r="H2013" s="8" t="s">
        <v>386</v>
      </c>
      <c r="I2013" s="8" t="s">
        <v>6532</v>
      </c>
      <c r="J2013" s="8" t="s">
        <v>6533</v>
      </c>
    </row>
    <row r="2014">
      <c r="A2014" s="7">
        <v>2.0062553E7</v>
      </c>
      <c r="B2014" s="8" t="s">
        <v>2484</v>
      </c>
      <c r="C2014" s="8" t="s">
        <v>6534</v>
      </c>
      <c r="D2014" s="8" t="s">
        <v>16</v>
      </c>
      <c r="E2014" s="8" t="s">
        <v>17</v>
      </c>
      <c r="F2014" s="9">
        <v>46171.0</v>
      </c>
      <c r="G2014" s="8" t="s">
        <v>791</v>
      </c>
      <c r="H2014" s="8" t="s">
        <v>792</v>
      </c>
      <c r="I2014" s="8"/>
      <c r="J2014" s="8" t="s">
        <v>6535</v>
      </c>
    </row>
    <row r="2015">
      <c r="A2015" s="7">
        <v>2.0060691E7</v>
      </c>
      <c r="B2015" s="8" t="s">
        <v>2484</v>
      </c>
      <c r="C2015" s="8" t="s">
        <v>6536</v>
      </c>
      <c r="D2015" s="8" t="s">
        <v>2136</v>
      </c>
      <c r="E2015" s="8" t="s">
        <v>17</v>
      </c>
      <c r="F2015" s="9">
        <v>46145.0</v>
      </c>
      <c r="G2015" s="8" t="s">
        <v>59</v>
      </c>
      <c r="H2015" s="8" t="s">
        <v>60</v>
      </c>
      <c r="I2015" s="8" t="s">
        <v>6537</v>
      </c>
      <c r="J2015" s="8" t="s">
        <v>6538</v>
      </c>
    </row>
    <row r="2016">
      <c r="A2016" s="7">
        <v>2.0054758E7</v>
      </c>
      <c r="B2016" s="8" t="s">
        <v>2484</v>
      </c>
      <c r="C2016" s="8" t="s">
        <v>6539</v>
      </c>
      <c r="D2016" s="8" t="s">
        <v>16</v>
      </c>
      <c r="E2016" s="8" t="s">
        <v>17</v>
      </c>
      <c r="F2016" s="9">
        <v>46139.0</v>
      </c>
      <c r="G2016" s="8" t="s">
        <v>319</v>
      </c>
      <c r="H2016" s="8" t="s">
        <v>320</v>
      </c>
      <c r="I2016" s="8" t="s">
        <v>6540</v>
      </c>
      <c r="J2016" s="8" t="s">
        <v>6541</v>
      </c>
    </row>
    <row r="2017">
      <c r="A2017" s="7">
        <v>2.0052096E7</v>
      </c>
      <c r="B2017" s="8" t="s">
        <v>2484</v>
      </c>
      <c r="C2017" s="8" t="s">
        <v>6542</v>
      </c>
      <c r="D2017" s="8" t="s">
        <v>16</v>
      </c>
      <c r="E2017" s="8" t="s">
        <v>17</v>
      </c>
      <c r="F2017" s="9">
        <v>46133.0</v>
      </c>
      <c r="G2017" s="8" t="s">
        <v>5870</v>
      </c>
      <c r="H2017" s="8" t="s">
        <v>1294</v>
      </c>
      <c r="I2017" s="8" t="s">
        <v>6543</v>
      </c>
      <c r="J2017" s="8" t="s">
        <v>6544</v>
      </c>
    </row>
    <row r="2018">
      <c r="A2018" s="7">
        <v>2.0052096E7</v>
      </c>
      <c r="B2018" s="8" t="s">
        <v>2484</v>
      </c>
      <c r="C2018" s="8" t="s">
        <v>6542</v>
      </c>
      <c r="D2018" s="8" t="s">
        <v>16</v>
      </c>
      <c r="E2018" s="8" t="s">
        <v>17</v>
      </c>
      <c r="F2018" s="9">
        <v>46133.0</v>
      </c>
      <c r="G2018" s="8" t="s">
        <v>2625</v>
      </c>
      <c r="H2018" s="8" t="s">
        <v>3001</v>
      </c>
      <c r="I2018" s="8" t="s">
        <v>6545</v>
      </c>
      <c r="J2018" s="8" t="s">
        <v>6546</v>
      </c>
    </row>
    <row r="2019">
      <c r="A2019" s="7">
        <v>2.0041901E7</v>
      </c>
      <c r="B2019" s="8" t="s">
        <v>2484</v>
      </c>
      <c r="C2019" s="8" t="s">
        <v>6547</v>
      </c>
      <c r="D2019" s="8" t="s">
        <v>16</v>
      </c>
      <c r="E2019" s="8" t="s">
        <v>17</v>
      </c>
      <c r="F2019" s="9">
        <v>46087.0</v>
      </c>
      <c r="G2019" s="8" t="s">
        <v>5916</v>
      </c>
      <c r="H2019" s="8" t="s">
        <v>6548</v>
      </c>
      <c r="I2019" s="8" t="s">
        <v>6549</v>
      </c>
      <c r="J2019" s="8" t="s">
        <v>6550</v>
      </c>
    </row>
    <row r="2020">
      <c r="A2020" s="7">
        <v>2.0041901E7</v>
      </c>
      <c r="B2020" s="8" t="s">
        <v>2484</v>
      </c>
      <c r="C2020" s="8" t="s">
        <v>6547</v>
      </c>
      <c r="D2020" s="8" t="s">
        <v>16</v>
      </c>
      <c r="E2020" s="8" t="s">
        <v>17</v>
      </c>
      <c r="F2020" s="9">
        <v>46087.0</v>
      </c>
      <c r="G2020" s="8" t="s">
        <v>6551</v>
      </c>
      <c r="H2020" s="8" t="s">
        <v>6552</v>
      </c>
      <c r="I2020" s="8" t="s">
        <v>6553</v>
      </c>
      <c r="J2020" s="8" t="s">
        <v>6554</v>
      </c>
    </row>
    <row r="2021">
      <c r="A2021" s="7">
        <v>2.004202E7</v>
      </c>
      <c r="B2021" s="8" t="s">
        <v>2484</v>
      </c>
      <c r="C2021" s="8" t="s">
        <v>6555</v>
      </c>
      <c r="D2021" s="8" t="s">
        <v>16</v>
      </c>
      <c r="E2021" s="8" t="s">
        <v>17</v>
      </c>
      <c r="F2021" s="9">
        <v>46070.0</v>
      </c>
      <c r="G2021" s="8" t="s">
        <v>59</v>
      </c>
      <c r="H2021" s="8" t="s">
        <v>60</v>
      </c>
      <c r="I2021" s="8" t="s">
        <v>6556</v>
      </c>
      <c r="J2021" s="8" t="s">
        <v>6557</v>
      </c>
    </row>
    <row r="2022">
      <c r="A2022" s="7">
        <v>2.0040309E7</v>
      </c>
      <c r="B2022" s="8" t="s">
        <v>2484</v>
      </c>
      <c r="C2022" s="8" t="s">
        <v>6558</v>
      </c>
      <c r="D2022" s="8" t="s">
        <v>16</v>
      </c>
      <c r="E2022" s="8" t="s">
        <v>17</v>
      </c>
      <c r="F2022" s="9">
        <v>46077.0</v>
      </c>
      <c r="G2022" s="8" t="s">
        <v>314</v>
      </c>
      <c r="H2022" s="8" t="s">
        <v>315</v>
      </c>
      <c r="I2022" s="8" t="s">
        <v>6559</v>
      </c>
      <c r="J2022" s="8" t="s">
        <v>6560</v>
      </c>
    </row>
    <row r="2023">
      <c r="A2023" s="7">
        <v>2.0040309E7</v>
      </c>
      <c r="B2023" s="8" t="s">
        <v>2484</v>
      </c>
      <c r="C2023" s="8" t="s">
        <v>6558</v>
      </c>
      <c r="D2023" s="8" t="s">
        <v>16</v>
      </c>
      <c r="E2023" s="8" t="s">
        <v>17</v>
      </c>
      <c r="F2023" s="9">
        <v>46077.0</v>
      </c>
      <c r="G2023" s="8" t="s">
        <v>423</v>
      </c>
      <c r="H2023" s="8" t="s">
        <v>424</v>
      </c>
      <c r="I2023" s="8" t="s">
        <v>6561</v>
      </c>
      <c r="J2023" s="8" t="s">
        <v>6562</v>
      </c>
    </row>
    <row r="2024">
      <c r="A2024" s="7">
        <v>2.0069998E7</v>
      </c>
      <c r="B2024" s="8" t="s">
        <v>2484</v>
      </c>
      <c r="C2024" s="8" t="s">
        <v>6563</v>
      </c>
      <c r="D2024" s="8" t="s">
        <v>16</v>
      </c>
      <c r="E2024" s="8" t="s">
        <v>17</v>
      </c>
      <c r="F2024" s="9">
        <v>46189.0</v>
      </c>
      <c r="G2024" s="8" t="s">
        <v>59</v>
      </c>
      <c r="H2024" s="8" t="s">
        <v>60</v>
      </c>
      <c r="I2024" s="8" t="s">
        <v>6564</v>
      </c>
      <c r="J2024" s="8" t="s">
        <v>6565</v>
      </c>
    </row>
    <row r="2025">
      <c r="A2025" s="7">
        <v>2.0067234E7</v>
      </c>
      <c r="B2025" s="8" t="s">
        <v>2484</v>
      </c>
      <c r="C2025" s="8" t="s">
        <v>6566</v>
      </c>
      <c r="D2025" s="8" t="s">
        <v>16</v>
      </c>
      <c r="E2025" s="8" t="s">
        <v>17</v>
      </c>
      <c r="F2025" s="9">
        <v>46179.0</v>
      </c>
      <c r="G2025" s="8" t="s">
        <v>1859</v>
      </c>
      <c r="H2025" s="8" t="s">
        <v>6147</v>
      </c>
      <c r="I2025" s="8" t="s">
        <v>6567</v>
      </c>
      <c r="J2025" s="8" t="s">
        <v>6568</v>
      </c>
    </row>
    <row r="2026">
      <c r="A2026" s="7">
        <v>2.0067234E7</v>
      </c>
      <c r="B2026" s="8" t="s">
        <v>2484</v>
      </c>
      <c r="C2026" s="8" t="s">
        <v>6566</v>
      </c>
      <c r="D2026" s="8" t="s">
        <v>16</v>
      </c>
      <c r="E2026" s="8" t="s">
        <v>17</v>
      </c>
      <c r="F2026" s="9">
        <v>46179.0</v>
      </c>
      <c r="G2026" s="8" t="s">
        <v>1859</v>
      </c>
      <c r="H2026" s="8" t="s">
        <v>6147</v>
      </c>
      <c r="I2026" s="8" t="s">
        <v>6569</v>
      </c>
      <c r="J2026" s="8" t="s">
        <v>6568</v>
      </c>
    </row>
    <row r="2027">
      <c r="A2027" s="7">
        <v>2.0066332E7</v>
      </c>
      <c r="B2027" s="8" t="s">
        <v>2484</v>
      </c>
      <c r="C2027" s="8" t="s">
        <v>6570</v>
      </c>
      <c r="D2027" s="8" t="s">
        <v>16</v>
      </c>
      <c r="E2027" s="8" t="s">
        <v>17</v>
      </c>
      <c r="F2027" s="9">
        <v>46174.0</v>
      </c>
      <c r="G2027" s="8" t="s">
        <v>2511</v>
      </c>
      <c r="H2027" s="8" t="s">
        <v>2512</v>
      </c>
      <c r="I2027" s="8" t="s">
        <v>6571</v>
      </c>
      <c r="J2027" s="8" t="s">
        <v>6572</v>
      </c>
    </row>
    <row r="2028">
      <c r="A2028" s="7">
        <v>2.0062659E7</v>
      </c>
      <c r="B2028" s="8" t="s">
        <v>2484</v>
      </c>
      <c r="C2028" s="8" t="s">
        <v>6573</v>
      </c>
      <c r="D2028" s="8" t="s">
        <v>16</v>
      </c>
      <c r="E2028" s="8" t="s">
        <v>17</v>
      </c>
      <c r="F2028" s="9">
        <v>46182.0</v>
      </c>
      <c r="G2028" s="8" t="s">
        <v>158</v>
      </c>
      <c r="H2028" s="8" t="s">
        <v>159</v>
      </c>
      <c r="I2028" s="8" t="s">
        <v>6574</v>
      </c>
      <c r="J2028" s="8" t="s">
        <v>6575</v>
      </c>
    </row>
    <row r="2029">
      <c r="A2029" s="7">
        <v>2.0062277E7</v>
      </c>
      <c r="B2029" s="8" t="s">
        <v>2484</v>
      </c>
      <c r="C2029" s="8" t="s">
        <v>6576</v>
      </c>
      <c r="D2029" s="8" t="s">
        <v>16</v>
      </c>
      <c r="E2029" s="8" t="s">
        <v>17</v>
      </c>
      <c r="F2029" s="9">
        <v>46156.0</v>
      </c>
      <c r="G2029" s="8" t="s">
        <v>6577</v>
      </c>
      <c r="H2029" s="8" t="s">
        <v>6578</v>
      </c>
      <c r="I2029" s="8" t="s">
        <v>6579</v>
      </c>
      <c r="J2029" s="8"/>
    </row>
    <row r="2030">
      <c r="A2030" s="7">
        <v>2.0058944E7</v>
      </c>
      <c r="B2030" s="8" t="s">
        <v>2484</v>
      </c>
      <c r="C2030" s="8" t="s">
        <v>6580</v>
      </c>
      <c r="D2030" s="8" t="s">
        <v>16</v>
      </c>
      <c r="E2030" s="8" t="s">
        <v>17</v>
      </c>
      <c r="F2030" s="9">
        <v>46155.0</v>
      </c>
      <c r="G2030" s="8" t="s">
        <v>64</v>
      </c>
      <c r="H2030" s="8" t="s">
        <v>65</v>
      </c>
      <c r="I2030" s="8" t="s">
        <v>6581</v>
      </c>
      <c r="J2030" s="8" t="s">
        <v>6582</v>
      </c>
    </row>
    <row r="2031">
      <c r="A2031" s="7">
        <v>2.0055976E7</v>
      </c>
      <c r="B2031" s="8" t="s">
        <v>2484</v>
      </c>
      <c r="C2031" s="8" t="s">
        <v>6583</v>
      </c>
      <c r="D2031" s="8" t="s">
        <v>16</v>
      </c>
      <c r="E2031" s="8" t="s">
        <v>17</v>
      </c>
      <c r="F2031" s="9">
        <v>46128.0</v>
      </c>
      <c r="G2031" s="8" t="s">
        <v>978</v>
      </c>
      <c r="H2031" s="8" t="s">
        <v>979</v>
      </c>
      <c r="I2031" s="8" t="s">
        <v>6584</v>
      </c>
      <c r="J2031" s="8" t="s">
        <v>6585</v>
      </c>
    </row>
    <row r="2032">
      <c r="A2032" s="7">
        <v>2.0047832E7</v>
      </c>
      <c r="B2032" s="8" t="s">
        <v>2484</v>
      </c>
      <c r="C2032" s="8" t="s">
        <v>6586</v>
      </c>
      <c r="D2032" s="8" t="s">
        <v>16</v>
      </c>
      <c r="E2032" s="8" t="s">
        <v>17</v>
      </c>
      <c r="F2032" s="9">
        <v>46105.0</v>
      </c>
      <c r="G2032" s="8" t="s">
        <v>1998</v>
      </c>
      <c r="H2032" s="8" t="s">
        <v>1999</v>
      </c>
      <c r="I2032" s="8" t="s">
        <v>6587</v>
      </c>
      <c r="J2032" s="8" t="s">
        <v>6588</v>
      </c>
    </row>
    <row r="2033">
      <c r="A2033" s="7">
        <v>2.0039782E7</v>
      </c>
      <c r="B2033" s="8" t="s">
        <v>2484</v>
      </c>
      <c r="C2033" s="8" t="s">
        <v>6589</v>
      </c>
      <c r="D2033" s="8" t="s">
        <v>16</v>
      </c>
      <c r="E2033" s="8" t="s">
        <v>17</v>
      </c>
      <c r="F2033" s="9">
        <v>46068.0</v>
      </c>
      <c r="G2033" s="8" t="s">
        <v>59</v>
      </c>
      <c r="H2033" s="8" t="s">
        <v>60</v>
      </c>
      <c r="I2033" s="8" t="s">
        <v>6590</v>
      </c>
      <c r="J2033" s="8" t="s">
        <v>6591</v>
      </c>
    </row>
    <row r="2034">
      <c r="A2034" s="7">
        <v>2.0061524E7</v>
      </c>
      <c r="B2034" s="8" t="s">
        <v>2484</v>
      </c>
      <c r="C2034" s="8" t="s">
        <v>6592</v>
      </c>
      <c r="D2034" s="8" t="s">
        <v>16</v>
      </c>
      <c r="E2034" s="8" t="s">
        <v>17</v>
      </c>
      <c r="F2034" s="9">
        <v>46155.0</v>
      </c>
      <c r="G2034" s="8" t="s">
        <v>34</v>
      </c>
      <c r="H2034" s="8" t="s">
        <v>35</v>
      </c>
      <c r="I2034" s="8" t="s">
        <v>6593</v>
      </c>
      <c r="J2034" s="8" t="s">
        <v>6594</v>
      </c>
    </row>
    <row r="2035">
      <c r="A2035" s="7">
        <v>2.0061524E7</v>
      </c>
      <c r="B2035" s="8" t="s">
        <v>2484</v>
      </c>
      <c r="C2035" s="8" t="s">
        <v>6592</v>
      </c>
      <c r="D2035" s="8" t="s">
        <v>16</v>
      </c>
      <c r="E2035" s="8" t="s">
        <v>17</v>
      </c>
      <c r="F2035" s="9">
        <v>46155.0</v>
      </c>
      <c r="G2035" s="8" t="s">
        <v>4850</v>
      </c>
      <c r="H2035" s="8" t="s">
        <v>4851</v>
      </c>
      <c r="I2035" s="8" t="s">
        <v>6595</v>
      </c>
      <c r="J2035" s="8" t="s">
        <v>6596</v>
      </c>
    </row>
    <row r="2036">
      <c r="A2036" s="7">
        <v>2.0060519E7</v>
      </c>
      <c r="B2036" s="8" t="s">
        <v>2484</v>
      </c>
      <c r="C2036" s="8" t="s">
        <v>6597</v>
      </c>
      <c r="D2036" s="8" t="s">
        <v>16</v>
      </c>
      <c r="E2036" s="8" t="s">
        <v>17</v>
      </c>
      <c r="F2036" s="9">
        <v>46156.0</v>
      </c>
      <c r="G2036" s="8" t="s">
        <v>3255</v>
      </c>
      <c r="H2036" s="8" t="s">
        <v>3256</v>
      </c>
      <c r="I2036" s="8" t="s">
        <v>6598</v>
      </c>
      <c r="J2036" s="8" t="s">
        <v>6599</v>
      </c>
    </row>
    <row r="2037">
      <c r="A2037" s="7">
        <v>2.0060519E7</v>
      </c>
      <c r="B2037" s="8" t="s">
        <v>2484</v>
      </c>
      <c r="C2037" s="8" t="s">
        <v>6597</v>
      </c>
      <c r="D2037" s="8" t="s">
        <v>16</v>
      </c>
      <c r="E2037" s="8" t="s">
        <v>17</v>
      </c>
      <c r="F2037" s="9">
        <v>46156.0</v>
      </c>
      <c r="G2037" s="8" t="s">
        <v>234</v>
      </c>
      <c r="H2037" s="8" t="s">
        <v>235</v>
      </c>
      <c r="I2037" s="8" t="s">
        <v>6600</v>
      </c>
      <c r="J2037" s="8" t="s">
        <v>6601</v>
      </c>
    </row>
    <row r="2038">
      <c r="A2038" s="7">
        <v>2.0060873E7</v>
      </c>
      <c r="B2038" s="8" t="s">
        <v>2484</v>
      </c>
      <c r="C2038" s="8" t="s">
        <v>6602</v>
      </c>
      <c r="D2038" s="8" t="s">
        <v>16</v>
      </c>
      <c r="E2038" s="8" t="s">
        <v>17</v>
      </c>
      <c r="F2038" s="9">
        <v>46148.0</v>
      </c>
      <c r="G2038" s="8" t="s">
        <v>1132</v>
      </c>
      <c r="H2038" s="8" t="s">
        <v>1133</v>
      </c>
      <c r="I2038" s="8" t="s">
        <v>6603</v>
      </c>
      <c r="J2038" s="8" t="s">
        <v>6604</v>
      </c>
    </row>
    <row r="2039">
      <c r="A2039" s="7">
        <v>2.0059276E7</v>
      </c>
      <c r="B2039" s="8" t="s">
        <v>2484</v>
      </c>
      <c r="C2039" s="8" t="s">
        <v>6605</v>
      </c>
      <c r="D2039" s="8" t="s">
        <v>16</v>
      </c>
      <c r="E2039" s="8" t="s">
        <v>17</v>
      </c>
      <c r="F2039" s="9">
        <v>46149.0</v>
      </c>
      <c r="G2039" s="8" t="s">
        <v>277</v>
      </c>
      <c r="H2039" s="8" t="s">
        <v>278</v>
      </c>
      <c r="I2039" s="8" t="s">
        <v>6606</v>
      </c>
      <c r="J2039" s="8" t="s">
        <v>6607</v>
      </c>
    </row>
    <row r="2040">
      <c r="A2040" s="7">
        <v>2.0053168E7</v>
      </c>
      <c r="B2040" s="8" t="s">
        <v>2484</v>
      </c>
      <c r="C2040" s="8" t="s">
        <v>6608</v>
      </c>
      <c r="D2040" s="8" t="s">
        <v>16</v>
      </c>
      <c r="E2040" s="8" t="s">
        <v>17</v>
      </c>
      <c r="F2040" s="9">
        <v>46111.0</v>
      </c>
      <c r="G2040" s="8" t="s">
        <v>385</v>
      </c>
      <c r="H2040" s="8" t="s">
        <v>386</v>
      </c>
      <c r="I2040" s="8" t="s">
        <v>6609</v>
      </c>
      <c r="J2040" s="8" t="s">
        <v>6610</v>
      </c>
    </row>
    <row r="2041">
      <c r="A2041" s="7">
        <v>2.0052228E7</v>
      </c>
      <c r="B2041" s="8" t="s">
        <v>2484</v>
      </c>
      <c r="C2041" s="8" t="s">
        <v>6611</v>
      </c>
      <c r="D2041" s="8" t="s">
        <v>16</v>
      </c>
      <c r="E2041" s="8" t="s">
        <v>17</v>
      </c>
      <c r="F2041" s="9">
        <v>46116.0</v>
      </c>
      <c r="G2041" s="8" t="s">
        <v>1045</v>
      </c>
      <c r="H2041" s="8" t="s">
        <v>909</v>
      </c>
      <c r="I2041" s="8" t="s">
        <v>6612</v>
      </c>
      <c r="J2041" s="8" t="s">
        <v>6613</v>
      </c>
    </row>
    <row r="2042">
      <c r="A2042" s="7">
        <v>2.004502E7</v>
      </c>
      <c r="B2042" s="8" t="s">
        <v>2484</v>
      </c>
      <c r="C2042" s="8" t="s">
        <v>6614</v>
      </c>
      <c r="D2042" s="8" t="s">
        <v>16</v>
      </c>
      <c r="E2042" s="8" t="s">
        <v>17</v>
      </c>
      <c r="F2042" s="9">
        <v>46085.0</v>
      </c>
      <c r="G2042" s="8" t="s">
        <v>273</v>
      </c>
      <c r="H2042" s="8" t="s">
        <v>274</v>
      </c>
      <c r="I2042" s="8" t="s">
        <v>6615</v>
      </c>
      <c r="J2042" s="8" t="s">
        <v>6616</v>
      </c>
    </row>
    <row r="2043">
      <c r="A2043" s="7">
        <v>2.0041241E7</v>
      </c>
      <c r="B2043" s="8" t="s">
        <v>2484</v>
      </c>
      <c r="C2043" s="8" t="s">
        <v>6617</v>
      </c>
      <c r="D2043" s="8" t="s">
        <v>16</v>
      </c>
      <c r="E2043" s="8" t="s">
        <v>17</v>
      </c>
      <c r="F2043" s="9">
        <v>46076.0</v>
      </c>
      <c r="G2043" s="8" t="s">
        <v>282</v>
      </c>
      <c r="H2043" s="8" t="s">
        <v>71</v>
      </c>
      <c r="I2043" s="8" t="s">
        <v>6618</v>
      </c>
      <c r="J2043" s="8" t="s">
        <v>6619</v>
      </c>
    </row>
    <row r="2044">
      <c r="A2044" s="7">
        <v>2.0068985E7</v>
      </c>
      <c r="B2044" s="8" t="s">
        <v>2484</v>
      </c>
      <c r="C2044" s="8" t="s">
        <v>6620</v>
      </c>
      <c r="D2044" s="8" t="s">
        <v>16</v>
      </c>
      <c r="E2044" s="8" t="s">
        <v>17</v>
      </c>
      <c r="F2044" s="9">
        <v>46192.0</v>
      </c>
      <c r="G2044" s="8" t="s">
        <v>6621</v>
      </c>
      <c r="H2044" s="8" t="s">
        <v>6622</v>
      </c>
      <c r="I2044" s="8" t="s">
        <v>6623</v>
      </c>
      <c r="J2044" s="8" t="s">
        <v>6624</v>
      </c>
    </row>
    <row r="2045">
      <c r="A2045" s="7">
        <v>2.0067966E7</v>
      </c>
      <c r="B2045" s="8" t="s">
        <v>2484</v>
      </c>
      <c r="C2045" s="8" t="s">
        <v>6625</v>
      </c>
      <c r="D2045" s="8" t="s">
        <v>16</v>
      </c>
      <c r="E2045" s="8" t="s">
        <v>17</v>
      </c>
      <c r="F2045" s="9">
        <v>46186.0</v>
      </c>
      <c r="G2045" s="8" t="s">
        <v>6626</v>
      </c>
      <c r="H2045" s="8" t="s">
        <v>6627</v>
      </c>
      <c r="I2045" s="8" t="s">
        <v>6628</v>
      </c>
      <c r="J2045" s="8" t="s">
        <v>6629</v>
      </c>
    </row>
    <row r="2046">
      <c r="A2046" s="7">
        <v>2.0062005E7</v>
      </c>
      <c r="B2046" s="8" t="s">
        <v>2484</v>
      </c>
      <c r="C2046" s="8" t="s">
        <v>6630</v>
      </c>
      <c r="D2046" s="8" t="s">
        <v>16</v>
      </c>
      <c r="E2046" s="8" t="s">
        <v>17</v>
      </c>
      <c r="F2046" s="9">
        <v>46175.0</v>
      </c>
      <c r="G2046" s="8" t="s">
        <v>1880</v>
      </c>
      <c r="H2046" s="8" t="s">
        <v>6631</v>
      </c>
      <c r="I2046" s="8" t="s">
        <v>6632</v>
      </c>
      <c r="J2046" s="8" t="s">
        <v>6633</v>
      </c>
    </row>
    <row r="2047">
      <c r="A2047" s="7">
        <v>2.0064762E7</v>
      </c>
      <c r="B2047" s="8" t="s">
        <v>2484</v>
      </c>
      <c r="C2047" s="8" t="s">
        <v>6634</v>
      </c>
      <c r="D2047" s="8" t="s">
        <v>16</v>
      </c>
      <c r="E2047" s="8" t="s">
        <v>17</v>
      </c>
      <c r="F2047" s="9">
        <v>46187.0</v>
      </c>
      <c r="G2047" s="8" t="s">
        <v>1085</v>
      </c>
      <c r="H2047" s="8" t="s">
        <v>1086</v>
      </c>
      <c r="I2047" s="8" t="s">
        <v>6635</v>
      </c>
      <c r="J2047" s="8" t="s">
        <v>6636</v>
      </c>
    </row>
    <row r="2048">
      <c r="A2048" s="7">
        <v>2.0062711E7</v>
      </c>
      <c r="B2048" s="8" t="s">
        <v>2484</v>
      </c>
      <c r="C2048" s="8" t="s">
        <v>6637</v>
      </c>
      <c r="D2048" s="8" t="s">
        <v>16</v>
      </c>
      <c r="E2048" s="8" t="s">
        <v>17</v>
      </c>
      <c r="F2048" s="9">
        <v>46158.0</v>
      </c>
      <c r="G2048" s="8" t="s">
        <v>6638</v>
      </c>
      <c r="H2048" s="8" t="s">
        <v>6639</v>
      </c>
      <c r="I2048" s="8" t="s">
        <v>6640</v>
      </c>
      <c r="J2048" s="8"/>
    </row>
    <row r="2049">
      <c r="A2049" s="7">
        <v>2.0061264E7</v>
      </c>
      <c r="B2049" s="8" t="s">
        <v>2484</v>
      </c>
      <c r="C2049" s="8" t="s">
        <v>6641</v>
      </c>
      <c r="D2049" s="8" t="s">
        <v>16</v>
      </c>
      <c r="E2049" s="8" t="s">
        <v>17</v>
      </c>
      <c r="F2049" s="9">
        <v>46167.0</v>
      </c>
      <c r="G2049" s="8" t="s">
        <v>49</v>
      </c>
      <c r="H2049" s="8" t="s">
        <v>50</v>
      </c>
      <c r="I2049" s="8" t="s">
        <v>6642</v>
      </c>
      <c r="J2049" s="8" t="s">
        <v>6643</v>
      </c>
    </row>
    <row r="2050">
      <c r="A2050" s="7">
        <v>2.0062134E7</v>
      </c>
      <c r="B2050" s="8" t="s">
        <v>2484</v>
      </c>
      <c r="C2050" s="8" t="s">
        <v>6644</v>
      </c>
      <c r="D2050" s="8" t="s">
        <v>2136</v>
      </c>
      <c r="E2050" s="8" t="s">
        <v>17</v>
      </c>
      <c r="F2050" s="9">
        <v>46149.0</v>
      </c>
      <c r="G2050" s="8" t="s">
        <v>339</v>
      </c>
      <c r="H2050" s="8" t="s">
        <v>340</v>
      </c>
      <c r="I2050" s="8" t="s">
        <v>6645</v>
      </c>
      <c r="J2050" s="8" t="s">
        <v>6646</v>
      </c>
    </row>
    <row r="2051">
      <c r="A2051" s="7">
        <v>2.0057575E7</v>
      </c>
      <c r="B2051" s="8" t="s">
        <v>2484</v>
      </c>
      <c r="C2051" s="8" t="s">
        <v>6647</v>
      </c>
      <c r="D2051" s="8" t="s">
        <v>16</v>
      </c>
      <c r="E2051" s="8" t="s">
        <v>17</v>
      </c>
      <c r="F2051" s="9">
        <v>46130.0</v>
      </c>
      <c r="G2051" s="8" t="s">
        <v>846</v>
      </c>
      <c r="H2051" s="8" t="s">
        <v>847</v>
      </c>
      <c r="I2051" s="8" t="s">
        <v>6648</v>
      </c>
      <c r="J2051" s="8" t="s">
        <v>6649</v>
      </c>
    </row>
    <row r="2052">
      <c r="A2052" s="7">
        <v>2.0052529E7</v>
      </c>
      <c r="B2052" s="8" t="s">
        <v>2484</v>
      </c>
      <c r="C2052" s="8" t="s">
        <v>6650</v>
      </c>
      <c r="D2052" s="8" t="s">
        <v>16</v>
      </c>
      <c r="E2052" s="8" t="s">
        <v>48</v>
      </c>
      <c r="F2052" s="9">
        <v>46138.0</v>
      </c>
      <c r="G2052" s="8" t="s">
        <v>3133</v>
      </c>
      <c r="H2052" s="8" t="s">
        <v>3134</v>
      </c>
      <c r="I2052" s="8" t="s">
        <v>6651</v>
      </c>
      <c r="J2052" s="8"/>
    </row>
    <row r="2053">
      <c r="A2053" s="7">
        <v>2.0034586E7</v>
      </c>
      <c r="B2053" s="8" t="s">
        <v>2484</v>
      </c>
      <c r="C2053" s="8" t="s">
        <v>6652</v>
      </c>
      <c r="D2053" s="8" t="s">
        <v>16</v>
      </c>
      <c r="E2053" s="8" t="s">
        <v>17</v>
      </c>
      <c r="F2053" s="9">
        <v>46057.0</v>
      </c>
      <c r="G2053" s="8" t="s">
        <v>6621</v>
      </c>
      <c r="H2053" s="8" t="s">
        <v>6622</v>
      </c>
      <c r="I2053" s="8" t="s">
        <v>6653</v>
      </c>
      <c r="J2053" s="8" t="s">
        <v>6654</v>
      </c>
    </row>
    <row r="2054">
      <c r="A2054" s="7">
        <v>2.006078E7</v>
      </c>
      <c r="B2054" s="8" t="s">
        <v>2484</v>
      </c>
      <c r="C2054" s="8" t="s">
        <v>6655</v>
      </c>
      <c r="D2054" s="8" t="s">
        <v>16</v>
      </c>
      <c r="E2054" s="8" t="s">
        <v>17</v>
      </c>
      <c r="F2054" s="9">
        <v>46164.0</v>
      </c>
      <c r="G2054" s="8" t="s">
        <v>132</v>
      </c>
      <c r="H2054" s="8" t="s">
        <v>133</v>
      </c>
      <c r="I2054" s="8" t="s">
        <v>6656</v>
      </c>
      <c r="J2054" s="8" t="s">
        <v>6657</v>
      </c>
    </row>
    <row r="2055">
      <c r="A2055" s="7">
        <v>2.0059959E7</v>
      </c>
      <c r="B2055" s="8" t="s">
        <v>2484</v>
      </c>
      <c r="C2055" s="8" t="s">
        <v>6658</v>
      </c>
      <c r="D2055" s="8" t="s">
        <v>16</v>
      </c>
      <c r="E2055" s="8" t="s">
        <v>700</v>
      </c>
      <c r="F2055" s="9">
        <v>46181.0</v>
      </c>
      <c r="G2055" s="8" t="s">
        <v>1485</v>
      </c>
      <c r="H2055" s="8" t="s">
        <v>1486</v>
      </c>
      <c r="I2055" s="8" t="s">
        <v>6659</v>
      </c>
      <c r="J2055" s="8" t="s">
        <v>6660</v>
      </c>
    </row>
    <row r="2056">
      <c r="A2056" s="7">
        <v>2.0050204E7</v>
      </c>
      <c r="B2056" s="8" t="s">
        <v>2484</v>
      </c>
      <c r="C2056" s="8" t="s">
        <v>6661</v>
      </c>
      <c r="D2056" s="8" t="s">
        <v>16</v>
      </c>
      <c r="E2056" s="8" t="s">
        <v>17</v>
      </c>
      <c r="F2056" s="9">
        <v>46117.0</v>
      </c>
      <c r="G2056" s="8" t="s">
        <v>613</v>
      </c>
      <c r="H2056" s="8" t="s">
        <v>614</v>
      </c>
      <c r="I2056" s="8" t="s">
        <v>6662</v>
      </c>
      <c r="J2056" s="8" t="s">
        <v>6663</v>
      </c>
    </row>
    <row r="2057">
      <c r="A2057" s="7">
        <v>2.0068741E7</v>
      </c>
      <c r="B2057" s="8" t="s">
        <v>2484</v>
      </c>
      <c r="C2057" s="8" t="s">
        <v>6664</v>
      </c>
      <c r="D2057" s="8" t="s">
        <v>16</v>
      </c>
      <c r="E2057" s="8" t="s">
        <v>17</v>
      </c>
      <c r="F2057" s="9">
        <v>46189.0</v>
      </c>
      <c r="G2057" s="8" t="s">
        <v>234</v>
      </c>
      <c r="H2057" s="8" t="s">
        <v>235</v>
      </c>
      <c r="I2057" s="8" t="s">
        <v>6665</v>
      </c>
      <c r="J2057" s="8" t="s">
        <v>6666</v>
      </c>
    </row>
    <row r="2058">
      <c r="A2058" s="7">
        <v>2.0068307E7</v>
      </c>
      <c r="B2058" s="8" t="s">
        <v>2484</v>
      </c>
      <c r="C2058" s="8" t="s">
        <v>6667</v>
      </c>
      <c r="D2058" s="8" t="s">
        <v>16</v>
      </c>
      <c r="E2058" s="8" t="s">
        <v>17</v>
      </c>
      <c r="F2058" s="9">
        <v>46192.0</v>
      </c>
      <c r="G2058" s="8" t="s">
        <v>688</v>
      </c>
      <c r="H2058" s="8" t="s">
        <v>689</v>
      </c>
      <c r="I2058" s="8" t="s">
        <v>6668</v>
      </c>
      <c r="J2058" s="8" t="s">
        <v>6669</v>
      </c>
    </row>
    <row r="2059">
      <c r="A2059" s="7">
        <v>2.0066518E7</v>
      </c>
      <c r="B2059" s="8" t="s">
        <v>2484</v>
      </c>
      <c r="C2059" s="8" t="s">
        <v>6670</v>
      </c>
      <c r="D2059" s="8" t="s">
        <v>16</v>
      </c>
      <c r="E2059" s="8" t="s">
        <v>17</v>
      </c>
      <c r="F2059" s="9">
        <v>46175.0</v>
      </c>
      <c r="G2059" s="8" t="s">
        <v>59</v>
      </c>
      <c r="H2059" s="8" t="s">
        <v>60</v>
      </c>
      <c r="I2059" s="8" t="s">
        <v>6671</v>
      </c>
      <c r="J2059" s="8" t="s">
        <v>6672</v>
      </c>
    </row>
    <row r="2060">
      <c r="A2060" s="7">
        <v>2.0063588E7</v>
      </c>
      <c r="B2060" s="8" t="s">
        <v>2484</v>
      </c>
      <c r="C2060" s="8" t="s">
        <v>6673</v>
      </c>
      <c r="D2060" s="8" t="s">
        <v>16</v>
      </c>
      <c r="E2060" s="8" t="s">
        <v>17</v>
      </c>
      <c r="F2060" s="9">
        <v>46175.0</v>
      </c>
      <c r="G2060" s="8" t="s">
        <v>5057</v>
      </c>
      <c r="H2060" s="8" t="s">
        <v>6674</v>
      </c>
      <c r="I2060" s="8" t="s">
        <v>6675</v>
      </c>
      <c r="J2060" s="8" t="s">
        <v>6676</v>
      </c>
    </row>
    <row r="2061">
      <c r="A2061" s="7">
        <v>2.0062401E7</v>
      </c>
      <c r="B2061" s="8" t="s">
        <v>2484</v>
      </c>
      <c r="C2061" s="8" t="s">
        <v>6677</v>
      </c>
      <c r="D2061" s="8" t="s">
        <v>16</v>
      </c>
      <c r="E2061" s="8" t="s">
        <v>17</v>
      </c>
      <c r="F2061" s="9">
        <v>46162.0</v>
      </c>
      <c r="G2061" s="8" t="s">
        <v>59</v>
      </c>
      <c r="H2061" s="8" t="s">
        <v>60</v>
      </c>
      <c r="I2061" s="8" t="s">
        <v>6678</v>
      </c>
      <c r="J2061" s="8" t="s">
        <v>6679</v>
      </c>
    </row>
    <row r="2062">
      <c r="A2062" s="7">
        <v>2.0060345E7</v>
      </c>
      <c r="B2062" s="8" t="s">
        <v>2484</v>
      </c>
      <c r="C2062" s="8" t="s">
        <v>6680</v>
      </c>
      <c r="D2062" s="8" t="s">
        <v>16</v>
      </c>
      <c r="E2062" s="8" t="s">
        <v>17</v>
      </c>
      <c r="F2062" s="9">
        <v>46144.0</v>
      </c>
      <c r="G2062" s="8" t="s">
        <v>220</v>
      </c>
      <c r="H2062" s="8" t="s">
        <v>221</v>
      </c>
      <c r="I2062" s="8" t="s">
        <v>6681</v>
      </c>
      <c r="J2062" s="8" t="s">
        <v>6682</v>
      </c>
    </row>
    <row r="2063">
      <c r="A2063" s="7">
        <v>2.0058563E7</v>
      </c>
      <c r="B2063" s="8" t="s">
        <v>2484</v>
      </c>
      <c r="C2063" s="8" t="s">
        <v>6683</v>
      </c>
      <c r="D2063" s="8" t="s">
        <v>16</v>
      </c>
      <c r="E2063" s="8" t="s">
        <v>17</v>
      </c>
      <c r="F2063" s="9">
        <v>46184.0</v>
      </c>
      <c r="G2063" s="8" t="s">
        <v>791</v>
      </c>
      <c r="H2063" s="8" t="s">
        <v>792</v>
      </c>
      <c r="I2063" s="8"/>
      <c r="J2063" s="8" t="s">
        <v>6684</v>
      </c>
    </row>
    <row r="2064">
      <c r="A2064" s="7">
        <v>2.0059493E7</v>
      </c>
      <c r="B2064" s="8" t="s">
        <v>2484</v>
      </c>
      <c r="C2064" s="8" t="s">
        <v>6685</v>
      </c>
      <c r="D2064" s="8" t="s">
        <v>16</v>
      </c>
      <c r="E2064" s="8" t="s">
        <v>17</v>
      </c>
      <c r="F2064" s="9">
        <v>46149.0</v>
      </c>
      <c r="G2064" s="8" t="s">
        <v>630</v>
      </c>
      <c r="H2064" s="8" t="s">
        <v>631</v>
      </c>
      <c r="I2064" s="8" t="s">
        <v>6686</v>
      </c>
      <c r="J2064" s="8" t="s">
        <v>6687</v>
      </c>
    </row>
    <row r="2065">
      <c r="A2065" s="7">
        <v>2.0053122E7</v>
      </c>
      <c r="B2065" s="8" t="s">
        <v>2484</v>
      </c>
      <c r="C2065" s="8" t="s">
        <v>6688</v>
      </c>
      <c r="D2065" s="8" t="s">
        <v>16</v>
      </c>
      <c r="E2065" s="8" t="s">
        <v>17</v>
      </c>
      <c r="F2065" s="9">
        <v>46129.0</v>
      </c>
      <c r="G2065" s="8" t="s">
        <v>6689</v>
      </c>
      <c r="H2065" s="8" t="s">
        <v>6690</v>
      </c>
      <c r="I2065" s="8" t="s">
        <v>6691</v>
      </c>
      <c r="J2065" s="8" t="s">
        <v>6692</v>
      </c>
    </row>
    <row r="2066">
      <c r="A2066" s="7">
        <v>2.0039355E7</v>
      </c>
      <c r="B2066" s="8" t="s">
        <v>2484</v>
      </c>
      <c r="C2066" s="8" t="s">
        <v>6693</v>
      </c>
      <c r="D2066" s="8" t="s">
        <v>16</v>
      </c>
      <c r="E2066" s="8" t="s">
        <v>17</v>
      </c>
      <c r="F2066" s="9">
        <v>46066.0</v>
      </c>
      <c r="G2066" s="8" t="s">
        <v>2486</v>
      </c>
      <c r="H2066" s="8" t="s">
        <v>44</v>
      </c>
      <c r="I2066" s="8" t="s">
        <v>6694</v>
      </c>
      <c r="J2066" s="8" t="s">
        <v>6695</v>
      </c>
    </row>
    <row r="2067">
      <c r="A2067" s="7">
        <v>2.0040128E7</v>
      </c>
      <c r="B2067" s="8" t="s">
        <v>2484</v>
      </c>
      <c r="C2067" s="8" t="s">
        <v>6696</v>
      </c>
      <c r="D2067" s="8" t="s">
        <v>16</v>
      </c>
      <c r="E2067" s="8" t="s">
        <v>17</v>
      </c>
      <c r="F2067" s="9">
        <v>46064.0</v>
      </c>
      <c r="G2067" s="8" t="s">
        <v>365</v>
      </c>
      <c r="H2067" s="8" t="s">
        <v>366</v>
      </c>
      <c r="I2067" s="8" t="s">
        <v>6697</v>
      </c>
      <c r="J2067" s="8" t="s">
        <v>6698</v>
      </c>
    </row>
    <row r="2068">
      <c r="A2068" s="7">
        <v>2.0069978E7</v>
      </c>
      <c r="B2068" s="8" t="s">
        <v>2484</v>
      </c>
      <c r="C2068" s="8" t="s">
        <v>6699</v>
      </c>
      <c r="D2068" s="8" t="s">
        <v>16</v>
      </c>
      <c r="E2068" s="8" t="s">
        <v>17</v>
      </c>
      <c r="F2068" s="9">
        <v>46191.0</v>
      </c>
      <c r="G2068" s="8" t="s">
        <v>195</v>
      </c>
      <c r="H2068" s="8" t="s">
        <v>196</v>
      </c>
      <c r="I2068" s="8" t="s">
        <v>6700</v>
      </c>
      <c r="J2068" s="8" t="s">
        <v>6701</v>
      </c>
    </row>
    <row r="2069">
      <c r="A2069" s="7">
        <v>2.0072214E7</v>
      </c>
      <c r="B2069" s="8" t="s">
        <v>3445</v>
      </c>
      <c r="C2069" s="8" t="s">
        <v>6702</v>
      </c>
      <c r="D2069" s="8" t="s">
        <v>2136</v>
      </c>
      <c r="E2069" s="8" t="s">
        <v>17</v>
      </c>
      <c r="F2069" s="9">
        <v>46190.0</v>
      </c>
      <c r="G2069" s="8" t="s">
        <v>59</v>
      </c>
      <c r="H2069" s="8" t="s">
        <v>60</v>
      </c>
      <c r="I2069" s="8" t="s">
        <v>6703</v>
      </c>
      <c r="J2069" s="8" t="s">
        <v>6704</v>
      </c>
    </row>
    <row r="2070">
      <c r="A2070" s="7">
        <v>2.007176E7</v>
      </c>
      <c r="B2070" s="8" t="s">
        <v>3445</v>
      </c>
      <c r="C2070" s="8" t="s">
        <v>6705</v>
      </c>
      <c r="D2070" s="8" t="s">
        <v>2136</v>
      </c>
      <c r="E2070" s="8" t="s">
        <v>17</v>
      </c>
      <c r="F2070" s="9">
        <v>46188.0</v>
      </c>
      <c r="G2070" s="8" t="s">
        <v>59</v>
      </c>
      <c r="H2070" s="8" t="s">
        <v>60</v>
      </c>
      <c r="I2070" s="8" t="s">
        <v>6706</v>
      </c>
      <c r="J2070" s="8" t="s">
        <v>6707</v>
      </c>
    </row>
    <row r="2071">
      <c r="A2071" s="7">
        <v>2.0068484E7</v>
      </c>
      <c r="B2071" s="8" t="s">
        <v>3445</v>
      </c>
      <c r="C2071" s="8" t="s">
        <v>6708</v>
      </c>
      <c r="D2071" s="8" t="s">
        <v>16</v>
      </c>
      <c r="E2071" s="8" t="s">
        <v>17</v>
      </c>
      <c r="F2071" s="9">
        <v>46190.0</v>
      </c>
      <c r="G2071" s="8" t="s">
        <v>109</v>
      </c>
      <c r="H2071" s="8" t="s">
        <v>110</v>
      </c>
      <c r="I2071" s="8" t="s">
        <v>6709</v>
      </c>
      <c r="J2071" s="8" t="s">
        <v>6710</v>
      </c>
    </row>
    <row r="2072">
      <c r="A2072" s="7">
        <v>2.0067841E7</v>
      </c>
      <c r="B2072" s="8" t="s">
        <v>3445</v>
      </c>
      <c r="C2072" s="8" t="s">
        <v>6711</v>
      </c>
      <c r="D2072" s="8" t="s">
        <v>16</v>
      </c>
      <c r="E2072" s="8" t="s">
        <v>17</v>
      </c>
      <c r="F2072" s="9">
        <v>46182.0</v>
      </c>
      <c r="G2072" s="8" t="s">
        <v>1431</v>
      </c>
      <c r="H2072" s="8" t="s">
        <v>1432</v>
      </c>
      <c r="I2072" s="8" t="s">
        <v>6712</v>
      </c>
      <c r="J2072" s="8" t="s">
        <v>6713</v>
      </c>
    </row>
    <row r="2073">
      <c r="A2073" s="7">
        <v>2.0066311E7</v>
      </c>
      <c r="B2073" s="8" t="s">
        <v>3445</v>
      </c>
      <c r="C2073" s="8" t="s">
        <v>6714</v>
      </c>
      <c r="D2073" s="8" t="s">
        <v>16</v>
      </c>
      <c r="E2073" s="8" t="s">
        <v>17</v>
      </c>
      <c r="F2073" s="9">
        <v>46174.0</v>
      </c>
      <c r="G2073" s="8" t="s">
        <v>6715</v>
      </c>
      <c r="H2073" s="8" t="s">
        <v>6716</v>
      </c>
      <c r="I2073" s="8" t="s">
        <v>6717</v>
      </c>
      <c r="J2073" s="8" t="s">
        <v>6718</v>
      </c>
    </row>
    <row r="2074">
      <c r="A2074" s="7">
        <v>2.0066233E7</v>
      </c>
      <c r="B2074" s="8" t="s">
        <v>3445</v>
      </c>
      <c r="C2074" s="8" t="s">
        <v>6719</v>
      </c>
      <c r="D2074" s="8" t="s">
        <v>16</v>
      </c>
      <c r="E2074" s="8" t="s">
        <v>17</v>
      </c>
      <c r="F2074" s="9">
        <v>46180.0</v>
      </c>
      <c r="G2074" s="8" t="s">
        <v>59</v>
      </c>
      <c r="H2074" s="8" t="s">
        <v>60</v>
      </c>
      <c r="I2074" s="8" t="s">
        <v>6720</v>
      </c>
      <c r="J2074" s="8" t="s">
        <v>6721</v>
      </c>
    </row>
    <row r="2075">
      <c r="A2075" s="7">
        <v>2.0065881E7</v>
      </c>
      <c r="B2075" s="8" t="s">
        <v>3445</v>
      </c>
      <c r="C2075" s="8" t="s">
        <v>6722</v>
      </c>
      <c r="D2075" s="8" t="s">
        <v>16</v>
      </c>
      <c r="E2075" s="8" t="s">
        <v>17</v>
      </c>
      <c r="F2075" s="9">
        <v>46193.0</v>
      </c>
      <c r="G2075" s="8" t="s">
        <v>1427</v>
      </c>
      <c r="H2075" s="8" t="s">
        <v>1428</v>
      </c>
      <c r="I2075" s="8" t="s">
        <v>6723</v>
      </c>
      <c r="J2075" s="8" t="s">
        <v>6724</v>
      </c>
    </row>
    <row r="2076">
      <c r="A2076" s="7">
        <v>2.006235E7</v>
      </c>
      <c r="B2076" s="8" t="s">
        <v>3445</v>
      </c>
      <c r="C2076" s="8" t="s">
        <v>6725</v>
      </c>
      <c r="D2076" s="8" t="s">
        <v>16</v>
      </c>
      <c r="E2076" s="8" t="s">
        <v>17</v>
      </c>
      <c r="F2076" s="9">
        <v>46186.0</v>
      </c>
      <c r="G2076" s="8" t="s">
        <v>1508</v>
      </c>
      <c r="H2076" s="8" t="s">
        <v>1509</v>
      </c>
      <c r="I2076" s="8" t="s">
        <v>6726</v>
      </c>
      <c r="J2076" s="8" t="s">
        <v>6727</v>
      </c>
    </row>
    <row r="2077">
      <c r="A2077" s="7">
        <v>2.006239E7</v>
      </c>
      <c r="B2077" s="8" t="s">
        <v>3445</v>
      </c>
      <c r="C2077" s="8" t="s">
        <v>6728</v>
      </c>
      <c r="D2077" s="8" t="s">
        <v>16</v>
      </c>
      <c r="E2077" s="8" t="s">
        <v>17</v>
      </c>
      <c r="F2077" s="9">
        <v>46162.0</v>
      </c>
      <c r="G2077" s="8" t="s">
        <v>2511</v>
      </c>
      <c r="H2077" s="8" t="s">
        <v>2512</v>
      </c>
      <c r="I2077" s="8" t="s">
        <v>6729</v>
      </c>
      <c r="J2077" s="8" t="s">
        <v>6730</v>
      </c>
    </row>
    <row r="2078">
      <c r="A2078" s="7">
        <v>2.0062688E7</v>
      </c>
      <c r="B2078" s="8" t="s">
        <v>3445</v>
      </c>
      <c r="C2078" s="8" t="s">
        <v>6731</v>
      </c>
      <c r="D2078" s="8" t="s">
        <v>16</v>
      </c>
      <c r="E2078" s="8" t="s">
        <v>17</v>
      </c>
      <c r="F2078" s="9">
        <v>46151.0</v>
      </c>
      <c r="G2078" s="8" t="s">
        <v>365</v>
      </c>
      <c r="H2078" s="8" t="s">
        <v>366</v>
      </c>
      <c r="I2078" s="8" t="s">
        <v>6732</v>
      </c>
      <c r="J2078" s="8" t="s">
        <v>6733</v>
      </c>
    </row>
    <row r="2079">
      <c r="A2079" s="7">
        <v>2.0055698E7</v>
      </c>
      <c r="B2079" s="8" t="s">
        <v>3445</v>
      </c>
      <c r="C2079" s="8" t="s">
        <v>6734</v>
      </c>
      <c r="D2079" s="8" t="s">
        <v>16</v>
      </c>
      <c r="E2079" s="8" t="s">
        <v>17</v>
      </c>
      <c r="F2079" s="9">
        <v>46151.0</v>
      </c>
      <c r="G2079" s="8" t="s">
        <v>184</v>
      </c>
      <c r="H2079" s="8" t="s">
        <v>185</v>
      </c>
      <c r="I2079" s="8" t="s">
        <v>6735</v>
      </c>
      <c r="J2079" s="8" t="s">
        <v>6736</v>
      </c>
    </row>
    <row r="2080">
      <c r="A2080" s="7">
        <v>2.0051466E7</v>
      </c>
      <c r="B2080" s="8" t="s">
        <v>3445</v>
      </c>
      <c r="C2080" s="8" t="s">
        <v>6737</v>
      </c>
      <c r="D2080" s="8" t="s">
        <v>16</v>
      </c>
      <c r="E2080" s="8" t="s">
        <v>17</v>
      </c>
      <c r="F2080" s="9">
        <v>46119.0</v>
      </c>
      <c r="G2080" s="8" t="s">
        <v>1427</v>
      </c>
      <c r="H2080" s="8" t="s">
        <v>1428</v>
      </c>
      <c r="I2080" s="8" t="s">
        <v>6738</v>
      </c>
      <c r="J2080" s="8" t="s">
        <v>6739</v>
      </c>
    </row>
    <row r="2081">
      <c r="A2081" s="7">
        <v>2.0046916E7</v>
      </c>
      <c r="B2081" s="8" t="s">
        <v>3445</v>
      </c>
      <c r="C2081" s="8" t="s">
        <v>6740</v>
      </c>
      <c r="D2081" s="8" t="s">
        <v>16</v>
      </c>
      <c r="E2081" s="8" t="s">
        <v>17</v>
      </c>
      <c r="F2081" s="9">
        <v>46131.0</v>
      </c>
      <c r="G2081" s="8" t="s">
        <v>3122</v>
      </c>
      <c r="H2081" s="8" t="s">
        <v>3123</v>
      </c>
      <c r="I2081" s="8" t="s">
        <v>6741</v>
      </c>
      <c r="J2081" s="8" t="s">
        <v>6742</v>
      </c>
    </row>
    <row r="2082">
      <c r="A2082" s="7">
        <v>2.0043585E7</v>
      </c>
      <c r="B2082" s="8" t="s">
        <v>3445</v>
      </c>
      <c r="C2082" s="8" t="s">
        <v>6743</v>
      </c>
      <c r="D2082" s="8" t="s">
        <v>16</v>
      </c>
      <c r="E2082" s="8" t="s">
        <v>17</v>
      </c>
      <c r="F2082" s="9">
        <v>46086.0</v>
      </c>
      <c r="G2082" s="8" t="s">
        <v>75</v>
      </c>
      <c r="H2082" s="8" t="s">
        <v>76</v>
      </c>
      <c r="I2082" s="8" t="s">
        <v>6744</v>
      </c>
      <c r="J2082" s="8" t="s">
        <v>6745</v>
      </c>
    </row>
    <row r="2083">
      <c r="A2083" s="7">
        <v>2.0044184E7</v>
      </c>
      <c r="B2083" s="8" t="s">
        <v>3445</v>
      </c>
      <c r="C2083" s="8" t="s">
        <v>6746</v>
      </c>
      <c r="D2083" s="8" t="s">
        <v>16</v>
      </c>
      <c r="E2083" s="8" t="s">
        <v>17</v>
      </c>
      <c r="F2083" s="9">
        <v>46074.0</v>
      </c>
      <c r="G2083" s="8" t="s">
        <v>339</v>
      </c>
      <c r="H2083" s="8" t="s">
        <v>340</v>
      </c>
      <c r="I2083" s="8" t="s">
        <v>6747</v>
      </c>
      <c r="J2083" s="8" t="s">
        <v>6748</v>
      </c>
    </row>
    <row r="2084">
      <c r="A2084" s="7">
        <v>2.0040721E7</v>
      </c>
      <c r="B2084" s="8" t="s">
        <v>3445</v>
      </c>
      <c r="C2084" s="8" t="s">
        <v>6749</v>
      </c>
      <c r="D2084" s="8" t="s">
        <v>16</v>
      </c>
      <c r="E2084" s="8" t="s">
        <v>17</v>
      </c>
      <c r="F2084" s="9">
        <v>46081.0</v>
      </c>
      <c r="G2084" s="8" t="s">
        <v>104</v>
      </c>
      <c r="H2084" s="8" t="s">
        <v>105</v>
      </c>
      <c r="I2084" s="8" t="s">
        <v>6750</v>
      </c>
      <c r="J2084" s="8" t="s">
        <v>6751</v>
      </c>
    </row>
    <row r="2085">
      <c r="A2085" s="7">
        <v>2.003724E7</v>
      </c>
      <c r="B2085" s="8" t="s">
        <v>3445</v>
      </c>
      <c r="C2085" s="8" t="s">
        <v>6752</v>
      </c>
      <c r="D2085" s="8" t="s">
        <v>16</v>
      </c>
      <c r="E2085" s="8" t="s">
        <v>17</v>
      </c>
      <c r="F2085" s="9">
        <v>46060.0</v>
      </c>
      <c r="G2085" s="8" t="s">
        <v>220</v>
      </c>
      <c r="H2085" s="8" t="s">
        <v>221</v>
      </c>
      <c r="I2085" s="8" t="s">
        <v>6753</v>
      </c>
      <c r="J2085" s="8" t="s">
        <v>6754</v>
      </c>
    </row>
    <row r="2086">
      <c r="A2086" s="7">
        <v>2.0029842E7</v>
      </c>
      <c r="B2086" s="8" t="s">
        <v>3445</v>
      </c>
      <c r="C2086" s="8" t="s">
        <v>6755</v>
      </c>
      <c r="D2086" s="8" t="s">
        <v>16</v>
      </c>
      <c r="E2086" s="8" t="s">
        <v>17</v>
      </c>
      <c r="F2086" s="9">
        <v>46050.0</v>
      </c>
      <c r="G2086" s="8" t="s">
        <v>6756</v>
      </c>
      <c r="H2086" s="8" t="s">
        <v>614</v>
      </c>
      <c r="I2086" s="8" t="s">
        <v>6757</v>
      </c>
      <c r="J2086" s="8" t="s">
        <v>6758</v>
      </c>
    </row>
    <row r="2087">
      <c r="A2087" s="7">
        <v>2.0067475E7</v>
      </c>
      <c r="B2087" s="8" t="s">
        <v>3445</v>
      </c>
      <c r="C2087" s="8" t="s">
        <v>6759</v>
      </c>
      <c r="D2087" s="8" t="s">
        <v>16</v>
      </c>
      <c r="E2087" s="8" t="s">
        <v>17</v>
      </c>
      <c r="F2087" s="9">
        <v>46180.0</v>
      </c>
      <c r="G2087" s="8" t="s">
        <v>4850</v>
      </c>
      <c r="H2087" s="8" t="s">
        <v>4851</v>
      </c>
      <c r="I2087" s="8" t="s">
        <v>6760</v>
      </c>
      <c r="J2087" s="8" t="s">
        <v>6761</v>
      </c>
    </row>
    <row r="2088">
      <c r="A2088" s="7">
        <v>2.0059483E7</v>
      </c>
      <c r="B2088" s="8" t="s">
        <v>3445</v>
      </c>
      <c r="C2088" s="8" t="s">
        <v>6762</v>
      </c>
      <c r="D2088" s="8" t="s">
        <v>16</v>
      </c>
      <c r="E2088" s="8" t="s">
        <v>17</v>
      </c>
      <c r="F2088" s="9">
        <v>46164.0</v>
      </c>
      <c r="G2088" s="8" t="s">
        <v>59</v>
      </c>
      <c r="H2088" s="8" t="s">
        <v>60</v>
      </c>
      <c r="I2088" s="8" t="s">
        <v>6763</v>
      </c>
      <c r="J2088" s="8" t="s">
        <v>6764</v>
      </c>
    </row>
    <row r="2089">
      <c r="A2089" s="7">
        <v>2.006181E7</v>
      </c>
      <c r="B2089" s="8" t="s">
        <v>3445</v>
      </c>
      <c r="C2089" s="8" t="s">
        <v>6765</v>
      </c>
      <c r="D2089" s="8" t="s">
        <v>16</v>
      </c>
      <c r="E2089" s="8" t="s">
        <v>17</v>
      </c>
      <c r="F2089" s="9">
        <v>46167.0</v>
      </c>
      <c r="G2089" s="8" t="s">
        <v>234</v>
      </c>
      <c r="H2089" s="8" t="s">
        <v>235</v>
      </c>
      <c r="I2089" s="8" t="s">
        <v>6766</v>
      </c>
      <c r="J2089" s="8" t="s">
        <v>6767</v>
      </c>
    </row>
    <row r="2090">
      <c r="A2090" s="7">
        <v>2.0063504E7</v>
      </c>
      <c r="B2090" s="8" t="s">
        <v>3445</v>
      </c>
      <c r="C2090" s="8" t="s">
        <v>6768</v>
      </c>
      <c r="D2090" s="8" t="s">
        <v>16</v>
      </c>
      <c r="E2090" s="8" t="s">
        <v>17</v>
      </c>
      <c r="F2090" s="9">
        <v>46161.0</v>
      </c>
      <c r="G2090" s="8" t="s">
        <v>59</v>
      </c>
      <c r="H2090" s="8" t="s">
        <v>60</v>
      </c>
      <c r="I2090" s="8" t="s">
        <v>6769</v>
      </c>
      <c r="J2090" s="8" t="s">
        <v>6770</v>
      </c>
    </row>
    <row r="2091">
      <c r="A2091" s="7">
        <v>2.0048677E7</v>
      </c>
      <c r="B2091" s="8" t="s">
        <v>3445</v>
      </c>
      <c r="C2091" s="8" t="s">
        <v>6771</v>
      </c>
      <c r="D2091" s="8" t="s">
        <v>16</v>
      </c>
      <c r="E2091" s="8" t="s">
        <v>17</v>
      </c>
      <c r="F2091" s="9">
        <v>46132.0</v>
      </c>
      <c r="G2091" s="8" t="s">
        <v>868</v>
      </c>
      <c r="H2091" s="8" t="s">
        <v>869</v>
      </c>
      <c r="I2091" s="8" t="s">
        <v>6772</v>
      </c>
      <c r="J2091" s="8" t="s">
        <v>6773</v>
      </c>
    </row>
    <row r="2092">
      <c r="A2092" s="7">
        <v>2.005014E7</v>
      </c>
      <c r="B2092" s="8" t="s">
        <v>3445</v>
      </c>
      <c r="C2092" s="8" t="s">
        <v>6774</v>
      </c>
      <c r="D2092" s="8" t="s">
        <v>16</v>
      </c>
      <c r="E2092" s="8" t="s">
        <v>17</v>
      </c>
      <c r="F2092" s="9">
        <v>46110.0</v>
      </c>
      <c r="G2092" s="8" t="s">
        <v>385</v>
      </c>
      <c r="H2092" s="8" t="s">
        <v>386</v>
      </c>
      <c r="I2092" s="8" t="s">
        <v>6775</v>
      </c>
      <c r="J2092" s="8" t="s">
        <v>6776</v>
      </c>
    </row>
    <row r="2093">
      <c r="A2093" s="7">
        <v>2.0051157E7</v>
      </c>
      <c r="B2093" s="8" t="s">
        <v>3445</v>
      </c>
      <c r="C2093" s="8" t="s">
        <v>6777</v>
      </c>
      <c r="D2093" s="8" t="s">
        <v>16</v>
      </c>
      <c r="E2093" s="8" t="s">
        <v>17</v>
      </c>
      <c r="F2093" s="9">
        <v>46120.0</v>
      </c>
      <c r="G2093" s="8" t="s">
        <v>6778</v>
      </c>
      <c r="H2093" s="8" t="s">
        <v>6779</v>
      </c>
      <c r="I2093" s="8" t="s">
        <v>6780</v>
      </c>
      <c r="J2093" s="8" t="s">
        <v>6781</v>
      </c>
    </row>
    <row r="2094">
      <c r="A2094" s="7">
        <v>2.0049422E7</v>
      </c>
      <c r="B2094" s="8" t="s">
        <v>3445</v>
      </c>
      <c r="C2094" s="8" t="s">
        <v>6782</v>
      </c>
      <c r="D2094" s="8" t="s">
        <v>16</v>
      </c>
      <c r="E2094" s="8" t="s">
        <v>17</v>
      </c>
      <c r="F2094" s="9">
        <v>46100.0</v>
      </c>
      <c r="G2094" s="8" t="s">
        <v>846</v>
      </c>
      <c r="H2094" s="8" t="s">
        <v>847</v>
      </c>
      <c r="I2094" s="8" t="s">
        <v>6783</v>
      </c>
      <c r="J2094" s="8" t="s">
        <v>6784</v>
      </c>
    </row>
    <row r="2095">
      <c r="A2095" s="7">
        <v>2.0047673E7</v>
      </c>
      <c r="B2095" s="8" t="s">
        <v>3445</v>
      </c>
      <c r="C2095" s="8" t="s">
        <v>6785</v>
      </c>
      <c r="D2095" s="8" t="s">
        <v>16</v>
      </c>
      <c r="E2095" s="8" t="s">
        <v>17</v>
      </c>
      <c r="F2095" s="9">
        <v>46096.0</v>
      </c>
      <c r="G2095" s="8" t="s">
        <v>873</v>
      </c>
      <c r="H2095" s="8" t="s">
        <v>874</v>
      </c>
      <c r="I2095" s="8" t="s">
        <v>6786</v>
      </c>
      <c r="J2095" s="8" t="s">
        <v>6787</v>
      </c>
    </row>
    <row r="2096">
      <c r="A2096" s="7">
        <v>2.00455E7</v>
      </c>
      <c r="B2096" s="8" t="s">
        <v>3445</v>
      </c>
      <c r="C2096" s="8" t="s">
        <v>6788</v>
      </c>
      <c r="D2096" s="8" t="s">
        <v>16</v>
      </c>
      <c r="E2096" s="8" t="s">
        <v>17</v>
      </c>
      <c r="F2096" s="9">
        <v>46086.0</v>
      </c>
      <c r="G2096" s="8" t="s">
        <v>91</v>
      </c>
      <c r="H2096" s="8" t="s">
        <v>92</v>
      </c>
      <c r="I2096" s="8" t="s">
        <v>6789</v>
      </c>
      <c r="J2096" s="8" t="s">
        <v>6790</v>
      </c>
    </row>
    <row r="2097">
      <c r="A2097" s="7">
        <v>2.0042967E7</v>
      </c>
      <c r="B2097" s="8" t="s">
        <v>3445</v>
      </c>
      <c r="C2097" s="8" t="s">
        <v>6791</v>
      </c>
      <c r="D2097" s="8" t="s">
        <v>16</v>
      </c>
      <c r="E2097" s="8" t="s">
        <v>17</v>
      </c>
      <c r="F2097" s="9">
        <v>46077.0</v>
      </c>
      <c r="G2097" s="8" t="s">
        <v>5030</v>
      </c>
      <c r="H2097" s="8" t="s">
        <v>44</v>
      </c>
      <c r="I2097" s="8" t="s">
        <v>6792</v>
      </c>
      <c r="J2097" s="8" t="s">
        <v>6793</v>
      </c>
    </row>
    <row r="2098">
      <c r="A2098" s="7">
        <v>2.0041815E7</v>
      </c>
      <c r="B2098" s="8" t="s">
        <v>3445</v>
      </c>
      <c r="C2098" s="8" t="s">
        <v>6794</v>
      </c>
      <c r="D2098" s="8" t="s">
        <v>16</v>
      </c>
      <c r="E2098" s="8" t="s">
        <v>17</v>
      </c>
      <c r="F2098" s="9">
        <v>46079.0</v>
      </c>
      <c r="G2098" s="8" t="s">
        <v>220</v>
      </c>
      <c r="H2098" s="8" t="s">
        <v>221</v>
      </c>
      <c r="I2098" s="8" t="s">
        <v>6795</v>
      </c>
      <c r="J2098" s="8" t="s">
        <v>6796</v>
      </c>
    </row>
    <row r="2099">
      <c r="A2099" s="7">
        <v>2.0035683E7</v>
      </c>
      <c r="B2099" s="8" t="s">
        <v>3445</v>
      </c>
      <c r="C2099" s="8" t="s">
        <v>6797</v>
      </c>
      <c r="D2099" s="8" t="s">
        <v>16</v>
      </c>
      <c r="E2099" s="8" t="s">
        <v>17</v>
      </c>
      <c r="F2099" s="9">
        <v>46068.0</v>
      </c>
      <c r="G2099" s="8" t="s">
        <v>59</v>
      </c>
      <c r="H2099" s="8" t="s">
        <v>60</v>
      </c>
      <c r="I2099" s="8" t="s">
        <v>6798</v>
      </c>
      <c r="J2099" s="8"/>
    </row>
    <row r="2100">
      <c r="A2100" s="7">
        <v>2.0034705E7</v>
      </c>
      <c r="B2100" s="8" t="s">
        <v>3445</v>
      </c>
      <c r="C2100" s="8" t="s">
        <v>6799</v>
      </c>
      <c r="D2100" s="8" t="s">
        <v>16</v>
      </c>
      <c r="E2100" s="8" t="s">
        <v>17</v>
      </c>
      <c r="F2100" s="9">
        <v>46051.0</v>
      </c>
      <c r="G2100" s="8" t="s">
        <v>5866</v>
      </c>
      <c r="H2100" s="8" t="s">
        <v>1111</v>
      </c>
      <c r="I2100" s="8" t="s">
        <v>6800</v>
      </c>
      <c r="J2100" s="8" t="s">
        <v>6801</v>
      </c>
    </row>
    <row r="2101">
      <c r="A2101" s="7">
        <v>2.003688E7</v>
      </c>
      <c r="B2101" s="8" t="s">
        <v>3445</v>
      </c>
      <c r="C2101" s="8" t="s">
        <v>6802</v>
      </c>
      <c r="D2101" s="8" t="s">
        <v>16</v>
      </c>
      <c r="E2101" s="8" t="s">
        <v>17</v>
      </c>
      <c r="F2101" s="9">
        <v>46053.0</v>
      </c>
      <c r="G2101" s="8" t="s">
        <v>846</v>
      </c>
      <c r="H2101" s="8" t="s">
        <v>847</v>
      </c>
      <c r="I2101" s="8" t="s">
        <v>6803</v>
      </c>
      <c r="J2101" s="8" t="s">
        <v>6804</v>
      </c>
    </row>
    <row r="2102">
      <c r="A2102" s="7">
        <v>2.0034031E7</v>
      </c>
      <c r="B2102" s="8" t="s">
        <v>3445</v>
      </c>
      <c r="C2102" s="8" t="s">
        <v>6805</v>
      </c>
      <c r="D2102" s="8" t="s">
        <v>16</v>
      </c>
      <c r="E2102" s="8" t="s">
        <v>17</v>
      </c>
      <c r="F2102" s="9">
        <v>46062.0</v>
      </c>
      <c r="G2102" s="8" t="s">
        <v>2777</v>
      </c>
      <c r="H2102" s="8" t="s">
        <v>2778</v>
      </c>
      <c r="I2102" s="8" t="s">
        <v>6806</v>
      </c>
      <c r="J2102" s="8" t="s">
        <v>6807</v>
      </c>
    </row>
    <row r="2103">
      <c r="A2103" s="7">
        <v>2.0065788E7</v>
      </c>
      <c r="B2103" s="8" t="s">
        <v>3445</v>
      </c>
      <c r="C2103" s="8" t="s">
        <v>6808</v>
      </c>
      <c r="D2103" s="8" t="s">
        <v>16</v>
      </c>
      <c r="E2103" s="8" t="s">
        <v>17</v>
      </c>
      <c r="F2103" s="9">
        <v>46188.0</v>
      </c>
      <c r="G2103" s="8" t="s">
        <v>1085</v>
      </c>
      <c r="H2103" s="8" t="s">
        <v>1086</v>
      </c>
      <c r="I2103" s="8" t="s">
        <v>6809</v>
      </c>
      <c r="J2103" s="8" t="s">
        <v>6810</v>
      </c>
    </row>
    <row r="2104">
      <c r="A2104" s="7">
        <v>2.0061786E7</v>
      </c>
      <c r="B2104" s="8" t="s">
        <v>3445</v>
      </c>
      <c r="C2104" s="8" t="s">
        <v>6811</v>
      </c>
      <c r="D2104" s="8" t="s">
        <v>16</v>
      </c>
      <c r="E2104" s="8" t="s">
        <v>17</v>
      </c>
      <c r="F2104" s="9">
        <v>46158.0</v>
      </c>
      <c r="G2104" s="8" t="s">
        <v>34</v>
      </c>
      <c r="H2104" s="8" t="s">
        <v>35</v>
      </c>
      <c r="I2104" s="8" t="s">
        <v>6812</v>
      </c>
      <c r="J2104" s="8" t="s">
        <v>6813</v>
      </c>
    </row>
    <row r="2105">
      <c r="A2105" s="7">
        <v>2.0055719E7</v>
      </c>
      <c r="B2105" s="8" t="s">
        <v>3445</v>
      </c>
      <c r="C2105" s="8" t="s">
        <v>6814</v>
      </c>
      <c r="D2105" s="8" t="s">
        <v>16</v>
      </c>
      <c r="E2105" s="8" t="s">
        <v>17</v>
      </c>
      <c r="F2105" s="9">
        <v>46137.0</v>
      </c>
      <c r="G2105" s="8" t="s">
        <v>247</v>
      </c>
      <c r="H2105" s="8" t="s">
        <v>248</v>
      </c>
      <c r="I2105" s="8" t="s">
        <v>6815</v>
      </c>
      <c r="J2105" s="8" t="s">
        <v>6816</v>
      </c>
    </row>
    <row r="2106">
      <c r="A2106" s="7">
        <v>2.0054665E7</v>
      </c>
      <c r="B2106" s="8" t="s">
        <v>3445</v>
      </c>
      <c r="C2106" s="8" t="s">
        <v>6817</v>
      </c>
      <c r="D2106" s="8" t="s">
        <v>16</v>
      </c>
      <c r="E2106" s="8" t="s">
        <v>17</v>
      </c>
      <c r="F2106" s="9">
        <v>46131.0</v>
      </c>
      <c r="G2106" s="8" t="s">
        <v>75</v>
      </c>
      <c r="H2106" s="8" t="s">
        <v>76</v>
      </c>
      <c r="I2106" s="8" t="s">
        <v>6818</v>
      </c>
      <c r="J2106" s="8" t="s">
        <v>6819</v>
      </c>
    </row>
    <row r="2107">
      <c r="A2107" s="7">
        <v>2.0054535E7</v>
      </c>
      <c r="B2107" s="8" t="s">
        <v>3445</v>
      </c>
      <c r="C2107" s="8" t="s">
        <v>6820</v>
      </c>
      <c r="D2107" s="8" t="s">
        <v>2136</v>
      </c>
      <c r="E2107" s="8" t="s">
        <v>17</v>
      </c>
      <c r="F2107" s="9">
        <v>46126.0</v>
      </c>
      <c r="G2107" s="8" t="s">
        <v>195</v>
      </c>
      <c r="H2107" s="8" t="s">
        <v>196</v>
      </c>
      <c r="I2107" s="8" t="s">
        <v>6821</v>
      </c>
      <c r="J2107" s="8" t="s">
        <v>6822</v>
      </c>
    </row>
    <row r="2108">
      <c r="A2108" s="7">
        <v>2.0051629E7</v>
      </c>
      <c r="B2108" s="8" t="s">
        <v>3445</v>
      </c>
      <c r="C2108" s="8" t="s">
        <v>6823</v>
      </c>
      <c r="D2108" s="8" t="s">
        <v>16</v>
      </c>
      <c r="E2108" s="8" t="s">
        <v>17</v>
      </c>
      <c r="F2108" s="9">
        <v>46122.0</v>
      </c>
      <c r="G2108" s="8" t="s">
        <v>3207</v>
      </c>
      <c r="H2108" s="8" t="s">
        <v>3208</v>
      </c>
      <c r="I2108" s="8" t="s">
        <v>6824</v>
      </c>
      <c r="J2108" s="8" t="s">
        <v>6825</v>
      </c>
    </row>
    <row r="2109">
      <c r="A2109" s="7">
        <v>2.004948E7</v>
      </c>
      <c r="B2109" s="8" t="s">
        <v>3445</v>
      </c>
      <c r="C2109" s="8" t="s">
        <v>6826</v>
      </c>
      <c r="D2109" s="8" t="s">
        <v>16</v>
      </c>
      <c r="E2109" s="8" t="s">
        <v>17</v>
      </c>
      <c r="F2109" s="9">
        <v>46105.0</v>
      </c>
      <c r="G2109" s="8" t="s">
        <v>195</v>
      </c>
      <c r="H2109" s="8" t="s">
        <v>196</v>
      </c>
      <c r="I2109" s="8" t="s">
        <v>6827</v>
      </c>
      <c r="J2109" s="8" t="s">
        <v>6828</v>
      </c>
    </row>
    <row r="2110">
      <c r="A2110" s="7">
        <v>2.0044297E7</v>
      </c>
      <c r="B2110" s="8" t="s">
        <v>3445</v>
      </c>
      <c r="C2110" s="8" t="s">
        <v>6829</v>
      </c>
      <c r="D2110" s="8" t="s">
        <v>16</v>
      </c>
      <c r="E2110" s="8" t="s">
        <v>17</v>
      </c>
      <c r="F2110" s="9">
        <v>46089.0</v>
      </c>
      <c r="G2110" s="8" t="s">
        <v>247</v>
      </c>
      <c r="H2110" s="8" t="s">
        <v>248</v>
      </c>
      <c r="I2110" s="8" t="s">
        <v>6830</v>
      </c>
      <c r="J2110" s="8" t="s">
        <v>6831</v>
      </c>
    </row>
    <row r="2111">
      <c r="A2111" s="7">
        <v>2.0041423E7</v>
      </c>
      <c r="B2111" s="8" t="s">
        <v>3445</v>
      </c>
      <c r="C2111" s="8" t="s">
        <v>6832</v>
      </c>
      <c r="D2111" s="8" t="s">
        <v>16</v>
      </c>
      <c r="E2111" s="8" t="s">
        <v>17</v>
      </c>
      <c r="F2111" s="9">
        <v>46074.0</v>
      </c>
      <c r="G2111" s="8" t="s">
        <v>59</v>
      </c>
      <c r="H2111" s="8" t="s">
        <v>60</v>
      </c>
      <c r="I2111" s="8" t="s">
        <v>6833</v>
      </c>
      <c r="J2111" s="8"/>
    </row>
    <row r="2112">
      <c r="A2112" s="7">
        <v>2.0040725E7</v>
      </c>
      <c r="B2112" s="8" t="s">
        <v>3445</v>
      </c>
      <c r="C2112" s="8" t="s">
        <v>6834</v>
      </c>
      <c r="D2112" s="8" t="s">
        <v>16</v>
      </c>
      <c r="E2112" s="8" t="s">
        <v>17</v>
      </c>
      <c r="F2112" s="9">
        <v>46077.0</v>
      </c>
      <c r="G2112" s="8" t="s">
        <v>59</v>
      </c>
      <c r="H2112" s="8" t="s">
        <v>60</v>
      </c>
      <c r="I2112" s="8" t="s">
        <v>6835</v>
      </c>
      <c r="J2112" s="8" t="s">
        <v>6836</v>
      </c>
    </row>
    <row r="2113">
      <c r="A2113" s="7">
        <v>2.0039743E7</v>
      </c>
      <c r="B2113" s="8" t="s">
        <v>3445</v>
      </c>
      <c r="C2113" s="8" t="s">
        <v>6837</v>
      </c>
      <c r="D2113" s="8" t="s">
        <v>16</v>
      </c>
      <c r="E2113" s="8" t="s">
        <v>17</v>
      </c>
      <c r="F2113" s="9">
        <v>46069.0</v>
      </c>
      <c r="G2113" s="8" t="s">
        <v>59</v>
      </c>
      <c r="H2113" s="8" t="s">
        <v>60</v>
      </c>
      <c r="I2113" s="8" t="s">
        <v>6838</v>
      </c>
      <c r="J2113" s="8" t="s">
        <v>6839</v>
      </c>
    </row>
    <row r="2114">
      <c r="A2114" s="7">
        <v>2.0038722E7</v>
      </c>
      <c r="B2114" s="8" t="s">
        <v>3445</v>
      </c>
      <c r="C2114" s="8" t="s">
        <v>6840</v>
      </c>
      <c r="D2114" s="8" t="s">
        <v>16</v>
      </c>
      <c r="E2114" s="8" t="s">
        <v>17</v>
      </c>
      <c r="F2114" s="9">
        <v>46062.0</v>
      </c>
      <c r="G2114" s="8" t="s">
        <v>385</v>
      </c>
      <c r="H2114" s="8" t="s">
        <v>386</v>
      </c>
      <c r="I2114" s="8" t="s">
        <v>6841</v>
      </c>
      <c r="J2114" s="8" t="s">
        <v>6842</v>
      </c>
    </row>
    <row r="2115">
      <c r="A2115" s="7">
        <v>2.0068622E7</v>
      </c>
      <c r="B2115" s="8" t="s">
        <v>3445</v>
      </c>
      <c r="C2115" s="8" t="s">
        <v>6843</v>
      </c>
      <c r="D2115" s="8" t="s">
        <v>16</v>
      </c>
      <c r="E2115" s="8" t="s">
        <v>17</v>
      </c>
      <c r="F2115" s="9">
        <v>46175.0</v>
      </c>
      <c r="G2115" s="8" t="s">
        <v>59</v>
      </c>
      <c r="H2115" s="8" t="s">
        <v>60</v>
      </c>
      <c r="I2115" s="8" t="s">
        <v>6844</v>
      </c>
      <c r="J2115" s="8" t="s">
        <v>6845</v>
      </c>
    </row>
    <row r="2116">
      <c r="A2116" s="7">
        <v>2.0068622E7</v>
      </c>
      <c r="B2116" s="8" t="s">
        <v>3445</v>
      </c>
      <c r="C2116" s="8" t="s">
        <v>6843</v>
      </c>
      <c r="D2116" s="8" t="s">
        <v>16</v>
      </c>
      <c r="E2116" s="8" t="s">
        <v>17</v>
      </c>
      <c r="F2116" s="9">
        <v>46175.0</v>
      </c>
      <c r="G2116" s="8" t="s">
        <v>365</v>
      </c>
      <c r="H2116" s="8" t="s">
        <v>366</v>
      </c>
      <c r="I2116" s="8" t="s">
        <v>6846</v>
      </c>
      <c r="J2116" s="8" t="s">
        <v>6847</v>
      </c>
    </row>
    <row r="2117">
      <c r="A2117" s="7">
        <v>2.0067048E7</v>
      </c>
      <c r="B2117" s="8" t="s">
        <v>3445</v>
      </c>
      <c r="C2117" s="8" t="s">
        <v>6848</v>
      </c>
      <c r="D2117" s="8" t="s">
        <v>16</v>
      </c>
      <c r="E2117" s="8" t="s">
        <v>17</v>
      </c>
      <c r="F2117" s="9">
        <v>46186.0</v>
      </c>
      <c r="G2117" s="8" t="s">
        <v>3255</v>
      </c>
      <c r="H2117" s="8" t="s">
        <v>3256</v>
      </c>
      <c r="I2117" s="8" t="s">
        <v>6849</v>
      </c>
      <c r="J2117" s="8" t="s">
        <v>6850</v>
      </c>
    </row>
    <row r="2118">
      <c r="A2118" s="7">
        <v>2.0060808E7</v>
      </c>
      <c r="B2118" s="8" t="s">
        <v>3445</v>
      </c>
      <c r="C2118" s="8" t="s">
        <v>6851</v>
      </c>
      <c r="D2118" s="8" t="s">
        <v>16</v>
      </c>
      <c r="E2118" s="8" t="s">
        <v>17</v>
      </c>
      <c r="F2118" s="9">
        <v>46187.0</v>
      </c>
      <c r="G2118" s="8" t="s">
        <v>297</v>
      </c>
      <c r="H2118" s="8" t="s">
        <v>298</v>
      </c>
      <c r="I2118" s="8" t="s">
        <v>6852</v>
      </c>
      <c r="J2118" s="8" t="s">
        <v>6853</v>
      </c>
    </row>
    <row r="2119">
      <c r="A2119" s="7">
        <v>2.0059416E7</v>
      </c>
      <c r="B2119" s="8" t="s">
        <v>3445</v>
      </c>
      <c r="C2119" s="8" t="s">
        <v>6854</v>
      </c>
      <c r="D2119" s="8" t="s">
        <v>16</v>
      </c>
      <c r="E2119" s="8" t="s">
        <v>17</v>
      </c>
      <c r="F2119" s="9">
        <v>46179.0</v>
      </c>
      <c r="G2119" s="8" t="s">
        <v>184</v>
      </c>
      <c r="H2119" s="8" t="s">
        <v>185</v>
      </c>
      <c r="I2119" s="8" t="s">
        <v>6855</v>
      </c>
      <c r="J2119" s="8" t="s">
        <v>6856</v>
      </c>
    </row>
    <row r="2120">
      <c r="A2120" s="7">
        <v>2.0058355E7</v>
      </c>
      <c r="B2120" s="8" t="s">
        <v>3445</v>
      </c>
      <c r="C2120" s="8" t="s">
        <v>6857</v>
      </c>
      <c r="D2120" s="8" t="s">
        <v>16</v>
      </c>
      <c r="E2120" s="8" t="s">
        <v>17</v>
      </c>
      <c r="F2120" s="9">
        <v>46137.0</v>
      </c>
      <c r="G2120" s="8" t="s">
        <v>2511</v>
      </c>
      <c r="H2120" s="8" t="s">
        <v>2512</v>
      </c>
      <c r="I2120" s="8" t="s">
        <v>6858</v>
      </c>
      <c r="J2120" s="8" t="s">
        <v>1752</v>
      </c>
    </row>
    <row r="2121">
      <c r="A2121" s="7">
        <v>2.0057587E7</v>
      </c>
      <c r="B2121" s="8" t="s">
        <v>3445</v>
      </c>
      <c r="C2121" s="8" t="s">
        <v>6859</v>
      </c>
      <c r="D2121" s="8" t="s">
        <v>16</v>
      </c>
      <c r="E2121" s="8" t="s">
        <v>48</v>
      </c>
      <c r="F2121" s="9">
        <v>46132.0</v>
      </c>
      <c r="G2121" s="8" t="s">
        <v>59</v>
      </c>
      <c r="H2121" s="8" t="s">
        <v>60</v>
      </c>
      <c r="I2121" s="8" t="s">
        <v>6860</v>
      </c>
      <c r="J2121" s="8" t="s">
        <v>6861</v>
      </c>
    </row>
    <row r="2122">
      <c r="A2122" s="7">
        <v>2.0048353E7</v>
      </c>
      <c r="B2122" s="8" t="s">
        <v>3445</v>
      </c>
      <c r="C2122" s="8" t="s">
        <v>6862</v>
      </c>
      <c r="D2122" s="8" t="s">
        <v>16</v>
      </c>
      <c r="E2122" s="8" t="s">
        <v>17</v>
      </c>
      <c r="F2122" s="9">
        <v>46142.0</v>
      </c>
      <c r="G2122" s="8" t="s">
        <v>868</v>
      </c>
      <c r="H2122" s="8" t="s">
        <v>869</v>
      </c>
      <c r="I2122" s="8" t="s">
        <v>6863</v>
      </c>
      <c r="J2122" s="8" t="s">
        <v>6864</v>
      </c>
    </row>
    <row r="2123">
      <c r="A2123" s="7">
        <v>2.0056844E7</v>
      </c>
      <c r="B2123" s="8" t="s">
        <v>3445</v>
      </c>
      <c r="C2123" s="8" t="s">
        <v>6865</v>
      </c>
      <c r="D2123" s="8" t="s">
        <v>16</v>
      </c>
      <c r="E2123" s="8" t="s">
        <v>17</v>
      </c>
      <c r="F2123" s="9">
        <v>46137.0</v>
      </c>
      <c r="G2123" s="8" t="s">
        <v>6866</v>
      </c>
      <c r="H2123" s="8" t="s">
        <v>6867</v>
      </c>
      <c r="I2123" s="8" t="s">
        <v>6868</v>
      </c>
      <c r="J2123" s="8"/>
    </row>
    <row r="2124">
      <c r="A2124" s="7">
        <v>2.0054205E7</v>
      </c>
      <c r="B2124" s="8" t="s">
        <v>3445</v>
      </c>
      <c r="C2124" s="8" t="s">
        <v>6869</v>
      </c>
      <c r="D2124" s="8" t="s">
        <v>16</v>
      </c>
      <c r="E2124" s="8" t="s">
        <v>17</v>
      </c>
      <c r="F2124" s="9">
        <v>46123.0</v>
      </c>
      <c r="G2124" s="8" t="s">
        <v>1007</v>
      </c>
      <c r="H2124" s="8" t="s">
        <v>1008</v>
      </c>
      <c r="I2124" s="8" t="s">
        <v>6870</v>
      </c>
      <c r="J2124" s="8" t="s">
        <v>6871</v>
      </c>
    </row>
    <row r="2125">
      <c r="A2125" s="7">
        <v>2.0054791E7</v>
      </c>
      <c r="B2125" s="8" t="s">
        <v>3445</v>
      </c>
      <c r="C2125" s="8" t="s">
        <v>6872</v>
      </c>
      <c r="D2125" s="8" t="s">
        <v>16</v>
      </c>
      <c r="E2125" s="8" t="s">
        <v>17</v>
      </c>
      <c r="F2125" s="9">
        <v>46128.0</v>
      </c>
      <c r="G2125" s="8" t="s">
        <v>517</v>
      </c>
      <c r="H2125" s="8" t="s">
        <v>518</v>
      </c>
      <c r="I2125" s="8" t="s">
        <v>6873</v>
      </c>
      <c r="J2125" s="8" t="s">
        <v>6874</v>
      </c>
    </row>
    <row r="2126">
      <c r="A2126" s="7">
        <v>2.0054185E7</v>
      </c>
      <c r="B2126" s="8" t="s">
        <v>3445</v>
      </c>
      <c r="C2126" s="8" t="s">
        <v>6875</v>
      </c>
      <c r="D2126" s="8" t="s">
        <v>2136</v>
      </c>
      <c r="E2126" s="8" t="s">
        <v>17</v>
      </c>
      <c r="F2126" s="9">
        <v>46117.0</v>
      </c>
      <c r="G2126" s="8" t="s">
        <v>6340</v>
      </c>
      <c r="H2126" s="8" t="s">
        <v>6341</v>
      </c>
      <c r="I2126" s="8" t="s">
        <v>6876</v>
      </c>
      <c r="J2126" s="8" t="s">
        <v>6877</v>
      </c>
    </row>
    <row r="2127">
      <c r="A2127" s="7">
        <v>2.0052365E7</v>
      </c>
      <c r="B2127" s="8" t="s">
        <v>3445</v>
      </c>
      <c r="C2127" s="8" t="s">
        <v>6878</v>
      </c>
      <c r="D2127" s="8" t="s">
        <v>16</v>
      </c>
      <c r="E2127" s="8" t="s">
        <v>17</v>
      </c>
      <c r="F2127" s="9">
        <v>46112.0</v>
      </c>
      <c r="G2127" s="8" t="s">
        <v>91</v>
      </c>
      <c r="H2127" s="8" t="s">
        <v>92</v>
      </c>
      <c r="I2127" s="8" t="s">
        <v>6879</v>
      </c>
      <c r="J2127" s="8" t="s">
        <v>6880</v>
      </c>
    </row>
    <row r="2128">
      <c r="A2128" s="7">
        <v>2.0045068E7</v>
      </c>
      <c r="B2128" s="8" t="s">
        <v>3445</v>
      </c>
      <c r="C2128" s="8" t="s">
        <v>6881</v>
      </c>
      <c r="D2128" s="8" t="s">
        <v>16</v>
      </c>
      <c r="E2128" s="8" t="s">
        <v>17</v>
      </c>
      <c r="F2128" s="9">
        <v>46126.0</v>
      </c>
      <c r="G2128" s="8" t="s">
        <v>184</v>
      </c>
      <c r="H2128" s="8" t="s">
        <v>185</v>
      </c>
      <c r="I2128" s="8" t="s">
        <v>6882</v>
      </c>
      <c r="J2128" s="8" t="s">
        <v>6883</v>
      </c>
    </row>
    <row r="2129">
      <c r="A2129" s="7">
        <v>2.0049573E7</v>
      </c>
      <c r="B2129" s="8" t="s">
        <v>3445</v>
      </c>
      <c r="C2129" s="8" t="s">
        <v>6884</v>
      </c>
      <c r="D2129" s="8" t="s">
        <v>16</v>
      </c>
      <c r="E2129" s="8" t="s">
        <v>17</v>
      </c>
      <c r="F2129" s="9">
        <v>46108.0</v>
      </c>
      <c r="G2129" s="8" t="s">
        <v>370</v>
      </c>
      <c r="H2129" s="8" t="s">
        <v>371</v>
      </c>
      <c r="I2129" s="8" t="s">
        <v>6885</v>
      </c>
      <c r="J2129" s="8" t="s">
        <v>6886</v>
      </c>
    </row>
    <row r="2130">
      <c r="A2130" s="7">
        <v>2.0048534E7</v>
      </c>
      <c r="B2130" s="8" t="s">
        <v>3445</v>
      </c>
      <c r="C2130" s="8" t="s">
        <v>6887</v>
      </c>
      <c r="D2130" s="8" t="s">
        <v>16</v>
      </c>
      <c r="E2130" s="8" t="s">
        <v>17</v>
      </c>
      <c r="F2130" s="9">
        <v>46115.0</v>
      </c>
      <c r="G2130" s="8" t="s">
        <v>64</v>
      </c>
      <c r="H2130" s="8" t="s">
        <v>65</v>
      </c>
      <c r="I2130" s="8" t="s">
        <v>6888</v>
      </c>
      <c r="J2130" s="8" t="s">
        <v>6889</v>
      </c>
    </row>
    <row r="2131">
      <c r="A2131" s="7">
        <v>2.0048473E7</v>
      </c>
      <c r="B2131" s="8" t="s">
        <v>3445</v>
      </c>
      <c r="C2131" s="8" t="s">
        <v>6890</v>
      </c>
      <c r="D2131" s="8" t="s">
        <v>16</v>
      </c>
      <c r="E2131" s="8" t="s">
        <v>17</v>
      </c>
      <c r="F2131" s="9">
        <v>46111.0</v>
      </c>
      <c r="G2131" s="8" t="s">
        <v>6891</v>
      </c>
      <c r="H2131" s="8" t="s">
        <v>6892</v>
      </c>
      <c r="I2131" s="8" t="s">
        <v>6893</v>
      </c>
      <c r="J2131" s="8" t="s">
        <v>6894</v>
      </c>
    </row>
    <row r="2132">
      <c r="A2132" s="7">
        <v>2.0029539E7</v>
      </c>
      <c r="B2132" s="8" t="s">
        <v>3445</v>
      </c>
      <c r="C2132" s="8" t="s">
        <v>6895</v>
      </c>
      <c r="D2132" s="8" t="s">
        <v>16</v>
      </c>
      <c r="E2132" s="8" t="s">
        <v>17</v>
      </c>
      <c r="F2132" s="9">
        <v>46099.0</v>
      </c>
      <c r="G2132" s="8" t="s">
        <v>91</v>
      </c>
      <c r="H2132" s="8" t="s">
        <v>92</v>
      </c>
      <c r="I2132" s="8" t="s">
        <v>6896</v>
      </c>
      <c r="J2132" s="8" t="s">
        <v>6897</v>
      </c>
    </row>
    <row r="2133">
      <c r="A2133" s="7">
        <v>2.0043642E7</v>
      </c>
      <c r="B2133" s="8" t="s">
        <v>3445</v>
      </c>
      <c r="C2133" s="8" t="s">
        <v>6898</v>
      </c>
      <c r="D2133" s="8" t="s">
        <v>16</v>
      </c>
      <c r="E2133" s="8" t="s">
        <v>17</v>
      </c>
      <c r="F2133" s="9">
        <v>46095.0</v>
      </c>
      <c r="G2133" s="8" t="s">
        <v>361</v>
      </c>
      <c r="H2133" s="8" t="s">
        <v>362</v>
      </c>
      <c r="I2133" s="8" t="s">
        <v>6899</v>
      </c>
      <c r="J2133" s="8" t="s">
        <v>6900</v>
      </c>
    </row>
    <row r="2134">
      <c r="A2134" s="7">
        <v>2.0040133E7</v>
      </c>
      <c r="B2134" s="8" t="s">
        <v>3445</v>
      </c>
      <c r="C2134" s="8" t="s">
        <v>6901</v>
      </c>
      <c r="D2134" s="8" t="s">
        <v>16</v>
      </c>
      <c r="E2134" s="8" t="s">
        <v>17</v>
      </c>
      <c r="F2134" s="9">
        <v>46067.0</v>
      </c>
      <c r="G2134" s="8" t="s">
        <v>1532</v>
      </c>
      <c r="H2134" s="8" t="s">
        <v>1533</v>
      </c>
      <c r="I2134" s="8" t="s">
        <v>6902</v>
      </c>
      <c r="J2134" s="8" t="s">
        <v>6903</v>
      </c>
    </row>
    <row r="2135">
      <c r="A2135" s="7">
        <v>2.0036936E7</v>
      </c>
      <c r="B2135" s="8" t="s">
        <v>3445</v>
      </c>
      <c r="C2135" s="8" t="s">
        <v>6904</v>
      </c>
      <c r="D2135" s="8" t="s">
        <v>16</v>
      </c>
      <c r="E2135" s="8" t="s">
        <v>48</v>
      </c>
      <c r="F2135" s="9">
        <v>46074.0</v>
      </c>
      <c r="G2135" s="8" t="s">
        <v>385</v>
      </c>
      <c r="H2135" s="8" t="s">
        <v>386</v>
      </c>
      <c r="I2135" s="8" t="s">
        <v>6905</v>
      </c>
      <c r="J2135" s="8"/>
    </row>
    <row r="2136">
      <c r="A2136" s="7">
        <v>2.002936E7</v>
      </c>
      <c r="B2136" s="8" t="s">
        <v>3445</v>
      </c>
      <c r="C2136" s="8" t="s">
        <v>6906</v>
      </c>
      <c r="D2136" s="8" t="s">
        <v>16</v>
      </c>
      <c r="E2136" s="8" t="s">
        <v>17</v>
      </c>
      <c r="F2136" s="9">
        <v>46051.0</v>
      </c>
      <c r="G2136" s="8" t="s">
        <v>153</v>
      </c>
      <c r="H2136" s="8" t="s">
        <v>154</v>
      </c>
      <c r="I2136" s="8" t="s">
        <v>6907</v>
      </c>
      <c r="J2136" s="8" t="s">
        <v>6908</v>
      </c>
    </row>
    <row r="2137">
      <c r="A2137" s="7">
        <v>2.003479E7</v>
      </c>
      <c r="B2137" s="8" t="s">
        <v>3445</v>
      </c>
      <c r="C2137" s="8" t="s">
        <v>6909</v>
      </c>
      <c r="D2137" s="8" t="s">
        <v>16</v>
      </c>
      <c r="E2137" s="8" t="s">
        <v>17</v>
      </c>
      <c r="F2137" s="9">
        <v>46068.0</v>
      </c>
      <c r="G2137" s="8" t="s">
        <v>64</v>
      </c>
      <c r="H2137" s="8" t="s">
        <v>65</v>
      </c>
      <c r="I2137" s="8" t="s">
        <v>6910</v>
      </c>
      <c r="J2137" s="8" t="s">
        <v>6911</v>
      </c>
    </row>
    <row r="2138">
      <c r="A2138" s="7">
        <v>2.0034763E7</v>
      </c>
      <c r="B2138" s="8" t="s">
        <v>3445</v>
      </c>
      <c r="C2138" s="8" t="s">
        <v>6912</v>
      </c>
      <c r="D2138" s="8" t="s">
        <v>16</v>
      </c>
      <c r="E2138" s="8" t="s">
        <v>17</v>
      </c>
      <c r="F2138" s="9">
        <v>46044.0</v>
      </c>
      <c r="G2138" s="8" t="s">
        <v>91</v>
      </c>
      <c r="H2138" s="8" t="s">
        <v>92</v>
      </c>
      <c r="I2138" s="8" t="s">
        <v>6913</v>
      </c>
      <c r="J2138" s="8" t="s">
        <v>6914</v>
      </c>
    </row>
    <row r="2139">
      <c r="A2139" s="7">
        <v>2.0064484E7</v>
      </c>
      <c r="B2139" s="8" t="s">
        <v>3445</v>
      </c>
      <c r="C2139" s="8" t="s">
        <v>6915</v>
      </c>
      <c r="D2139" s="8" t="s">
        <v>2136</v>
      </c>
      <c r="E2139" s="8" t="s">
        <v>17</v>
      </c>
      <c r="F2139" s="9">
        <v>46176.0</v>
      </c>
      <c r="G2139" s="8" t="s">
        <v>2294</v>
      </c>
      <c r="H2139" s="8" t="s">
        <v>2295</v>
      </c>
      <c r="I2139" s="8" t="s">
        <v>6916</v>
      </c>
      <c r="J2139" s="8" t="s">
        <v>6917</v>
      </c>
    </row>
    <row r="2140">
      <c r="A2140" s="7">
        <v>2.0065204E7</v>
      </c>
      <c r="B2140" s="8" t="s">
        <v>3445</v>
      </c>
      <c r="C2140" s="8" t="s">
        <v>6918</v>
      </c>
      <c r="D2140" s="8" t="s">
        <v>16</v>
      </c>
      <c r="E2140" s="8" t="s">
        <v>17</v>
      </c>
      <c r="F2140" s="9">
        <v>46193.0</v>
      </c>
      <c r="G2140" s="8" t="s">
        <v>1085</v>
      </c>
      <c r="H2140" s="8" t="s">
        <v>1086</v>
      </c>
      <c r="I2140" s="8" t="s">
        <v>6919</v>
      </c>
      <c r="J2140" s="8"/>
    </row>
    <row r="2141">
      <c r="A2141" s="7">
        <v>2.006388E7</v>
      </c>
      <c r="B2141" s="8" t="s">
        <v>3445</v>
      </c>
      <c r="C2141" s="8" t="s">
        <v>6920</v>
      </c>
      <c r="D2141" s="8" t="s">
        <v>16</v>
      </c>
      <c r="E2141" s="8" t="s">
        <v>17</v>
      </c>
      <c r="F2141" s="9">
        <v>46164.0</v>
      </c>
      <c r="G2141" s="8" t="s">
        <v>234</v>
      </c>
      <c r="H2141" s="8" t="s">
        <v>235</v>
      </c>
      <c r="I2141" s="8" t="s">
        <v>6921</v>
      </c>
      <c r="J2141" s="8" t="s">
        <v>6922</v>
      </c>
    </row>
    <row r="2142">
      <c r="A2142" s="7">
        <v>2.0059573E7</v>
      </c>
      <c r="B2142" s="8" t="s">
        <v>3445</v>
      </c>
      <c r="C2142" s="8" t="s">
        <v>6923</v>
      </c>
      <c r="D2142" s="8" t="s">
        <v>16</v>
      </c>
      <c r="E2142" s="8" t="s">
        <v>17</v>
      </c>
      <c r="F2142" s="9">
        <v>46140.0</v>
      </c>
      <c r="G2142" s="8" t="s">
        <v>805</v>
      </c>
      <c r="H2142" s="8" t="s">
        <v>806</v>
      </c>
      <c r="I2142" s="8" t="s">
        <v>6924</v>
      </c>
      <c r="J2142" s="8" t="s">
        <v>6925</v>
      </c>
    </row>
    <row r="2143">
      <c r="A2143" s="7">
        <v>2.0056613E7</v>
      </c>
      <c r="B2143" s="8" t="s">
        <v>3445</v>
      </c>
      <c r="C2143" s="8" t="s">
        <v>6926</v>
      </c>
      <c r="D2143" s="8" t="s">
        <v>16</v>
      </c>
      <c r="E2143" s="8" t="s">
        <v>17</v>
      </c>
      <c r="F2143" s="9">
        <v>46177.0</v>
      </c>
      <c r="G2143" s="8" t="s">
        <v>1678</v>
      </c>
      <c r="H2143" s="8" t="s">
        <v>1679</v>
      </c>
      <c r="I2143" s="8" t="s">
        <v>6927</v>
      </c>
      <c r="J2143" s="8" t="s">
        <v>6928</v>
      </c>
    </row>
    <row r="2144">
      <c r="A2144" s="7">
        <v>2.0059575E7</v>
      </c>
      <c r="B2144" s="8" t="s">
        <v>3445</v>
      </c>
      <c r="C2144" s="8" t="s">
        <v>6929</v>
      </c>
      <c r="D2144" s="8" t="s">
        <v>16</v>
      </c>
      <c r="E2144" s="8" t="s">
        <v>17</v>
      </c>
      <c r="F2144" s="9">
        <v>46179.0</v>
      </c>
      <c r="G2144" s="8" t="s">
        <v>158</v>
      </c>
      <c r="H2144" s="8" t="s">
        <v>159</v>
      </c>
      <c r="I2144" s="8" t="s">
        <v>6930</v>
      </c>
      <c r="J2144" s="8" t="s">
        <v>6931</v>
      </c>
    </row>
    <row r="2145">
      <c r="A2145" s="7">
        <v>2.0057137E7</v>
      </c>
      <c r="B2145" s="8" t="s">
        <v>3445</v>
      </c>
      <c r="C2145" s="8" t="s">
        <v>6932</v>
      </c>
      <c r="D2145" s="8" t="s">
        <v>16</v>
      </c>
      <c r="E2145" s="8" t="s">
        <v>17</v>
      </c>
      <c r="F2145" s="9">
        <v>46128.0</v>
      </c>
      <c r="G2145" s="8" t="s">
        <v>59</v>
      </c>
      <c r="H2145" s="8" t="s">
        <v>60</v>
      </c>
      <c r="I2145" s="8" t="s">
        <v>6933</v>
      </c>
      <c r="J2145" s="8" t="s">
        <v>6934</v>
      </c>
    </row>
    <row r="2146">
      <c r="A2146" s="7">
        <v>2.0052727E7</v>
      </c>
      <c r="B2146" s="8" t="s">
        <v>3445</v>
      </c>
      <c r="C2146" s="8" t="s">
        <v>6935</v>
      </c>
      <c r="D2146" s="8" t="s">
        <v>16</v>
      </c>
      <c r="E2146" s="8" t="s">
        <v>17</v>
      </c>
      <c r="F2146" s="9">
        <v>46128.0</v>
      </c>
      <c r="G2146" s="8" t="s">
        <v>6936</v>
      </c>
      <c r="H2146" s="8" t="s">
        <v>6937</v>
      </c>
      <c r="I2146" s="8" t="s">
        <v>6938</v>
      </c>
      <c r="J2146" s="8" t="s">
        <v>6939</v>
      </c>
    </row>
    <row r="2147">
      <c r="A2147" s="7">
        <v>2.0048724E7</v>
      </c>
      <c r="B2147" s="8" t="s">
        <v>3445</v>
      </c>
      <c r="C2147" s="8" t="s">
        <v>6940</v>
      </c>
      <c r="D2147" s="8" t="s">
        <v>16</v>
      </c>
      <c r="E2147" s="8" t="s">
        <v>17</v>
      </c>
      <c r="F2147" s="9">
        <v>46115.0</v>
      </c>
      <c r="G2147" s="8" t="s">
        <v>184</v>
      </c>
      <c r="H2147" s="8" t="s">
        <v>185</v>
      </c>
      <c r="I2147" s="8" t="s">
        <v>6941</v>
      </c>
      <c r="J2147" s="8" t="s">
        <v>6942</v>
      </c>
    </row>
    <row r="2148">
      <c r="A2148" s="7">
        <v>2.0041764E7</v>
      </c>
      <c r="B2148" s="8" t="s">
        <v>3445</v>
      </c>
      <c r="C2148" s="8" t="s">
        <v>6943</v>
      </c>
      <c r="D2148" s="8" t="s">
        <v>16</v>
      </c>
      <c r="E2148" s="8" t="s">
        <v>17</v>
      </c>
      <c r="F2148" s="9">
        <v>46087.0</v>
      </c>
      <c r="G2148" s="8" t="s">
        <v>1969</v>
      </c>
      <c r="H2148" s="8" t="s">
        <v>1970</v>
      </c>
      <c r="I2148" s="8" t="s">
        <v>6944</v>
      </c>
      <c r="J2148" s="8" t="s">
        <v>6945</v>
      </c>
    </row>
    <row r="2149">
      <c r="A2149" s="7">
        <v>2.0038919E7</v>
      </c>
      <c r="B2149" s="8" t="s">
        <v>3445</v>
      </c>
      <c r="C2149" s="8" t="s">
        <v>6946</v>
      </c>
      <c r="D2149" s="8" t="s">
        <v>16</v>
      </c>
      <c r="E2149" s="8" t="s">
        <v>17</v>
      </c>
      <c r="F2149" s="9">
        <v>46068.0</v>
      </c>
      <c r="G2149" s="8" t="s">
        <v>59</v>
      </c>
      <c r="H2149" s="8" t="s">
        <v>60</v>
      </c>
      <c r="I2149" s="8" t="s">
        <v>6947</v>
      </c>
      <c r="J2149" s="8" t="s">
        <v>6948</v>
      </c>
    </row>
    <row r="2150">
      <c r="A2150" s="7">
        <v>2.0039672E7</v>
      </c>
      <c r="B2150" s="8" t="s">
        <v>3445</v>
      </c>
      <c r="C2150" s="8" t="s">
        <v>6949</v>
      </c>
      <c r="D2150" s="8" t="s">
        <v>16</v>
      </c>
      <c r="E2150" s="8" t="s">
        <v>17</v>
      </c>
      <c r="F2150" s="9">
        <v>46060.0</v>
      </c>
      <c r="G2150" s="8" t="s">
        <v>220</v>
      </c>
      <c r="H2150" s="8" t="s">
        <v>221</v>
      </c>
      <c r="I2150" s="8" t="s">
        <v>6950</v>
      </c>
      <c r="J2150" s="8" t="s">
        <v>6951</v>
      </c>
    </row>
    <row r="2151">
      <c r="A2151" s="7">
        <v>2.0039081E7</v>
      </c>
      <c r="B2151" s="8" t="s">
        <v>3445</v>
      </c>
      <c r="C2151" s="8" t="s">
        <v>6952</v>
      </c>
      <c r="D2151" s="8" t="s">
        <v>16</v>
      </c>
      <c r="E2151" s="8" t="s">
        <v>17</v>
      </c>
      <c r="F2151" s="9">
        <v>46074.0</v>
      </c>
      <c r="G2151" s="8" t="s">
        <v>361</v>
      </c>
      <c r="H2151" s="8" t="s">
        <v>362</v>
      </c>
      <c r="I2151" s="8" t="s">
        <v>6953</v>
      </c>
      <c r="J2151" s="8" t="s">
        <v>6954</v>
      </c>
    </row>
    <row r="2152">
      <c r="A2152" s="7">
        <v>2.0036437E7</v>
      </c>
      <c r="B2152" s="8" t="s">
        <v>3445</v>
      </c>
      <c r="C2152" s="8" t="s">
        <v>6955</v>
      </c>
      <c r="D2152" s="8" t="s">
        <v>16</v>
      </c>
      <c r="E2152" s="8" t="s">
        <v>17</v>
      </c>
      <c r="F2152" s="9">
        <v>46062.0</v>
      </c>
      <c r="G2152" s="8" t="s">
        <v>6956</v>
      </c>
      <c r="H2152" s="8" t="s">
        <v>6957</v>
      </c>
      <c r="I2152" s="8" t="s">
        <v>6958</v>
      </c>
      <c r="J2152" s="8" t="s">
        <v>6959</v>
      </c>
    </row>
    <row r="2153">
      <c r="A2153" s="7">
        <v>2.0032096E7</v>
      </c>
      <c r="B2153" s="8" t="s">
        <v>3445</v>
      </c>
      <c r="C2153" s="8" t="s">
        <v>6960</v>
      </c>
      <c r="D2153" s="8" t="s">
        <v>16</v>
      </c>
      <c r="E2153" s="8" t="s">
        <v>17</v>
      </c>
      <c r="F2153" s="9">
        <v>46046.0</v>
      </c>
      <c r="G2153" s="8" t="s">
        <v>54</v>
      </c>
      <c r="H2153" s="8" t="s">
        <v>55</v>
      </c>
      <c r="I2153" s="8" t="s">
        <v>6961</v>
      </c>
      <c r="J2153" s="8" t="s">
        <v>6962</v>
      </c>
    </row>
    <row r="2154">
      <c r="A2154" s="7">
        <v>2.0033096E7</v>
      </c>
      <c r="B2154" s="8" t="s">
        <v>3445</v>
      </c>
      <c r="C2154" s="8" t="s">
        <v>6963</v>
      </c>
      <c r="D2154" s="8" t="s">
        <v>16</v>
      </c>
      <c r="E2154" s="8" t="s">
        <v>17</v>
      </c>
      <c r="F2154" s="9">
        <v>46041.0</v>
      </c>
      <c r="G2154" s="8" t="s">
        <v>826</v>
      </c>
      <c r="H2154" s="8" t="s">
        <v>827</v>
      </c>
      <c r="I2154" s="8" t="s">
        <v>6964</v>
      </c>
      <c r="J2154" s="8" t="s">
        <v>6965</v>
      </c>
    </row>
    <row r="2155">
      <c r="A2155" s="7">
        <v>2.0055556E7</v>
      </c>
      <c r="B2155" s="8" t="s">
        <v>3445</v>
      </c>
      <c r="C2155" s="8" t="s">
        <v>6966</v>
      </c>
      <c r="D2155" s="8" t="s">
        <v>16</v>
      </c>
      <c r="E2155" s="8" t="s">
        <v>17</v>
      </c>
      <c r="F2155" s="9">
        <v>46144.0</v>
      </c>
      <c r="G2155" s="8" t="s">
        <v>361</v>
      </c>
      <c r="H2155" s="8" t="s">
        <v>362</v>
      </c>
      <c r="I2155" s="8" t="s">
        <v>6967</v>
      </c>
      <c r="J2155" s="8" t="s">
        <v>6968</v>
      </c>
    </row>
    <row r="2156">
      <c r="A2156" s="7">
        <v>2.0052105E7</v>
      </c>
      <c r="B2156" s="8" t="s">
        <v>3445</v>
      </c>
      <c r="C2156" s="8" t="s">
        <v>6969</v>
      </c>
      <c r="D2156" s="8" t="s">
        <v>16</v>
      </c>
      <c r="E2156" s="8" t="s">
        <v>17</v>
      </c>
      <c r="F2156" s="9">
        <v>46121.0</v>
      </c>
      <c r="G2156" s="8" t="s">
        <v>352</v>
      </c>
      <c r="H2156" s="8" t="s">
        <v>353</v>
      </c>
      <c r="I2156" s="8" t="s">
        <v>6970</v>
      </c>
      <c r="J2156" s="8" t="s">
        <v>6971</v>
      </c>
    </row>
    <row r="2157">
      <c r="A2157" s="7">
        <v>2.0050484E7</v>
      </c>
      <c r="B2157" s="8" t="s">
        <v>3445</v>
      </c>
      <c r="C2157" s="8" t="s">
        <v>6972</v>
      </c>
      <c r="D2157" s="8" t="s">
        <v>16</v>
      </c>
      <c r="E2157" s="8" t="s">
        <v>17</v>
      </c>
      <c r="F2157" s="9">
        <v>46123.0</v>
      </c>
      <c r="G2157" s="8" t="s">
        <v>5046</v>
      </c>
      <c r="H2157" s="8" t="s">
        <v>5047</v>
      </c>
      <c r="I2157" s="8" t="s">
        <v>6973</v>
      </c>
      <c r="J2157" s="8" t="s">
        <v>6974</v>
      </c>
    </row>
    <row r="2158">
      <c r="A2158" s="7">
        <v>2.0050484E7</v>
      </c>
      <c r="B2158" s="8" t="s">
        <v>3445</v>
      </c>
      <c r="C2158" s="8" t="s">
        <v>6972</v>
      </c>
      <c r="D2158" s="8" t="s">
        <v>16</v>
      </c>
      <c r="E2158" s="8" t="s">
        <v>17</v>
      </c>
      <c r="F2158" s="9">
        <v>46123.0</v>
      </c>
      <c r="G2158" s="8" t="s">
        <v>1085</v>
      </c>
      <c r="H2158" s="8" t="s">
        <v>1086</v>
      </c>
      <c r="I2158" s="8" t="s">
        <v>6975</v>
      </c>
      <c r="J2158" s="8" t="s">
        <v>6976</v>
      </c>
    </row>
    <row r="2159">
      <c r="A2159" s="7">
        <v>2.0049175E7</v>
      </c>
      <c r="B2159" s="8" t="s">
        <v>3445</v>
      </c>
      <c r="C2159" s="8" t="s">
        <v>6977</v>
      </c>
      <c r="D2159" s="8" t="s">
        <v>16</v>
      </c>
      <c r="E2159" s="8" t="s">
        <v>17</v>
      </c>
      <c r="F2159" s="9">
        <v>46100.0</v>
      </c>
      <c r="G2159" s="8" t="s">
        <v>385</v>
      </c>
      <c r="H2159" s="8" t="s">
        <v>386</v>
      </c>
      <c r="I2159" s="8" t="s">
        <v>6978</v>
      </c>
      <c r="J2159" s="8" t="s">
        <v>6979</v>
      </c>
    </row>
    <row r="2160">
      <c r="A2160" s="7">
        <v>2.0046097E7</v>
      </c>
      <c r="B2160" s="8" t="s">
        <v>3445</v>
      </c>
      <c r="C2160" s="8" t="s">
        <v>6980</v>
      </c>
      <c r="D2160" s="8" t="s">
        <v>16</v>
      </c>
      <c r="E2160" s="8" t="s">
        <v>17</v>
      </c>
      <c r="F2160" s="9">
        <v>46086.0</v>
      </c>
      <c r="G2160" s="8" t="s">
        <v>1132</v>
      </c>
      <c r="H2160" s="8" t="s">
        <v>1133</v>
      </c>
      <c r="I2160" s="8" t="s">
        <v>6981</v>
      </c>
      <c r="J2160" s="8" t="s">
        <v>6982</v>
      </c>
    </row>
    <row r="2161">
      <c r="A2161" s="7">
        <v>2.0041502E7</v>
      </c>
      <c r="B2161" s="8" t="s">
        <v>3445</v>
      </c>
      <c r="C2161" s="8" t="s">
        <v>6983</v>
      </c>
      <c r="D2161" s="8" t="s">
        <v>16</v>
      </c>
      <c r="E2161" s="8" t="s">
        <v>17</v>
      </c>
      <c r="F2161" s="9">
        <v>46076.0</v>
      </c>
      <c r="G2161" s="8" t="s">
        <v>59</v>
      </c>
      <c r="H2161" s="8" t="s">
        <v>60</v>
      </c>
      <c r="I2161" s="8" t="s">
        <v>6984</v>
      </c>
      <c r="J2161" s="8" t="s">
        <v>6985</v>
      </c>
    </row>
    <row r="2162">
      <c r="A2162" s="7">
        <v>2.0040353E7</v>
      </c>
      <c r="B2162" s="8" t="s">
        <v>3445</v>
      </c>
      <c r="C2162" s="8" t="s">
        <v>6986</v>
      </c>
      <c r="D2162" s="8" t="s">
        <v>16</v>
      </c>
      <c r="E2162" s="8" t="s">
        <v>17</v>
      </c>
      <c r="F2162" s="9">
        <v>46093.0</v>
      </c>
      <c r="G2162" s="8" t="s">
        <v>4850</v>
      </c>
      <c r="H2162" s="8" t="s">
        <v>4851</v>
      </c>
      <c r="I2162" s="8" t="s">
        <v>6987</v>
      </c>
      <c r="J2162" s="8" t="s">
        <v>6988</v>
      </c>
    </row>
    <row r="2163">
      <c r="A2163" s="7">
        <v>2.0022362E7</v>
      </c>
      <c r="B2163" s="8" t="s">
        <v>3445</v>
      </c>
      <c r="C2163" s="8" t="s">
        <v>6989</v>
      </c>
      <c r="D2163" s="8" t="s">
        <v>16</v>
      </c>
      <c r="E2163" s="8" t="s">
        <v>48</v>
      </c>
      <c r="F2163" s="9">
        <v>46055.0</v>
      </c>
      <c r="G2163" s="8" t="s">
        <v>3255</v>
      </c>
      <c r="H2163" s="8" t="s">
        <v>3256</v>
      </c>
      <c r="I2163" s="8" t="s">
        <v>6990</v>
      </c>
      <c r="J2163" s="8" t="s">
        <v>6991</v>
      </c>
    </row>
    <row r="2164">
      <c r="A2164" s="7">
        <v>2.0036329E7</v>
      </c>
      <c r="B2164" s="8" t="s">
        <v>3445</v>
      </c>
      <c r="C2164" s="8" t="s">
        <v>6992</v>
      </c>
      <c r="D2164" s="8" t="s">
        <v>16</v>
      </c>
      <c r="E2164" s="8" t="s">
        <v>17</v>
      </c>
      <c r="F2164" s="9">
        <v>46042.0</v>
      </c>
      <c r="G2164" s="8" t="s">
        <v>91</v>
      </c>
      <c r="H2164" s="8" t="s">
        <v>92</v>
      </c>
      <c r="I2164" s="8" t="s">
        <v>6993</v>
      </c>
      <c r="J2164" s="8" t="s">
        <v>6994</v>
      </c>
    </row>
    <row r="2165">
      <c r="A2165" s="7">
        <v>2.0067562E7</v>
      </c>
      <c r="B2165" s="8" t="s">
        <v>3445</v>
      </c>
      <c r="C2165" s="8" t="s">
        <v>6995</v>
      </c>
      <c r="D2165" s="8" t="s">
        <v>16</v>
      </c>
      <c r="E2165" s="8" t="s">
        <v>17</v>
      </c>
      <c r="F2165" s="9">
        <v>46180.0</v>
      </c>
      <c r="G2165" s="8" t="s">
        <v>59</v>
      </c>
      <c r="H2165" s="8" t="s">
        <v>60</v>
      </c>
      <c r="I2165" s="8" t="s">
        <v>6996</v>
      </c>
      <c r="J2165" s="8" t="s">
        <v>6997</v>
      </c>
    </row>
    <row r="2166">
      <c r="A2166" s="7">
        <v>2.0061881E7</v>
      </c>
      <c r="B2166" s="8" t="s">
        <v>3445</v>
      </c>
      <c r="C2166" s="8" t="s">
        <v>6998</v>
      </c>
      <c r="D2166" s="8" t="s">
        <v>16</v>
      </c>
      <c r="E2166" s="8" t="s">
        <v>17</v>
      </c>
      <c r="F2166" s="9">
        <v>46148.0</v>
      </c>
      <c r="G2166" s="8" t="s">
        <v>339</v>
      </c>
      <c r="H2166" s="8" t="s">
        <v>340</v>
      </c>
      <c r="I2166" s="8" t="s">
        <v>6999</v>
      </c>
      <c r="J2166" s="8" t="s">
        <v>7000</v>
      </c>
    </row>
    <row r="2167">
      <c r="A2167" s="7">
        <v>2.0059875E7</v>
      </c>
      <c r="B2167" s="8" t="s">
        <v>3445</v>
      </c>
      <c r="C2167" s="8" t="s">
        <v>7001</v>
      </c>
      <c r="D2167" s="8" t="s">
        <v>16</v>
      </c>
      <c r="E2167" s="8" t="s">
        <v>17</v>
      </c>
      <c r="F2167" s="9">
        <v>46140.0</v>
      </c>
      <c r="G2167" s="8" t="s">
        <v>247</v>
      </c>
      <c r="H2167" s="8" t="s">
        <v>248</v>
      </c>
      <c r="I2167" s="8" t="s">
        <v>7002</v>
      </c>
      <c r="J2167" s="8" t="s">
        <v>7003</v>
      </c>
    </row>
    <row r="2168">
      <c r="A2168" s="7">
        <v>2.0049277E7</v>
      </c>
      <c r="B2168" s="8" t="s">
        <v>3445</v>
      </c>
      <c r="C2168" s="8" t="s">
        <v>7004</v>
      </c>
      <c r="D2168" s="8" t="s">
        <v>16</v>
      </c>
      <c r="E2168" s="8" t="s">
        <v>17</v>
      </c>
      <c r="F2168" s="9">
        <v>46147.0</v>
      </c>
      <c r="G2168" s="8" t="s">
        <v>176</v>
      </c>
      <c r="H2168" s="8" t="s">
        <v>177</v>
      </c>
      <c r="I2168" s="8" t="s">
        <v>7005</v>
      </c>
      <c r="J2168" s="8" t="s">
        <v>7006</v>
      </c>
    </row>
    <row r="2169">
      <c r="A2169" s="7">
        <v>2.0052909E7</v>
      </c>
      <c r="B2169" s="8" t="s">
        <v>3445</v>
      </c>
      <c r="C2169" s="8" t="s">
        <v>7007</v>
      </c>
      <c r="D2169" s="8" t="s">
        <v>16</v>
      </c>
      <c r="E2169" s="8" t="s">
        <v>17</v>
      </c>
      <c r="F2169" s="9">
        <v>46125.0</v>
      </c>
      <c r="G2169" s="8" t="s">
        <v>109</v>
      </c>
      <c r="H2169" s="8" t="s">
        <v>110</v>
      </c>
      <c r="I2169" s="8" t="s">
        <v>7008</v>
      </c>
      <c r="J2169" s="8" t="s">
        <v>7009</v>
      </c>
    </row>
    <row r="2170">
      <c r="A2170" s="7">
        <v>2.0050538E7</v>
      </c>
      <c r="B2170" s="8" t="s">
        <v>3445</v>
      </c>
      <c r="C2170" s="8" t="s">
        <v>7010</v>
      </c>
      <c r="D2170" s="8" t="s">
        <v>16</v>
      </c>
      <c r="E2170" s="8" t="s">
        <v>17</v>
      </c>
      <c r="F2170" s="9">
        <v>46132.0</v>
      </c>
      <c r="G2170" s="8" t="s">
        <v>4170</v>
      </c>
      <c r="H2170" s="8" t="s">
        <v>1111</v>
      </c>
      <c r="I2170" s="8" t="s">
        <v>7011</v>
      </c>
      <c r="J2170" s="8" t="s">
        <v>7012</v>
      </c>
    </row>
    <row r="2171">
      <c r="A2171" s="7">
        <v>2.004612E7</v>
      </c>
      <c r="B2171" s="8" t="s">
        <v>3445</v>
      </c>
      <c r="C2171" s="8" t="s">
        <v>7013</v>
      </c>
      <c r="D2171" s="8" t="s">
        <v>16</v>
      </c>
      <c r="E2171" s="8" t="s">
        <v>17</v>
      </c>
      <c r="F2171" s="9">
        <v>46117.0</v>
      </c>
      <c r="G2171" s="8" t="s">
        <v>109</v>
      </c>
      <c r="H2171" s="8" t="s">
        <v>110</v>
      </c>
      <c r="I2171" s="8" t="s">
        <v>7014</v>
      </c>
      <c r="J2171" s="8" t="s">
        <v>7015</v>
      </c>
    </row>
    <row r="2172">
      <c r="A2172" s="7">
        <v>2.0044863E7</v>
      </c>
      <c r="B2172" s="8" t="s">
        <v>3445</v>
      </c>
      <c r="C2172" s="8" t="s">
        <v>7016</v>
      </c>
      <c r="D2172" s="8" t="s">
        <v>16</v>
      </c>
      <c r="E2172" s="8" t="s">
        <v>17</v>
      </c>
      <c r="F2172" s="9">
        <v>46076.0</v>
      </c>
      <c r="G2172" s="8" t="s">
        <v>91</v>
      </c>
      <c r="H2172" s="8" t="s">
        <v>92</v>
      </c>
      <c r="I2172" s="8" t="s">
        <v>7017</v>
      </c>
      <c r="J2172" s="8" t="s">
        <v>7018</v>
      </c>
    </row>
    <row r="2173">
      <c r="A2173" s="7">
        <v>2.0041174E7</v>
      </c>
      <c r="B2173" s="8" t="s">
        <v>3445</v>
      </c>
      <c r="C2173" s="8" t="s">
        <v>7019</v>
      </c>
      <c r="D2173" s="8" t="s">
        <v>16</v>
      </c>
      <c r="E2173" s="8" t="s">
        <v>17</v>
      </c>
      <c r="F2173" s="9">
        <v>46089.0</v>
      </c>
      <c r="G2173" s="8" t="s">
        <v>234</v>
      </c>
      <c r="H2173" s="8" t="s">
        <v>235</v>
      </c>
      <c r="I2173" s="8" t="s">
        <v>7020</v>
      </c>
      <c r="J2173" s="8" t="s">
        <v>7021</v>
      </c>
    </row>
    <row r="2174">
      <c r="A2174" s="7">
        <v>2.0042611E7</v>
      </c>
      <c r="B2174" s="8" t="s">
        <v>3445</v>
      </c>
      <c r="C2174" s="8" t="s">
        <v>7022</v>
      </c>
      <c r="D2174" s="8" t="s">
        <v>16</v>
      </c>
      <c r="E2174" s="8" t="s">
        <v>17</v>
      </c>
      <c r="F2174" s="9">
        <v>46086.0</v>
      </c>
      <c r="G2174" s="8" t="s">
        <v>171</v>
      </c>
      <c r="H2174" s="8" t="s">
        <v>172</v>
      </c>
      <c r="I2174" s="8" t="s">
        <v>7023</v>
      </c>
      <c r="J2174" s="8" t="s">
        <v>7024</v>
      </c>
    </row>
    <row r="2175">
      <c r="A2175" s="7">
        <v>2.0039276E7</v>
      </c>
      <c r="B2175" s="8" t="s">
        <v>3445</v>
      </c>
      <c r="C2175" s="8" t="s">
        <v>7025</v>
      </c>
      <c r="D2175" s="8" t="s">
        <v>16</v>
      </c>
      <c r="E2175" s="8" t="s">
        <v>17</v>
      </c>
      <c r="F2175" s="9">
        <v>46109.0</v>
      </c>
      <c r="G2175" s="8" t="s">
        <v>59</v>
      </c>
      <c r="H2175" s="8" t="s">
        <v>60</v>
      </c>
      <c r="I2175" s="8" t="s">
        <v>7026</v>
      </c>
      <c r="J2175" s="8" t="s">
        <v>7027</v>
      </c>
    </row>
    <row r="2176">
      <c r="A2176" s="7">
        <v>2.004037E7</v>
      </c>
      <c r="B2176" s="8" t="s">
        <v>3445</v>
      </c>
      <c r="C2176" s="8" t="s">
        <v>7028</v>
      </c>
      <c r="D2176" s="8" t="s">
        <v>16</v>
      </c>
      <c r="E2176" s="8" t="s">
        <v>17</v>
      </c>
      <c r="F2176" s="9">
        <v>46082.0</v>
      </c>
      <c r="G2176" s="8" t="s">
        <v>2094</v>
      </c>
      <c r="H2176" s="8" t="s">
        <v>2095</v>
      </c>
      <c r="I2176" s="8" t="s">
        <v>7029</v>
      </c>
      <c r="J2176" s="8" t="s">
        <v>7030</v>
      </c>
    </row>
    <row r="2177">
      <c r="A2177" s="7">
        <v>2.0034358E7</v>
      </c>
      <c r="B2177" s="8" t="s">
        <v>3445</v>
      </c>
      <c r="C2177" s="8" t="s">
        <v>7031</v>
      </c>
      <c r="D2177" s="8" t="s">
        <v>16</v>
      </c>
      <c r="E2177" s="8" t="s">
        <v>17</v>
      </c>
      <c r="F2177" s="9">
        <v>46069.0</v>
      </c>
      <c r="G2177" s="8" t="s">
        <v>109</v>
      </c>
      <c r="H2177" s="8" t="s">
        <v>110</v>
      </c>
      <c r="I2177" s="8" t="s">
        <v>7032</v>
      </c>
      <c r="J2177" s="8" t="s">
        <v>7033</v>
      </c>
    </row>
    <row r="2178">
      <c r="A2178" s="7">
        <v>2.0034306E7</v>
      </c>
      <c r="B2178" s="8" t="s">
        <v>3445</v>
      </c>
      <c r="C2178" s="8" t="s">
        <v>7034</v>
      </c>
      <c r="D2178" s="8" t="s">
        <v>16</v>
      </c>
      <c r="E2178" s="8" t="s">
        <v>17</v>
      </c>
      <c r="F2178" s="9">
        <v>46065.0</v>
      </c>
      <c r="G2178" s="8" t="s">
        <v>2724</v>
      </c>
      <c r="H2178" s="8" t="s">
        <v>2725</v>
      </c>
      <c r="I2178" s="8" t="s">
        <v>7035</v>
      </c>
      <c r="J2178" s="8" t="s">
        <v>7036</v>
      </c>
    </row>
    <row r="2179">
      <c r="A2179" s="7">
        <v>2.0035307E7</v>
      </c>
      <c r="B2179" s="8" t="s">
        <v>3445</v>
      </c>
      <c r="C2179" s="8" t="s">
        <v>7037</v>
      </c>
      <c r="D2179" s="8" t="s">
        <v>16</v>
      </c>
      <c r="E2179" s="8" t="s">
        <v>17</v>
      </c>
      <c r="F2179" s="9">
        <v>46048.0</v>
      </c>
      <c r="G2179" s="8" t="s">
        <v>7038</v>
      </c>
      <c r="H2179" s="8" t="s">
        <v>7039</v>
      </c>
      <c r="I2179" s="8" t="s">
        <v>7040</v>
      </c>
      <c r="J2179" s="8" t="s">
        <v>7041</v>
      </c>
    </row>
    <row r="2180">
      <c r="A2180" s="7">
        <v>2.0032872E7</v>
      </c>
      <c r="B2180" s="8" t="s">
        <v>3445</v>
      </c>
      <c r="C2180" s="8" t="s">
        <v>7042</v>
      </c>
      <c r="D2180" s="8" t="s">
        <v>16</v>
      </c>
      <c r="E2180" s="8" t="s">
        <v>17</v>
      </c>
      <c r="F2180" s="9">
        <v>46047.0</v>
      </c>
      <c r="G2180" s="8" t="s">
        <v>3255</v>
      </c>
      <c r="H2180" s="8" t="s">
        <v>3256</v>
      </c>
      <c r="I2180" s="8" t="s">
        <v>7043</v>
      </c>
      <c r="J2180" s="8" t="s">
        <v>7044</v>
      </c>
    </row>
    <row r="2181">
      <c r="A2181" s="7">
        <v>2.0034786E7</v>
      </c>
      <c r="B2181" s="8" t="s">
        <v>3445</v>
      </c>
      <c r="C2181" s="8" t="s">
        <v>7045</v>
      </c>
      <c r="D2181" s="8" t="s">
        <v>16</v>
      </c>
      <c r="E2181" s="8" t="s">
        <v>17</v>
      </c>
      <c r="F2181" s="9">
        <v>46044.0</v>
      </c>
      <c r="G2181" s="8" t="s">
        <v>91</v>
      </c>
      <c r="H2181" s="8" t="s">
        <v>92</v>
      </c>
      <c r="I2181" s="8" t="s">
        <v>7046</v>
      </c>
      <c r="J2181" s="8" t="s">
        <v>7047</v>
      </c>
    </row>
    <row r="2182">
      <c r="A2182" s="7">
        <v>2.0066845E7</v>
      </c>
      <c r="B2182" s="8" t="s">
        <v>3445</v>
      </c>
      <c r="C2182" s="8" t="s">
        <v>7048</v>
      </c>
      <c r="D2182" s="8" t="s">
        <v>16</v>
      </c>
      <c r="E2182" s="8" t="s">
        <v>48</v>
      </c>
      <c r="F2182" s="9">
        <v>46180.0</v>
      </c>
      <c r="G2182" s="8" t="s">
        <v>5900</v>
      </c>
      <c r="H2182" s="8" t="s">
        <v>5901</v>
      </c>
      <c r="I2182" s="8" t="s">
        <v>7049</v>
      </c>
      <c r="J2182" s="8"/>
    </row>
    <row r="2183">
      <c r="A2183" s="7">
        <v>2.0063198E7</v>
      </c>
      <c r="B2183" s="8" t="s">
        <v>3445</v>
      </c>
      <c r="C2183" s="8" t="s">
        <v>7050</v>
      </c>
      <c r="D2183" s="8" t="s">
        <v>16</v>
      </c>
      <c r="E2183" s="8" t="s">
        <v>17</v>
      </c>
      <c r="F2183" s="9">
        <v>46165.0</v>
      </c>
      <c r="G2183" s="8" t="s">
        <v>282</v>
      </c>
      <c r="H2183" s="8" t="s">
        <v>3005</v>
      </c>
      <c r="I2183" s="8" t="s">
        <v>7051</v>
      </c>
      <c r="J2183" s="8" t="s">
        <v>7052</v>
      </c>
    </row>
    <row r="2184">
      <c r="A2184" s="7">
        <v>2.0062103E7</v>
      </c>
      <c r="B2184" s="8" t="s">
        <v>3445</v>
      </c>
      <c r="C2184" s="8" t="s">
        <v>7053</v>
      </c>
      <c r="D2184" s="8" t="s">
        <v>2136</v>
      </c>
      <c r="E2184" s="8" t="s">
        <v>17</v>
      </c>
      <c r="F2184" s="9">
        <v>46149.0</v>
      </c>
      <c r="G2184" s="8" t="s">
        <v>195</v>
      </c>
      <c r="H2184" s="8" t="s">
        <v>196</v>
      </c>
      <c r="I2184" s="8" t="s">
        <v>7054</v>
      </c>
      <c r="J2184" s="8" t="s">
        <v>7055</v>
      </c>
    </row>
    <row r="2185">
      <c r="A2185" s="7">
        <v>2.0060011E7</v>
      </c>
      <c r="B2185" s="8" t="s">
        <v>3445</v>
      </c>
      <c r="C2185" s="8" t="s">
        <v>7056</v>
      </c>
      <c r="D2185" s="8" t="s">
        <v>2136</v>
      </c>
      <c r="E2185" s="8" t="s">
        <v>17</v>
      </c>
      <c r="F2185" s="9">
        <v>46140.0</v>
      </c>
      <c r="G2185" s="8" t="s">
        <v>2294</v>
      </c>
      <c r="H2185" s="8" t="s">
        <v>2295</v>
      </c>
      <c r="I2185" s="8" t="s">
        <v>7057</v>
      </c>
      <c r="J2185" s="8" t="s">
        <v>7058</v>
      </c>
    </row>
    <row r="2186">
      <c r="A2186" s="7">
        <v>2.0055576E7</v>
      </c>
      <c r="B2186" s="8" t="s">
        <v>3445</v>
      </c>
      <c r="C2186" s="8" t="s">
        <v>7059</v>
      </c>
      <c r="D2186" s="8" t="s">
        <v>16</v>
      </c>
      <c r="E2186" s="8" t="s">
        <v>17</v>
      </c>
      <c r="F2186" s="9">
        <v>46138.0</v>
      </c>
      <c r="G2186" s="8" t="s">
        <v>247</v>
      </c>
      <c r="H2186" s="8" t="s">
        <v>248</v>
      </c>
      <c r="I2186" s="8" t="s">
        <v>7060</v>
      </c>
      <c r="J2186" s="8" t="s">
        <v>7061</v>
      </c>
    </row>
    <row r="2187">
      <c r="A2187" s="7">
        <v>2.0052284E7</v>
      </c>
      <c r="B2187" s="8" t="s">
        <v>3445</v>
      </c>
      <c r="C2187" s="8" t="s">
        <v>7062</v>
      </c>
      <c r="D2187" s="8" t="s">
        <v>16</v>
      </c>
      <c r="E2187" s="8" t="s">
        <v>17</v>
      </c>
      <c r="F2187" s="9">
        <v>46106.0</v>
      </c>
      <c r="G2187" s="8" t="s">
        <v>59</v>
      </c>
      <c r="H2187" s="8" t="s">
        <v>60</v>
      </c>
      <c r="I2187" s="8" t="s">
        <v>7063</v>
      </c>
      <c r="J2187" s="8" t="s">
        <v>7064</v>
      </c>
    </row>
    <row r="2188">
      <c r="A2188" s="7">
        <v>2.0052198E7</v>
      </c>
      <c r="B2188" s="8" t="s">
        <v>3445</v>
      </c>
      <c r="C2188" s="8" t="s">
        <v>7065</v>
      </c>
      <c r="D2188" s="8" t="s">
        <v>16</v>
      </c>
      <c r="E2188" s="8" t="s">
        <v>17</v>
      </c>
      <c r="F2188" s="9">
        <v>46119.0</v>
      </c>
      <c r="G2188" s="8" t="s">
        <v>132</v>
      </c>
      <c r="H2188" s="8" t="s">
        <v>133</v>
      </c>
      <c r="I2188" s="8" t="s">
        <v>7066</v>
      </c>
      <c r="J2188" s="8" t="s">
        <v>7067</v>
      </c>
    </row>
    <row r="2189">
      <c r="A2189" s="7">
        <v>2.0049498E7</v>
      </c>
      <c r="B2189" s="8" t="s">
        <v>3445</v>
      </c>
      <c r="C2189" s="8" t="s">
        <v>7068</v>
      </c>
      <c r="D2189" s="8" t="s">
        <v>16</v>
      </c>
      <c r="E2189" s="8" t="s">
        <v>17</v>
      </c>
      <c r="F2189" s="9">
        <v>46107.0</v>
      </c>
      <c r="G2189" s="8" t="s">
        <v>339</v>
      </c>
      <c r="H2189" s="8" t="s">
        <v>340</v>
      </c>
      <c r="I2189" s="8" t="s">
        <v>7069</v>
      </c>
      <c r="J2189" s="8" t="s">
        <v>7070</v>
      </c>
    </row>
    <row r="2190">
      <c r="A2190" s="7">
        <v>2.0051788E7</v>
      </c>
      <c r="B2190" s="8" t="s">
        <v>3445</v>
      </c>
      <c r="C2190" s="8" t="s">
        <v>7071</v>
      </c>
      <c r="D2190" s="8" t="s">
        <v>16</v>
      </c>
      <c r="E2190" s="8" t="s">
        <v>17</v>
      </c>
      <c r="F2190" s="9">
        <v>46122.0</v>
      </c>
      <c r="G2190" s="8" t="s">
        <v>361</v>
      </c>
      <c r="H2190" s="8" t="s">
        <v>362</v>
      </c>
      <c r="I2190" s="8" t="s">
        <v>7072</v>
      </c>
      <c r="J2190" s="8" t="s">
        <v>7073</v>
      </c>
    </row>
    <row r="2191">
      <c r="A2191" s="7">
        <v>2.0050098E7</v>
      </c>
      <c r="B2191" s="8" t="s">
        <v>3445</v>
      </c>
      <c r="C2191" s="8" t="s">
        <v>7074</v>
      </c>
      <c r="D2191" s="8" t="s">
        <v>16</v>
      </c>
      <c r="E2191" s="8" t="s">
        <v>17</v>
      </c>
      <c r="F2191" s="9">
        <v>46102.0</v>
      </c>
      <c r="G2191" s="8" t="s">
        <v>805</v>
      </c>
      <c r="H2191" s="8" t="s">
        <v>806</v>
      </c>
      <c r="I2191" s="8" t="s">
        <v>7075</v>
      </c>
      <c r="J2191" s="8" t="s">
        <v>7076</v>
      </c>
    </row>
    <row r="2192">
      <c r="A2192" s="7">
        <v>2.0035359E7</v>
      </c>
      <c r="B2192" s="8" t="s">
        <v>3445</v>
      </c>
      <c r="C2192" s="8" t="s">
        <v>7077</v>
      </c>
      <c r="D2192" s="8" t="s">
        <v>16</v>
      </c>
      <c r="E2192" s="8" t="s">
        <v>17</v>
      </c>
      <c r="F2192" s="9">
        <v>46116.0</v>
      </c>
      <c r="G2192" s="8" t="s">
        <v>7078</v>
      </c>
      <c r="H2192" s="8" t="s">
        <v>7079</v>
      </c>
      <c r="I2192" s="8" t="s">
        <v>7080</v>
      </c>
      <c r="J2192" s="8" t="s">
        <v>7081</v>
      </c>
    </row>
    <row r="2193">
      <c r="A2193" s="7">
        <v>2.0035359E7</v>
      </c>
      <c r="B2193" s="8" t="s">
        <v>3445</v>
      </c>
      <c r="C2193" s="8" t="s">
        <v>7077</v>
      </c>
      <c r="D2193" s="8" t="s">
        <v>16</v>
      </c>
      <c r="E2193" s="8" t="s">
        <v>17</v>
      </c>
      <c r="F2193" s="9">
        <v>46116.0</v>
      </c>
      <c r="G2193" s="8" t="s">
        <v>5064</v>
      </c>
      <c r="H2193" s="8" t="s">
        <v>5065</v>
      </c>
      <c r="I2193" s="8" t="s">
        <v>7082</v>
      </c>
      <c r="J2193" s="8" t="s">
        <v>7083</v>
      </c>
    </row>
    <row r="2194">
      <c r="A2194" s="7">
        <v>2.0039074E7</v>
      </c>
      <c r="B2194" s="8" t="s">
        <v>3445</v>
      </c>
      <c r="C2194" s="8" t="s">
        <v>7084</v>
      </c>
      <c r="D2194" s="8" t="s">
        <v>16</v>
      </c>
      <c r="E2194" s="8" t="s">
        <v>17</v>
      </c>
      <c r="F2194" s="9">
        <v>46060.0</v>
      </c>
      <c r="G2194" s="8" t="s">
        <v>826</v>
      </c>
      <c r="H2194" s="8" t="s">
        <v>827</v>
      </c>
      <c r="I2194" s="8" t="s">
        <v>7085</v>
      </c>
      <c r="J2194" s="8" t="s">
        <v>7086</v>
      </c>
    </row>
    <row r="2195">
      <c r="A2195" s="7">
        <v>2.0038828E7</v>
      </c>
      <c r="B2195" s="8" t="s">
        <v>3445</v>
      </c>
      <c r="C2195" s="8" t="s">
        <v>7087</v>
      </c>
      <c r="D2195" s="8" t="s">
        <v>16</v>
      </c>
      <c r="E2195" s="8" t="s">
        <v>17</v>
      </c>
      <c r="F2195" s="9">
        <v>46073.0</v>
      </c>
      <c r="G2195" s="8" t="s">
        <v>184</v>
      </c>
      <c r="H2195" s="8" t="s">
        <v>185</v>
      </c>
      <c r="I2195" s="8" t="s">
        <v>7088</v>
      </c>
      <c r="J2195" s="8" t="s">
        <v>7089</v>
      </c>
    </row>
    <row r="2196">
      <c r="A2196" s="7">
        <v>2.0038123E7</v>
      </c>
      <c r="B2196" s="8" t="s">
        <v>3445</v>
      </c>
      <c r="C2196" s="8" t="s">
        <v>7090</v>
      </c>
      <c r="D2196" s="8" t="s">
        <v>16</v>
      </c>
      <c r="E2196" s="8" t="s">
        <v>17</v>
      </c>
      <c r="F2196" s="9">
        <v>46061.0</v>
      </c>
      <c r="G2196" s="8" t="s">
        <v>1085</v>
      </c>
      <c r="H2196" s="8" t="s">
        <v>1086</v>
      </c>
      <c r="I2196" s="8" t="s">
        <v>7091</v>
      </c>
      <c r="J2196" s="8" t="s">
        <v>7092</v>
      </c>
    </row>
    <row r="2197">
      <c r="A2197" s="7">
        <v>2.0035555E7</v>
      </c>
      <c r="B2197" s="8" t="s">
        <v>3445</v>
      </c>
      <c r="C2197" s="8" t="s">
        <v>7093</v>
      </c>
      <c r="D2197" s="8" t="s">
        <v>16</v>
      </c>
      <c r="E2197" s="8" t="s">
        <v>17</v>
      </c>
      <c r="F2197" s="9">
        <v>46061.0</v>
      </c>
      <c r="G2197" s="8" t="s">
        <v>158</v>
      </c>
      <c r="H2197" s="8" t="s">
        <v>159</v>
      </c>
      <c r="I2197" s="8" t="s">
        <v>7094</v>
      </c>
      <c r="J2197" s="8" t="s">
        <v>7095</v>
      </c>
    </row>
    <row r="2198">
      <c r="A2198" s="7">
        <v>2.0031936E7</v>
      </c>
      <c r="B2198" s="8" t="s">
        <v>3445</v>
      </c>
      <c r="C2198" s="8" t="s">
        <v>7096</v>
      </c>
      <c r="D2198" s="8" t="s">
        <v>16</v>
      </c>
      <c r="E2198" s="8" t="s">
        <v>17</v>
      </c>
      <c r="F2198" s="9">
        <v>46053.0</v>
      </c>
      <c r="G2198" s="8" t="s">
        <v>1746</v>
      </c>
      <c r="H2198" s="8" t="s">
        <v>4130</v>
      </c>
      <c r="I2198" s="8" t="s">
        <v>7097</v>
      </c>
      <c r="J2198" s="8"/>
    </row>
    <row r="2199">
      <c r="A2199" s="7">
        <v>2.0034074E7</v>
      </c>
      <c r="B2199" s="8" t="s">
        <v>3445</v>
      </c>
      <c r="C2199" s="8" t="s">
        <v>7098</v>
      </c>
      <c r="D2199" s="8" t="s">
        <v>16</v>
      </c>
      <c r="E2199" s="8" t="s">
        <v>17</v>
      </c>
      <c r="F2199" s="9">
        <v>46056.0</v>
      </c>
      <c r="G2199" s="8" t="s">
        <v>171</v>
      </c>
      <c r="H2199" s="8" t="s">
        <v>172</v>
      </c>
      <c r="I2199" s="8" t="s">
        <v>7099</v>
      </c>
      <c r="J2199" s="8" t="s">
        <v>7100</v>
      </c>
    </row>
    <row r="2200">
      <c r="A2200" s="7">
        <v>2.0064493E7</v>
      </c>
      <c r="B2200" s="8" t="s">
        <v>3445</v>
      </c>
      <c r="C2200" s="8" t="s">
        <v>7101</v>
      </c>
      <c r="D2200" s="8" t="s">
        <v>16</v>
      </c>
      <c r="E2200" s="8" t="s">
        <v>17</v>
      </c>
      <c r="F2200" s="9">
        <v>46190.0</v>
      </c>
      <c r="G2200" s="8" t="s">
        <v>59</v>
      </c>
      <c r="H2200" s="8" t="s">
        <v>60</v>
      </c>
      <c r="I2200" s="8" t="s">
        <v>7102</v>
      </c>
      <c r="J2200" s="8" t="s">
        <v>7103</v>
      </c>
    </row>
    <row r="2201">
      <c r="A2201" s="7">
        <v>2.0064501E7</v>
      </c>
      <c r="B2201" s="8" t="s">
        <v>3445</v>
      </c>
      <c r="C2201" s="8" t="s">
        <v>7104</v>
      </c>
      <c r="D2201" s="8" t="s">
        <v>16</v>
      </c>
      <c r="E2201" s="8" t="s">
        <v>17</v>
      </c>
      <c r="F2201" s="9">
        <v>46180.0</v>
      </c>
      <c r="G2201" s="8" t="s">
        <v>59</v>
      </c>
      <c r="H2201" s="8" t="s">
        <v>60</v>
      </c>
      <c r="I2201" s="8" t="s">
        <v>7105</v>
      </c>
      <c r="J2201" s="8" t="s">
        <v>7106</v>
      </c>
    </row>
    <row r="2202">
      <c r="A2202" s="7">
        <v>2.006048E7</v>
      </c>
      <c r="B2202" s="8" t="s">
        <v>3445</v>
      </c>
      <c r="C2202" s="8" t="s">
        <v>7107</v>
      </c>
      <c r="D2202" s="8" t="s">
        <v>16</v>
      </c>
      <c r="E2202" s="8" t="s">
        <v>17</v>
      </c>
      <c r="F2202" s="9">
        <v>46165.0</v>
      </c>
      <c r="G2202" s="8" t="s">
        <v>1949</v>
      </c>
      <c r="H2202" s="8" t="s">
        <v>1950</v>
      </c>
      <c r="I2202" s="8" t="s">
        <v>7108</v>
      </c>
      <c r="J2202" s="8" t="s">
        <v>7109</v>
      </c>
    </row>
    <row r="2203">
      <c r="A2203" s="7">
        <v>2.0057581E7</v>
      </c>
      <c r="B2203" s="8" t="s">
        <v>3445</v>
      </c>
      <c r="C2203" s="8" t="s">
        <v>7110</v>
      </c>
      <c r="D2203" s="8" t="s">
        <v>16</v>
      </c>
      <c r="E2203" s="8" t="s">
        <v>17</v>
      </c>
      <c r="F2203" s="9">
        <v>46188.0</v>
      </c>
      <c r="G2203" s="8" t="s">
        <v>1007</v>
      </c>
      <c r="H2203" s="8" t="s">
        <v>1008</v>
      </c>
      <c r="I2203" s="8" t="s">
        <v>7111</v>
      </c>
      <c r="J2203" s="8" t="s">
        <v>7112</v>
      </c>
    </row>
    <row r="2204">
      <c r="A2204" s="7">
        <v>2.0057581E7</v>
      </c>
      <c r="B2204" s="8" t="s">
        <v>3445</v>
      </c>
      <c r="C2204" s="8" t="s">
        <v>7110</v>
      </c>
      <c r="D2204" s="8" t="s">
        <v>16</v>
      </c>
      <c r="E2204" s="8" t="s">
        <v>17</v>
      </c>
      <c r="F2204" s="9">
        <v>46188.0</v>
      </c>
      <c r="G2204" s="8" t="s">
        <v>2386</v>
      </c>
      <c r="H2204" s="8" t="s">
        <v>2387</v>
      </c>
      <c r="I2204" s="8" t="s">
        <v>7113</v>
      </c>
      <c r="J2204" s="8" t="s">
        <v>7114</v>
      </c>
    </row>
    <row r="2205">
      <c r="A2205" s="7">
        <v>2.005768E7</v>
      </c>
      <c r="B2205" s="8" t="s">
        <v>3445</v>
      </c>
      <c r="C2205" s="8" t="s">
        <v>7115</v>
      </c>
      <c r="D2205" s="8" t="s">
        <v>16</v>
      </c>
      <c r="E2205" s="8" t="s">
        <v>17</v>
      </c>
      <c r="F2205" s="9">
        <v>46145.0</v>
      </c>
      <c r="G2205" s="8" t="s">
        <v>75</v>
      </c>
      <c r="H2205" s="8" t="s">
        <v>76</v>
      </c>
      <c r="I2205" s="8" t="s">
        <v>7116</v>
      </c>
      <c r="J2205" s="8" t="s">
        <v>7117</v>
      </c>
    </row>
    <row r="2206">
      <c r="A2206" s="7">
        <v>2.0052846E7</v>
      </c>
      <c r="B2206" s="8" t="s">
        <v>3445</v>
      </c>
      <c r="C2206" s="8" t="s">
        <v>7118</v>
      </c>
      <c r="D2206" s="8" t="s">
        <v>16</v>
      </c>
      <c r="E2206" s="8" t="s">
        <v>17</v>
      </c>
      <c r="F2206" s="9">
        <v>46127.0</v>
      </c>
      <c r="G2206" s="8" t="s">
        <v>59</v>
      </c>
      <c r="H2206" s="8" t="s">
        <v>60</v>
      </c>
      <c r="I2206" s="8" t="s">
        <v>7119</v>
      </c>
      <c r="J2206" s="8" t="s">
        <v>7120</v>
      </c>
    </row>
    <row r="2207">
      <c r="A2207" s="7">
        <v>2.0048732E7</v>
      </c>
      <c r="B2207" s="8" t="s">
        <v>3445</v>
      </c>
      <c r="C2207" s="8" t="s">
        <v>7121</v>
      </c>
      <c r="D2207" s="8" t="s">
        <v>16</v>
      </c>
      <c r="E2207" s="8" t="s">
        <v>17</v>
      </c>
      <c r="F2207" s="9">
        <v>46106.0</v>
      </c>
      <c r="G2207" s="8" t="s">
        <v>234</v>
      </c>
      <c r="H2207" s="8" t="s">
        <v>235</v>
      </c>
      <c r="I2207" s="8" t="s">
        <v>7122</v>
      </c>
      <c r="J2207" s="8" t="s">
        <v>7123</v>
      </c>
    </row>
    <row r="2208">
      <c r="A2208" s="7">
        <v>2.0048644E7</v>
      </c>
      <c r="B2208" s="8" t="s">
        <v>3445</v>
      </c>
      <c r="C2208" s="8" t="s">
        <v>7124</v>
      </c>
      <c r="D2208" s="8" t="s">
        <v>16</v>
      </c>
      <c r="E2208" s="8" t="s">
        <v>17</v>
      </c>
      <c r="F2208" s="9">
        <v>46104.0</v>
      </c>
      <c r="G2208" s="8" t="s">
        <v>234</v>
      </c>
      <c r="H2208" s="8" t="s">
        <v>235</v>
      </c>
      <c r="I2208" s="8" t="s">
        <v>7125</v>
      </c>
      <c r="J2208" s="8" t="s">
        <v>7126</v>
      </c>
    </row>
    <row r="2209">
      <c r="A2209" s="7">
        <v>2.0048193E7</v>
      </c>
      <c r="B2209" s="8" t="s">
        <v>3445</v>
      </c>
      <c r="C2209" s="8" t="s">
        <v>7127</v>
      </c>
      <c r="D2209" s="8" t="s">
        <v>16</v>
      </c>
      <c r="E2209" s="8" t="s">
        <v>17</v>
      </c>
      <c r="F2209" s="9">
        <v>46116.0</v>
      </c>
      <c r="G2209" s="8" t="s">
        <v>410</v>
      </c>
      <c r="H2209" s="8" t="s">
        <v>411</v>
      </c>
      <c r="I2209" s="8" t="s">
        <v>7128</v>
      </c>
      <c r="J2209" s="8" t="s">
        <v>7129</v>
      </c>
    </row>
    <row r="2210">
      <c r="A2210" s="7">
        <v>2.0045774E7</v>
      </c>
      <c r="B2210" s="8" t="s">
        <v>3445</v>
      </c>
      <c r="C2210" s="8" t="s">
        <v>7130</v>
      </c>
      <c r="D2210" s="8" t="s">
        <v>16</v>
      </c>
      <c r="E2210" s="8" t="s">
        <v>17</v>
      </c>
      <c r="F2210" s="9">
        <v>46100.0</v>
      </c>
      <c r="G2210" s="8" t="s">
        <v>290</v>
      </c>
      <c r="H2210" s="8" t="s">
        <v>291</v>
      </c>
      <c r="I2210" s="8" t="s">
        <v>7131</v>
      </c>
      <c r="J2210" s="8" t="s">
        <v>7132</v>
      </c>
    </row>
    <row r="2211">
      <c r="A2211" s="7">
        <v>2.0034841E7</v>
      </c>
      <c r="B2211" s="8" t="s">
        <v>3445</v>
      </c>
      <c r="C2211" s="8" t="s">
        <v>7133</v>
      </c>
      <c r="D2211" s="8" t="s">
        <v>16</v>
      </c>
      <c r="E2211" s="8" t="s">
        <v>17</v>
      </c>
      <c r="F2211" s="9">
        <v>46046.0</v>
      </c>
      <c r="G2211" s="8" t="s">
        <v>91</v>
      </c>
      <c r="H2211" s="8" t="s">
        <v>92</v>
      </c>
      <c r="I2211" s="8" t="s">
        <v>7134</v>
      </c>
      <c r="J2211" s="8" t="s">
        <v>7135</v>
      </c>
    </row>
    <row r="2212">
      <c r="A2212" s="7">
        <v>2.007198E7</v>
      </c>
      <c r="B2212" s="8" t="s">
        <v>3445</v>
      </c>
      <c r="C2212" s="8" t="s">
        <v>7136</v>
      </c>
      <c r="D2212" s="8" t="s">
        <v>16</v>
      </c>
      <c r="E2212" s="8" t="s">
        <v>17</v>
      </c>
      <c r="F2212" s="9">
        <v>46189.0</v>
      </c>
      <c r="G2212" s="8" t="s">
        <v>59</v>
      </c>
      <c r="H2212" s="8" t="s">
        <v>60</v>
      </c>
      <c r="I2212" s="8" t="s">
        <v>7137</v>
      </c>
      <c r="J2212" s="8" t="s">
        <v>7138</v>
      </c>
    </row>
    <row r="2213">
      <c r="A2213" s="7">
        <v>2.0068427E7</v>
      </c>
      <c r="B2213" s="8" t="s">
        <v>3445</v>
      </c>
      <c r="C2213" s="8" t="s">
        <v>7139</v>
      </c>
      <c r="D2213" s="8" t="s">
        <v>16</v>
      </c>
      <c r="E2213" s="8" t="s">
        <v>17</v>
      </c>
      <c r="F2213" s="9">
        <v>46187.0</v>
      </c>
      <c r="G2213" s="8" t="s">
        <v>59</v>
      </c>
      <c r="H2213" s="8" t="s">
        <v>60</v>
      </c>
      <c r="I2213" s="8" t="s">
        <v>7140</v>
      </c>
      <c r="J2213" s="8" t="s">
        <v>7141</v>
      </c>
    </row>
    <row r="2214">
      <c r="A2214" s="7">
        <v>2.0053461E7</v>
      </c>
      <c r="B2214" s="8" t="s">
        <v>3445</v>
      </c>
      <c r="C2214" s="8" t="s">
        <v>7142</v>
      </c>
      <c r="D2214" s="8" t="s">
        <v>16</v>
      </c>
      <c r="E2214" s="8" t="s">
        <v>17</v>
      </c>
      <c r="F2214" s="9">
        <v>46177.0</v>
      </c>
      <c r="G2214" s="8" t="s">
        <v>428</v>
      </c>
      <c r="H2214" s="8" t="s">
        <v>429</v>
      </c>
      <c r="I2214" s="8" t="s">
        <v>7143</v>
      </c>
      <c r="J2214" s="8" t="s">
        <v>7144</v>
      </c>
    </row>
    <row r="2215">
      <c r="A2215" s="7">
        <v>2.0064008E7</v>
      </c>
      <c r="B2215" s="8" t="s">
        <v>3445</v>
      </c>
      <c r="C2215" s="8" t="s">
        <v>7145</v>
      </c>
      <c r="D2215" s="8" t="s">
        <v>2136</v>
      </c>
      <c r="E2215" s="8" t="s">
        <v>17</v>
      </c>
      <c r="F2215" s="9">
        <v>46157.0</v>
      </c>
      <c r="G2215" s="8" t="s">
        <v>868</v>
      </c>
      <c r="H2215" s="8" t="s">
        <v>869</v>
      </c>
      <c r="I2215" s="8" t="s">
        <v>7146</v>
      </c>
      <c r="J2215" s="8" t="s">
        <v>7147</v>
      </c>
    </row>
    <row r="2216">
      <c r="A2216" s="7">
        <v>2.0061772E7</v>
      </c>
      <c r="B2216" s="8" t="s">
        <v>3445</v>
      </c>
      <c r="C2216" s="8" t="s">
        <v>7148</v>
      </c>
      <c r="D2216" s="8" t="s">
        <v>16</v>
      </c>
      <c r="E2216" s="8" t="s">
        <v>17</v>
      </c>
      <c r="F2216" s="9">
        <v>46180.0</v>
      </c>
      <c r="G2216" s="8" t="s">
        <v>171</v>
      </c>
      <c r="H2216" s="8" t="s">
        <v>172</v>
      </c>
      <c r="I2216" s="8" t="s">
        <v>7149</v>
      </c>
      <c r="J2216" s="8" t="s">
        <v>7150</v>
      </c>
    </row>
    <row r="2217">
      <c r="A2217" s="7">
        <v>2.0058049E7</v>
      </c>
      <c r="B2217" s="8" t="s">
        <v>3445</v>
      </c>
      <c r="C2217" s="8" t="s">
        <v>7151</v>
      </c>
      <c r="D2217" s="8" t="s">
        <v>16</v>
      </c>
      <c r="E2217" s="8" t="s">
        <v>17</v>
      </c>
      <c r="F2217" s="9">
        <v>46144.0</v>
      </c>
      <c r="G2217" s="8" t="s">
        <v>59</v>
      </c>
      <c r="H2217" s="8" t="s">
        <v>60</v>
      </c>
      <c r="I2217" s="8" t="s">
        <v>7152</v>
      </c>
      <c r="J2217" s="8" t="s">
        <v>7153</v>
      </c>
    </row>
    <row r="2218">
      <c r="A2218" s="7">
        <v>2.0056197E7</v>
      </c>
      <c r="B2218" s="8" t="s">
        <v>3445</v>
      </c>
      <c r="C2218" s="8" t="s">
        <v>7154</v>
      </c>
      <c r="D2218" s="8" t="s">
        <v>16</v>
      </c>
      <c r="E2218" s="8" t="s">
        <v>17</v>
      </c>
      <c r="F2218" s="9">
        <v>46131.0</v>
      </c>
      <c r="G2218" s="8" t="s">
        <v>339</v>
      </c>
      <c r="H2218" s="8" t="s">
        <v>340</v>
      </c>
      <c r="I2218" s="8" t="s">
        <v>7155</v>
      </c>
      <c r="J2218" s="8" t="s">
        <v>7156</v>
      </c>
    </row>
    <row r="2219">
      <c r="A2219" s="7">
        <v>2.0053915E7</v>
      </c>
      <c r="B2219" s="8" t="s">
        <v>3445</v>
      </c>
      <c r="C2219" s="8" t="s">
        <v>7157</v>
      </c>
      <c r="D2219" s="8" t="s">
        <v>16</v>
      </c>
      <c r="E2219" s="8" t="s">
        <v>17</v>
      </c>
      <c r="F2219" s="9">
        <v>46132.0</v>
      </c>
      <c r="G2219" s="8" t="s">
        <v>59</v>
      </c>
      <c r="H2219" s="8" t="s">
        <v>60</v>
      </c>
      <c r="I2219" s="8" t="s">
        <v>7158</v>
      </c>
      <c r="J2219" s="8" t="s">
        <v>7159</v>
      </c>
    </row>
    <row r="2220">
      <c r="A2220" s="7">
        <v>2.0051643E7</v>
      </c>
      <c r="B2220" s="8" t="s">
        <v>3445</v>
      </c>
      <c r="C2220" s="8" t="s">
        <v>7160</v>
      </c>
      <c r="D2220" s="8" t="s">
        <v>16</v>
      </c>
      <c r="E2220" s="8" t="s">
        <v>17</v>
      </c>
      <c r="F2220" s="9">
        <v>46143.0</v>
      </c>
      <c r="G2220" s="8" t="s">
        <v>3709</v>
      </c>
      <c r="H2220" s="8" t="s">
        <v>3710</v>
      </c>
      <c r="I2220" s="8" t="s">
        <v>7161</v>
      </c>
      <c r="J2220" s="8" t="s">
        <v>7162</v>
      </c>
    </row>
    <row r="2221">
      <c r="A2221" s="7">
        <v>2.0054445E7</v>
      </c>
      <c r="B2221" s="8" t="s">
        <v>3445</v>
      </c>
      <c r="C2221" s="8" t="s">
        <v>7163</v>
      </c>
      <c r="D2221" s="8" t="s">
        <v>16</v>
      </c>
      <c r="E2221" s="8" t="s">
        <v>17</v>
      </c>
      <c r="F2221" s="9">
        <v>46164.0</v>
      </c>
      <c r="G2221" s="8" t="s">
        <v>6715</v>
      </c>
      <c r="H2221" s="8" t="s">
        <v>6716</v>
      </c>
      <c r="I2221" s="8" t="s">
        <v>7164</v>
      </c>
      <c r="J2221" s="8"/>
    </row>
    <row r="2222">
      <c r="A2222" s="7">
        <v>2.0054445E7</v>
      </c>
      <c r="B2222" s="8" t="s">
        <v>3445</v>
      </c>
      <c r="C2222" s="8" t="s">
        <v>7163</v>
      </c>
      <c r="D2222" s="8" t="s">
        <v>16</v>
      </c>
      <c r="E2222" s="8" t="s">
        <v>17</v>
      </c>
      <c r="F2222" s="9">
        <v>46164.0</v>
      </c>
      <c r="G2222" s="8" t="s">
        <v>1085</v>
      </c>
      <c r="H2222" s="8" t="s">
        <v>1086</v>
      </c>
      <c r="I2222" s="8" t="s">
        <v>7165</v>
      </c>
      <c r="J2222" s="8" t="s">
        <v>7166</v>
      </c>
    </row>
    <row r="2223">
      <c r="A2223" s="7">
        <v>2.0052651E7</v>
      </c>
      <c r="B2223" s="8" t="s">
        <v>3445</v>
      </c>
      <c r="C2223" s="8" t="s">
        <v>7167</v>
      </c>
      <c r="D2223" s="8" t="s">
        <v>16</v>
      </c>
      <c r="E2223" s="8" t="s">
        <v>17</v>
      </c>
      <c r="F2223" s="9">
        <v>46128.0</v>
      </c>
      <c r="G2223" s="8" t="s">
        <v>34</v>
      </c>
      <c r="H2223" s="8" t="s">
        <v>35</v>
      </c>
      <c r="I2223" s="8" t="s">
        <v>7168</v>
      </c>
      <c r="J2223" s="8" t="s">
        <v>7169</v>
      </c>
    </row>
    <row r="2224">
      <c r="A2224" s="7">
        <v>2.0053845E7</v>
      </c>
      <c r="B2224" s="8" t="s">
        <v>3445</v>
      </c>
      <c r="C2224" s="8" t="s">
        <v>7170</v>
      </c>
      <c r="D2224" s="8" t="s">
        <v>16</v>
      </c>
      <c r="E2224" s="8" t="s">
        <v>17</v>
      </c>
      <c r="F2224" s="9">
        <v>46113.0</v>
      </c>
      <c r="G2224" s="8" t="s">
        <v>59</v>
      </c>
      <c r="H2224" s="8" t="s">
        <v>60</v>
      </c>
      <c r="I2224" s="8" t="s">
        <v>7171</v>
      </c>
      <c r="J2224" s="8" t="s">
        <v>7172</v>
      </c>
    </row>
    <row r="2225">
      <c r="A2225" s="7">
        <v>2.0052139E7</v>
      </c>
      <c r="B2225" s="8" t="s">
        <v>3445</v>
      </c>
      <c r="C2225" s="8" t="s">
        <v>7173</v>
      </c>
      <c r="D2225" s="8" t="s">
        <v>16</v>
      </c>
      <c r="E2225" s="8" t="s">
        <v>17</v>
      </c>
      <c r="F2225" s="9">
        <v>46119.0</v>
      </c>
      <c r="G2225" s="8" t="s">
        <v>59</v>
      </c>
      <c r="H2225" s="8" t="s">
        <v>60</v>
      </c>
      <c r="I2225" s="8" t="s">
        <v>7174</v>
      </c>
      <c r="J2225" s="8" t="s">
        <v>7175</v>
      </c>
    </row>
    <row r="2226">
      <c r="A2226" s="7">
        <v>2.005348E7</v>
      </c>
      <c r="B2226" s="8" t="s">
        <v>3445</v>
      </c>
      <c r="C2226" s="8" t="s">
        <v>7176</v>
      </c>
      <c r="D2226" s="8" t="s">
        <v>2136</v>
      </c>
      <c r="E2226" s="8" t="s">
        <v>17</v>
      </c>
      <c r="F2226" s="9">
        <v>46111.0</v>
      </c>
      <c r="G2226" s="8" t="s">
        <v>2294</v>
      </c>
      <c r="H2226" s="8" t="s">
        <v>2295</v>
      </c>
      <c r="I2226" s="8" t="s">
        <v>7177</v>
      </c>
      <c r="J2226" s="8" t="s">
        <v>7178</v>
      </c>
    </row>
    <row r="2227">
      <c r="A2227" s="7">
        <v>2.0050018E7</v>
      </c>
      <c r="B2227" s="8" t="s">
        <v>3445</v>
      </c>
      <c r="C2227" s="8" t="s">
        <v>7179</v>
      </c>
      <c r="D2227" s="8" t="s">
        <v>16</v>
      </c>
      <c r="E2227" s="8" t="s">
        <v>17</v>
      </c>
      <c r="F2227" s="9">
        <v>46127.0</v>
      </c>
      <c r="G2227" s="8" t="s">
        <v>1880</v>
      </c>
      <c r="H2227" s="8" t="s">
        <v>55</v>
      </c>
      <c r="I2227" s="8" t="s">
        <v>7180</v>
      </c>
      <c r="J2227" s="8" t="s">
        <v>7181</v>
      </c>
    </row>
    <row r="2228">
      <c r="A2228" s="7">
        <v>2.0048675E7</v>
      </c>
      <c r="B2228" s="8" t="s">
        <v>3445</v>
      </c>
      <c r="C2228" s="8" t="s">
        <v>7182</v>
      </c>
      <c r="D2228" s="8" t="s">
        <v>16</v>
      </c>
      <c r="E2228" s="8" t="s">
        <v>17</v>
      </c>
      <c r="F2228" s="9">
        <v>46115.0</v>
      </c>
      <c r="G2228" s="8" t="s">
        <v>6254</v>
      </c>
      <c r="H2228" s="8" t="s">
        <v>6255</v>
      </c>
      <c r="I2228" s="8" t="s">
        <v>7183</v>
      </c>
      <c r="J2228" s="8" t="s">
        <v>7184</v>
      </c>
    </row>
    <row r="2229">
      <c r="A2229" s="7">
        <v>2.0047222E7</v>
      </c>
      <c r="B2229" s="8" t="s">
        <v>3445</v>
      </c>
      <c r="C2229" s="8" t="s">
        <v>7185</v>
      </c>
      <c r="D2229" s="8" t="s">
        <v>16</v>
      </c>
      <c r="E2229" s="8" t="s">
        <v>17</v>
      </c>
      <c r="F2229" s="9">
        <v>46108.0</v>
      </c>
      <c r="G2229" s="8" t="s">
        <v>18</v>
      </c>
      <c r="H2229" s="8" t="s">
        <v>19</v>
      </c>
      <c r="I2229" s="8" t="s">
        <v>7186</v>
      </c>
      <c r="J2229" s="8" t="s">
        <v>7187</v>
      </c>
    </row>
    <row r="2230">
      <c r="A2230" s="7">
        <v>2.0044576E7</v>
      </c>
      <c r="B2230" s="8" t="s">
        <v>3445</v>
      </c>
      <c r="C2230" s="8" t="s">
        <v>7188</v>
      </c>
      <c r="D2230" s="8" t="s">
        <v>16</v>
      </c>
      <c r="E2230" s="8" t="s">
        <v>17</v>
      </c>
      <c r="F2230" s="9">
        <v>46097.0</v>
      </c>
      <c r="G2230" s="8" t="s">
        <v>59</v>
      </c>
      <c r="H2230" s="8" t="s">
        <v>60</v>
      </c>
      <c r="I2230" s="8" t="s">
        <v>7189</v>
      </c>
      <c r="J2230" s="8" t="s">
        <v>7190</v>
      </c>
    </row>
    <row r="2231">
      <c r="A2231" s="7">
        <v>2.0046156E7</v>
      </c>
      <c r="B2231" s="8" t="s">
        <v>3445</v>
      </c>
      <c r="C2231" s="8" t="s">
        <v>7191</v>
      </c>
      <c r="D2231" s="8" t="s">
        <v>16</v>
      </c>
      <c r="E2231" s="8" t="s">
        <v>17</v>
      </c>
      <c r="F2231" s="9">
        <v>46081.0</v>
      </c>
      <c r="G2231" s="8" t="s">
        <v>59</v>
      </c>
      <c r="H2231" s="8" t="s">
        <v>60</v>
      </c>
      <c r="I2231" s="8" t="s">
        <v>7192</v>
      </c>
      <c r="J2231" s="8" t="s">
        <v>7193</v>
      </c>
    </row>
    <row r="2232">
      <c r="A2232" s="7">
        <v>2.0043243E7</v>
      </c>
      <c r="B2232" s="8" t="s">
        <v>3445</v>
      </c>
      <c r="C2232" s="8" t="s">
        <v>7194</v>
      </c>
      <c r="D2232" s="8" t="s">
        <v>16</v>
      </c>
      <c r="E2232" s="8" t="s">
        <v>17</v>
      </c>
      <c r="F2232" s="9">
        <v>46081.0</v>
      </c>
      <c r="G2232" s="8" t="s">
        <v>75</v>
      </c>
      <c r="H2232" s="8" t="s">
        <v>76</v>
      </c>
      <c r="I2232" s="8" t="s">
        <v>7195</v>
      </c>
      <c r="J2232" s="8" t="s">
        <v>7196</v>
      </c>
    </row>
    <row r="2233">
      <c r="A2233" s="7">
        <v>2.0042087E7</v>
      </c>
      <c r="B2233" s="8" t="s">
        <v>3445</v>
      </c>
      <c r="C2233" s="8" t="s">
        <v>7197</v>
      </c>
      <c r="D2233" s="8" t="s">
        <v>16</v>
      </c>
      <c r="E2233" s="8" t="s">
        <v>17</v>
      </c>
      <c r="F2233" s="9">
        <v>46082.0</v>
      </c>
      <c r="G2233" s="8" t="s">
        <v>7198</v>
      </c>
      <c r="H2233" s="8" t="s">
        <v>7199</v>
      </c>
      <c r="I2233" s="8" t="s">
        <v>7200</v>
      </c>
      <c r="J2233" s="8" t="s">
        <v>7201</v>
      </c>
    </row>
    <row r="2234">
      <c r="A2234" s="7">
        <v>2.0036201E7</v>
      </c>
      <c r="B2234" s="8" t="s">
        <v>3445</v>
      </c>
      <c r="C2234" s="8" t="s">
        <v>7202</v>
      </c>
      <c r="D2234" s="8" t="s">
        <v>16</v>
      </c>
      <c r="E2234" s="8" t="s">
        <v>17</v>
      </c>
      <c r="F2234" s="9">
        <v>46061.0</v>
      </c>
      <c r="G2234" s="8" t="s">
        <v>59</v>
      </c>
      <c r="H2234" s="8" t="s">
        <v>60</v>
      </c>
      <c r="I2234" s="8" t="s">
        <v>7203</v>
      </c>
      <c r="J2234" s="8" t="s">
        <v>7204</v>
      </c>
    </row>
    <row r="2235">
      <c r="A2235" s="7">
        <v>2.0072987E7</v>
      </c>
      <c r="B2235" s="8" t="s">
        <v>3445</v>
      </c>
      <c r="C2235" s="8" t="s">
        <v>7205</v>
      </c>
      <c r="D2235" s="8" t="s">
        <v>16</v>
      </c>
      <c r="E2235" s="8" t="s">
        <v>17</v>
      </c>
      <c r="F2235" s="9">
        <v>46193.0</v>
      </c>
      <c r="G2235" s="8" t="s">
        <v>59</v>
      </c>
      <c r="H2235" s="8" t="s">
        <v>60</v>
      </c>
      <c r="I2235" s="8" t="s">
        <v>7206</v>
      </c>
      <c r="J2235" s="8" t="s">
        <v>7207</v>
      </c>
    </row>
    <row r="2236">
      <c r="A2236" s="7">
        <v>2.00687E7</v>
      </c>
      <c r="B2236" s="8" t="s">
        <v>3445</v>
      </c>
      <c r="C2236" s="8" t="s">
        <v>7208</v>
      </c>
      <c r="D2236" s="8" t="s">
        <v>16</v>
      </c>
      <c r="E2236" s="8" t="s">
        <v>17</v>
      </c>
      <c r="F2236" s="9">
        <v>46193.0</v>
      </c>
      <c r="G2236" s="8" t="s">
        <v>805</v>
      </c>
      <c r="H2236" s="8" t="s">
        <v>806</v>
      </c>
      <c r="I2236" s="8" t="s">
        <v>7209</v>
      </c>
      <c r="J2236" s="8" t="s">
        <v>7210</v>
      </c>
    </row>
    <row r="2237">
      <c r="A2237" s="7">
        <v>2.0067103E7</v>
      </c>
      <c r="B2237" s="8" t="s">
        <v>3445</v>
      </c>
      <c r="C2237" s="8" t="s">
        <v>7211</v>
      </c>
      <c r="D2237" s="8" t="s">
        <v>16</v>
      </c>
      <c r="E2237" s="8" t="s">
        <v>17</v>
      </c>
      <c r="F2237" s="9">
        <v>46186.0</v>
      </c>
      <c r="G2237" s="8" t="s">
        <v>54</v>
      </c>
      <c r="H2237" s="8" t="s">
        <v>6010</v>
      </c>
      <c r="I2237" s="8" t="s">
        <v>7212</v>
      </c>
      <c r="J2237" s="8" t="s">
        <v>7213</v>
      </c>
    </row>
    <row r="2238">
      <c r="A2238" s="7">
        <v>2.0065334E7</v>
      </c>
      <c r="B2238" s="8" t="s">
        <v>3445</v>
      </c>
      <c r="C2238" s="8" t="s">
        <v>7214</v>
      </c>
      <c r="D2238" s="8" t="s">
        <v>16</v>
      </c>
      <c r="E2238" s="8" t="s">
        <v>17</v>
      </c>
      <c r="F2238" s="9">
        <v>46172.0</v>
      </c>
      <c r="G2238" s="8" t="s">
        <v>971</v>
      </c>
      <c r="H2238" s="8" t="s">
        <v>972</v>
      </c>
      <c r="I2238" s="8" t="s">
        <v>7215</v>
      </c>
      <c r="J2238" s="8" t="s">
        <v>7216</v>
      </c>
    </row>
    <row r="2239">
      <c r="A2239" s="7">
        <v>2.0065587E7</v>
      </c>
      <c r="B2239" s="8" t="s">
        <v>3445</v>
      </c>
      <c r="C2239" s="8" t="s">
        <v>7217</v>
      </c>
      <c r="D2239" s="8" t="s">
        <v>16</v>
      </c>
      <c r="E2239" s="8" t="s">
        <v>17</v>
      </c>
      <c r="F2239" s="9">
        <v>46187.0</v>
      </c>
      <c r="G2239" s="8" t="s">
        <v>171</v>
      </c>
      <c r="H2239" s="8" t="s">
        <v>172</v>
      </c>
      <c r="I2239" s="8" t="s">
        <v>7218</v>
      </c>
      <c r="J2239" s="8" t="s">
        <v>7219</v>
      </c>
    </row>
    <row r="2240">
      <c r="A2240" s="7">
        <v>2.0065412E7</v>
      </c>
      <c r="B2240" s="8" t="s">
        <v>3445</v>
      </c>
      <c r="C2240" s="8" t="s">
        <v>7220</v>
      </c>
      <c r="D2240" s="8" t="s">
        <v>16</v>
      </c>
      <c r="E2240" s="8" t="s">
        <v>17</v>
      </c>
      <c r="F2240" s="9">
        <v>46192.0</v>
      </c>
      <c r="G2240" s="8" t="s">
        <v>158</v>
      </c>
      <c r="H2240" s="8" t="s">
        <v>159</v>
      </c>
      <c r="I2240" s="8" t="s">
        <v>7221</v>
      </c>
      <c r="J2240" s="8" t="s">
        <v>7222</v>
      </c>
    </row>
    <row r="2241">
      <c r="A2241" s="7">
        <v>2.0062548E7</v>
      </c>
      <c r="B2241" s="8" t="s">
        <v>3445</v>
      </c>
      <c r="C2241" s="8" t="s">
        <v>7223</v>
      </c>
      <c r="D2241" s="8" t="s">
        <v>16</v>
      </c>
      <c r="E2241" s="8" t="s">
        <v>17</v>
      </c>
      <c r="F2241" s="9">
        <v>46182.0</v>
      </c>
      <c r="G2241" s="8" t="s">
        <v>158</v>
      </c>
      <c r="H2241" s="8" t="s">
        <v>159</v>
      </c>
      <c r="I2241" s="8" t="s">
        <v>7224</v>
      </c>
      <c r="J2241" s="8" t="s">
        <v>7225</v>
      </c>
    </row>
    <row r="2242">
      <c r="A2242" s="7">
        <v>2.0060663E7</v>
      </c>
      <c r="B2242" s="8" t="s">
        <v>3445</v>
      </c>
      <c r="C2242" s="8" t="s">
        <v>7226</v>
      </c>
      <c r="D2242" s="8" t="s">
        <v>16</v>
      </c>
      <c r="E2242" s="8" t="s">
        <v>17</v>
      </c>
      <c r="F2242" s="9">
        <v>46149.0</v>
      </c>
      <c r="G2242" s="8" t="s">
        <v>7227</v>
      </c>
      <c r="H2242" s="8" t="s">
        <v>7228</v>
      </c>
      <c r="I2242" s="8" t="s">
        <v>7229</v>
      </c>
      <c r="J2242" s="8" t="s">
        <v>7230</v>
      </c>
    </row>
    <row r="2243">
      <c r="A2243" s="7">
        <v>2.0060663E7</v>
      </c>
      <c r="B2243" s="8" t="s">
        <v>3445</v>
      </c>
      <c r="C2243" s="8" t="s">
        <v>7226</v>
      </c>
      <c r="D2243" s="8" t="s">
        <v>16</v>
      </c>
      <c r="E2243" s="8" t="s">
        <v>17</v>
      </c>
      <c r="F2243" s="9">
        <v>46149.0</v>
      </c>
      <c r="G2243" s="8" t="s">
        <v>7231</v>
      </c>
      <c r="H2243" s="8" t="s">
        <v>7232</v>
      </c>
      <c r="I2243" s="8" t="s">
        <v>7233</v>
      </c>
      <c r="J2243" s="8" t="s">
        <v>7234</v>
      </c>
    </row>
    <row r="2244">
      <c r="A2244" s="7">
        <v>2.0043749E7</v>
      </c>
      <c r="B2244" s="8" t="s">
        <v>3445</v>
      </c>
      <c r="C2244" s="8" t="s">
        <v>7235</v>
      </c>
      <c r="D2244" s="8" t="s">
        <v>16</v>
      </c>
      <c r="E2244" s="8" t="s">
        <v>17</v>
      </c>
      <c r="F2244" s="9">
        <v>46119.0</v>
      </c>
      <c r="G2244" s="8" t="s">
        <v>2122</v>
      </c>
      <c r="H2244" s="8" t="s">
        <v>2123</v>
      </c>
      <c r="I2244" s="8" t="s">
        <v>7236</v>
      </c>
      <c r="J2244" s="8" t="s">
        <v>7237</v>
      </c>
    </row>
    <row r="2245">
      <c r="A2245" s="7">
        <v>2.0048018E7</v>
      </c>
      <c r="B2245" s="8" t="s">
        <v>3445</v>
      </c>
      <c r="C2245" s="8" t="s">
        <v>7238</v>
      </c>
      <c r="D2245" s="8" t="s">
        <v>16</v>
      </c>
      <c r="E2245" s="8" t="s">
        <v>17</v>
      </c>
      <c r="F2245" s="9">
        <v>46107.0</v>
      </c>
      <c r="G2245" s="8" t="s">
        <v>234</v>
      </c>
      <c r="H2245" s="8" t="s">
        <v>235</v>
      </c>
      <c r="I2245" s="8" t="s">
        <v>7239</v>
      </c>
      <c r="J2245" s="8" t="s">
        <v>7240</v>
      </c>
    </row>
    <row r="2246">
      <c r="A2246" s="7">
        <v>2.0049389E7</v>
      </c>
      <c r="B2246" s="8" t="s">
        <v>3445</v>
      </c>
      <c r="C2246" s="8" t="s">
        <v>7241</v>
      </c>
      <c r="D2246" s="8" t="s">
        <v>16</v>
      </c>
      <c r="E2246" s="8" t="s">
        <v>17</v>
      </c>
      <c r="F2246" s="9">
        <v>46127.0</v>
      </c>
      <c r="G2246" s="8" t="s">
        <v>7242</v>
      </c>
      <c r="H2246" s="8" t="s">
        <v>7243</v>
      </c>
      <c r="I2246" s="8" t="s">
        <v>7244</v>
      </c>
      <c r="J2246" s="8" t="s">
        <v>7245</v>
      </c>
    </row>
    <row r="2247">
      <c r="A2247" s="7">
        <v>2.0048659E7</v>
      </c>
      <c r="B2247" s="8" t="s">
        <v>3445</v>
      </c>
      <c r="C2247" s="8" t="s">
        <v>7246</v>
      </c>
      <c r="D2247" s="8" t="s">
        <v>16</v>
      </c>
      <c r="E2247" s="8" t="s">
        <v>17</v>
      </c>
      <c r="F2247" s="9">
        <v>46094.0</v>
      </c>
      <c r="G2247" s="8" t="s">
        <v>365</v>
      </c>
      <c r="H2247" s="8" t="s">
        <v>366</v>
      </c>
      <c r="I2247" s="8" t="s">
        <v>7247</v>
      </c>
      <c r="J2247" s="8" t="s">
        <v>7248</v>
      </c>
    </row>
    <row r="2248">
      <c r="A2248" s="7">
        <v>2.004616E7</v>
      </c>
      <c r="B2248" s="8" t="s">
        <v>3445</v>
      </c>
      <c r="C2248" s="8" t="s">
        <v>7249</v>
      </c>
      <c r="D2248" s="8" t="s">
        <v>16</v>
      </c>
      <c r="E2248" s="8" t="s">
        <v>17</v>
      </c>
      <c r="F2248" s="9">
        <v>46084.0</v>
      </c>
      <c r="G2248" s="8" t="s">
        <v>978</v>
      </c>
      <c r="H2248" s="8" t="s">
        <v>979</v>
      </c>
      <c r="I2248" s="8" t="s">
        <v>7250</v>
      </c>
      <c r="J2248" s="8" t="s">
        <v>7251</v>
      </c>
    </row>
    <row r="2249">
      <c r="A2249" s="7">
        <v>2.004453E7</v>
      </c>
      <c r="B2249" s="8" t="s">
        <v>3445</v>
      </c>
      <c r="C2249" s="8" t="s">
        <v>7252</v>
      </c>
      <c r="D2249" s="8" t="s">
        <v>16</v>
      </c>
      <c r="E2249" s="8" t="s">
        <v>17</v>
      </c>
      <c r="F2249" s="9">
        <v>46086.0</v>
      </c>
      <c r="G2249" s="8" t="s">
        <v>339</v>
      </c>
      <c r="H2249" s="8" t="s">
        <v>340</v>
      </c>
      <c r="I2249" s="8" t="s">
        <v>7253</v>
      </c>
      <c r="J2249" s="8"/>
    </row>
    <row r="2250">
      <c r="A2250" s="7">
        <v>2.003801E7</v>
      </c>
      <c r="B2250" s="8" t="s">
        <v>3445</v>
      </c>
      <c r="C2250" s="8" t="s">
        <v>7254</v>
      </c>
      <c r="D2250" s="8" t="s">
        <v>16</v>
      </c>
      <c r="E2250" s="8" t="s">
        <v>17</v>
      </c>
      <c r="F2250" s="9">
        <v>46141.0</v>
      </c>
      <c r="G2250" s="8" t="s">
        <v>613</v>
      </c>
      <c r="H2250" s="8" t="s">
        <v>614</v>
      </c>
      <c r="I2250" s="8" t="s">
        <v>7255</v>
      </c>
      <c r="J2250" s="8" t="s">
        <v>7256</v>
      </c>
    </row>
    <row r="2251">
      <c r="A2251" s="7">
        <v>2.003801E7</v>
      </c>
      <c r="B2251" s="8" t="s">
        <v>3445</v>
      </c>
      <c r="C2251" s="8" t="s">
        <v>7254</v>
      </c>
      <c r="D2251" s="8" t="s">
        <v>16</v>
      </c>
      <c r="E2251" s="8" t="s">
        <v>17</v>
      </c>
      <c r="F2251" s="9">
        <v>46141.0</v>
      </c>
      <c r="G2251" s="8" t="s">
        <v>613</v>
      </c>
      <c r="H2251" s="8" t="s">
        <v>614</v>
      </c>
      <c r="I2251" s="8" t="s">
        <v>7257</v>
      </c>
      <c r="J2251" s="8" t="s">
        <v>7255</v>
      </c>
    </row>
    <row r="2252">
      <c r="A2252" s="7">
        <v>2.003839E7</v>
      </c>
      <c r="B2252" s="8" t="s">
        <v>3445</v>
      </c>
      <c r="C2252" s="8" t="s">
        <v>7258</v>
      </c>
      <c r="D2252" s="8" t="s">
        <v>16</v>
      </c>
      <c r="E2252" s="8" t="s">
        <v>17</v>
      </c>
      <c r="F2252" s="9">
        <v>46061.0</v>
      </c>
      <c r="G2252" s="8" t="s">
        <v>59</v>
      </c>
      <c r="H2252" s="8" t="s">
        <v>60</v>
      </c>
      <c r="I2252" s="8" t="s">
        <v>7259</v>
      </c>
      <c r="J2252" s="8" t="s">
        <v>7260</v>
      </c>
    </row>
    <row r="2253">
      <c r="A2253" s="7">
        <v>2.0035067E7</v>
      </c>
      <c r="B2253" s="8" t="s">
        <v>3445</v>
      </c>
      <c r="C2253" s="8" t="s">
        <v>7261</v>
      </c>
      <c r="D2253" s="8" t="s">
        <v>16</v>
      </c>
      <c r="E2253" s="8" t="s">
        <v>17</v>
      </c>
      <c r="F2253" s="9">
        <v>46051.0</v>
      </c>
      <c r="G2253" s="8" t="s">
        <v>923</v>
      </c>
      <c r="H2253" s="8" t="s">
        <v>71</v>
      </c>
      <c r="I2253" s="8" t="s">
        <v>7262</v>
      </c>
      <c r="J2253" s="8" t="s">
        <v>7263</v>
      </c>
    </row>
    <row r="2254">
      <c r="A2254" s="7">
        <v>2.0071785E7</v>
      </c>
      <c r="B2254" s="8" t="s">
        <v>3445</v>
      </c>
      <c r="C2254" s="8" t="s">
        <v>7264</v>
      </c>
      <c r="D2254" s="8" t="s">
        <v>2136</v>
      </c>
      <c r="E2254" s="8" t="s">
        <v>17</v>
      </c>
      <c r="F2254" s="9">
        <v>46188.0</v>
      </c>
      <c r="G2254" s="8" t="s">
        <v>59</v>
      </c>
      <c r="H2254" s="8" t="s">
        <v>60</v>
      </c>
      <c r="I2254" s="8" t="s">
        <v>7265</v>
      </c>
      <c r="J2254" s="8" t="s">
        <v>7266</v>
      </c>
    </row>
    <row r="2255">
      <c r="A2255" s="7">
        <v>2.006417E7</v>
      </c>
      <c r="B2255" s="8" t="s">
        <v>3445</v>
      </c>
      <c r="C2255" s="8" t="s">
        <v>7267</v>
      </c>
      <c r="D2255" s="8" t="s">
        <v>16</v>
      </c>
      <c r="E2255" s="8" t="s">
        <v>17</v>
      </c>
      <c r="F2255" s="9">
        <v>46173.0</v>
      </c>
      <c r="G2255" s="8" t="s">
        <v>109</v>
      </c>
      <c r="H2255" s="8" t="s">
        <v>110</v>
      </c>
      <c r="I2255" s="8" t="s">
        <v>7268</v>
      </c>
      <c r="J2255" s="8" t="s">
        <v>7269</v>
      </c>
    </row>
    <row r="2256">
      <c r="A2256" s="7">
        <v>2.0065366E7</v>
      </c>
      <c r="B2256" s="8" t="s">
        <v>3445</v>
      </c>
      <c r="C2256" s="8" t="s">
        <v>7270</v>
      </c>
      <c r="D2256" s="8" t="s">
        <v>2136</v>
      </c>
      <c r="E2256" s="8" t="s">
        <v>17</v>
      </c>
      <c r="F2256" s="9">
        <v>46162.0</v>
      </c>
      <c r="G2256" s="8" t="s">
        <v>339</v>
      </c>
      <c r="H2256" s="8" t="s">
        <v>340</v>
      </c>
      <c r="I2256" s="8" t="s">
        <v>7271</v>
      </c>
      <c r="J2256" s="8" t="s">
        <v>7272</v>
      </c>
    </row>
    <row r="2257">
      <c r="A2257" s="7">
        <v>2.0063152E7</v>
      </c>
      <c r="B2257" s="8" t="s">
        <v>3445</v>
      </c>
      <c r="C2257" s="8" t="s">
        <v>7273</v>
      </c>
      <c r="D2257" s="8" t="s">
        <v>16</v>
      </c>
      <c r="E2257" s="8" t="s">
        <v>17</v>
      </c>
      <c r="F2257" s="9">
        <v>46163.0</v>
      </c>
      <c r="G2257" s="8" t="s">
        <v>923</v>
      </c>
      <c r="H2257" s="8" t="s">
        <v>7274</v>
      </c>
      <c r="I2257" s="8" t="s">
        <v>7275</v>
      </c>
      <c r="J2257" s="8" t="s">
        <v>7276</v>
      </c>
    </row>
    <row r="2258">
      <c r="A2258" s="7">
        <v>2.0062516E7</v>
      </c>
      <c r="B2258" s="8" t="s">
        <v>3445</v>
      </c>
      <c r="C2258" s="8" t="s">
        <v>7277</v>
      </c>
      <c r="D2258" s="8" t="s">
        <v>16</v>
      </c>
      <c r="E2258" s="8" t="s">
        <v>17</v>
      </c>
      <c r="F2258" s="9">
        <v>46172.0</v>
      </c>
      <c r="G2258" s="8" t="s">
        <v>132</v>
      </c>
      <c r="H2258" s="8" t="s">
        <v>133</v>
      </c>
      <c r="I2258" s="8" t="s">
        <v>7278</v>
      </c>
      <c r="J2258" s="8" t="s">
        <v>7279</v>
      </c>
    </row>
    <row r="2259">
      <c r="A2259" s="7">
        <v>2.0058571E7</v>
      </c>
      <c r="B2259" s="8" t="s">
        <v>3445</v>
      </c>
      <c r="C2259" s="8" t="s">
        <v>7280</v>
      </c>
      <c r="D2259" s="8" t="s">
        <v>16</v>
      </c>
      <c r="E2259" s="8" t="s">
        <v>17</v>
      </c>
      <c r="F2259" s="9">
        <v>46136.0</v>
      </c>
      <c r="G2259" s="8" t="s">
        <v>1949</v>
      </c>
      <c r="H2259" s="8" t="s">
        <v>1950</v>
      </c>
      <c r="I2259" s="8" t="s">
        <v>7281</v>
      </c>
      <c r="J2259" s="8" t="s">
        <v>7282</v>
      </c>
    </row>
    <row r="2260">
      <c r="A2260" s="7">
        <v>2.0056276E7</v>
      </c>
      <c r="B2260" s="8" t="s">
        <v>3445</v>
      </c>
      <c r="C2260" s="8" t="s">
        <v>7283</v>
      </c>
      <c r="D2260" s="8" t="s">
        <v>16</v>
      </c>
      <c r="E2260" s="8" t="s">
        <v>17</v>
      </c>
      <c r="F2260" s="9">
        <v>46139.0</v>
      </c>
      <c r="G2260" s="8" t="s">
        <v>91</v>
      </c>
      <c r="H2260" s="8" t="s">
        <v>92</v>
      </c>
      <c r="I2260" s="8" t="s">
        <v>7284</v>
      </c>
      <c r="J2260" s="8" t="s">
        <v>7285</v>
      </c>
    </row>
    <row r="2261">
      <c r="A2261" s="7">
        <v>2.0052122E7</v>
      </c>
      <c r="B2261" s="8" t="s">
        <v>3445</v>
      </c>
      <c r="C2261" s="8" t="s">
        <v>7286</v>
      </c>
      <c r="D2261" s="8" t="s">
        <v>16</v>
      </c>
      <c r="E2261" s="8" t="s">
        <v>17</v>
      </c>
      <c r="F2261" s="9">
        <v>46130.0</v>
      </c>
      <c r="G2261" s="8" t="s">
        <v>59</v>
      </c>
      <c r="H2261" s="8" t="s">
        <v>60</v>
      </c>
      <c r="I2261" s="8" t="s">
        <v>7287</v>
      </c>
      <c r="J2261" s="8" t="s">
        <v>7288</v>
      </c>
    </row>
    <row r="2262">
      <c r="A2262" s="7">
        <v>2.0054674E7</v>
      </c>
      <c r="B2262" s="8" t="s">
        <v>3445</v>
      </c>
      <c r="C2262" s="8" t="s">
        <v>7289</v>
      </c>
      <c r="D2262" s="8" t="s">
        <v>16</v>
      </c>
      <c r="E2262" s="8" t="s">
        <v>17</v>
      </c>
      <c r="F2262" s="9">
        <v>46131.0</v>
      </c>
      <c r="G2262" s="8" t="s">
        <v>59</v>
      </c>
      <c r="H2262" s="8" t="s">
        <v>60</v>
      </c>
      <c r="I2262" s="8" t="s">
        <v>7290</v>
      </c>
      <c r="J2262" s="8" t="s">
        <v>7291</v>
      </c>
    </row>
    <row r="2263">
      <c r="A2263" s="7">
        <v>2.0054751E7</v>
      </c>
      <c r="B2263" s="8" t="s">
        <v>3445</v>
      </c>
      <c r="C2263" s="8" t="s">
        <v>7292</v>
      </c>
      <c r="D2263" s="8" t="s">
        <v>16</v>
      </c>
      <c r="E2263" s="8" t="s">
        <v>1074</v>
      </c>
      <c r="F2263" s="9">
        <v>46127.0</v>
      </c>
      <c r="G2263" s="8" t="s">
        <v>7293</v>
      </c>
      <c r="H2263" s="8" t="s">
        <v>7294</v>
      </c>
      <c r="I2263" s="8" t="s">
        <v>7295</v>
      </c>
      <c r="J2263" s="8"/>
    </row>
    <row r="2264">
      <c r="A2264" s="7">
        <v>2.0055269E7</v>
      </c>
      <c r="B2264" s="8" t="s">
        <v>3445</v>
      </c>
      <c r="C2264" s="8" t="s">
        <v>7296</v>
      </c>
      <c r="D2264" s="8" t="s">
        <v>16</v>
      </c>
      <c r="E2264" s="8" t="s">
        <v>17</v>
      </c>
      <c r="F2264" s="9">
        <v>46134.0</v>
      </c>
      <c r="G2264" s="8" t="s">
        <v>1427</v>
      </c>
      <c r="H2264" s="8" t="s">
        <v>1428</v>
      </c>
      <c r="I2264" s="8" t="s">
        <v>7297</v>
      </c>
      <c r="J2264" s="8" t="s">
        <v>7298</v>
      </c>
    </row>
    <row r="2265">
      <c r="A2265" s="7">
        <v>2.0052924E7</v>
      </c>
      <c r="B2265" s="8" t="s">
        <v>3445</v>
      </c>
      <c r="C2265" s="8" t="s">
        <v>7299</v>
      </c>
      <c r="D2265" s="8" t="s">
        <v>16</v>
      </c>
      <c r="E2265" s="8" t="s">
        <v>17</v>
      </c>
      <c r="F2265" s="9">
        <v>46129.0</v>
      </c>
      <c r="G2265" s="8" t="s">
        <v>1085</v>
      </c>
      <c r="H2265" s="8" t="s">
        <v>1086</v>
      </c>
      <c r="I2265" s="8" t="s">
        <v>7300</v>
      </c>
      <c r="J2265" s="8" t="s">
        <v>7301</v>
      </c>
    </row>
    <row r="2266">
      <c r="A2266" s="7">
        <v>2.0051685E7</v>
      </c>
      <c r="B2266" s="8" t="s">
        <v>3445</v>
      </c>
      <c r="C2266" s="8" t="s">
        <v>7302</v>
      </c>
      <c r="D2266" s="8" t="s">
        <v>2136</v>
      </c>
      <c r="E2266" s="8" t="s">
        <v>17</v>
      </c>
      <c r="F2266" s="9">
        <v>46109.0</v>
      </c>
      <c r="G2266" s="8" t="s">
        <v>2294</v>
      </c>
      <c r="H2266" s="8" t="s">
        <v>2295</v>
      </c>
      <c r="I2266" s="8" t="s">
        <v>7303</v>
      </c>
      <c r="J2266" s="8" t="s">
        <v>7304</v>
      </c>
    </row>
    <row r="2267">
      <c r="A2267" s="7">
        <v>2.0050415E7</v>
      </c>
      <c r="B2267" s="8" t="s">
        <v>3445</v>
      </c>
      <c r="C2267" s="8" t="s">
        <v>7305</v>
      </c>
      <c r="D2267" s="8" t="s">
        <v>16</v>
      </c>
      <c r="E2267" s="8" t="s">
        <v>17</v>
      </c>
      <c r="F2267" s="9">
        <v>46112.0</v>
      </c>
      <c r="G2267" s="8" t="s">
        <v>119</v>
      </c>
      <c r="H2267" s="8" t="s">
        <v>120</v>
      </c>
      <c r="I2267" s="8" t="s">
        <v>7306</v>
      </c>
      <c r="J2267" s="8" t="s">
        <v>7307</v>
      </c>
    </row>
    <row r="2268">
      <c r="A2268" s="7">
        <v>2.0046707E7</v>
      </c>
      <c r="B2268" s="8" t="s">
        <v>3445</v>
      </c>
      <c r="C2268" s="8" t="s">
        <v>7308</v>
      </c>
      <c r="D2268" s="8" t="s">
        <v>16</v>
      </c>
      <c r="E2268" s="8" t="s">
        <v>17</v>
      </c>
      <c r="F2268" s="9">
        <v>46090.0</v>
      </c>
      <c r="G2268" s="8" t="s">
        <v>630</v>
      </c>
      <c r="H2268" s="8" t="s">
        <v>631</v>
      </c>
      <c r="I2268" s="8" t="s">
        <v>7309</v>
      </c>
      <c r="J2268" s="8" t="s">
        <v>7310</v>
      </c>
    </row>
    <row r="2269">
      <c r="A2269" s="7">
        <v>2.0045093E7</v>
      </c>
      <c r="B2269" s="8" t="s">
        <v>3445</v>
      </c>
      <c r="C2269" s="8" t="s">
        <v>7311</v>
      </c>
      <c r="D2269" s="8" t="s">
        <v>2136</v>
      </c>
      <c r="E2269" s="8" t="s">
        <v>17</v>
      </c>
      <c r="F2269" s="9">
        <v>46080.0</v>
      </c>
      <c r="G2269" s="8" t="s">
        <v>2294</v>
      </c>
      <c r="H2269" s="8" t="s">
        <v>2295</v>
      </c>
      <c r="I2269" s="8" t="s">
        <v>7312</v>
      </c>
      <c r="J2269" s="8" t="s">
        <v>7313</v>
      </c>
    </row>
    <row r="2270">
      <c r="A2270" s="7">
        <v>2.0041355E7</v>
      </c>
      <c r="B2270" s="8" t="s">
        <v>3445</v>
      </c>
      <c r="C2270" s="8" t="s">
        <v>7314</v>
      </c>
      <c r="D2270" s="8" t="s">
        <v>16</v>
      </c>
      <c r="E2270" s="8" t="s">
        <v>17</v>
      </c>
      <c r="F2270" s="9">
        <v>46076.0</v>
      </c>
      <c r="G2270" s="8" t="s">
        <v>1132</v>
      </c>
      <c r="H2270" s="8" t="s">
        <v>1133</v>
      </c>
      <c r="I2270" s="8" t="s">
        <v>7315</v>
      </c>
      <c r="J2270" s="8" t="s">
        <v>7316</v>
      </c>
    </row>
    <row r="2271">
      <c r="A2271" s="7">
        <v>2.0040011E7</v>
      </c>
      <c r="B2271" s="8" t="s">
        <v>3445</v>
      </c>
      <c r="C2271" s="8" t="s">
        <v>7317</v>
      </c>
      <c r="D2271" s="8" t="s">
        <v>16</v>
      </c>
      <c r="E2271" s="8" t="s">
        <v>17</v>
      </c>
      <c r="F2271" s="9">
        <v>46074.0</v>
      </c>
      <c r="G2271" s="8" t="s">
        <v>3255</v>
      </c>
      <c r="H2271" s="8" t="s">
        <v>3256</v>
      </c>
      <c r="I2271" s="8" t="s">
        <v>7318</v>
      </c>
      <c r="J2271" s="8" t="s">
        <v>7319</v>
      </c>
    </row>
    <row r="2272">
      <c r="A2272" s="7">
        <v>2.0036711E7</v>
      </c>
      <c r="B2272" s="8" t="s">
        <v>3445</v>
      </c>
      <c r="C2272" s="8" t="s">
        <v>7320</v>
      </c>
      <c r="D2272" s="8" t="s">
        <v>16</v>
      </c>
      <c r="E2272" s="8" t="s">
        <v>48</v>
      </c>
      <c r="F2272" s="9">
        <v>46061.0</v>
      </c>
      <c r="G2272" s="8" t="s">
        <v>978</v>
      </c>
      <c r="H2272" s="8" t="s">
        <v>979</v>
      </c>
      <c r="I2272" s="8" t="s">
        <v>7321</v>
      </c>
      <c r="J2272" s="8"/>
    </row>
    <row r="2273">
      <c r="A2273" s="7">
        <v>2.0037917E7</v>
      </c>
      <c r="B2273" s="8" t="s">
        <v>3445</v>
      </c>
      <c r="C2273" s="8" t="s">
        <v>7322</v>
      </c>
      <c r="D2273" s="8" t="s">
        <v>16</v>
      </c>
      <c r="E2273" s="8" t="s">
        <v>17</v>
      </c>
      <c r="F2273" s="9">
        <v>46058.0</v>
      </c>
      <c r="G2273" s="8" t="s">
        <v>59</v>
      </c>
      <c r="H2273" s="8" t="s">
        <v>60</v>
      </c>
      <c r="I2273" s="8" t="s">
        <v>7323</v>
      </c>
      <c r="J2273" s="8" t="s">
        <v>7324</v>
      </c>
    </row>
    <row r="2274">
      <c r="A2274" s="7">
        <v>2.0037261E7</v>
      </c>
      <c r="B2274" s="8" t="s">
        <v>3445</v>
      </c>
      <c r="C2274" s="8" t="s">
        <v>7325</v>
      </c>
      <c r="D2274" s="8" t="s">
        <v>16</v>
      </c>
      <c r="E2274" s="8" t="s">
        <v>17</v>
      </c>
      <c r="F2274" s="9">
        <v>46072.0</v>
      </c>
      <c r="G2274" s="8" t="s">
        <v>1085</v>
      </c>
      <c r="H2274" s="8" t="s">
        <v>1086</v>
      </c>
      <c r="I2274" s="8" t="s">
        <v>7326</v>
      </c>
      <c r="J2274" s="8" t="s">
        <v>7327</v>
      </c>
    </row>
    <row r="2275">
      <c r="A2275" s="7">
        <v>2.0029934E7</v>
      </c>
      <c r="B2275" s="8" t="s">
        <v>3445</v>
      </c>
      <c r="C2275" s="8" t="s">
        <v>7328</v>
      </c>
      <c r="D2275" s="8" t="s">
        <v>16</v>
      </c>
      <c r="E2275" s="8" t="s">
        <v>17</v>
      </c>
      <c r="F2275" s="9">
        <v>46046.0</v>
      </c>
      <c r="G2275" s="8" t="s">
        <v>59</v>
      </c>
      <c r="H2275" s="8" t="s">
        <v>60</v>
      </c>
      <c r="I2275" s="8" t="s">
        <v>7329</v>
      </c>
      <c r="J2275" s="8"/>
    </row>
    <row r="2276">
      <c r="A2276" s="7">
        <v>2.0016758E7</v>
      </c>
      <c r="B2276" s="8" t="s">
        <v>3445</v>
      </c>
      <c r="C2276" s="8" t="s">
        <v>7330</v>
      </c>
      <c r="D2276" s="8" t="s">
        <v>16</v>
      </c>
      <c r="E2276" s="8" t="s">
        <v>17</v>
      </c>
      <c r="F2276" s="9">
        <v>46043.0</v>
      </c>
      <c r="G2276" s="8" t="s">
        <v>1461</v>
      </c>
      <c r="H2276" s="8" t="s">
        <v>1462</v>
      </c>
      <c r="I2276" s="8" t="s">
        <v>7331</v>
      </c>
      <c r="J2276" s="8" t="s">
        <v>7332</v>
      </c>
    </row>
    <row r="2277">
      <c r="A2277" s="7">
        <v>2.0029344E7</v>
      </c>
      <c r="B2277" s="8" t="s">
        <v>3445</v>
      </c>
      <c r="C2277" s="8" t="s">
        <v>7333</v>
      </c>
      <c r="D2277" s="8" t="s">
        <v>16</v>
      </c>
      <c r="E2277" s="8" t="s">
        <v>17</v>
      </c>
      <c r="F2277" s="9">
        <v>46042.0</v>
      </c>
      <c r="G2277" s="8" t="s">
        <v>59</v>
      </c>
      <c r="H2277" s="8" t="s">
        <v>60</v>
      </c>
      <c r="I2277" s="8" t="s">
        <v>7334</v>
      </c>
      <c r="J2277" s="8" t="s">
        <v>7335</v>
      </c>
    </row>
    <row r="2278">
      <c r="A2278" s="7">
        <v>2.0056472E7</v>
      </c>
      <c r="B2278" s="8" t="s">
        <v>3445</v>
      </c>
      <c r="C2278" s="8" t="s">
        <v>7336</v>
      </c>
      <c r="D2278" s="8" t="s">
        <v>16</v>
      </c>
      <c r="E2278" s="8" t="s">
        <v>17</v>
      </c>
      <c r="F2278" s="9">
        <v>46184.0</v>
      </c>
      <c r="G2278" s="8" t="s">
        <v>2625</v>
      </c>
      <c r="H2278" s="8" t="s">
        <v>3001</v>
      </c>
      <c r="I2278" s="8" t="s">
        <v>7337</v>
      </c>
      <c r="J2278" s="8" t="s">
        <v>7338</v>
      </c>
    </row>
    <row r="2279">
      <c r="A2279" s="7">
        <v>2.0056472E7</v>
      </c>
      <c r="B2279" s="8" t="s">
        <v>3445</v>
      </c>
      <c r="C2279" s="8" t="s">
        <v>7336</v>
      </c>
      <c r="D2279" s="8" t="s">
        <v>16</v>
      </c>
      <c r="E2279" s="8" t="s">
        <v>17</v>
      </c>
      <c r="F2279" s="9">
        <v>46184.0</v>
      </c>
      <c r="G2279" s="8" t="s">
        <v>3709</v>
      </c>
      <c r="H2279" s="8" t="s">
        <v>3710</v>
      </c>
      <c r="I2279" s="8" t="s">
        <v>7339</v>
      </c>
      <c r="J2279" s="8" t="s">
        <v>7340</v>
      </c>
    </row>
    <row r="2280">
      <c r="A2280" s="7">
        <v>2.0056472E7</v>
      </c>
      <c r="B2280" s="8" t="s">
        <v>3445</v>
      </c>
      <c r="C2280" s="8" t="s">
        <v>7336</v>
      </c>
      <c r="D2280" s="8" t="s">
        <v>16</v>
      </c>
      <c r="E2280" s="8" t="s">
        <v>17</v>
      </c>
      <c r="F2280" s="9">
        <v>46184.0</v>
      </c>
      <c r="G2280" s="8" t="s">
        <v>207</v>
      </c>
      <c r="H2280" s="8" t="s">
        <v>7341</v>
      </c>
      <c r="I2280" s="8" t="s">
        <v>7342</v>
      </c>
      <c r="J2280" s="8" t="s">
        <v>7343</v>
      </c>
    </row>
    <row r="2281">
      <c r="A2281" s="7">
        <v>2.0051216E7</v>
      </c>
      <c r="B2281" s="8" t="s">
        <v>3445</v>
      </c>
      <c r="C2281" s="8" t="s">
        <v>7344</v>
      </c>
      <c r="D2281" s="8" t="s">
        <v>16</v>
      </c>
      <c r="E2281" s="8" t="s">
        <v>17</v>
      </c>
      <c r="F2281" s="9">
        <v>46121.0</v>
      </c>
      <c r="G2281" s="8" t="s">
        <v>5317</v>
      </c>
      <c r="H2281" s="8" t="s">
        <v>5318</v>
      </c>
      <c r="I2281" s="8" t="s">
        <v>7345</v>
      </c>
      <c r="J2281" s="8" t="s">
        <v>7346</v>
      </c>
    </row>
    <row r="2282">
      <c r="A2282" s="7">
        <v>2.0051608E7</v>
      </c>
      <c r="B2282" s="8" t="s">
        <v>3445</v>
      </c>
      <c r="C2282" s="8" t="s">
        <v>7347</v>
      </c>
      <c r="D2282" s="8" t="s">
        <v>16</v>
      </c>
      <c r="E2282" s="8" t="s">
        <v>17</v>
      </c>
      <c r="F2282" s="9">
        <v>46131.0</v>
      </c>
      <c r="G2282" s="8" t="s">
        <v>171</v>
      </c>
      <c r="H2282" s="8" t="s">
        <v>172</v>
      </c>
      <c r="I2282" s="8" t="s">
        <v>7348</v>
      </c>
      <c r="J2282" s="8" t="s">
        <v>7349</v>
      </c>
    </row>
    <row r="2283">
      <c r="A2283" s="7">
        <v>2.0049997E7</v>
      </c>
      <c r="B2283" s="8" t="s">
        <v>3445</v>
      </c>
      <c r="C2283" s="8" t="s">
        <v>7350</v>
      </c>
      <c r="D2283" s="8" t="s">
        <v>16</v>
      </c>
      <c r="E2283" s="8" t="s">
        <v>17</v>
      </c>
      <c r="F2283" s="9">
        <v>46127.0</v>
      </c>
      <c r="G2283" s="8" t="s">
        <v>410</v>
      </c>
      <c r="H2283" s="8" t="s">
        <v>411</v>
      </c>
      <c r="I2283" s="8" t="s">
        <v>7351</v>
      </c>
      <c r="J2283" s="8" t="s">
        <v>7352</v>
      </c>
    </row>
    <row r="2284">
      <c r="A2284" s="7">
        <v>2.0046115E7</v>
      </c>
      <c r="B2284" s="8" t="s">
        <v>3445</v>
      </c>
      <c r="C2284" s="8" t="s">
        <v>7353</v>
      </c>
      <c r="D2284" s="8" t="s">
        <v>16</v>
      </c>
      <c r="E2284" s="8" t="s">
        <v>17</v>
      </c>
      <c r="F2284" s="9">
        <v>46104.0</v>
      </c>
      <c r="G2284" s="8" t="s">
        <v>7354</v>
      </c>
      <c r="H2284" s="8" t="s">
        <v>7355</v>
      </c>
      <c r="I2284" s="8" t="s">
        <v>7356</v>
      </c>
      <c r="J2284" s="8" t="s">
        <v>7357</v>
      </c>
    </row>
    <row r="2285">
      <c r="A2285" s="7">
        <v>2.0039486E7</v>
      </c>
      <c r="B2285" s="8" t="s">
        <v>3445</v>
      </c>
      <c r="C2285" s="8" t="s">
        <v>7358</v>
      </c>
      <c r="D2285" s="8" t="s">
        <v>16</v>
      </c>
      <c r="E2285" s="8" t="s">
        <v>17</v>
      </c>
      <c r="F2285" s="9">
        <v>46110.0</v>
      </c>
      <c r="G2285" s="8" t="s">
        <v>1174</v>
      </c>
      <c r="H2285" s="8" t="s">
        <v>1175</v>
      </c>
      <c r="I2285" s="8" t="s">
        <v>7359</v>
      </c>
      <c r="J2285" s="8" t="s">
        <v>7360</v>
      </c>
    </row>
    <row r="2286">
      <c r="A2286" s="7">
        <v>2.0045375E7</v>
      </c>
      <c r="B2286" s="8" t="s">
        <v>3445</v>
      </c>
      <c r="C2286" s="8" t="s">
        <v>7361</v>
      </c>
      <c r="D2286" s="8" t="s">
        <v>16</v>
      </c>
      <c r="E2286" s="8" t="s">
        <v>17</v>
      </c>
      <c r="F2286" s="9">
        <v>46098.0</v>
      </c>
      <c r="G2286" s="8" t="s">
        <v>1813</v>
      </c>
      <c r="H2286" s="8" t="s">
        <v>1814</v>
      </c>
      <c r="I2286" s="8" t="s">
        <v>7362</v>
      </c>
      <c r="J2286" s="8" t="s">
        <v>7363</v>
      </c>
    </row>
    <row r="2287">
      <c r="A2287" s="7">
        <v>2.0044731E7</v>
      </c>
      <c r="B2287" s="8" t="s">
        <v>3445</v>
      </c>
      <c r="C2287" s="8" t="s">
        <v>7364</v>
      </c>
      <c r="D2287" s="8" t="s">
        <v>16</v>
      </c>
      <c r="E2287" s="8" t="s">
        <v>17</v>
      </c>
      <c r="F2287" s="9">
        <v>46090.0</v>
      </c>
      <c r="G2287" s="8" t="s">
        <v>1508</v>
      </c>
      <c r="H2287" s="8" t="s">
        <v>1509</v>
      </c>
      <c r="I2287" s="8" t="s">
        <v>7365</v>
      </c>
      <c r="J2287" s="8" t="s">
        <v>7366</v>
      </c>
    </row>
    <row r="2288">
      <c r="A2288" s="7">
        <v>2.0044777E7</v>
      </c>
      <c r="B2288" s="8" t="s">
        <v>3445</v>
      </c>
      <c r="C2288" s="8" t="s">
        <v>7367</v>
      </c>
      <c r="D2288" s="8" t="s">
        <v>16</v>
      </c>
      <c r="E2288" s="8" t="s">
        <v>17</v>
      </c>
      <c r="F2288" s="9">
        <v>46076.0</v>
      </c>
      <c r="G2288" s="8" t="s">
        <v>6340</v>
      </c>
      <c r="H2288" s="8" t="s">
        <v>6341</v>
      </c>
      <c r="I2288" s="8" t="s">
        <v>7368</v>
      </c>
      <c r="J2288" s="8" t="s">
        <v>7369</v>
      </c>
    </row>
    <row r="2289">
      <c r="A2289" s="7">
        <v>2.0042544E7</v>
      </c>
      <c r="B2289" s="8" t="s">
        <v>3445</v>
      </c>
      <c r="C2289" s="8" t="s">
        <v>7370</v>
      </c>
      <c r="D2289" s="8" t="s">
        <v>16</v>
      </c>
      <c r="E2289" s="8" t="s">
        <v>17</v>
      </c>
      <c r="F2289" s="9">
        <v>46094.0</v>
      </c>
      <c r="G2289" s="8" t="s">
        <v>3709</v>
      </c>
      <c r="H2289" s="8" t="s">
        <v>3710</v>
      </c>
      <c r="I2289" s="8" t="s">
        <v>7371</v>
      </c>
      <c r="J2289" s="8" t="s">
        <v>7372</v>
      </c>
    </row>
    <row r="2290">
      <c r="A2290" s="7">
        <v>2.0041576E7</v>
      </c>
      <c r="B2290" s="8" t="s">
        <v>3445</v>
      </c>
      <c r="C2290" s="8" t="s">
        <v>7373</v>
      </c>
      <c r="D2290" s="8" t="s">
        <v>16</v>
      </c>
      <c r="E2290" s="8" t="s">
        <v>17</v>
      </c>
      <c r="F2290" s="9">
        <v>46091.0</v>
      </c>
      <c r="G2290" s="8" t="s">
        <v>49</v>
      </c>
      <c r="H2290" s="8" t="s">
        <v>50</v>
      </c>
      <c r="I2290" s="8" t="s">
        <v>7374</v>
      </c>
      <c r="J2290" s="8" t="s">
        <v>7375</v>
      </c>
    </row>
    <row r="2291">
      <c r="A2291" s="7">
        <v>2.0041534E7</v>
      </c>
      <c r="B2291" s="8" t="s">
        <v>3445</v>
      </c>
      <c r="C2291" s="8" t="s">
        <v>7376</v>
      </c>
      <c r="D2291" s="8" t="s">
        <v>16</v>
      </c>
      <c r="E2291" s="8" t="s">
        <v>17</v>
      </c>
      <c r="F2291" s="9">
        <v>46073.0</v>
      </c>
      <c r="G2291" s="8" t="s">
        <v>385</v>
      </c>
      <c r="H2291" s="8" t="s">
        <v>386</v>
      </c>
      <c r="I2291" s="8" t="s">
        <v>7377</v>
      </c>
      <c r="J2291" s="8" t="s">
        <v>7378</v>
      </c>
    </row>
    <row r="2292">
      <c r="A2292" s="7">
        <v>2.0024656E7</v>
      </c>
      <c r="B2292" s="8" t="s">
        <v>3445</v>
      </c>
      <c r="C2292" s="8" t="s">
        <v>7379</v>
      </c>
      <c r="D2292" s="8" t="s">
        <v>16</v>
      </c>
      <c r="E2292" s="8" t="s">
        <v>17</v>
      </c>
      <c r="F2292" s="9">
        <v>46081.0</v>
      </c>
      <c r="G2292" s="8" t="s">
        <v>282</v>
      </c>
      <c r="H2292" s="8" t="s">
        <v>71</v>
      </c>
      <c r="I2292" s="8" t="s">
        <v>7380</v>
      </c>
      <c r="J2292" s="8" t="s">
        <v>7381</v>
      </c>
    </row>
    <row r="2293">
      <c r="A2293" s="7">
        <v>2.0041397E7</v>
      </c>
      <c r="B2293" s="8" t="s">
        <v>3445</v>
      </c>
      <c r="C2293" s="8" t="s">
        <v>7382</v>
      </c>
      <c r="D2293" s="8" t="s">
        <v>16</v>
      </c>
      <c r="E2293" s="8" t="s">
        <v>17</v>
      </c>
      <c r="F2293" s="9">
        <v>46074.0</v>
      </c>
      <c r="G2293" s="8" t="s">
        <v>109</v>
      </c>
      <c r="H2293" s="8" t="s">
        <v>110</v>
      </c>
      <c r="I2293" s="8" t="s">
        <v>7383</v>
      </c>
      <c r="J2293" s="8" t="s">
        <v>7384</v>
      </c>
    </row>
    <row r="2294">
      <c r="A2294" s="7">
        <v>2.0035855E7</v>
      </c>
      <c r="B2294" s="8" t="s">
        <v>3445</v>
      </c>
      <c r="C2294" s="8" t="s">
        <v>7385</v>
      </c>
      <c r="D2294" s="8" t="s">
        <v>16</v>
      </c>
      <c r="E2294" s="8" t="s">
        <v>17</v>
      </c>
      <c r="F2294" s="9">
        <v>46067.0</v>
      </c>
      <c r="G2294" s="8" t="s">
        <v>846</v>
      </c>
      <c r="H2294" s="8" t="s">
        <v>847</v>
      </c>
      <c r="I2294" s="8" t="s">
        <v>7386</v>
      </c>
      <c r="J2294" s="8" t="s">
        <v>7387</v>
      </c>
    </row>
    <row r="2295">
      <c r="A2295" s="7">
        <v>2.0034804E7</v>
      </c>
      <c r="B2295" s="8" t="s">
        <v>3445</v>
      </c>
      <c r="C2295" s="8" t="s">
        <v>7388</v>
      </c>
      <c r="D2295" s="8" t="s">
        <v>16</v>
      </c>
      <c r="E2295" s="8" t="s">
        <v>17</v>
      </c>
      <c r="F2295" s="9">
        <v>46053.0</v>
      </c>
      <c r="G2295" s="8" t="s">
        <v>59</v>
      </c>
      <c r="H2295" s="8" t="s">
        <v>60</v>
      </c>
      <c r="I2295" s="8" t="s">
        <v>7389</v>
      </c>
      <c r="J2295" s="8" t="s">
        <v>7390</v>
      </c>
    </row>
    <row r="2296">
      <c r="A2296" s="7">
        <v>2.0035257E7</v>
      </c>
      <c r="B2296" s="8" t="s">
        <v>3445</v>
      </c>
      <c r="C2296" s="8" t="s">
        <v>7391</v>
      </c>
      <c r="D2296" s="8" t="s">
        <v>16</v>
      </c>
      <c r="E2296" s="8" t="s">
        <v>17</v>
      </c>
      <c r="F2296" s="9">
        <v>46051.0</v>
      </c>
      <c r="G2296" s="8" t="s">
        <v>1746</v>
      </c>
      <c r="H2296" s="8" t="s">
        <v>4130</v>
      </c>
      <c r="I2296" s="8" t="s">
        <v>7392</v>
      </c>
      <c r="J2296" s="8" t="s">
        <v>7393</v>
      </c>
    </row>
    <row r="2297">
      <c r="A2297" s="7">
        <v>2.0069713E7</v>
      </c>
      <c r="B2297" s="8" t="s">
        <v>3445</v>
      </c>
      <c r="C2297" s="8" t="s">
        <v>7394</v>
      </c>
      <c r="D2297" s="8" t="s">
        <v>16</v>
      </c>
      <c r="E2297" s="8" t="s">
        <v>17</v>
      </c>
      <c r="F2297" s="9">
        <v>46188.0</v>
      </c>
      <c r="G2297" s="8" t="s">
        <v>3992</v>
      </c>
      <c r="H2297" s="8" t="s">
        <v>3993</v>
      </c>
      <c r="I2297" s="8" t="s">
        <v>7395</v>
      </c>
      <c r="J2297" s="8" t="s">
        <v>7396</v>
      </c>
    </row>
    <row r="2298">
      <c r="A2298" s="7">
        <v>2.0064417E7</v>
      </c>
      <c r="B2298" s="8" t="s">
        <v>3445</v>
      </c>
      <c r="C2298" s="8" t="s">
        <v>7397</v>
      </c>
      <c r="D2298" s="8" t="s">
        <v>16</v>
      </c>
      <c r="E2298" s="8" t="s">
        <v>17</v>
      </c>
      <c r="F2298" s="9">
        <v>46179.0</v>
      </c>
      <c r="G2298" s="8" t="s">
        <v>868</v>
      </c>
      <c r="H2298" s="8" t="s">
        <v>869</v>
      </c>
      <c r="I2298" s="8" t="s">
        <v>7398</v>
      </c>
      <c r="J2298" s="8" t="s">
        <v>7399</v>
      </c>
    </row>
    <row r="2299">
      <c r="A2299" s="7">
        <v>2.0061438E7</v>
      </c>
      <c r="B2299" s="8" t="s">
        <v>3445</v>
      </c>
      <c r="C2299" s="8" t="s">
        <v>7400</v>
      </c>
      <c r="D2299" s="8" t="s">
        <v>16</v>
      </c>
      <c r="E2299" s="8" t="s">
        <v>17</v>
      </c>
      <c r="F2299" s="9">
        <v>46159.0</v>
      </c>
      <c r="G2299" s="8" t="s">
        <v>1880</v>
      </c>
      <c r="H2299" s="8" t="s">
        <v>6631</v>
      </c>
      <c r="I2299" s="8" t="s">
        <v>7401</v>
      </c>
      <c r="J2299" s="8" t="s">
        <v>7402</v>
      </c>
    </row>
    <row r="2300">
      <c r="A2300" s="7">
        <v>2.0055951E7</v>
      </c>
      <c r="B2300" s="8" t="s">
        <v>3445</v>
      </c>
      <c r="C2300" s="8" t="s">
        <v>7403</v>
      </c>
      <c r="D2300" s="8" t="s">
        <v>16</v>
      </c>
      <c r="E2300" s="8" t="s">
        <v>17</v>
      </c>
      <c r="F2300" s="9">
        <v>46136.0</v>
      </c>
      <c r="G2300" s="8" t="s">
        <v>34</v>
      </c>
      <c r="H2300" s="8" t="s">
        <v>35</v>
      </c>
      <c r="I2300" s="8" t="s">
        <v>7404</v>
      </c>
      <c r="J2300" s="8" t="s">
        <v>7405</v>
      </c>
    </row>
    <row r="2301">
      <c r="A2301" s="7">
        <v>2.0054323E7</v>
      </c>
      <c r="B2301" s="8" t="s">
        <v>3445</v>
      </c>
      <c r="C2301" s="8" t="s">
        <v>7406</v>
      </c>
      <c r="D2301" s="8" t="s">
        <v>16</v>
      </c>
      <c r="E2301" s="8" t="s">
        <v>17</v>
      </c>
      <c r="F2301" s="9">
        <v>46180.0</v>
      </c>
      <c r="G2301" s="8" t="s">
        <v>7407</v>
      </c>
      <c r="H2301" s="8" t="s">
        <v>7408</v>
      </c>
      <c r="I2301" s="8" t="s">
        <v>7409</v>
      </c>
      <c r="J2301" s="8" t="s">
        <v>7410</v>
      </c>
    </row>
    <row r="2302">
      <c r="A2302" s="7">
        <v>2.0054323E7</v>
      </c>
      <c r="B2302" s="8" t="s">
        <v>3445</v>
      </c>
      <c r="C2302" s="8" t="s">
        <v>7406</v>
      </c>
      <c r="D2302" s="8" t="s">
        <v>16</v>
      </c>
      <c r="E2302" s="8" t="s">
        <v>17</v>
      </c>
      <c r="F2302" s="9">
        <v>46180.0</v>
      </c>
      <c r="G2302" s="8" t="s">
        <v>7411</v>
      </c>
      <c r="H2302" s="8" t="s">
        <v>7412</v>
      </c>
      <c r="I2302" s="8" t="s">
        <v>7413</v>
      </c>
      <c r="J2302" s="8" t="s">
        <v>7414</v>
      </c>
    </row>
    <row r="2303">
      <c r="A2303" s="7">
        <v>2.0048641E7</v>
      </c>
      <c r="B2303" s="8" t="s">
        <v>3445</v>
      </c>
      <c r="C2303" s="8" t="s">
        <v>7415</v>
      </c>
      <c r="D2303" s="8" t="s">
        <v>16</v>
      </c>
      <c r="E2303" s="8" t="s">
        <v>17</v>
      </c>
      <c r="F2303" s="9">
        <v>46145.0</v>
      </c>
      <c r="G2303" s="8" t="s">
        <v>7416</v>
      </c>
      <c r="H2303" s="8" t="s">
        <v>7417</v>
      </c>
      <c r="I2303" s="8" t="s">
        <v>7418</v>
      </c>
      <c r="J2303" s="8" t="s">
        <v>7419</v>
      </c>
    </row>
    <row r="2304">
      <c r="A2304" s="7">
        <v>2.005388E7</v>
      </c>
      <c r="B2304" s="8" t="s">
        <v>3445</v>
      </c>
      <c r="C2304" s="8" t="s">
        <v>7420</v>
      </c>
      <c r="D2304" s="8" t="s">
        <v>16</v>
      </c>
      <c r="E2304" s="8" t="s">
        <v>48</v>
      </c>
      <c r="F2304" s="9">
        <v>46132.0</v>
      </c>
      <c r="G2304" s="8" t="s">
        <v>1427</v>
      </c>
      <c r="H2304" s="8" t="s">
        <v>1428</v>
      </c>
      <c r="I2304" s="8" t="s">
        <v>7421</v>
      </c>
      <c r="J2304" s="8" t="s">
        <v>7422</v>
      </c>
    </row>
    <row r="2305">
      <c r="A2305" s="7">
        <v>2.0049197E7</v>
      </c>
      <c r="B2305" s="8" t="s">
        <v>3445</v>
      </c>
      <c r="C2305" s="8" t="s">
        <v>7423</v>
      </c>
      <c r="D2305" s="8" t="s">
        <v>16</v>
      </c>
      <c r="E2305" s="8" t="s">
        <v>17</v>
      </c>
      <c r="F2305" s="9">
        <v>46109.0</v>
      </c>
      <c r="G2305" s="8" t="s">
        <v>1911</v>
      </c>
      <c r="H2305" s="8" t="s">
        <v>1912</v>
      </c>
      <c r="I2305" s="8" t="s">
        <v>7424</v>
      </c>
      <c r="J2305" s="8" t="s">
        <v>7425</v>
      </c>
    </row>
    <row r="2306">
      <c r="A2306" s="7">
        <v>2.0047498E7</v>
      </c>
      <c r="B2306" s="8" t="s">
        <v>3445</v>
      </c>
      <c r="C2306" s="8" t="s">
        <v>7426</v>
      </c>
      <c r="D2306" s="8" t="s">
        <v>16</v>
      </c>
      <c r="E2306" s="8" t="s">
        <v>17</v>
      </c>
      <c r="F2306" s="9">
        <v>46100.0</v>
      </c>
      <c r="G2306" s="8" t="s">
        <v>109</v>
      </c>
      <c r="H2306" s="8" t="s">
        <v>110</v>
      </c>
      <c r="I2306" s="8" t="s">
        <v>7427</v>
      </c>
      <c r="J2306" s="8" t="s">
        <v>7428</v>
      </c>
    </row>
    <row r="2307">
      <c r="A2307" s="7">
        <v>2.0044254E7</v>
      </c>
      <c r="B2307" s="8" t="s">
        <v>3445</v>
      </c>
      <c r="C2307" s="8" t="s">
        <v>7429</v>
      </c>
      <c r="D2307" s="8" t="s">
        <v>16</v>
      </c>
      <c r="E2307" s="8" t="s">
        <v>17</v>
      </c>
      <c r="F2307" s="9">
        <v>46091.0</v>
      </c>
      <c r="G2307" s="8" t="s">
        <v>59</v>
      </c>
      <c r="H2307" s="8" t="s">
        <v>60</v>
      </c>
      <c r="I2307" s="8" t="s">
        <v>7430</v>
      </c>
      <c r="J2307" s="8" t="s">
        <v>7431</v>
      </c>
    </row>
    <row r="2308">
      <c r="A2308" s="7">
        <v>2.0046679E7</v>
      </c>
      <c r="B2308" s="8" t="s">
        <v>3445</v>
      </c>
      <c r="C2308" s="8" t="s">
        <v>7432</v>
      </c>
      <c r="D2308" s="8" t="s">
        <v>16</v>
      </c>
      <c r="E2308" s="8" t="s">
        <v>17</v>
      </c>
      <c r="F2308" s="9">
        <v>46088.0</v>
      </c>
      <c r="G2308" s="8" t="s">
        <v>1132</v>
      </c>
      <c r="H2308" s="8" t="s">
        <v>1133</v>
      </c>
      <c r="I2308" s="8" t="s">
        <v>7433</v>
      </c>
      <c r="J2308" s="8" t="s">
        <v>7434</v>
      </c>
    </row>
    <row r="2309">
      <c r="A2309" s="7">
        <v>2.0042037E7</v>
      </c>
      <c r="B2309" s="8" t="s">
        <v>3445</v>
      </c>
      <c r="C2309" s="8" t="s">
        <v>7435</v>
      </c>
      <c r="D2309" s="8" t="s">
        <v>16</v>
      </c>
      <c r="E2309" s="8" t="s">
        <v>17</v>
      </c>
      <c r="F2309" s="9">
        <v>46094.0</v>
      </c>
      <c r="G2309" s="8" t="s">
        <v>7436</v>
      </c>
      <c r="H2309" s="8" t="s">
        <v>7437</v>
      </c>
      <c r="I2309" s="8" t="s">
        <v>7438</v>
      </c>
      <c r="J2309" s="8" t="s">
        <v>7439</v>
      </c>
    </row>
    <row r="2310">
      <c r="A2310" s="7">
        <v>2.0038474E7</v>
      </c>
      <c r="B2310" s="8" t="s">
        <v>3445</v>
      </c>
      <c r="C2310" s="8" t="s">
        <v>7440</v>
      </c>
      <c r="D2310" s="8" t="s">
        <v>16</v>
      </c>
      <c r="E2310" s="8" t="s">
        <v>17</v>
      </c>
      <c r="F2310" s="9">
        <v>46063.0</v>
      </c>
      <c r="G2310" s="8" t="s">
        <v>5030</v>
      </c>
      <c r="H2310" s="8" t="s">
        <v>44</v>
      </c>
      <c r="I2310" s="8" t="s">
        <v>7441</v>
      </c>
      <c r="J2310" s="8" t="s">
        <v>7442</v>
      </c>
    </row>
    <row r="2311">
      <c r="A2311" s="7">
        <v>2.0038604E7</v>
      </c>
      <c r="B2311" s="8" t="s">
        <v>3445</v>
      </c>
      <c r="C2311" s="8" t="s">
        <v>7443</v>
      </c>
      <c r="D2311" s="8" t="s">
        <v>16</v>
      </c>
      <c r="E2311" s="8" t="s">
        <v>17</v>
      </c>
      <c r="F2311" s="9">
        <v>46071.0</v>
      </c>
      <c r="G2311" s="8" t="s">
        <v>7444</v>
      </c>
      <c r="H2311" s="8" t="s">
        <v>7445</v>
      </c>
      <c r="I2311" s="8" t="s">
        <v>7446</v>
      </c>
      <c r="J2311" s="8" t="s">
        <v>7447</v>
      </c>
    </row>
    <row r="2312">
      <c r="A2312" s="7">
        <v>2.0039202E7</v>
      </c>
      <c r="B2312" s="8" t="s">
        <v>3445</v>
      </c>
      <c r="C2312" s="8" t="s">
        <v>7448</v>
      </c>
      <c r="D2312" s="8" t="s">
        <v>16</v>
      </c>
      <c r="E2312" s="8" t="s">
        <v>17</v>
      </c>
      <c r="F2312" s="9">
        <v>46066.0</v>
      </c>
      <c r="G2312" s="8" t="s">
        <v>3585</v>
      </c>
      <c r="H2312" s="8" t="s">
        <v>3586</v>
      </c>
      <c r="I2312" s="8" t="s">
        <v>7449</v>
      </c>
      <c r="J2312" s="8" t="s">
        <v>7450</v>
      </c>
    </row>
    <row r="2313">
      <c r="A2313" s="7">
        <v>2.0038046E7</v>
      </c>
      <c r="B2313" s="8" t="s">
        <v>3445</v>
      </c>
      <c r="C2313" s="8" t="s">
        <v>7451</v>
      </c>
      <c r="D2313" s="8" t="s">
        <v>16</v>
      </c>
      <c r="E2313" s="8" t="s">
        <v>17</v>
      </c>
      <c r="F2313" s="9">
        <v>46062.0</v>
      </c>
      <c r="G2313" s="8" t="s">
        <v>805</v>
      </c>
      <c r="H2313" s="8" t="s">
        <v>806</v>
      </c>
      <c r="I2313" s="8" t="s">
        <v>7452</v>
      </c>
      <c r="J2313" s="8" t="s">
        <v>7453</v>
      </c>
    </row>
    <row r="2314">
      <c r="A2314" s="7">
        <v>2.0037085E7</v>
      </c>
      <c r="B2314" s="8" t="s">
        <v>3445</v>
      </c>
      <c r="C2314" s="8" t="s">
        <v>7454</v>
      </c>
      <c r="D2314" s="8" t="s">
        <v>16</v>
      </c>
      <c r="E2314" s="8" t="s">
        <v>17</v>
      </c>
      <c r="F2314" s="9">
        <v>46081.0</v>
      </c>
      <c r="G2314" s="8" t="s">
        <v>613</v>
      </c>
      <c r="H2314" s="8" t="s">
        <v>614</v>
      </c>
      <c r="I2314" s="8" t="s">
        <v>7455</v>
      </c>
      <c r="J2314" s="8" t="s">
        <v>7456</v>
      </c>
    </row>
    <row r="2315">
      <c r="A2315" s="7">
        <v>2.0035401E7</v>
      </c>
      <c r="B2315" s="8" t="s">
        <v>3445</v>
      </c>
      <c r="C2315" s="8" t="s">
        <v>7457</v>
      </c>
      <c r="D2315" s="8" t="s">
        <v>2136</v>
      </c>
      <c r="E2315" s="8" t="s">
        <v>17</v>
      </c>
      <c r="F2315" s="9">
        <v>46057.0</v>
      </c>
      <c r="G2315" s="8" t="s">
        <v>109</v>
      </c>
      <c r="H2315" s="8" t="s">
        <v>110</v>
      </c>
      <c r="I2315" s="8" t="s">
        <v>7458</v>
      </c>
      <c r="J2315" s="8" t="s">
        <v>7459</v>
      </c>
    </row>
    <row r="2316">
      <c r="A2316" s="7">
        <v>2.0030745E7</v>
      </c>
      <c r="B2316" s="8" t="s">
        <v>3445</v>
      </c>
      <c r="C2316" s="8" t="s">
        <v>7460</v>
      </c>
      <c r="D2316" s="8" t="s">
        <v>16</v>
      </c>
      <c r="E2316" s="8" t="s">
        <v>17</v>
      </c>
      <c r="F2316" s="9">
        <v>46047.0</v>
      </c>
      <c r="G2316" s="8" t="s">
        <v>59</v>
      </c>
      <c r="H2316" s="8" t="s">
        <v>60</v>
      </c>
      <c r="I2316" s="8" t="s">
        <v>7461</v>
      </c>
      <c r="J2316" s="8" t="s">
        <v>7462</v>
      </c>
    </row>
    <row r="2317">
      <c r="A2317" s="7">
        <v>2.0033928E7</v>
      </c>
      <c r="B2317" s="8" t="s">
        <v>3445</v>
      </c>
      <c r="C2317" s="8" t="s">
        <v>7463</v>
      </c>
      <c r="D2317" s="8" t="s">
        <v>16</v>
      </c>
      <c r="E2317" s="8" t="s">
        <v>17</v>
      </c>
      <c r="F2317" s="9">
        <v>46044.0</v>
      </c>
      <c r="G2317" s="8" t="s">
        <v>59</v>
      </c>
      <c r="H2317" s="8" t="s">
        <v>60</v>
      </c>
      <c r="I2317" s="8" t="s">
        <v>7464</v>
      </c>
      <c r="J2317" s="8" t="s">
        <v>7465</v>
      </c>
    </row>
    <row r="2318">
      <c r="A2318" s="7">
        <v>2.0065428E7</v>
      </c>
      <c r="B2318" s="8" t="s">
        <v>3445</v>
      </c>
      <c r="C2318" s="8" t="s">
        <v>7466</v>
      </c>
      <c r="D2318" s="8" t="s">
        <v>16</v>
      </c>
      <c r="E2318" s="8" t="s">
        <v>17</v>
      </c>
      <c r="F2318" s="9">
        <v>46165.0</v>
      </c>
      <c r="G2318" s="8" t="s">
        <v>365</v>
      </c>
      <c r="H2318" s="8" t="s">
        <v>366</v>
      </c>
      <c r="I2318" s="8" t="s">
        <v>7467</v>
      </c>
      <c r="J2318" s="8" t="s">
        <v>7468</v>
      </c>
    </row>
    <row r="2319">
      <c r="A2319" s="7">
        <v>2.0061583E7</v>
      </c>
      <c r="B2319" s="8" t="s">
        <v>3445</v>
      </c>
      <c r="C2319" s="8" t="s">
        <v>7469</v>
      </c>
      <c r="D2319" s="8" t="s">
        <v>16</v>
      </c>
      <c r="E2319" s="8" t="s">
        <v>17</v>
      </c>
      <c r="F2319" s="9">
        <v>46170.0</v>
      </c>
      <c r="G2319" s="8" t="s">
        <v>1888</v>
      </c>
      <c r="H2319" s="8" t="s">
        <v>1889</v>
      </c>
      <c r="I2319" s="8" t="s">
        <v>7470</v>
      </c>
      <c r="J2319" s="8" t="s">
        <v>7471</v>
      </c>
    </row>
    <row r="2320">
      <c r="A2320" s="7">
        <v>2.0061583E7</v>
      </c>
      <c r="B2320" s="8" t="s">
        <v>3445</v>
      </c>
      <c r="C2320" s="8" t="s">
        <v>7469</v>
      </c>
      <c r="D2320" s="8" t="s">
        <v>16</v>
      </c>
      <c r="E2320" s="8" t="s">
        <v>17</v>
      </c>
      <c r="F2320" s="9">
        <v>46170.0</v>
      </c>
      <c r="G2320" s="8" t="s">
        <v>339</v>
      </c>
      <c r="H2320" s="8" t="s">
        <v>340</v>
      </c>
      <c r="I2320" s="8" t="s">
        <v>7472</v>
      </c>
      <c r="J2320" s="8" t="s">
        <v>7473</v>
      </c>
    </row>
    <row r="2321">
      <c r="A2321" s="7">
        <v>2.0060876E7</v>
      </c>
      <c r="B2321" s="8" t="s">
        <v>3445</v>
      </c>
      <c r="C2321" s="8" t="s">
        <v>7474</v>
      </c>
      <c r="D2321" s="8" t="s">
        <v>2136</v>
      </c>
      <c r="E2321" s="8" t="s">
        <v>17</v>
      </c>
      <c r="F2321" s="9">
        <v>46151.0</v>
      </c>
      <c r="G2321" s="8" t="s">
        <v>59</v>
      </c>
      <c r="H2321" s="8" t="s">
        <v>60</v>
      </c>
      <c r="I2321" s="8" t="s">
        <v>7475</v>
      </c>
      <c r="J2321" s="8" t="s">
        <v>7476</v>
      </c>
    </row>
    <row r="2322">
      <c r="A2322" s="7">
        <v>2.0059905E7</v>
      </c>
      <c r="B2322" s="8" t="s">
        <v>3445</v>
      </c>
      <c r="C2322" s="8" t="s">
        <v>7477</v>
      </c>
      <c r="D2322" s="8" t="s">
        <v>16</v>
      </c>
      <c r="E2322" s="8" t="s">
        <v>17</v>
      </c>
      <c r="F2322" s="9">
        <v>46140.0</v>
      </c>
      <c r="G2322" s="8" t="s">
        <v>339</v>
      </c>
      <c r="H2322" s="8" t="s">
        <v>340</v>
      </c>
      <c r="I2322" s="8" t="s">
        <v>7478</v>
      </c>
      <c r="J2322" s="8" t="s">
        <v>7479</v>
      </c>
    </row>
    <row r="2323">
      <c r="A2323" s="7">
        <v>2.0051288E7</v>
      </c>
      <c r="B2323" s="8" t="s">
        <v>3445</v>
      </c>
      <c r="C2323" s="8" t="s">
        <v>7480</v>
      </c>
      <c r="D2323" s="8" t="s">
        <v>16</v>
      </c>
      <c r="E2323" s="8" t="s">
        <v>17</v>
      </c>
      <c r="F2323" s="9">
        <v>46124.0</v>
      </c>
      <c r="G2323" s="8" t="s">
        <v>361</v>
      </c>
      <c r="H2323" s="8" t="s">
        <v>362</v>
      </c>
      <c r="I2323" s="8" t="s">
        <v>7481</v>
      </c>
      <c r="J2323" s="8" t="s">
        <v>7482</v>
      </c>
    </row>
    <row r="2324">
      <c r="A2324" s="7">
        <v>2.0048878E7</v>
      </c>
      <c r="B2324" s="8" t="s">
        <v>3445</v>
      </c>
      <c r="C2324" s="8" t="s">
        <v>7483</v>
      </c>
      <c r="D2324" s="8" t="s">
        <v>16</v>
      </c>
      <c r="E2324" s="8" t="s">
        <v>17</v>
      </c>
      <c r="F2324" s="9">
        <v>46111.0</v>
      </c>
      <c r="G2324" s="8" t="s">
        <v>3122</v>
      </c>
      <c r="H2324" s="8" t="s">
        <v>3123</v>
      </c>
      <c r="I2324" s="8" t="s">
        <v>7484</v>
      </c>
      <c r="J2324" s="8" t="s">
        <v>7485</v>
      </c>
    </row>
    <row r="2325">
      <c r="A2325" s="7">
        <v>2.0047156E7</v>
      </c>
      <c r="B2325" s="8" t="s">
        <v>3445</v>
      </c>
      <c r="C2325" s="8" t="s">
        <v>7486</v>
      </c>
      <c r="D2325" s="8" t="s">
        <v>16</v>
      </c>
      <c r="E2325" s="8" t="s">
        <v>17</v>
      </c>
      <c r="F2325" s="9">
        <v>46089.0</v>
      </c>
      <c r="G2325" s="8" t="s">
        <v>1498</v>
      </c>
      <c r="H2325" s="8" t="s">
        <v>1499</v>
      </c>
      <c r="I2325" s="8" t="s">
        <v>7487</v>
      </c>
      <c r="J2325" s="8" t="s">
        <v>7488</v>
      </c>
    </row>
    <row r="2326">
      <c r="A2326" s="7">
        <v>2.003559E7</v>
      </c>
      <c r="B2326" s="8" t="s">
        <v>3445</v>
      </c>
      <c r="C2326" s="8" t="s">
        <v>7489</v>
      </c>
      <c r="D2326" s="8" t="s">
        <v>16</v>
      </c>
      <c r="E2326" s="8" t="s">
        <v>17</v>
      </c>
      <c r="F2326" s="9">
        <v>46109.0</v>
      </c>
      <c r="G2326" s="8" t="s">
        <v>7490</v>
      </c>
      <c r="H2326" s="8" t="s">
        <v>7491</v>
      </c>
      <c r="I2326" s="8" t="s">
        <v>7492</v>
      </c>
      <c r="J2326" s="8" t="s">
        <v>7493</v>
      </c>
    </row>
    <row r="2327">
      <c r="A2327" s="7">
        <v>2.0044275E7</v>
      </c>
      <c r="B2327" s="8" t="s">
        <v>3445</v>
      </c>
      <c r="C2327" s="8" t="s">
        <v>7494</v>
      </c>
      <c r="D2327" s="8" t="s">
        <v>16</v>
      </c>
      <c r="E2327" s="8" t="s">
        <v>17</v>
      </c>
      <c r="F2327" s="9">
        <v>46136.0</v>
      </c>
      <c r="G2327" s="8" t="s">
        <v>978</v>
      </c>
      <c r="H2327" s="8" t="s">
        <v>979</v>
      </c>
      <c r="I2327" s="8" t="s">
        <v>7495</v>
      </c>
      <c r="J2327" s="8" t="s">
        <v>7496</v>
      </c>
    </row>
    <row r="2328">
      <c r="A2328" s="7">
        <v>2.0044275E7</v>
      </c>
      <c r="B2328" s="8" t="s">
        <v>3445</v>
      </c>
      <c r="C2328" s="8" t="s">
        <v>7494</v>
      </c>
      <c r="D2328" s="8" t="s">
        <v>16</v>
      </c>
      <c r="E2328" s="8" t="s">
        <v>17</v>
      </c>
      <c r="F2328" s="9">
        <v>46136.0</v>
      </c>
      <c r="G2328" s="8" t="s">
        <v>978</v>
      </c>
      <c r="H2328" s="8" t="s">
        <v>979</v>
      </c>
      <c r="I2328" s="8" t="s">
        <v>7497</v>
      </c>
      <c r="J2328" s="8" t="s">
        <v>7496</v>
      </c>
    </row>
    <row r="2329">
      <c r="A2329" s="7">
        <v>2.0044275E7</v>
      </c>
      <c r="B2329" s="8" t="s">
        <v>3445</v>
      </c>
      <c r="C2329" s="8" t="s">
        <v>7494</v>
      </c>
      <c r="D2329" s="8" t="s">
        <v>16</v>
      </c>
      <c r="E2329" s="8" t="s">
        <v>17</v>
      </c>
      <c r="F2329" s="9">
        <v>46136.0</v>
      </c>
      <c r="G2329" s="8" t="s">
        <v>7498</v>
      </c>
      <c r="H2329" s="8" t="s">
        <v>7499</v>
      </c>
      <c r="I2329" s="8" t="s">
        <v>7500</v>
      </c>
      <c r="J2329" s="8" t="s">
        <v>7501</v>
      </c>
    </row>
    <row r="2330">
      <c r="A2330" s="7">
        <v>2.0046165E7</v>
      </c>
      <c r="B2330" s="8" t="s">
        <v>3445</v>
      </c>
      <c r="C2330" s="8" t="s">
        <v>7502</v>
      </c>
      <c r="D2330" s="8" t="s">
        <v>16</v>
      </c>
      <c r="E2330" s="8" t="s">
        <v>17</v>
      </c>
      <c r="F2330" s="9">
        <v>46081.0</v>
      </c>
      <c r="G2330" s="8" t="s">
        <v>59</v>
      </c>
      <c r="H2330" s="8" t="s">
        <v>60</v>
      </c>
      <c r="I2330" s="8" t="s">
        <v>7503</v>
      </c>
      <c r="J2330" s="8" t="s">
        <v>7504</v>
      </c>
    </row>
    <row r="2331">
      <c r="A2331" s="7">
        <v>2.0042044E7</v>
      </c>
      <c r="B2331" s="8" t="s">
        <v>3445</v>
      </c>
      <c r="C2331" s="8" t="s">
        <v>7505</v>
      </c>
      <c r="D2331" s="8" t="s">
        <v>16</v>
      </c>
      <c r="E2331" s="8" t="s">
        <v>17</v>
      </c>
      <c r="F2331" s="9">
        <v>46088.0</v>
      </c>
      <c r="G2331" s="8" t="s">
        <v>220</v>
      </c>
      <c r="H2331" s="8" t="s">
        <v>221</v>
      </c>
      <c r="I2331" s="8" t="s">
        <v>7506</v>
      </c>
      <c r="J2331" s="8" t="s">
        <v>7507</v>
      </c>
    </row>
    <row r="2332">
      <c r="A2332" s="7">
        <v>2.0042343E7</v>
      </c>
      <c r="B2332" s="8" t="s">
        <v>3445</v>
      </c>
      <c r="C2332" s="8" t="s">
        <v>7508</v>
      </c>
      <c r="D2332" s="8" t="s">
        <v>16</v>
      </c>
      <c r="E2332" s="8" t="s">
        <v>17</v>
      </c>
      <c r="F2332" s="9">
        <v>46090.0</v>
      </c>
      <c r="G2332" s="8" t="s">
        <v>908</v>
      </c>
      <c r="H2332" s="8" t="s">
        <v>909</v>
      </c>
      <c r="I2332" s="8" t="s">
        <v>7509</v>
      </c>
      <c r="J2332" s="8" t="s">
        <v>7510</v>
      </c>
    </row>
    <row r="2333">
      <c r="A2333" s="7">
        <v>2.0043495E7</v>
      </c>
      <c r="B2333" s="8" t="s">
        <v>3445</v>
      </c>
      <c r="C2333" s="8" t="s">
        <v>7511</v>
      </c>
      <c r="D2333" s="8" t="s">
        <v>16</v>
      </c>
      <c r="E2333" s="8" t="s">
        <v>17</v>
      </c>
      <c r="F2333" s="9">
        <v>46084.0</v>
      </c>
      <c r="G2333" s="8" t="s">
        <v>5317</v>
      </c>
      <c r="H2333" s="8" t="s">
        <v>5318</v>
      </c>
      <c r="I2333" s="8" t="s">
        <v>7512</v>
      </c>
      <c r="J2333" s="8" t="s">
        <v>7513</v>
      </c>
    </row>
    <row r="2334">
      <c r="A2334" s="7">
        <v>2.0039885E7</v>
      </c>
      <c r="B2334" s="8" t="s">
        <v>3445</v>
      </c>
      <c r="C2334" s="8" t="s">
        <v>7514</v>
      </c>
      <c r="D2334" s="8" t="s">
        <v>16</v>
      </c>
      <c r="E2334" s="8" t="s">
        <v>17</v>
      </c>
      <c r="F2334" s="9">
        <v>46072.0</v>
      </c>
      <c r="G2334" s="8" t="s">
        <v>339</v>
      </c>
      <c r="H2334" s="8" t="s">
        <v>340</v>
      </c>
      <c r="I2334" s="8" t="s">
        <v>7515</v>
      </c>
      <c r="J2334" s="8" t="s">
        <v>7516</v>
      </c>
    </row>
    <row r="2335">
      <c r="A2335" s="7">
        <v>2.0040677E7</v>
      </c>
      <c r="B2335" s="8" t="s">
        <v>3445</v>
      </c>
      <c r="C2335" s="8" t="s">
        <v>7517</v>
      </c>
      <c r="D2335" s="8" t="s">
        <v>16</v>
      </c>
      <c r="E2335" s="8" t="s">
        <v>17</v>
      </c>
      <c r="F2335" s="9">
        <v>46078.0</v>
      </c>
      <c r="G2335" s="8" t="s">
        <v>1427</v>
      </c>
      <c r="H2335" s="8" t="s">
        <v>1428</v>
      </c>
      <c r="I2335" s="8" t="s">
        <v>7518</v>
      </c>
      <c r="J2335" s="8" t="s">
        <v>7519</v>
      </c>
    </row>
    <row r="2336">
      <c r="A2336" s="7">
        <v>2.0038742E7</v>
      </c>
      <c r="B2336" s="8" t="s">
        <v>3445</v>
      </c>
      <c r="C2336" s="8" t="s">
        <v>7520</v>
      </c>
      <c r="D2336" s="8" t="s">
        <v>16</v>
      </c>
      <c r="E2336" s="8" t="s">
        <v>17</v>
      </c>
      <c r="F2336" s="9">
        <v>46067.0</v>
      </c>
      <c r="G2336" s="8" t="s">
        <v>234</v>
      </c>
      <c r="H2336" s="8" t="s">
        <v>235</v>
      </c>
      <c r="I2336" s="8" t="s">
        <v>7521</v>
      </c>
      <c r="J2336" s="8" t="s">
        <v>7522</v>
      </c>
    </row>
    <row r="2337">
      <c r="A2337" s="7">
        <v>2.0038243E7</v>
      </c>
      <c r="B2337" s="8" t="s">
        <v>3445</v>
      </c>
      <c r="C2337" s="8" t="s">
        <v>7523</v>
      </c>
      <c r="D2337" s="8" t="s">
        <v>2136</v>
      </c>
      <c r="E2337" s="8" t="s">
        <v>17</v>
      </c>
      <c r="F2337" s="9">
        <v>46059.0</v>
      </c>
      <c r="G2337" s="8" t="s">
        <v>195</v>
      </c>
      <c r="H2337" s="8" t="s">
        <v>196</v>
      </c>
      <c r="I2337" s="8" t="s">
        <v>7524</v>
      </c>
      <c r="J2337" s="8" t="s">
        <v>7525</v>
      </c>
    </row>
    <row r="2338">
      <c r="A2338" s="7">
        <v>2.0032807E7</v>
      </c>
      <c r="B2338" s="8" t="s">
        <v>3445</v>
      </c>
      <c r="C2338" s="8" t="s">
        <v>7526</v>
      </c>
      <c r="D2338" s="8" t="s">
        <v>16</v>
      </c>
      <c r="E2338" s="8" t="s">
        <v>17</v>
      </c>
      <c r="F2338" s="9">
        <v>46082.0</v>
      </c>
      <c r="G2338" s="8" t="s">
        <v>7527</v>
      </c>
      <c r="H2338" s="8" t="s">
        <v>2969</v>
      </c>
      <c r="I2338" s="8" t="s">
        <v>7528</v>
      </c>
      <c r="J2338" s="8" t="s">
        <v>7529</v>
      </c>
    </row>
    <row r="2339">
      <c r="A2339" s="7">
        <v>2.0030648E7</v>
      </c>
      <c r="B2339" s="8" t="s">
        <v>3445</v>
      </c>
      <c r="C2339" s="8" t="s">
        <v>7530</v>
      </c>
      <c r="D2339" s="8" t="s">
        <v>16</v>
      </c>
      <c r="E2339" s="8" t="s">
        <v>17</v>
      </c>
      <c r="F2339" s="9">
        <v>46067.0</v>
      </c>
      <c r="G2339" s="8" t="s">
        <v>1949</v>
      </c>
      <c r="H2339" s="8" t="s">
        <v>1950</v>
      </c>
      <c r="I2339" s="8" t="s">
        <v>7531</v>
      </c>
      <c r="J2339" s="8" t="s">
        <v>7532</v>
      </c>
    </row>
    <row r="2340">
      <c r="A2340" s="7">
        <v>2.0035809E7</v>
      </c>
      <c r="B2340" s="8" t="s">
        <v>3445</v>
      </c>
      <c r="C2340" s="8" t="s">
        <v>7533</v>
      </c>
      <c r="D2340" s="8" t="s">
        <v>16</v>
      </c>
      <c r="E2340" s="8" t="s">
        <v>17</v>
      </c>
      <c r="F2340" s="9">
        <v>46052.0</v>
      </c>
      <c r="G2340" s="8" t="s">
        <v>54</v>
      </c>
      <c r="H2340" s="8" t="s">
        <v>55</v>
      </c>
      <c r="I2340" s="8" t="s">
        <v>7534</v>
      </c>
      <c r="J2340" s="8" t="s">
        <v>7535</v>
      </c>
    </row>
    <row r="2341">
      <c r="A2341" s="7">
        <v>2.0069972E7</v>
      </c>
      <c r="B2341" s="8" t="s">
        <v>3445</v>
      </c>
      <c r="C2341" s="8" t="s">
        <v>7536</v>
      </c>
      <c r="D2341" s="8" t="s">
        <v>16</v>
      </c>
      <c r="E2341" s="8" t="s">
        <v>17</v>
      </c>
      <c r="F2341" s="9">
        <v>46190.0</v>
      </c>
      <c r="G2341" s="8" t="s">
        <v>234</v>
      </c>
      <c r="H2341" s="8" t="s">
        <v>235</v>
      </c>
      <c r="I2341" s="8" t="s">
        <v>7537</v>
      </c>
      <c r="J2341" s="8" t="s">
        <v>7538</v>
      </c>
    </row>
    <row r="2342">
      <c r="A2342" s="7">
        <v>2.0066324E7</v>
      </c>
      <c r="B2342" s="8" t="s">
        <v>3445</v>
      </c>
      <c r="C2342" s="8" t="s">
        <v>7539</v>
      </c>
      <c r="D2342" s="8" t="s">
        <v>16</v>
      </c>
      <c r="E2342" s="8" t="s">
        <v>17</v>
      </c>
      <c r="F2342" s="9">
        <v>46186.0</v>
      </c>
      <c r="G2342" s="8" t="s">
        <v>2666</v>
      </c>
      <c r="H2342" s="8" t="s">
        <v>2667</v>
      </c>
      <c r="I2342" s="8" t="s">
        <v>7540</v>
      </c>
      <c r="J2342" s="8"/>
    </row>
    <row r="2343">
      <c r="A2343" s="7">
        <v>2.0056871E7</v>
      </c>
      <c r="B2343" s="8" t="s">
        <v>3445</v>
      </c>
      <c r="C2343" s="8" t="s">
        <v>7541</v>
      </c>
      <c r="D2343" s="8" t="s">
        <v>16</v>
      </c>
      <c r="E2343" s="8" t="s">
        <v>17</v>
      </c>
      <c r="F2343" s="9">
        <v>46136.0</v>
      </c>
      <c r="G2343" s="8" t="s">
        <v>3812</v>
      </c>
      <c r="H2343" s="8" t="s">
        <v>3813</v>
      </c>
      <c r="I2343" s="8" t="s">
        <v>7542</v>
      </c>
      <c r="J2343" s="8" t="s">
        <v>7543</v>
      </c>
    </row>
    <row r="2344">
      <c r="A2344" s="7">
        <v>2.0053835E7</v>
      </c>
      <c r="B2344" s="8" t="s">
        <v>3445</v>
      </c>
      <c r="C2344" s="8" t="s">
        <v>7544</v>
      </c>
      <c r="D2344" s="8" t="s">
        <v>16</v>
      </c>
      <c r="E2344" s="8" t="s">
        <v>17</v>
      </c>
      <c r="F2344" s="9">
        <v>46128.0</v>
      </c>
      <c r="G2344" s="8" t="s">
        <v>49</v>
      </c>
      <c r="H2344" s="8" t="s">
        <v>50</v>
      </c>
      <c r="I2344" s="8" t="s">
        <v>7545</v>
      </c>
      <c r="J2344" s="8" t="s">
        <v>7546</v>
      </c>
    </row>
    <row r="2345">
      <c r="A2345" s="7">
        <v>2.0049626E7</v>
      </c>
      <c r="B2345" s="8" t="s">
        <v>3445</v>
      </c>
      <c r="C2345" s="8" t="s">
        <v>7547</v>
      </c>
      <c r="D2345" s="8" t="s">
        <v>16</v>
      </c>
      <c r="E2345" s="8" t="s">
        <v>17</v>
      </c>
      <c r="F2345" s="9">
        <v>46110.0</v>
      </c>
      <c r="G2345" s="8" t="s">
        <v>1537</v>
      </c>
      <c r="H2345" s="8" t="s">
        <v>1538</v>
      </c>
      <c r="I2345" s="8" t="s">
        <v>7548</v>
      </c>
      <c r="J2345" s="8" t="s">
        <v>7549</v>
      </c>
    </row>
    <row r="2346">
      <c r="A2346" s="7">
        <v>2.0046899E7</v>
      </c>
      <c r="B2346" s="8" t="s">
        <v>3445</v>
      </c>
      <c r="C2346" s="8" t="s">
        <v>7550</v>
      </c>
      <c r="D2346" s="8" t="s">
        <v>16</v>
      </c>
      <c r="E2346" s="8" t="s">
        <v>17</v>
      </c>
      <c r="F2346" s="9">
        <v>46092.0</v>
      </c>
      <c r="G2346" s="8" t="s">
        <v>220</v>
      </c>
      <c r="H2346" s="8" t="s">
        <v>221</v>
      </c>
      <c r="I2346" s="8" t="s">
        <v>7551</v>
      </c>
      <c r="J2346" s="8" t="s">
        <v>7552</v>
      </c>
    </row>
    <row r="2347">
      <c r="A2347" s="7">
        <v>2.0045662E7</v>
      </c>
      <c r="B2347" s="8" t="s">
        <v>3445</v>
      </c>
      <c r="C2347" s="8" t="s">
        <v>7553</v>
      </c>
      <c r="D2347" s="8" t="s">
        <v>16</v>
      </c>
      <c r="E2347" s="8" t="s">
        <v>17</v>
      </c>
      <c r="F2347" s="9">
        <v>46082.0</v>
      </c>
      <c r="G2347" s="8" t="s">
        <v>91</v>
      </c>
      <c r="H2347" s="8" t="s">
        <v>92</v>
      </c>
      <c r="I2347" s="8" t="s">
        <v>7554</v>
      </c>
      <c r="J2347" s="8" t="s">
        <v>7555</v>
      </c>
    </row>
    <row r="2348">
      <c r="A2348" s="7">
        <v>2.0035497E7</v>
      </c>
      <c r="B2348" s="8" t="s">
        <v>3445</v>
      </c>
      <c r="C2348" s="8" t="s">
        <v>7556</v>
      </c>
      <c r="D2348" s="8" t="s">
        <v>16</v>
      </c>
      <c r="E2348" s="8" t="s">
        <v>17</v>
      </c>
      <c r="F2348" s="9">
        <v>46067.0</v>
      </c>
      <c r="G2348" s="8" t="s">
        <v>908</v>
      </c>
      <c r="H2348" s="8" t="s">
        <v>909</v>
      </c>
      <c r="I2348" s="8" t="s">
        <v>7557</v>
      </c>
      <c r="J2348" s="8" t="s">
        <v>7558</v>
      </c>
    </row>
    <row r="2349">
      <c r="A2349" s="7">
        <v>2.0036928E7</v>
      </c>
      <c r="B2349" s="8" t="s">
        <v>3445</v>
      </c>
      <c r="C2349" s="8" t="s">
        <v>7559</v>
      </c>
      <c r="D2349" s="8" t="s">
        <v>16</v>
      </c>
      <c r="E2349" s="8" t="s">
        <v>17</v>
      </c>
      <c r="F2349" s="9">
        <v>46060.0</v>
      </c>
      <c r="G2349" s="8" t="s">
        <v>184</v>
      </c>
      <c r="H2349" s="8" t="s">
        <v>185</v>
      </c>
      <c r="I2349" s="8" t="s">
        <v>7560</v>
      </c>
      <c r="J2349" s="8" t="s">
        <v>7561</v>
      </c>
    </row>
    <row r="2350">
      <c r="A2350" s="7">
        <v>2.0070549E7</v>
      </c>
      <c r="B2350" s="8" t="s">
        <v>3445</v>
      </c>
      <c r="C2350" s="8" t="s">
        <v>7562</v>
      </c>
      <c r="D2350" s="8" t="s">
        <v>16</v>
      </c>
      <c r="E2350" s="8" t="s">
        <v>17</v>
      </c>
      <c r="F2350" s="9">
        <v>46190.0</v>
      </c>
      <c r="G2350" s="8" t="s">
        <v>3812</v>
      </c>
      <c r="H2350" s="8" t="s">
        <v>3813</v>
      </c>
      <c r="I2350" s="8" t="s">
        <v>7563</v>
      </c>
      <c r="J2350" s="8" t="s">
        <v>7564</v>
      </c>
    </row>
    <row r="2351">
      <c r="A2351" s="7">
        <v>2.0068354E7</v>
      </c>
      <c r="B2351" s="8" t="s">
        <v>3445</v>
      </c>
      <c r="C2351" s="8" t="s">
        <v>7565</v>
      </c>
      <c r="D2351" s="8" t="s">
        <v>16</v>
      </c>
      <c r="E2351" s="8" t="s">
        <v>17</v>
      </c>
      <c r="F2351" s="9">
        <v>46186.0</v>
      </c>
      <c r="G2351" s="8" t="s">
        <v>59</v>
      </c>
      <c r="H2351" s="8" t="s">
        <v>60</v>
      </c>
      <c r="I2351" s="8" t="s">
        <v>7566</v>
      </c>
      <c r="J2351" s="8"/>
    </row>
    <row r="2352">
      <c r="A2352" s="7">
        <v>2.0068253E7</v>
      </c>
      <c r="B2352" s="8" t="s">
        <v>3445</v>
      </c>
      <c r="C2352" s="8" t="s">
        <v>7567</v>
      </c>
      <c r="D2352" s="8" t="s">
        <v>2136</v>
      </c>
      <c r="E2352" s="8" t="s">
        <v>17</v>
      </c>
      <c r="F2352" s="9">
        <v>46174.0</v>
      </c>
      <c r="G2352" s="8" t="s">
        <v>805</v>
      </c>
      <c r="H2352" s="8" t="s">
        <v>806</v>
      </c>
      <c r="I2352" s="8" t="s">
        <v>7568</v>
      </c>
      <c r="J2352" s="8" t="s">
        <v>7569</v>
      </c>
    </row>
    <row r="2353">
      <c r="A2353" s="7">
        <v>2.0060838E7</v>
      </c>
      <c r="B2353" s="8" t="s">
        <v>3445</v>
      </c>
      <c r="C2353" s="8" t="s">
        <v>7570</v>
      </c>
      <c r="D2353" s="8" t="s">
        <v>16</v>
      </c>
      <c r="E2353" s="8" t="s">
        <v>17</v>
      </c>
      <c r="F2353" s="9">
        <v>46149.0</v>
      </c>
      <c r="G2353" s="8" t="s">
        <v>7571</v>
      </c>
      <c r="H2353" s="8" t="s">
        <v>7572</v>
      </c>
      <c r="I2353" s="8" t="s">
        <v>7573</v>
      </c>
      <c r="J2353" s="8" t="s">
        <v>7574</v>
      </c>
    </row>
    <row r="2354">
      <c r="A2354" s="7">
        <v>2.0059536E7</v>
      </c>
      <c r="B2354" s="8" t="s">
        <v>3445</v>
      </c>
      <c r="C2354" s="8" t="s">
        <v>7575</v>
      </c>
      <c r="D2354" s="8" t="s">
        <v>16</v>
      </c>
      <c r="E2354" s="8" t="s">
        <v>17</v>
      </c>
      <c r="F2354" s="9">
        <v>46148.0</v>
      </c>
      <c r="G2354" s="8" t="s">
        <v>846</v>
      </c>
      <c r="H2354" s="8" t="s">
        <v>847</v>
      </c>
      <c r="I2354" s="8" t="s">
        <v>7576</v>
      </c>
      <c r="J2354" s="8" t="s">
        <v>7577</v>
      </c>
    </row>
    <row r="2355">
      <c r="A2355" s="7">
        <v>2.0059245E7</v>
      </c>
      <c r="B2355" s="8" t="s">
        <v>3445</v>
      </c>
      <c r="C2355" s="8" t="s">
        <v>7578</v>
      </c>
      <c r="D2355" s="8" t="s">
        <v>16</v>
      </c>
      <c r="E2355" s="8" t="s">
        <v>17</v>
      </c>
      <c r="F2355" s="9">
        <v>46147.0</v>
      </c>
      <c r="G2355" s="8" t="s">
        <v>1132</v>
      </c>
      <c r="H2355" s="8" t="s">
        <v>1133</v>
      </c>
      <c r="I2355" s="8" t="s">
        <v>7579</v>
      </c>
      <c r="J2355" s="8" t="s">
        <v>7580</v>
      </c>
    </row>
    <row r="2356">
      <c r="A2356" s="7">
        <v>2.0055935E7</v>
      </c>
      <c r="B2356" s="8" t="s">
        <v>3445</v>
      </c>
      <c r="C2356" s="8" t="s">
        <v>7581</v>
      </c>
      <c r="D2356" s="8" t="s">
        <v>16</v>
      </c>
      <c r="E2356" s="8" t="s">
        <v>17</v>
      </c>
      <c r="F2356" s="9">
        <v>46136.0</v>
      </c>
      <c r="G2356" s="8" t="s">
        <v>3088</v>
      </c>
      <c r="H2356" s="8" t="s">
        <v>3089</v>
      </c>
      <c r="I2356" s="8" t="s">
        <v>7582</v>
      </c>
      <c r="J2356" s="8" t="s">
        <v>7583</v>
      </c>
    </row>
    <row r="2357">
      <c r="A2357" s="7">
        <v>2.0055935E7</v>
      </c>
      <c r="B2357" s="8" t="s">
        <v>3445</v>
      </c>
      <c r="C2357" s="8" t="s">
        <v>7581</v>
      </c>
      <c r="D2357" s="8" t="s">
        <v>16</v>
      </c>
      <c r="E2357" s="8" t="s">
        <v>17</v>
      </c>
      <c r="F2357" s="9">
        <v>46136.0</v>
      </c>
      <c r="G2357" s="8" t="s">
        <v>3088</v>
      </c>
      <c r="H2357" s="8" t="s">
        <v>3089</v>
      </c>
      <c r="I2357" s="8" t="s">
        <v>7584</v>
      </c>
      <c r="J2357" s="8" t="s">
        <v>7583</v>
      </c>
    </row>
    <row r="2358">
      <c r="A2358" s="7">
        <v>2.0052406E7</v>
      </c>
      <c r="B2358" s="8" t="s">
        <v>3445</v>
      </c>
      <c r="C2358" s="8" t="s">
        <v>7585</v>
      </c>
      <c r="D2358" s="8" t="s">
        <v>16</v>
      </c>
      <c r="E2358" s="8" t="s">
        <v>17</v>
      </c>
      <c r="F2358" s="9">
        <v>46123.0</v>
      </c>
      <c r="G2358" s="8" t="s">
        <v>4850</v>
      </c>
      <c r="H2358" s="8" t="s">
        <v>4851</v>
      </c>
      <c r="I2358" s="8" t="s">
        <v>7586</v>
      </c>
      <c r="J2358" s="8" t="s">
        <v>7587</v>
      </c>
    </row>
    <row r="2359">
      <c r="A2359" s="7">
        <v>2.0051693E7</v>
      </c>
      <c r="B2359" s="8" t="s">
        <v>3445</v>
      </c>
      <c r="C2359" s="8" t="s">
        <v>7588</v>
      </c>
      <c r="D2359" s="8" t="s">
        <v>16</v>
      </c>
      <c r="E2359" s="8" t="s">
        <v>17</v>
      </c>
      <c r="F2359" s="9">
        <v>46109.0</v>
      </c>
      <c r="G2359" s="8" t="s">
        <v>7589</v>
      </c>
      <c r="H2359" s="8" t="s">
        <v>7590</v>
      </c>
      <c r="I2359" s="8" t="s">
        <v>7591</v>
      </c>
      <c r="J2359" s="8" t="s">
        <v>7592</v>
      </c>
    </row>
    <row r="2360">
      <c r="A2360" s="7">
        <v>2.0050225E7</v>
      </c>
      <c r="B2360" s="8" t="s">
        <v>3445</v>
      </c>
      <c r="C2360" s="8" t="s">
        <v>7593</v>
      </c>
      <c r="D2360" s="8" t="s">
        <v>16</v>
      </c>
      <c r="E2360" s="8" t="s">
        <v>17</v>
      </c>
      <c r="F2360" s="9">
        <v>46101.0</v>
      </c>
      <c r="G2360" s="8" t="s">
        <v>91</v>
      </c>
      <c r="H2360" s="8" t="s">
        <v>92</v>
      </c>
      <c r="I2360" s="8" t="s">
        <v>7594</v>
      </c>
      <c r="J2360" s="8" t="s">
        <v>7595</v>
      </c>
    </row>
    <row r="2361">
      <c r="A2361" s="7">
        <v>2.0048974E7</v>
      </c>
      <c r="B2361" s="8" t="s">
        <v>3445</v>
      </c>
      <c r="C2361" s="8" t="s">
        <v>7596</v>
      </c>
      <c r="D2361" s="8" t="s">
        <v>16</v>
      </c>
      <c r="E2361" s="8" t="s">
        <v>17</v>
      </c>
      <c r="F2361" s="9">
        <v>46100.0</v>
      </c>
      <c r="G2361" s="8" t="s">
        <v>59</v>
      </c>
      <c r="H2361" s="8" t="s">
        <v>60</v>
      </c>
      <c r="I2361" s="8" t="s">
        <v>7597</v>
      </c>
      <c r="J2361" s="8" t="s">
        <v>7598</v>
      </c>
    </row>
    <row r="2362">
      <c r="A2362" s="7">
        <v>2.0048315E7</v>
      </c>
      <c r="B2362" s="8" t="s">
        <v>3445</v>
      </c>
      <c r="C2362" s="8" t="s">
        <v>7599</v>
      </c>
      <c r="D2362" s="8" t="s">
        <v>16</v>
      </c>
      <c r="E2362" s="8" t="s">
        <v>17</v>
      </c>
      <c r="F2362" s="9">
        <v>46102.0</v>
      </c>
      <c r="G2362" s="8" t="s">
        <v>3585</v>
      </c>
      <c r="H2362" s="8" t="s">
        <v>3586</v>
      </c>
      <c r="I2362" s="8" t="s">
        <v>7600</v>
      </c>
      <c r="J2362" s="8" t="s">
        <v>7601</v>
      </c>
    </row>
    <row r="2363">
      <c r="A2363" s="7">
        <v>2.0043772E7</v>
      </c>
      <c r="B2363" s="8" t="s">
        <v>3445</v>
      </c>
      <c r="C2363" s="8" t="s">
        <v>7602</v>
      </c>
      <c r="D2363" s="8" t="s">
        <v>2136</v>
      </c>
      <c r="E2363" s="8" t="s">
        <v>17</v>
      </c>
      <c r="F2363" s="9">
        <v>46090.0</v>
      </c>
      <c r="G2363" s="8" t="s">
        <v>109</v>
      </c>
      <c r="H2363" s="8" t="s">
        <v>110</v>
      </c>
      <c r="I2363" s="8" t="s">
        <v>7603</v>
      </c>
      <c r="J2363" s="8" t="s">
        <v>7604</v>
      </c>
    </row>
    <row r="2364">
      <c r="A2364" s="7">
        <v>2.0043488E7</v>
      </c>
      <c r="B2364" s="8" t="s">
        <v>3445</v>
      </c>
      <c r="C2364" s="8" t="s">
        <v>7605</v>
      </c>
      <c r="D2364" s="8" t="s">
        <v>16</v>
      </c>
      <c r="E2364" s="8" t="s">
        <v>17</v>
      </c>
      <c r="F2364" s="9">
        <v>46083.0</v>
      </c>
      <c r="G2364" s="8" t="s">
        <v>1132</v>
      </c>
      <c r="H2364" s="8" t="s">
        <v>1133</v>
      </c>
      <c r="I2364" s="8" t="s">
        <v>7606</v>
      </c>
      <c r="J2364" s="8" t="s">
        <v>7607</v>
      </c>
    </row>
    <row r="2365">
      <c r="A2365" s="7">
        <v>2.003001E7</v>
      </c>
      <c r="B2365" s="8" t="s">
        <v>3445</v>
      </c>
      <c r="C2365" s="8" t="s">
        <v>7608</v>
      </c>
      <c r="D2365" s="8" t="s">
        <v>16</v>
      </c>
      <c r="E2365" s="8" t="s">
        <v>17</v>
      </c>
      <c r="F2365" s="9">
        <v>46080.0</v>
      </c>
      <c r="G2365" s="8" t="s">
        <v>109</v>
      </c>
      <c r="H2365" s="8" t="s">
        <v>110</v>
      </c>
      <c r="I2365" s="8" t="s">
        <v>7609</v>
      </c>
      <c r="J2365" s="8" t="s">
        <v>7610</v>
      </c>
    </row>
    <row r="2366">
      <c r="A2366" s="7">
        <v>2.004153E7</v>
      </c>
      <c r="B2366" s="8" t="s">
        <v>3445</v>
      </c>
      <c r="C2366" s="8" t="s">
        <v>7611</v>
      </c>
      <c r="D2366" s="8" t="s">
        <v>16</v>
      </c>
      <c r="E2366" s="8" t="s">
        <v>17</v>
      </c>
      <c r="F2366" s="9">
        <v>46094.0</v>
      </c>
      <c r="G2366" s="8" t="s">
        <v>64</v>
      </c>
      <c r="H2366" s="8" t="s">
        <v>65</v>
      </c>
      <c r="I2366" s="8" t="s">
        <v>7612</v>
      </c>
      <c r="J2366" s="8" t="s">
        <v>7613</v>
      </c>
    </row>
    <row r="2367">
      <c r="A2367" s="7">
        <v>2.0039173E7</v>
      </c>
      <c r="B2367" s="8" t="s">
        <v>3445</v>
      </c>
      <c r="C2367" s="8" t="s">
        <v>7614</v>
      </c>
      <c r="D2367" s="8" t="s">
        <v>16</v>
      </c>
      <c r="E2367" s="8" t="s">
        <v>17</v>
      </c>
      <c r="F2367" s="9">
        <v>46092.0</v>
      </c>
      <c r="G2367" s="8" t="s">
        <v>846</v>
      </c>
      <c r="H2367" s="8" t="s">
        <v>847</v>
      </c>
      <c r="I2367" s="8" t="s">
        <v>7615</v>
      </c>
      <c r="J2367" s="8" t="s">
        <v>7616</v>
      </c>
    </row>
    <row r="2368">
      <c r="A2368" s="7">
        <v>2.0036461E7</v>
      </c>
      <c r="B2368" s="8" t="s">
        <v>3445</v>
      </c>
      <c r="C2368" s="8" t="s">
        <v>7617</v>
      </c>
      <c r="D2368" s="8" t="s">
        <v>16</v>
      </c>
      <c r="E2368" s="8" t="s">
        <v>17</v>
      </c>
      <c r="F2368" s="9">
        <v>46062.0</v>
      </c>
      <c r="G2368" s="8" t="s">
        <v>171</v>
      </c>
      <c r="H2368" s="8" t="s">
        <v>172</v>
      </c>
      <c r="I2368" s="8" t="s">
        <v>7618</v>
      </c>
      <c r="J2368" s="8" t="s">
        <v>7619</v>
      </c>
    </row>
    <row r="2369">
      <c r="A2369" s="7">
        <v>2.0033879E7</v>
      </c>
      <c r="B2369" s="8" t="s">
        <v>3445</v>
      </c>
      <c r="C2369" s="8" t="s">
        <v>7620</v>
      </c>
      <c r="D2369" s="8" t="s">
        <v>16</v>
      </c>
      <c r="E2369" s="8" t="s">
        <v>17</v>
      </c>
      <c r="F2369" s="9">
        <v>46053.0</v>
      </c>
      <c r="G2369" s="8" t="s">
        <v>4810</v>
      </c>
      <c r="H2369" s="8" t="s">
        <v>4811</v>
      </c>
      <c r="I2369" s="8" t="s">
        <v>7621</v>
      </c>
      <c r="J2369" s="8" t="s">
        <v>7622</v>
      </c>
    </row>
    <row r="2370">
      <c r="A2370" s="7">
        <v>2.0034439E7</v>
      </c>
      <c r="B2370" s="8" t="s">
        <v>3445</v>
      </c>
      <c r="C2370" s="8" t="s">
        <v>7623</v>
      </c>
      <c r="D2370" s="8" t="s">
        <v>16</v>
      </c>
      <c r="E2370" s="8" t="s">
        <v>17</v>
      </c>
      <c r="F2370" s="9">
        <v>46048.0</v>
      </c>
      <c r="G2370" s="8" t="s">
        <v>91</v>
      </c>
      <c r="H2370" s="8" t="s">
        <v>92</v>
      </c>
      <c r="I2370" s="8" t="s">
        <v>7624</v>
      </c>
      <c r="J2370" s="8" t="s">
        <v>7625</v>
      </c>
    </row>
    <row r="2371">
      <c r="A2371" s="7">
        <v>2.0034429E7</v>
      </c>
      <c r="B2371" s="8" t="s">
        <v>3445</v>
      </c>
      <c r="C2371" s="8" t="s">
        <v>7626</v>
      </c>
      <c r="D2371" s="8" t="s">
        <v>16</v>
      </c>
      <c r="E2371" s="8" t="s">
        <v>17</v>
      </c>
      <c r="F2371" s="9">
        <v>46041.0</v>
      </c>
      <c r="G2371" s="8" t="s">
        <v>247</v>
      </c>
      <c r="H2371" s="8" t="s">
        <v>248</v>
      </c>
      <c r="I2371" s="8" t="s">
        <v>7627</v>
      </c>
      <c r="J2371" s="8" t="s">
        <v>7628</v>
      </c>
    </row>
    <row r="2372">
      <c r="A2372" s="7">
        <v>2.0062539E7</v>
      </c>
      <c r="B2372" s="8" t="s">
        <v>3445</v>
      </c>
      <c r="C2372" s="8" t="s">
        <v>7629</v>
      </c>
      <c r="D2372" s="8" t="s">
        <v>16</v>
      </c>
      <c r="E2372" s="8" t="s">
        <v>17</v>
      </c>
      <c r="F2372" s="9">
        <v>46182.0</v>
      </c>
      <c r="G2372" s="8" t="s">
        <v>2910</v>
      </c>
      <c r="H2372" s="8" t="s">
        <v>2911</v>
      </c>
      <c r="I2372" s="8" t="s">
        <v>7630</v>
      </c>
      <c r="J2372" s="8" t="s">
        <v>7631</v>
      </c>
    </row>
    <row r="2373">
      <c r="A2373" s="7">
        <v>2.0059796E7</v>
      </c>
      <c r="B2373" s="8" t="s">
        <v>3445</v>
      </c>
      <c r="C2373" s="8" t="s">
        <v>7632</v>
      </c>
      <c r="D2373" s="8" t="s">
        <v>16</v>
      </c>
      <c r="E2373" s="8" t="s">
        <v>17</v>
      </c>
      <c r="F2373" s="9">
        <v>46171.0</v>
      </c>
      <c r="G2373" s="8" t="s">
        <v>826</v>
      </c>
      <c r="H2373" s="8" t="s">
        <v>7633</v>
      </c>
      <c r="I2373" s="8" t="s">
        <v>7634</v>
      </c>
      <c r="J2373" s="8" t="s">
        <v>7635</v>
      </c>
    </row>
    <row r="2374">
      <c r="A2374" s="7">
        <v>2.0060204E7</v>
      </c>
      <c r="B2374" s="8" t="s">
        <v>3445</v>
      </c>
      <c r="C2374" s="8" t="s">
        <v>7636</v>
      </c>
      <c r="D2374" s="8" t="s">
        <v>16</v>
      </c>
      <c r="E2374" s="8" t="s">
        <v>17</v>
      </c>
      <c r="F2374" s="9">
        <v>46159.0</v>
      </c>
      <c r="G2374" s="8" t="s">
        <v>7637</v>
      </c>
      <c r="H2374" s="8" t="s">
        <v>7638</v>
      </c>
      <c r="I2374" s="8" t="s">
        <v>7639</v>
      </c>
      <c r="J2374" s="8" t="s">
        <v>7640</v>
      </c>
    </row>
    <row r="2375">
      <c r="A2375" s="7">
        <v>2.005757E7</v>
      </c>
      <c r="B2375" s="8" t="s">
        <v>3445</v>
      </c>
      <c r="C2375" s="8" t="s">
        <v>7641</v>
      </c>
      <c r="D2375" s="8" t="s">
        <v>16</v>
      </c>
      <c r="E2375" s="8" t="s">
        <v>17</v>
      </c>
      <c r="F2375" s="9">
        <v>46136.0</v>
      </c>
      <c r="G2375" s="8" t="s">
        <v>220</v>
      </c>
      <c r="H2375" s="8" t="s">
        <v>221</v>
      </c>
      <c r="I2375" s="8" t="s">
        <v>7642</v>
      </c>
      <c r="J2375" s="8" t="s">
        <v>7643</v>
      </c>
    </row>
    <row r="2376">
      <c r="A2376" s="7">
        <v>2.0052914E7</v>
      </c>
      <c r="B2376" s="8" t="s">
        <v>3445</v>
      </c>
      <c r="C2376" s="8" t="s">
        <v>7644</v>
      </c>
      <c r="D2376" s="8" t="s">
        <v>16</v>
      </c>
      <c r="E2376" s="8" t="s">
        <v>48</v>
      </c>
      <c r="F2376" s="9">
        <v>46113.0</v>
      </c>
      <c r="G2376" s="8" t="s">
        <v>3088</v>
      </c>
      <c r="H2376" s="8" t="s">
        <v>3089</v>
      </c>
      <c r="I2376" s="8" t="s">
        <v>7645</v>
      </c>
      <c r="J2376" s="8" t="s">
        <v>7646</v>
      </c>
    </row>
    <row r="2377">
      <c r="A2377" s="7">
        <v>2.004971E7</v>
      </c>
      <c r="B2377" s="8" t="s">
        <v>3445</v>
      </c>
      <c r="C2377" s="8" t="s">
        <v>7647</v>
      </c>
      <c r="D2377" s="8" t="s">
        <v>16</v>
      </c>
      <c r="E2377" s="8" t="s">
        <v>17</v>
      </c>
      <c r="F2377" s="9">
        <v>46110.0</v>
      </c>
      <c r="G2377" s="8" t="s">
        <v>158</v>
      </c>
      <c r="H2377" s="8" t="s">
        <v>159</v>
      </c>
      <c r="I2377" s="8" t="s">
        <v>7648</v>
      </c>
      <c r="J2377" s="8" t="s">
        <v>7649</v>
      </c>
    </row>
    <row r="2378">
      <c r="A2378" s="7">
        <v>2.0046489E7</v>
      </c>
      <c r="B2378" s="8" t="s">
        <v>3445</v>
      </c>
      <c r="C2378" s="8" t="s">
        <v>7650</v>
      </c>
      <c r="D2378" s="8" t="s">
        <v>16</v>
      </c>
      <c r="E2378" s="8" t="s">
        <v>17</v>
      </c>
      <c r="F2378" s="9">
        <v>46105.0</v>
      </c>
      <c r="G2378" s="8" t="s">
        <v>171</v>
      </c>
      <c r="H2378" s="8" t="s">
        <v>172</v>
      </c>
      <c r="I2378" s="8" t="s">
        <v>7651</v>
      </c>
      <c r="J2378" s="8" t="s">
        <v>7652</v>
      </c>
    </row>
    <row r="2379">
      <c r="A2379" s="7">
        <v>2.0045744E7</v>
      </c>
      <c r="B2379" s="8" t="s">
        <v>3445</v>
      </c>
      <c r="C2379" s="8" t="s">
        <v>7653</v>
      </c>
      <c r="D2379" s="8" t="s">
        <v>16</v>
      </c>
      <c r="E2379" s="8" t="s">
        <v>17</v>
      </c>
      <c r="F2379" s="9">
        <v>46088.0</v>
      </c>
      <c r="G2379" s="8" t="s">
        <v>3012</v>
      </c>
      <c r="H2379" s="8" t="s">
        <v>3013</v>
      </c>
      <c r="I2379" s="8" t="s">
        <v>7654</v>
      </c>
      <c r="J2379" s="8" t="s">
        <v>7655</v>
      </c>
    </row>
    <row r="2380">
      <c r="A2380" s="7">
        <v>2.004472E7</v>
      </c>
      <c r="B2380" s="8" t="s">
        <v>3445</v>
      </c>
      <c r="C2380" s="8" t="s">
        <v>7656</v>
      </c>
      <c r="D2380" s="8" t="s">
        <v>16</v>
      </c>
      <c r="E2380" s="8" t="s">
        <v>17</v>
      </c>
      <c r="F2380" s="9">
        <v>46102.0</v>
      </c>
      <c r="G2380" s="8" t="s">
        <v>34</v>
      </c>
      <c r="H2380" s="8" t="s">
        <v>35</v>
      </c>
      <c r="I2380" s="8" t="s">
        <v>7657</v>
      </c>
      <c r="J2380" s="8" t="s">
        <v>7658</v>
      </c>
    </row>
    <row r="2381">
      <c r="A2381" s="7">
        <v>2.004472E7</v>
      </c>
      <c r="B2381" s="8" t="s">
        <v>3445</v>
      </c>
      <c r="C2381" s="8" t="s">
        <v>7656</v>
      </c>
      <c r="D2381" s="8" t="s">
        <v>16</v>
      </c>
      <c r="E2381" s="8" t="s">
        <v>17</v>
      </c>
      <c r="F2381" s="9">
        <v>46102.0</v>
      </c>
      <c r="G2381" s="8" t="s">
        <v>7659</v>
      </c>
      <c r="H2381" s="8" t="s">
        <v>7660</v>
      </c>
      <c r="I2381" s="8" t="s">
        <v>7661</v>
      </c>
      <c r="J2381" s="8" t="s">
        <v>7662</v>
      </c>
    </row>
    <row r="2382">
      <c r="A2382" s="7">
        <v>2.0044035E7</v>
      </c>
      <c r="B2382" s="8" t="s">
        <v>3445</v>
      </c>
      <c r="C2382" s="8" t="s">
        <v>7663</v>
      </c>
      <c r="D2382" s="8" t="s">
        <v>16</v>
      </c>
      <c r="E2382" s="8" t="s">
        <v>17</v>
      </c>
      <c r="F2382" s="9">
        <v>46073.0</v>
      </c>
      <c r="G2382" s="8" t="s">
        <v>846</v>
      </c>
      <c r="H2382" s="8" t="s">
        <v>847</v>
      </c>
      <c r="I2382" s="8" t="s">
        <v>7664</v>
      </c>
      <c r="J2382" s="8" t="s">
        <v>7665</v>
      </c>
    </row>
    <row r="2383">
      <c r="A2383" s="7">
        <v>2.0042642E7</v>
      </c>
      <c r="B2383" s="8" t="s">
        <v>3445</v>
      </c>
      <c r="C2383" s="8" t="s">
        <v>7666</v>
      </c>
      <c r="D2383" s="8" t="s">
        <v>16</v>
      </c>
      <c r="E2383" s="8" t="s">
        <v>17</v>
      </c>
      <c r="F2383" s="9">
        <v>46079.0</v>
      </c>
      <c r="G2383" s="8" t="s">
        <v>385</v>
      </c>
      <c r="H2383" s="8" t="s">
        <v>386</v>
      </c>
      <c r="I2383" s="8" t="s">
        <v>7667</v>
      </c>
      <c r="J2383" s="8" t="s">
        <v>7668</v>
      </c>
    </row>
    <row r="2384">
      <c r="A2384" s="7">
        <v>2.0035093E7</v>
      </c>
      <c r="B2384" s="8" t="s">
        <v>3445</v>
      </c>
      <c r="C2384" s="8" t="s">
        <v>7669</v>
      </c>
      <c r="D2384" s="8" t="s">
        <v>16</v>
      </c>
      <c r="E2384" s="8" t="s">
        <v>17</v>
      </c>
      <c r="F2384" s="9">
        <v>46073.0</v>
      </c>
      <c r="G2384" s="8" t="s">
        <v>29</v>
      </c>
      <c r="H2384" s="8" t="s">
        <v>30</v>
      </c>
      <c r="I2384" s="8" t="s">
        <v>7670</v>
      </c>
      <c r="J2384" s="8" t="s">
        <v>7671</v>
      </c>
    </row>
    <row r="2385">
      <c r="A2385" s="7">
        <v>2.0039191E7</v>
      </c>
      <c r="B2385" s="8" t="s">
        <v>3445</v>
      </c>
      <c r="C2385" s="8" t="s">
        <v>7672</v>
      </c>
      <c r="D2385" s="8" t="s">
        <v>16</v>
      </c>
      <c r="E2385" s="8" t="s">
        <v>17</v>
      </c>
      <c r="F2385" s="9">
        <v>46075.0</v>
      </c>
      <c r="G2385" s="8" t="s">
        <v>64</v>
      </c>
      <c r="H2385" s="8" t="s">
        <v>65</v>
      </c>
      <c r="I2385" s="8" t="s">
        <v>7673</v>
      </c>
      <c r="J2385" s="8" t="s">
        <v>7674</v>
      </c>
    </row>
    <row r="2386">
      <c r="A2386" s="7">
        <v>2.0038578E7</v>
      </c>
      <c r="B2386" s="8" t="s">
        <v>3445</v>
      </c>
      <c r="C2386" s="8" t="s">
        <v>7675</v>
      </c>
      <c r="D2386" s="8" t="s">
        <v>16</v>
      </c>
      <c r="E2386" s="8" t="s">
        <v>17</v>
      </c>
      <c r="F2386" s="9">
        <v>46074.0</v>
      </c>
      <c r="G2386" s="8" t="s">
        <v>1524</v>
      </c>
      <c r="H2386" s="8" t="s">
        <v>1525</v>
      </c>
      <c r="I2386" s="8" t="s">
        <v>7676</v>
      </c>
      <c r="J2386" s="8" t="s">
        <v>7677</v>
      </c>
    </row>
    <row r="2387">
      <c r="A2387" s="7">
        <v>2.003684E7</v>
      </c>
      <c r="B2387" s="8" t="s">
        <v>3445</v>
      </c>
      <c r="C2387" s="8" t="s">
        <v>7678</v>
      </c>
      <c r="D2387" s="8" t="s">
        <v>16</v>
      </c>
      <c r="E2387" s="8" t="s">
        <v>17</v>
      </c>
      <c r="F2387" s="9">
        <v>46058.0</v>
      </c>
      <c r="G2387" s="8" t="s">
        <v>29</v>
      </c>
      <c r="H2387" s="8" t="s">
        <v>30</v>
      </c>
      <c r="I2387" s="8" t="s">
        <v>7679</v>
      </c>
      <c r="J2387" s="8" t="s">
        <v>7680</v>
      </c>
    </row>
    <row r="2388">
      <c r="A2388" s="7">
        <v>2.0017853E7</v>
      </c>
      <c r="B2388" s="8" t="s">
        <v>3445</v>
      </c>
      <c r="C2388" s="8" t="s">
        <v>7681</v>
      </c>
      <c r="D2388" s="8" t="s">
        <v>16</v>
      </c>
      <c r="E2388" s="8" t="s">
        <v>17</v>
      </c>
      <c r="F2388" s="9">
        <v>46038.0</v>
      </c>
      <c r="G2388" s="8" t="s">
        <v>7682</v>
      </c>
      <c r="H2388" s="8" t="s">
        <v>7683</v>
      </c>
      <c r="I2388" s="8" t="s">
        <v>7684</v>
      </c>
      <c r="J2388" s="8" t="s">
        <v>7685</v>
      </c>
    </row>
    <row r="2389">
      <c r="A2389" s="7">
        <v>2.0071696E7</v>
      </c>
      <c r="B2389" s="8" t="s">
        <v>3445</v>
      </c>
      <c r="C2389" s="8" t="s">
        <v>7686</v>
      </c>
      <c r="D2389" s="8" t="s">
        <v>16</v>
      </c>
      <c r="E2389" s="8" t="s">
        <v>17</v>
      </c>
      <c r="F2389" s="9">
        <v>46188.0</v>
      </c>
      <c r="G2389" s="8" t="s">
        <v>234</v>
      </c>
      <c r="H2389" s="8" t="s">
        <v>235</v>
      </c>
      <c r="I2389" s="8" t="s">
        <v>7687</v>
      </c>
      <c r="J2389" s="8" t="s">
        <v>7688</v>
      </c>
    </row>
    <row r="2390">
      <c r="A2390" s="7">
        <v>2.0071696E7</v>
      </c>
      <c r="B2390" s="8" t="s">
        <v>3445</v>
      </c>
      <c r="C2390" s="8" t="s">
        <v>7686</v>
      </c>
      <c r="D2390" s="8" t="s">
        <v>16</v>
      </c>
      <c r="E2390" s="8" t="s">
        <v>17</v>
      </c>
      <c r="F2390" s="9">
        <v>46188.0</v>
      </c>
      <c r="G2390" s="8" t="s">
        <v>3255</v>
      </c>
      <c r="H2390" s="8" t="s">
        <v>3256</v>
      </c>
      <c r="I2390" s="8" t="s">
        <v>7689</v>
      </c>
      <c r="J2390" s="8" t="s">
        <v>7690</v>
      </c>
    </row>
    <row r="2391">
      <c r="A2391" s="7">
        <v>2.0070485E7</v>
      </c>
      <c r="B2391" s="8" t="s">
        <v>3445</v>
      </c>
      <c r="C2391" s="8" t="s">
        <v>7691</v>
      </c>
      <c r="D2391" s="8" t="s">
        <v>16</v>
      </c>
      <c r="E2391" s="8" t="s">
        <v>17</v>
      </c>
      <c r="F2391" s="9">
        <v>46193.0</v>
      </c>
      <c r="G2391" s="8" t="s">
        <v>923</v>
      </c>
      <c r="H2391" s="8" t="s">
        <v>7274</v>
      </c>
      <c r="I2391" s="8" t="s">
        <v>7692</v>
      </c>
      <c r="J2391" s="8" t="s">
        <v>7693</v>
      </c>
    </row>
    <row r="2392">
      <c r="A2392" s="7">
        <v>2.0062656E7</v>
      </c>
      <c r="B2392" s="8" t="s">
        <v>3445</v>
      </c>
      <c r="C2392" s="8" t="s">
        <v>7694</v>
      </c>
      <c r="D2392" s="8" t="s">
        <v>16</v>
      </c>
      <c r="E2392" s="8" t="s">
        <v>17</v>
      </c>
      <c r="F2392" s="9">
        <v>46171.0</v>
      </c>
      <c r="G2392" s="8" t="s">
        <v>7354</v>
      </c>
      <c r="H2392" s="8" t="s">
        <v>7695</v>
      </c>
      <c r="I2392" s="8" t="s">
        <v>7696</v>
      </c>
      <c r="J2392" s="8" t="s">
        <v>7697</v>
      </c>
    </row>
    <row r="2393">
      <c r="A2393" s="7">
        <v>2.0062691E7</v>
      </c>
      <c r="B2393" s="8" t="s">
        <v>3445</v>
      </c>
      <c r="C2393" s="8" t="s">
        <v>7698</v>
      </c>
      <c r="D2393" s="8" t="s">
        <v>16</v>
      </c>
      <c r="E2393" s="8" t="s">
        <v>17</v>
      </c>
      <c r="F2393" s="9">
        <v>46151.0</v>
      </c>
      <c r="G2393" s="8" t="s">
        <v>352</v>
      </c>
      <c r="H2393" s="8" t="s">
        <v>353</v>
      </c>
      <c r="I2393" s="8" t="s">
        <v>7699</v>
      </c>
      <c r="J2393" s="8" t="s">
        <v>7700</v>
      </c>
    </row>
    <row r="2394">
      <c r="A2394" s="7">
        <v>2.0058148E7</v>
      </c>
      <c r="B2394" s="8" t="s">
        <v>3445</v>
      </c>
      <c r="C2394" s="8" t="s">
        <v>7701</v>
      </c>
      <c r="D2394" s="8" t="s">
        <v>16</v>
      </c>
      <c r="E2394" s="8" t="s">
        <v>48</v>
      </c>
      <c r="F2394" s="9">
        <v>46144.0</v>
      </c>
      <c r="G2394" s="8" t="s">
        <v>7702</v>
      </c>
      <c r="H2394" s="8" t="s">
        <v>7703</v>
      </c>
      <c r="I2394" s="8" t="s">
        <v>7704</v>
      </c>
      <c r="J2394" s="8"/>
    </row>
    <row r="2395">
      <c r="A2395" s="7">
        <v>2.0057777E7</v>
      </c>
      <c r="B2395" s="8" t="s">
        <v>3445</v>
      </c>
      <c r="C2395" s="8" t="s">
        <v>7705</v>
      </c>
      <c r="D2395" s="8" t="s">
        <v>16</v>
      </c>
      <c r="E2395" s="8" t="s">
        <v>17</v>
      </c>
      <c r="F2395" s="9">
        <v>46165.0</v>
      </c>
      <c r="G2395" s="8" t="s">
        <v>7706</v>
      </c>
      <c r="H2395" s="8" t="s">
        <v>7707</v>
      </c>
      <c r="I2395" s="8" t="s">
        <v>7708</v>
      </c>
      <c r="J2395" s="8" t="s">
        <v>7709</v>
      </c>
    </row>
    <row r="2396">
      <c r="A2396" s="7">
        <v>2.0056413E7</v>
      </c>
      <c r="B2396" s="8" t="s">
        <v>3445</v>
      </c>
      <c r="C2396" s="8" t="s">
        <v>7710</v>
      </c>
      <c r="D2396" s="8" t="s">
        <v>16</v>
      </c>
      <c r="E2396" s="8" t="s">
        <v>17</v>
      </c>
      <c r="F2396" s="9">
        <v>46181.0</v>
      </c>
      <c r="G2396" s="8" t="s">
        <v>7711</v>
      </c>
      <c r="H2396" s="8" t="s">
        <v>7712</v>
      </c>
      <c r="I2396" s="8" t="s">
        <v>7713</v>
      </c>
      <c r="J2396" s="8" t="s">
        <v>7714</v>
      </c>
    </row>
    <row r="2397">
      <c r="A2397" s="7">
        <v>2.0054321E7</v>
      </c>
      <c r="B2397" s="8" t="s">
        <v>3445</v>
      </c>
      <c r="C2397" s="8" t="s">
        <v>7715</v>
      </c>
      <c r="D2397" s="8" t="s">
        <v>16</v>
      </c>
      <c r="E2397" s="8" t="s">
        <v>17</v>
      </c>
      <c r="F2397" s="9">
        <v>46132.0</v>
      </c>
      <c r="G2397" s="8" t="s">
        <v>148</v>
      </c>
      <c r="H2397" s="8" t="s">
        <v>149</v>
      </c>
      <c r="I2397" s="8" t="s">
        <v>7716</v>
      </c>
      <c r="J2397" s="8" t="s">
        <v>7717</v>
      </c>
    </row>
    <row r="2398">
      <c r="A2398" s="7">
        <v>2.0054261E7</v>
      </c>
      <c r="B2398" s="8" t="s">
        <v>3445</v>
      </c>
      <c r="C2398" s="8" t="s">
        <v>7718</v>
      </c>
      <c r="D2398" s="8" t="s">
        <v>16</v>
      </c>
      <c r="E2398" s="8" t="s">
        <v>17</v>
      </c>
      <c r="F2398" s="9">
        <v>46116.0</v>
      </c>
      <c r="G2398" s="8" t="s">
        <v>846</v>
      </c>
      <c r="H2398" s="8" t="s">
        <v>847</v>
      </c>
      <c r="I2398" s="8" t="s">
        <v>7719</v>
      </c>
      <c r="J2398" s="8" t="s">
        <v>7720</v>
      </c>
    </row>
    <row r="2399">
      <c r="A2399" s="7">
        <v>2.0049827E7</v>
      </c>
      <c r="B2399" s="8" t="s">
        <v>3445</v>
      </c>
      <c r="C2399" s="8" t="s">
        <v>7721</v>
      </c>
      <c r="D2399" s="8" t="s">
        <v>16</v>
      </c>
      <c r="E2399" s="8" t="s">
        <v>17</v>
      </c>
      <c r="F2399" s="9">
        <v>46109.0</v>
      </c>
      <c r="G2399" s="8" t="s">
        <v>59</v>
      </c>
      <c r="H2399" s="8" t="s">
        <v>60</v>
      </c>
      <c r="I2399" s="8" t="s">
        <v>7158</v>
      </c>
      <c r="J2399" s="8" t="s">
        <v>7722</v>
      </c>
    </row>
    <row r="2400">
      <c r="A2400" s="7">
        <v>2.0050095E7</v>
      </c>
      <c r="B2400" s="8" t="s">
        <v>3445</v>
      </c>
      <c r="C2400" s="8" t="s">
        <v>7723</v>
      </c>
      <c r="D2400" s="8" t="s">
        <v>16</v>
      </c>
      <c r="E2400" s="8" t="s">
        <v>17</v>
      </c>
      <c r="F2400" s="9">
        <v>46108.0</v>
      </c>
      <c r="G2400" s="8" t="s">
        <v>826</v>
      </c>
      <c r="H2400" s="8" t="s">
        <v>827</v>
      </c>
      <c r="I2400" s="8" t="s">
        <v>7724</v>
      </c>
      <c r="J2400" s="8" t="s">
        <v>7725</v>
      </c>
    </row>
    <row r="2401">
      <c r="A2401" s="7">
        <v>2.0046545E7</v>
      </c>
      <c r="B2401" s="8" t="s">
        <v>3445</v>
      </c>
      <c r="C2401" s="8" t="s">
        <v>7726</v>
      </c>
      <c r="D2401" s="8" t="s">
        <v>16</v>
      </c>
      <c r="E2401" s="8" t="s">
        <v>17</v>
      </c>
      <c r="F2401" s="9">
        <v>46136.0</v>
      </c>
      <c r="G2401" s="8" t="s">
        <v>3709</v>
      </c>
      <c r="H2401" s="8" t="s">
        <v>3710</v>
      </c>
      <c r="I2401" s="8" t="s">
        <v>7727</v>
      </c>
      <c r="J2401" s="8" t="s">
        <v>7728</v>
      </c>
    </row>
    <row r="2402">
      <c r="A2402" s="7">
        <v>2.0046545E7</v>
      </c>
      <c r="B2402" s="8" t="s">
        <v>3445</v>
      </c>
      <c r="C2402" s="8" t="s">
        <v>7726</v>
      </c>
      <c r="D2402" s="8" t="s">
        <v>16</v>
      </c>
      <c r="E2402" s="8" t="s">
        <v>17</v>
      </c>
      <c r="F2402" s="9">
        <v>46136.0</v>
      </c>
      <c r="G2402" s="8" t="s">
        <v>3709</v>
      </c>
      <c r="H2402" s="8" t="s">
        <v>3710</v>
      </c>
      <c r="I2402" s="8" t="s">
        <v>7728</v>
      </c>
      <c r="J2402" s="8" t="s">
        <v>7727</v>
      </c>
    </row>
    <row r="2403">
      <c r="A2403" s="7">
        <v>2.0048775E7</v>
      </c>
      <c r="B2403" s="8" t="s">
        <v>3445</v>
      </c>
      <c r="C2403" s="8" t="s">
        <v>7729</v>
      </c>
      <c r="D2403" s="8" t="s">
        <v>16</v>
      </c>
      <c r="E2403" s="8" t="s">
        <v>17</v>
      </c>
      <c r="F2403" s="9">
        <v>46109.0</v>
      </c>
      <c r="G2403" s="8" t="s">
        <v>7730</v>
      </c>
      <c r="H2403" s="8" t="s">
        <v>7731</v>
      </c>
      <c r="I2403" s="8" t="s">
        <v>7732</v>
      </c>
      <c r="J2403" s="8" t="s">
        <v>7733</v>
      </c>
    </row>
    <row r="2404">
      <c r="A2404" s="7">
        <v>2.004752E7</v>
      </c>
      <c r="B2404" s="8" t="s">
        <v>3445</v>
      </c>
      <c r="C2404" s="8" t="s">
        <v>7734</v>
      </c>
      <c r="D2404" s="8" t="s">
        <v>16</v>
      </c>
      <c r="E2404" s="8" t="s">
        <v>17</v>
      </c>
      <c r="F2404" s="9">
        <v>46100.0</v>
      </c>
      <c r="G2404" s="8" t="s">
        <v>59</v>
      </c>
      <c r="H2404" s="8" t="s">
        <v>60</v>
      </c>
      <c r="I2404" s="8" t="s">
        <v>7735</v>
      </c>
      <c r="J2404" s="8" t="s">
        <v>7736</v>
      </c>
    </row>
    <row r="2405">
      <c r="A2405" s="7">
        <v>2.0034561E7</v>
      </c>
      <c r="B2405" s="8" t="s">
        <v>3445</v>
      </c>
      <c r="C2405" s="8" t="s">
        <v>7737</v>
      </c>
      <c r="D2405" s="8" t="s">
        <v>16</v>
      </c>
      <c r="E2405" s="8" t="s">
        <v>17</v>
      </c>
      <c r="F2405" s="9">
        <v>46052.0</v>
      </c>
      <c r="G2405" s="8" t="s">
        <v>319</v>
      </c>
      <c r="H2405" s="8" t="s">
        <v>320</v>
      </c>
      <c r="I2405" s="8" t="s">
        <v>7738</v>
      </c>
      <c r="J2405" s="8" t="s">
        <v>7739</v>
      </c>
    </row>
    <row r="2406">
      <c r="A2406" s="7">
        <v>2.003232E7</v>
      </c>
      <c r="B2406" s="8" t="s">
        <v>3445</v>
      </c>
      <c r="C2406" s="8" t="s">
        <v>7740</v>
      </c>
      <c r="D2406" s="8" t="s">
        <v>16</v>
      </c>
      <c r="E2406" s="8" t="s">
        <v>17</v>
      </c>
      <c r="F2406" s="9">
        <v>46041.0</v>
      </c>
      <c r="G2406" s="8" t="s">
        <v>1319</v>
      </c>
      <c r="H2406" s="8" t="s">
        <v>1320</v>
      </c>
      <c r="I2406" s="8" t="s">
        <v>7741</v>
      </c>
      <c r="J2406" s="8" t="s">
        <v>7742</v>
      </c>
    </row>
    <row r="2407">
      <c r="A2407" s="7">
        <v>2.0071013E7</v>
      </c>
      <c r="B2407" s="8" t="s">
        <v>3445</v>
      </c>
      <c r="C2407" s="8" t="s">
        <v>7743</v>
      </c>
      <c r="D2407" s="8" t="s">
        <v>16</v>
      </c>
      <c r="E2407" s="8" t="s">
        <v>17</v>
      </c>
      <c r="F2407" s="9">
        <v>46191.0</v>
      </c>
      <c r="G2407" s="8" t="s">
        <v>34</v>
      </c>
      <c r="H2407" s="8" t="s">
        <v>35</v>
      </c>
      <c r="I2407" s="8" t="s">
        <v>7744</v>
      </c>
      <c r="J2407" s="8" t="s">
        <v>7745</v>
      </c>
    </row>
    <row r="2408">
      <c r="A2408" s="7">
        <v>2.0061789E7</v>
      </c>
      <c r="B2408" s="8" t="s">
        <v>3445</v>
      </c>
      <c r="C2408" s="8" t="s">
        <v>7746</v>
      </c>
      <c r="D2408" s="8" t="s">
        <v>16</v>
      </c>
      <c r="E2408" s="8" t="s">
        <v>17</v>
      </c>
      <c r="F2408" s="9">
        <v>46166.0</v>
      </c>
      <c r="G2408" s="8" t="s">
        <v>109</v>
      </c>
      <c r="H2408" s="8" t="s">
        <v>110</v>
      </c>
      <c r="I2408" s="8" t="s">
        <v>7747</v>
      </c>
      <c r="J2408" s="8" t="s">
        <v>7748</v>
      </c>
    </row>
    <row r="2409">
      <c r="A2409" s="7">
        <v>2.006394E7</v>
      </c>
      <c r="B2409" s="8" t="s">
        <v>3445</v>
      </c>
      <c r="C2409" s="8" t="s">
        <v>7749</v>
      </c>
      <c r="D2409" s="8" t="s">
        <v>16</v>
      </c>
      <c r="E2409" s="8" t="s">
        <v>17</v>
      </c>
      <c r="F2409" s="9">
        <v>46189.0</v>
      </c>
      <c r="G2409" s="8" t="s">
        <v>158</v>
      </c>
      <c r="H2409" s="8" t="s">
        <v>159</v>
      </c>
      <c r="I2409" s="8" t="s">
        <v>7750</v>
      </c>
      <c r="J2409" s="8" t="s">
        <v>7751</v>
      </c>
    </row>
    <row r="2410">
      <c r="A2410" s="7">
        <v>2.0057144E7</v>
      </c>
      <c r="B2410" s="8" t="s">
        <v>3445</v>
      </c>
      <c r="C2410" s="8" t="s">
        <v>7752</v>
      </c>
      <c r="D2410" s="8" t="s">
        <v>2136</v>
      </c>
      <c r="E2410" s="8" t="s">
        <v>17</v>
      </c>
      <c r="F2410" s="9">
        <v>46144.0</v>
      </c>
      <c r="G2410" s="8" t="s">
        <v>59</v>
      </c>
      <c r="H2410" s="8" t="s">
        <v>60</v>
      </c>
      <c r="I2410" s="8" t="s">
        <v>7753</v>
      </c>
      <c r="J2410" s="8" t="s">
        <v>7754</v>
      </c>
    </row>
    <row r="2411">
      <c r="A2411" s="7">
        <v>2.0057144E7</v>
      </c>
      <c r="B2411" s="8" t="s">
        <v>3445</v>
      </c>
      <c r="C2411" s="8" t="s">
        <v>7755</v>
      </c>
      <c r="D2411" s="8" t="s">
        <v>16</v>
      </c>
      <c r="E2411" s="8" t="s">
        <v>48</v>
      </c>
      <c r="F2411" s="9">
        <v>46152.0</v>
      </c>
      <c r="G2411" s="8" t="s">
        <v>365</v>
      </c>
      <c r="H2411" s="8" t="s">
        <v>366</v>
      </c>
      <c r="I2411" s="8" t="s">
        <v>7756</v>
      </c>
      <c r="J2411" s="8" t="s">
        <v>7757</v>
      </c>
    </row>
    <row r="2412">
      <c r="A2412" s="7">
        <v>2.0048295E7</v>
      </c>
      <c r="B2412" s="8" t="s">
        <v>3445</v>
      </c>
      <c r="C2412" s="8" t="s">
        <v>7758</v>
      </c>
      <c r="D2412" s="8" t="s">
        <v>16</v>
      </c>
      <c r="E2412" s="8" t="s">
        <v>17</v>
      </c>
      <c r="F2412" s="9">
        <v>46098.0</v>
      </c>
      <c r="G2412" s="8" t="s">
        <v>759</v>
      </c>
      <c r="H2412" s="8" t="s">
        <v>760</v>
      </c>
      <c r="I2412" s="8" t="s">
        <v>7759</v>
      </c>
      <c r="J2412" s="8" t="s">
        <v>7760</v>
      </c>
    </row>
    <row r="2413">
      <c r="A2413" s="7">
        <v>2.0047238E7</v>
      </c>
      <c r="B2413" s="8" t="s">
        <v>3445</v>
      </c>
      <c r="C2413" s="8" t="s">
        <v>7761</v>
      </c>
      <c r="D2413" s="8" t="s">
        <v>16</v>
      </c>
      <c r="E2413" s="8" t="s">
        <v>17</v>
      </c>
      <c r="F2413" s="9">
        <v>46109.0</v>
      </c>
      <c r="G2413" s="8" t="s">
        <v>361</v>
      </c>
      <c r="H2413" s="8" t="s">
        <v>362</v>
      </c>
      <c r="I2413" s="8" t="s">
        <v>7762</v>
      </c>
      <c r="J2413" s="8" t="s">
        <v>7763</v>
      </c>
    </row>
    <row r="2414">
      <c r="A2414" s="7">
        <v>2.0046574E7</v>
      </c>
      <c r="B2414" s="8" t="s">
        <v>3445</v>
      </c>
      <c r="C2414" s="8" t="s">
        <v>7764</v>
      </c>
      <c r="D2414" s="8" t="s">
        <v>16</v>
      </c>
      <c r="E2414" s="8" t="s">
        <v>17</v>
      </c>
      <c r="F2414" s="9">
        <v>46093.0</v>
      </c>
      <c r="G2414" s="8" t="s">
        <v>59</v>
      </c>
      <c r="H2414" s="8" t="s">
        <v>60</v>
      </c>
      <c r="I2414" s="8" t="s">
        <v>7765</v>
      </c>
      <c r="J2414" s="8" t="s">
        <v>7766</v>
      </c>
    </row>
    <row r="2415">
      <c r="A2415" s="7">
        <v>2.0042616E7</v>
      </c>
      <c r="B2415" s="8" t="s">
        <v>3445</v>
      </c>
      <c r="C2415" s="8" t="s">
        <v>7767</v>
      </c>
      <c r="D2415" s="8" t="s">
        <v>16</v>
      </c>
      <c r="E2415" s="8" t="s">
        <v>17</v>
      </c>
      <c r="F2415" s="9">
        <v>46108.0</v>
      </c>
      <c r="G2415" s="8" t="s">
        <v>7416</v>
      </c>
      <c r="H2415" s="8" t="s">
        <v>7417</v>
      </c>
      <c r="I2415" s="8" t="s">
        <v>7768</v>
      </c>
      <c r="J2415" s="8" t="s">
        <v>7769</v>
      </c>
    </row>
    <row r="2416">
      <c r="A2416" s="7">
        <v>2.0042671E7</v>
      </c>
      <c r="B2416" s="8" t="s">
        <v>3445</v>
      </c>
      <c r="C2416" s="8" t="s">
        <v>7770</v>
      </c>
      <c r="D2416" s="8" t="s">
        <v>16</v>
      </c>
      <c r="E2416" s="8" t="s">
        <v>17</v>
      </c>
      <c r="F2416" s="9">
        <v>46102.0</v>
      </c>
      <c r="G2416" s="8" t="s">
        <v>7771</v>
      </c>
      <c r="H2416" s="8" t="s">
        <v>7772</v>
      </c>
      <c r="I2416" s="8" t="s">
        <v>7773</v>
      </c>
      <c r="J2416" s="8" t="s">
        <v>7774</v>
      </c>
    </row>
    <row r="2417">
      <c r="A2417" s="7">
        <v>2.004379E7</v>
      </c>
      <c r="B2417" s="8" t="s">
        <v>3445</v>
      </c>
      <c r="C2417" s="8" t="s">
        <v>7775</v>
      </c>
      <c r="D2417" s="8" t="s">
        <v>16</v>
      </c>
      <c r="E2417" s="8" t="s">
        <v>17</v>
      </c>
      <c r="F2417" s="9">
        <v>46077.0</v>
      </c>
      <c r="G2417" s="8" t="s">
        <v>59</v>
      </c>
      <c r="H2417" s="8" t="s">
        <v>60</v>
      </c>
      <c r="I2417" s="8" t="s">
        <v>7776</v>
      </c>
      <c r="J2417" s="8" t="s">
        <v>7777</v>
      </c>
    </row>
    <row r="2418">
      <c r="A2418" s="7">
        <v>2.0043128E7</v>
      </c>
      <c r="B2418" s="8" t="s">
        <v>3445</v>
      </c>
      <c r="C2418" s="8" t="s">
        <v>7778</v>
      </c>
      <c r="D2418" s="8" t="s">
        <v>2136</v>
      </c>
      <c r="E2418" s="8" t="s">
        <v>17</v>
      </c>
      <c r="F2418" s="9">
        <v>46073.0</v>
      </c>
      <c r="G2418" s="8" t="s">
        <v>75</v>
      </c>
      <c r="H2418" s="8" t="s">
        <v>76</v>
      </c>
      <c r="I2418" s="8" t="s">
        <v>7779</v>
      </c>
      <c r="J2418" s="8" t="s">
        <v>7780</v>
      </c>
    </row>
    <row r="2419">
      <c r="A2419" s="7">
        <v>2.004116E7</v>
      </c>
      <c r="B2419" s="8" t="s">
        <v>3445</v>
      </c>
      <c r="C2419" s="8" t="s">
        <v>7781</v>
      </c>
      <c r="D2419" s="8" t="s">
        <v>16</v>
      </c>
      <c r="E2419" s="8" t="s">
        <v>17</v>
      </c>
      <c r="F2419" s="9">
        <v>46086.0</v>
      </c>
      <c r="G2419" s="8" t="s">
        <v>314</v>
      </c>
      <c r="H2419" s="8" t="s">
        <v>315</v>
      </c>
      <c r="I2419" s="8" t="s">
        <v>7782</v>
      </c>
      <c r="J2419" s="8" t="s">
        <v>7783</v>
      </c>
    </row>
    <row r="2420">
      <c r="A2420" s="7">
        <v>2.0037194E7</v>
      </c>
      <c r="B2420" s="8" t="s">
        <v>3445</v>
      </c>
      <c r="C2420" s="8" t="s">
        <v>7784</v>
      </c>
      <c r="D2420" s="8" t="s">
        <v>16</v>
      </c>
      <c r="E2420" s="8" t="s">
        <v>17</v>
      </c>
      <c r="F2420" s="9">
        <v>46054.0</v>
      </c>
      <c r="G2420" s="8" t="s">
        <v>91</v>
      </c>
      <c r="H2420" s="8" t="s">
        <v>92</v>
      </c>
      <c r="I2420" s="8" t="s">
        <v>7785</v>
      </c>
      <c r="J2420" s="8" t="s">
        <v>7786</v>
      </c>
    </row>
    <row r="2421">
      <c r="A2421" s="7">
        <v>2.0036664E7</v>
      </c>
      <c r="B2421" s="8" t="s">
        <v>3445</v>
      </c>
      <c r="C2421" s="8" t="s">
        <v>7787</v>
      </c>
      <c r="D2421" s="8" t="s">
        <v>16</v>
      </c>
      <c r="E2421" s="8" t="s">
        <v>17</v>
      </c>
      <c r="F2421" s="9">
        <v>46062.0</v>
      </c>
      <c r="G2421" s="8" t="s">
        <v>732</v>
      </c>
      <c r="H2421" s="8" t="s">
        <v>733</v>
      </c>
      <c r="I2421" s="8" t="s">
        <v>7788</v>
      </c>
      <c r="J2421" s="8" t="s">
        <v>7789</v>
      </c>
    </row>
    <row r="2422">
      <c r="A2422" s="7">
        <v>2.0031217E7</v>
      </c>
      <c r="B2422" s="8" t="s">
        <v>3445</v>
      </c>
      <c r="C2422" s="8" t="s">
        <v>7790</v>
      </c>
      <c r="D2422" s="8" t="s">
        <v>16</v>
      </c>
      <c r="E2422" s="8" t="s">
        <v>17</v>
      </c>
      <c r="F2422" s="9">
        <v>46066.0</v>
      </c>
      <c r="G2422" s="8" t="s">
        <v>319</v>
      </c>
      <c r="H2422" s="8" t="s">
        <v>320</v>
      </c>
      <c r="I2422" s="8" t="s">
        <v>7791</v>
      </c>
      <c r="J2422" s="8" t="s">
        <v>7792</v>
      </c>
    </row>
    <row r="2423">
      <c r="A2423" s="7">
        <v>2.0033352E7</v>
      </c>
      <c r="B2423" s="8" t="s">
        <v>3445</v>
      </c>
      <c r="C2423" s="8" t="s">
        <v>7793</v>
      </c>
      <c r="D2423" s="8" t="s">
        <v>16</v>
      </c>
      <c r="E2423" s="8" t="s">
        <v>17</v>
      </c>
      <c r="F2423" s="9">
        <v>46046.0</v>
      </c>
      <c r="G2423" s="8" t="s">
        <v>59</v>
      </c>
      <c r="H2423" s="8" t="s">
        <v>60</v>
      </c>
      <c r="I2423" s="8" t="s">
        <v>7794</v>
      </c>
      <c r="J2423" s="8" t="s">
        <v>7795</v>
      </c>
    </row>
    <row r="2424">
      <c r="A2424" s="7">
        <v>2.0064201E7</v>
      </c>
      <c r="B2424" s="8" t="s">
        <v>3445</v>
      </c>
      <c r="C2424" s="8" t="s">
        <v>7796</v>
      </c>
      <c r="D2424" s="8" t="s">
        <v>2136</v>
      </c>
      <c r="E2424" s="8" t="s">
        <v>17</v>
      </c>
      <c r="F2424" s="9">
        <v>46162.0</v>
      </c>
      <c r="G2424" s="8" t="s">
        <v>846</v>
      </c>
      <c r="H2424" s="8" t="s">
        <v>847</v>
      </c>
      <c r="I2424" s="8" t="s">
        <v>7797</v>
      </c>
      <c r="J2424" s="8" t="s">
        <v>7798</v>
      </c>
    </row>
    <row r="2425">
      <c r="A2425" s="7">
        <v>2.006397E7</v>
      </c>
      <c r="B2425" s="8" t="s">
        <v>3445</v>
      </c>
      <c r="C2425" s="8" t="s">
        <v>7799</v>
      </c>
      <c r="D2425" s="8" t="s">
        <v>2136</v>
      </c>
      <c r="E2425" s="8" t="s">
        <v>17</v>
      </c>
      <c r="F2425" s="9">
        <v>46164.0</v>
      </c>
      <c r="G2425" s="8" t="s">
        <v>805</v>
      </c>
      <c r="H2425" s="8" t="s">
        <v>806</v>
      </c>
      <c r="I2425" s="8" t="s">
        <v>7800</v>
      </c>
      <c r="J2425" s="8" t="s">
        <v>7801</v>
      </c>
    </row>
    <row r="2426">
      <c r="A2426" s="7">
        <v>2.0059804E7</v>
      </c>
      <c r="B2426" s="8" t="s">
        <v>3445</v>
      </c>
      <c r="C2426" s="8" t="s">
        <v>7802</v>
      </c>
      <c r="D2426" s="8" t="s">
        <v>16</v>
      </c>
      <c r="E2426" s="8" t="s">
        <v>17</v>
      </c>
      <c r="F2426" s="9">
        <v>46179.0</v>
      </c>
      <c r="G2426" s="8" t="s">
        <v>1427</v>
      </c>
      <c r="H2426" s="8" t="s">
        <v>1428</v>
      </c>
      <c r="I2426" s="8" t="s">
        <v>7803</v>
      </c>
      <c r="J2426" s="8" t="s">
        <v>7804</v>
      </c>
    </row>
    <row r="2427">
      <c r="A2427" s="7">
        <v>2.0050009E7</v>
      </c>
      <c r="B2427" s="8" t="s">
        <v>3445</v>
      </c>
      <c r="C2427" s="8" t="s">
        <v>7805</v>
      </c>
      <c r="D2427" s="8" t="s">
        <v>16</v>
      </c>
      <c r="E2427" s="8" t="s">
        <v>48</v>
      </c>
      <c r="F2427" s="9">
        <v>46142.0</v>
      </c>
      <c r="G2427" s="8" t="s">
        <v>923</v>
      </c>
      <c r="H2427" s="8" t="s">
        <v>71</v>
      </c>
      <c r="I2427" s="8" t="s">
        <v>7806</v>
      </c>
      <c r="J2427" s="8" t="s">
        <v>7807</v>
      </c>
    </row>
    <row r="2428">
      <c r="A2428" s="7">
        <v>2.0056593E7</v>
      </c>
      <c r="B2428" s="8" t="s">
        <v>3445</v>
      </c>
      <c r="C2428" s="8" t="s">
        <v>7808</v>
      </c>
      <c r="D2428" s="8" t="s">
        <v>16</v>
      </c>
      <c r="E2428" s="8" t="s">
        <v>17</v>
      </c>
      <c r="F2428" s="9">
        <v>46140.0</v>
      </c>
      <c r="G2428" s="8" t="s">
        <v>1085</v>
      </c>
      <c r="H2428" s="8" t="s">
        <v>1086</v>
      </c>
      <c r="I2428" s="8" t="s">
        <v>7809</v>
      </c>
      <c r="J2428" s="8" t="s">
        <v>7810</v>
      </c>
    </row>
    <row r="2429">
      <c r="A2429" s="7">
        <v>2.0052059E7</v>
      </c>
      <c r="B2429" s="8" t="s">
        <v>3445</v>
      </c>
      <c r="C2429" s="8" t="s">
        <v>7811</v>
      </c>
      <c r="D2429" s="8" t="s">
        <v>16</v>
      </c>
      <c r="E2429" s="8" t="s">
        <v>17</v>
      </c>
      <c r="F2429" s="9">
        <v>46113.0</v>
      </c>
      <c r="G2429" s="8" t="s">
        <v>365</v>
      </c>
      <c r="H2429" s="8" t="s">
        <v>366</v>
      </c>
      <c r="I2429" s="8" t="s">
        <v>7812</v>
      </c>
      <c r="J2429" s="8" t="s">
        <v>7813</v>
      </c>
    </row>
    <row r="2430">
      <c r="A2430" s="7">
        <v>2.004318E7</v>
      </c>
      <c r="B2430" s="8" t="s">
        <v>3445</v>
      </c>
      <c r="C2430" s="8" t="s">
        <v>7814</v>
      </c>
      <c r="D2430" s="8" t="s">
        <v>16</v>
      </c>
      <c r="E2430" s="8" t="s">
        <v>17</v>
      </c>
      <c r="F2430" s="9">
        <v>46121.0</v>
      </c>
      <c r="G2430" s="8" t="s">
        <v>7815</v>
      </c>
      <c r="H2430" s="8" t="s">
        <v>7816</v>
      </c>
      <c r="I2430" s="8" t="s">
        <v>7817</v>
      </c>
      <c r="J2430" s="8" t="s">
        <v>7818</v>
      </c>
    </row>
    <row r="2431">
      <c r="A2431" s="7">
        <v>2.0046051E7</v>
      </c>
      <c r="B2431" s="8" t="s">
        <v>3445</v>
      </c>
      <c r="C2431" s="8" t="s">
        <v>7819</v>
      </c>
      <c r="D2431" s="8" t="s">
        <v>16</v>
      </c>
      <c r="E2431" s="8" t="s">
        <v>17</v>
      </c>
      <c r="F2431" s="9">
        <v>46101.0</v>
      </c>
      <c r="G2431" s="8" t="s">
        <v>59</v>
      </c>
      <c r="H2431" s="8" t="s">
        <v>60</v>
      </c>
      <c r="I2431" s="8" t="s">
        <v>7820</v>
      </c>
      <c r="J2431" s="8" t="s">
        <v>7821</v>
      </c>
    </row>
    <row r="2432">
      <c r="A2432" s="7">
        <v>2.0044088E7</v>
      </c>
      <c r="B2432" s="8" t="s">
        <v>3445</v>
      </c>
      <c r="C2432" s="8" t="s">
        <v>7822</v>
      </c>
      <c r="D2432" s="8" t="s">
        <v>16</v>
      </c>
      <c r="E2432" s="8" t="s">
        <v>17</v>
      </c>
      <c r="F2432" s="9">
        <v>46094.0</v>
      </c>
      <c r="G2432" s="8" t="s">
        <v>59</v>
      </c>
      <c r="H2432" s="8" t="s">
        <v>60</v>
      </c>
      <c r="I2432" s="8" t="s">
        <v>7823</v>
      </c>
      <c r="J2432" s="8" t="s">
        <v>7824</v>
      </c>
    </row>
    <row r="2433">
      <c r="A2433" s="7">
        <v>2.0043008E7</v>
      </c>
      <c r="B2433" s="8" t="s">
        <v>3445</v>
      </c>
      <c r="C2433" s="8" t="s">
        <v>7825</v>
      </c>
      <c r="D2433" s="8" t="s">
        <v>16</v>
      </c>
      <c r="E2433" s="8" t="s">
        <v>17</v>
      </c>
      <c r="F2433" s="9">
        <v>46071.0</v>
      </c>
      <c r="G2433" s="8" t="s">
        <v>868</v>
      </c>
      <c r="H2433" s="8" t="s">
        <v>869</v>
      </c>
      <c r="I2433" s="8" t="s">
        <v>7826</v>
      </c>
      <c r="J2433" s="8" t="s">
        <v>7827</v>
      </c>
    </row>
    <row r="2434">
      <c r="A2434" s="7">
        <v>2.0042857E7</v>
      </c>
      <c r="B2434" s="8" t="s">
        <v>3445</v>
      </c>
      <c r="C2434" s="8" t="s">
        <v>7828</v>
      </c>
      <c r="D2434" s="8" t="s">
        <v>16</v>
      </c>
      <c r="E2434" s="8" t="s">
        <v>17</v>
      </c>
      <c r="F2434" s="9">
        <v>46106.0</v>
      </c>
      <c r="G2434" s="8" t="s">
        <v>2666</v>
      </c>
      <c r="H2434" s="8" t="s">
        <v>2667</v>
      </c>
      <c r="I2434" s="8" t="s">
        <v>7829</v>
      </c>
      <c r="J2434" s="8" t="s">
        <v>7830</v>
      </c>
    </row>
    <row r="2435">
      <c r="A2435" s="7">
        <v>2.0042857E7</v>
      </c>
      <c r="B2435" s="8" t="s">
        <v>3445</v>
      </c>
      <c r="C2435" s="8" t="s">
        <v>7828</v>
      </c>
      <c r="D2435" s="8" t="s">
        <v>16</v>
      </c>
      <c r="E2435" s="8" t="s">
        <v>17</v>
      </c>
      <c r="F2435" s="9">
        <v>46106.0</v>
      </c>
      <c r="G2435" s="8" t="s">
        <v>7831</v>
      </c>
      <c r="H2435" s="8" t="s">
        <v>7832</v>
      </c>
      <c r="I2435" s="8" t="s">
        <v>7833</v>
      </c>
      <c r="J2435" s="8" t="s">
        <v>7834</v>
      </c>
    </row>
    <row r="2436">
      <c r="A2436" s="7">
        <v>2.0040556E7</v>
      </c>
      <c r="B2436" s="8" t="s">
        <v>3445</v>
      </c>
      <c r="C2436" s="8" t="s">
        <v>7835</v>
      </c>
      <c r="D2436" s="8" t="s">
        <v>16</v>
      </c>
      <c r="E2436" s="8" t="s">
        <v>17</v>
      </c>
      <c r="F2436" s="9">
        <v>46074.0</v>
      </c>
      <c r="G2436" s="8" t="s">
        <v>119</v>
      </c>
      <c r="H2436" s="8" t="s">
        <v>120</v>
      </c>
      <c r="I2436" s="8" t="s">
        <v>7836</v>
      </c>
      <c r="J2436" s="8" t="s">
        <v>7837</v>
      </c>
    </row>
    <row r="2437">
      <c r="A2437" s="7">
        <v>2.00363E7</v>
      </c>
      <c r="B2437" s="8" t="s">
        <v>3445</v>
      </c>
      <c r="C2437" s="8" t="s">
        <v>7838</v>
      </c>
      <c r="D2437" s="8" t="s">
        <v>16</v>
      </c>
      <c r="E2437" s="8" t="s">
        <v>17</v>
      </c>
      <c r="F2437" s="9">
        <v>46074.0</v>
      </c>
      <c r="G2437" s="8" t="s">
        <v>59</v>
      </c>
      <c r="H2437" s="8" t="s">
        <v>60</v>
      </c>
      <c r="I2437" s="8" t="s">
        <v>7839</v>
      </c>
      <c r="J2437" s="8"/>
    </row>
    <row r="2438">
      <c r="A2438" s="7">
        <v>2.0059853E7</v>
      </c>
      <c r="B2438" s="8" t="s">
        <v>3445</v>
      </c>
      <c r="C2438" s="8" t="s">
        <v>7840</v>
      </c>
      <c r="D2438" s="8" t="s">
        <v>16</v>
      </c>
      <c r="E2438" s="8" t="s">
        <v>700</v>
      </c>
      <c r="F2438" s="9">
        <v>46175.0</v>
      </c>
      <c r="G2438" s="8" t="s">
        <v>59</v>
      </c>
      <c r="H2438" s="8" t="s">
        <v>60</v>
      </c>
      <c r="I2438" s="8" t="s">
        <v>7841</v>
      </c>
      <c r="J2438" s="8" t="s">
        <v>7842</v>
      </c>
    </row>
    <row r="2439">
      <c r="A2439" s="7">
        <v>2.0063048E7</v>
      </c>
      <c r="B2439" s="8" t="s">
        <v>3445</v>
      </c>
      <c r="C2439" s="8" t="s">
        <v>7843</v>
      </c>
      <c r="D2439" s="8" t="s">
        <v>16</v>
      </c>
      <c r="E2439" s="8" t="s">
        <v>17</v>
      </c>
      <c r="F2439" s="9">
        <v>46187.0</v>
      </c>
      <c r="G2439" s="8" t="s">
        <v>314</v>
      </c>
      <c r="H2439" s="8" t="s">
        <v>315</v>
      </c>
      <c r="I2439" s="8" t="s">
        <v>7844</v>
      </c>
      <c r="J2439" s="8" t="s">
        <v>7845</v>
      </c>
    </row>
    <row r="2440">
      <c r="A2440" s="7">
        <v>2.0053972E7</v>
      </c>
      <c r="B2440" s="8" t="s">
        <v>3445</v>
      </c>
      <c r="C2440" s="8" t="s">
        <v>7846</v>
      </c>
      <c r="D2440" s="8" t="s">
        <v>16</v>
      </c>
      <c r="E2440" s="8" t="s">
        <v>17</v>
      </c>
      <c r="F2440" s="9">
        <v>46116.0</v>
      </c>
      <c r="G2440" s="8" t="s">
        <v>59</v>
      </c>
      <c r="H2440" s="8" t="s">
        <v>60</v>
      </c>
      <c r="I2440" s="8" t="s">
        <v>7171</v>
      </c>
      <c r="J2440" s="8" t="s">
        <v>7847</v>
      </c>
    </row>
    <row r="2441">
      <c r="A2441" s="7">
        <v>2.0053467E7</v>
      </c>
      <c r="B2441" s="8" t="s">
        <v>3445</v>
      </c>
      <c r="C2441" s="8" t="s">
        <v>7848</v>
      </c>
      <c r="D2441" s="8" t="s">
        <v>2136</v>
      </c>
      <c r="E2441" s="8" t="s">
        <v>17</v>
      </c>
      <c r="F2441" s="9">
        <v>46111.0</v>
      </c>
      <c r="G2441" s="8" t="s">
        <v>195</v>
      </c>
      <c r="H2441" s="8" t="s">
        <v>196</v>
      </c>
      <c r="I2441" s="8" t="s">
        <v>7849</v>
      </c>
      <c r="J2441" s="8" t="s">
        <v>7850</v>
      </c>
    </row>
    <row r="2442">
      <c r="A2442" s="7">
        <v>2.0051593E7</v>
      </c>
      <c r="B2442" s="8" t="s">
        <v>3445</v>
      </c>
      <c r="C2442" s="8" t="s">
        <v>7851</v>
      </c>
      <c r="D2442" s="8" t="s">
        <v>16</v>
      </c>
      <c r="E2442" s="8" t="s">
        <v>17</v>
      </c>
      <c r="F2442" s="9">
        <v>46123.0</v>
      </c>
      <c r="G2442" s="8" t="s">
        <v>64</v>
      </c>
      <c r="H2442" s="8" t="s">
        <v>65</v>
      </c>
      <c r="I2442" s="8" t="s">
        <v>7852</v>
      </c>
      <c r="J2442" s="8" t="s">
        <v>7853</v>
      </c>
    </row>
    <row r="2443">
      <c r="A2443" s="7">
        <v>2.0047754E7</v>
      </c>
      <c r="B2443" s="8" t="s">
        <v>3445</v>
      </c>
      <c r="C2443" s="8" t="s">
        <v>7854</v>
      </c>
      <c r="D2443" s="8" t="s">
        <v>16</v>
      </c>
      <c r="E2443" s="8" t="s">
        <v>17</v>
      </c>
      <c r="F2443" s="9">
        <v>46124.0</v>
      </c>
      <c r="G2443" s="8" t="s">
        <v>1754</v>
      </c>
      <c r="H2443" s="8" t="s">
        <v>1755</v>
      </c>
      <c r="I2443" s="8" t="s">
        <v>7855</v>
      </c>
      <c r="J2443" s="8" t="s">
        <v>7856</v>
      </c>
    </row>
    <row r="2444">
      <c r="A2444" s="7">
        <v>2.0037817E7</v>
      </c>
      <c r="B2444" s="8" t="s">
        <v>3445</v>
      </c>
      <c r="C2444" s="8" t="s">
        <v>7857</v>
      </c>
      <c r="D2444" s="8" t="s">
        <v>16</v>
      </c>
      <c r="E2444" s="8" t="s">
        <v>48</v>
      </c>
      <c r="F2444" s="9">
        <v>46071.0</v>
      </c>
      <c r="G2444" s="8" t="s">
        <v>826</v>
      </c>
      <c r="H2444" s="8" t="s">
        <v>827</v>
      </c>
      <c r="I2444" s="8" t="s">
        <v>7858</v>
      </c>
      <c r="J2444" s="8"/>
    </row>
    <row r="2445">
      <c r="A2445" s="7">
        <v>2.0030609E7</v>
      </c>
      <c r="B2445" s="8" t="s">
        <v>3445</v>
      </c>
      <c r="C2445" s="8" t="s">
        <v>7859</v>
      </c>
      <c r="D2445" s="8" t="s">
        <v>16</v>
      </c>
      <c r="E2445" s="8" t="s">
        <v>17</v>
      </c>
      <c r="F2445" s="9">
        <v>46067.0</v>
      </c>
      <c r="G2445" s="8" t="s">
        <v>109</v>
      </c>
      <c r="H2445" s="8" t="s">
        <v>110</v>
      </c>
      <c r="I2445" s="8" t="s">
        <v>7860</v>
      </c>
      <c r="J2445" s="8" t="s">
        <v>7861</v>
      </c>
    </row>
    <row r="2446">
      <c r="A2446" s="7">
        <v>2.0036428E7</v>
      </c>
      <c r="B2446" s="8" t="s">
        <v>3445</v>
      </c>
      <c r="C2446" s="8" t="s">
        <v>7862</v>
      </c>
      <c r="D2446" s="8" t="s">
        <v>16</v>
      </c>
      <c r="E2446" s="8" t="s">
        <v>17</v>
      </c>
      <c r="F2446" s="9">
        <v>46062.0</v>
      </c>
      <c r="G2446" s="8" t="s">
        <v>339</v>
      </c>
      <c r="H2446" s="8" t="s">
        <v>340</v>
      </c>
      <c r="I2446" s="8" t="s">
        <v>7863</v>
      </c>
      <c r="J2446" s="8" t="s">
        <v>7864</v>
      </c>
    </row>
    <row r="2447">
      <c r="A2447" s="7">
        <v>2.0036419E7</v>
      </c>
      <c r="B2447" s="8" t="s">
        <v>3445</v>
      </c>
      <c r="C2447" s="8" t="s">
        <v>7865</v>
      </c>
      <c r="D2447" s="8" t="s">
        <v>16</v>
      </c>
      <c r="E2447" s="8" t="s">
        <v>17</v>
      </c>
      <c r="F2447" s="9">
        <v>46046.0</v>
      </c>
      <c r="G2447" s="8" t="s">
        <v>846</v>
      </c>
      <c r="H2447" s="8" t="s">
        <v>847</v>
      </c>
      <c r="I2447" s="8" t="s">
        <v>7866</v>
      </c>
      <c r="J2447" s="8" t="s">
        <v>7867</v>
      </c>
    </row>
    <row r="2448">
      <c r="A2448" s="7">
        <v>2.0035977E7</v>
      </c>
      <c r="B2448" s="8" t="s">
        <v>3445</v>
      </c>
      <c r="C2448" s="8" t="s">
        <v>7868</v>
      </c>
      <c r="D2448" s="8" t="s">
        <v>16</v>
      </c>
      <c r="E2448" s="8" t="s">
        <v>17</v>
      </c>
      <c r="F2448" s="9">
        <v>46057.0</v>
      </c>
      <c r="G2448" s="8" t="s">
        <v>64</v>
      </c>
      <c r="H2448" s="8" t="s">
        <v>65</v>
      </c>
      <c r="I2448" s="8" t="s">
        <v>7869</v>
      </c>
      <c r="J2448" s="8" t="s">
        <v>7870</v>
      </c>
    </row>
    <row r="2449">
      <c r="A2449" s="7">
        <v>2.0033577E7</v>
      </c>
      <c r="B2449" s="8" t="s">
        <v>3445</v>
      </c>
      <c r="C2449" s="8" t="s">
        <v>7871</v>
      </c>
      <c r="D2449" s="8" t="s">
        <v>16</v>
      </c>
      <c r="E2449" s="8" t="s">
        <v>17</v>
      </c>
      <c r="F2449" s="9">
        <v>46046.0</v>
      </c>
      <c r="G2449" s="8" t="s">
        <v>385</v>
      </c>
      <c r="H2449" s="8" t="s">
        <v>386</v>
      </c>
      <c r="I2449" s="8" t="s">
        <v>7872</v>
      </c>
      <c r="J2449" s="8" t="s">
        <v>7873</v>
      </c>
    </row>
    <row r="2450">
      <c r="A2450" s="7">
        <v>2.0066666E7</v>
      </c>
      <c r="B2450" s="8" t="s">
        <v>3445</v>
      </c>
      <c r="C2450" s="8" t="s">
        <v>7874</v>
      </c>
      <c r="D2450" s="8" t="s">
        <v>16</v>
      </c>
      <c r="E2450" s="8" t="s">
        <v>17</v>
      </c>
      <c r="F2450" s="9">
        <v>46178.0</v>
      </c>
      <c r="G2450" s="8" t="s">
        <v>4850</v>
      </c>
      <c r="H2450" s="8" t="s">
        <v>4851</v>
      </c>
      <c r="I2450" s="8" t="s">
        <v>7875</v>
      </c>
      <c r="J2450" s="8"/>
    </row>
    <row r="2451">
      <c r="A2451" s="7">
        <v>2.0064712E7</v>
      </c>
      <c r="B2451" s="8" t="s">
        <v>3445</v>
      </c>
      <c r="C2451" s="8" t="s">
        <v>7876</v>
      </c>
      <c r="D2451" s="8" t="s">
        <v>16</v>
      </c>
      <c r="E2451" s="8" t="s">
        <v>17</v>
      </c>
      <c r="F2451" s="9">
        <v>46185.0</v>
      </c>
      <c r="G2451" s="8" t="s">
        <v>64</v>
      </c>
      <c r="H2451" s="8" t="s">
        <v>65</v>
      </c>
      <c r="I2451" s="8" t="s">
        <v>7877</v>
      </c>
      <c r="J2451" s="8" t="s">
        <v>7878</v>
      </c>
    </row>
    <row r="2452">
      <c r="A2452" s="7">
        <v>2.0061919E7</v>
      </c>
      <c r="B2452" s="8" t="s">
        <v>3445</v>
      </c>
      <c r="C2452" s="8" t="s">
        <v>7879</v>
      </c>
      <c r="D2452" s="8" t="s">
        <v>16</v>
      </c>
      <c r="E2452" s="8" t="s">
        <v>17</v>
      </c>
      <c r="F2452" s="9">
        <v>46162.0</v>
      </c>
      <c r="G2452" s="8" t="s">
        <v>59</v>
      </c>
      <c r="H2452" s="8" t="s">
        <v>60</v>
      </c>
      <c r="I2452" s="8" t="s">
        <v>7880</v>
      </c>
      <c r="J2452" s="8" t="s">
        <v>7881</v>
      </c>
    </row>
    <row r="2453">
      <c r="A2453" s="7">
        <v>2.0060851E7</v>
      </c>
      <c r="B2453" s="8" t="s">
        <v>3445</v>
      </c>
      <c r="C2453" s="8" t="s">
        <v>7882</v>
      </c>
      <c r="D2453" s="8" t="s">
        <v>16</v>
      </c>
      <c r="E2453" s="8" t="s">
        <v>17</v>
      </c>
      <c r="F2453" s="9">
        <v>46180.0</v>
      </c>
      <c r="G2453" s="8" t="s">
        <v>2170</v>
      </c>
      <c r="H2453" s="8" t="s">
        <v>2171</v>
      </c>
      <c r="I2453" s="8" t="s">
        <v>7883</v>
      </c>
      <c r="J2453" s="8" t="s">
        <v>7884</v>
      </c>
    </row>
    <row r="2454">
      <c r="A2454" s="7">
        <v>2.0063063E7</v>
      </c>
      <c r="B2454" s="8" t="s">
        <v>3445</v>
      </c>
      <c r="C2454" s="8" t="s">
        <v>7885</v>
      </c>
      <c r="D2454" s="8" t="s">
        <v>16</v>
      </c>
      <c r="E2454" s="8" t="s">
        <v>17</v>
      </c>
      <c r="F2454" s="9">
        <v>46186.0</v>
      </c>
      <c r="G2454" s="8" t="s">
        <v>171</v>
      </c>
      <c r="H2454" s="8" t="s">
        <v>172</v>
      </c>
      <c r="I2454" s="8" t="s">
        <v>7886</v>
      </c>
      <c r="J2454" s="8" t="s">
        <v>7887</v>
      </c>
    </row>
    <row r="2455">
      <c r="A2455" s="7">
        <v>2.0060331E7</v>
      </c>
      <c r="B2455" s="8" t="s">
        <v>3445</v>
      </c>
      <c r="C2455" s="8" t="s">
        <v>7888</v>
      </c>
      <c r="D2455" s="8" t="s">
        <v>16</v>
      </c>
      <c r="E2455" s="8" t="s">
        <v>7889</v>
      </c>
      <c r="F2455" s="9">
        <v>46147.0</v>
      </c>
      <c r="G2455" s="8" t="s">
        <v>75</v>
      </c>
      <c r="H2455" s="8" t="s">
        <v>76</v>
      </c>
      <c r="I2455" s="8" t="s">
        <v>7890</v>
      </c>
      <c r="J2455" s="8" t="s">
        <v>7891</v>
      </c>
    </row>
    <row r="2456">
      <c r="A2456" s="7">
        <v>2.0060331E7</v>
      </c>
      <c r="B2456" s="8" t="s">
        <v>3445</v>
      </c>
      <c r="C2456" s="8" t="s">
        <v>7892</v>
      </c>
      <c r="D2456" s="8" t="s">
        <v>2136</v>
      </c>
      <c r="E2456" s="8" t="s">
        <v>17</v>
      </c>
      <c r="F2456" s="9">
        <v>46150.0</v>
      </c>
      <c r="G2456" s="8" t="s">
        <v>75</v>
      </c>
      <c r="H2456" s="8" t="s">
        <v>76</v>
      </c>
      <c r="I2456" s="8" t="s">
        <v>7890</v>
      </c>
      <c r="J2456" s="8" t="s">
        <v>7891</v>
      </c>
    </row>
    <row r="2457">
      <c r="A2457" s="7">
        <v>2.0060773E7</v>
      </c>
      <c r="B2457" s="8" t="s">
        <v>3445</v>
      </c>
      <c r="C2457" s="8" t="s">
        <v>7893</v>
      </c>
      <c r="D2457" s="8" t="s">
        <v>16</v>
      </c>
      <c r="E2457" s="8" t="s">
        <v>48</v>
      </c>
      <c r="F2457" s="9">
        <v>46148.0</v>
      </c>
      <c r="G2457" s="8" t="s">
        <v>7894</v>
      </c>
      <c r="H2457" s="8" t="s">
        <v>7895</v>
      </c>
      <c r="I2457" s="8" t="s">
        <v>7896</v>
      </c>
      <c r="J2457" s="8"/>
    </row>
    <row r="2458">
      <c r="A2458" s="7">
        <v>2.0058286E7</v>
      </c>
      <c r="B2458" s="8" t="s">
        <v>3445</v>
      </c>
      <c r="C2458" s="8" t="s">
        <v>7897</v>
      </c>
      <c r="D2458" s="8" t="s">
        <v>16</v>
      </c>
      <c r="E2458" s="8" t="s">
        <v>17</v>
      </c>
      <c r="F2458" s="9">
        <v>46179.0</v>
      </c>
      <c r="G2458" s="8" t="s">
        <v>688</v>
      </c>
      <c r="H2458" s="8" t="s">
        <v>689</v>
      </c>
      <c r="I2458" s="8" t="s">
        <v>7898</v>
      </c>
      <c r="J2458" s="8" t="s">
        <v>7899</v>
      </c>
    </row>
    <row r="2459">
      <c r="A2459" s="7">
        <v>2.0057612E7</v>
      </c>
      <c r="B2459" s="8" t="s">
        <v>3445</v>
      </c>
      <c r="C2459" s="8" t="s">
        <v>7900</v>
      </c>
      <c r="D2459" s="8" t="s">
        <v>2136</v>
      </c>
      <c r="E2459" s="8" t="s">
        <v>17</v>
      </c>
      <c r="F2459" s="9">
        <v>46132.0</v>
      </c>
      <c r="G2459" s="8" t="s">
        <v>6340</v>
      </c>
      <c r="H2459" s="8" t="s">
        <v>6341</v>
      </c>
      <c r="I2459" s="8" t="s">
        <v>7901</v>
      </c>
      <c r="J2459" s="8" t="s">
        <v>7902</v>
      </c>
    </row>
    <row r="2460">
      <c r="A2460" s="7">
        <v>2.0053175E7</v>
      </c>
      <c r="B2460" s="8" t="s">
        <v>3445</v>
      </c>
      <c r="C2460" s="8" t="s">
        <v>7903</v>
      </c>
      <c r="D2460" s="8" t="s">
        <v>16</v>
      </c>
      <c r="E2460" s="8" t="s">
        <v>17</v>
      </c>
      <c r="F2460" s="9">
        <v>46132.0</v>
      </c>
      <c r="G2460" s="8" t="s">
        <v>59</v>
      </c>
      <c r="H2460" s="8" t="s">
        <v>60</v>
      </c>
      <c r="I2460" s="8" t="s">
        <v>7904</v>
      </c>
      <c r="J2460" s="8" t="s">
        <v>7905</v>
      </c>
    </row>
    <row r="2461">
      <c r="A2461" s="7">
        <v>2.0046924E7</v>
      </c>
      <c r="B2461" s="8" t="s">
        <v>3445</v>
      </c>
      <c r="C2461" s="8" t="s">
        <v>7906</v>
      </c>
      <c r="D2461" s="8" t="s">
        <v>16</v>
      </c>
      <c r="E2461" s="8" t="s">
        <v>48</v>
      </c>
      <c r="F2461" s="9">
        <v>46130.0</v>
      </c>
      <c r="G2461" s="8" t="s">
        <v>339</v>
      </c>
      <c r="H2461" s="8" t="s">
        <v>340</v>
      </c>
      <c r="I2461" s="8" t="s">
        <v>7907</v>
      </c>
      <c r="J2461" s="8" t="s">
        <v>7908</v>
      </c>
    </row>
    <row r="2462">
      <c r="A2462" s="7">
        <v>2.0051336E7</v>
      </c>
      <c r="B2462" s="8" t="s">
        <v>3445</v>
      </c>
      <c r="C2462" s="8" t="s">
        <v>7909</v>
      </c>
      <c r="D2462" s="8" t="s">
        <v>16</v>
      </c>
      <c r="E2462" s="8" t="s">
        <v>17</v>
      </c>
      <c r="F2462" s="9">
        <v>46130.0</v>
      </c>
      <c r="G2462" s="8" t="s">
        <v>59</v>
      </c>
      <c r="H2462" s="8" t="s">
        <v>60</v>
      </c>
      <c r="I2462" s="8" t="s">
        <v>7910</v>
      </c>
      <c r="J2462" s="8" t="s">
        <v>7911</v>
      </c>
    </row>
    <row r="2463">
      <c r="A2463" s="7">
        <v>2.0043152E7</v>
      </c>
      <c r="B2463" s="8" t="s">
        <v>3445</v>
      </c>
      <c r="C2463" s="8" t="s">
        <v>7912</v>
      </c>
      <c r="D2463" s="8" t="s">
        <v>16</v>
      </c>
      <c r="E2463" s="8" t="s">
        <v>17</v>
      </c>
      <c r="F2463" s="9">
        <v>46126.0</v>
      </c>
      <c r="G2463" s="8" t="s">
        <v>1998</v>
      </c>
      <c r="H2463" s="8" t="s">
        <v>1999</v>
      </c>
      <c r="I2463" s="8" t="s">
        <v>7913</v>
      </c>
      <c r="J2463" s="8" t="s">
        <v>7914</v>
      </c>
    </row>
    <row r="2464">
      <c r="A2464" s="7">
        <v>2.0047961E7</v>
      </c>
      <c r="B2464" s="8" t="s">
        <v>3445</v>
      </c>
      <c r="C2464" s="8" t="s">
        <v>7915</v>
      </c>
      <c r="D2464" s="8" t="s">
        <v>16</v>
      </c>
      <c r="E2464" s="8" t="s">
        <v>17</v>
      </c>
      <c r="F2464" s="9">
        <v>46107.0</v>
      </c>
      <c r="G2464" s="8" t="s">
        <v>54</v>
      </c>
      <c r="H2464" s="8" t="s">
        <v>55</v>
      </c>
      <c r="I2464" s="8" t="s">
        <v>7916</v>
      </c>
      <c r="J2464" s="8" t="s">
        <v>7917</v>
      </c>
    </row>
    <row r="2465">
      <c r="A2465" s="7">
        <v>2.0049667E7</v>
      </c>
      <c r="B2465" s="8" t="s">
        <v>3445</v>
      </c>
      <c r="C2465" s="8" t="s">
        <v>7918</v>
      </c>
      <c r="D2465" s="8" t="s">
        <v>16</v>
      </c>
      <c r="E2465" s="8" t="s">
        <v>17</v>
      </c>
      <c r="F2465" s="9">
        <v>46111.0</v>
      </c>
      <c r="G2465" s="8" t="s">
        <v>171</v>
      </c>
      <c r="H2465" s="8" t="s">
        <v>172</v>
      </c>
      <c r="I2465" s="8" t="s">
        <v>7919</v>
      </c>
      <c r="J2465" s="8" t="s">
        <v>7920</v>
      </c>
    </row>
    <row r="2466">
      <c r="A2466" s="7">
        <v>2.0042873E7</v>
      </c>
      <c r="B2466" s="8" t="s">
        <v>3445</v>
      </c>
      <c r="C2466" s="8" t="s">
        <v>7921</v>
      </c>
      <c r="D2466" s="8" t="s">
        <v>16</v>
      </c>
      <c r="E2466" s="8" t="s">
        <v>17</v>
      </c>
      <c r="F2466" s="9">
        <v>46120.0</v>
      </c>
      <c r="G2466" s="8" t="s">
        <v>5046</v>
      </c>
      <c r="H2466" s="8" t="s">
        <v>5047</v>
      </c>
      <c r="I2466" s="8" t="s">
        <v>7922</v>
      </c>
      <c r="J2466" s="8" t="s">
        <v>7923</v>
      </c>
    </row>
    <row r="2467">
      <c r="A2467" s="7">
        <v>2.0042873E7</v>
      </c>
      <c r="B2467" s="8" t="s">
        <v>3445</v>
      </c>
      <c r="C2467" s="8" t="s">
        <v>7921</v>
      </c>
      <c r="D2467" s="8" t="s">
        <v>16</v>
      </c>
      <c r="E2467" s="8" t="s">
        <v>17</v>
      </c>
      <c r="F2467" s="9">
        <v>46120.0</v>
      </c>
      <c r="G2467" s="8" t="s">
        <v>1085</v>
      </c>
      <c r="H2467" s="8" t="s">
        <v>1086</v>
      </c>
      <c r="I2467" s="8" t="s">
        <v>7924</v>
      </c>
      <c r="J2467" s="8" t="s">
        <v>7925</v>
      </c>
    </row>
    <row r="2468">
      <c r="A2468" s="7">
        <v>2.0042369E7</v>
      </c>
      <c r="B2468" s="8" t="s">
        <v>3445</v>
      </c>
      <c r="C2468" s="8" t="s">
        <v>7926</v>
      </c>
      <c r="D2468" s="8" t="s">
        <v>16</v>
      </c>
      <c r="E2468" s="8" t="s">
        <v>17</v>
      </c>
      <c r="F2468" s="9">
        <v>46075.0</v>
      </c>
      <c r="G2468" s="8" t="s">
        <v>91</v>
      </c>
      <c r="H2468" s="8" t="s">
        <v>92</v>
      </c>
      <c r="I2468" s="8" t="s">
        <v>7927</v>
      </c>
      <c r="J2468" s="8" t="s">
        <v>7928</v>
      </c>
    </row>
    <row r="2469">
      <c r="A2469" s="7">
        <v>2.0039887E7</v>
      </c>
      <c r="B2469" s="8" t="s">
        <v>3445</v>
      </c>
      <c r="C2469" s="8" t="s">
        <v>7929</v>
      </c>
      <c r="D2469" s="8" t="s">
        <v>16</v>
      </c>
      <c r="E2469" s="8" t="s">
        <v>17</v>
      </c>
      <c r="F2469" s="9">
        <v>46093.0</v>
      </c>
      <c r="G2469" s="8" t="s">
        <v>846</v>
      </c>
      <c r="H2469" s="8" t="s">
        <v>847</v>
      </c>
      <c r="I2469" s="8" t="s">
        <v>7930</v>
      </c>
      <c r="J2469" s="8" t="s">
        <v>7931</v>
      </c>
    </row>
    <row r="2470">
      <c r="A2470" s="7">
        <v>2.0041476E7</v>
      </c>
      <c r="B2470" s="8" t="s">
        <v>3445</v>
      </c>
      <c r="C2470" s="8" t="s">
        <v>7932</v>
      </c>
      <c r="D2470" s="8" t="s">
        <v>16</v>
      </c>
      <c r="E2470" s="8" t="s">
        <v>17</v>
      </c>
      <c r="F2470" s="9">
        <v>46106.0</v>
      </c>
      <c r="G2470" s="8" t="s">
        <v>184</v>
      </c>
      <c r="H2470" s="8" t="s">
        <v>185</v>
      </c>
      <c r="I2470" s="8" t="s">
        <v>7933</v>
      </c>
      <c r="J2470" s="8" t="s">
        <v>7934</v>
      </c>
    </row>
    <row r="2471">
      <c r="A2471" s="7">
        <v>2.0032339E7</v>
      </c>
      <c r="B2471" s="8" t="s">
        <v>3445</v>
      </c>
      <c r="C2471" s="8" t="s">
        <v>7935</v>
      </c>
      <c r="D2471" s="8" t="s">
        <v>16</v>
      </c>
      <c r="E2471" s="8" t="s">
        <v>17</v>
      </c>
      <c r="F2471" s="9">
        <v>46082.0</v>
      </c>
      <c r="G2471" s="8" t="s">
        <v>7444</v>
      </c>
      <c r="H2471" s="8" t="s">
        <v>7445</v>
      </c>
      <c r="I2471" s="8" t="s">
        <v>7936</v>
      </c>
      <c r="J2471" s="8" t="s">
        <v>7937</v>
      </c>
    </row>
    <row r="2472">
      <c r="A2472" s="7">
        <v>2.0037862E7</v>
      </c>
      <c r="B2472" s="8" t="s">
        <v>3445</v>
      </c>
      <c r="C2472" s="8" t="s">
        <v>7938</v>
      </c>
      <c r="D2472" s="8" t="s">
        <v>16</v>
      </c>
      <c r="E2472" s="8" t="s">
        <v>17</v>
      </c>
      <c r="F2472" s="9">
        <v>46067.0</v>
      </c>
      <c r="G2472" s="8" t="s">
        <v>805</v>
      </c>
      <c r="H2472" s="8" t="s">
        <v>806</v>
      </c>
      <c r="I2472" s="8" t="s">
        <v>7939</v>
      </c>
      <c r="J2472" s="8" t="s">
        <v>7940</v>
      </c>
    </row>
    <row r="2473">
      <c r="A2473" s="7">
        <v>2.0037879E7</v>
      </c>
      <c r="B2473" s="8" t="s">
        <v>3445</v>
      </c>
      <c r="C2473" s="8" t="s">
        <v>7941</v>
      </c>
      <c r="D2473" s="8" t="s">
        <v>16</v>
      </c>
      <c r="E2473" s="8" t="s">
        <v>17</v>
      </c>
      <c r="F2473" s="9">
        <v>46069.0</v>
      </c>
      <c r="G2473" s="8" t="s">
        <v>59</v>
      </c>
      <c r="H2473" s="8" t="s">
        <v>60</v>
      </c>
      <c r="I2473" s="8" t="s">
        <v>7942</v>
      </c>
      <c r="J2473" s="8" t="s">
        <v>7943</v>
      </c>
    </row>
    <row r="2474">
      <c r="A2474" s="7">
        <v>2.003931E7</v>
      </c>
      <c r="B2474" s="8" t="s">
        <v>3445</v>
      </c>
      <c r="C2474" s="8" t="s">
        <v>7944</v>
      </c>
      <c r="D2474" s="8" t="s">
        <v>16</v>
      </c>
      <c r="E2474" s="8" t="s">
        <v>17</v>
      </c>
      <c r="F2474" s="9">
        <v>46073.0</v>
      </c>
      <c r="G2474" s="8" t="s">
        <v>7945</v>
      </c>
      <c r="H2474" s="8" t="s">
        <v>7946</v>
      </c>
      <c r="I2474" s="8" t="s">
        <v>7947</v>
      </c>
      <c r="J2474" s="8" t="s">
        <v>7948</v>
      </c>
    </row>
    <row r="2475">
      <c r="A2475" s="7">
        <v>2.0039032E7</v>
      </c>
      <c r="B2475" s="8" t="s">
        <v>3445</v>
      </c>
      <c r="C2475" s="8" t="s">
        <v>7949</v>
      </c>
      <c r="D2475" s="8" t="s">
        <v>16</v>
      </c>
      <c r="E2475" s="8" t="s">
        <v>17</v>
      </c>
      <c r="F2475" s="9">
        <v>46080.0</v>
      </c>
      <c r="G2475" s="8" t="s">
        <v>7950</v>
      </c>
      <c r="H2475" s="8" t="s">
        <v>7951</v>
      </c>
      <c r="I2475" s="8" t="s">
        <v>7952</v>
      </c>
      <c r="J2475" s="8" t="s">
        <v>7953</v>
      </c>
    </row>
    <row r="2476">
      <c r="A2476" s="7">
        <v>2.0039032E7</v>
      </c>
      <c r="B2476" s="8" t="s">
        <v>3445</v>
      </c>
      <c r="C2476" s="8" t="s">
        <v>7954</v>
      </c>
      <c r="D2476" s="8" t="s">
        <v>16</v>
      </c>
      <c r="E2476" s="8" t="s">
        <v>17</v>
      </c>
      <c r="F2476" s="9">
        <v>46115.0</v>
      </c>
      <c r="G2476" s="8" t="s">
        <v>1667</v>
      </c>
      <c r="H2476" s="8" t="s">
        <v>1668</v>
      </c>
      <c r="I2476" s="8" t="s">
        <v>7955</v>
      </c>
      <c r="J2476" s="8" t="s">
        <v>7956</v>
      </c>
    </row>
    <row r="2477">
      <c r="A2477" s="7">
        <v>2.0036036E7</v>
      </c>
      <c r="B2477" s="8" t="s">
        <v>3445</v>
      </c>
      <c r="C2477" s="8" t="s">
        <v>7957</v>
      </c>
      <c r="D2477" s="8" t="s">
        <v>16</v>
      </c>
      <c r="E2477" s="8" t="s">
        <v>17</v>
      </c>
      <c r="F2477" s="9">
        <v>46057.0</v>
      </c>
      <c r="G2477" s="8" t="s">
        <v>29</v>
      </c>
      <c r="H2477" s="8" t="s">
        <v>30</v>
      </c>
      <c r="I2477" s="8" t="s">
        <v>7958</v>
      </c>
      <c r="J2477" s="8" t="s">
        <v>7959</v>
      </c>
    </row>
    <row r="2478">
      <c r="A2478" s="7">
        <v>2.0032221E7</v>
      </c>
      <c r="B2478" s="8" t="s">
        <v>3445</v>
      </c>
      <c r="C2478" s="8" t="s">
        <v>7960</v>
      </c>
      <c r="D2478" s="8" t="s">
        <v>16</v>
      </c>
      <c r="E2478" s="8" t="s">
        <v>17</v>
      </c>
      <c r="F2478" s="9">
        <v>46059.0</v>
      </c>
      <c r="G2478" s="8" t="s">
        <v>7961</v>
      </c>
      <c r="H2478" s="8" t="s">
        <v>7962</v>
      </c>
      <c r="I2478" s="8" t="s">
        <v>7963</v>
      </c>
      <c r="J2478" s="8" t="s">
        <v>7964</v>
      </c>
    </row>
    <row r="2479">
      <c r="A2479" s="7">
        <v>2.0036315E7</v>
      </c>
      <c r="B2479" s="8" t="s">
        <v>3445</v>
      </c>
      <c r="C2479" s="8" t="s">
        <v>7965</v>
      </c>
      <c r="D2479" s="8" t="s">
        <v>16</v>
      </c>
      <c r="E2479" s="8" t="s">
        <v>17</v>
      </c>
      <c r="F2479" s="9">
        <v>46068.0</v>
      </c>
      <c r="G2479" s="8" t="s">
        <v>64</v>
      </c>
      <c r="H2479" s="8" t="s">
        <v>65</v>
      </c>
      <c r="I2479" s="8" t="s">
        <v>7966</v>
      </c>
      <c r="J2479" s="8" t="s">
        <v>7967</v>
      </c>
    </row>
    <row r="2480">
      <c r="A2480" s="7">
        <v>2.0068088E7</v>
      </c>
      <c r="B2480" s="8" t="s">
        <v>3445</v>
      </c>
      <c r="C2480" s="8" t="s">
        <v>7968</v>
      </c>
      <c r="D2480" s="8" t="s">
        <v>16</v>
      </c>
      <c r="E2480" s="8" t="s">
        <v>17</v>
      </c>
      <c r="F2480" s="9">
        <v>46186.0</v>
      </c>
      <c r="G2480" s="8" t="s">
        <v>59</v>
      </c>
      <c r="H2480" s="8" t="s">
        <v>60</v>
      </c>
      <c r="I2480" s="8" t="s">
        <v>7969</v>
      </c>
      <c r="J2480" s="8" t="s">
        <v>7970</v>
      </c>
    </row>
    <row r="2481">
      <c r="A2481" s="7">
        <v>2.0057433E7</v>
      </c>
      <c r="B2481" s="8" t="s">
        <v>3445</v>
      </c>
      <c r="C2481" s="8" t="s">
        <v>7971</v>
      </c>
      <c r="D2481" s="8" t="s">
        <v>2136</v>
      </c>
      <c r="E2481" s="8" t="s">
        <v>17</v>
      </c>
      <c r="F2481" s="9">
        <v>46164.0</v>
      </c>
      <c r="G2481" s="8" t="s">
        <v>846</v>
      </c>
      <c r="H2481" s="8" t="s">
        <v>847</v>
      </c>
      <c r="I2481" s="8" t="s">
        <v>7972</v>
      </c>
      <c r="J2481" s="8" t="s">
        <v>7973</v>
      </c>
    </row>
    <row r="2482">
      <c r="A2482" s="7">
        <v>2.0057959E7</v>
      </c>
      <c r="B2482" s="8" t="s">
        <v>3445</v>
      </c>
      <c r="C2482" s="8" t="s">
        <v>7974</v>
      </c>
      <c r="D2482" s="8" t="s">
        <v>16</v>
      </c>
      <c r="E2482" s="8" t="s">
        <v>17</v>
      </c>
      <c r="F2482" s="9">
        <v>46132.0</v>
      </c>
      <c r="G2482" s="8" t="s">
        <v>846</v>
      </c>
      <c r="H2482" s="8" t="s">
        <v>847</v>
      </c>
      <c r="I2482" s="8" t="s">
        <v>7975</v>
      </c>
      <c r="J2482" s="8" t="s">
        <v>7976</v>
      </c>
    </row>
    <row r="2483">
      <c r="A2483" s="7">
        <v>2.0055303E7</v>
      </c>
      <c r="B2483" s="8" t="s">
        <v>3445</v>
      </c>
      <c r="C2483" s="8" t="s">
        <v>7977</v>
      </c>
      <c r="D2483" s="8" t="s">
        <v>16</v>
      </c>
      <c r="E2483" s="8" t="s">
        <v>17</v>
      </c>
      <c r="F2483" s="9">
        <v>46136.0</v>
      </c>
      <c r="G2483" s="8" t="s">
        <v>1297</v>
      </c>
      <c r="H2483" s="8" t="s">
        <v>7978</v>
      </c>
      <c r="I2483" s="8" t="s">
        <v>7979</v>
      </c>
      <c r="J2483" s="8" t="s">
        <v>7980</v>
      </c>
    </row>
    <row r="2484">
      <c r="A2484" s="7">
        <v>2.0044199E7</v>
      </c>
      <c r="B2484" s="8" t="s">
        <v>3445</v>
      </c>
      <c r="C2484" s="8" t="s">
        <v>7981</v>
      </c>
      <c r="D2484" s="8" t="s">
        <v>16</v>
      </c>
      <c r="E2484" s="8" t="s">
        <v>17</v>
      </c>
      <c r="F2484" s="9">
        <v>46131.0</v>
      </c>
      <c r="G2484" s="8" t="s">
        <v>846</v>
      </c>
      <c r="H2484" s="8" t="s">
        <v>847</v>
      </c>
      <c r="I2484" s="8" t="s">
        <v>7982</v>
      </c>
      <c r="J2484" s="8" t="s">
        <v>7983</v>
      </c>
    </row>
    <row r="2485">
      <c r="A2485" s="7">
        <v>2.0052328E7</v>
      </c>
      <c r="B2485" s="8" t="s">
        <v>3445</v>
      </c>
      <c r="C2485" s="8" t="s">
        <v>7984</v>
      </c>
      <c r="D2485" s="8" t="s">
        <v>16</v>
      </c>
      <c r="E2485" s="8" t="s">
        <v>17</v>
      </c>
      <c r="F2485" s="9">
        <v>46108.0</v>
      </c>
      <c r="G2485" s="8" t="s">
        <v>59</v>
      </c>
      <c r="H2485" s="8" t="s">
        <v>60</v>
      </c>
      <c r="I2485" s="8" t="s">
        <v>7985</v>
      </c>
      <c r="J2485" s="8" t="s">
        <v>7986</v>
      </c>
    </row>
    <row r="2486">
      <c r="A2486" s="7">
        <v>2.0051535E7</v>
      </c>
      <c r="B2486" s="8" t="s">
        <v>3445</v>
      </c>
      <c r="C2486" s="8" t="s">
        <v>7987</v>
      </c>
      <c r="D2486" s="8" t="s">
        <v>16</v>
      </c>
      <c r="E2486" s="8" t="s">
        <v>17</v>
      </c>
      <c r="F2486" s="9">
        <v>46120.0</v>
      </c>
      <c r="G2486" s="8" t="s">
        <v>114</v>
      </c>
      <c r="H2486" s="8" t="s">
        <v>115</v>
      </c>
      <c r="I2486" s="8" t="s">
        <v>7988</v>
      </c>
      <c r="J2486" s="8" t="s">
        <v>7989</v>
      </c>
    </row>
    <row r="2487">
      <c r="A2487" s="7">
        <v>2.0043576E7</v>
      </c>
      <c r="B2487" s="8" t="s">
        <v>3445</v>
      </c>
      <c r="C2487" s="8" t="s">
        <v>7990</v>
      </c>
      <c r="D2487" s="8" t="s">
        <v>16</v>
      </c>
      <c r="E2487" s="8" t="s">
        <v>17</v>
      </c>
      <c r="F2487" s="9">
        <v>46079.0</v>
      </c>
      <c r="G2487" s="8" t="s">
        <v>3012</v>
      </c>
      <c r="H2487" s="8" t="s">
        <v>3013</v>
      </c>
      <c r="I2487" s="8" t="s">
        <v>7991</v>
      </c>
      <c r="J2487" s="8" t="s">
        <v>7992</v>
      </c>
    </row>
    <row r="2488">
      <c r="A2488" s="7">
        <v>2.0041543E7</v>
      </c>
      <c r="B2488" s="8" t="s">
        <v>3445</v>
      </c>
      <c r="C2488" s="8" t="s">
        <v>7993</v>
      </c>
      <c r="D2488" s="8" t="s">
        <v>16</v>
      </c>
      <c r="E2488" s="8" t="s">
        <v>17</v>
      </c>
      <c r="F2488" s="9">
        <v>46074.0</v>
      </c>
      <c r="G2488" s="8" t="s">
        <v>195</v>
      </c>
      <c r="H2488" s="8" t="s">
        <v>196</v>
      </c>
      <c r="I2488" s="8" t="s">
        <v>7994</v>
      </c>
      <c r="J2488" s="8" t="s">
        <v>7995</v>
      </c>
    </row>
    <row r="2489">
      <c r="A2489" s="7">
        <v>2.0039369E7</v>
      </c>
      <c r="B2489" s="8" t="s">
        <v>3445</v>
      </c>
      <c r="C2489" s="8" t="s">
        <v>7996</v>
      </c>
      <c r="D2489" s="8" t="s">
        <v>16</v>
      </c>
      <c r="E2489" s="8" t="s">
        <v>17</v>
      </c>
      <c r="F2489" s="9">
        <v>46070.0</v>
      </c>
      <c r="G2489" s="8" t="s">
        <v>59</v>
      </c>
      <c r="H2489" s="8" t="s">
        <v>60</v>
      </c>
      <c r="I2489" s="8" t="s">
        <v>7997</v>
      </c>
      <c r="J2489" s="8" t="s">
        <v>7998</v>
      </c>
    </row>
    <row r="2490">
      <c r="A2490" s="7">
        <v>2.0037059E7</v>
      </c>
      <c r="B2490" s="8" t="s">
        <v>3445</v>
      </c>
      <c r="C2490" s="8" t="s">
        <v>7999</v>
      </c>
      <c r="D2490" s="8" t="s">
        <v>16</v>
      </c>
      <c r="E2490" s="8" t="s">
        <v>17</v>
      </c>
      <c r="F2490" s="9">
        <v>46091.0</v>
      </c>
      <c r="G2490" s="8" t="s">
        <v>846</v>
      </c>
      <c r="H2490" s="8" t="s">
        <v>847</v>
      </c>
      <c r="I2490" s="8" t="s">
        <v>8000</v>
      </c>
      <c r="J2490" s="8" t="s">
        <v>8001</v>
      </c>
    </row>
    <row r="2491">
      <c r="A2491" s="7">
        <v>2.0037314E7</v>
      </c>
      <c r="B2491" s="8" t="s">
        <v>3445</v>
      </c>
      <c r="C2491" s="8" t="s">
        <v>8002</v>
      </c>
      <c r="D2491" s="8" t="s">
        <v>16</v>
      </c>
      <c r="E2491" s="8" t="s">
        <v>17</v>
      </c>
      <c r="F2491" s="9">
        <v>46068.0</v>
      </c>
      <c r="G2491" s="8" t="s">
        <v>805</v>
      </c>
      <c r="H2491" s="8" t="s">
        <v>806</v>
      </c>
      <c r="I2491" s="8" t="s">
        <v>8003</v>
      </c>
      <c r="J2491" s="8" t="s">
        <v>8004</v>
      </c>
    </row>
    <row r="2492">
      <c r="A2492" s="7">
        <v>2.007045E7</v>
      </c>
      <c r="B2492" s="8" t="s">
        <v>3445</v>
      </c>
      <c r="C2492" s="8" t="s">
        <v>8005</v>
      </c>
      <c r="D2492" s="8" t="s">
        <v>2136</v>
      </c>
      <c r="E2492" s="8" t="s">
        <v>17</v>
      </c>
      <c r="F2492" s="9">
        <v>46186.0</v>
      </c>
      <c r="G2492" s="8" t="s">
        <v>59</v>
      </c>
      <c r="H2492" s="8" t="s">
        <v>60</v>
      </c>
      <c r="I2492" s="8" t="s">
        <v>8006</v>
      </c>
      <c r="J2492" s="8" t="s">
        <v>8007</v>
      </c>
    </row>
    <row r="2493">
      <c r="A2493" s="7">
        <v>2.0066866E7</v>
      </c>
      <c r="B2493" s="8" t="s">
        <v>3445</v>
      </c>
      <c r="C2493" s="8" t="s">
        <v>8008</v>
      </c>
      <c r="D2493" s="8" t="s">
        <v>16</v>
      </c>
      <c r="E2493" s="8" t="s">
        <v>17</v>
      </c>
      <c r="F2493" s="9">
        <v>46183.0</v>
      </c>
      <c r="G2493" s="8" t="s">
        <v>882</v>
      </c>
      <c r="H2493" s="8" t="s">
        <v>883</v>
      </c>
      <c r="I2493" s="8" t="s">
        <v>8009</v>
      </c>
      <c r="J2493" s="8" t="s">
        <v>8010</v>
      </c>
    </row>
    <row r="2494">
      <c r="A2494" s="7">
        <v>2.006321E7</v>
      </c>
      <c r="B2494" s="8" t="s">
        <v>3445</v>
      </c>
      <c r="C2494" s="8" t="s">
        <v>8011</v>
      </c>
      <c r="D2494" s="8" t="s">
        <v>16</v>
      </c>
      <c r="E2494" s="8" t="s">
        <v>17</v>
      </c>
      <c r="F2494" s="9">
        <v>46166.0</v>
      </c>
      <c r="G2494" s="8" t="s">
        <v>59</v>
      </c>
      <c r="H2494" s="8" t="s">
        <v>60</v>
      </c>
      <c r="I2494" s="8" t="s">
        <v>8012</v>
      </c>
      <c r="J2494" s="8" t="s">
        <v>8013</v>
      </c>
    </row>
    <row r="2495">
      <c r="A2495" s="7">
        <v>2.006085E7</v>
      </c>
      <c r="B2495" s="8" t="s">
        <v>3445</v>
      </c>
      <c r="C2495" s="8" t="s">
        <v>8014</v>
      </c>
      <c r="D2495" s="8" t="s">
        <v>16</v>
      </c>
      <c r="E2495" s="8" t="s">
        <v>17</v>
      </c>
      <c r="F2495" s="9">
        <v>46184.0</v>
      </c>
      <c r="G2495" s="8" t="s">
        <v>262</v>
      </c>
      <c r="H2495" s="8" t="s">
        <v>263</v>
      </c>
      <c r="I2495" s="8" t="s">
        <v>8015</v>
      </c>
      <c r="J2495" s="8" t="s">
        <v>8016</v>
      </c>
    </row>
    <row r="2496">
      <c r="A2496" s="7">
        <v>2.0057159E7</v>
      </c>
      <c r="B2496" s="8" t="s">
        <v>3445</v>
      </c>
      <c r="C2496" s="8" t="s">
        <v>8017</v>
      </c>
      <c r="D2496" s="8" t="s">
        <v>16</v>
      </c>
      <c r="E2496" s="8" t="s">
        <v>17</v>
      </c>
      <c r="F2496" s="9">
        <v>46136.0</v>
      </c>
      <c r="G2496" s="8" t="s">
        <v>385</v>
      </c>
      <c r="H2496" s="8" t="s">
        <v>386</v>
      </c>
      <c r="I2496" s="8" t="s">
        <v>8018</v>
      </c>
      <c r="J2496" s="8" t="s">
        <v>7405</v>
      </c>
    </row>
    <row r="2497">
      <c r="A2497" s="7">
        <v>2.0055281E7</v>
      </c>
      <c r="B2497" s="8" t="s">
        <v>3445</v>
      </c>
      <c r="C2497" s="8" t="s">
        <v>8019</v>
      </c>
      <c r="D2497" s="8" t="s">
        <v>16</v>
      </c>
      <c r="E2497" s="8" t="s">
        <v>17</v>
      </c>
      <c r="F2497" s="9">
        <v>46144.0</v>
      </c>
      <c r="G2497" s="8" t="s">
        <v>153</v>
      </c>
      <c r="H2497" s="8" t="s">
        <v>154</v>
      </c>
      <c r="I2497" s="8" t="s">
        <v>8020</v>
      </c>
      <c r="J2497" s="8" t="s">
        <v>8021</v>
      </c>
    </row>
    <row r="2498">
      <c r="A2498" s="7">
        <v>2.005382E7</v>
      </c>
      <c r="B2498" s="8" t="s">
        <v>3445</v>
      </c>
      <c r="C2498" s="8" t="s">
        <v>8022</v>
      </c>
      <c r="D2498" s="8" t="s">
        <v>16</v>
      </c>
      <c r="E2498" s="8" t="s">
        <v>17</v>
      </c>
      <c r="F2498" s="9">
        <v>46124.0</v>
      </c>
      <c r="G2498" s="8" t="s">
        <v>1045</v>
      </c>
      <c r="H2498" s="8" t="s">
        <v>909</v>
      </c>
      <c r="I2498" s="8" t="s">
        <v>8023</v>
      </c>
      <c r="J2498" s="8" t="s">
        <v>8024</v>
      </c>
    </row>
    <row r="2499">
      <c r="A2499" s="7">
        <v>2.0042413E7</v>
      </c>
      <c r="B2499" s="8" t="s">
        <v>3445</v>
      </c>
      <c r="C2499" s="8" t="s">
        <v>8025</v>
      </c>
      <c r="D2499" s="8" t="s">
        <v>16</v>
      </c>
      <c r="E2499" s="8" t="s">
        <v>17</v>
      </c>
      <c r="F2499" s="9">
        <v>46088.0</v>
      </c>
      <c r="G2499" s="8" t="s">
        <v>3336</v>
      </c>
      <c r="H2499" s="8" t="s">
        <v>3337</v>
      </c>
      <c r="I2499" s="8" t="s">
        <v>8026</v>
      </c>
      <c r="J2499" s="8" t="s">
        <v>8027</v>
      </c>
    </row>
    <row r="2500">
      <c r="A2500" s="7">
        <v>2.0038822E7</v>
      </c>
      <c r="B2500" s="8" t="s">
        <v>3445</v>
      </c>
      <c r="C2500" s="8" t="s">
        <v>8028</v>
      </c>
      <c r="D2500" s="8" t="s">
        <v>16</v>
      </c>
      <c r="E2500" s="8" t="s">
        <v>17</v>
      </c>
      <c r="F2500" s="9">
        <v>46081.0</v>
      </c>
      <c r="G2500" s="8" t="s">
        <v>59</v>
      </c>
      <c r="H2500" s="8" t="s">
        <v>60</v>
      </c>
      <c r="I2500" s="8" t="s">
        <v>8029</v>
      </c>
      <c r="J2500" s="8" t="s">
        <v>8030</v>
      </c>
    </row>
    <row r="2501">
      <c r="A2501" s="7">
        <v>2.0042692E7</v>
      </c>
      <c r="B2501" s="8" t="s">
        <v>3445</v>
      </c>
      <c r="C2501" s="8" t="s">
        <v>8031</v>
      </c>
      <c r="D2501" s="8" t="s">
        <v>16</v>
      </c>
      <c r="E2501" s="8" t="s">
        <v>17</v>
      </c>
      <c r="F2501" s="9">
        <v>46086.0</v>
      </c>
      <c r="G2501" s="8" t="s">
        <v>171</v>
      </c>
      <c r="H2501" s="8" t="s">
        <v>172</v>
      </c>
      <c r="I2501" s="8" t="s">
        <v>8032</v>
      </c>
      <c r="J2501" s="8" t="s">
        <v>8033</v>
      </c>
    </row>
    <row r="2502">
      <c r="A2502" s="7">
        <v>2.0039305E7</v>
      </c>
      <c r="B2502" s="8" t="s">
        <v>3445</v>
      </c>
      <c r="C2502" s="8" t="s">
        <v>8034</v>
      </c>
      <c r="D2502" s="8" t="s">
        <v>16</v>
      </c>
      <c r="E2502" s="8" t="s">
        <v>17</v>
      </c>
      <c r="F2502" s="9">
        <v>46076.0</v>
      </c>
      <c r="G2502" s="8" t="s">
        <v>220</v>
      </c>
      <c r="H2502" s="8" t="s">
        <v>221</v>
      </c>
      <c r="I2502" s="8" t="s">
        <v>8035</v>
      </c>
      <c r="J2502" s="8" t="s">
        <v>8036</v>
      </c>
    </row>
    <row r="2503">
      <c r="A2503" s="7">
        <v>2.0039733E7</v>
      </c>
      <c r="B2503" s="8" t="s">
        <v>3445</v>
      </c>
      <c r="C2503" s="8" t="s">
        <v>8037</v>
      </c>
      <c r="D2503" s="8" t="s">
        <v>16</v>
      </c>
      <c r="E2503" s="8" t="s">
        <v>17</v>
      </c>
      <c r="F2503" s="9">
        <v>46074.0</v>
      </c>
      <c r="G2503" s="8" t="s">
        <v>247</v>
      </c>
      <c r="H2503" s="8" t="s">
        <v>248</v>
      </c>
      <c r="I2503" s="8" t="s">
        <v>8038</v>
      </c>
      <c r="J2503" s="8" t="s">
        <v>8039</v>
      </c>
    </row>
    <row r="2504">
      <c r="A2504" s="7">
        <v>2.0021349E7</v>
      </c>
      <c r="B2504" s="8" t="s">
        <v>3445</v>
      </c>
      <c r="C2504" s="8" t="s">
        <v>8040</v>
      </c>
      <c r="D2504" s="8" t="s">
        <v>16</v>
      </c>
      <c r="E2504" s="8" t="s">
        <v>17</v>
      </c>
      <c r="F2504" s="9">
        <v>46070.0</v>
      </c>
      <c r="G2504" s="8" t="s">
        <v>868</v>
      </c>
      <c r="H2504" s="8" t="s">
        <v>869</v>
      </c>
      <c r="I2504" s="8" t="s">
        <v>8041</v>
      </c>
      <c r="J2504" s="8" t="s">
        <v>8042</v>
      </c>
    </row>
    <row r="2505">
      <c r="A2505" s="7">
        <v>2.0034798E7</v>
      </c>
      <c r="B2505" s="8" t="s">
        <v>3445</v>
      </c>
      <c r="C2505" s="8" t="s">
        <v>8043</v>
      </c>
      <c r="D2505" s="8" t="s">
        <v>16</v>
      </c>
      <c r="E2505" s="8" t="s">
        <v>17</v>
      </c>
      <c r="F2505" s="9">
        <v>46073.0</v>
      </c>
      <c r="G2505" s="8" t="s">
        <v>59</v>
      </c>
      <c r="H2505" s="8" t="s">
        <v>60</v>
      </c>
      <c r="I2505" s="8" t="s">
        <v>8044</v>
      </c>
      <c r="J2505" s="8" t="s">
        <v>1752</v>
      </c>
    </row>
    <row r="2506">
      <c r="A2506" s="7">
        <v>2.0037738E7</v>
      </c>
      <c r="B2506" s="8" t="s">
        <v>3445</v>
      </c>
      <c r="C2506" s="8" t="s">
        <v>8045</v>
      </c>
      <c r="D2506" s="8" t="s">
        <v>16</v>
      </c>
      <c r="E2506" s="8" t="s">
        <v>17</v>
      </c>
      <c r="F2506" s="9">
        <v>46053.0</v>
      </c>
      <c r="G2506" s="8" t="s">
        <v>385</v>
      </c>
      <c r="H2506" s="8" t="s">
        <v>386</v>
      </c>
      <c r="I2506" s="8" t="s">
        <v>8046</v>
      </c>
      <c r="J2506" s="8" t="s">
        <v>8047</v>
      </c>
    </row>
    <row r="2507">
      <c r="A2507" s="7">
        <v>2.0036888E7</v>
      </c>
      <c r="B2507" s="8" t="s">
        <v>3445</v>
      </c>
      <c r="C2507" s="8" t="s">
        <v>8048</v>
      </c>
      <c r="D2507" s="8" t="s">
        <v>16</v>
      </c>
      <c r="E2507" s="8" t="s">
        <v>17</v>
      </c>
      <c r="F2507" s="9">
        <v>46059.0</v>
      </c>
      <c r="G2507" s="8" t="s">
        <v>234</v>
      </c>
      <c r="H2507" s="8" t="s">
        <v>235</v>
      </c>
      <c r="I2507" s="8" t="s">
        <v>8049</v>
      </c>
      <c r="J2507" s="8" t="s">
        <v>8050</v>
      </c>
    </row>
    <row r="2508">
      <c r="A2508" s="7">
        <v>2.0036269E7</v>
      </c>
      <c r="B2508" s="8" t="s">
        <v>3445</v>
      </c>
      <c r="C2508" s="8" t="s">
        <v>8051</v>
      </c>
      <c r="D2508" s="8" t="s">
        <v>16</v>
      </c>
      <c r="E2508" s="8" t="s">
        <v>17</v>
      </c>
      <c r="F2508" s="9">
        <v>46056.0</v>
      </c>
      <c r="G2508" s="8" t="s">
        <v>91</v>
      </c>
      <c r="H2508" s="8" t="s">
        <v>92</v>
      </c>
      <c r="I2508" s="8" t="s">
        <v>8052</v>
      </c>
      <c r="J2508" s="8"/>
    </row>
    <row r="2509">
      <c r="A2509" s="7">
        <v>2.0035848E7</v>
      </c>
      <c r="B2509" s="8" t="s">
        <v>3445</v>
      </c>
      <c r="C2509" s="8" t="s">
        <v>8053</v>
      </c>
      <c r="D2509" s="8" t="s">
        <v>16</v>
      </c>
      <c r="E2509" s="8" t="s">
        <v>17</v>
      </c>
      <c r="F2509" s="9">
        <v>46043.0</v>
      </c>
      <c r="G2509" s="8" t="s">
        <v>3012</v>
      </c>
      <c r="H2509" s="8" t="s">
        <v>3013</v>
      </c>
      <c r="I2509" s="8" t="s">
        <v>8054</v>
      </c>
      <c r="J2509" s="8" t="s">
        <v>8055</v>
      </c>
    </row>
    <row r="2510">
      <c r="A2510" s="7">
        <v>2.0030644E7</v>
      </c>
      <c r="B2510" s="8" t="s">
        <v>3445</v>
      </c>
      <c r="C2510" s="8" t="s">
        <v>8056</v>
      </c>
      <c r="D2510" s="8" t="s">
        <v>16</v>
      </c>
      <c r="E2510" s="8" t="s">
        <v>17</v>
      </c>
      <c r="F2510" s="9">
        <v>46057.0</v>
      </c>
      <c r="G2510" s="8" t="s">
        <v>5866</v>
      </c>
      <c r="H2510" s="8" t="s">
        <v>1111</v>
      </c>
      <c r="I2510" s="8" t="s">
        <v>8057</v>
      </c>
      <c r="J2510" s="8" t="s">
        <v>8058</v>
      </c>
    </row>
    <row r="2511">
      <c r="A2511" s="7">
        <v>2.0068349E7</v>
      </c>
      <c r="B2511" s="8" t="s">
        <v>3445</v>
      </c>
      <c r="C2511" s="8" t="s">
        <v>8059</v>
      </c>
      <c r="D2511" s="8" t="s">
        <v>16</v>
      </c>
      <c r="E2511" s="8" t="s">
        <v>17</v>
      </c>
      <c r="F2511" s="9">
        <v>46190.0</v>
      </c>
      <c r="G2511" s="8" t="s">
        <v>59</v>
      </c>
      <c r="H2511" s="8" t="s">
        <v>60</v>
      </c>
      <c r="I2511" s="8" t="s">
        <v>8060</v>
      </c>
      <c r="J2511" s="8" t="s">
        <v>8061</v>
      </c>
    </row>
    <row r="2512">
      <c r="A2512" s="7">
        <v>2.0067384E7</v>
      </c>
      <c r="B2512" s="8" t="s">
        <v>3445</v>
      </c>
      <c r="C2512" s="8" t="s">
        <v>8062</v>
      </c>
      <c r="D2512" s="8" t="s">
        <v>16</v>
      </c>
      <c r="E2512" s="8" t="s">
        <v>17</v>
      </c>
      <c r="F2512" s="9">
        <v>46186.0</v>
      </c>
      <c r="G2512" s="8" t="s">
        <v>59</v>
      </c>
      <c r="H2512" s="8" t="s">
        <v>60</v>
      </c>
      <c r="I2512" s="8" t="s">
        <v>8063</v>
      </c>
      <c r="J2512" s="8" t="s">
        <v>8064</v>
      </c>
    </row>
    <row r="2513">
      <c r="A2513" s="7">
        <v>2.0068015E7</v>
      </c>
      <c r="B2513" s="8" t="s">
        <v>3445</v>
      </c>
      <c r="C2513" s="8" t="s">
        <v>8065</v>
      </c>
      <c r="D2513" s="8" t="s">
        <v>16</v>
      </c>
      <c r="E2513" s="8" t="s">
        <v>17</v>
      </c>
      <c r="F2513" s="9">
        <v>46186.0</v>
      </c>
      <c r="G2513" s="8" t="s">
        <v>1431</v>
      </c>
      <c r="H2513" s="8" t="s">
        <v>1432</v>
      </c>
      <c r="I2513" s="8" t="s">
        <v>8066</v>
      </c>
      <c r="J2513" s="8" t="s">
        <v>8067</v>
      </c>
    </row>
    <row r="2514">
      <c r="A2514" s="7">
        <v>2.006339E7</v>
      </c>
      <c r="B2514" s="8" t="s">
        <v>3445</v>
      </c>
      <c r="C2514" s="8" t="s">
        <v>8068</v>
      </c>
      <c r="D2514" s="8" t="s">
        <v>2136</v>
      </c>
      <c r="E2514" s="8" t="s">
        <v>17</v>
      </c>
      <c r="F2514" s="9">
        <v>46154.0</v>
      </c>
      <c r="G2514" s="8" t="s">
        <v>234</v>
      </c>
      <c r="H2514" s="8" t="s">
        <v>235</v>
      </c>
      <c r="I2514" s="8"/>
      <c r="J2514" s="8" t="s">
        <v>8069</v>
      </c>
    </row>
    <row r="2515">
      <c r="A2515" s="7">
        <v>2.0058927E7</v>
      </c>
      <c r="B2515" s="8" t="s">
        <v>3445</v>
      </c>
      <c r="C2515" s="8" t="s">
        <v>8070</v>
      </c>
      <c r="D2515" s="8" t="s">
        <v>16</v>
      </c>
      <c r="E2515" s="8" t="s">
        <v>17</v>
      </c>
      <c r="F2515" s="9">
        <v>46140.0</v>
      </c>
      <c r="G2515" s="8" t="s">
        <v>59</v>
      </c>
      <c r="H2515" s="8" t="s">
        <v>60</v>
      </c>
      <c r="I2515" s="8" t="s">
        <v>8071</v>
      </c>
      <c r="J2515" s="8" t="s">
        <v>8072</v>
      </c>
    </row>
    <row r="2516">
      <c r="A2516" s="7">
        <v>2.0052611E7</v>
      </c>
      <c r="B2516" s="8" t="s">
        <v>3445</v>
      </c>
      <c r="C2516" s="8" t="s">
        <v>8073</v>
      </c>
      <c r="D2516" s="8" t="s">
        <v>16</v>
      </c>
      <c r="E2516" s="8" t="s">
        <v>17</v>
      </c>
      <c r="F2516" s="9">
        <v>46125.0</v>
      </c>
      <c r="G2516" s="8" t="s">
        <v>1132</v>
      </c>
      <c r="H2516" s="8" t="s">
        <v>1133</v>
      </c>
      <c r="I2516" s="8" t="s">
        <v>8074</v>
      </c>
      <c r="J2516" s="8" t="s">
        <v>8075</v>
      </c>
    </row>
    <row r="2517">
      <c r="A2517" s="7">
        <v>2.0053163E7</v>
      </c>
      <c r="B2517" s="8" t="s">
        <v>3445</v>
      </c>
      <c r="C2517" s="8" t="s">
        <v>8076</v>
      </c>
      <c r="D2517" s="8" t="s">
        <v>16</v>
      </c>
      <c r="E2517" s="8" t="s">
        <v>17</v>
      </c>
      <c r="F2517" s="9">
        <v>46125.0</v>
      </c>
      <c r="G2517" s="8" t="s">
        <v>630</v>
      </c>
      <c r="H2517" s="8" t="s">
        <v>631</v>
      </c>
      <c r="I2517" s="8" t="s">
        <v>8077</v>
      </c>
      <c r="J2517" s="8" t="s">
        <v>8078</v>
      </c>
    </row>
    <row r="2518">
      <c r="A2518" s="7">
        <v>2.0052251E7</v>
      </c>
      <c r="B2518" s="8" t="s">
        <v>3445</v>
      </c>
      <c r="C2518" s="8" t="s">
        <v>8079</v>
      </c>
      <c r="D2518" s="8" t="s">
        <v>2136</v>
      </c>
      <c r="E2518" s="8" t="s">
        <v>17</v>
      </c>
      <c r="F2518" s="9">
        <v>46106.0</v>
      </c>
      <c r="G2518" s="8" t="s">
        <v>195</v>
      </c>
      <c r="H2518" s="8" t="s">
        <v>196</v>
      </c>
      <c r="I2518" s="8" t="s">
        <v>8080</v>
      </c>
      <c r="J2518" s="8" t="s">
        <v>8081</v>
      </c>
    </row>
    <row r="2519">
      <c r="A2519" s="7">
        <v>2.0050338E7</v>
      </c>
      <c r="B2519" s="8" t="s">
        <v>3445</v>
      </c>
      <c r="C2519" s="8" t="s">
        <v>8082</v>
      </c>
      <c r="D2519" s="8" t="s">
        <v>16</v>
      </c>
      <c r="E2519" s="8" t="s">
        <v>17</v>
      </c>
      <c r="F2519" s="9">
        <v>46105.0</v>
      </c>
      <c r="G2519" s="8" t="s">
        <v>385</v>
      </c>
      <c r="H2519" s="8" t="s">
        <v>386</v>
      </c>
      <c r="I2519" s="8" t="s">
        <v>8083</v>
      </c>
      <c r="J2519" s="8" t="s">
        <v>8084</v>
      </c>
    </row>
    <row r="2520">
      <c r="A2520" s="7">
        <v>2.0047702E7</v>
      </c>
      <c r="B2520" s="8" t="s">
        <v>3445</v>
      </c>
      <c r="C2520" s="8" t="s">
        <v>8085</v>
      </c>
      <c r="D2520" s="8" t="s">
        <v>16</v>
      </c>
      <c r="E2520" s="8" t="s">
        <v>17</v>
      </c>
      <c r="F2520" s="9">
        <v>46112.0</v>
      </c>
      <c r="G2520" s="8" t="s">
        <v>8086</v>
      </c>
      <c r="H2520" s="8" t="s">
        <v>8087</v>
      </c>
      <c r="I2520" s="8" t="s">
        <v>8088</v>
      </c>
      <c r="J2520" s="8" t="s">
        <v>8089</v>
      </c>
    </row>
    <row r="2521">
      <c r="A2521" s="7">
        <v>2.0047081E7</v>
      </c>
      <c r="B2521" s="8" t="s">
        <v>3445</v>
      </c>
      <c r="C2521" s="8" t="s">
        <v>8090</v>
      </c>
      <c r="D2521" s="8" t="s">
        <v>16</v>
      </c>
      <c r="E2521" s="8" t="s">
        <v>17</v>
      </c>
      <c r="F2521" s="9">
        <v>46102.0</v>
      </c>
      <c r="G2521" s="8" t="s">
        <v>109</v>
      </c>
      <c r="H2521" s="8" t="s">
        <v>110</v>
      </c>
      <c r="I2521" s="8" t="s">
        <v>8091</v>
      </c>
      <c r="J2521" s="8" t="s">
        <v>8092</v>
      </c>
    </row>
    <row r="2522">
      <c r="A2522" s="7">
        <v>2.0049435E7</v>
      </c>
      <c r="B2522" s="8" t="s">
        <v>3445</v>
      </c>
      <c r="C2522" s="8" t="s">
        <v>8093</v>
      </c>
      <c r="D2522" s="8" t="s">
        <v>16</v>
      </c>
      <c r="E2522" s="8" t="s">
        <v>17</v>
      </c>
      <c r="F2522" s="9">
        <v>46113.0</v>
      </c>
      <c r="G2522" s="8" t="s">
        <v>171</v>
      </c>
      <c r="H2522" s="8" t="s">
        <v>172</v>
      </c>
      <c r="I2522" s="8" t="s">
        <v>8094</v>
      </c>
      <c r="J2522" s="8" t="s">
        <v>8095</v>
      </c>
    </row>
    <row r="2523">
      <c r="A2523" s="7">
        <v>2.004269E7</v>
      </c>
      <c r="B2523" s="8" t="s">
        <v>3445</v>
      </c>
      <c r="C2523" s="8" t="s">
        <v>8096</v>
      </c>
      <c r="D2523" s="8" t="s">
        <v>16</v>
      </c>
      <c r="E2523" s="8" t="s">
        <v>17</v>
      </c>
      <c r="F2523" s="9">
        <v>46090.0</v>
      </c>
      <c r="G2523" s="8" t="s">
        <v>1132</v>
      </c>
      <c r="H2523" s="8" t="s">
        <v>1133</v>
      </c>
      <c r="I2523" s="8" t="s">
        <v>8097</v>
      </c>
      <c r="J2523" s="8" t="s">
        <v>8098</v>
      </c>
    </row>
    <row r="2524">
      <c r="A2524" s="7">
        <v>2.0046333E7</v>
      </c>
      <c r="B2524" s="8" t="s">
        <v>3445</v>
      </c>
      <c r="C2524" s="8" t="s">
        <v>8099</v>
      </c>
      <c r="D2524" s="8" t="s">
        <v>16</v>
      </c>
      <c r="E2524" s="8" t="s">
        <v>17</v>
      </c>
      <c r="F2524" s="9">
        <v>46086.0</v>
      </c>
      <c r="G2524" s="8" t="s">
        <v>34</v>
      </c>
      <c r="H2524" s="8" t="s">
        <v>35</v>
      </c>
      <c r="I2524" s="8" t="s">
        <v>8100</v>
      </c>
      <c r="J2524" s="8" t="s">
        <v>8101</v>
      </c>
    </row>
    <row r="2525">
      <c r="A2525" s="7">
        <v>2.0042307E7</v>
      </c>
      <c r="B2525" s="8" t="s">
        <v>3445</v>
      </c>
      <c r="C2525" s="8" t="s">
        <v>8102</v>
      </c>
      <c r="D2525" s="8" t="s">
        <v>16</v>
      </c>
      <c r="E2525" s="8" t="s">
        <v>17</v>
      </c>
      <c r="F2525" s="9">
        <v>46082.0</v>
      </c>
      <c r="G2525" s="8" t="s">
        <v>59</v>
      </c>
      <c r="H2525" s="8" t="s">
        <v>60</v>
      </c>
      <c r="I2525" s="8" t="s">
        <v>8103</v>
      </c>
      <c r="J2525" s="8" t="s">
        <v>8104</v>
      </c>
    </row>
    <row r="2526">
      <c r="A2526" s="7">
        <v>2.0040939E7</v>
      </c>
      <c r="B2526" s="8" t="s">
        <v>3445</v>
      </c>
      <c r="C2526" s="8" t="s">
        <v>8105</v>
      </c>
      <c r="D2526" s="8" t="s">
        <v>16</v>
      </c>
      <c r="E2526" s="8" t="s">
        <v>17</v>
      </c>
      <c r="F2526" s="9">
        <v>46074.0</v>
      </c>
      <c r="G2526" s="8" t="s">
        <v>1132</v>
      </c>
      <c r="H2526" s="8" t="s">
        <v>1133</v>
      </c>
      <c r="I2526" s="8" t="s">
        <v>8106</v>
      </c>
      <c r="J2526" s="8" t="s">
        <v>8107</v>
      </c>
    </row>
    <row r="2527">
      <c r="A2527" s="7">
        <v>2.0037597E7</v>
      </c>
      <c r="B2527" s="8" t="s">
        <v>3445</v>
      </c>
      <c r="C2527" s="8" t="s">
        <v>8108</v>
      </c>
      <c r="D2527" s="8" t="s">
        <v>16</v>
      </c>
      <c r="E2527" s="8" t="s">
        <v>17</v>
      </c>
      <c r="F2527" s="9">
        <v>46067.0</v>
      </c>
      <c r="G2527" s="8" t="s">
        <v>2724</v>
      </c>
      <c r="H2527" s="8" t="s">
        <v>2725</v>
      </c>
      <c r="I2527" s="8" t="s">
        <v>8109</v>
      </c>
      <c r="J2527" s="8" t="s">
        <v>8110</v>
      </c>
    </row>
    <row r="2528">
      <c r="A2528" s="7">
        <v>2.0039254E7</v>
      </c>
      <c r="B2528" s="8" t="s">
        <v>3445</v>
      </c>
      <c r="C2528" s="8" t="s">
        <v>8111</v>
      </c>
      <c r="D2528" s="8" t="s">
        <v>16</v>
      </c>
      <c r="E2528" s="8" t="s">
        <v>17</v>
      </c>
      <c r="F2528" s="9">
        <v>46060.0</v>
      </c>
      <c r="G2528" s="8" t="s">
        <v>34</v>
      </c>
      <c r="H2528" s="8" t="s">
        <v>35</v>
      </c>
      <c r="I2528" s="8" t="s">
        <v>8112</v>
      </c>
      <c r="J2528" s="8" t="s">
        <v>8113</v>
      </c>
    </row>
    <row r="2529">
      <c r="A2529" s="7">
        <v>2.0032542E7</v>
      </c>
      <c r="B2529" s="8" t="s">
        <v>3445</v>
      </c>
      <c r="C2529" s="8" t="s">
        <v>8114</v>
      </c>
      <c r="D2529" s="8" t="s">
        <v>16</v>
      </c>
      <c r="E2529" s="8" t="s">
        <v>17</v>
      </c>
      <c r="F2529" s="9">
        <v>46053.0</v>
      </c>
      <c r="G2529" s="8" t="s">
        <v>3255</v>
      </c>
      <c r="H2529" s="8" t="s">
        <v>3256</v>
      </c>
      <c r="I2529" s="8" t="s">
        <v>8115</v>
      </c>
      <c r="J2529" s="8" t="s">
        <v>8116</v>
      </c>
    </row>
    <row r="2530">
      <c r="A2530" s="7">
        <v>2.0032542E7</v>
      </c>
      <c r="B2530" s="8" t="s">
        <v>3445</v>
      </c>
      <c r="C2530" s="8" t="s">
        <v>8114</v>
      </c>
      <c r="D2530" s="8" t="s">
        <v>16</v>
      </c>
      <c r="E2530" s="8" t="s">
        <v>17</v>
      </c>
      <c r="F2530" s="9">
        <v>46053.0</v>
      </c>
      <c r="G2530" s="8" t="s">
        <v>234</v>
      </c>
      <c r="H2530" s="8" t="s">
        <v>235</v>
      </c>
      <c r="I2530" s="8" t="s">
        <v>8117</v>
      </c>
      <c r="J2530" s="8" t="s">
        <v>8118</v>
      </c>
    </row>
    <row r="2531">
      <c r="A2531" s="7">
        <v>2.0064615E7</v>
      </c>
      <c r="B2531" s="8" t="s">
        <v>3445</v>
      </c>
      <c r="C2531" s="8" t="s">
        <v>8119</v>
      </c>
      <c r="D2531" s="8" t="s">
        <v>16</v>
      </c>
      <c r="E2531" s="8" t="s">
        <v>17</v>
      </c>
      <c r="F2531" s="9">
        <v>46188.0</v>
      </c>
      <c r="G2531" s="8" t="s">
        <v>109</v>
      </c>
      <c r="H2531" s="8" t="s">
        <v>110</v>
      </c>
      <c r="I2531" s="8" t="s">
        <v>8120</v>
      </c>
      <c r="J2531" s="8" t="s">
        <v>8121</v>
      </c>
    </row>
    <row r="2532">
      <c r="A2532" s="7">
        <v>2.0066802E7</v>
      </c>
      <c r="B2532" s="8" t="s">
        <v>3445</v>
      </c>
      <c r="C2532" s="8" t="s">
        <v>8122</v>
      </c>
      <c r="D2532" s="8" t="s">
        <v>16</v>
      </c>
      <c r="E2532" s="8" t="s">
        <v>17</v>
      </c>
      <c r="F2532" s="9">
        <v>46180.0</v>
      </c>
      <c r="G2532" s="8" t="s">
        <v>59</v>
      </c>
      <c r="H2532" s="8" t="s">
        <v>60</v>
      </c>
      <c r="I2532" s="8" t="s">
        <v>8123</v>
      </c>
      <c r="J2532" s="8" t="s">
        <v>8124</v>
      </c>
    </row>
    <row r="2533">
      <c r="A2533" s="7">
        <v>2.0064231E7</v>
      </c>
      <c r="B2533" s="8" t="s">
        <v>3445</v>
      </c>
      <c r="C2533" s="8" t="s">
        <v>8125</v>
      </c>
      <c r="D2533" s="8" t="s">
        <v>16</v>
      </c>
      <c r="E2533" s="8" t="s">
        <v>17</v>
      </c>
      <c r="F2533" s="9">
        <v>46165.0</v>
      </c>
      <c r="G2533" s="8" t="s">
        <v>385</v>
      </c>
      <c r="H2533" s="8" t="s">
        <v>386</v>
      </c>
      <c r="I2533" s="8" t="s">
        <v>8126</v>
      </c>
      <c r="J2533" s="8" t="s">
        <v>8127</v>
      </c>
    </row>
    <row r="2534">
      <c r="A2534" s="7">
        <v>2.0055415E7</v>
      </c>
      <c r="B2534" s="8" t="s">
        <v>3445</v>
      </c>
      <c r="C2534" s="8" t="s">
        <v>8128</v>
      </c>
      <c r="D2534" s="8" t="s">
        <v>16</v>
      </c>
      <c r="E2534" s="8" t="s">
        <v>17</v>
      </c>
      <c r="F2534" s="9">
        <v>46135.0</v>
      </c>
      <c r="G2534" s="8" t="s">
        <v>220</v>
      </c>
      <c r="H2534" s="8" t="s">
        <v>221</v>
      </c>
      <c r="I2534" s="8" t="s">
        <v>8129</v>
      </c>
      <c r="J2534" s="8" t="s">
        <v>8130</v>
      </c>
    </row>
    <row r="2535">
      <c r="A2535" s="7">
        <v>2.0057602E7</v>
      </c>
      <c r="B2535" s="8" t="s">
        <v>3445</v>
      </c>
      <c r="C2535" s="8" t="s">
        <v>8131</v>
      </c>
      <c r="D2535" s="8" t="s">
        <v>16</v>
      </c>
      <c r="E2535" s="8" t="s">
        <v>17</v>
      </c>
      <c r="F2535" s="9">
        <v>46136.0</v>
      </c>
      <c r="G2535" s="8" t="s">
        <v>352</v>
      </c>
      <c r="H2535" s="8" t="s">
        <v>353</v>
      </c>
      <c r="I2535" s="8" t="s">
        <v>8132</v>
      </c>
      <c r="J2535" s="8" t="s">
        <v>8133</v>
      </c>
    </row>
    <row r="2536">
      <c r="A2536" s="7">
        <v>2.0054369E7</v>
      </c>
      <c r="B2536" s="8" t="s">
        <v>3445</v>
      </c>
      <c r="C2536" s="8" t="s">
        <v>8134</v>
      </c>
      <c r="D2536" s="8" t="s">
        <v>16</v>
      </c>
      <c r="E2536" s="8" t="s">
        <v>17</v>
      </c>
      <c r="F2536" s="9">
        <v>46123.0</v>
      </c>
      <c r="G2536" s="8" t="s">
        <v>59</v>
      </c>
      <c r="H2536" s="8" t="s">
        <v>60</v>
      </c>
      <c r="I2536" s="8" t="s">
        <v>8135</v>
      </c>
      <c r="J2536" s="8" t="s">
        <v>8136</v>
      </c>
    </row>
    <row r="2537">
      <c r="A2537" s="7">
        <v>2.0050438E7</v>
      </c>
      <c r="B2537" s="8" t="s">
        <v>3445</v>
      </c>
      <c r="C2537" s="8" t="s">
        <v>8137</v>
      </c>
      <c r="D2537" s="8" t="s">
        <v>16</v>
      </c>
      <c r="E2537" s="8" t="s">
        <v>17</v>
      </c>
      <c r="F2537" s="9">
        <v>46108.0</v>
      </c>
      <c r="G2537" s="8" t="s">
        <v>8138</v>
      </c>
      <c r="H2537" s="8" t="s">
        <v>8139</v>
      </c>
      <c r="I2537" s="8" t="s">
        <v>8140</v>
      </c>
      <c r="J2537" s="8" t="s">
        <v>8141</v>
      </c>
    </row>
    <row r="2538">
      <c r="A2538" s="7">
        <v>2.0049276E7</v>
      </c>
      <c r="B2538" s="8" t="s">
        <v>3445</v>
      </c>
      <c r="C2538" s="8" t="s">
        <v>8142</v>
      </c>
      <c r="D2538" s="8" t="s">
        <v>16</v>
      </c>
      <c r="E2538" s="8" t="s">
        <v>17</v>
      </c>
      <c r="F2538" s="9">
        <v>46107.0</v>
      </c>
      <c r="G2538" s="8" t="s">
        <v>195</v>
      </c>
      <c r="H2538" s="8" t="s">
        <v>196</v>
      </c>
      <c r="I2538" s="8" t="s">
        <v>8143</v>
      </c>
      <c r="J2538" s="8" t="s">
        <v>8144</v>
      </c>
    </row>
    <row r="2539">
      <c r="A2539" s="7">
        <v>2.0050119E7</v>
      </c>
      <c r="B2539" s="8" t="s">
        <v>3445</v>
      </c>
      <c r="C2539" s="8" t="s">
        <v>8145</v>
      </c>
      <c r="D2539" s="8" t="s">
        <v>16</v>
      </c>
      <c r="E2539" s="8" t="s">
        <v>17</v>
      </c>
      <c r="F2539" s="9">
        <v>46103.0</v>
      </c>
      <c r="G2539" s="8" t="s">
        <v>34</v>
      </c>
      <c r="H2539" s="8" t="s">
        <v>35</v>
      </c>
      <c r="I2539" s="8" t="s">
        <v>8146</v>
      </c>
      <c r="J2539" s="8" t="s">
        <v>8147</v>
      </c>
    </row>
    <row r="2540">
      <c r="A2540" s="7">
        <v>2.0045677E7</v>
      </c>
      <c r="B2540" s="8" t="s">
        <v>3445</v>
      </c>
      <c r="C2540" s="8" t="s">
        <v>8148</v>
      </c>
      <c r="D2540" s="8" t="s">
        <v>16</v>
      </c>
      <c r="E2540" s="8" t="s">
        <v>17</v>
      </c>
      <c r="F2540" s="9">
        <v>46094.0</v>
      </c>
      <c r="G2540" s="8" t="s">
        <v>91</v>
      </c>
      <c r="H2540" s="8" t="s">
        <v>92</v>
      </c>
      <c r="I2540" s="8" t="s">
        <v>8149</v>
      </c>
      <c r="J2540" s="8" t="s">
        <v>8150</v>
      </c>
    </row>
    <row r="2541">
      <c r="A2541" s="7">
        <v>2.0043511E7</v>
      </c>
      <c r="B2541" s="8" t="s">
        <v>3445</v>
      </c>
      <c r="C2541" s="8" t="s">
        <v>8151</v>
      </c>
      <c r="D2541" s="8" t="s">
        <v>16</v>
      </c>
      <c r="E2541" s="8" t="s">
        <v>17</v>
      </c>
      <c r="F2541" s="9">
        <v>46078.0</v>
      </c>
      <c r="G2541" s="8" t="s">
        <v>971</v>
      </c>
      <c r="H2541" s="8" t="s">
        <v>972</v>
      </c>
      <c r="I2541" s="8" t="s">
        <v>8152</v>
      </c>
      <c r="J2541" s="8" t="s">
        <v>8153</v>
      </c>
    </row>
    <row r="2542">
      <c r="A2542" s="7">
        <v>2.004161E7</v>
      </c>
      <c r="B2542" s="8" t="s">
        <v>3445</v>
      </c>
      <c r="C2542" s="8" t="s">
        <v>8154</v>
      </c>
      <c r="D2542" s="8" t="s">
        <v>16</v>
      </c>
      <c r="E2542" s="8" t="s">
        <v>48</v>
      </c>
      <c r="F2542" s="9">
        <v>46074.0</v>
      </c>
      <c r="G2542" s="8" t="s">
        <v>352</v>
      </c>
      <c r="H2542" s="8" t="s">
        <v>353</v>
      </c>
      <c r="I2542" s="8" t="s">
        <v>8155</v>
      </c>
      <c r="J2542" s="8"/>
    </row>
    <row r="2543">
      <c r="A2543" s="7">
        <v>2.0039161E7</v>
      </c>
      <c r="B2543" s="8" t="s">
        <v>3445</v>
      </c>
      <c r="C2543" s="8" t="s">
        <v>8156</v>
      </c>
      <c r="D2543" s="8" t="s">
        <v>16</v>
      </c>
      <c r="E2543" s="8" t="s">
        <v>48</v>
      </c>
      <c r="F2543" s="9">
        <v>46073.0</v>
      </c>
      <c r="G2543" s="8" t="s">
        <v>873</v>
      </c>
      <c r="H2543" s="8" t="s">
        <v>874</v>
      </c>
      <c r="I2543" s="8" t="s">
        <v>8157</v>
      </c>
      <c r="J2543" s="8"/>
    </row>
    <row r="2544">
      <c r="A2544" s="7">
        <v>2.0038435E7</v>
      </c>
      <c r="B2544" s="8" t="s">
        <v>3445</v>
      </c>
      <c r="C2544" s="8" t="s">
        <v>8158</v>
      </c>
      <c r="D2544" s="8" t="s">
        <v>16</v>
      </c>
      <c r="E2544" s="8" t="s">
        <v>17</v>
      </c>
      <c r="F2544" s="9">
        <v>46060.0</v>
      </c>
      <c r="G2544" s="8" t="s">
        <v>882</v>
      </c>
      <c r="H2544" s="8" t="s">
        <v>883</v>
      </c>
      <c r="I2544" s="8" t="s">
        <v>8159</v>
      </c>
      <c r="J2544" s="8" t="s">
        <v>8160</v>
      </c>
    </row>
    <row r="2545">
      <c r="A2545" s="7">
        <v>2.0035499E7</v>
      </c>
      <c r="B2545" s="8" t="s">
        <v>3445</v>
      </c>
      <c r="C2545" s="8" t="s">
        <v>8161</v>
      </c>
      <c r="D2545" s="8" t="s">
        <v>16</v>
      </c>
      <c r="E2545" s="8" t="s">
        <v>17</v>
      </c>
      <c r="F2545" s="9">
        <v>46060.0</v>
      </c>
      <c r="G2545" s="8" t="s">
        <v>54</v>
      </c>
      <c r="H2545" s="8" t="s">
        <v>55</v>
      </c>
      <c r="I2545" s="8" t="s">
        <v>8162</v>
      </c>
      <c r="J2545" s="8" t="s">
        <v>8163</v>
      </c>
    </row>
    <row r="2546">
      <c r="A2546" s="7">
        <v>2.0037664E7</v>
      </c>
      <c r="B2546" s="8" t="s">
        <v>3445</v>
      </c>
      <c r="C2546" s="8" t="s">
        <v>8164</v>
      </c>
      <c r="D2546" s="8" t="s">
        <v>16</v>
      </c>
      <c r="E2546" s="8" t="s">
        <v>17</v>
      </c>
      <c r="F2546" s="9">
        <v>46067.0</v>
      </c>
      <c r="G2546" s="8" t="s">
        <v>59</v>
      </c>
      <c r="H2546" s="8" t="s">
        <v>60</v>
      </c>
      <c r="I2546" s="8" t="s">
        <v>8165</v>
      </c>
      <c r="J2546" s="8" t="s">
        <v>8166</v>
      </c>
    </row>
    <row r="2547">
      <c r="A2547" s="7">
        <v>2.0036358E7</v>
      </c>
      <c r="B2547" s="8" t="s">
        <v>3445</v>
      </c>
      <c r="C2547" s="8" t="s">
        <v>8167</v>
      </c>
      <c r="D2547" s="8" t="s">
        <v>16</v>
      </c>
      <c r="E2547" s="8" t="s">
        <v>17</v>
      </c>
      <c r="F2547" s="9">
        <v>46053.0</v>
      </c>
      <c r="G2547" s="8" t="s">
        <v>91</v>
      </c>
      <c r="H2547" s="8" t="s">
        <v>92</v>
      </c>
      <c r="I2547" s="8" t="s">
        <v>8168</v>
      </c>
      <c r="J2547" s="8" t="s">
        <v>8169</v>
      </c>
    </row>
    <row r="2548">
      <c r="A2548" s="7">
        <v>2.0032137E7</v>
      </c>
      <c r="B2548" s="8" t="s">
        <v>3445</v>
      </c>
      <c r="C2548" s="8" t="s">
        <v>8170</v>
      </c>
      <c r="D2548" s="8" t="s">
        <v>16</v>
      </c>
      <c r="E2548" s="8" t="s">
        <v>17</v>
      </c>
      <c r="F2548" s="9">
        <v>46037.0</v>
      </c>
      <c r="G2548" s="8" t="s">
        <v>195</v>
      </c>
      <c r="H2548" s="8" t="s">
        <v>196</v>
      </c>
      <c r="I2548" s="8" t="s">
        <v>8171</v>
      </c>
      <c r="J2548" s="8" t="s">
        <v>8172</v>
      </c>
    </row>
    <row r="2549">
      <c r="A2549" s="7">
        <v>2.0069737E7</v>
      </c>
      <c r="B2549" s="8" t="s">
        <v>3445</v>
      </c>
      <c r="C2549" s="8" t="s">
        <v>8173</v>
      </c>
      <c r="D2549" s="8" t="s">
        <v>16</v>
      </c>
      <c r="E2549" s="8" t="s">
        <v>17</v>
      </c>
      <c r="F2549" s="9">
        <v>46191.0</v>
      </c>
      <c r="G2549" s="8" t="s">
        <v>59</v>
      </c>
      <c r="H2549" s="8" t="s">
        <v>60</v>
      </c>
      <c r="I2549" s="8" t="s">
        <v>8174</v>
      </c>
      <c r="J2549" s="8" t="s">
        <v>8175</v>
      </c>
    </row>
    <row r="2550">
      <c r="A2550" s="7">
        <v>2.0066905E7</v>
      </c>
      <c r="B2550" s="8" t="s">
        <v>3445</v>
      </c>
      <c r="C2550" s="8" t="s">
        <v>8176</v>
      </c>
      <c r="D2550" s="8" t="s">
        <v>16</v>
      </c>
      <c r="E2550" s="8" t="s">
        <v>17</v>
      </c>
      <c r="F2550" s="9">
        <v>46184.0</v>
      </c>
      <c r="G2550" s="8" t="s">
        <v>5046</v>
      </c>
      <c r="H2550" s="8" t="s">
        <v>5047</v>
      </c>
      <c r="I2550" s="8" t="s">
        <v>8177</v>
      </c>
      <c r="J2550" s="8" t="s">
        <v>8178</v>
      </c>
    </row>
    <row r="2551">
      <c r="A2551" s="7">
        <v>2.0063478E7</v>
      </c>
      <c r="B2551" s="8" t="s">
        <v>3445</v>
      </c>
      <c r="C2551" s="8" t="s">
        <v>8179</v>
      </c>
      <c r="D2551" s="8" t="s">
        <v>16</v>
      </c>
      <c r="E2551" s="8" t="s">
        <v>17</v>
      </c>
      <c r="F2551" s="9">
        <v>46165.0</v>
      </c>
      <c r="G2551" s="8" t="s">
        <v>59</v>
      </c>
      <c r="H2551" s="8" t="s">
        <v>60</v>
      </c>
      <c r="I2551" s="8" t="s">
        <v>8180</v>
      </c>
      <c r="J2551" s="8" t="s">
        <v>8181</v>
      </c>
    </row>
    <row r="2552">
      <c r="A2552" s="7">
        <v>2.00619E7</v>
      </c>
      <c r="B2552" s="8" t="s">
        <v>3445</v>
      </c>
      <c r="C2552" s="8" t="s">
        <v>8182</v>
      </c>
      <c r="D2552" s="8" t="s">
        <v>2136</v>
      </c>
      <c r="E2552" s="8" t="s">
        <v>17</v>
      </c>
      <c r="F2552" s="9">
        <v>46148.0</v>
      </c>
      <c r="G2552" s="8" t="s">
        <v>59</v>
      </c>
      <c r="H2552" s="8" t="s">
        <v>60</v>
      </c>
      <c r="I2552" s="8" t="s">
        <v>8183</v>
      </c>
      <c r="J2552" s="8" t="s">
        <v>8184</v>
      </c>
    </row>
    <row r="2553">
      <c r="A2553" s="7">
        <v>2.0056214E7</v>
      </c>
      <c r="B2553" s="8" t="s">
        <v>3445</v>
      </c>
      <c r="C2553" s="8" t="s">
        <v>8185</v>
      </c>
      <c r="D2553" s="8" t="s">
        <v>2136</v>
      </c>
      <c r="E2553" s="8" t="s">
        <v>17</v>
      </c>
      <c r="F2553" s="9">
        <v>46148.0</v>
      </c>
      <c r="G2553" s="8" t="s">
        <v>3207</v>
      </c>
      <c r="H2553" s="8" t="s">
        <v>3208</v>
      </c>
      <c r="I2553" s="8" t="s">
        <v>8186</v>
      </c>
      <c r="J2553" s="8" t="s">
        <v>8187</v>
      </c>
    </row>
    <row r="2554">
      <c r="A2554" s="7">
        <v>2.0052471E7</v>
      </c>
      <c r="B2554" s="8" t="s">
        <v>3445</v>
      </c>
      <c r="C2554" s="8" t="s">
        <v>8188</v>
      </c>
      <c r="D2554" s="8" t="s">
        <v>16</v>
      </c>
      <c r="E2554" s="8" t="s">
        <v>17</v>
      </c>
      <c r="F2554" s="9">
        <v>46144.0</v>
      </c>
      <c r="G2554" s="8" t="s">
        <v>59</v>
      </c>
      <c r="H2554" s="8" t="s">
        <v>60</v>
      </c>
      <c r="I2554" s="8" t="s">
        <v>8189</v>
      </c>
      <c r="J2554" s="8" t="s">
        <v>8190</v>
      </c>
    </row>
    <row r="2555">
      <c r="A2555" s="7">
        <v>2.0055001E7</v>
      </c>
      <c r="B2555" s="8" t="s">
        <v>3445</v>
      </c>
      <c r="C2555" s="8" t="s">
        <v>8191</v>
      </c>
      <c r="D2555" s="8" t="s">
        <v>16</v>
      </c>
      <c r="E2555" s="8" t="s">
        <v>17</v>
      </c>
      <c r="F2555" s="9">
        <v>46130.0</v>
      </c>
      <c r="G2555" s="8" t="s">
        <v>59</v>
      </c>
      <c r="H2555" s="8" t="s">
        <v>60</v>
      </c>
      <c r="I2555" s="8" t="s">
        <v>8192</v>
      </c>
      <c r="J2555" s="8" t="s">
        <v>8193</v>
      </c>
    </row>
    <row r="2556">
      <c r="A2556" s="7">
        <v>2.0050868E7</v>
      </c>
      <c r="B2556" s="8" t="s">
        <v>3445</v>
      </c>
      <c r="C2556" s="8" t="s">
        <v>8194</v>
      </c>
      <c r="D2556" s="8" t="s">
        <v>16</v>
      </c>
      <c r="E2556" s="8" t="s">
        <v>17</v>
      </c>
      <c r="F2556" s="9">
        <v>46116.0</v>
      </c>
      <c r="G2556" s="8" t="s">
        <v>59</v>
      </c>
      <c r="H2556" s="8" t="s">
        <v>60</v>
      </c>
      <c r="I2556" s="8" t="s">
        <v>8195</v>
      </c>
      <c r="J2556" s="8" t="s">
        <v>8196</v>
      </c>
    </row>
    <row r="2557">
      <c r="A2557" s="7">
        <v>2.0045531E7</v>
      </c>
      <c r="B2557" s="8" t="s">
        <v>3445</v>
      </c>
      <c r="C2557" s="8" t="s">
        <v>8197</v>
      </c>
      <c r="D2557" s="8" t="s">
        <v>16</v>
      </c>
      <c r="E2557" s="8" t="s">
        <v>17</v>
      </c>
      <c r="F2557" s="9">
        <v>46099.0</v>
      </c>
      <c r="G2557" s="8" t="s">
        <v>826</v>
      </c>
      <c r="H2557" s="8" t="s">
        <v>827</v>
      </c>
      <c r="I2557" s="8" t="s">
        <v>8198</v>
      </c>
      <c r="J2557" s="8" t="s">
        <v>8199</v>
      </c>
    </row>
    <row r="2558">
      <c r="A2558" s="7">
        <v>2.0044304E7</v>
      </c>
      <c r="B2558" s="8" t="s">
        <v>3445</v>
      </c>
      <c r="C2558" s="8" t="s">
        <v>8200</v>
      </c>
      <c r="D2558" s="8" t="s">
        <v>16</v>
      </c>
      <c r="E2558" s="8" t="s">
        <v>17</v>
      </c>
      <c r="F2558" s="9">
        <v>46082.0</v>
      </c>
      <c r="G2558" s="8" t="s">
        <v>1319</v>
      </c>
      <c r="H2558" s="8" t="s">
        <v>1320</v>
      </c>
      <c r="I2558" s="8" t="s">
        <v>8201</v>
      </c>
      <c r="J2558" s="8" t="s">
        <v>8202</v>
      </c>
    </row>
    <row r="2559">
      <c r="A2559" s="7">
        <v>2.004157E7</v>
      </c>
      <c r="B2559" s="8" t="s">
        <v>3445</v>
      </c>
      <c r="C2559" s="8" t="s">
        <v>8203</v>
      </c>
      <c r="D2559" s="8" t="s">
        <v>16</v>
      </c>
      <c r="E2559" s="8" t="s">
        <v>17</v>
      </c>
      <c r="F2559" s="9">
        <v>46081.0</v>
      </c>
      <c r="G2559" s="8" t="s">
        <v>5472</v>
      </c>
      <c r="H2559" s="8" t="s">
        <v>3410</v>
      </c>
      <c r="I2559" s="8" t="s">
        <v>8204</v>
      </c>
      <c r="J2559" s="8" t="s">
        <v>8205</v>
      </c>
    </row>
    <row r="2560">
      <c r="A2560" s="7">
        <v>2.0041447E7</v>
      </c>
      <c r="B2560" s="8" t="s">
        <v>3445</v>
      </c>
      <c r="C2560" s="8" t="s">
        <v>8206</v>
      </c>
      <c r="D2560" s="8" t="s">
        <v>16</v>
      </c>
      <c r="E2560" s="8" t="s">
        <v>17</v>
      </c>
      <c r="F2560" s="9">
        <v>46073.0</v>
      </c>
      <c r="G2560" s="8" t="s">
        <v>34</v>
      </c>
      <c r="H2560" s="8" t="s">
        <v>35</v>
      </c>
      <c r="I2560" s="8" t="s">
        <v>8207</v>
      </c>
      <c r="J2560" s="8" t="s">
        <v>8208</v>
      </c>
    </row>
    <row r="2561">
      <c r="A2561" s="7">
        <v>2.0040615E7</v>
      </c>
      <c r="B2561" s="8" t="s">
        <v>3445</v>
      </c>
      <c r="C2561" s="8" t="s">
        <v>8209</v>
      </c>
      <c r="D2561" s="8" t="s">
        <v>16</v>
      </c>
      <c r="E2561" s="8" t="s">
        <v>17</v>
      </c>
      <c r="F2561" s="9">
        <v>46075.0</v>
      </c>
      <c r="G2561" s="8" t="s">
        <v>2339</v>
      </c>
      <c r="H2561" s="8" t="s">
        <v>2340</v>
      </c>
      <c r="I2561" s="8" t="s">
        <v>8210</v>
      </c>
      <c r="J2561" s="8" t="s">
        <v>8211</v>
      </c>
    </row>
    <row r="2562">
      <c r="A2562" s="7">
        <v>2.0040338E7</v>
      </c>
      <c r="B2562" s="8" t="s">
        <v>3445</v>
      </c>
      <c r="C2562" s="8" t="s">
        <v>8212</v>
      </c>
      <c r="D2562" s="8" t="s">
        <v>16</v>
      </c>
      <c r="E2562" s="8" t="s">
        <v>17</v>
      </c>
      <c r="F2562" s="9">
        <v>46076.0</v>
      </c>
      <c r="G2562" s="8" t="s">
        <v>148</v>
      </c>
      <c r="H2562" s="8" t="s">
        <v>149</v>
      </c>
      <c r="I2562" s="8" t="s">
        <v>8213</v>
      </c>
      <c r="J2562" s="8" t="s">
        <v>8214</v>
      </c>
    </row>
    <row r="2563">
      <c r="A2563" s="7">
        <v>2.0036264E7</v>
      </c>
      <c r="B2563" s="8" t="s">
        <v>3445</v>
      </c>
      <c r="C2563" s="8" t="s">
        <v>8215</v>
      </c>
      <c r="D2563" s="8" t="s">
        <v>16</v>
      </c>
      <c r="E2563" s="8" t="s">
        <v>17</v>
      </c>
      <c r="F2563" s="9">
        <v>46064.0</v>
      </c>
      <c r="G2563" s="8" t="s">
        <v>5590</v>
      </c>
      <c r="H2563" s="8" t="s">
        <v>2062</v>
      </c>
      <c r="I2563" s="8" t="s">
        <v>8216</v>
      </c>
      <c r="J2563" s="8" t="s">
        <v>8217</v>
      </c>
    </row>
    <row r="2564">
      <c r="A2564" s="7">
        <v>2.0036703E7</v>
      </c>
      <c r="B2564" s="8" t="s">
        <v>3445</v>
      </c>
      <c r="C2564" s="8" t="s">
        <v>8218</v>
      </c>
      <c r="D2564" s="8" t="s">
        <v>16</v>
      </c>
      <c r="E2564" s="8" t="s">
        <v>17</v>
      </c>
      <c r="F2564" s="9">
        <v>46053.0</v>
      </c>
      <c r="G2564" s="8" t="s">
        <v>91</v>
      </c>
      <c r="H2564" s="8" t="s">
        <v>92</v>
      </c>
      <c r="I2564" s="8" t="s">
        <v>8219</v>
      </c>
      <c r="J2564" s="8" t="s">
        <v>8220</v>
      </c>
    </row>
    <row r="2565">
      <c r="A2565" s="7">
        <v>2.0034173E7</v>
      </c>
      <c r="B2565" s="8" t="s">
        <v>3445</v>
      </c>
      <c r="C2565" s="8" t="s">
        <v>8221</v>
      </c>
      <c r="D2565" s="8" t="s">
        <v>16</v>
      </c>
      <c r="E2565" s="8" t="s">
        <v>17</v>
      </c>
      <c r="F2565" s="9">
        <v>46052.0</v>
      </c>
      <c r="G2565" s="8" t="s">
        <v>6778</v>
      </c>
      <c r="H2565" s="8" t="s">
        <v>6779</v>
      </c>
      <c r="I2565" s="8" t="s">
        <v>8222</v>
      </c>
      <c r="J2565" s="8" t="s">
        <v>8223</v>
      </c>
    </row>
    <row r="2566">
      <c r="A2566" s="7">
        <v>2.0070067E7</v>
      </c>
      <c r="B2566" s="8" t="s">
        <v>3445</v>
      </c>
      <c r="C2566" s="8" t="s">
        <v>8224</v>
      </c>
      <c r="D2566" s="8" t="s">
        <v>16</v>
      </c>
      <c r="E2566" s="8" t="s">
        <v>17</v>
      </c>
      <c r="F2566" s="9">
        <v>46190.0</v>
      </c>
      <c r="G2566" s="8" t="s">
        <v>91</v>
      </c>
      <c r="H2566" s="8" t="s">
        <v>92</v>
      </c>
      <c r="I2566" s="8" t="s">
        <v>8225</v>
      </c>
      <c r="J2566" s="8"/>
    </row>
    <row r="2567">
      <c r="A2567" s="7">
        <v>2.0067003E7</v>
      </c>
      <c r="B2567" s="8" t="s">
        <v>3445</v>
      </c>
      <c r="C2567" s="8" t="s">
        <v>8226</v>
      </c>
      <c r="D2567" s="8" t="s">
        <v>16</v>
      </c>
      <c r="E2567" s="8" t="s">
        <v>17</v>
      </c>
      <c r="F2567" s="9">
        <v>46187.0</v>
      </c>
      <c r="G2567" s="8" t="s">
        <v>385</v>
      </c>
      <c r="H2567" s="8" t="s">
        <v>386</v>
      </c>
      <c r="I2567" s="8" t="s">
        <v>8227</v>
      </c>
      <c r="J2567" s="8" t="s">
        <v>8228</v>
      </c>
    </row>
    <row r="2568">
      <c r="A2568" s="7">
        <v>2.0063034E7</v>
      </c>
      <c r="B2568" s="8" t="s">
        <v>3445</v>
      </c>
      <c r="C2568" s="8" t="s">
        <v>8229</v>
      </c>
      <c r="D2568" s="8" t="s">
        <v>16</v>
      </c>
      <c r="E2568" s="8" t="s">
        <v>17</v>
      </c>
      <c r="F2568" s="9">
        <v>46186.0</v>
      </c>
      <c r="G2568" s="8" t="s">
        <v>8230</v>
      </c>
      <c r="H2568" s="8" t="s">
        <v>8231</v>
      </c>
      <c r="I2568" s="8" t="s">
        <v>8232</v>
      </c>
      <c r="J2568" s="8" t="s">
        <v>8233</v>
      </c>
    </row>
    <row r="2569">
      <c r="A2569" s="7">
        <v>2.0062796E7</v>
      </c>
      <c r="B2569" s="8" t="s">
        <v>3445</v>
      </c>
      <c r="C2569" s="8" t="s">
        <v>8234</v>
      </c>
      <c r="D2569" s="8" t="s">
        <v>16</v>
      </c>
      <c r="E2569" s="8" t="s">
        <v>17</v>
      </c>
      <c r="F2569" s="9">
        <v>46162.0</v>
      </c>
      <c r="G2569" s="8" t="s">
        <v>29</v>
      </c>
      <c r="H2569" s="8" t="s">
        <v>30</v>
      </c>
      <c r="I2569" s="8" t="s">
        <v>8235</v>
      </c>
      <c r="J2569" s="8" t="s">
        <v>8236</v>
      </c>
    </row>
    <row r="2570">
      <c r="A2570" s="7">
        <v>2.0061992E7</v>
      </c>
      <c r="B2570" s="8" t="s">
        <v>3445</v>
      </c>
      <c r="C2570" s="8" t="s">
        <v>8237</v>
      </c>
      <c r="D2570" s="8" t="s">
        <v>16</v>
      </c>
      <c r="E2570" s="8" t="s">
        <v>17</v>
      </c>
      <c r="F2570" s="9">
        <v>46158.0</v>
      </c>
      <c r="G2570" s="8" t="s">
        <v>59</v>
      </c>
      <c r="H2570" s="8" t="s">
        <v>60</v>
      </c>
      <c r="I2570" s="8" t="s">
        <v>8238</v>
      </c>
      <c r="J2570" s="8" t="s">
        <v>8239</v>
      </c>
    </row>
    <row r="2571">
      <c r="A2571" s="7">
        <v>2.0059602E7</v>
      </c>
      <c r="B2571" s="8" t="s">
        <v>3445</v>
      </c>
      <c r="C2571" s="8" t="s">
        <v>8240</v>
      </c>
      <c r="D2571" s="8" t="s">
        <v>16</v>
      </c>
      <c r="E2571" s="8" t="s">
        <v>17</v>
      </c>
      <c r="F2571" s="9">
        <v>46165.0</v>
      </c>
      <c r="G2571" s="8" t="s">
        <v>6072</v>
      </c>
      <c r="H2571" s="8" t="s">
        <v>6073</v>
      </c>
      <c r="I2571" s="8" t="s">
        <v>8241</v>
      </c>
      <c r="J2571" s="8" t="s">
        <v>8242</v>
      </c>
    </row>
    <row r="2572">
      <c r="A2572" s="7">
        <v>2.0060726E7</v>
      </c>
      <c r="B2572" s="8" t="s">
        <v>3445</v>
      </c>
      <c r="C2572" s="8" t="s">
        <v>8243</v>
      </c>
      <c r="D2572" s="8" t="s">
        <v>2136</v>
      </c>
      <c r="E2572" s="8" t="s">
        <v>17</v>
      </c>
      <c r="F2572" s="9">
        <v>46143.0</v>
      </c>
      <c r="G2572" s="8" t="s">
        <v>59</v>
      </c>
      <c r="H2572" s="8" t="s">
        <v>60</v>
      </c>
      <c r="I2572" s="8" t="s">
        <v>8244</v>
      </c>
      <c r="J2572" s="8" t="s">
        <v>8245</v>
      </c>
    </row>
    <row r="2573">
      <c r="A2573" s="7">
        <v>2.0058698E7</v>
      </c>
      <c r="B2573" s="8" t="s">
        <v>3445</v>
      </c>
      <c r="C2573" s="8" t="s">
        <v>8246</v>
      </c>
      <c r="D2573" s="8" t="s">
        <v>16</v>
      </c>
      <c r="E2573" s="8" t="s">
        <v>17</v>
      </c>
      <c r="F2573" s="9">
        <v>46140.0</v>
      </c>
      <c r="G2573" s="8" t="s">
        <v>1132</v>
      </c>
      <c r="H2573" s="8" t="s">
        <v>1133</v>
      </c>
      <c r="I2573" s="8" t="s">
        <v>8247</v>
      </c>
      <c r="J2573" s="8" t="s">
        <v>8248</v>
      </c>
    </row>
    <row r="2574">
      <c r="A2574" s="7">
        <v>2.0056925E7</v>
      </c>
      <c r="B2574" s="8" t="s">
        <v>3445</v>
      </c>
      <c r="C2574" s="8" t="s">
        <v>8249</v>
      </c>
      <c r="D2574" s="8" t="s">
        <v>16</v>
      </c>
      <c r="E2574" s="8" t="s">
        <v>17</v>
      </c>
      <c r="F2574" s="9">
        <v>46142.0</v>
      </c>
      <c r="G2574" s="8" t="s">
        <v>454</v>
      </c>
      <c r="H2574" s="8" t="s">
        <v>455</v>
      </c>
      <c r="I2574" s="8" t="s">
        <v>8250</v>
      </c>
      <c r="J2574" s="8" t="s">
        <v>8251</v>
      </c>
    </row>
    <row r="2575">
      <c r="A2575" s="7">
        <v>2.0056153E7</v>
      </c>
      <c r="B2575" s="8" t="s">
        <v>3445</v>
      </c>
      <c r="C2575" s="8" t="s">
        <v>8252</v>
      </c>
      <c r="D2575" s="8" t="s">
        <v>16</v>
      </c>
      <c r="E2575" s="8" t="s">
        <v>17</v>
      </c>
      <c r="F2575" s="9">
        <v>46142.0</v>
      </c>
      <c r="G2575" s="8" t="s">
        <v>54</v>
      </c>
      <c r="H2575" s="8" t="s">
        <v>6010</v>
      </c>
      <c r="I2575" s="8" t="s">
        <v>8253</v>
      </c>
      <c r="J2575" s="8" t="s">
        <v>8254</v>
      </c>
    </row>
    <row r="2576">
      <c r="A2576" s="7">
        <v>2.0055775E7</v>
      </c>
      <c r="B2576" s="8" t="s">
        <v>3445</v>
      </c>
      <c r="C2576" s="8" t="s">
        <v>8255</v>
      </c>
      <c r="D2576" s="8" t="s">
        <v>16</v>
      </c>
      <c r="E2576" s="8" t="s">
        <v>17</v>
      </c>
      <c r="F2576" s="9">
        <v>46148.0</v>
      </c>
      <c r="G2576" s="8" t="s">
        <v>171</v>
      </c>
      <c r="H2576" s="8" t="s">
        <v>172</v>
      </c>
      <c r="I2576" s="8" t="s">
        <v>8256</v>
      </c>
      <c r="J2576" s="8" t="s">
        <v>8257</v>
      </c>
    </row>
    <row r="2577">
      <c r="A2577" s="7">
        <v>2.0053213E7</v>
      </c>
      <c r="B2577" s="8" t="s">
        <v>3445</v>
      </c>
      <c r="C2577" s="8" t="s">
        <v>8258</v>
      </c>
      <c r="D2577" s="8" t="s">
        <v>16</v>
      </c>
      <c r="E2577" s="8" t="s">
        <v>17</v>
      </c>
      <c r="F2577" s="9">
        <v>46125.0</v>
      </c>
      <c r="G2577" s="8" t="s">
        <v>868</v>
      </c>
      <c r="H2577" s="8" t="s">
        <v>869</v>
      </c>
      <c r="I2577" s="8" t="s">
        <v>8259</v>
      </c>
      <c r="J2577" s="8" t="s">
        <v>8260</v>
      </c>
    </row>
    <row r="2578">
      <c r="A2578" s="7">
        <v>2.0048247E7</v>
      </c>
      <c r="B2578" s="8" t="s">
        <v>3445</v>
      </c>
      <c r="C2578" s="8" t="s">
        <v>8261</v>
      </c>
      <c r="D2578" s="8" t="s">
        <v>16</v>
      </c>
      <c r="E2578" s="8" t="s">
        <v>17</v>
      </c>
      <c r="F2578" s="9">
        <v>46116.0</v>
      </c>
      <c r="G2578" s="8" t="s">
        <v>1045</v>
      </c>
      <c r="H2578" s="8" t="s">
        <v>909</v>
      </c>
      <c r="I2578" s="8" t="s">
        <v>8262</v>
      </c>
      <c r="J2578" s="8" t="s">
        <v>8263</v>
      </c>
    </row>
    <row r="2579">
      <c r="A2579" s="7">
        <v>2.005152E7</v>
      </c>
      <c r="B2579" s="8" t="s">
        <v>3445</v>
      </c>
      <c r="C2579" s="8" t="s">
        <v>8264</v>
      </c>
      <c r="D2579" s="8" t="s">
        <v>16</v>
      </c>
      <c r="E2579" s="8" t="s">
        <v>17</v>
      </c>
      <c r="F2579" s="9">
        <v>46113.0</v>
      </c>
      <c r="G2579" s="8" t="s">
        <v>385</v>
      </c>
      <c r="H2579" s="8" t="s">
        <v>386</v>
      </c>
      <c r="I2579" s="8" t="s">
        <v>8265</v>
      </c>
      <c r="J2579" s="8" t="s">
        <v>8266</v>
      </c>
    </row>
    <row r="2580">
      <c r="A2580" s="7">
        <v>2.0046949E7</v>
      </c>
      <c r="B2580" s="8" t="s">
        <v>3445</v>
      </c>
      <c r="C2580" s="8" t="s">
        <v>8267</v>
      </c>
      <c r="D2580" s="8" t="s">
        <v>16</v>
      </c>
      <c r="E2580" s="8" t="s">
        <v>17</v>
      </c>
      <c r="F2580" s="9">
        <v>46100.0</v>
      </c>
      <c r="G2580" s="8" t="s">
        <v>59</v>
      </c>
      <c r="H2580" s="8" t="s">
        <v>60</v>
      </c>
      <c r="I2580" s="8" t="s">
        <v>8268</v>
      </c>
      <c r="J2580" s="8" t="s">
        <v>8269</v>
      </c>
    </row>
    <row r="2581">
      <c r="A2581" s="7">
        <v>2.0047426E7</v>
      </c>
      <c r="B2581" s="8" t="s">
        <v>3445</v>
      </c>
      <c r="C2581" s="8" t="s">
        <v>8270</v>
      </c>
      <c r="D2581" s="8" t="s">
        <v>16</v>
      </c>
      <c r="E2581" s="8" t="s">
        <v>17</v>
      </c>
      <c r="F2581" s="9">
        <v>46106.0</v>
      </c>
      <c r="G2581" s="8" t="s">
        <v>59</v>
      </c>
      <c r="H2581" s="8" t="s">
        <v>60</v>
      </c>
      <c r="I2581" s="8" t="s">
        <v>8271</v>
      </c>
      <c r="J2581" s="8" t="s">
        <v>8272</v>
      </c>
    </row>
    <row r="2582">
      <c r="A2582" s="7">
        <v>2.0037537E7</v>
      </c>
      <c r="B2582" s="8" t="s">
        <v>3445</v>
      </c>
      <c r="C2582" s="8" t="s">
        <v>8273</v>
      </c>
      <c r="D2582" s="8" t="s">
        <v>16</v>
      </c>
      <c r="E2582" s="8" t="s">
        <v>17</v>
      </c>
      <c r="F2582" s="9">
        <v>46100.0</v>
      </c>
      <c r="G2582" s="8" t="s">
        <v>1949</v>
      </c>
      <c r="H2582" s="8" t="s">
        <v>1950</v>
      </c>
      <c r="I2582" s="8" t="s">
        <v>8274</v>
      </c>
      <c r="J2582" s="8" t="s">
        <v>8275</v>
      </c>
    </row>
    <row r="2583">
      <c r="A2583" s="7">
        <v>2.0047406E7</v>
      </c>
      <c r="B2583" s="8" t="s">
        <v>3445</v>
      </c>
      <c r="C2583" s="8" t="s">
        <v>8276</v>
      </c>
      <c r="D2583" s="8" t="s">
        <v>16</v>
      </c>
      <c r="E2583" s="8" t="s">
        <v>17</v>
      </c>
      <c r="F2583" s="9">
        <v>46100.0</v>
      </c>
      <c r="G2583" s="8" t="s">
        <v>91</v>
      </c>
      <c r="H2583" s="8" t="s">
        <v>92</v>
      </c>
      <c r="I2583" s="8" t="s">
        <v>8277</v>
      </c>
      <c r="J2583" s="8" t="s">
        <v>8278</v>
      </c>
    </row>
    <row r="2584">
      <c r="A2584" s="7">
        <v>2.0045106E7</v>
      </c>
      <c r="B2584" s="8" t="s">
        <v>3445</v>
      </c>
      <c r="C2584" s="8" t="s">
        <v>8279</v>
      </c>
      <c r="D2584" s="8" t="s">
        <v>16</v>
      </c>
      <c r="E2584" s="8" t="s">
        <v>17</v>
      </c>
      <c r="F2584" s="9">
        <v>46091.0</v>
      </c>
      <c r="G2584" s="8" t="s">
        <v>8280</v>
      </c>
      <c r="H2584" s="8" t="s">
        <v>8281</v>
      </c>
      <c r="I2584" s="8" t="s">
        <v>8282</v>
      </c>
      <c r="J2584" s="8" t="s">
        <v>8283</v>
      </c>
    </row>
    <row r="2585">
      <c r="A2585" s="7">
        <v>2.0042837E7</v>
      </c>
      <c r="B2585" s="8" t="s">
        <v>3445</v>
      </c>
      <c r="C2585" s="8" t="s">
        <v>8284</v>
      </c>
      <c r="D2585" s="8" t="s">
        <v>16</v>
      </c>
      <c r="E2585" s="8" t="s">
        <v>17</v>
      </c>
      <c r="F2585" s="9">
        <v>46086.0</v>
      </c>
      <c r="G2585" s="8" t="s">
        <v>91</v>
      </c>
      <c r="H2585" s="8" t="s">
        <v>92</v>
      </c>
      <c r="I2585" s="8" t="s">
        <v>8285</v>
      </c>
      <c r="J2585" s="8" t="s">
        <v>8286</v>
      </c>
    </row>
    <row r="2586">
      <c r="A2586" s="7">
        <v>2.0041954E7</v>
      </c>
      <c r="B2586" s="8" t="s">
        <v>3445</v>
      </c>
      <c r="C2586" s="8" t="s">
        <v>8287</v>
      </c>
      <c r="D2586" s="8" t="s">
        <v>16</v>
      </c>
      <c r="E2586" s="8" t="s">
        <v>17</v>
      </c>
      <c r="F2586" s="9">
        <v>46074.0</v>
      </c>
      <c r="G2586" s="8" t="s">
        <v>365</v>
      </c>
      <c r="H2586" s="8" t="s">
        <v>366</v>
      </c>
      <c r="I2586" s="8" t="s">
        <v>8288</v>
      </c>
      <c r="J2586" s="8" t="s">
        <v>8289</v>
      </c>
    </row>
    <row r="2587">
      <c r="A2587" s="7">
        <v>2.0040323E7</v>
      </c>
      <c r="B2587" s="8" t="s">
        <v>3445</v>
      </c>
      <c r="C2587" s="8" t="s">
        <v>8290</v>
      </c>
      <c r="D2587" s="8" t="s">
        <v>16</v>
      </c>
      <c r="E2587" s="8" t="s">
        <v>17</v>
      </c>
      <c r="F2587" s="9">
        <v>46076.0</v>
      </c>
      <c r="G2587" s="8" t="s">
        <v>64</v>
      </c>
      <c r="H2587" s="8" t="s">
        <v>65</v>
      </c>
      <c r="I2587" s="8" t="s">
        <v>8291</v>
      </c>
      <c r="J2587" s="8" t="s">
        <v>8292</v>
      </c>
    </row>
    <row r="2588">
      <c r="A2588" s="7">
        <v>2.0035918E7</v>
      </c>
      <c r="B2588" s="8" t="s">
        <v>3445</v>
      </c>
      <c r="C2588" s="8" t="s">
        <v>8293</v>
      </c>
      <c r="D2588" s="8" t="s">
        <v>16</v>
      </c>
      <c r="E2588" s="8" t="s">
        <v>17</v>
      </c>
      <c r="F2588" s="9">
        <v>46064.0</v>
      </c>
      <c r="G2588" s="8" t="s">
        <v>385</v>
      </c>
      <c r="H2588" s="8" t="s">
        <v>386</v>
      </c>
      <c r="I2588" s="8" t="s">
        <v>8294</v>
      </c>
      <c r="J2588" s="8" t="s">
        <v>8295</v>
      </c>
    </row>
    <row r="2589">
      <c r="A2589" s="7">
        <v>2.0034736E7</v>
      </c>
      <c r="B2589" s="8" t="s">
        <v>3445</v>
      </c>
      <c r="C2589" s="8" t="s">
        <v>8296</v>
      </c>
      <c r="D2589" s="8" t="s">
        <v>16</v>
      </c>
      <c r="E2589" s="8" t="s">
        <v>17</v>
      </c>
      <c r="F2589" s="9">
        <v>46068.0</v>
      </c>
      <c r="G2589" s="8" t="s">
        <v>91</v>
      </c>
      <c r="H2589" s="8" t="s">
        <v>92</v>
      </c>
      <c r="I2589" s="8" t="s">
        <v>8297</v>
      </c>
      <c r="J2589" s="8" t="s">
        <v>8298</v>
      </c>
    </row>
    <row r="2590">
      <c r="A2590" s="7">
        <v>2.0069958E7</v>
      </c>
      <c r="B2590" s="8" t="s">
        <v>3445</v>
      </c>
      <c r="C2590" s="8" t="s">
        <v>8299</v>
      </c>
      <c r="D2590" s="8" t="s">
        <v>16</v>
      </c>
      <c r="E2590" s="8" t="s">
        <v>17</v>
      </c>
      <c r="F2590" s="9">
        <v>46191.0</v>
      </c>
      <c r="G2590" s="8" t="s">
        <v>59</v>
      </c>
      <c r="H2590" s="8" t="s">
        <v>60</v>
      </c>
      <c r="I2590" s="8" t="s">
        <v>8300</v>
      </c>
      <c r="J2590" s="8" t="s">
        <v>8301</v>
      </c>
    </row>
    <row r="2591">
      <c r="A2591" s="7">
        <v>2.0068391E7</v>
      </c>
      <c r="B2591" s="8" t="s">
        <v>3445</v>
      </c>
      <c r="C2591" s="8" t="s">
        <v>8302</v>
      </c>
      <c r="D2591" s="8" t="s">
        <v>16</v>
      </c>
      <c r="E2591" s="8" t="s">
        <v>17</v>
      </c>
      <c r="F2591" s="9">
        <v>46182.0</v>
      </c>
      <c r="G2591" s="8" t="s">
        <v>247</v>
      </c>
      <c r="H2591" s="8" t="s">
        <v>248</v>
      </c>
      <c r="I2591" s="8" t="s">
        <v>8303</v>
      </c>
      <c r="J2591" s="8" t="s">
        <v>8304</v>
      </c>
    </row>
    <row r="2592">
      <c r="A2592" s="7">
        <v>2.0064114E7</v>
      </c>
      <c r="B2592" s="8" t="s">
        <v>3445</v>
      </c>
      <c r="C2592" s="8" t="s">
        <v>8305</v>
      </c>
      <c r="D2592" s="8" t="s">
        <v>16</v>
      </c>
      <c r="E2592" s="8" t="s">
        <v>17</v>
      </c>
      <c r="F2592" s="9">
        <v>46176.0</v>
      </c>
      <c r="G2592" s="8" t="s">
        <v>54</v>
      </c>
      <c r="H2592" s="8" t="s">
        <v>6010</v>
      </c>
      <c r="I2592" s="8" t="s">
        <v>8306</v>
      </c>
      <c r="J2592" s="8" t="s">
        <v>8307</v>
      </c>
    </row>
    <row r="2593">
      <c r="A2593" s="7">
        <v>2.0059874E7</v>
      </c>
      <c r="B2593" s="8" t="s">
        <v>3445</v>
      </c>
      <c r="C2593" s="8" t="s">
        <v>8308</v>
      </c>
      <c r="D2593" s="8" t="s">
        <v>16</v>
      </c>
      <c r="E2593" s="8" t="s">
        <v>17</v>
      </c>
      <c r="F2593" s="9">
        <v>46161.0</v>
      </c>
      <c r="G2593" s="8" t="s">
        <v>59</v>
      </c>
      <c r="H2593" s="8" t="s">
        <v>60</v>
      </c>
      <c r="I2593" s="8" t="s">
        <v>8309</v>
      </c>
      <c r="J2593" s="8" t="s">
        <v>8310</v>
      </c>
    </row>
    <row r="2594">
      <c r="A2594" s="7">
        <v>2.0054396E7</v>
      </c>
      <c r="B2594" s="8" t="s">
        <v>3445</v>
      </c>
      <c r="C2594" s="8" t="s">
        <v>8311</v>
      </c>
      <c r="D2594" s="8" t="s">
        <v>16</v>
      </c>
      <c r="E2594" s="8" t="s">
        <v>17</v>
      </c>
      <c r="F2594" s="9">
        <v>46181.0</v>
      </c>
      <c r="G2594" s="8" t="s">
        <v>59</v>
      </c>
      <c r="H2594" s="8" t="s">
        <v>60</v>
      </c>
      <c r="I2594" s="8" t="s">
        <v>8312</v>
      </c>
      <c r="J2594" s="8" t="s">
        <v>8313</v>
      </c>
    </row>
    <row r="2595">
      <c r="A2595" s="7">
        <v>2.0054396E7</v>
      </c>
      <c r="B2595" s="8" t="s">
        <v>3445</v>
      </c>
      <c r="C2595" s="8" t="s">
        <v>8311</v>
      </c>
      <c r="D2595" s="8" t="s">
        <v>16</v>
      </c>
      <c r="E2595" s="8" t="s">
        <v>17</v>
      </c>
      <c r="F2595" s="9">
        <v>46181.0</v>
      </c>
      <c r="G2595" s="8" t="s">
        <v>59</v>
      </c>
      <c r="H2595" s="8" t="s">
        <v>60</v>
      </c>
      <c r="I2595" s="8" t="s">
        <v>8314</v>
      </c>
      <c r="J2595" s="8" t="s">
        <v>8313</v>
      </c>
    </row>
    <row r="2596">
      <c r="A2596" s="7">
        <v>2.0054396E7</v>
      </c>
      <c r="B2596" s="8" t="s">
        <v>3445</v>
      </c>
      <c r="C2596" s="8" t="s">
        <v>8311</v>
      </c>
      <c r="D2596" s="8" t="s">
        <v>16</v>
      </c>
      <c r="E2596" s="8" t="s">
        <v>17</v>
      </c>
      <c r="F2596" s="9">
        <v>46181.0</v>
      </c>
      <c r="G2596" s="8" t="s">
        <v>124</v>
      </c>
      <c r="H2596" s="8" t="s">
        <v>125</v>
      </c>
      <c r="I2596" s="8" t="s">
        <v>8315</v>
      </c>
      <c r="J2596" s="8" t="s">
        <v>8316</v>
      </c>
    </row>
    <row r="2597">
      <c r="A2597" s="7">
        <v>2.0051661E7</v>
      </c>
      <c r="B2597" s="8" t="s">
        <v>3445</v>
      </c>
      <c r="C2597" s="8" t="s">
        <v>8317</v>
      </c>
      <c r="D2597" s="8" t="s">
        <v>16</v>
      </c>
      <c r="E2597" s="8" t="s">
        <v>17</v>
      </c>
      <c r="F2597" s="9">
        <v>46128.0</v>
      </c>
      <c r="G2597" s="8" t="s">
        <v>59</v>
      </c>
      <c r="H2597" s="8" t="s">
        <v>60</v>
      </c>
      <c r="I2597" s="8" t="s">
        <v>8318</v>
      </c>
      <c r="J2597" s="8" t="s">
        <v>8319</v>
      </c>
    </row>
    <row r="2598">
      <c r="A2598" s="7">
        <v>2.0053501E7</v>
      </c>
      <c r="B2598" s="8" t="s">
        <v>3445</v>
      </c>
      <c r="C2598" s="8" t="s">
        <v>8320</v>
      </c>
      <c r="D2598" s="8" t="s">
        <v>16</v>
      </c>
      <c r="E2598" s="8" t="s">
        <v>17</v>
      </c>
      <c r="F2598" s="9">
        <v>46122.0</v>
      </c>
      <c r="G2598" s="8" t="s">
        <v>826</v>
      </c>
      <c r="H2598" s="8" t="s">
        <v>7633</v>
      </c>
      <c r="I2598" s="8" t="s">
        <v>8321</v>
      </c>
      <c r="J2598" s="8" t="s">
        <v>8322</v>
      </c>
    </row>
    <row r="2599">
      <c r="A2599" s="7">
        <v>2.0053521E7</v>
      </c>
      <c r="B2599" s="8" t="s">
        <v>3445</v>
      </c>
      <c r="C2599" s="8" t="s">
        <v>8323</v>
      </c>
      <c r="D2599" s="8" t="s">
        <v>16</v>
      </c>
      <c r="E2599" s="8" t="s">
        <v>17</v>
      </c>
      <c r="F2599" s="9">
        <v>46119.0</v>
      </c>
      <c r="G2599" s="8" t="s">
        <v>247</v>
      </c>
      <c r="H2599" s="8" t="s">
        <v>248</v>
      </c>
      <c r="I2599" s="8" t="s">
        <v>8324</v>
      </c>
      <c r="J2599" s="8" t="s">
        <v>8325</v>
      </c>
    </row>
    <row r="2600">
      <c r="A2600" s="7">
        <v>2.0052189E7</v>
      </c>
      <c r="B2600" s="8" t="s">
        <v>3445</v>
      </c>
      <c r="C2600" s="8" t="s">
        <v>8326</v>
      </c>
      <c r="D2600" s="8" t="s">
        <v>16</v>
      </c>
      <c r="E2600" s="8" t="s">
        <v>17</v>
      </c>
      <c r="F2600" s="9">
        <v>46116.0</v>
      </c>
      <c r="G2600" s="8" t="s">
        <v>1557</v>
      </c>
      <c r="H2600" s="8" t="s">
        <v>1558</v>
      </c>
      <c r="I2600" s="8" t="s">
        <v>8327</v>
      </c>
      <c r="J2600" s="8" t="s">
        <v>8328</v>
      </c>
    </row>
    <row r="2601">
      <c r="A2601" s="7">
        <v>2.0049849E7</v>
      </c>
      <c r="B2601" s="8" t="s">
        <v>3445</v>
      </c>
      <c r="C2601" s="8" t="s">
        <v>8329</v>
      </c>
      <c r="D2601" s="8" t="s">
        <v>16</v>
      </c>
      <c r="E2601" s="8" t="s">
        <v>17</v>
      </c>
      <c r="F2601" s="9">
        <v>46105.0</v>
      </c>
      <c r="G2601" s="8" t="s">
        <v>882</v>
      </c>
      <c r="H2601" s="8" t="s">
        <v>883</v>
      </c>
      <c r="I2601" s="8" t="s">
        <v>8330</v>
      </c>
      <c r="J2601" s="8" t="s">
        <v>8331</v>
      </c>
    </row>
    <row r="2602">
      <c r="A2602" s="7">
        <v>2.0048494E7</v>
      </c>
      <c r="B2602" s="8" t="s">
        <v>3445</v>
      </c>
      <c r="C2602" s="8" t="s">
        <v>8332</v>
      </c>
      <c r="D2602" s="8" t="s">
        <v>16</v>
      </c>
      <c r="E2602" s="8" t="s">
        <v>17</v>
      </c>
      <c r="F2602" s="9">
        <v>46106.0</v>
      </c>
      <c r="G2602" s="8" t="s">
        <v>8333</v>
      </c>
      <c r="H2602" s="8" t="s">
        <v>8334</v>
      </c>
      <c r="I2602" s="8" t="s">
        <v>8335</v>
      </c>
      <c r="J2602" s="8" t="s">
        <v>8336</v>
      </c>
    </row>
    <row r="2603">
      <c r="A2603" s="7">
        <v>2.0047665E7</v>
      </c>
      <c r="B2603" s="8" t="s">
        <v>3445</v>
      </c>
      <c r="C2603" s="8" t="s">
        <v>8337</v>
      </c>
      <c r="D2603" s="8" t="s">
        <v>16</v>
      </c>
      <c r="E2603" s="8" t="s">
        <v>17</v>
      </c>
      <c r="F2603" s="9">
        <v>46123.0</v>
      </c>
      <c r="G2603" s="8" t="s">
        <v>2666</v>
      </c>
      <c r="H2603" s="8" t="s">
        <v>2667</v>
      </c>
      <c r="I2603" s="8" t="s">
        <v>8338</v>
      </c>
      <c r="J2603" s="8" t="s">
        <v>8339</v>
      </c>
    </row>
    <row r="2604">
      <c r="A2604" s="7">
        <v>2.0047188E7</v>
      </c>
      <c r="B2604" s="8" t="s">
        <v>3445</v>
      </c>
      <c r="C2604" s="8" t="s">
        <v>8340</v>
      </c>
      <c r="D2604" s="8" t="s">
        <v>16</v>
      </c>
      <c r="E2604" s="8" t="s">
        <v>17</v>
      </c>
      <c r="F2604" s="9">
        <v>46090.0</v>
      </c>
      <c r="G2604" s="8" t="s">
        <v>630</v>
      </c>
      <c r="H2604" s="8" t="s">
        <v>631</v>
      </c>
      <c r="I2604" s="8" t="s">
        <v>8341</v>
      </c>
      <c r="J2604" s="8" t="s">
        <v>8342</v>
      </c>
    </row>
    <row r="2605">
      <c r="A2605" s="7">
        <v>2.0043109E7</v>
      </c>
      <c r="B2605" s="8" t="s">
        <v>3445</v>
      </c>
      <c r="C2605" s="8" t="s">
        <v>8343</v>
      </c>
      <c r="D2605" s="8" t="s">
        <v>16</v>
      </c>
      <c r="E2605" s="8" t="s">
        <v>17</v>
      </c>
      <c r="F2605" s="9">
        <v>46070.0</v>
      </c>
      <c r="G2605" s="8" t="s">
        <v>59</v>
      </c>
      <c r="H2605" s="8" t="s">
        <v>60</v>
      </c>
      <c r="I2605" s="8" t="s">
        <v>8344</v>
      </c>
      <c r="J2605" s="8" t="s">
        <v>8345</v>
      </c>
    </row>
    <row r="2606">
      <c r="A2606" s="7">
        <v>2.0039527E7</v>
      </c>
      <c r="B2606" s="8" t="s">
        <v>3445</v>
      </c>
      <c r="C2606" s="8" t="s">
        <v>8346</v>
      </c>
      <c r="D2606" s="8" t="s">
        <v>16</v>
      </c>
      <c r="E2606" s="8" t="s">
        <v>17</v>
      </c>
      <c r="F2606" s="9">
        <v>46083.0</v>
      </c>
      <c r="G2606" s="8" t="s">
        <v>109</v>
      </c>
      <c r="H2606" s="8" t="s">
        <v>110</v>
      </c>
      <c r="I2606" s="8" t="s">
        <v>8347</v>
      </c>
      <c r="J2606" s="8" t="s">
        <v>8348</v>
      </c>
    </row>
    <row r="2607">
      <c r="A2607" s="7">
        <v>2.0039754E7</v>
      </c>
      <c r="B2607" s="8" t="s">
        <v>3445</v>
      </c>
      <c r="C2607" s="8" t="s">
        <v>8349</v>
      </c>
      <c r="D2607" s="8" t="s">
        <v>16</v>
      </c>
      <c r="E2607" s="8" t="s">
        <v>17</v>
      </c>
      <c r="F2607" s="9">
        <v>46065.0</v>
      </c>
      <c r="G2607" s="8" t="s">
        <v>8350</v>
      </c>
      <c r="H2607" s="8" t="s">
        <v>8351</v>
      </c>
      <c r="I2607" s="8" t="s">
        <v>8352</v>
      </c>
      <c r="J2607" s="8" t="s">
        <v>8353</v>
      </c>
    </row>
    <row r="2608">
      <c r="A2608" s="7">
        <v>2.0035545E7</v>
      </c>
      <c r="B2608" s="8" t="s">
        <v>3445</v>
      </c>
      <c r="C2608" s="8" t="s">
        <v>8354</v>
      </c>
      <c r="D2608" s="8" t="s">
        <v>16</v>
      </c>
      <c r="E2608" s="8" t="s">
        <v>17</v>
      </c>
      <c r="F2608" s="9">
        <v>46076.0</v>
      </c>
      <c r="G2608" s="8" t="s">
        <v>171</v>
      </c>
      <c r="H2608" s="8" t="s">
        <v>172</v>
      </c>
      <c r="I2608" s="8" t="s">
        <v>8355</v>
      </c>
      <c r="J2608" s="8" t="s">
        <v>8356</v>
      </c>
    </row>
    <row r="2609">
      <c r="A2609" s="7">
        <v>2.0069542E7</v>
      </c>
      <c r="B2609" s="8" t="s">
        <v>3445</v>
      </c>
      <c r="C2609" s="8" t="s">
        <v>8357</v>
      </c>
      <c r="D2609" s="8" t="s">
        <v>16</v>
      </c>
      <c r="E2609" s="8" t="s">
        <v>17</v>
      </c>
      <c r="F2609" s="9">
        <v>46189.0</v>
      </c>
      <c r="G2609" s="8" t="s">
        <v>846</v>
      </c>
      <c r="H2609" s="8" t="s">
        <v>847</v>
      </c>
      <c r="I2609" s="8" t="s">
        <v>8358</v>
      </c>
      <c r="J2609" s="8" t="s">
        <v>8359</v>
      </c>
    </row>
    <row r="2610">
      <c r="A2610" s="7">
        <v>2.006828E7</v>
      </c>
      <c r="B2610" s="8" t="s">
        <v>3445</v>
      </c>
      <c r="C2610" s="8" t="s">
        <v>8360</v>
      </c>
      <c r="D2610" s="8" t="s">
        <v>16</v>
      </c>
      <c r="E2610" s="8" t="s">
        <v>17</v>
      </c>
      <c r="F2610" s="9">
        <v>46186.0</v>
      </c>
      <c r="G2610" s="8" t="s">
        <v>59</v>
      </c>
      <c r="H2610" s="8" t="s">
        <v>60</v>
      </c>
      <c r="I2610" s="8" t="s">
        <v>8361</v>
      </c>
      <c r="J2610" s="8"/>
    </row>
    <row r="2611">
      <c r="A2611" s="7">
        <v>2.0045201E7</v>
      </c>
      <c r="B2611" s="8" t="s">
        <v>3445</v>
      </c>
      <c r="C2611" s="8" t="s">
        <v>8362</v>
      </c>
      <c r="D2611" s="8" t="s">
        <v>16</v>
      </c>
      <c r="E2611" s="8" t="s">
        <v>17</v>
      </c>
      <c r="F2611" s="9">
        <v>46178.0</v>
      </c>
      <c r="G2611" s="8" t="s">
        <v>59</v>
      </c>
      <c r="H2611" s="8" t="s">
        <v>60</v>
      </c>
      <c r="I2611" s="8" t="s">
        <v>8363</v>
      </c>
      <c r="J2611" s="8" t="s">
        <v>8364</v>
      </c>
    </row>
    <row r="2612">
      <c r="A2612" s="7">
        <v>2.0064492E7</v>
      </c>
      <c r="B2612" s="8" t="s">
        <v>3445</v>
      </c>
      <c r="C2612" s="8" t="s">
        <v>8365</v>
      </c>
      <c r="D2612" s="8" t="s">
        <v>16</v>
      </c>
      <c r="E2612" s="8" t="s">
        <v>17</v>
      </c>
      <c r="F2612" s="9">
        <v>46164.0</v>
      </c>
      <c r="G2612" s="8" t="s">
        <v>247</v>
      </c>
      <c r="H2612" s="8" t="s">
        <v>248</v>
      </c>
      <c r="I2612" s="8" t="s">
        <v>8366</v>
      </c>
      <c r="J2612" s="8" t="s">
        <v>8367</v>
      </c>
    </row>
    <row r="2613">
      <c r="A2613" s="7">
        <v>2.0064933E7</v>
      </c>
      <c r="B2613" s="8" t="s">
        <v>3445</v>
      </c>
      <c r="C2613" s="8" t="s">
        <v>8368</v>
      </c>
      <c r="D2613" s="8" t="s">
        <v>16</v>
      </c>
      <c r="E2613" s="8" t="s">
        <v>17</v>
      </c>
      <c r="F2613" s="9">
        <v>46182.0</v>
      </c>
      <c r="G2613" s="8" t="s">
        <v>1085</v>
      </c>
      <c r="H2613" s="8" t="s">
        <v>1086</v>
      </c>
      <c r="I2613" s="8" t="s">
        <v>8369</v>
      </c>
      <c r="J2613" s="8" t="s">
        <v>8370</v>
      </c>
    </row>
    <row r="2614">
      <c r="A2614" s="7">
        <v>2.0064315E7</v>
      </c>
      <c r="B2614" s="8" t="s">
        <v>3445</v>
      </c>
      <c r="C2614" s="8" t="s">
        <v>8371</v>
      </c>
      <c r="D2614" s="8" t="s">
        <v>16</v>
      </c>
      <c r="E2614" s="8" t="s">
        <v>17</v>
      </c>
      <c r="F2614" s="9">
        <v>46167.0</v>
      </c>
      <c r="G2614" s="8" t="s">
        <v>385</v>
      </c>
      <c r="H2614" s="8" t="s">
        <v>386</v>
      </c>
      <c r="I2614" s="8" t="s">
        <v>8372</v>
      </c>
      <c r="J2614" s="8" t="s">
        <v>8373</v>
      </c>
    </row>
    <row r="2615">
      <c r="A2615" s="7">
        <v>2.0060576E7</v>
      </c>
      <c r="B2615" s="8" t="s">
        <v>3445</v>
      </c>
      <c r="C2615" s="8" t="s">
        <v>8374</v>
      </c>
      <c r="D2615" s="8" t="s">
        <v>16</v>
      </c>
      <c r="E2615" s="8" t="s">
        <v>17</v>
      </c>
      <c r="F2615" s="9">
        <v>46162.0</v>
      </c>
      <c r="G2615" s="8" t="s">
        <v>1045</v>
      </c>
      <c r="H2615" s="8" t="s">
        <v>909</v>
      </c>
      <c r="I2615" s="8" t="s">
        <v>8375</v>
      </c>
      <c r="J2615" s="8" t="s">
        <v>8376</v>
      </c>
    </row>
    <row r="2616">
      <c r="A2616" s="7">
        <v>2.0061479E7</v>
      </c>
      <c r="B2616" s="8" t="s">
        <v>3445</v>
      </c>
      <c r="C2616" s="8" t="s">
        <v>8377</v>
      </c>
      <c r="D2616" s="8" t="s">
        <v>16</v>
      </c>
      <c r="E2616" s="8" t="s">
        <v>17</v>
      </c>
      <c r="F2616" s="9">
        <v>46178.0</v>
      </c>
      <c r="G2616" s="8" t="s">
        <v>1754</v>
      </c>
      <c r="H2616" s="8" t="s">
        <v>1755</v>
      </c>
      <c r="I2616" s="8" t="s">
        <v>8378</v>
      </c>
      <c r="J2616" s="8" t="s">
        <v>8379</v>
      </c>
    </row>
    <row r="2617">
      <c r="A2617" s="7">
        <v>2.0055245E7</v>
      </c>
      <c r="B2617" s="8" t="s">
        <v>3445</v>
      </c>
      <c r="C2617" s="8" t="s">
        <v>8380</v>
      </c>
      <c r="D2617" s="8" t="s">
        <v>16</v>
      </c>
      <c r="E2617" s="8" t="s">
        <v>17</v>
      </c>
      <c r="F2617" s="9">
        <v>46133.0</v>
      </c>
      <c r="G2617" s="8" t="s">
        <v>59</v>
      </c>
      <c r="H2617" s="8" t="s">
        <v>60</v>
      </c>
      <c r="I2617" s="8" t="s">
        <v>8381</v>
      </c>
      <c r="J2617" s="8" t="s">
        <v>8382</v>
      </c>
    </row>
    <row r="2618">
      <c r="A2618" s="7">
        <v>2.0053291E7</v>
      </c>
      <c r="B2618" s="8" t="s">
        <v>3445</v>
      </c>
      <c r="C2618" s="8" t="s">
        <v>8383</v>
      </c>
      <c r="D2618" s="8" t="s">
        <v>16</v>
      </c>
      <c r="E2618" s="8" t="s">
        <v>17</v>
      </c>
      <c r="F2618" s="9">
        <v>46125.0</v>
      </c>
      <c r="G2618" s="8" t="s">
        <v>2486</v>
      </c>
      <c r="H2618" s="8" t="s">
        <v>2487</v>
      </c>
      <c r="I2618" s="8" t="s">
        <v>8384</v>
      </c>
      <c r="J2618" s="8" t="s">
        <v>8385</v>
      </c>
    </row>
    <row r="2619">
      <c r="A2619" s="7">
        <v>2.0048684E7</v>
      </c>
      <c r="B2619" s="8" t="s">
        <v>3445</v>
      </c>
      <c r="C2619" s="8" t="s">
        <v>8386</v>
      </c>
      <c r="D2619" s="8" t="s">
        <v>16</v>
      </c>
      <c r="E2619" s="8" t="s">
        <v>17</v>
      </c>
      <c r="F2619" s="9">
        <v>46108.0</v>
      </c>
      <c r="G2619" s="8" t="s">
        <v>59</v>
      </c>
      <c r="H2619" s="8" t="s">
        <v>60</v>
      </c>
      <c r="I2619" s="8" t="s">
        <v>8387</v>
      </c>
      <c r="J2619" s="8" t="s">
        <v>8388</v>
      </c>
    </row>
    <row r="2620">
      <c r="A2620" s="7">
        <v>2.0048797E7</v>
      </c>
      <c r="B2620" s="8" t="s">
        <v>3445</v>
      </c>
      <c r="C2620" s="8" t="s">
        <v>8389</v>
      </c>
      <c r="D2620" s="8" t="s">
        <v>16</v>
      </c>
      <c r="E2620" s="8" t="s">
        <v>17</v>
      </c>
      <c r="F2620" s="9">
        <v>46115.0</v>
      </c>
      <c r="G2620" s="8" t="s">
        <v>1524</v>
      </c>
      <c r="H2620" s="8" t="s">
        <v>1525</v>
      </c>
      <c r="I2620" s="8" t="s">
        <v>8390</v>
      </c>
      <c r="J2620" s="8" t="s">
        <v>7676</v>
      </c>
    </row>
    <row r="2621">
      <c r="A2621" s="7">
        <v>2.0048034E7</v>
      </c>
      <c r="B2621" s="8" t="s">
        <v>3445</v>
      </c>
      <c r="C2621" s="8" t="s">
        <v>8391</v>
      </c>
      <c r="D2621" s="8" t="s">
        <v>16</v>
      </c>
      <c r="E2621" s="8" t="s">
        <v>17</v>
      </c>
      <c r="F2621" s="9">
        <v>46148.0</v>
      </c>
      <c r="G2621" s="8" t="s">
        <v>454</v>
      </c>
      <c r="H2621" s="8" t="s">
        <v>455</v>
      </c>
      <c r="I2621" s="8" t="s">
        <v>8392</v>
      </c>
      <c r="J2621" s="8" t="s">
        <v>8393</v>
      </c>
    </row>
    <row r="2622">
      <c r="A2622" s="7">
        <v>2.0048034E7</v>
      </c>
      <c r="B2622" s="8" t="s">
        <v>3445</v>
      </c>
      <c r="C2622" s="8" t="s">
        <v>8391</v>
      </c>
      <c r="D2622" s="8" t="s">
        <v>16</v>
      </c>
      <c r="E2622" s="8" t="s">
        <v>17</v>
      </c>
      <c r="F2622" s="9">
        <v>46148.0</v>
      </c>
      <c r="G2622" s="8" t="s">
        <v>454</v>
      </c>
      <c r="H2622" s="8" t="s">
        <v>455</v>
      </c>
      <c r="I2622" s="8" t="s">
        <v>8394</v>
      </c>
      <c r="J2622" s="8" t="s">
        <v>8393</v>
      </c>
    </row>
    <row r="2623">
      <c r="A2623" s="7">
        <v>2.0046331E7</v>
      </c>
      <c r="B2623" s="8" t="s">
        <v>3445</v>
      </c>
      <c r="C2623" s="8" t="s">
        <v>8395</v>
      </c>
      <c r="D2623" s="8" t="s">
        <v>16</v>
      </c>
      <c r="E2623" s="8" t="s">
        <v>17</v>
      </c>
      <c r="F2623" s="9">
        <v>46097.0</v>
      </c>
      <c r="G2623" s="8" t="s">
        <v>846</v>
      </c>
      <c r="H2623" s="8" t="s">
        <v>847</v>
      </c>
      <c r="I2623" s="8" t="s">
        <v>8396</v>
      </c>
      <c r="J2623" s="8" t="s">
        <v>8397</v>
      </c>
    </row>
    <row r="2624">
      <c r="A2624" s="7">
        <v>2.0046331E7</v>
      </c>
      <c r="B2624" s="8" t="s">
        <v>3445</v>
      </c>
      <c r="C2624" s="8" t="s">
        <v>8395</v>
      </c>
      <c r="D2624" s="8" t="s">
        <v>16</v>
      </c>
      <c r="E2624" s="8" t="s">
        <v>17</v>
      </c>
      <c r="F2624" s="9">
        <v>46097.0</v>
      </c>
      <c r="G2624" s="8" t="s">
        <v>91</v>
      </c>
      <c r="H2624" s="8" t="s">
        <v>92</v>
      </c>
      <c r="I2624" s="8" t="s">
        <v>8398</v>
      </c>
      <c r="J2624" s="8" t="s">
        <v>8399</v>
      </c>
    </row>
    <row r="2625">
      <c r="A2625" s="7">
        <v>2.0037404E7</v>
      </c>
      <c r="B2625" s="8" t="s">
        <v>3445</v>
      </c>
      <c r="C2625" s="8" t="s">
        <v>8400</v>
      </c>
      <c r="D2625" s="8" t="s">
        <v>16</v>
      </c>
      <c r="E2625" s="8" t="s">
        <v>17</v>
      </c>
      <c r="F2625" s="9">
        <v>46079.0</v>
      </c>
      <c r="G2625" s="8" t="s">
        <v>339</v>
      </c>
      <c r="H2625" s="8" t="s">
        <v>340</v>
      </c>
      <c r="I2625" s="8" t="s">
        <v>8401</v>
      </c>
      <c r="J2625" s="8" t="s">
        <v>8402</v>
      </c>
    </row>
    <row r="2626">
      <c r="A2626" s="7">
        <v>2.0044349E7</v>
      </c>
      <c r="B2626" s="8" t="s">
        <v>3445</v>
      </c>
      <c r="C2626" s="8" t="s">
        <v>8403</v>
      </c>
      <c r="D2626" s="8" t="s">
        <v>16</v>
      </c>
      <c r="E2626" s="8" t="s">
        <v>17</v>
      </c>
      <c r="F2626" s="9">
        <v>46080.0</v>
      </c>
      <c r="G2626" s="8" t="s">
        <v>1949</v>
      </c>
      <c r="H2626" s="8" t="s">
        <v>1950</v>
      </c>
      <c r="I2626" s="8" t="s">
        <v>8404</v>
      </c>
      <c r="J2626" s="8" t="s">
        <v>8405</v>
      </c>
    </row>
    <row r="2627">
      <c r="A2627" s="7">
        <v>2.0043779E7</v>
      </c>
      <c r="B2627" s="8" t="s">
        <v>3445</v>
      </c>
      <c r="C2627" s="8" t="s">
        <v>8406</v>
      </c>
      <c r="D2627" s="8" t="s">
        <v>16</v>
      </c>
      <c r="E2627" s="8" t="s">
        <v>48</v>
      </c>
      <c r="F2627" s="9">
        <v>46122.0</v>
      </c>
      <c r="G2627" s="8" t="s">
        <v>2511</v>
      </c>
      <c r="H2627" s="8" t="s">
        <v>2512</v>
      </c>
      <c r="I2627" s="8" t="s">
        <v>8407</v>
      </c>
      <c r="J2627" s="8" t="s">
        <v>8408</v>
      </c>
    </row>
    <row r="2628">
      <c r="A2628" s="7">
        <v>2.0043779E7</v>
      </c>
      <c r="B2628" s="8" t="s">
        <v>3445</v>
      </c>
      <c r="C2628" s="8" t="s">
        <v>8406</v>
      </c>
      <c r="D2628" s="8" t="s">
        <v>16</v>
      </c>
      <c r="E2628" s="8" t="s">
        <v>48</v>
      </c>
      <c r="F2628" s="9">
        <v>46122.0</v>
      </c>
      <c r="G2628" s="8" t="s">
        <v>4850</v>
      </c>
      <c r="H2628" s="8" t="s">
        <v>4851</v>
      </c>
      <c r="I2628" s="8" t="s">
        <v>8409</v>
      </c>
      <c r="J2628" s="8" t="s">
        <v>8410</v>
      </c>
    </row>
    <row r="2629">
      <c r="A2629" s="7">
        <v>2.0038587E7</v>
      </c>
      <c r="B2629" s="8" t="s">
        <v>3445</v>
      </c>
      <c r="C2629" s="8" t="s">
        <v>8411</v>
      </c>
      <c r="D2629" s="8" t="s">
        <v>16</v>
      </c>
      <c r="E2629" s="8" t="s">
        <v>17</v>
      </c>
      <c r="F2629" s="9">
        <v>46071.0</v>
      </c>
      <c r="G2629" s="8" t="s">
        <v>400</v>
      </c>
      <c r="H2629" s="8" t="s">
        <v>401</v>
      </c>
      <c r="I2629" s="8" t="s">
        <v>8412</v>
      </c>
      <c r="J2629" s="8" t="s">
        <v>8413</v>
      </c>
    </row>
    <row r="2630">
      <c r="A2630" s="7">
        <v>2.0037074E7</v>
      </c>
      <c r="B2630" s="8" t="s">
        <v>3445</v>
      </c>
      <c r="C2630" s="8" t="s">
        <v>8414</v>
      </c>
      <c r="D2630" s="8" t="s">
        <v>16</v>
      </c>
      <c r="E2630" s="8" t="s">
        <v>17</v>
      </c>
      <c r="F2630" s="9">
        <v>46067.0</v>
      </c>
      <c r="G2630" s="8" t="s">
        <v>75</v>
      </c>
      <c r="H2630" s="8" t="s">
        <v>76</v>
      </c>
      <c r="I2630" s="8" t="s">
        <v>8415</v>
      </c>
      <c r="J2630" s="8" t="s">
        <v>8416</v>
      </c>
    </row>
    <row r="2631">
      <c r="A2631" s="7">
        <v>2.0037074E7</v>
      </c>
      <c r="B2631" s="8" t="s">
        <v>3445</v>
      </c>
      <c r="C2631" s="8" t="s">
        <v>8414</v>
      </c>
      <c r="D2631" s="8" t="s">
        <v>16</v>
      </c>
      <c r="E2631" s="8" t="s">
        <v>17</v>
      </c>
      <c r="F2631" s="9">
        <v>46067.0</v>
      </c>
      <c r="G2631" s="8" t="s">
        <v>861</v>
      </c>
      <c r="H2631" s="8" t="s">
        <v>862</v>
      </c>
      <c r="I2631" s="8" t="s">
        <v>8417</v>
      </c>
      <c r="J2631" s="8" t="s">
        <v>8418</v>
      </c>
    </row>
    <row r="2632">
      <c r="A2632" s="7">
        <v>2.0033617E7</v>
      </c>
      <c r="B2632" s="8" t="s">
        <v>3445</v>
      </c>
      <c r="C2632" s="8" t="s">
        <v>8419</v>
      </c>
      <c r="D2632" s="8" t="s">
        <v>16</v>
      </c>
      <c r="E2632" s="8" t="s">
        <v>17</v>
      </c>
      <c r="F2632" s="9">
        <v>46067.0</v>
      </c>
      <c r="G2632" s="8" t="s">
        <v>339</v>
      </c>
      <c r="H2632" s="8" t="s">
        <v>340</v>
      </c>
      <c r="I2632" s="8" t="s">
        <v>8420</v>
      </c>
      <c r="J2632" s="8" t="s">
        <v>8421</v>
      </c>
    </row>
    <row r="2633">
      <c r="A2633" s="7">
        <v>2.0033481E7</v>
      </c>
      <c r="B2633" s="8" t="s">
        <v>3445</v>
      </c>
      <c r="C2633" s="8" t="s">
        <v>8422</v>
      </c>
      <c r="D2633" s="8" t="s">
        <v>16</v>
      </c>
      <c r="E2633" s="8" t="s">
        <v>17</v>
      </c>
      <c r="F2633" s="9">
        <v>46044.0</v>
      </c>
      <c r="G2633" s="8" t="s">
        <v>59</v>
      </c>
      <c r="H2633" s="8" t="s">
        <v>60</v>
      </c>
      <c r="I2633" s="8" t="s">
        <v>8423</v>
      </c>
      <c r="J2633" s="8" t="s">
        <v>8424</v>
      </c>
    </row>
    <row r="2634">
      <c r="A2634" s="7">
        <v>2.0068235E7</v>
      </c>
      <c r="B2634" s="8" t="s">
        <v>1723</v>
      </c>
      <c r="C2634" s="8" t="s">
        <v>8425</v>
      </c>
      <c r="D2634" s="8" t="s">
        <v>16</v>
      </c>
      <c r="E2634" s="8" t="s">
        <v>17</v>
      </c>
      <c r="F2634" s="9">
        <v>46179.0</v>
      </c>
      <c r="G2634" s="8" t="s">
        <v>91</v>
      </c>
      <c r="H2634" s="8" t="s">
        <v>92</v>
      </c>
      <c r="I2634" s="8" t="s">
        <v>8426</v>
      </c>
      <c r="J2634" s="8" t="s">
        <v>8427</v>
      </c>
    </row>
    <row r="2635">
      <c r="A2635" s="7">
        <v>2.0064345E7</v>
      </c>
      <c r="B2635" s="8" t="s">
        <v>1723</v>
      </c>
      <c r="C2635" s="8" t="s">
        <v>8428</v>
      </c>
      <c r="D2635" s="8" t="s">
        <v>16</v>
      </c>
      <c r="E2635" s="8" t="s">
        <v>17</v>
      </c>
      <c r="F2635" s="9">
        <v>46184.0</v>
      </c>
      <c r="G2635" s="8" t="s">
        <v>314</v>
      </c>
      <c r="H2635" s="8" t="s">
        <v>315</v>
      </c>
      <c r="I2635" s="8" t="s">
        <v>8429</v>
      </c>
      <c r="J2635" s="8" t="s">
        <v>8430</v>
      </c>
    </row>
    <row r="2636">
      <c r="A2636" s="7">
        <v>2.0063224E7</v>
      </c>
      <c r="B2636" s="8" t="s">
        <v>1723</v>
      </c>
      <c r="C2636" s="8" t="s">
        <v>8431</v>
      </c>
      <c r="D2636" s="8" t="s">
        <v>16</v>
      </c>
      <c r="E2636" s="8" t="s">
        <v>17</v>
      </c>
      <c r="F2636" s="9">
        <v>46162.0</v>
      </c>
      <c r="G2636" s="8" t="s">
        <v>2511</v>
      </c>
      <c r="H2636" s="8" t="s">
        <v>2512</v>
      </c>
      <c r="I2636" s="8" t="s">
        <v>8432</v>
      </c>
      <c r="J2636" s="8"/>
    </row>
    <row r="2637">
      <c r="A2637" s="7">
        <v>2.0057424E7</v>
      </c>
      <c r="B2637" s="8" t="s">
        <v>1723</v>
      </c>
      <c r="C2637" s="8" t="s">
        <v>8433</v>
      </c>
      <c r="D2637" s="8" t="s">
        <v>16</v>
      </c>
      <c r="E2637" s="8" t="s">
        <v>17</v>
      </c>
      <c r="F2637" s="9">
        <v>46139.0</v>
      </c>
      <c r="G2637" s="8" t="s">
        <v>1427</v>
      </c>
      <c r="H2637" s="8" t="s">
        <v>1428</v>
      </c>
      <c r="I2637" s="8" t="s">
        <v>8434</v>
      </c>
      <c r="J2637" s="8"/>
    </row>
    <row r="2638">
      <c r="A2638" s="7">
        <v>2.0052898E7</v>
      </c>
      <c r="B2638" s="8" t="s">
        <v>1723</v>
      </c>
      <c r="C2638" s="8" t="s">
        <v>8435</v>
      </c>
      <c r="D2638" s="8" t="s">
        <v>16</v>
      </c>
      <c r="E2638" s="8" t="s">
        <v>17</v>
      </c>
      <c r="F2638" s="9">
        <v>46109.0</v>
      </c>
      <c r="G2638" s="8" t="s">
        <v>805</v>
      </c>
      <c r="H2638" s="8" t="s">
        <v>806</v>
      </c>
      <c r="I2638" s="8" t="s">
        <v>8436</v>
      </c>
      <c r="J2638" s="8"/>
    </row>
    <row r="2639">
      <c r="A2639" s="7">
        <v>2.0036222E7</v>
      </c>
      <c r="B2639" s="8" t="s">
        <v>1723</v>
      </c>
      <c r="C2639" s="8" t="s">
        <v>8437</v>
      </c>
      <c r="D2639" s="8" t="s">
        <v>16</v>
      </c>
      <c r="E2639" s="8" t="s">
        <v>17</v>
      </c>
      <c r="F2639" s="9">
        <v>46072.0</v>
      </c>
      <c r="G2639" s="8" t="s">
        <v>29</v>
      </c>
      <c r="H2639" s="8" t="s">
        <v>30</v>
      </c>
      <c r="I2639" s="8" t="s">
        <v>8438</v>
      </c>
      <c r="J2639" s="8" t="s">
        <v>8439</v>
      </c>
    </row>
    <row r="2640">
      <c r="A2640" s="7">
        <v>2.0039227E7</v>
      </c>
      <c r="B2640" s="8" t="s">
        <v>1723</v>
      </c>
      <c r="C2640" s="8" t="s">
        <v>8440</v>
      </c>
      <c r="D2640" s="8" t="s">
        <v>16</v>
      </c>
      <c r="E2640" s="8" t="s">
        <v>17</v>
      </c>
      <c r="F2640" s="9">
        <v>46071.0</v>
      </c>
      <c r="G2640" s="8" t="s">
        <v>3291</v>
      </c>
      <c r="H2640" s="8" t="s">
        <v>3292</v>
      </c>
      <c r="I2640" s="8" t="s">
        <v>8441</v>
      </c>
      <c r="J2640" s="8" t="s">
        <v>8442</v>
      </c>
    </row>
    <row r="2641">
      <c r="A2641" s="7">
        <v>2.0036825E7</v>
      </c>
      <c r="B2641" s="8" t="s">
        <v>1723</v>
      </c>
      <c r="C2641" s="8" t="s">
        <v>8443</v>
      </c>
      <c r="D2641" s="8" t="s">
        <v>16</v>
      </c>
      <c r="E2641" s="8" t="s">
        <v>17</v>
      </c>
      <c r="F2641" s="9">
        <v>46055.0</v>
      </c>
      <c r="G2641" s="8" t="s">
        <v>247</v>
      </c>
      <c r="H2641" s="8" t="s">
        <v>248</v>
      </c>
      <c r="I2641" s="8" t="s">
        <v>8444</v>
      </c>
      <c r="J2641" s="8" t="s">
        <v>8445</v>
      </c>
    </row>
    <row r="2642">
      <c r="A2642" s="7">
        <v>2.0011858E7</v>
      </c>
      <c r="B2642" s="8" t="s">
        <v>1723</v>
      </c>
      <c r="C2642" s="8" t="s">
        <v>8446</v>
      </c>
      <c r="D2642" s="8" t="s">
        <v>16</v>
      </c>
      <c r="E2642" s="8" t="s">
        <v>17</v>
      </c>
      <c r="F2642" s="9">
        <v>46045.0</v>
      </c>
      <c r="G2642" s="8" t="s">
        <v>826</v>
      </c>
      <c r="H2642" s="8" t="s">
        <v>827</v>
      </c>
      <c r="I2642" s="8" t="s">
        <v>8447</v>
      </c>
      <c r="J2642" s="8" t="s">
        <v>8448</v>
      </c>
    </row>
    <row r="2643">
      <c r="A2643" s="7">
        <v>2.0068785E7</v>
      </c>
      <c r="B2643" s="8" t="s">
        <v>1723</v>
      </c>
      <c r="C2643" s="8" t="s">
        <v>8449</v>
      </c>
      <c r="D2643" s="8" t="s">
        <v>16</v>
      </c>
      <c r="E2643" s="8" t="s">
        <v>17</v>
      </c>
      <c r="F2643" s="9">
        <v>46193.0</v>
      </c>
      <c r="G2643" s="8" t="s">
        <v>822</v>
      </c>
      <c r="H2643" s="8" t="s">
        <v>3985</v>
      </c>
      <c r="I2643" s="8" t="s">
        <v>8450</v>
      </c>
      <c r="J2643" s="8" t="s">
        <v>8451</v>
      </c>
    </row>
    <row r="2644">
      <c r="A2644" s="7">
        <v>2.0063863E7</v>
      </c>
      <c r="B2644" s="8" t="s">
        <v>1723</v>
      </c>
      <c r="C2644" s="8" t="s">
        <v>8452</v>
      </c>
      <c r="D2644" s="8" t="s">
        <v>16</v>
      </c>
      <c r="E2644" s="8" t="s">
        <v>17</v>
      </c>
      <c r="F2644" s="9">
        <v>46158.0</v>
      </c>
      <c r="G2644" s="8" t="s">
        <v>59</v>
      </c>
      <c r="H2644" s="8" t="s">
        <v>60</v>
      </c>
      <c r="I2644" s="8" t="s">
        <v>8453</v>
      </c>
      <c r="J2644" s="8" t="s">
        <v>8454</v>
      </c>
    </row>
    <row r="2645">
      <c r="A2645" s="7">
        <v>2.0063415E7</v>
      </c>
      <c r="B2645" s="8" t="s">
        <v>1723</v>
      </c>
      <c r="C2645" s="8" t="s">
        <v>8455</v>
      </c>
      <c r="D2645" s="8" t="s">
        <v>16</v>
      </c>
      <c r="E2645" s="8" t="s">
        <v>17</v>
      </c>
      <c r="F2645" s="9">
        <v>46158.0</v>
      </c>
      <c r="G2645" s="8" t="s">
        <v>873</v>
      </c>
      <c r="H2645" s="8" t="s">
        <v>874</v>
      </c>
      <c r="I2645" s="8" t="s">
        <v>8456</v>
      </c>
      <c r="J2645" s="8" t="s">
        <v>8457</v>
      </c>
    </row>
    <row r="2646">
      <c r="A2646" s="7">
        <v>2.0060891E7</v>
      </c>
      <c r="B2646" s="8" t="s">
        <v>1723</v>
      </c>
      <c r="C2646" s="8" t="s">
        <v>8458</v>
      </c>
      <c r="D2646" s="8" t="s">
        <v>16</v>
      </c>
      <c r="E2646" s="8" t="s">
        <v>17</v>
      </c>
      <c r="F2646" s="9">
        <v>46151.0</v>
      </c>
      <c r="G2646" s="8" t="s">
        <v>59</v>
      </c>
      <c r="H2646" s="8" t="s">
        <v>60</v>
      </c>
      <c r="I2646" s="8" t="s">
        <v>8459</v>
      </c>
      <c r="J2646" s="8" t="s">
        <v>8460</v>
      </c>
    </row>
    <row r="2647">
      <c r="A2647" s="7">
        <v>2.0058272E7</v>
      </c>
      <c r="B2647" s="8" t="s">
        <v>1723</v>
      </c>
      <c r="C2647" s="8" t="s">
        <v>8461</v>
      </c>
      <c r="D2647" s="8" t="s">
        <v>16</v>
      </c>
      <c r="E2647" s="8" t="s">
        <v>17</v>
      </c>
      <c r="F2647" s="9">
        <v>46133.0</v>
      </c>
      <c r="G2647" s="8" t="s">
        <v>34</v>
      </c>
      <c r="H2647" s="8" t="s">
        <v>35</v>
      </c>
      <c r="I2647" s="8" t="s">
        <v>8462</v>
      </c>
      <c r="J2647" s="8" t="s">
        <v>8463</v>
      </c>
    </row>
    <row r="2648">
      <c r="A2648" s="7">
        <v>2.0052715E7</v>
      </c>
      <c r="B2648" s="8" t="s">
        <v>1723</v>
      </c>
      <c r="C2648" s="8" t="s">
        <v>8464</v>
      </c>
      <c r="D2648" s="8" t="s">
        <v>16</v>
      </c>
      <c r="E2648" s="8" t="s">
        <v>17</v>
      </c>
      <c r="F2648" s="9">
        <v>46156.0</v>
      </c>
      <c r="G2648" s="8" t="s">
        <v>195</v>
      </c>
      <c r="H2648" s="8" t="s">
        <v>196</v>
      </c>
      <c r="I2648" s="8" t="s">
        <v>8465</v>
      </c>
      <c r="J2648" s="8" t="s">
        <v>8466</v>
      </c>
    </row>
    <row r="2649">
      <c r="A2649" s="7">
        <v>2.0041883E7</v>
      </c>
      <c r="B2649" s="8" t="s">
        <v>1723</v>
      </c>
      <c r="C2649" s="8" t="s">
        <v>8467</v>
      </c>
      <c r="D2649" s="8" t="s">
        <v>16</v>
      </c>
      <c r="E2649" s="8" t="s">
        <v>17</v>
      </c>
      <c r="F2649" s="9">
        <v>46073.0</v>
      </c>
      <c r="G2649" s="8" t="s">
        <v>34</v>
      </c>
      <c r="H2649" s="8" t="s">
        <v>35</v>
      </c>
      <c r="I2649" s="8" t="s">
        <v>8468</v>
      </c>
      <c r="J2649" s="8" t="s">
        <v>8469</v>
      </c>
    </row>
    <row r="2650">
      <c r="A2650" s="7">
        <v>2.0063868E7</v>
      </c>
      <c r="B2650" s="8" t="s">
        <v>1723</v>
      </c>
      <c r="C2650" s="8" t="s">
        <v>8470</v>
      </c>
      <c r="D2650" s="8" t="s">
        <v>16</v>
      </c>
      <c r="E2650" s="8" t="s">
        <v>17</v>
      </c>
      <c r="F2650" s="9">
        <v>46162.0</v>
      </c>
      <c r="G2650" s="8" t="s">
        <v>54</v>
      </c>
      <c r="H2650" s="8" t="s">
        <v>6010</v>
      </c>
      <c r="I2650" s="8" t="s">
        <v>8471</v>
      </c>
      <c r="J2650" s="8" t="s">
        <v>8472</v>
      </c>
    </row>
    <row r="2651">
      <c r="A2651" s="7">
        <v>2.0061499E7</v>
      </c>
      <c r="B2651" s="8" t="s">
        <v>1723</v>
      </c>
      <c r="C2651" s="8" t="s">
        <v>8473</v>
      </c>
      <c r="D2651" s="8" t="s">
        <v>16</v>
      </c>
      <c r="E2651" s="8" t="s">
        <v>17</v>
      </c>
      <c r="F2651" s="9">
        <v>46183.0</v>
      </c>
      <c r="G2651" s="8" t="s">
        <v>410</v>
      </c>
      <c r="H2651" s="8" t="s">
        <v>411</v>
      </c>
      <c r="I2651" s="8" t="s">
        <v>8474</v>
      </c>
      <c r="J2651" s="8" t="s">
        <v>8475</v>
      </c>
    </row>
    <row r="2652">
      <c r="A2652" s="7">
        <v>2.005883E7</v>
      </c>
      <c r="B2652" s="8" t="s">
        <v>1723</v>
      </c>
      <c r="C2652" s="8" t="s">
        <v>8476</v>
      </c>
      <c r="D2652" s="8" t="s">
        <v>16</v>
      </c>
      <c r="E2652" s="8" t="s">
        <v>17</v>
      </c>
      <c r="F2652" s="9">
        <v>46153.0</v>
      </c>
      <c r="G2652" s="8" t="s">
        <v>826</v>
      </c>
      <c r="H2652" s="8" t="s">
        <v>7633</v>
      </c>
      <c r="I2652" s="8" t="s">
        <v>8477</v>
      </c>
      <c r="J2652" s="8" t="s">
        <v>8478</v>
      </c>
    </row>
    <row r="2653">
      <c r="A2653" s="7">
        <v>2.0052719E7</v>
      </c>
      <c r="B2653" s="8" t="s">
        <v>1723</v>
      </c>
      <c r="C2653" s="8" t="s">
        <v>8479</v>
      </c>
      <c r="D2653" s="8" t="s">
        <v>16</v>
      </c>
      <c r="E2653" s="8" t="s">
        <v>17</v>
      </c>
      <c r="F2653" s="9">
        <v>46110.0</v>
      </c>
      <c r="G2653" s="8" t="s">
        <v>59</v>
      </c>
      <c r="H2653" s="8" t="s">
        <v>60</v>
      </c>
      <c r="I2653" s="8" t="s">
        <v>8480</v>
      </c>
      <c r="J2653" s="8" t="s">
        <v>8481</v>
      </c>
    </row>
    <row r="2654">
      <c r="A2654" s="7">
        <v>2.0052005E7</v>
      </c>
      <c r="B2654" s="8" t="s">
        <v>1723</v>
      </c>
      <c r="C2654" s="8" t="s">
        <v>8482</v>
      </c>
      <c r="D2654" s="8" t="s">
        <v>16</v>
      </c>
      <c r="E2654" s="8" t="s">
        <v>17</v>
      </c>
      <c r="F2654" s="9">
        <v>46127.0</v>
      </c>
      <c r="G2654" s="8" t="s">
        <v>390</v>
      </c>
      <c r="H2654" s="8" t="s">
        <v>391</v>
      </c>
      <c r="I2654" s="8" t="s">
        <v>8483</v>
      </c>
      <c r="J2654" s="8"/>
    </row>
    <row r="2655">
      <c r="A2655" s="7">
        <v>2.0048689E7</v>
      </c>
      <c r="B2655" s="8" t="s">
        <v>1723</v>
      </c>
      <c r="C2655" s="8" t="s">
        <v>8484</v>
      </c>
      <c r="D2655" s="8" t="s">
        <v>16</v>
      </c>
      <c r="E2655" s="8" t="s">
        <v>17</v>
      </c>
      <c r="F2655" s="9">
        <v>46107.0</v>
      </c>
      <c r="G2655" s="8" t="s">
        <v>184</v>
      </c>
      <c r="H2655" s="8" t="s">
        <v>185</v>
      </c>
      <c r="I2655" s="8" t="s">
        <v>8485</v>
      </c>
      <c r="J2655" s="8"/>
    </row>
    <row r="2656">
      <c r="A2656" s="7">
        <v>2.0034541E7</v>
      </c>
      <c r="B2656" s="8" t="s">
        <v>1723</v>
      </c>
      <c r="C2656" s="8" t="s">
        <v>8486</v>
      </c>
      <c r="D2656" s="8" t="s">
        <v>16</v>
      </c>
      <c r="E2656" s="8" t="s">
        <v>17</v>
      </c>
      <c r="F2656" s="9">
        <v>46051.0</v>
      </c>
      <c r="G2656" s="8" t="s">
        <v>314</v>
      </c>
      <c r="H2656" s="8" t="s">
        <v>315</v>
      </c>
      <c r="I2656" s="8" t="s">
        <v>8487</v>
      </c>
      <c r="J2656" s="8" t="s">
        <v>8488</v>
      </c>
    </row>
    <row r="2657">
      <c r="A2657" s="7">
        <v>2.0059833E7</v>
      </c>
      <c r="B2657" s="8" t="s">
        <v>1723</v>
      </c>
      <c r="C2657" s="8" t="s">
        <v>8489</v>
      </c>
      <c r="D2657" s="8" t="s">
        <v>16</v>
      </c>
      <c r="E2657" s="8" t="s">
        <v>17</v>
      </c>
      <c r="F2657" s="9">
        <v>46157.0</v>
      </c>
      <c r="G2657" s="8" t="s">
        <v>826</v>
      </c>
      <c r="H2657" s="8" t="s">
        <v>7633</v>
      </c>
      <c r="I2657" s="8" t="s">
        <v>8490</v>
      </c>
      <c r="J2657" s="8" t="s">
        <v>8491</v>
      </c>
    </row>
    <row r="2658">
      <c r="A2658" s="7">
        <v>2.0059833E7</v>
      </c>
      <c r="B2658" s="8" t="s">
        <v>1723</v>
      </c>
      <c r="C2658" s="8" t="s">
        <v>8489</v>
      </c>
      <c r="D2658" s="8" t="s">
        <v>16</v>
      </c>
      <c r="E2658" s="8" t="s">
        <v>17</v>
      </c>
      <c r="F2658" s="9">
        <v>46157.0</v>
      </c>
      <c r="G2658" s="8" t="s">
        <v>3390</v>
      </c>
      <c r="H2658" s="8" t="s">
        <v>8492</v>
      </c>
      <c r="I2658" s="8" t="s">
        <v>8493</v>
      </c>
      <c r="J2658" s="8"/>
    </row>
    <row r="2659">
      <c r="A2659" s="7">
        <v>2.0057676E7</v>
      </c>
      <c r="B2659" s="8" t="s">
        <v>1723</v>
      </c>
      <c r="C2659" s="8" t="s">
        <v>8494</v>
      </c>
      <c r="D2659" s="8" t="s">
        <v>16</v>
      </c>
      <c r="E2659" s="8" t="s">
        <v>17</v>
      </c>
      <c r="F2659" s="9">
        <v>46133.0</v>
      </c>
      <c r="G2659" s="8" t="s">
        <v>852</v>
      </c>
      <c r="H2659" s="8" t="s">
        <v>853</v>
      </c>
      <c r="I2659" s="8" t="s">
        <v>8495</v>
      </c>
      <c r="J2659" s="8" t="s">
        <v>8496</v>
      </c>
    </row>
    <row r="2660">
      <c r="A2660" s="7">
        <v>2.0055905E7</v>
      </c>
      <c r="B2660" s="8" t="s">
        <v>1723</v>
      </c>
      <c r="C2660" s="8" t="s">
        <v>8497</v>
      </c>
      <c r="D2660" s="8" t="s">
        <v>16</v>
      </c>
      <c r="E2660" s="8" t="s">
        <v>17</v>
      </c>
      <c r="F2660" s="9">
        <v>46131.0</v>
      </c>
      <c r="G2660" s="8" t="s">
        <v>59</v>
      </c>
      <c r="H2660" s="8" t="s">
        <v>60</v>
      </c>
      <c r="I2660" s="8" t="s">
        <v>8498</v>
      </c>
      <c r="J2660" s="8" t="s">
        <v>8499</v>
      </c>
    </row>
    <row r="2661">
      <c r="A2661" s="7">
        <v>2.005111E7</v>
      </c>
      <c r="B2661" s="8" t="s">
        <v>1723</v>
      </c>
      <c r="C2661" s="8" t="s">
        <v>8500</v>
      </c>
      <c r="D2661" s="8" t="s">
        <v>16</v>
      </c>
      <c r="E2661" s="8" t="s">
        <v>17</v>
      </c>
      <c r="F2661" s="9">
        <v>46145.0</v>
      </c>
      <c r="G2661" s="8" t="s">
        <v>18</v>
      </c>
      <c r="H2661" s="8" t="s">
        <v>19</v>
      </c>
      <c r="I2661" s="8" t="s">
        <v>8501</v>
      </c>
      <c r="J2661" s="8" t="s">
        <v>8502</v>
      </c>
    </row>
    <row r="2662">
      <c r="A2662" s="7">
        <v>2.0052452E7</v>
      </c>
      <c r="B2662" s="8" t="s">
        <v>1723</v>
      </c>
      <c r="C2662" s="8" t="s">
        <v>8503</v>
      </c>
      <c r="D2662" s="8" t="s">
        <v>16</v>
      </c>
      <c r="E2662" s="8" t="s">
        <v>17</v>
      </c>
      <c r="F2662" s="9">
        <v>46119.0</v>
      </c>
      <c r="G2662" s="8" t="s">
        <v>3572</v>
      </c>
      <c r="H2662" s="8" t="s">
        <v>3573</v>
      </c>
      <c r="I2662" s="8" t="s">
        <v>8504</v>
      </c>
      <c r="J2662" s="8" t="s">
        <v>8505</v>
      </c>
    </row>
    <row r="2663">
      <c r="A2663" s="7">
        <v>2.0052786E7</v>
      </c>
      <c r="B2663" s="8" t="s">
        <v>1723</v>
      </c>
      <c r="C2663" s="8" t="s">
        <v>8506</v>
      </c>
      <c r="D2663" s="8" t="s">
        <v>16</v>
      </c>
      <c r="E2663" s="8" t="s">
        <v>17</v>
      </c>
      <c r="F2663" s="9">
        <v>46132.0</v>
      </c>
      <c r="G2663" s="8" t="s">
        <v>688</v>
      </c>
      <c r="H2663" s="8" t="s">
        <v>689</v>
      </c>
      <c r="I2663" s="8" t="s">
        <v>8507</v>
      </c>
      <c r="J2663" s="8"/>
    </row>
    <row r="2664">
      <c r="A2664" s="7">
        <v>2.0051757E7</v>
      </c>
      <c r="B2664" s="8" t="s">
        <v>1723</v>
      </c>
      <c r="C2664" s="8" t="s">
        <v>8508</v>
      </c>
      <c r="D2664" s="8" t="s">
        <v>16</v>
      </c>
      <c r="E2664" s="8" t="s">
        <v>17</v>
      </c>
      <c r="F2664" s="9">
        <v>46106.0</v>
      </c>
      <c r="G2664" s="8" t="s">
        <v>91</v>
      </c>
      <c r="H2664" s="8" t="s">
        <v>92</v>
      </c>
      <c r="I2664" s="8" t="s">
        <v>8509</v>
      </c>
      <c r="J2664" s="8" t="s">
        <v>8510</v>
      </c>
    </row>
    <row r="2665">
      <c r="A2665" s="7">
        <v>2.006615E7</v>
      </c>
      <c r="B2665" s="8" t="s">
        <v>1723</v>
      </c>
      <c r="C2665" s="8" t="s">
        <v>8511</v>
      </c>
      <c r="D2665" s="8" t="s">
        <v>16</v>
      </c>
      <c r="E2665" s="8" t="s">
        <v>17</v>
      </c>
      <c r="F2665" s="9">
        <v>46192.0</v>
      </c>
      <c r="G2665" s="8" t="s">
        <v>5490</v>
      </c>
      <c r="H2665" s="8" t="s">
        <v>5491</v>
      </c>
      <c r="I2665" s="8" t="s">
        <v>8512</v>
      </c>
      <c r="J2665" s="8"/>
    </row>
    <row r="2666">
      <c r="A2666" s="7">
        <v>2.0052414E7</v>
      </c>
      <c r="B2666" s="8" t="s">
        <v>1723</v>
      </c>
      <c r="C2666" s="8" t="s">
        <v>8513</v>
      </c>
      <c r="D2666" s="8" t="s">
        <v>16</v>
      </c>
      <c r="E2666" s="8" t="s">
        <v>17</v>
      </c>
      <c r="F2666" s="9">
        <v>46137.0</v>
      </c>
      <c r="G2666" s="8" t="s">
        <v>5616</v>
      </c>
      <c r="H2666" s="8" t="s">
        <v>5617</v>
      </c>
      <c r="I2666" s="8" t="s">
        <v>8514</v>
      </c>
      <c r="J2666" s="8" t="s">
        <v>8515</v>
      </c>
    </row>
    <row r="2667">
      <c r="A2667" s="7">
        <v>2.0050823E7</v>
      </c>
      <c r="B2667" s="8" t="s">
        <v>1723</v>
      </c>
      <c r="C2667" s="8" t="s">
        <v>8516</v>
      </c>
      <c r="D2667" s="8" t="s">
        <v>16</v>
      </c>
      <c r="E2667" s="8" t="s">
        <v>17</v>
      </c>
      <c r="F2667" s="9">
        <v>46116.0</v>
      </c>
      <c r="G2667" s="8" t="s">
        <v>3812</v>
      </c>
      <c r="H2667" s="8" t="s">
        <v>3813</v>
      </c>
      <c r="I2667" s="8" t="s">
        <v>8517</v>
      </c>
      <c r="J2667" s="8" t="s">
        <v>8518</v>
      </c>
    </row>
    <row r="2668">
      <c r="A2668" s="7">
        <v>2.0049236E7</v>
      </c>
      <c r="B2668" s="8" t="s">
        <v>1723</v>
      </c>
      <c r="C2668" s="8" t="s">
        <v>8519</v>
      </c>
      <c r="D2668" s="8" t="s">
        <v>16</v>
      </c>
      <c r="E2668" s="8" t="s">
        <v>17</v>
      </c>
      <c r="F2668" s="9">
        <v>46101.0</v>
      </c>
      <c r="G2668" s="8" t="s">
        <v>517</v>
      </c>
      <c r="H2668" s="8" t="s">
        <v>518</v>
      </c>
      <c r="I2668" s="8" t="s">
        <v>8520</v>
      </c>
      <c r="J2668" s="8" t="s">
        <v>8521</v>
      </c>
    </row>
    <row r="2669">
      <c r="A2669" s="7">
        <v>2.0045785E7</v>
      </c>
      <c r="B2669" s="8" t="s">
        <v>1723</v>
      </c>
      <c r="C2669" s="8" t="s">
        <v>8522</v>
      </c>
      <c r="D2669" s="8" t="s">
        <v>16</v>
      </c>
      <c r="E2669" s="8" t="s">
        <v>17</v>
      </c>
      <c r="F2669" s="9">
        <v>46107.0</v>
      </c>
      <c r="G2669" s="8" t="s">
        <v>8523</v>
      </c>
      <c r="H2669" s="8" t="s">
        <v>8524</v>
      </c>
      <c r="I2669" s="8" t="s">
        <v>8525</v>
      </c>
      <c r="J2669" s="8"/>
    </row>
    <row r="2670">
      <c r="A2670" s="7">
        <v>2.0046353E7</v>
      </c>
      <c r="B2670" s="8" t="s">
        <v>1723</v>
      </c>
      <c r="C2670" s="8" t="s">
        <v>8526</v>
      </c>
      <c r="D2670" s="8" t="s">
        <v>16</v>
      </c>
      <c r="E2670" s="8" t="s">
        <v>17</v>
      </c>
      <c r="F2670" s="9">
        <v>46105.0</v>
      </c>
      <c r="G2670" s="8" t="s">
        <v>171</v>
      </c>
      <c r="H2670" s="8" t="s">
        <v>172</v>
      </c>
      <c r="I2670" s="8" t="s">
        <v>8527</v>
      </c>
      <c r="J2670" s="8"/>
    </row>
    <row r="2671">
      <c r="A2671" s="7">
        <v>2.0043912E7</v>
      </c>
      <c r="B2671" s="8" t="s">
        <v>1723</v>
      </c>
      <c r="C2671" s="8" t="s">
        <v>8528</v>
      </c>
      <c r="D2671" s="8" t="s">
        <v>16</v>
      </c>
      <c r="E2671" s="8" t="s">
        <v>17</v>
      </c>
      <c r="F2671" s="9">
        <v>46099.0</v>
      </c>
      <c r="G2671" s="8" t="s">
        <v>7527</v>
      </c>
      <c r="H2671" s="8" t="s">
        <v>2969</v>
      </c>
      <c r="I2671" s="8" t="s">
        <v>8529</v>
      </c>
      <c r="J2671" s="8" t="s">
        <v>8530</v>
      </c>
    </row>
    <row r="2672">
      <c r="A2672" s="7">
        <v>2.0069363E7</v>
      </c>
      <c r="B2672" s="8" t="s">
        <v>1723</v>
      </c>
      <c r="C2672" s="8" t="s">
        <v>8531</v>
      </c>
      <c r="D2672" s="8" t="s">
        <v>16</v>
      </c>
      <c r="E2672" s="8" t="s">
        <v>17</v>
      </c>
      <c r="F2672" s="9">
        <v>46186.0</v>
      </c>
      <c r="G2672" s="8" t="s">
        <v>34</v>
      </c>
      <c r="H2672" s="8" t="s">
        <v>35</v>
      </c>
      <c r="I2672" s="8" t="s">
        <v>8532</v>
      </c>
      <c r="J2672" s="8" t="s">
        <v>8533</v>
      </c>
    </row>
    <row r="2673">
      <c r="A2673" s="7">
        <v>2.0060666E7</v>
      </c>
      <c r="B2673" s="8" t="s">
        <v>1723</v>
      </c>
      <c r="C2673" s="8" t="s">
        <v>8534</v>
      </c>
      <c r="D2673" s="8" t="s">
        <v>2136</v>
      </c>
      <c r="E2673" s="8" t="s">
        <v>17</v>
      </c>
      <c r="F2673" s="9">
        <v>46144.0</v>
      </c>
      <c r="G2673" s="8" t="s">
        <v>247</v>
      </c>
      <c r="H2673" s="8" t="s">
        <v>248</v>
      </c>
      <c r="I2673" s="8" t="s">
        <v>8535</v>
      </c>
      <c r="J2673" s="8" t="s">
        <v>8536</v>
      </c>
    </row>
    <row r="2674">
      <c r="A2674" s="7">
        <v>2.0055903E7</v>
      </c>
      <c r="B2674" s="8" t="s">
        <v>1723</v>
      </c>
      <c r="C2674" s="8" t="s">
        <v>8537</v>
      </c>
      <c r="D2674" s="8" t="s">
        <v>16</v>
      </c>
      <c r="E2674" s="8" t="s">
        <v>17</v>
      </c>
      <c r="F2674" s="9">
        <v>46142.0</v>
      </c>
      <c r="G2674" s="8" t="s">
        <v>8538</v>
      </c>
      <c r="H2674" s="8" t="s">
        <v>8539</v>
      </c>
      <c r="I2674" s="8" t="s">
        <v>8540</v>
      </c>
      <c r="J2674" s="8"/>
    </row>
    <row r="2675">
      <c r="A2675" s="7">
        <v>2.0048011E7</v>
      </c>
      <c r="B2675" s="8" t="s">
        <v>1723</v>
      </c>
      <c r="C2675" s="8" t="s">
        <v>8541</v>
      </c>
      <c r="D2675" s="8" t="s">
        <v>16</v>
      </c>
      <c r="E2675" s="8" t="s">
        <v>17</v>
      </c>
      <c r="F2675" s="9">
        <v>46128.0</v>
      </c>
      <c r="G2675" s="8" t="s">
        <v>8542</v>
      </c>
      <c r="H2675" s="8" t="s">
        <v>8543</v>
      </c>
      <c r="I2675" s="8" t="s">
        <v>8544</v>
      </c>
      <c r="J2675" s="8"/>
    </row>
    <row r="2676">
      <c r="A2676" s="7">
        <v>2.0050613E7</v>
      </c>
      <c r="B2676" s="8" t="s">
        <v>1723</v>
      </c>
      <c r="C2676" s="8" t="s">
        <v>8545</v>
      </c>
      <c r="D2676" s="8" t="s">
        <v>16</v>
      </c>
      <c r="E2676" s="8" t="s">
        <v>17</v>
      </c>
      <c r="F2676" s="9">
        <v>46113.0</v>
      </c>
      <c r="G2676" s="8" t="s">
        <v>109</v>
      </c>
      <c r="H2676" s="8" t="s">
        <v>110</v>
      </c>
      <c r="I2676" s="8" t="s">
        <v>8546</v>
      </c>
      <c r="J2676" s="8" t="s">
        <v>8547</v>
      </c>
    </row>
    <row r="2677">
      <c r="A2677" s="7">
        <v>2.0049855E7</v>
      </c>
      <c r="B2677" s="8" t="s">
        <v>1723</v>
      </c>
      <c r="C2677" s="8" t="s">
        <v>8548</v>
      </c>
      <c r="D2677" s="8" t="s">
        <v>16</v>
      </c>
      <c r="E2677" s="8" t="s">
        <v>17</v>
      </c>
      <c r="F2677" s="9">
        <v>46099.0</v>
      </c>
      <c r="G2677" s="8" t="s">
        <v>59</v>
      </c>
      <c r="H2677" s="8" t="s">
        <v>60</v>
      </c>
      <c r="I2677" s="8" t="s">
        <v>8549</v>
      </c>
      <c r="J2677" s="8" t="s">
        <v>8550</v>
      </c>
    </row>
    <row r="2678">
      <c r="A2678" s="7">
        <v>2.0045623E7</v>
      </c>
      <c r="B2678" s="8" t="s">
        <v>1723</v>
      </c>
      <c r="C2678" s="8" t="s">
        <v>8551</v>
      </c>
      <c r="D2678" s="8" t="s">
        <v>16</v>
      </c>
      <c r="E2678" s="8" t="s">
        <v>17</v>
      </c>
      <c r="F2678" s="9">
        <v>46087.0</v>
      </c>
      <c r="G2678" s="8" t="s">
        <v>822</v>
      </c>
      <c r="H2678" s="8" t="s">
        <v>120</v>
      </c>
      <c r="I2678" s="8" t="s">
        <v>8552</v>
      </c>
      <c r="J2678" s="8" t="s">
        <v>8553</v>
      </c>
    </row>
    <row r="2679">
      <c r="A2679" s="7">
        <v>2.0044785E7</v>
      </c>
      <c r="B2679" s="8" t="s">
        <v>1723</v>
      </c>
      <c r="C2679" s="8" t="s">
        <v>8554</v>
      </c>
      <c r="D2679" s="8" t="s">
        <v>16</v>
      </c>
      <c r="E2679" s="8" t="s">
        <v>17</v>
      </c>
      <c r="F2679" s="9">
        <v>46080.0</v>
      </c>
      <c r="G2679" s="8" t="s">
        <v>418</v>
      </c>
      <c r="H2679" s="8" t="s">
        <v>419</v>
      </c>
      <c r="I2679" s="8" t="s">
        <v>8555</v>
      </c>
      <c r="J2679" s="8" t="s">
        <v>8556</v>
      </c>
    </row>
    <row r="2680">
      <c r="A2680" s="7">
        <v>2.0063939E7</v>
      </c>
      <c r="B2680" s="8" t="s">
        <v>1723</v>
      </c>
      <c r="C2680" s="8" t="s">
        <v>8557</v>
      </c>
      <c r="D2680" s="8" t="s">
        <v>16</v>
      </c>
      <c r="E2680" s="8" t="s">
        <v>17</v>
      </c>
      <c r="F2680" s="9">
        <v>46184.0</v>
      </c>
      <c r="G2680" s="8" t="s">
        <v>171</v>
      </c>
      <c r="H2680" s="8" t="s">
        <v>172</v>
      </c>
      <c r="I2680" s="8" t="s">
        <v>8558</v>
      </c>
      <c r="J2680" s="8"/>
    </row>
    <row r="2681">
      <c r="A2681" s="7">
        <v>2.0063101E7</v>
      </c>
      <c r="B2681" s="8" t="s">
        <v>1723</v>
      </c>
      <c r="C2681" s="8" t="s">
        <v>8559</v>
      </c>
      <c r="D2681" s="8" t="s">
        <v>16</v>
      </c>
      <c r="E2681" s="8" t="s">
        <v>17</v>
      </c>
      <c r="F2681" s="9">
        <v>46162.0</v>
      </c>
      <c r="G2681" s="8" t="s">
        <v>59</v>
      </c>
      <c r="H2681" s="8" t="s">
        <v>60</v>
      </c>
      <c r="I2681" s="8" t="s">
        <v>8560</v>
      </c>
      <c r="J2681" s="8" t="s">
        <v>8561</v>
      </c>
    </row>
    <row r="2682">
      <c r="A2682" s="7">
        <v>2.00609E7</v>
      </c>
      <c r="B2682" s="8" t="s">
        <v>1723</v>
      </c>
      <c r="C2682" s="8" t="s">
        <v>8562</v>
      </c>
      <c r="D2682" s="8" t="s">
        <v>2136</v>
      </c>
      <c r="E2682" s="8" t="s">
        <v>17</v>
      </c>
      <c r="F2682" s="9">
        <v>46145.0</v>
      </c>
      <c r="G2682" s="8" t="s">
        <v>805</v>
      </c>
      <c r="H2682" s="8" t="s">
        <v>806</v>
      </c>
      <c r="I2682" s="8" t="s">
        <v>8563</v>
      </c>
      <c r="J2682" s="8" t="s">
        <v>8564</v>
      </c>
    </row>
    <row r="2683">
      <c r="A2683" s="7">
        <v>2.0059682E7</v>
      </c>
      <c r="B2683" s="8" t="s">
        <v>1723</v>
      </c>
      <c r="C2683" s="8" t="s">
        <v>8565</v>
      </c>
      <c r="D2683" s="8" t="s">
        <v>16</v>
      </c>
      <c r="E2683" s="8" t="s">
        <v>17</v>
      </c>
      <c r="F2683" s="9">
        <v>46140.0</v>
      </c>
      <c r="G2683" s="8" t="s">
        <v>352</v>
      </c>
      <c r="H2683" s="8" t="s">
        <v>353</v>
      </c>
      <c r="I2683" s="8" t="s">
        <v>8566</v>
      </c>
      <c r="J2683" s="8" t="s">
        <v>8567</v>
      </c>
    </row>
    <row r="2684">
      <c r="A2684" s="7">
        <v>2.005295E7</v>
      </c>
      <c r="B2684" s="8" t="s">
        <v>1723</v>
      </c>
      <c r="C2684" s="8" t="s">
        <v>8568</v>
      </c>
      <c r="D2684" s="8" t="s">
        <v>16</v>
      </c>
      <c r="E2684" s="8" t="s">
        <v>17</v>
      </c>
      <c r="F2684" s="9">
        <v>46126.0</v>
      </c>
      <c r="G2684" s="8" t="s">
        <v>171</v>
      </c>
      <c r="H2684" s="8" t="s">
        <v>172</v>
      </c>
      <c r="I2684" s="8" t="s">
        <v>8569</v>
      </c>
      <c r="J2684" s="8"/>
    </row>
    <row r="2685">
      <c r="A2685" s="7">
        <v>2.0051977E7</v>
      </c>
      <c r="B2685" s="8" t="s">
        <v>1723</v>
      </c>
      <c r="C2685" s="8" t="s">
        <v>8570</v>
      </c>
      <c r="D2685" s="8" t="s">
        <v>16</v>
      </c>
      <c r="E2685" s="8" t="s">
        <v>17</v>
      </c>
      <c r="F2685" s="9">
        <v>46128.0</v>
      </c>
      <c r="G2685" s="8" t="s">
        <v>171</v>
      </c>
      <c r="H2685" s="8" t="s">
        <v>172</v>
      </c>
      <c r="I2685" s="8" t="s">
        <v>8571</v>
      </c>
      <c r="J2685" s="8"/>
    </row>
    <row r="2686">
      <c r="A2686" s="7">
        <v>2.005025E7</v>
      </c>
      <c r="B2686" s="8" t="s">
        <v>1723</v>
      </c>
      <c r="C2686" s="8" t="s">
        <v>8572</v>
      </c>
      <c r="D2686" s="8" t="s">
        <v>16</v>
      </c>
      <c r="E2686" s="8" t="s">
        <v>17</v>
      </c>
      <c r="F2686" s="9">
        <v>46101.0</v>
      </c>
      <c r="G2686" s="8" t="s">
        <v>3364</v>
      </c>
      <c r="H2686" s="8" t="s">
        <v>3365</v>
      </c>
      <c r="I2686" s="8" t="s">
        <v>8573</v>
      </c>
      <c r="J2686" s="8"/>
    </row>
    <row r="2687">
      <c r="A2687" s="7">
        <v>2.0045614E7</v>
      </c>
      <c r="B2687" s="8" t="s">
        <v>1723</v>
      </c>
      <c r="C2687" s="8" t="s">
        <v>8574</v>
      </c>
      <c r="D2687" s="8" t="s">
        <v>16</v>
      </c>
      <c r="E2687" s="8" t="s">
        <v>17</v>
      </c>
      <c r="F2687" s="9">
        <v>46105.0</v>
      </c>
      <c r="G2687" s="8" t="s">
        <v>1057</v>
      </c>
      <c r="H2687" s="8" t="s">
        <v>1058</v>
      </c>
      <c r="I2687" s="8" t="s">
        <v>8575</v>
      </c>
      <c r="J2687" s="8"/>
    </row>
    <row r="2688">
      <c r="A2688" s="7">
        <v>2.0069859E7</v>
      </c>
      <c r="B2688" s="8" t="s">
        <v>1723</v>
      </c>
      <c r="C2688" s="8" t="s">
        <v>8576</v>
      </c>
      <c r="D2688" s="8" t="s">
        <v>16</v>
      </c>
      <c r="E2688" s="8" t="s">
        <v>17</v>
      </c>
      <c r="F2688" s="9">
        <v>46186.0</v>
      </c>
      <c r="G2688" s="8" t="s">
        <v>418</v>
      </c>
      <c r="H2688" s="8" t="s">
        <v>419</v>
      </c>
      <c r="I2688" s="8" t="s">
        <v>8577</v>
      </c>
      <c r="J2688" s="8" t="s">
        <v>8578</v>
      </c>
    </row>
    <row r="2689">
      <c r="A2689" s="7">
        <v>2.0066153E7</v>
      </c>
      <c r="B2689" s="8" t="s">
        <v>1723</v>
      </c>
      <c r="C2689" s="8" t="s">
        <v>8579</v>
      </c>
      <c r="D2689" s="8" t="s">
        <v>16</v>
      </c>
      <c r="E2689" s="8" t="s">
        <v>17</v>
      </c>
      <c r="F2689" s="9">
        <v>46181.0</v>
      </c>
      <c r="G2689" s="8" t="s">
        <v>4850</v>
      </c>
      <c r="H2689" s="8" t="s">
        <v>4851</v>
      </c>
      <c r="I2689" s="8" t="s">
        <v>8580</v>
      </c>
      <c r="J2689" s="8" t="s">
        <v>8581</v>
      </c>
    </row>
    <row r="2690">
      <c r="A2690" s="7">
        <v>2.0066153E7</v>
      </c>
      <c r="B2690" s="8" t="s">
        <v>1723</v>
      </c>
      <c r="C2690" s="8" t="s">
        <v>8579</v>
      </c>
      <c r="D2690" s="8" t="s">
        <v>16</v>
      </c>
      <c r="E2690" s="8" t="s">
        <v>17</v>
      </c>
      <c r="F2690" s="9">
        <v>46181.0</v>
      </c>
      <c r="G2690" s="8" t="s">
        <v>2511</v>
      </c>
      <c r="H2690" s="8" t="s">
        <v>2512</v>
      </c>
      <c r="I2690" s="8" t="s">
        <v>8582</v>
      </c>
      <c r="J2690" s="8" t="s">
        <v>8583</v>
      </c>
    </row>
    <row r="2691">
      <c r="A2691" s="7">
        <v>2.0066153E7</v>
      </c>
      <c r="B2691" s="8" t="s">
        <v>1723</v>
      </c>
      <c r="C2691" s="8" t="s">
        <v>8579</v>
      </c>
      <c r="D2691" s="8" t="s">
        <v>16</v>
      </c>
      <c r="E2691" s="8" t="s">
        <v>17</v>
      </c>
      <c r="F2691" s="9">
        <v>46181.0</v>
      </c>
      <c r="G2691" s="8" t="s">
        <v>34</v>
      </c>
      <c r="H2691" s="8" t="s">
        <v>35</v>
      </c>
      <c r="I2691" s="8" t="s">
        <v>8584</v>
      </c>
      <c r="J2691" s="8" t="s">
        <v>8585</v>
      </c>
    </row>
    <row r="2692">
      <c r="A2692" s="7">
        <v>2.0066153E7</v>
      </c>
      <c r="B2692" s="8" t="s">
        <v>1723</v>
      </c>
      <c r="C2692" s="8" t="s">
        <v>8579</v>
      </c>
      <c r="D2692" s="8" t="s">
        <v>16</v>
      </c>
      <c r="E2692" s="8" t="s">
        <v>17</v>
      </c>
      <c r="F2692" s="9">
        <v>46181.0</v>
      </c>
      <c r="G2692" s="8" t="s">
        <v>34</v>
      </c>
      <c r="H2692" s="8" t="s">
        <v>35</v>
      </c>
      <c r="I2692" s="8"/>
      <c r="J2692" s="8" t="s">
        <v>8586</v>
      </c>
    </row>
    <row r="2693">
      <c r="A2693" s="7">
        <v>2.0065114E7</v>
      </c>
      <c r="B2693" s="8" t="s">
        <v>1723</v>
      </c>
      <c r="C2693" s="8" t="s">
        <v>8587</v>
      </c>
      <c r="D2693" s="8" t="s">
        <v>16</v>
      </c>
      <c r="E2693" s="8" t="s">
        <v>17</v>
      </c>
      <c r="F2693" s="9">
        <v>46176.0</v>
      </c>
      <c r="G2693" s="8" t="s">
        <v>247</v>
      </c>
      <c r="H2693" s="8" t="s">
        <v>248</v>
      </c>
      <c r="I2693" s="8" t="s">
        <v>8588</v>
      </c>
      <c r="J2693" s="8" t="s">
        <v>8589</v>
      </c>
    </row>
    <row r="2694">
      <c r="A2694" s="7">
        <v>2.0059299E7</v>
      </c>
      <c r="B2694" s="8" t="s">
        <v>1723</v>
      </c>
      <c r="C2694" s="8" t="s">
        <v>8590</v>
      </c>
      <c r="D2694" s="8" t="s">
        <v>16</v>
      </c>
      <c r="E2694" s="8" t="s">
        <v>17</v>
      </c>
      <c r="F2694" s="9">
        <v>46175.0</v>
      </c>
      <c r="G2694" s="8" t="s">
        <v>7407</v>
      </c>
      <c r="H2694" s="8" t="s">
        <v>7408</v>
      </c>
      <c r="I2694" s="8" t="s">
        <v>8591</v>
      </c>
      <c r="J2694" s="8" t="s">
        <v>8592</v>
      </c>
    </row>
    <row r="2695">
      <c r="A2695" s="7">
        <v>2.0059299E7</v>
      </c>
      <c r="B2695" s="8" t="s">
        <v>1723</v>
      </c>
      <c r="C2695" s="8" t="s">
        <v>8590</v>
      </c>
      <c r="D2695" s="8" t="s">
        <v>16</v>
      </c>
      <c r="E2695" s="8" t="s">
        <v>17</v>
      </c>
      <c r="F2695" s="9">
        <v>46175.0</v>
      </c>
      <c r="G2695" s="8" t="s">
        <v>7411</v>
      </c>
      <c r="H2695" s="8" t="s">
        <v>7412</v>
      </c>
      <c r="I2695" s="8" t="s">
        <v>8593</v>
      </c>
      <c r="J2695" s="8" t="s">
        <v>8594</v>
      </c>
    </row>
    <row r="2696">
      <c r="A2696" s="7">
        <v>2.0058661E7</v>
      </c>
      <c r="B2696" s="8" t="s">
        <v>1723</v>
      </c>
      <c r="C2696" s="8" t="s">
        <v>8595</v>
      </c>
      <c r="D2696" s="8" t="s">
        <v>16</v>
      </c>
      <c r="E2696" s="8" t="s">
        <v>17</v>
      </c>
      <c r="F2696" s="9">
        <v>46137.0</v>
      </c>
      <c r="G2696" s="8" t="s">
        <v>59</v>
      </c>
      <c r="H2696" s="8" t="s">
        <v>60</v>
      </c>
      <c r="I2696" s="8" t="s">
        <v>8596</v>
      </c>
      <c r="J2696" s="8" t="s">
        <v>8597</v>
      </c>
    </row>
    <row r="2697">
      <c r="A2697" s="7">
        <v>2.0048375E7</v>
      </c>
      <c r="B2697" s="8" t="s">
        <v>1723</v>
      </c>
      <c r="C2697" s="8" t="s">
        <v>8598</v>
      </c>
      <c r="D2697" s="8" t="s">
        <v>16</v>
      </c>
      <c r="E2697" s="8" t="s">
        <v>17</v>
      </c>
      <c r="F2697" s="9">
        <v>46109.0</v>
      </c>
      <c r="G2697" s="8" t="s">
        <v>2068</v>
      </c>
      <c r="H2697" s="8" t="s">
        <v>2069</v>
      </c>
      <c r="I2697" s="8" t="s">
        <v>8599</v>
      </c>
      <c r="J2697" s="8"/>
    </row>
    <row r="2698">
      <c r="A2698" s="7">
        <v>2.0040786E7</v>
      </c>
      <c r="B2698" s="8" t="s">
        <v>1723</v>
      </c>
      <c r="C2698" s="8" t="s">
        <v>8600</v>
      </c>
      <c r="D2698" s="8" t="s">
        <v>16</v>
      </c>
      <c r="E2698" s="8" t="s">
        <v>17</v>
      </c>
      <c r="F2698" s="9">
        <v>46068.0</v>
      </c>
      <c r="G2698" s="8" t="s">
        <v>1461</v>
      </c>
      <c r="H2698" s="8" t="s">
        <v>1462</v>
      </c>
      <c r="I2698" s="8" t="s">
        <v>8601</v>
      </c>
      <c r="J2698" s="8" t="s">
        <v>8602</v>
      </c>
    </row>
    <row r="2699">
      <c r="A2699" s="7">
        <v>2.0053645E7</v>
      </c>
      <c r="B2699" s="8" t="s">
        <v>1723</v>
      </c>
      <c r="C2699" s="8" t="s">
        <v>8603</v>
      </c>
      <c r="D2699" s="8" t="s">
        <v>16</v>
      </c>
      <c r="E2699" s="8" t="s">
        <v>700</v>
      </c>
      <c r="F2699" s="9">
        <v>46145.0</v>
      </c>
      <c r="G2699" s="8" t="s">
        <v>8604</v>
      </c>
      <c r="H2699" s="8" t="s">
        <v>8605</v>
      </c>
      <c r="I2699" s="8" t="s">
        <v>8606</v>
      </c>
      <c r="J2699" s="8" t="s">
        <v>8607</v>
      </c>
    </row>
    <row r="2700">
      <c r="A2700" s="7">
        <v>2.0054046E7</v>
      </c>
      <c r="B2700" s="8" t="s">
        <v>1723</v>
      </c>
      <c r="C2700" s="8" t="s">
        <v>8608</v>
      </c>
      <c r="D2700" s="8" t="s">
        <v>16</v>
      </c>
      <c r="E2700" s="8" t="s">
        <v>17</v>
      </c>
      <c r="F2700" s="9">
        <v>46123.0</v>
      </c>
      <c r="G2700" s="8" t="s">
        <v>8609</v>
      </c>
      <c r="H2700" s="8" t="s">
        <v>8610</v>
      </c>
      <c r="I2700" s="8" t="s">
        <v>8611</v>
      </c>
      <c r="J2700" s="8"/>
    </row>
    <row r="2701">
      <c r="A2701" s="7">
        <v>2.0053891E7</v>
      </c>
      <c r="B2701" s="8" t="s">
        <v>1723</v>
      </c>
      <c r="C2701" s="8" t="s">
        <v>8612</v>
      </c>
      <c r="D2701" s="8" t="s">
        <v>16</v>
      </c>
      <c r="E2701" s="8" t="s">
        <v>17</v>
      </c>
      <c r="F2701" s="9">
        <v>46135.0</v>
      </c>
      <c r="G2701" s="8" t="s">
        <v>3133</v>
      </c>
      <c r="H2701" s="8" t="s">
        <v>3134</v>
      </c>
      <c r="I2701" s="8" t="s">
        <v>8613</v>
      </c>
      <c r="J2701" s="8"/>
    </row>
    <row r="2702">
      <c r="A2702" s="7">
        <v>2.0043905E7</v>
      </c>
      <c r="B2702" s="8" t="s">
        <v>1723</v>
      </c>
      <c r="C2702" s="8" t="s">
        <v>8614</v>
      </c>
      <c r="D2702" s="8" t="s">
        <v>16</v>
      </c>
      <c r="E2702" s="8" t="s">
        <v>17</v>
      </c>
      <c r="F2702" s="9">
        <v>46079.0</v>
      </c>
      <c r="G2702" s="8" t="s">
        <v>504</v>
      </c>
      <c r="H2702" s="8" t="s">
        <v>505</v>
      </c>
      <c r="I2702" s="8" t="s">
        <v>8615</v>
      </c>
      <c r="J2702" s="8" t="s">
        <v>8616</v>
      </c>
    </row>
    <row r="2703">
      <c r="A2703" s="7">
        <v>2.0039617E7</v>
      </c>
      <c r="B2703" s="8" t="s">
        <v>1723</v>
      </c>
      <c r="C2703" s="8" t="s">
        <v>8617</v>
      </c>
      <c r="D2703" s="8" t="s">
        <v>16</v>
      </c>
      <c r="E2703" s="8" t="s">
        <v>17</v>
      </c>
      <c r="F2703" s="9">
        <v>46075.0</v>
      </c>
      <c r="G2703" s="8" t="s">
        <v>1813</v>
      </c>
      <c r="H2703" s="8" t="s">
        <v>1814</v>
      </c>
      <c r="I2703" s="8" t="s">
        <v>8618</v>
      </c>
      <c r="J2703" s="8"/>
    </row>
    <row r="2704">
      <c r="A2704" s="7">
        <v>2.0038285E7</v>
      </c>
      <c r="B2704" s="8" t="s">
        <v>1723</v>
      </c>
      <c r="C2704" s="8" t="s">
        <v>8619</v>
      </c>
      <c r="D2704" s="8" t="s">
        <v>16</v>
      </c>
      <c r="E2704" s="8" t="s">
        <v>17</v>
      </c>
      <c r="F2704" s="9">
        <v>46056.0</v>
      </c>
      <c r="G2704" s="8" t="s">
        <v>91</v>
      </c>
      <c r="H2704" s="8" t="s">
        <v>92</v>
      </c>
      <c r="I2704" s="8" t="s">
        <v>8620</v>
      </c>
      <c r="J2704" s="8" t="s">
        <v>8621</v>
      </c>
    </row>
    <row r="2705">
      <c r="A2705" s="7">
        <v>2.0062806E7</v>
      </c>
      <c r="B2705" s="8" t="s">
        <v>1723</v>
      </c>
      <c r="C2705" s="8" t="s">
        <v>8622</v>
      </c>
      <c r="D2705" s="8" t="s">
        <v>16</v>
      </c>
      <c r="E2705" s="8" t="s">
        <v>17</v>
      </c>
      <c r="F2705" s="9">
        <v>46172.0</v>
      </c>
      <c r="G2705" s="8" t="s">
        <v>805</v>
      </c>
      <c r="H2705" s="8" t="s">
        <v>806</v>
      </c>
      <c r="I2705" s="8" t="s">
        <v>8623</v>
      </c>
      <c r="J2705" s="8" t="s">
        <v>8624</v>
      </c>
    </row>
    <row r="2706">
      <c r="A2706" s="7">
        <v>2.0046594E7</v>
      </c>
      <c r="B2706" s="8" t="s">
        <v>1723</v>
      </c>
      <c r="C2706" s="8" t="s">
        <v>8625</v>
      </c>
      <c r="D2706" s="8" t="s">
        <v>16</v>
      </c>
      <c r="E2706" s="8" t="s">
        <v>17</v>
      </c>
      <c r="F2706" s="9">
        <v>46112.0</v>
      </c>
      <c r="G2706" s="8" t="s">
        <v>75</v>
      </c>
      <c r="H2706" s="8" t="s">
        <v>76</v>
      </c>
      <c r="I2706" s="8" t="s">
        <v>8626</v>
      </c>
      <c r="J2706" s="8" t="s">
        <v>8627</v>
      </c>
    </row>
    <row r="2707">
      <c r="A2707" s="7">
        <v>2.0046594E7</v>
      </c>
      <c r="B2707" s="8" t="s">
        <v>1723</v>
      </c>
      <c r="C2707" s="8" t="s">
        <v>8625</v>
      </c>
      <c r="D2707" s="8" t="s">
        <v>16</v>
      </c>
      <c r="E2707" s="8" t="s">
        <v>17</v>
      </c>
      <c r="F2707" s="9">
        <v>46112.0</v>
      </c>
      <c r="G2707" s="8" t="s">
        <v>861</v>
      </c>
      <c r="H2707" s="8" t="s">
        <v>862</v>
      </c>
      <c r="I2707" s="8" t="s">
        <v>8628</v>
      </c>
      <c r="J2707" s="8" t="s">
        <v>8629</v>
      </c>
    </row>
    <row r="2708">
      <c r="A2708" s="7">
        <v>2.0048378E7</v>
      </c>
      <c r="B2708" s="8" t="s">
        <v>1723</v>
      </c>
      <c r="C2708" s="8" t="s">
        <v>8630</v>
      </c>
      <c r="D2708" s="8" t="s">
        <v>16</v>
      </c>
      <c r="E2708" s="8" t="s">
        <v>17</v>
      </c>
      <c r="F2708" s="9">
        <v>46110.0</v>
      </c>
      <c r="G2708" s="8" t="s">
        <v>1427</v>
      </c>
      <c r="H2708" s="8" t="s">
        <v>1428</v>
      </c>
      <c r="I2708" s="8" t="s">
        <v>8631</v>
      </c>
      <c r="J2708" s="8"/>
    </row>
    <row r="2709">
      <c r="A2709" s="7">
        <v>2.0046576E7</v>
      </c>
      <c r="B2709" s="8" t="s">
        <v>1723</v>
      </c>
      <c r="C2709" s="8" t="s">
        <v>8632</v>
      </c>
      <c r="D2709" s="8" t="s">
        <v>16</v>
      </c>
      <c r="E2709" s="8" t="s">
        <v>17</v>
      </c>
      <c r="F2709" s="9">
        <v>46112.0</v>
      </c>
      <c r="G2709" s="8" t="s">
        <v>184</v>
      </c>
      <c r="H2709" s="8" t="s">
        <v>185</v>
      </c>
      <c r="I2709" s="8" t="s">
        <v>8633</v>
      </c>
      <c r="J2709" s="8" t="s">
        <v>8634</v>
      </c>
    </row>
    <row r="2710">
      <c r="A2710" s="7">
        <v>2.0036454E7</v>
      </c>
      <c r="B2710" s="8" t="s">
        <v>1723</v>
      </c>
      <c r="C2710" s="8" t="s">
        <v>8635</v>
      </c>
      <c r="D2710" s="8" t="s">
        <v>16</v>
      </c>
      <c r="E2710" s="8" t="s">
        <v>17</v>
      </c>
      <c r="F2710" s="9">
        <v>46056.0</v>
      </c>
      <c r="G2710" s="8" t="s">
        <v>3172</v>
      </c>
      <c r="H2710" s="8" t="s">
        <v>120</v>
      </c>
      <c r="I2710" s="8" t="s">
        <v>8636</v>
      </c>
      <c r="J2710" s="8" t="s">
        <v>8637</v>
      </c>
    </row>
    <row r="2711">
      <c r="A2711" s="7">
        <v>2.0070728E7</v>
      </c>
      <c r="B2711" s="8" t="s">
        <v>1723</v>
      </c>
      <c r="C2711" s="8" t="s">
        <v>8638</v>
      </c>
      <c r="D2711" s="8" t="s">
        <v>16</v>
      </c>
      <c r="E2711" s="8" t="s">
        <v>17</v>
      </c>
      <c r="F2711" s="9">
        <v>46191.0</v>
      </c>
      <c r="G2711" s="8" t="s">
        <v>59</v>
      </c>
      <c r="H2711" s="8" t="s">
        <v>60</v>
      </c>
      <c r="I2711" s="8" t="s">
        <v>8639</v>
      </c>
      <c r="J2711" s="8" t="s">
        <v>8640</v>
      </c>
    </row>
    <row r="2712">
      <c r="A2712" s="7">
        <v>2.0063312E7</v>
      </c>
      <c r="B2712" s="8" t="s">
        <v>1723</v>
      </c>
      <c r="C2712" s="8" t="s">
        <v>8641</v>
      </c>
      <c r="D2712" s="8" t="s">
        <v>16</v>
      </c>
      <c r="E2712" s="8" t="s">
        <v>17</v>
      </c>
      <c r="F2712" s="9">
        <v>46159.0</v>
      </c>
      <c r="G2712" s="8" t="s">
        <v>8642</v>
      </c>
      <c r="H2712" s="8" t="s">
        <v>8643</v>
      </c>
      <c r="I2712" s="8" t="s">
        <v>8644</v>
      </c>
      <c r="J2712" s="8" t="s">
        <v>8645</v>
      </c>
    </row>
    <row r="2713">
      <c r="A2713" s="7">
        <v>2.0060704E7</v>
      </c>
      <c r="B2713" s="8" t="s">
        <v>1723</v>
      </c>
      <c r="C2713" s="8" t="s">
        <v>8646</v>
      </c>
      <c r="D2713" s="8" t="s">
        <v>16</v>
      </c>
      <c r="E2713" s="8" t="s">
        <v>17</v>
      </c>
      <c r="F2713" s="9">
        <v>46178.0</v>
      </c>
      <c r="G2713" s="8" t="s">
        <v>114</v>
      </c>
      <c r="H2713" s="8" t="s">
        <v>115</v>
      </c>
      <c r="I2713" s="8" t="s">
        <v>8647</v>
      </c>
      <c r="J2713" s="8" t="s">
        <v>8648</v>
      </c>
    </row>
    <row r="2714">
      <c r="A2714" s="7">
        <v>2.0059455E7</v>
      </c>
      <c r="B2714" s="8" t="s">
        <v>1723</v>
      </c>
      <c r="C2714" s="8" t="s">
        <v>8649</v>
      </c>
      <c r="D2714" s="8" t="s">
        <v>16</v>
      </c>
      <c r="E2714" s="8" t="s">
        <v>17</v>
      </c>
      <c r="F2714" s="9">
        <v>46145.0</v>
      </c>
      <c r="G2714" s="8" t="s">
        <v>220</v>
      </c>
      <c r="H2714" s="8" t="s">
        <v>221</v>
      </c>
      <c r="I2714" s="8" t="s">
        <v>8650</v>
      </c>
      <c r="J2714" s="8" t="s">
        <v>8651</v>
      </c>
    </row>
    <row r="2715">
      <c r="A2715" s="7">
        <v>2.0058975E7</v>
      </c>
      <c r="B2715" s="8" t="s">
        <v>1723</v>
      </c>
      <c r="C2715" s="8" t="s">
        <v>8652</v>
      </c>
      <c r="D2715" s="8" t="s">
        <v>16</v>
      </c>
      <c r="E2715" s="8" t="s">
        <v>17</v>
      </c>
      <c r="F2715" s="9">
        <v>46142.0</v>
      </c>
      <c r="G2715" s="8" t="s">
        <v>908</v>
      </c>
      <c r="H2715" s="8" t="s">
        <v>909</v>
      </c>
      <c r="I2715" s="8" t="s">
        <v>8653</v>
      </c>
      <c r="J2715" s="8" t="s">
        <v>8654</v>
      </c>
    </row>
    <row r="2716">
      <c r="A2716" s="7">
        <v>2.005517E7</v>
      </c>
      <c r="B2716" s="8" t="s">
        <v>1723</v>
      </c>
      <c r="C2716" s="8" t="s">
        <v>8655</v>
      </c>
      <c r="D2716" s="8" t="s">
        <v>16</v>
      </c>
      <c r="E2716" s="8" t="s">
        <v>48</v>
      </c>
      <c r="F2716" s="9">
        <v>46131.0</v>
      </c>
      <c r="G2716" s="8" t="s">
        <v>8656</v>
      </c>
      <c r="H2716" s="8" t="s">
        <v>8657</v>
      </c>
      <c r="I2716" s="8" t="s">
        <v>8658</v>
      </c>
      <c r="J2716" s="8"/>
    </row>
    <row r="2717">
      <c r="A2717" s="7">
        <v>2.0054042E7</v>
      </c>
      <c r="B2717" s="8" t="s">
        <v>1723</v>
      </c>
      <c r="C2717" s="8" t="s">
        <v>8659</v>
      </c>
      <c r="D2717" s="8" t="s">
        <v>16</v>
      </c>
      <c r="E2717" s="8" t="s">
        <v>17</v>
      </c>
      <c r="F2717" s="9">
        <v>46123.0</v>
      </c>
      <c r="G2717" s="8" t="s">
        <v>59</v>
      </c>
      <c r="H2717" s="8" t="s">
        <v>60</v>
      </c>
      <c r="I2717" s="8" t="s">
        <v>8660</v>
      </c>
      <c r="J2717" s="8" t="s">
        <v>8661</v>
      </c>
    </row>
    <row r="2718">
      <c r="A2718" s="7">
        <v>2.0053545E7</v>
      </c>
      <c r="B2718" s="8" t="s">
        <v>1723</v>
      </c>
      <c r="C2718" s="8" t="s">
        <v>8662</v>
      </c>
      <c r="D2718" s="8" t="s">
        <v>16</v>
      </c>
      <c r="E2718" s="8" t="s">
        <v>17</v>
      </c>
      <c r="F2718" s="9">
        <v>46133.0</v>
      </c>
      <c r="G2718" s="8" t="s">
        <v>1085</v>
      </c>
      <c r="H2718" s="8" t="s">
        <v>1086</v>
      </c>
      <c r="I2718" s="8" t="s">
        <v>8663</v>
      </c>
      <c r="J2718" s="8"/>
    </row>
    <row r="2719">
      <c r="A2719" s="7">
        <v>2.0035712E7</v>
      </c>
      <c r="B2719" s="8" t="s">
        <v>1723</v>
      </c>
      <c r="C2719" s="8" t="s">
        <v>8664</v>
      </c>
      <c r="D2719" s="8" t="s">
        <v>16</v>
      </c>
      <c r="E2719" s="8" t="s">
        <v>17</v>
      </c>
      <c r="F2719" s="9">
        <v>46050.0</v>
      </c>
      <c r="G2719" s="8" t="s">
        <v>34</v>
      </c>
      <c r="H2719" s="8" t="s">
        <v>35</v>
      </c>
      <c r="I2719" s="8" t="s">
        <v>8665</v>
      </c>
      <c r="J2719" s="8"/>
    </row>
    <row r="2720">
      <c r="A2720" s="7">
        <v>2.003454E7</v>
      </c>
      <c r="B2720" s="8" t="s">
        <v>1723</v>
      </c>
      <c r="C2720" s="8" t="s">
        <v>8666</v>
      </c>
      <c r="D2720" s="8" t="s">
        <v>16</v>
      </c>
      <c r="E2720" s="8" t="s">
        <v>17</v>
      </c>
      <c r="F2720" s="9">
        <v>46045.0</v>
      </c>
      <c r="G2720" s="8" t="s">
        <v>908</v>
      </c>
      <c r="H2720" s="8" t="s">
        <v>909</v>
      </c>
      <c r="I2720" s="8" t="s">
        <v>8667</v>
      </c>
      <c r="J2720" s="8" t="s">
        <v>8668</v>
      </c>
    </row>
    <row r="2721">
      <c r="A2721" s="7">
        <v>2.0070917E7</v>
      </c>
      <c r="B2721" s="8" t="s">
        <v>1723</v>
      </c>
      <c r="C2721" s="8" t="s">
        <v>8669</v>
      </c>
      <c r="D2721" s="8" t="s">
        <v>16</v>
      </c>
      <c r="E2721" s="8" t="s">
        <v>17</v>
      </c>
      <c r="F2721" s="9">
        <v>46191.0</v>
      </c>
      <c r="G2721" s="8" t="s">
        <v>1746</v>
      </c>
      <c r="H2721" s="8" t="s">
        <v>1747</v>
      </c>
      <c r="I2721" s="8" t="s">
        <v>8670</v>
      </c>
      <c r="J2721" s="8" t="s">
        <v>8671</v>
      </c>
    </row>
    <row r="2722">
      <c r="A2722" s="7">
        <v>2.0070895E7</v>
      </c>
      <c r="B2722" s="8" t="s">
        <v>1723</v>
      </c>
      <c r="C2722" s="8" t="s">
        <v>8672</v>
      </c>
      <c r="D2722" s="8" t="s">
        <v>2136</v>
      </c>
      <c r="E2722" s="8" t="s">
        <v>17</v>
      </c>
      <c r="F2722" s="9">
        <v>46191.0</v>
      </c>
      <c r="G2722" s="8" t="s">
        <v>234</v>
      </c>
      <c r="H2722" s="8" t="s">
        <v>235</v>
      </c>
      <c r="I2722" s="8" t="s">
        <v>8673</v>
      </c>
      <c r="J2722" s="8" t="s">
        <v>8674</v>
      </c>
    </row>
    <row r="2723">
      <c r="A2723" s="7">
        <v>2.0067918E7</v>
      </c>
      <c r="B2723" s="8" t="s">
        <v>1723</v>
      </c>
      <c r="C2723" s="8" t="s">
        <v>8675</v>
      </c>
      <c r="D2723" s="8" t="s">
        <v>16</v>
      </c>
      <c r="E2723" s="8" t="s">
        <v>17</v>
      </c>
      <c r="F2723" s="9">
        <v>46188.0</v>
      </c>
      <c r="G2723" s="8" t="s">
        <v>1045</v>
      </c>
      <c r="H2723" s="8" t="s">
        <v>909</v>
      </c>
      <c r="I2723" s="8" t="s">
        <v>8676</v>
      </c>
      <c r="J2723" s="8" t="s">
        <v>8677</v>
      </c>
    </row>
    <row r="2724">
      <c r="A2724" s="7">
        <v>2.0051058E7</v>
      </c>
      <c r="B2724" s="8" t="s">
        <v>1723</v>
      </c>
      <c r="C2724" s="8" t="s">
        <v>8678</v>
      </c>
      <c r="D2724" s="8" t="s">
        <v>16</v>
      </c>
      <c r="E2724" s="8" t="s">
        <v>700</v>
      </c>
      <c r="F2724" s="9">
        <v>46164.0</v>
      </c>
      <c r="G2724" s="8" t="s">
        <v>8679</v>
      </c>
      <c r="H2724" s="8" t="s">
        <v>120</v>
      </c>
      <c r="I2724" s="8"/>
      <c r="J2724" s="8" t="s">
        <v>8680</v>
      </c>
    </row>
    <row r="2725">
      <c r="A2725" s="7">
        <v>2.0051058E7</v>
      </c>
      <c r="B2725" s="8" t="s">
        <v>1723</v>
      </c>
      <c r="C2725" s="8" t="s">
        <v>8678</v>
      </c>
      <c r="D2725" s="8" t="s">
        <v>16</v>
      </c>
      <c r="E2725" s="8" t="s">
        <v>700</v>
      </c>
      <c r="F2725" s="9">
        <v>46164.0</v>
      </c>
      <c r="G2725" s="8" t="s">
        <v>423</v>
      </c>
      <c r="H2725" s="8" t="s">
        <v>6351</v>
      </c>
      <c r="I2725" s="8" t="s">
        <v>8681</v>
      </c>
      <c r="J2725" s="8" t="s">
        <v>8680</v>
      </c>
    </row>
    <row r="2726">
      <c r="A2726" s="7">
        <v>2.0051058E7</v>
      </c>
      <c r="B2726" s="8" t="s">
        <v>1723</v>
      </c>
      <c r="C2726" s="8" t="s">
        <v>8678</v>
      </c>
      <c r="D2726" s="8" t="s">
        <v>16</v>
      </c>
      <c r="E2726" s="8" t="s">
        <v>700</v>
      </c>
      <c r="F2726" s="9">
        <v>46164.0</v>
      </c>
      <c r="G2726" s="8" t="s">
        <v>423</v>
      </c>
      <c r="H2726" s="8" t="s">
        <v>6351</v>
      </c>
      <c r="I2726" s="8" t="s">
        <v>8681</v>
      </c>
      <c r="J2726" s="8"/>
    </row>
    <row r="2727">
      <c r="A2727" s="7">
        <v>2.0059301E7</v>
      </c>
      <c r="B2727" s="8" t="s">
        <v>1723</v>
      </c>
      <c r="C2727" s="8" t="s">
        <v>8682</v>
      </c>
      <c r="D2727" s="8" t="s">
        <v>16</v>
      </c>
      <c r="E2727" s="8" t="s">
        <v>17</v>
      </c>
      <c r="F2727" s="9">
        <v>46161.0</v>
      </c>
      <c r="G2727" s="8" t="s">
        <v>1667</v>
      </c>
      <c r="H2727" s="8" t="s">
        <v>1668</v>
      </c>
      <c r="I2727" s="8" t="s">
        <v>8683</v>
      </c>
      <c r="J2727" s="8" t="s">
        <v>8684</v>
      </c>
    </row>
    <row r="2728">
      <c r="A2728" s="7">
        <v>2.0051128E7</v>
      </c>
      <c r="B2728" s="8" t="s">
        <v>1723</v>
      </c>
      <c r="C2728" s="8" t="s">
        <v>8685</v>
      </c>
      <c r="D2728" s="8" t="s">
        <v>16</v>
      </c>
      <c r="E2728" s="8" t="s">
        <v>17</v>
      </c>
      <c r="F2728" s="9">
        <v>46118.0</v>
      </c>
      <c r="G2728" s="8" t="s">
        <v>2625</v>
      </c>
      <c r="H2728" s="8" t="s">
        <v>827</v>
      </c>
      <c r="I2728" s="8" t="s">
        <v>8686</v>
      </c>
      <c r="J2728" s="8" t="s">
        <v>8687</v>
      </c>
    </row>
    <row r="2729">
      <c r="A2729" s="7">
        <v>2.0047618E7</v>
      </c>
      <c r="B2729" s="8" t="s">
        <v>1723</v>
      </c>
      <c r="C2729" s="8" t="s">
        <v>8688</v>
      </c>
      <c r="D2729" s="8" t="s">
        <v>16</v>
      </c>
      <c r="E2729" s="8" t="s">
        <v>17</v>
      </c>
      <c r="F2729" s="9">
        <v>46117.0</v>
      </c>
      <c r="G2729" s="8" t="s">
        <v>3270</v>
      </c>
      <c r="H2729" s="8" t="s">
        <v>3271</v>
      </c>
      <c r="I2729" s="8" t="s">
        <v>8689</v>
      </c>
      <c r="J2729" s="8" t="s">
        <v>8690</v>
      </c>
    </row>
    <row r="2730">
      <c r="A2730" s="7">
        <v>2.0047618E7</v>
      </c>
      <c r="B2730" s="8" t="s">
        <v>1723</v>
      </c>
      <c r="C2730" s="8" t="s">
        <v>8688</v>
      </c>
      <c r="D2730" s="8" t="s">
        <v>16</v>
      </c>
      <c r="E2730" s="8" t="s">
        <v>17</v>
      </c>
      <c r="F2730" s="9">
        <v>46117.0</v>
      </c>
      <c r="G2730" s="8" t="s">
        <v>8691</v>
      </c>
      <c r="H2730" s="8" t="s">
        <v>8692</v>
      </c>
      <c r="I2730" s="8" t="s">
        <v>8693</v>
      </c>
      <c r="J2730" s="8" t="s">
        <v>8694</v>
      </c>
    </row>
    <row r="2731">
      <c r="A2731" s="7">
        <v>2.003661E7</v>
      </c>
      <c r="B2731" s="8" t="s">
        <v>1723</v>
      </c>
      <c r="C2731" s="8" t="s">
        <v>8695</v>
      </c>
      <c r="D2731" s="8" t="s">
        <v>16</v>
      </c>
      <c r="E2731" s="8" t="s">
        <v>17</v>
      </c>
      <c r="F2731" s="9">
        <v>46052.0</v>
      </c>
      <c r="G2731" s="8" t="s">
        <v>8696</v>
      </c>
      <c r="H2731" s="8" t="s">
        <v>8697</v>
      </c>
      <c r="I2731" s="8" t="s">
        <v>8698</v>
      </c>
      <c r="J2731" s="8" t="s">
        <v>8699</v>
      </c>
    </row>
    <row r="2732">
      <c r="A2732" s="7">
        <v>2.0036669E7</v>
      </c>
      <c r="B2732" s="8" t="s">
        <v>1723</v>
      </c>
      <c r="C2732" s="8" t="s">
        <v>8700</v>
      </c>
      <c r="D2732" s="8" t="s">
        <v>16</v>
      </c>
      <c r="E2732" s="8" t="s">
        <v>17</v>
      </c>
      <c r="F2732" s="9">
        <v>46055.0</v>
      </c>
      <c r="G2732" s="8" t="s">
        <v>852</v>
      </c>
      <c r="H2732" s="8" t="s">
        <v>853</v>
      </c>
      <c r="I2732" s="8" t="s">
        <v>8701</v>
      </c>
      <c r="J2732" s="8" t="s">
        <v>8702</v>
      </c>
    </row>
    <row r="2733">
      <c r="A2733" s="7">
        <v>2.007002E7</v>
      </c>
      <c r="B2733" s="8" t="s">
        <v>1723</v>
      </c>
      <c r="C2733" s="8" t="s">
        <v>8703</v>
      </c>
      <c r="D2733" s="8" t="s">
        <v>16</v>
      </c>
      <c r="E2733" s="8" t="s">
        <v>1074</v>
      </c>
      <c r="F2733" s="9">
        <v>46189.0</v>
      </c>
      <c r="G2733" s="8" t="s">
        <v>329</v>
      </c>
      <c r="H2733" s="8" t="s">
        <v>330</v>
      </c>
      <c r="I2733" s="8" t="s">
        <v>8704</v>
      </c>
      <c r="J2733" s="8" t="s">
        <v>8705</v>
      </c>
    </row>
    <row r="2734">
      <c r="A2734" s="7">
        <v>2.0063094E7</v>
      </c>
      <c r="B2734" s="8" t="s">
        <v>1723</v>
      </c>
      <c r="C2734" s="8" t="s">
        <v>8706</v>
      </c>
      <c r="D2734" s="8" t="s">
        <v>16</v>
      </c>
      <c r="E2734" s="8" t="s">
        <v>17</v>
      </c>
      <c r="F2734" s="9">
        <v>46158.0</v>
      </c>
      <c r="G2734" s="8" t="s">
        <v>2511</v>
      </c>
      <c r="H2734" s="8" t="s">
        <v>2512</v>
      </c>
      <c r="I2734" s="8" t="s">
        <v>8707</v>
      </c>
      <c r="J2734" s="8" t="s">
        <v>8708</v>
      </c>
    </row>
    <row r="2735">
      <c r="A2735" s="7">
        <v>2.0060425E7</v>
      </c>
      <c r="B2735" s="8" t="s">
        <v>1723</v>
      </c>
      <c r="C2735" s="8" t="s">
        <v>8709</v>
      </c>
      <c r="D2735" s="8" t="s">
        <v>2136</v>
      </c>
      <c r="E2735" s="8" t="s">
        <v>17</v>
      </c>
      <c r="F2735" s="9">
        <v>46143.0</v>
      </c>
      <c r="G2735" s="8" t="s">
        <v>153</v>
      </c>
      <c r="H2735" s="8" t="s">
        <v>154</v>
      </c>
      <c r="I2735" s="8" t="s">
        <v>8710</v>
      </c>
      <c r="J2735" s="8" t="s">
        <v>8711</v>
      </c>
    </row>
    <row r="2736">
      <c r="A2736" s="7">
        <v>2.0051543E7</v>
      </c>
      <c r="B2736" s="8" t="s">
        <v>1723</v>
      </c>
      <c r="C2736" s="8" t="s">
        <v>8712</v>
      </c>
      <c r="D2736" s="8" t="s">
        <v>16</v>
      </c>
      <c r="E2736" s="8" t="s">
        <v>17</v>
      </c>
      <c r="F2736" s="9">
        <v>46103.0</v>
      </c>
      <c r="G2736" s="8" t="s">
        <v>247</v>
      </c>
      <c r="H2736" s="8" t="s">
        <v>248</v>
      </c>
      <c r="I2736" s="8" t="s">
        <v>8713</v>
      </c>
      <c r="J2736" s="8" t="s">
        <v>8714</v>
      </c>
    </row>
    <row r="2737">
      <c r="A2737" s="7">
        <v>2.004957E7</v>
      </c>
      <c r="B2737" s="8" t="s">
        <v>1723</v>
      </c>
      <c r="C2737" s="8" t="s">
        <v>8715</v>
      </c>
      <c r="D2737" s="8" t="s">
        <v>16</v>
      </c>
      <c r="E2737" s="8" t="s">
        <v>17</v>
      </c>
      <c r="F2737" s="9">
        <v>46095.0</v>
      </c>
      <c r="G2737" s="8" t="s">
        <v>846</v>
      </c>
      <c r="H2737" s="8" t="s">
        <v>847</v>
      </c>
      <c r="I2737" s="8" t="s">
        <v>8716</v>
      </c>
      <c r="J2737" s="8" t="s">
        <v>8717</v>
      </c>
    </row>
    <row r="2738">
      <c r="A2738" s="7">
        <v>2.0044784E7</v>
      </c>
      <c r="B2738" s="8" t="s">
        <v>1723</v>
      </c>
      <c r="C2738" s="8" t="s">
        <v>8718</v>
      </c>
      <c r="D2738" s="8" t="s">
        <v>16</v>
      </c>
      <c r="E2738" s="8" t="s">
        <v>17</v>
      </c>
      <c r="F2738" s="9">
        <v>46083.0</v>
      </c>
      <c r="G2738" s="8" t="s">
        <v>339</v>
      </c>
      <c r="H2738" s="8" t="s">
        <v>340</v>
      </c>
      <c r="I2738" s="8" t="s">
        <v>8719</v>
      </c>
      <c r="J2738" s="8" t="s">
        <v>8720</v>
      </c>
    </row>
    <row r="2739">
      <c r="A2739" s="7">
        <v>2.0041015E7</v>
      </c>
      <c r="B2739" s="8" t="s">
        <v>1723</v>
      </c>
      <c r="C2739" s="8" t="s">
        <v>8721</v>
      </c>
      <c r="D2739" s="8" t="s">
        <v>16</v>
      </c>
      <c r="E2739" s="8" t="s">
        <v>17</v>
      </c>
      <c r="F2739" s="9">
        <v>46078.0</v>
      </c>
      <c r="G2739" s="8" t="s">
        <v>335</v>
      </c>
      <c r="H2739" s="8" t="s">
        <v>336</v>
      </c>
      <c r="I2739" s="8" t="s">
        <v>8722</v>
      </c>
      <c r="J2739" s="8"/>
    </row>
    <row r="2740">
      <c r="A2740" s="7">
        <v>2.0069052E7</v>
      </c>
      <c r="B2740" s="8" t="s">
        <v>1723</v>
      </c>
      <c r="C2740" s="8" t="s">
        <v>8723</v>
      </c>
      <c r="D2740" s="8" t="s">
        <v>16</v>
      </c>
      <c r="E2740" s="8" t="s">
        <v>17</v>
      </c>
      <c r="F2740" s="9">
        <v>46191.0</v>
      </c>
      <c r="G2740" s="8" t="s">
        <v>846</v>
      </c>
      <c r="H2740" s="8" t="s">
        <v>847</v>
      </c>
      <c r="I2740" s="8" t="s">
        <v>8724</v>
      </c>
      <c r="J2740" s="8" t="s">
        <v>8725</v>
      </c>
    </row>
    <row r="2741">
      <c r="A2741" s="7">
        <v>2.0069906E7</v>
      </c>
      <c r="B2741" s="8" t="s">
        <v>1723</v>
      </c>
      <c r="C2741" s="8" t="s">
        <v>8726</v>
      </c>
      <c r="D2741" s="8" t="s">
        <v>16</v>
      </c>
      <c r="E2741" s="8" t="s">
        <v>17</v>
      </c>
      <c r="F2741" s="9">
        <v>46188.0</v>
      </c>
      <c r="G2741" s="8" t="s">
        <v>91</v>
      </c>
      <c r="H2741" s="8" t="s">
        <v>92</v>
      </c>
      <c r="I2741" s="8" t="s">
        <v>8727</v>
      </c>
      <c r="J2741" s="8" t="s">
        <v>8728</v>
      </c>
    </row>
    <row r="2742">
      <c r="A2742" s="7">
        <v>2.0065011E7</v>
      </c>
      <c r="B2742" s="8" t="s">
        <v>1723</v>
      </c>
      <c r="C2742" s="8" t="s">
        <v>8729</v>
      </c>
      <c r="D2742" s="8" t="s">
        <v>16</v>
      </c>
      <c r="E2742" s="8" t="s">
        <v>17</v>
      </c>
      <c r="F2742" s="9">
        <v>46177.0</v>
      </c>
      <c r="G2742" s="8" t="s">
        <v>43</v>
      </c>
      <c r="H2742" s="8" t="s">
        <v>8730</v>
      </c>
      <c r="I2742" s="8" t="s">
        <v>8731</v>
      </c>
      <c r="J2742" s="8" t="s">
        <v>8732</v>
      </c>
    </row>
    <row r="2743">
      <c r="A2743" s="7">
        <v>2.0061505E7</v>
      </c>
      <c r="B2743" s="8" t="s">
        <v>1723</v>
      </c>
      <c r="C2743" s="8" t="s">
        <v>8733</v>
      </c>
      <c r="D2743" s="8" t="s">
        <v>16</v>
      </c>
      <c r="E2743" s="8" t="s">
        <v>17</v>
      </c>
      <c r="F2743" s="9">
        <v>46154.0</v>
      </c>
      <c r="G2743" s="8" t="s">
        <v>3275</v>
      </c>
      <c r="H2743" s="8" t="s">
        <v>3276</v>
      </c>
      <c r="I2743" s="8" t="s">
        <v>8734</v>
      </c>
      <c r="J2743" s="8"/>
    </row>
    <row r="2744">
      <c r="A2744" s="7">
        <v>2.0045239E7</v>
      </c>
      <c r="B2744" s="8" t="s">
        <v>1723</v>
      </c>
      <c r="C2744" s="8" t="s">
        <v>8735</v>
      </c>
      <c r="D2744" s="8" t="s">
        <v>16</v>
      </c>
      <c r="E2744" s="8" t="s">
        <v>17</v>
      </c>
      <c r="F2744" s="9">
        <v>46081.0</v>
      </c>
      <c r="G2744" s="8" t="s">
        <v>846</v>
      </c>
      <c r="H2744" s="8" t="s">
        <v>847</v>
      </c>
      <c r="I2744" s="8" t="s">
        <v>8736</v>
      </c>
      <c r="J2744" s="8" t="s">
        <v>8737</v>
      </c>
    </row>
    <row r="2745">
      <c r="A2745" s="7">
        <v>2.003612E7</v>
      </c>
      <c r="B2745" s="8" t="s">
        <v>1723</v>
      </c>
      <c r="C2745" s="8" t="s">
        <v>8738</v>
      </c>
      <c r="D2745" s="8" t="s">
        <v>16</v>
      </c>
      <c r="E2745" s="8" t="s">
        <v>17</v>
      </c>
      <c r="F2745" s="9">
        <v>46052.0</v>
      </c>
      <c r="G2745" s="8" t="s">
        <v>3291</v>
      </c>
      <c r="H2745" s="8" t="s">
        <v>3292</v>
      </c>
      <c r="I2745" s="8" t="s">
        <v>8442</v>
      </c>
      <c r="J2745" s="8" t="s">
        <v>8739</v>
      </c>
    </row>
    <row r="2746">
      <c r="A2746" s="7">
        <v>2.006975E7</v>
      </c>
      <c r="B2746" s="8" t="s">
        <v>1723</v>
      </c>
      <c r="C2746" s="8" t="s">
        <v>8740</v>
      </c>
      <c r="D2746" s="8" t="s">
        <v>16</v>
      </c>
      <c r="E2746" s="8" t="s">
        <v>17</v>
      </c>
      <c r="F2746" s="9">
        <v>46182.0</v>
      </c>
      <c r="G2746" s="8" t="s">
        <v>59</v>
      </c>
      <c r="H2746" s="8" t="s">
        <v>60</v>
      </c>
      <c r="I2746" s="8" t="s">
        <v>8741</v>
      </c>
      <c r="J2746" s="8" t="s">
        <v>8742</v>
      </c>
    </row>
    <row r="2747">
      <c r="A2747" s="7">
        <v>2.0069786E7</v>
      </c>
      <c r="B2747" s="8" t="s">
        <v>1723</v>
      </c>
      <c r="C2747" s="8" t="s">
        <v>8743</v>
      </c>
      <c r="D2747" s="8" t="s">
        <v>16</v>
      </c>
      <c r="E2747" s="8" t="s">
        <v>17</v>
      </c>
      <c r="F2747" s="9">
        <v>46186.0</v>
      </c>
      <c r="G2747" s="8" t="s">
        <v>923</v>
      </c>
      <c r="H2747" s="8" t="s">
        <v>7274</v>
      </c>
      <c r="I2747" s="8" t="s">
        <v>8744</v>
      </c>
      <c r="J2747" s="8" t="s">
        <v>8745</v>
      </c>
    </row>
    <row r="2748">
      <c r="A2748" s="7">
        <v>2.0066652E7</v>
      </c>
      <c r="B2748" s="8" t="s">
        <v>1723</v>
      </c>
      <c r="C2748" s="8" t="s">
        <v>8746</v>
      </c>
      <c r="D2748" s="8" t="s">
        <v>16</v>
      </c>
      <c r="E2748" s="8" t="s">
        <v>17</v>
      </c>
      <c r="F2748" s="9">
        <v>46175.0</v>
      </c>
      <c r="G2748" s="8" t="s">
        <v>630</v>
      </c>
      <c r="H2748" s="8" t="s">
        <v>631</v>
      </c>
      <c r="I2748" s="8" t="s">
        <v>8747</v>
      </c>
      <c r="J2748" s="8"/>
    </row>
    <row r="2749">
      <c r="A2749" s="7">
        <v>2.0063091E7</v>
      </c>
      <c r="B2749" s="8" t="s">
        <v>1723</v>
      </c>
      <c r="C2749" s="8" t="s">
        <v>8748</v>
      </c>
      <c r="D2749" s="8" t="s">
        <v>16</v>
      </c>
      <c r="E2749" s="8" t="s">
        <v>17</v>
      </c>
      <c r="F2749" s="9">
        <v>46181.0</v>
      </c>
      <c r="G2749" s="8" t="s">
        <v>158</v>
      </c>
      <c r="H2749" s="8" t="s">
        <v>159</v>
      </c>
      <c r="I2749" s="8" t="s">
        <v>8749</v>
      </c>
      <c r="J2749" s="8"/>
    </row>
    <row r="2750">
      <c r="A2750" s="7">
        <v>2.0061045E7</v>
      </c>
      <c r="B2750" s="8" t="s">
        <v>1723</v>
      </c>
      <c r="C2750" s="8" t="s">
        <v>8750</v>
      </c>
      <c r="D2750" s="8" t="s">
        <v>16</v>
      </c>
      <c r="E2750" s="8" t="s">
        <v>17</v>
      </c>
      <c r="F2750" s="9">
        <v>46150.0</v>
      </c>
      <c r="G2750" s="8" t="s">
        <v>49</v>
      </c>
      <c r="H2750" s="8" t="s">
        <v>50</v>
      </c>
      <c r="I2750" s="8" t="s">
        <v>8751</v>
      </c>
      <c r="J2750" s="8" t="s">
        <v>8752</v>
      </c>
    </row>
    <row r="2751">
      <c r="A2751" s="7">
        <v>2.0057377E7</v>
      </c>
      <c r="B2751" s="8" t="s">
        <v>1723</v>
      </c>
      <c r="C2751" s="8" t="s">
        <v>8753</v>
      </c>
      <c r="D2751" s="8" t="s">
        <v>16</v>
      </c>
      <c r="E2751" s="8" t="s">
        <v>17</v>
      </c>
      <c r="F2751" s="9">
        <v>46157.0</v>
      </c>
      <c r="G2751" s="8" t="s">
        <v>171</v>
      </c>
      <c r="H2751" s="8" t="s">
        <v>172</v>
      </c>
      <c r="I2751" s="8" t="s">
        <v>8754</v>
      </c>
      <c r="J2751" s="8" t="s">
        <v>8755</v>
      </c>
    </row>
    <row r="2752">
      <c r="A2752" s="7">
        <v>2.0054589E7</v>
      </c>
      <c r="B2752" s="8" t="s">
        <v>1723</v>
      </c>
      <c r="C2752" s="8" t="s">
        <v>8756</v>
      </c>
      <c r="D2752" s="8" t="s">
        <v>16</v>
      </c>
      <c r="E2752" s="8" t="s">
        <v>17</v>
      </c>
      <c r="F2752" s="9">
        <v>46155.0</v>
      </c>
      <c r="G2752" s="8" t="s">
        <v>195</v>
      </c>
      <c r="H2752" s="8" t="s">
        <v>196</v>
      </c>
      <c r="I2752" s="8" t="s">
        <v>8757</v>
      </c>
      <c r="J2752" s="8" t="s">
        <v>8758</v>
      </c>
    </row>
    <row r="2753">
      <c r="A2753" s="7">
        <v>2.0053826E7</v>
      </c>
      <c r="B2753" s="8" t="s">
        <v>1723</v>
      </c>
      <c r="C2753" s="8" t="s">
        <v>8759</v>
      </c>
      <c r="D2753" s="8" t="s">
        <v>16</v>
      </c>
      <c r="E2753" s="8" t="s">
        <v>17</v>
      </c>
      <c r="F2753" s="9">
        <v>46126.0</v>
      </c>
      <c r="G2753" s="8" t="s">
        <v>282</v>
      </c>
      <c r="H2753" s="8" t="s">
        <v>3005</v>
      </c>
      <c r="I2753" s="8" t="s">
        <v>8760</v>
      </c>
      <c r="J2753" s="8" t="s">
        <v>8761</v>
      </c>
    </row>
    <row r="2754">
      <c r="A2754" s="7">
        <v>2.0051756E7</v>
      </c>
      <c r="B2754" s="8" t="s">
        <v>1723</v>
      </c>
      <c r="C2754" s="8" t="s">
        <v>8762</v>
      </c>
      <c r="D2754" s="8" t="s">
        <v>16</v>
      </c>
      <c r="E2754" s="8" t="s">
        <v>17</v>
      </c>
      <c r="F2754" s="9">
        <v>46111.0</v>
      </c>
      <c r="G2754" s="8" t="s">
        <v>59</v>
      </c>
      <c r="H2754" s="8" t="s">
        <v>60</v>
      </c>
      <c r="I2754" s="8" t="s">
        <v>8763</v>
      </c>
      <c r="J2754" s="8" t="s">
        <v>8764</v>
      </c>
    </row>
    <row r="2755">
      <c r="A2755" s="7">
        <v>2.0044407E7</v>
      </c>
      <c r="B2755" s="8" t="s">
        <v>1723</v>
      </c>
      <c r="C2755" s="8" t="s">
        <v>8765</v>
      </c>
      <c r="D2755" s="8" t="s">
        <v>16</v>
      </c>
      <c r="E2755" s="8" t="s">
        <v>17</v>
      </c>
      <c r="F2755" s="9">
        <v>46078.0</v>
      </c>
      <c r="G2755" s="8" t="s">
        <v>59</v>
      </c>
      <c r="H2755" s="8" t="s">
        <v>60</v>
      </c>
      <c r="I2755" s="8" t="s">
        <v>8766</v>
      </c>
      <c r="J2755" s="8"/>
    </row>
    <row r="2756">
      <c r="A2756" s="7">
        <v>2.0037638E7</v>
      </c>
      <c r="B2756" s="8" t="s">
        <v>1723</v>
      </c>
      <c r="C2756" s="8" t="s">
        <v>8767</v>
      </c>
      <c r="D2756" s="8" t="s">
        <v>16</v>
      </c>
      <c r="E2756" s="8" t="s">
        <v>17</v>
      </c>
      <c r="F2756" s="9">
        <v>46052.0</v>
      </c>
      <c r="G2756" s="8" t="s">
        <v>1045</v>
      </c>
      <c r="H2756" s="8" t="s">
        <v>909</v>
      </c>
      <c r="I2756" s="8" t="s">
        <v>8768</v>
      </c>
      <c r="J2756" s="8" t="s">
        <v>8769</v>
      </c>
    </row>
    <row r="2757">
      <c r="A2757" s="7">
        <v>2.0066391E7</v>
      </c>
      <c r="B2757" s="8" t="s">
        <v>1723</v>
      </c>
      <c r="C2757" s="8" t="s">
        <v>8770</v>
      </c>
      <c r="D2757" s="8" t="s">
        <v>16</v>
      </c>
      <c r="E2757" s="8" t="s">
        <v>17</v>
      </c>
      <c r="F2757" s="9">
        <v>46168.0</v>
      </c>
      <c r="G2757" s="8" t="s">
        <v>91</v>
      </c>
      <c r="H2757" s="8" t="s">
        <v>92</v>
      </c>
      <c r="I2757" s="8" t="s">
        <v>8771</v>
      </c>
      <c r="J2757" s="8" t="s">
        <v>8772</v>
      </c>
    </row>
    <row r="2758">
      <c r="A2758" s="7">
        <v>2.0065984E7</v>
      </c>
      <c r="B2758" s="8" t="s">
        <v>1723</v>
      </c>
      <c r="C2758" s="8" t="s">
        <v>8773</v>
      </c>
      <c r="D2758" s="8" t="s">
        <v>16</v>
      </c>
      <c r="E2758" s="8" t="s">
        <v>17</v>
      </c>
      <c r="F2758" s="9">
        <v>46168.0</v>
      </c>
      <c r="G2758" s="8" t="s">
        <v>59</v>
      </c>
      <c r="H2758" s="8" t="s">
        <v>60</v>
      </c>
      <c r="I2758" s="8" t="s">
        <v>8774</v>
      </c>
      <c r="J2758" s="8" t="s">
        <v>8775</v>
      </c>
    </row>
    <row r="2759">
      <c r="A2759" s="7">
        <v>2.0061236E7</v>
      </c>
      <c r="B2759" s="8" t="s">
        <v>1723</v>
      </c>
      <c r="C2759" s="8" t="s">
        <v>8776</v>
      </c>
      <c r="D2759" s="8" t="s">
        <v>16</v>
      </c>
      <c r="E2759" s="8" t="s">
        <v>17</v>
      </c>
      <c r="F2759" s="9">
        <v>46165.0</v>
      </c>
      <c r="G2759" s="8" t="s">
        <v>8777</v>
      </c>
      <c r="H2759" s="8" t="s">
        <v>8778</v>
      </c>
      <c r="I2759" s="8" t="s">
        <v>8779</v>
      </c>
      <c r="J2759" s="8" t="s">
        <v>8780</v>
      </c>
    </row>
    <row r="2760">
      <c r="A2760" s="7">
        <v>2.0061498E7</v>
      </c>
      <c r="B2760" s="8" t="s">
        <v>1723</v>
      </c>
      <c r="C2760" s="8" t="s">
        <v>8781</v>
      </c>
      <c r="D2760" s="8" t="s">
        <v>16</v>
      </c>
      <c r="E2760" s="8" t="s">
        <v>17</v>
      </c>
      <c r="F2760" s="9">
        <v>46178.0</v>
      </c>
      <c r="G2760" s="8" t="s">
        <v>2202</v>
      </c>
      <c r="H2760" s="8" t="s">
        <v>2203</v>
      </c>
      <c r="I2760" s="8" t="s">
        <v>8782</v>
      </c>
      <c r="J2760" s="8" t="s">
        <v>8783</v>
      </c>
    </row>
    <row r="2761">
      <c r="A2761" s="7">
        <v>2.0061228E7</v>
      </c>
      <c r="B2761" s="8" t="s">
        <v>1723</v>
      </c>
      <c r="C2761" s="8" t="s">
        <v>8784</v>
      </c>
      <c r="D2761" s="8" t="s">
        <v>16</v>
      </c>
      <c r="E2761" s="8" t="s">
        <v>17</v>
      </c>
      <c r="F2761" s="9">
        <v>46146.0</v>
      </c>
      <c r="G2761" s="8" t="s">
        <v>3837</v>
      </c>
      <c r="H2761" s="8" t="s">
        <v>3838</v>
      </c>
      <c r="I2761" s="8" t="s">
        <v>8785</v>
      </c>
      <c r="J2761" s="8" t="s">
        <v>8786</v>
      </c>
    </row>
    <row r="2762">
      <c r="A2762" s="7">
        <v>2.0060645E7</v>
      </c>
      <c r="B2762" s="8" t="s">
        <v>1723</v>
      </c>
      <c r="C2762" s="8" t="s">
        <v>8787</v>
      </c>
      <c r="D2762" s="8" t="s">
        <v>16</v>
      </c>
      <c r="E2762" s="8" t="s">
        <v>17</v>
      </c>
      <c r="F2762" s="9">
        <v>46150.0</v>
      </c>
      <c r="G2762" s="8" t="s">
        <v>8788</v>
      </c>
      <c r="H2762" s="8" t="s">
        <v>8789</v>
      </c>
      <c r="I2762" s="8" t="s">
        <v>8790</v>
      </c>
      <c r="J2762" s="8" t="s">
        <v>8791</v>
      </c>
    </row>
    <row r="2763">
      <c r="A2763" s="7">
        <v>2.0060424E7</v>
      </c>
      <c r="B2763" s="8" t="s">
        <v>1723</v>
      </c>
      <c r="C2763" s="8" t="s">
        <v>8792</v>
      </c>
      <c r="D2763" s="8" t="s">
        <v>16</v>
      </c>
      <c r="E2763" s="8" t="s">
        <v>17</v>
      </c>
      <c r="F2763" s="9">
        <v>46145.0</v>
      </c>
      <c r="G2763" s="8" t="s">
        <v>385</v>
      </c>
      <c r="H2763" s="8" t="s">
        <v>386</v>
      </c>
      <c r="I2763" s="8" t="s">
        <v>8793</v>
      </c>
      <c r="J2763" s="8" t="s">
        <v>8794</v>
      </c>
    </row>
    <row r="2764">
      <c r="A2764" s="7">
        <v>2.0059527E7</v>
      </c>
      <c r="B2764" s="8" t="s">
        <v>1723</v>
      </c>
      <c r="C2764" s="8" t="s">
        <v>8795</v>
      </c>
      <c r="D2764" s="8" t="s">
        <v>16</v>
      </c>
      <c r="E2764" s="8" t="s">
        <v>17</v>
      </c>
      <c r="F2764" s="9">
        <v>46187.0</v>
      </c>
      <c r="G2764" s="8" t="s">
        <v>184</v>
      </c>
      <c r="H2764" s="8" t="s">
        <v>185</v>
      </c>
      <c r="I2764" s="8" t="s">
        <v>8796</v>
      </c>
      <c r="J2764" s="8" t="s">
        <v>8797</v>
      </c>
    </row>
    <row r="2765">
      <c r="A2765" s="7">
        <v>2.0057649E7</v>
      </c>
      <c r="B2765" s="8" t="s">
        <v>1723</v>
      </c>
      <c r="C2765" s="8" t="s">
        <v>8798</v>
      </c>
      <c r="D2765" s="8" t="s">
        <v>16</v>
      </c>
      <c r="E2765" s="8" t="s">
        <v>17</v>
      </c>
      <c r="F2765" s="9">
        <v>46151.0</v>
      </c>
      <c r="G2765" s="8" t="s">
        <v>171</v>
      </c>
      <c r="H2765" s="8" t="s">
        <v>172</v>
      </c>
      <c r="I2765" s="8" t="s">
        <v>8799</v>
      </c>
      <c r="J2765" s="8"/>
    </row>
    <row r="2766">
      <c r="A2766" s="7">
        <v>2.0055614E7</v>
      </c>
      <c r="B2766" s="8" t="s">
        <v>1723</v>
      </c>
      <c r="C2766" s="8" t="s">
        <v>8800</v>
      </c>
      <c r="D2766" s="8" t="s">
        <v>16</v>
      </c>
      <c r="E2766" s="8" t="s">
        <v>17</v>
      </c>
      <c r="F2766" s="9">
        <v>46142.0</v>
      </c>
      <c r="G2766" s="8" t="s">
        <v>791</v>
      </c>
      <c r="H2766" s="8" t="s">
        <v>792</v>
      </c>
      <c r="I2766" s="8" t="s">
        <v>8801</v>
      </c>
      <c r="J2766" s="8"/>
    </row>
    <row r="2767">
      <c r="A2767" s="7">
        <v>2.005528E7</v>
      </c>
      <c r="B2767" s="8" t="s">
        <v>1723</v>
      </c>
      <c r="C2767" s="8" t="s">
        <v>8802</v>
      </c>
      <c r="D2767" s="8" t="s">
        <v>16</v>
      </c>
      <c r="E2767" s="8" t="s">
        <v>17</v>
      </c>
      <c r="F2767" s="9">
        <v>46125.0</v>
      </c>
      <c r="G2767" s="8" t="s">
        <v>195</v>
      </c>
      <c r="H2767" s="8" t="s">
        <v>196</v>
      </c>
      <c r="I2767" s="8" t="s">
        <v>8803</v>
      </c>
      <c r="J2767" s="8" t="s">
        <v>8804</v>
      </c>
    </row>
    <row r="2768">
      <c r="A2768" s="7">
        <v>2.0049532E7</v>
      </c>
      <c r="B2768" s="8" t="s">
        <v>1723</v>
      </c>
      <c r="C2768" s="8" t="s">
        <v>8805</v>
      </c>
      <c r="D2768" s="8" t="s">
        <v>16</v>
      </c>
      <c r="E2768" s="8" t="s">
        <v>17</v>
      </c>
      <c r="F2768" s="9">
        <v>46101.0</v>
      </c>
      <c r="G2768" s="8" t="s">
        <v>91</v>
      </c>
      <c r="H2768" s="8" t="s">
        <v>92</v>
      </c>
      <c r="I2768" s="8" t="s">
        <v>8806</v>
      </c>
      <c r="J2768" s="8"/>
    </row>
    <row r="2769">
      <c r="A2769" s="7">
        <v>2.0046901E7</v>
      </c>
      <c r="B2769" s="8" t="s">
        <v>1723</v>
      </c>
      <c r="C2769" s="8" t="s">
        <v>8807</v>
      </c>
      <c r="D2769" s="8" t="s">
        <v>16</v>
      </c>
      <c r="E2769" s="8" t="s">
        <v>17</v>
      </c>
      <c r="F2769" s="9">
        <v>46102.0</v>
      </c>
      <c r="G2769" s="8" t="s">
        <v>8808</v>
      </c>
      <c r="H2769" s="8" t="s">
        <v>909</v>
      </c>
      <c r="I2769" s="8" t="s">
        <v>8809</v>
      </c>
      <c r="J2769" s="8" t="s">
        <v>8810</v>
      </c>
    </row>
    <row r="2770">
      <c r="A2770" s="7">
        <v>2.0047473E7</v>
      </c>
      <c r="B2770" s="8" t="s">
        <v>1723</v>
      </c>
      <c r="C2770" s="8" t="s">
        <v>8811</v>
      </c>
      <c r="D2770" s="8" t="s">
        <v>16</v>
      </c>
      <c r="E2770" s="8" t="s">
        <v>17</v>
      </c>
      <c r="F2770" s="9">
        <v>46094.0</v>
      </c>
      <c r="G2770" s="8" t="s">
        <v>91</v>
      </c>
      <c r="H2770" s="8" t="s">
        <v>92</v>
      </c>
      <c r="I2770" s="8" t="s">
        <v>8812</v>
      </c>
      <c r="J2770" s="8" t="s">
        <v>8813</v>
      </c>
    </row>
    <row r="2771">
      <c r="A2771" s="7">
        <v>2.006511E7</v>
      </c>
      <c r="B2771" s="8" t="s">
        <v>1723</v>
      </c>
      <c r="C2771" s="8" t="s">
        <v>8814</v>
      </c>
      <c r="D2771" s="8" t="s">
        <v>16</v>
      </c>
      <c r="E2771" s="8" t="s">
        <v>17</v>
      </c>
      <c r="F2771" s="9">
        <v>46186.0</v>
      </c>
      <c r="G2771" s="8" t="s">
        <v>410</v>
      </c>
      <c r="H2771" s="8" t="s">
        <v>411</v>
      </c>
      <c r="I2771" s="8" t="s">
        <v>8815</v>
      </c>
      <c r="J2771" s="8"/>
    </row>
    <row r="2772">
      <c r="A2772" s="7">
        <v>2.0064652E7</v>
      </c>
      <c r="B2772" s="8" t="s">
        <v>1723</v>
      </c>
      <c r="C2772" s="8" t="s">
        <v>8816</v>
      </c>
      <c r="D2772" s="8" t="s">
        <v>16</v>
      </c>
      <c r="E2772" s="8" t="s">
        <v>17</v>
      </c>
      <c r="F2772" s="9">
        <v>46182.0</v>
      </c>
      <c r="G2772" s="8" t="s">
        <v>8817</v>
      </c>
      <c r="H2772" s="8" t="s">
        <v>455</v>
      </c>
      <c r="I2772" s="8" t="s">
        <v>8818</v>
      </c>
      <c r="J2772" s="8" t="s">
        <v>8819</v>
      </c>
    </row>
    <row r="2773">
      <c r="A2773" s="7">
        <v>2.0062111E7</v>
      </c>
      <c r="B2773" s="8" t="s">
        <v>1723</v>
      </c>
      <c r="C2773" s="8" t="s">
        <v>8820</v>
      </c>
      <c r="D2773" s="8" t="s">
        <v>16</v>
      </c>
      <c r="E2773" s="8" t="s">
        <v>17</v>
      </c>
      <c r="F2773" s="9">
        <v>46187.0</v>
      </c>
      <c r="G2773" s="8" t="s">
        <v>361</v>
      </c>
      <c r="H2773" s="8" t="s">
        <v>362</v>
      </c>
      <c r="I2773" s="8" t="s">
        <v>8821</v>
      </c>
      <c r="J2773" s="8" t="s">
        <v>8822</v>
      </c>
    </row>
    <row r="2774">
      <c r="A2774" s="7">
        <v>2.0059075E7</v>
      </c>
      <c r="B2774" s="8" t="s">
        <v>1723</v>
      </c>
      <c r="C2774" s="8" t="s">
        <v>8823</v>
      </c>
      <c r="D2774" s="8" t="s">
        <v>16</v>
      </c>
      <c r="E2774" s="8" t="s">
        <v>17</v>
      </c>
      <c r="F2774" s="9">
        <v>46147.0</v>
      </c>
      <c r="G2774" s="8" t="s">
        <v>1093</v>
      </c>
      <c r="H2774" s="8" t="s">
        <v>1094</v>
      </c>
      <c r="I2774" s="8" t="s">
        <v>8824</v>
      </c>
      <c r="J2774" s="8" t="s">
        <v>8825</v>
      </c>
    </row>
    <row r="2775">
      <c r="A2775" s="7">
        <v>2.0059075E7</v>
      </c>
      <c r="B2775" s="8" t="s">
        <v>1723</v>
      </c>
      <c r="C2775" s="8" t="s">
        <v>8823</v>
      </c>
      <c r="D2775" s="8" t="s">
        <v>16</v>
      </c>
      <c r="E2775" s="8" t="s">
        <v>17</v>
      </c>
      <c r="F2775" s="9">
        <v>46147.0</v>
      </c>
      <c r="G2775" s="8" t="s">
        <v>1093</v>
      </c>
      <c r="H2775" s="8" t="s">
        <v>1094</v>
      </c>
      <c r="I2775" s="8" t="s">
        <v>8826</v>
      </c>
      <c r="J2775" s="8" t="s">
        <v>8825</v>
      </c>
    </row>
    <row r="2776">
      <c r="A2776" s="7">
        <v>2.0052957E7</v>
      </c>
      <c r="B2776" s="8" t="s">
        <v>1723</v>
      </c>
      <c r="C2776" s="8" t="s">
        <v>8827</v>
      </c>
      <c r="D2776" s="8" t="s">
        <v>16</v>
      </c>
      <c r="E2776" s="8" t="s">
        <v>17</v>
      </c>
      <c r="F2776" s="9">
        <v>46113.0</v>
      </c>
      <c r="G2776" s="8" t="s">
        <v>273</v>
      </c>
      <c r="H2776" s="8" t="s">
        <v>274</v>
      </c>
      <c r="I2776" s="8" t="s">
        <v>8828</v>
      </c>
      <c r="J2776" s="8" t="s">
        <v>8829</v>
      </c>
    </row>
    <row r="2777">
      <c r="A2777" s="7">
        <v>2.0052411E7</v>
      </c>
      <c r="B2777" s="8" t="s">
        <v>1723</v>
      </c>
      <c r="C2777" s="8" t="s">
        <v>8830</v>
      </c>
      <c r="D2777" s="8" t="s">
        <v>16</v>
      </c>
      <c r="E2777" s="8" t="s">
        <v>17</v>
      </c>
      <c r="F2777" s="9">
        <v>46132.0</v>
      </c>
      <c r="G2777" s="8" t="s">
        <v>3133</v>
      </c>
      <c r="H2777" s="8" t="s">
        <v>3134</v>
      </c>
      <c r="I2777" s="8" t="s">
        <v>8831</v>
      </c>
      <c r="J2777" s="8"/>
    </row>
    <row r="2778">
      <c r="A2778" s="7">
        <v>2.0051054E7</v>
      </c>
      <c r="B2778" s="8" t="s">
        <v>1723</v>
      </c>
      <c r="C2778" s="8" t="s">
        <v>8832</v>
      </c>
      <c r="D2778" s="8" t="s">
        <v>16</v>
      </c>
      <c r="E2778" s="8" t="s">
        <v>17</v>
      </c>
      <c r="F2778" s="9">
        <v>46108.0</v>
      </c>
      <c r="G2778" s="8" t="s">
        <v>8833</v>
      </c>
      <c r="H2778" s="8" t="s">
        <v>8834</v>
      </c>
      <c r="I2778" s="8" t="s">
        <v>8835</v>
      </c>
      <c r="J2778" s="8" t="s">
        <v>1752</v>
      </c>
    </row>
    <row r="2779">
      <c r="A2779" s="7">
        <v>2.0040681E7</v>
      </c>
      <c r="B2779" s="8" t="s">
        <v>1723</v>
      </c>
      <c r="C2779" s="8" t="s">
        <v>8836</v>
      </c>
      <c r="D2779" s="8" t="s">
        <v>16</v>
      </c>
      <c r="E2779" s="8" t="s">
        <v>17</v>
      </c>
      <c r="F2779" s="9">
        <v>46084.0</v>
      </c>
      <c r="G2779" s="8" t="s">
        <v>335</v>
      </c>
      <c r="H2779" s="8" t="s">
        <v>336</v>
      </c>
      <c r="I2779" s="8" t="s">
        <v>8837</v>
      </c>
      <c r="J2779" s="8"/>
    </row>
    <row r="2780">
      <c r="A2780" s="7">
        <v>2.0039851E7</v>
      </c>
      <c r="B2780" s="8" t="s">
        <v>1723</v>
      </c>
      <c r="C2780" s="8" t="s">
        <v>8838</v>
      </c>
      <c r="D2780" s="8" t="s">
        <v>16</v>
      </c>
      <c r="E2780" s="8" t="s">
        <v>17</v>
      </c>
      <c r="F2780" s="9">
        <v>46074.0</v>
      </c>
      <c r="G2780" s="8" t="s">
        <v>124</v>
      </c>
      <c r="H2780" s="8" t="s">
        <v>125</v>
      </c>
      <c r="I2780" s="8" t="s">
        <v>8839</v>
      </c>
      <c r="J2780" s="8"/>
    </row>
    <row r="2781">
      <c r="A2781" s="7">
        <v>2.0037748E7</v>
      </c>
      <c r="B2781" s="8" t="s">
        <v>1723</v>
      </c>
      <c r="C2781" s="8" t="s">
        <v>8840</v>
      </c>
      <c r="D2781" s="8" t="s">
        <v>16</v>
      </c>
      <c r="E2781" s="8" t="s">
        <v>17</v>
      </c>
      <c r="F2781" s="9">
        <v>46059.0</v>
      </c>
      <c r="G2781" s="8" t="s">
        <v>8841</v>
      </c>
      <c r="H2781" s="8" t="s">
        <v>8842</v>
      </c>
      <c r="I2781" s="8" t="s">
        <v>8843</v>
      </c>
      <c r="J2781" s="8"/>
    </row>
    <row r="2782">
      <c r="A2782" s="7">
        <v>2.0066561E7</v>
      </c>
      <c r="B2782" s="8" t="s">
        <v>1723</v>
      </c>
      <c r="C2782" s="8" t="s">
        <v>8844</v>
      </c>
      <c r="D2782" s="8" t="s">
        <v>16</v>
      </c>
      <c r="E2782" s="8" t="s">
        <v>17</v>
      </c>
      <c r="F2782" s="9">
        <v>46181.0</v>
      </c>
      <c r="G2782" s="8" t="s">
        <v>59</v>
      </c>
      <c r="H2782" s="8" t="s">
        <v>60</v>
      </c>
      <c r="I2782" s="8" t="s">
        <v>8845</v>
      </c>
      <c r="J2782" s="8" t="s">
        <v>8846</v>
      </c>
    </row>
    <row r="2783">
      <c r="A2783" s="7">
        <v>2.0063432E7</v>
      </c>
      <c r="B2783" s="8" t="s">
        <v>1723</v>
      </c>
      <c r="C2783" s="8" t="s">
        <v>8847</v>
      </c>
      <c r="D2783" s="8" t="s">
        <v>16</v>
      </c>
      <c r="E2783" s="8" t="s">
        <v>17</v>
      </c>
      <c r="F2783" s="9">
        <v>46155.0</v>
      </c>
      <c r="G2783" s="8" t="s">
        <v>91</v>
      </c>
      <c r="H2783" s="8" t="s">
        <v>92</v>
      </c>
      <c r="I2783" s="8" t="s">
        <v>8848</v>
      </c>
      <c r="J2783" s="8" t="s">
        <v>8849</v>
      </c>
    </row>
    <row r="2784">
      <c r="A2784" s="7">
        <v>2.0062121E7</v>
      </c>
      <c r="B2784" s="8" t="s">
        <v>1723</v>
      </c>
      <c r="C2784" s="8" t="s">
        <v>8850</v>
      </c>
      <c r="D2784" s="8" t="s">
        <v>16</v>
      </c>
      <c r="E2784" s="8" t="s">
        <v>7889</v>
      </c>
      <c r="F2784" s="9">
        <v>46155.0</v>
      </c>
      <c r="G2784" s="8" t="s">
        <v>34</v>
      </c>
      <c r="H2784" s="8" t="s">
        <v>35</v>
      </c>
      <c r="I2784" s="8" t="s">
        <v>8851</v>
      </c>
      <c r="J2784" s="8" t="s">
        <v>8852</v>
      </c>
    </row>
    <row r="2785">
      <c r="A2785" s="7">
        <v>2.0062121E7</v>
      </c>
      <c r="B2785" s="8" t="s">
        <v>1723</v>
      </c>
      <c r="C2785" s="8" t="s">
        <v>8850</v>
      </c>
      <c r="D2785" s="8" t="s">
        <v>16</v>
      </c>
      <c r="E2785" s="8" t="s">
        <v>7889</v>
      </c>
      <c r="F2785" s="9">
        <v>46155.0</v>
      </c>
      <c r="G2785" s="8" t="s">
        <v>2511</v>
      </c>
      <c r="H2785" s="8" t="s">
        <v>2512</v>
      </c>
      <c r="I2785" s="8"/>
      <c r="J2785" s="8" t="s">
        <v>8853</v>
      </c>
    </row>
    <row r="2786">
      <c r="A2786" s="7">
        <v>2.0057023E7</v>
      </c>
      <c r="B2786" s="8" t="s">
        <v>1723</v>
      </c>
      <c r="C2786" s="8" t="s">
        <v>8854</v>
      </c>
      <c r="D2786" s="8" t="s">
        <v>16</v>
      </c>
      <c r="E2786" s="8" t="s">
        <v>17</v>
      </c>
      <c r="F2786" s="9">
        <v>46150.0</v>
      </c>
      <c r="G2786" s="8" t="s">
        <v>184</v>
      </c>
      <c r="H2786" s="8" t="s">
        <v>185</v>
      </c>
      <c r="I2786" s="8" t="s">
        <v>8855</v>
      </c>
      <c r="J2786" s="8"/>
    </row>
    <row r="2787">
      <c r="A2787" s="7">
        <v>2.0056651E7</v>
      </c>
      <c r="B2787" s="8" t="s">
        <v>1723</v>
      </c>
      <c r="C2787" s="8" t="s">
        <v>8856</v>
      </c>
      <c r="D2787" s="8" t="s">
        <v>16</v>
      </c>
      <c r="E2787" s="8" t="s">
        <v>17</v>
      </c>
      <c r="F2787" s="9">
        <v>46143.0</v>
      </c>
      <c r="G2787" s="8" t="s">
        <v>132</v>
      </c>
      <c r="H2787" s="8" t="s">
        <v>133</v>
      </c>
      <c r="I2787" s="8" t="s">
        <v>8857</v>
      </c>
      <c r="J2787" s="8" t="s">
        <v>8858</v>
      </c>
    </row>
    <row r="2788">
      <c r="A2788" s="7">
        <v>2.0045859E7</v>
      </c>
      <c r="B2788" s="8" t="s">
        <v>1723</v>
      </c>
      <c r="C2788" s="8" t="s">
        <v>8859</v>
      </c>
      <c r="D2788" s="8" t="s">
        <v>16</v>
      </c>
      <c r="E2788" s="8" t="s">
        <v>17</v>
      </c>
      <c r="F2788" s="9">
        <v>46093.0</v>
      </c>
      <c r="G2788" s="8" t="s">
        <v>59</v>
      </c>
      <c r="H2788" s="8" t="s">
        <v>60</v>
      </c>
      <c r="I2788" s="8" t="s">
        <v>8860</v>
      </c>
      <c r="J2788" s="8" t="s">
        <v>8861</v>
      </c>
    </row>
    <row r="2789">
      <c r="A2789" s="7">
        <v>2.0070724E7</v>
      </c>
      <c r="B2789" s="8" t="s">
        <v>1723</v>
      </c>
      <c r="C2789" s="8" t="s">
        <v>8862</v>
      </c>
      <c r="D2789" s="8" t="s">
        <v>16</v>
      </c>
      <c r="E2789" s="8" t="s">
        <v>17</v>
      </c>
      <c r="F2789" s="9">
        <v>46187.0</v>
      </c>
      <c r="G2789" s="8" t="s">
        <v>365</v>
      </c>
      <c r="H2789" s="8" t="s">
        <v>366</v>
      </c>
      <c r="I2789" s="8" t="s">
        <v>8863</v>
      </c>
      <c r="J2789" s="8" t="s">
        <v>8864</v>
      </c>
    </row>
    <row r="2790">
      <c r="A2790" s="7">
        <v>2.0069062E7</v>
      </c>
      <c r="B2790" s="8" t="s">
        <v>1723</v>
      </c>
      <c r="C2790" s="8" t="s">
        <v>8865</v>
      </c>
      <c r="D2790" s="8" t="s">
        <v>16</v>
      </c>
      <c r="E2790" s="8" t="s">
        <v>17</v>
      </c>
      <c r="F2790" s="9">
        <v>46185.0</v>
      </c>
      <c r="G2790" s="8" t="s">
        <v>400</v>
      </c>
      <c r="H2790" s="8" t="s">
        <v>2144</v>
      </c>
      <c r="I2790" s="8" t="s">
        <v>8866</v>
      </c>
      <c r="J2790" s="8" t="s">
        <v>8867</v>
      </c>
    </row>
    <row r="2791">
      <c r="A2791" s="7">
        <v>2.0059915E7</v>
      </c>
      <c r="B2791" s="8" t="s">
        <v>1723</v>
      </c>
      <c r="C2791" s="8" t="s">
        <v>8868</v>
      </c>
      <c r="D2791" s="8" t="s">
        <v>16</v>
      </c>
      <c r="E2791" s="8" t="s">
        <v>17</v>
      </c>
      <c r="F2791" s="9">
        <v>46152.0</v>
      </c>
      <c r="G2791" s="8" t="s">
        <v>34</v>
      </c>
      <c r="H2791" s="8" t="s">
        <v>35</v>
      </c>
      <c r="I2791" s="8" t="s">
        <v>8869</v>
      </c>
      <c r="J2791" s="8" t="s">
        <v>8870</v>
      </c>
    </row>
    <row r="2792">
      <c r="A2792" s="7">
        <v>2.0067684E7</v>
      </c>
      <c r="B2792" s="8" t="s">
        <v>1723</v>
      </c>
      <c r="C2792" s="8" t="s">
        <v>8871</v>
      </c>
      <c r="D2792" s="8" t="s">
        <v>16</v>
      </c>
      <c r="E2792" s="8" t="s">
        <v>17</v>
      </c>
      <c r="F2792" s="9">
        <v>46193.0</v>
      </c>
      <c r="G2792" s="8" t="s">
        <v>1557</v>
      </c>
      <c r="H2792" s="8" t="s">
        <v>1558</v>
      </c>
      <c r="I2792" s="8" t="s">
        <v>8872</v>
      </c>
      <c r="J2792" s="8" t="s">
        <v>8873</v>
      </c>
    </row>
    <row r="2793">
      <c r="A2793" s="7">
        <v>2.005917E7</v>
      </c>
      <c r="B2793" s="8" t="s">
        <v>1723</v>
      </c>
      <c r="C2793" s="8" t="s">
        <v>8874</v>
      </c>
      <c r="D2793" s="8" t="s">
        <v>16</v>
      </c>
      <c r="E2793" s="8" t="s">
        <v>700</v>
      </c>
      <c r="F2793" s="9">
        <v>46156.0</v>
      </c>
      <c r="G2793" s="8" t="s">
        <v>25</v>
      </c>
      <c r="H2793" s="8" t="s">
        <v>26</v>
      </c>
      <c r="I2793" s="8" t="s">
        <v>8875</v>
      </c>
      <c r="J2793" s="8"/>
    </row>
    <row r="2794">
      <c r="A2794" s="7">
        <v>2.004391E7</v>
      </c>
      <c r="B2794" s="8" t="s">
        <v>1723</v>
      </c>
      <c r="C2794" s="8" t="s">
        <v>8876</v>
      </c>
      <c r="D2794" s="8" t="s">
        <v>16</v>
      </c>
      <c r="E2794" s="8" t="s">
        <v>17</v>
      </c>
      <c r="F2794" s="9">
        <v>46089.0</v>
      </c>
      <c r="G2794" s="8" t="s">
        <v>7961</v>
      </c>
      <c r="H2794" s="8" t="s">
        <v>7962</v>
      </c>
      <c r="I2794" s="8" t="s">
        <v>8877</v>
      </c>
      <c r="J2794" s="8" t="s">
        <v>8878</v>
      </c>
    </row>
    <row r="2795">
      <c r="A2795" s="7">
        <v>2.0043239E7</v>
      </c>
      <c r="B2795" s="8" t="s">
        <v>1723</v>
      </c>
      <c r="C2795" s="8" t="s">
        <v>8879</v>
      </c>
      <c r="D2795" s="8" t="s">
        <v>16</v>
      </c>
      <c r="E2795" s="8" t="s">
        <v>17</v>
      </c>
      <c r="F2795" s="9">
        <v>46105.0</v>
      </c>
      <c r="G2795" s="8" t="s">
        <v>400</v>
      </c>
      <c r="H2795" s="8" t="s">
        <v>401</v>
      </c>
      <c r="I2795" s="8" t="s">
        <v>8880</v>
      </c>
      <c r="J2795" s="8"/>
    </row>
    <row r="2796">
      <c r="A2796" s="7">
        <v>2.0043239E7</v>
      </c>
      <c r="B2796" s="8" t="s">
        <v>1723</v>
      </c>
      <c r="C2796" s="8" t="s">
        <v>8879</v>
      </c>
      <c r="D2796" s="8" t="s">
        <v>16</v>
      </c>
      <c r="E2796" s="8" t="s">
        <v>17</v>
      </c>
      <c r="F2796" s="9">
        <v>46105.0</v>
      </c>
      <c r="G2796" s="8" t="s">
        <v>454</v>
      </c>
      <c r="H2796" s="8" t="s">
        <v>455</v>
      </c>
      <c r="I2796" s="8" t="s">
        <v>8881</v>
      </c>
      <c r="J2796" s="8" t="s">
        <v>8882</v>
      </c>
    </row>
    <row r="2797">
      <c r="A2797" s="7">
        <v>2.0043239E7</v>
      </c>
      <c r="B2797" s="8" t="s">
        <v>1723</v>
      </c>
      <c r="C2797" s="8" t="s">
        <v>8879</v>
      </c>
      <c r="D2797" s="8" t="s">
        <v>16</v>
      </c>
      <c r="E2797" s="8" t="s">
        <v>17</v>
      </c>
      <c r="F2797" s="9">
        <v>46105.0</v>
      </c>
      <c r="G2797" s="8" t="s">
        <v>400</v>
      </c>
      <c r="H2797" s="8" t="s">
        <v>401</v>
      </c>
      <c r="I2797" s="8" t="s">
        <v>8883</v>
      </c>
      <c r="J2797" s="8" t="s">
        <v>8884</v>
      </c>
    </row>
    <row r="2798">
      <c r="A2798" s="7">
        <v>2.0043239E7</v>
      </c>
      <c r="B2798" s="8" t="s">
        <v>1723</v>
      </c>
      <c r="C2798" s="8" t="s">
        <v>8879</v>
      </c>
      <c r="D2798" s="8" t="s">
        <v>16</v>
      </c>
      <c r="E2798" s="8" t="s">
        <v>17</v>
      </c>
      <c r="F2798" s="9">
        <v>46105.0</v>
      </c>
      <c r="G2798" s="8" t="s">
        <v>5105</v>
      </c>
      <c r="H2798" s="8" t="s">
        <v>909</v>
      </c>
      <c r="I2798" s="8" t="s">
        <v>8885</v>
      </c>
      <c r="J2798" s="8" t="s">
        <v>8886</v>
      </c>
    </row>
    <row r="2799">
      <c r="A2799" s="7">
        <v>2.0043239E7</v>
      </c>
      <c r="B2799" s="8" t="s">
        <v>1723</v>
      </c>
      <c r="C2799" s="8" t="s">
        <v>8879</v>
      </c>
      <c r="D2799" s="8" t="s">
        <v>16</v>
      </c>
      <c r="E2799" s="8" t="s">
        <v>17</v>
      </c>
      <c r="F2799" s="9">
        <v>46105.0</v>
      </c>
      <c r="G2799" s="8" t="s">
        <v>400</v>
      </c>
      <c r="H2799" s="8" t="s">
        <v>401</v>
      </c>
      <c r="I2799" s="8" t="s">
        <v>8887</v>
      </c>
      <c r="J2799" s="8"/>
    </row>
    <row r="2800">
      <c r="A2800" s="7">
        <v>2.0072454E7</v>
      </c>
      <c r="B2800" s="8" t="s">
        <v>1723</v>
      </c>
      <c r="C2800" s="8" t="s">
        <v>8888</v>
      </c>
      <c r="D2800" s="8" t="s">
        <v>16</v>
      </c>
      <c r="E2800" s="8" t="s">
        <v>17</v>
      </c>
      <c r="F2800" s="9">
        <v>46193.0</v>
      </c>
      <c r="G2800" s="8" t="s">
        <v>91</v>
      </c>
      <c r="H2800" s="8" t="s">
        <v>92</v>
      </c>
      <c r="I2800" s="8" t="s">
        <v>8889</v>
      </c>
      <c r="J2800" s="8" t="s">
        <v>8890</v>
      </c>
    </row>
    <row r="2801">
      <c r="A2801" s="7">
        <v>2.0065986E7</v>
      </c>
      <c r="B2801" s="8" t="s">
        <v>1723</v>
      </c>
      <c r="C2801" s="8" t="s">
        <v>8891</v>
      </c>
      <c r="D2801" s="8" t="s">
        <v>16</v>
      </c>
      <c r="E2801" s="8" t="s">
        <v>17</v>
      </c>
      <c r="F2801" s="9">
        <v>46189.0</v>
      </c>
      <c r="G2801" s="8" t="s">
        <v>8892</v>
      </c>
      <c r="H2801" s="8" t="s">
        <v>8893</v>
      </c>
      <c r="I2801" s="8" t="s">
        <v>8894</v>
      </c>
      <c r="J2801" s="8" t="s">
        <v>8895</v>
      </c>
    </row>
    <row r="2802">
      <c r="A2802" s="7">
        <v>2.0059459E7</v>
      </c>
      <c r="B2802" s="8" t="s">
        <v>1723</v>
      </c>
      <c r="C2802" s="8" t="s">
        <v>8896</v>
      </c>
      <c r="D2802" s="8" t="s">
        <v>16</v>
      </c>
      <c r="E2802" s="8" t="s">
        <v>17</v>
      </c>
      <c r="F2802" s="9">
        <v>46193.0</v>
      </c>
      <c r="G2802" s="8" t="s">
        <v>6778</v>
      </c>
      <c r="H2802" s="8" t="s">
        <v>6779</v>
      </c>
      <c r="I2802" s="8" t="s">
        <v>8897</v>
      </c>
      <c r="J2802" s="8" t="s">
        <v>8898</v>
      </c>
    </row>
    <row r="2803">
      <c r="A2803" s="7">
        <v>2.0055632E7</v>
      </c>
      <c r="B2803" s="8" t="s">
        <v>1723</v>
      </c>
      <c r="C2803" s="8" t="s">
        <v>8899</v>
      </c>
      <c r="D2803" s="8" t="s">
        <v>16</v>
      </c>
      <c r="E2803" s="8" t="s">
        <v>17</v>
      </c>
      <c r="F2803" s="9">
        <v>46135.0</v>
      </c>
      <c r="G2803" s="8" t="s">
        <v>8900</v>
      </c>
      <c r="H2803" s="8" t="s">
        <v>8901</v>
      </c>
      <c r="I2803" s="8" t="s">
        <v>8902</v>
      </c>
      <c r="J2803" s="8" t="s">
        <v>8903</v>
      </c>
    </row>
    <row r="2804">
      <c r="A2804" s="7">
        <v>2.0055166E7</v>
      </c>
      <c r="B2804" s="8" t="s">
        <v>1723</v>
      </c>
      <c r="C2804" s="8" t="s">
        <v>8904</v>
      </c>
      <c r="D2804" s="8" t="s">
        <v>16</v>
      </c>
      <c r="E2804" s="8" t="s">
        <v>17</v>
      </c>
      <c r="F2804" s="9">
        <v>46122.0</v>
      </c>
      <c r="G2804" s="8" t="s">
        <v>59</v>
      </c>
      <c r="H2804" s="8" t="s">
        <v>60</v>
      </c>
      <c r="I2804" s="8" t="s">
        <v>8905</v>
      </c>
      <c r="J2804" s="8" t="s">
        <v>8906</v>
      </c>
    </row>
    <row r="2805">
      <c r="A2805" s="7">
        <v>2.0050178E7</v>
      </c>
      <c r="B2805" s="8" t="s">
        <v>1723</v>
      </c>
      <c r="C2805" s="8" t="s">
        <v>8907</v>
      </c>
      <c r="D2805" s="8" t="s">
        <v>16</v>
      </c>
      <c r="E2805" s="8" t="s">
        <v>17</v>
      </c>
      <c r="F2805" s="9">
        <v>46123.0</v>
      </c>
      <c r="G2805" s="8" t="s">
        <v>59</v>
      </c>
      <c r="H2805" s="8" t="s">
        <v>60</v>
      </c>
      <c r="I2805" s="8" t="s">
        <v>8908</v>
      </c>
      <c r="J2805" s="8" t="s">
        <v>8909</v>
      </c>
    </row>
    <row r="2806">
      <c r="A2806" s="7">
        <v>2.0053229E7</v>
      </c>
      <c r="B2806" s="8" t="s">
        <v>1723</v>
      </c>
      <c r="C2806" s="8" t="s">
        <v>8910</v>
      </c>
      <c r="D2806" s="8" t="s">
        <v>16</v>
      </c>
      <c r="E2806" s="8" t="s">
        <v>17</v>
      </c>
      <c r="F2806" s="9">
        <v>46149.0</v>
      </c>
      <c r="G2806" s="8" t="s">
        <v>8911</v>
      </c>
      <c r="H2806" s="8" t="s">
        <v>8912</v>
      </c>
      <c r="I2806" s="8" t="s">
        <v>8913</v>
      </c>
      <c r="J2806" s="8" t="s">
        <v>8914</v>
      </c>
    </row>
    <row r="2807">
      <c r="A2807" s="7">
        <v>2.0053229E7</v>
      </c>
      <c r="B2807" s="8" t="s">
        <v>1723</v>
      </c>
      <c r="C2807" s="8" t="s">
        <v>8910</v>
      </c>
      <c r="D2807" s="8" t="s">
        <v>16</v>
      </c>
      <c r="E2807" s="8" t="s">
        <v>17</v>
      </c>
      <c r="F2807" s="9">
        <v>46149.0</v>
      </c>
      <c r="G2807" s="8" t="s">
        <v>8915</v>
      </c>
      <c r="H2807" s="8" t="s">
        <v>8916</v>
      </c>
      <c r="I2807" s="8" t="s">
        <v>8917</v>
      </c>
      <c r="J2807" s="8"/>
    </row>
    <row r="2808">
      <c r="A2808" s="7">
        <v>2.0053229E7</v>
      </c>
      <c r="B2808" s="8" t="s">
        <v>1723</v>
      </c>
      <c r="C2808" s="8" t="s">
        <v>8910</v>
      </c>
      <c r="D2808" s="8" t="s">
        <v>16</v>
      </c>
      <c r="E2808" s="8" t="s">
        <v>17</v>
      </c>
      <c r="F2808" s="9">
        <v>46149.0</v>
      </c>
      <c r="G2808" s="8" t="s">
        <v>8918</v>
      </c>
      <c r="H2808" s="8" t="s">
        <v>8919</v>
      </c>
      <c r="I2808" s="8" t="s">
        <v>8920</v>
      </c>
      <c r="J2808" s="8" t="s">
        <v>8921</v>
      </c>
    </row>
    <row r="2809">
      <c r="A2809" s="7">
        <v>2.0053229E7</v>
      </c>
      <c r="B2809" s="8" t="s">
        <v>1723</v>
      </c>
      <c r="C2809" s="8" t="s">
        <v>8910</v>
      </c>
      <c r="D2809" s="8" t="s">
        <v>16</v>
      </c>
      <c r="E2809" s="8" t="s">
        <v>17</v>
      </c>
      <c r="F2809" s="9">
        <v>46149.0</v>
      </c>
      <c r="G2809" s="8" t="s">
        <v>826</v>
      </c>
      <c r="H2809" s="8" t="s">
        <v>7633</v>
      </c>
      <c r="I2809" s="8" t="s">
        <v>8922</v>
      </c>
      <c r="J2809" s="8" t="s">
        <v>8923</v>
      </c>
    </row>
    <row r="2810">
      <c r="A2810" s="7">
        <v>2.0053229E7</v>
      </c>
      <c r="B2810" s="8" t="s">
        <v>1723</v>
      </c>
      <c r="C2810" s="8" t="s">
        <v>8910</v>
      </c>
      <c r="D2810" s="8" t="s">
        <v>16</v>
      </c>
      <c r="E2810" s="8" t="s">
        <v>17</v>
      </c>
      <c r="F2810" s="9">
        <v>46149.0</v>
      </c>
      <c r="G2810" s="8" t="s">
        <v>8915</v>
      </c>
      <c r="H2810" s="8" t="s">
        <v>8924</v>
      </c>
      <c r="I2810" s="8" t="s">
        <v>8925</v>
      </c>
      <c r="J2810" s="8" t="s">
        <v>8926</v>
      </c>
    </row>
    <row r="2811">
      <c r="A2811" s="7">
        <v>2.0053229E7</v>
      </c>
      <c r="B2811" s="8" t="s">
        <v>1723</v>
      </c>
      <c r="C2811" s="8" t="s">
        <v>8910</v>
      </c>
      <c r="D2811" s="8" t="s">
        <v>16</v>
      </c>
      <c r="E2811" s="8" t="s">
        <v>17</v>
      </c>
      <c r="F2811" s="9">
        <v>46149.0</v>
      </c>
      <c r="G2811" s="8" t="s">
        <v>3144</v>
      </c>
      <c r="H2811" s="8" t="s">
        <v>8927</v>
      </c>
      <c r="I2811" s="8" t="s">
        <v>8928</v>
      </c>
      <c r="J2811" s="8"/>
    </row>
    <row r="2812">
      <c r="A2812" s="7">
        <v>2.0051239E7</v>
      </c>
      <c r="B2812" s="8" t="s">
        <v>1723</v>
      </c>
      <c r="C2812" s="8" t="s">
        <v>8929</v>
      </c>
      <c r="D2812" s="8" t="s">
        <v>16</v>
      </c>
      <c r="E2812" s="8" t="s">
        <v>17</v>
      </c>
      <c r="F2812" s="9">
        <v>46122.0</v>
      </c>
      <c r="G2812" s="8" t="s">
        <v>8930</v>
      </c>
      <c r="H2812" s="8" t="s">
        <v>8931</v>
      </c>
      <c r="I2812" s="8" t="s">
        <v>8932</v>
      </c>
      <c r="J2812" s="8"/>
    </row>
    <row r="2813">
      <c r="A2813" s="7">
        <v>2.0049311E7</v>
      </c>
      <c r="B2813" s="8" t="s">
        <v>1723</v>
      </c>
      <c r="C2813" s="8" t="s">
        <v>8933</v>
      </c>
      <c r="D2813" s="8" t="s">
        <v>16</v>
      </c>
      <c r="E2813" s="8" t="s">
        <v>17</v>
      </c>
      <c r="F2813" s="9">
        <v>46100.0</v>
      </c>
      <c r="G2813" s="8" t="s">
        <v>109</v>
      </c>
      <c r="H2813" s="8" t="s">
        <v>110</v>
      </c>
      <c r="I2813" s="8" t="s">
        <v>8934</v>
      </c>
      <c r="J2813" s="8" t="s">
        <v>1752</v>
      </c>
    </row>
    <row r="2814">
      <c r="A2814" s="7">
        <v>2.0048451E7</v>
      </c>
      <c r="B2814" s="8" t="s">
        <v>1723</v>
      </c>
      <c r="C2814" s="8" t="s">
        <v>8935</v>
      </c>
      <c r="D2814" s="8" t="s">
        <v>16</v>
      </c>
      <c r="E2814" s="8" t="s">
        <v>17</v>
      </c>
      <c r="F2814" s="9">
        <v>46092.0</v>
      </c>
      <c r="G2814" s="8" t="s">
        <v>59</v>
      </c>
      <c r="H2814" s="8" t="s">
        <v>60</v>
      </c>
      <c r="I2814" s="8" t="s">
        <v>8936</v>
      </c>
      <c r="J2814" s="8" t="s">
        <v>8937</v>
      </c>
    </row>
    <row r="2815">
      <c r="A2815" s="7">
        <v>2.0042124E7</v>
      </c>
      <c r="B2815" s="8" t="s">
        <v>1723</v>
      </c>
      <c r="C2815" s="8" t="s">
        <v>8938</v>
      </c>
      <c r="D2815" s="8" t="s">
        <v>16</v>
      </c>
      <c r="E2815" s="8" t="s">
        <v>17</v>
      </c>
      <c r="F2815" s="9">
        <v>46072.0</v>
      </c>
      <c r="G2815" s="8" t="s">
        <v>2225</v>
      </c>
      <c r="H2815" s="8" t="s">
        <v>2226</v>
      </c>
      <c r="I2815" s="8" t="s">
        <v>8939</v>
      </c>
      <c r="J2815" s="8" t="s">
        <v>8940</v>
      </c>
    </row>
    <row r="2816">
      <c r="A2816" s="7">
        <v>2.0025078E7</v>
      </c>
      <c r="B2816" s="8" t="s">
        <v>1723</v>
      </c>
      <c r="C2816" s="8" t="s">
        <v>8941</v>
      </c>
      <c r="D2816" s="8" t="s">
        <v>16</v>
      </c>
      <c r="E2816" s="8" t="s">
        <v>17</v>
      </c>
      <c r="F2816" s="9">
        <v>46076.0</v>
      </c>
      <c r="G2816" s="8" t="s">
        <v>1880</v>
      </c>
      <c r="H2816" s="8" t="s">
        <v>55</v>
      </c>
      <c r="I2816" s="8" t="s">
        <v>8942</v>
      </c>
      <c r="J2816" s="8"/>
    </row>
    <row r="2817">
      <c r="A2817" s="7">
        <v>2.0038264E7</v>
      </c>
      <c r="B2817" s="8" t="s">
        <v>1723</v>
      </c>
      <c r="C2817" s="8" t="s">
        <v>8943</v>
      </c>
      <c r="D2817" s="8" t="s">
        <v>16</v>
      </c>
      <c r="E2817" s="8" t="s">
        <v>17</v>
      </c>
      <c r="F2817" s="9">
        <v>46065.0</v>
      </c>
      <c r="G2817" s="8" t="s">
        <v>2989</v>
      </c>
      <c r="H2817" s="8" t="s">
        <v>2990</v>
      </c>
      <c r="I2817" s="8" t="s">
        <v>8944</v>
      </c>
      <c r="J2817" s="8"/>
    </row>
    <row r="2818">
      <c r="A2818" s="7">
        <v>2.0058278E7</v>
      </c>
      <c r="B2818" s="8" t="s">
        <v>1723</v>
      </c>
      <c r="C2818" s="8" t="s">
        <v>8945</v>
      </c>
      <c r="D2818" s="8" t="s">
        <v>16</v>
      </c>
      <c r="E2818" s="8" t="s">
        <v>17</v>
      </c>
      <c r="F2818" s="9">
        <v>46154.0</v>
      </c>
      <c r="G2818" s="8" t="s">
        <v>8946</v>
      </c>
      <c r="H2818" s="8" t="s">
        <v>8947</v>
      </c>
      <c r="I2818" s="8" t="s">
        <v>8948</v>
      </c>
      <c r="J2818" s="8" t="s">
        <v>8949</v>
      </c>
    </row>
    <row r="2819">
      <c r="A2819" s="7">
        <v>2.0058658E7</v>
      </c>
      <c r="B2819" s="8" t="s">
        <v>1723</v>
      </c>
      <c r="C2819" s="8" t="s">
        <v>8950</v>
      </c>
      <c r="D2819" s="8" t="s">
        <v>16</v>
      </c>
      <c r="E2819" s="8" t="s">
        <v>17</v>
      </c>
      <c r="F2819" s="9">
        <v>46139.0</v>
      </c>
      <c r="G2819" s="8" t="s">
        <v>34</v>
      </c>
      <c r="H2819" s="8" t="s">
        <v>35</v>
      </c>
      <c r="I2819" s="8" t="s">
        <v>8951</v>
      </c>
      <c r="J2819" s="8" t="s">
        <v>8952</v>
      </c>
    </row>
    <row r="2820">
      <c r="A2820" s="7">
        <v>2.005827E7</v>
      </c>
      <c r="B2820" s="8" t="s">
        <v>1723</v>
      </c>
      <c r="C2820" s="8" t="s">
        <v>8953</v>
      </c>
      <c r="D2820" s="8" t="s">
        <v>16</v>
      </c>
      <c r="E2820" s="8" t="s">
        <v>17</v>
      </c>
      <c r="F2820" s="9">
        <v>46133.0</v>
      </c>
      <c r="G2820" s="8" t="s">
        <v>91</v>
      </c>
      <c r="H2820" s="8" t="s">
        <v>92</v>
      </c>
      <c r="I2820" s="8" t="s">
        <v>8954</v>
      </c>
      <c r="J2820" s="8" t="s">
        <v>8955</v>
      </c>
    </row>
    <row r="2821">
      <c r="A2821" s="7">
        <v>2.005562E7</v>
      </c>
      <c r="B2821" s="8" t="s">
        <v>1723</v>
      </c>
      <c r="C2821" s="8" t="s">
        <v>8956</v>
      </c>
      <c r="D2821" s="8" t="s">
        <v>16</v>
      </c>
      <c r="E2821" s="8" t="s">
        <v>17</v>
      </c>
      <c r="F2821" s="9">
        <v>46124.0</v>
      </c>
      <c r="G2821" s="8" t="s">
        <v>247</v>
      </c>
      <c r="H2821" s="8" t="s">
        <v>248</v>
      </c>
      <c r="I2821" s="8" t="s">
        <v>8957</v>
      </c>
      <c r="J2821" s="8" t="s">
        <v>8958</v>
      </c>
    </row>
    <row r="2822">
      <c r="A2822" s="7">
        <v>2.0051743E7</v>
      </c>
      <c r="B2822" s="8" t="s">
        <v>1723</v>
      </c>
      <c r="C2822" s="8" t="s">
        <v>8959</v>
      </c>
      <c r="D2822" s="8" t="s">
        <v>16</v>
      </c>
      <c r="E2822" s="8" t="s">
        <v>17</v>
      </c>
      <c r="F2822" s="9">
        <v>46122.0</v>
      </c>
      <c r="G2822" s="8" t="s">
        <v>64</v>
      </c>
      <c r="H2822" s="8" t="s">
        <v>65</v>
      </c>
      <c r="I2822" s="8" t="s">
        <v>8960</v>
      </c>
      <c r="J2822" s="8" t="s">
        <v>8961</v>
      </c>
    </row>
    <row r="2823">
      <c r="A2823" s="7">
        <v>2.0049321E7</v>
      </c>
      <c r="B2823" s="8" t="s">
        <v>1723</v>
      </c>
      <c r="C2823" s="8" t="s">
        <v>8962</v>
      </c>
      <c r="D2823" s="8" t="s">
        <v>16</v>
      </c>
      <c r="E2823" s="8" t="s">
        <v>17</v>
      </c>
      <c r="F2823" s="9">
        <v>46108.0</v>
      </c>
      <c r="G2823" s="8" t="s">
        <v>630</v>
      </c>
      <c r="H2823" s="8" t="s">
        <v>631</v>
      </c>
      <c r="I2823" s="8" t="s">
        <v>8963</v>
      </c>
      <c r="J2823" s="8"/>
    </row>
    <row r="2824">
      <c r="A2824" s="7">
        <v>2.0037847E7</v>
      </c>
      <c r="B2824" s="8" t="s">
        <v>1723</v>
      </c>
      <c r="C2824" s="8" t="s">
        <v>8964</v>
      </c>
      <c r="D2824" s="8" t="s">
        <v>16</v>
      </c>
      <c r="E2824" s="8" t="s">
        <v>17</v>
      </c>
      <c r="F2824" s="9">
        <v>46062.0</v>
      </c>
      <c r="G2824" s="8" t="s">
        <v>7961</v>
      </c>
      <c r="H2824" s="8" t="s">
        <v>7962</v>
      </c>
      <c r="I2824" s="8" t="s">
        <v>8965</v>
      </c>
      <c r="J2824" s="8" t="s">
        <v>8966</v>
      </c>
    </row>
    <row r="2825">
      <c r="A2825" s="7">
        <v>2.0063317E7</v>
      </c>
      <c r="B2825" s="8" t="s">
        <v>1723</v>
      </c>
      <c r="C2825" s="8" t="s">
        <v>8967</v>
      </c>
      <c r="D2825" s="8" t="s">
        <v>16</v>
      </c>
      <c r="E2825" s="8" t="s">
        <v>17</v>
      </c>
      <c r="F2825" s="9">
        <v>46181.0</v>
      </c>
      <c r="G2825" s="8" t="s">
        <v>158</v>
      </c>
      <c r="H2825" s="8" t="s">
        <v>159</v>
      </c>
      <c r="I2825" s="8" t="s">
        <v>8968</v>
      </c>
      <c r="J2825" s="8"/>
    </row>
    <row r="2826">
      <c r="A2826" s="7">
        <v>2.0059851E7</v>
      </c>
      <c r="B2826" s="8" t="s">
        <v>1723</v>
      </c>
      <c r="C2826" s="8" t="s">
        <v>8969</v>
      </c>
      <c r="D2826" s="8" t="s">
        <v>16</v>
      </c>
      <c r="E2826" s="8" t="s">
        <v>17</v>
      </c>
      <c r="F2826" s="9">
        <v>46144.0</v>
      </c>
      <c r="G2826" s="8" t="s">
        <v>400</v>
      </c>
      <c r="H2826" s="8" t="s">
        <v>2144</v>
      </c>
      <c r="I2826" s="8" t="s">
        <v>8970</v>
      </c>
      <c r="J2826" s="8" t="s">
        <v>8971</v>
      </c>
    </row>
    <row r="2827">
      <c r="A2827" s="7">
        <v>2.0057526E7</v>
      </c>
      <c r="B2827" s="8" t="s">
        <v>1723</v>
      </c>
      <c r="C2827" s="8" t="s">
        <v>8972</v>
      </c>
      <c r="D2827" s="8" t="s">
        <v>16</v>
      </c>
      <c r="E2827" s="8" t="s">
        <v>17</v>
      </c>
      <c r="F2827" s="9">
        <v>46158.0</v>
      </c>
      <c r="G2827" s="8" t="s">
        <v>3136</v>
      </c>
      <c r="H2827" s="8" t="s">
        <v>3137</v>
      </c>
      <c r="I2827" s="8" t="s">
        <v>8973</v>
      </c>
      <c r="J2827" s="8"/>
    </row>
    <row r="2828">
      <c r="A2828" s="7">
        <v>2.0048145E7</v>
      </c>
      <c r="B2828" s="8" t="s">
        <v>1723</v>
      </c>
      <c r="C2828" s="8" t="s">
        <v>8974</v>
      </c>
      <c r="D2828" s="8" t="s">
        <v>16</v>
      </c>
      <c r="E2828" s="8" t="s">
        <v>17</v>
      </c>
      <c r="F2828" s="9">
        <v>46097.0</v>
      </c>
      <c r="G2828" s="8" t="s">
        <v>339</v>
      </c>
      <c r="H2828" s="8" t="s">
        <v>340</v>
      </c>
      <c r="I2828" s="8" t="s">
        <v>8975</v>
      </c>
      <c r="J2828" s="8" t="s">
        <v>8976</v>
      </c>
    </row>
    <row r="2829">
      <c r="A2829" s="7">
        <v>2.0040094E7</v>
      </c>
      <c r="B2829" s="8" t="s">
        <v>1723</v>
      </c>
      <c r="C2829" s="8" t="s">
        <v>8977</v>
      </c>
      <c r="D2829" s="8" t="s">
        <v>16</v>
      </c>
      <c r="E2829" s="8" t="s">
        <v>17</v>
      </c>
      <c r="F2829" s="9">
        <v>46071.0</v>
      </c>
      <c r="G2829" s="8" t="s">
        <v>3812</v>
      </c>
      <c r="H2829" s="8" t="s">
        <v>3813</v>
      </c>
      <c r="I2829" s="8" t="s">
        <v>8978</v>
      </c>
      <c r="J2829" s="8" t="s">
        <v>8979</v>
      </c>
    </row>
    <row r="2830">
      <c r="A2830" s="7">
        <v>2.0064974E7</v>
      </c>
      <c r="B2830" s="8" t="s">
        <v>1723</v>
      </c>
      <c r="C2830" s="8" t="s">
        <v>8980</v>
      </c>
      <c r="D2830" s="8" t="s">
        <v>16</v>
      </c>
      <c r="E2830" s="8" t="s">
        <v>17</v>
      </c>
      <c r="F2830" s="9">
        <v>46163.0</v>
      </c>
      <c r="G2830" s="8" t="s">
        <v>1319</v>
      </c>
      <c r="H2830" s="8" t="s">
        <v>1320</v>
      </c>
      <c r="I2830" s="8" t="s">
        <v>8981</v>
      </c>
      <c r="J2830" s="8" t="s">
        <v>8982</v>
      </c>
    </row>
    <row r="2831">
      <c r="A2831" s="7">
        <v>2.0061504E7</v>
      </c>
      <c r="B2831" s="8" t="s">
        <v>1723</v>
      </c>
      <c r="C2831" s="8" t="s">
        <v>8983</v>
      </c>
      <c r="D2831" s="8" t="s">
        <v>16</v>
      </c>
      <c r="E2831" s="8" t="s">
        <v>17</v>
      </c>
      <c r="F2831" s="9">
        <v>46158.0</v>
      </c>
      <c r="G2831" s="8" t="s">
        <v>109</v>
      </c>
      <c r="H2831" s="8" t="s">
        <v>110</v>
      </c>
      <c r="I2831" s="8" t="s">
        <v>8984</v>
      </c>
      <c r="J2831" s="8" t="s">
        <v>8985</v>
      </c>
    </row>
    <row r="2832">
      <c r="A2832" s="7">
        <v>2.0057747E7</v>
      </c>
      <c r="B2832" s="8" t="s">
        <v>1723</v>
      </c>
      <c r="C2832" s="8" t="s">
        <v>8986</v>
      </c>
      <c r="D2832" s="8" t="s">
        <v>16</v>
      </c>
      <c r="E2832" s="8" t="s">
        <v>17</v>
      </c>
      <c r="F2832" s="9">
        <v>46152.0</v>
      </c>
      <c r="G2832" s="8" t="s">
        <v>171</v>
      </c>
      <c r="H2832" s="8" t="s">
        <v>172</v>
      </c>
      <c r="I2832" s="8" t="s">
        <v>8987</v>
      </c>
      <c r="J2832" s="8"/>
    </row>
    <row r="2833">
      <c r="A2833" s="7">
        <v>2.0057024E7</v>
      </c>
      <c r="B2833" s="8" t="s">
        <v>1723</v>
      </c>
      <c r="C2833" s="8" t="s">
        <v>8988</v>
      </c>
      <c r="D2833" s="8" t="s">
        <v>16</v>
      </c>
      <c r="E2833" s="8" t="s">
        <v>17</v>
      </c>
      <c r="F2833" s="9">
        <v>46152.0</v>
      </c>
      <c r="G2833" s="8" t="s">
        <v>184</v>
      </c>
      <c r="H2833" s="8" t="s">
        <v>185</v>
      </c>
      <c r="I2833" s="8" t="s">
        <v>8989</v>
      </c>
      <c r="J2833" s="8" t="s">
        <v>8990</v>
      </c>
    </row>
    <row r="2834">
      <c r="A2834" s="7">
        <v>2.0051501E7</v>
      </c>
      <c r="B2834" s="8" t="s">
        <v>1723</v>
      </c>
      <c r="C2834" s="8" t="s">
        <v>8991</v>
      </c>
      <c r="D2834" s="8" t="s">
        <v>16</v>
      </c>
      <c r="E2834" s="8" t="s">
        <v>17</v>
      </c>
      <c r="F2834" s="9">
        <v>46124.0</v>
      </c>
      <c r="G2834" s="8" t="s">
        <v>361</v>
      </c>
      <c r="H2834" s="8" t="s">
        <v>362</v>
      </c>
      <c r="I2834" s="8" t="s">
        <v>8992</v>
      </c>
      <c r="J2834" s="8"/>
    </row>
    <row r="2835">
      <c r="A2835" s="7">
        <v>2.005104E7</v>
      </c>
      <c r="B2835" s="8" t="s">
        <v>1723</v>
      </c>
      <c r="C2835" s="8" t="s">
        <v>8993</v>
      </c>
      <c r="D2835" s="8" t="s">
        <v>16</v>
      </c>
      <c r="E2835" s="8" t="s">
        <v>17</v>
      </c>
      <c r="F2835" s="9">
        <v>46120.0</v>
      </c>
      <c r="G2835" s="8" t="s">
        <v>1508</v>
      </c>
      <c r="H2835" s="8" t="s">
        <v>1509</v>
      </c>
      <c r="I2835" s="8" t="s">
        <v>8994</v>
      </c>
      <c r="J2835" s="8"/>
    </row>
    <row r="2836">
      <c r="A2836" s="7">
        <v>2.0047125E7</v>
      </c>
      <c r="B2836" s="8" t="s">
        <v>1723</v>
      </c>
      <c r="C2836" s="8" t="s">
        <v>8995</v>
      </c>
      <c r="D2836" s="8" t="s">
        <v>16</v>
      </c>
      <c r="E2836" s="8" t="s">
        <v>17</v>
      </c>
      <c r="F2836" s="9">
        <v>46110.0</v>
      </c>
      <c r="G2836" s="8" t="s">
        <v>1085</v>
      </c>
      <c r="H2836" s="8" t="s">
        <v>1086</v>
      </c>
      <c r="I2836" s="8" t="s">
        <v>8996</v>
      </c>
      <c r="J2836" s="8" t="s">
        <v>8997</v>
      </c>
    </row>
    <row r="2837">
      <c r="A2837" s="7">
        <v>2.0044967E7</v>
      </c>
      <c r="B2837" s="8" t="s">
        <v>1723</v>
      </c>
      <c r="C2837" s="8" t="s">
        <v>8998</v>
      </c>
      <c r="D2837" s="8" t="s">
        <v>16</v>
      </c>
      <c r="E2837" s="8" t="s">
        <v>17</v>
      </c>
      <c r="F2837" s="9">
        <v>46081.0</v>
      </c>
      <c r="G2837" s="8" t="s">
        <v>247</v>
      </c>
      <c r="H2837" s="8" t="s">
        <v>248</v>
      </c>
      <c r="I2837" s="8" t="s">
        <v>8999</v>
      </c>
      <c r="J2837" s="8" t="s">
        <v>9000</v>
      </c>
    </row>
    <row r="2838">
      <c r="A2838" s="7">
        <v>2.004516E7</v>
      </c>
      <c r="B2838" s="8" t="s">
        <v>1723</v>
      </c>
      <c r="C2838" s="8" t="s">
        <v>9001</v>
      </c>
      <c r="D2838" s="8" t="s">
        <v>16</v>
      </c>
      <c r="E2838" s="8" t="s">
        <v>17</v>
      </c>
      <c r="F2838" s="9">
        <v>46107.0</v>
      </c>
      <c r="G2838" s="8" t="s">
        <v>6467</v>
      </c>
      <c r="H2838" s="8" t="s">
        <v>6468</v>
      </c>
      <c r="I2838" s="8" t="s">
        <v>9002</v>
      </c>
      <c r="J2838" s="8" t="s">
        <v>9003</v>
      </c>
    </row>
    <row r="2839">
      <c r="A2839" s="7">
        <v>2.0042998E7</v>
      </c>
      <c r="B2839" s="8" t="s">
        <v>1723</v>
      </c>
      <c r="C2839" s="8" t="s">
        <v>9004</v>
      </c>
      <c r="D2839" s="8" t="s">
        <v>16</v>
      </c>
      <c r="E2839" s="8" t="s">
        <v>17</v>
      </c>
      <c r="F2839" s="9">
        <v>46069.0</v>
      </c>
      <c r="G2839" s="8" t="s">
        <v>59</v>
      </c>
      <c r="H2839" s="8" t="s">
        <v>60</v>
      </c>
      <c r="I2839" s="8" t="s">
        <v>9005</v>
      </c>
      <c r="J2839" s="8" t="s">
        <v>9006</v>
      </c>
    </row>
    <row r="2840">
      <c r="A2840" s="7">
        <v>2.0067522E7</v>
      </c>
      <c r="B2840" s="8" t="s">
        <v>1723</v>
      </c>
      <c r="C2840" s="8" t="s">
        <v>9007</v>
      </c>
      <c r="D2840" s="8" t="s">
        <v>16</v>
      </c>
      <c r="E2840" s="8" t="s">
        <v>17</v>
      </c>
      <c r="F2840" s="9">
        <v>46179.0</v>
      </c>
      <c r="G2840" s="8" t="s">
        <v>3255</v>
      </c>
      <c r="H2840" s="8" t="s">
        <v>3256</v>
      </c>
      <c r="I2840" s="8" t="s">
        <v>9008</v>
      </c>
      <c r="J2840" s="8" t="s">
        <v>9009</v>
      </c>
    </row>
    <row r="2841">
      <c r="A2841" s="7">
        <v>2.0065974E7</v>
      </c>
      <c r="B2841" s="8" t="s">
        <v>1723</v>
      </c>
      <c r="C2841" s="8" t="s">
        <v>9010</v>
      </c>
      <c r="D2841" s="8" t="s">
        <v>16</v>
      </c>
      <c r="E2841" s="8" t="s">
        <v>17</v>
      </c>
      <c r="F2841" s="9">
        <v>46185.0</v>
      </c>
      <c r="G2841" s="8" t="s">
        <v>361</v>
      </c>
      <c r="H2841" s="8" t="s">
        <v>362</v>
      </c>
      <c r="I2841" s="8" t="s">
        <v>9011</v>
      </c>
      <c r="J2841" s="8"/>
    </row>
    <row r="2842">
      <c r="A2842" s="7">
        <v>2.005845E7</v>
      </c>
      <c r="B2842" s="8" t="s">
        <v>1723</v>
      </c>
      <c r="C2842" s="8" t="s">
        <v>9012</v>
      </c>
      <c r="D2842" s="8" t="s">
        <v>16</v>
      </c>
      <c r="E2842" s="8" t="s">
        <v>17</v>
      </c>
      <c r="F2842" s="9">
        <v>46140.0</v>
      </c>
      <c r="G2842" s="8" t="s">
        <v>630</v>
      </c>
      <c r="H2842" s="8" t="s">
        <v>631</v>
      </c>
      <c r="I2842" s="8" t="s">
        <v>9013</v>
      </c>
      <c r="J2842" s="8"/>
    </row>
    <row r="2843">
      <c r="A2843" s="7">
        <v>2.004982E7</v>
      </c>
      <c r="B2843" s="8" t="s">
        <v>1723</v>
      </c>
      <c r="C2843" s="8" t="s">
        <v>9014</v>
      </c>
      <c r="D2843" s="8" t="s">
        <v>16</v>
      </c>
      <c r="E2843" s="8" t="s">
        <v>17</v>
      </c>
      <c r="F2843" s="9">
        <v>46119.0</v>
      </c>
      <c r="G2843" s="8" t="s">
        <v>109</v>
      </c>
      <c r="H2843" s="8" t="s">
        <v>110</v>
      </c>
      <c r="I2843" s="8" t="s">
        <v>9015</v>
      </c>
      <c r="J2843" s="8" t="s">
        <v>9016</v>
      </c>
    </row>
    <row r="2844">
      <c r="A2844" s="7">
        <v>2.0051748E7</v>
      </c>
      <c r="B2844" s="8" t="s">
        <v>1723</v>
      </c>
      <c r="C2844" s="8" t="s">
        <v>9017</v>
      </c>
      <c r="D2844" s="8" t="s">
        <v>16</v>
      </c>
      <c r="E2844" s="8" t="s">
        <v>17</v>
      </c>
      <c r="F2844" s="9">
        <v>46108.0</v>
      </c>
      <c r="G2844" s="8" t="s">
        <v>59</v>
      </c>
      <c r="H2844" s="8" t="s">
        <v>60</v>
      </c>
      <c r="I2844" s="8" t="s">
        <v>9018</v>
      </c>
      <c r="J2844" s="8"/>
    </row>
    <row r="2845">
      <c r="A2845" s="7">
        <v>2.0048019E7</v>
      </c>
      <c r="B2845" s="8" t="s">
        <v>1723</v>
      </c>
      <c r="C2845" s="8" t="s">
        <v>9019</v>
      </c>
      <c r="D2845" s="8" t="s">
        <v>16</v>
      </c>
      <c r="E2845" s="8" t="s">
        <v>17</v>
      </c>
      <c r="F2845" s="9">
        <v>46112.0</v>
      </c>
      <c r="G2845" s="8" t="s">
        <v>1045</v>
      </c>
      <c r="H2845" s="8" t="s">
        <v>909</v>
      </c>
      <c r="I2845" s="8" t="s">
        <v>9020</v>
      </c>
      <c r="J2845" s="8" t="s">
        <v>9021</v>
      </c>
    </row>
    <row r="2846">
      <c r="A2846" s="7">
        <v>2.0042165E7</v>
      </c>
      <c r="B2846" s="8" t="s">
        <v>1723</v>
      </c>
      <c r="C2846" s="8" t="s">
        <v>9022</v>
      </c>
      <c r="D2846" s="8" t="s">
        <v>16</v>
      </c>
      <c r="E2846" s="8" t="s">
        <v>17</v>
      </c>
      <c r="F2846" s="9">
        <v>46094.0</v>
      </c>
      <c r="G2846" s="8" t="s">
        <v>1859</v>
      </c>
      <c r="H2846" s="8" t="s">
        <v>71</v>
      </c>
      <c r="I2846" s="8" t="s">
        <v>9023</v>
      </c>
      <c r="J2846" s="8" t="s">
        <v>9024</v>
      </c>
    </row>
    <row r="2847">
      <c r="A2847" s="7">
        <v>2.0042165E7</v>
      </c>
      <c r="B2847" s="8" t="s">
        <v>1723</v>
      </c>
      <c r="C2847" s="8" t="s">
        <v>9022</v>
      </c>
      <c r="D2847" s="8" t="s">
        <v>16</v>
      </c>
      <c r="E2847" s="8" t="s">
        <v>17</v>
      </c>
      <c r="F2847" s="9">
        <v>46094.0</v>
      </c>
      <c r="G2847" s="8" t="s">
        <v>5431</v>
      </c>
      <c r="H2847" s="8" t="s">
        <v>5432</v>
      </c>
      <c r="I2847" s="8" t="s">
        <v>9025</v>
      </c>
      <c r="J2847" s="8" t="s">
        <v>9026</v>
      </c>
    </row>
    <row r="2848">
      <c r="A2848" s="7">
        <v>2.0069046E7</v>
      </c>
      <c r="B2848" s="8" t="s">
        <v>1723</v>
      </c>
      <c r="C2848" s="8" t="s">
        <v>9027</v>
      </c>
      <c r="D2848" s="8" t="s">
        <v>16</v>
      </c>
      <c r="E2848" s="8" t="s">
        <v>17</v>
      </c>
      <c r="F2848" s="9">
        <v>46187.0</v>
      </c>
      <c r="G2848" s="8" t="s">
        <v>3012</v>
      </c>
      <c r="H2848" s="8" t="s">
        <v>3013</v>
      </c>
      <c r="I2848" s="8" t="s">
        <v>9028</v>
      </c>
      <c r="J2848" s="8" t="s">
        <v>9029</v>
      </c>
    </row>
    <row r="2849">
      <c r="A2849" s="7">
        <v>2.0060183E7</v>
      </c>
      <c r="B2849" s="8" t="s">
        <v>1723</v>
      </c>
      <c r="C2849" s="8" t="s">
        <v>9030</v>
      </c>
      <c r="D2849" s="8" t="s">
        <v>16</v>
      </c>
      <c r="E2849" s="8" t="s">
        <v>17</v>
      </c>
      <c r="F2849" s="9">
        <v>46145.0</v>
      </c>
      <c r="G2849" s="8" t="s">
        <v>59</v>
      </c>
      <c r="H2849" s="8" t="s">
        <v>60</v>
      </c>
      <c r="I2849" s="8" t="s">
        <v>9031</v>
      </c>
      <c r="J2849" s="8" t="s">
        <v>9032</v>
      </c>
    </row>
    <row r="2850">
      <c r="A2850" s="7">
        <v>2.0058268E7</v>
      </c>
      <c r="B2850" s="8" t="s">
        <v>1723</v>
      </c>
      <c r="C2850" s="8" t="s">
        <v>9033</v>
      </c>
      <c r="D2850" s="8" t="s">
        <v>16</v>
      </c>
      <c r="E2850" s="8" t="s">
        <v>17</v>
      </c>
      <c r="F2850" s="9">
        <v>46185.0</v>
      </c>
      <c r="G2850" s="8" t="s">
        <v>410</v>
      </c>
      <c r="H2850" s="8" t="s">
        <v>411</v>
      </c>
      <c r="I2850" s="8" t="s">
        <v>9034</v>
      </c>
      <c r="J2850" s="8"/>
    </row>
    <row r="2851">
      <c r="A2851" s="7">
        <v>2.0055917E7</v>
      </c>
      <c r="B2851" s="8" t="s">
        <v>1723</v>
      </c>
      <c r="C2851" s="8" t="s">
        <v>9035</v>
      </c>
      <c r="D2851" s="8" t="s">
        <v>16</v>
      </c>
      <c r="E2851" s="8" t="s">
        <v>17</v>
      </c>
      <c r="F2851" s="9">
        <v>46135.0</v>
      </c>
      <c r="G2851" s="8" t="s">
        <v>314</v>
      </c>
      <c r="H2851" s="8" t="s">
        <v>315</v>
      </c>
      <c r="I2851" s="8" t="s">
        <v>9036</v>
      </c>
      <c r="J2851" s="8" t="s">
        <v>9037</v>
      </c>
    </row>
    <row r="2852">
      <c r="A2852" s="7">
        <v>2.005195E7</v>
      </c>
      <c r="B2852" s="8" t="s">
        <v>1723</v>
      </c>
      <c r="C2852" s="8" t="s">
        <v>9038</v>
      </c>
      <c r="D2852" s="8" t="s">
        <v>16</v>
      </c>
      <c r="E2852" s="8" t="s">
        <v>17</v>
      </c>
      <c r="F2852" s="9">
        <v>46119.0</v>
      </c>
      <c r="G2852" s="8" t="s">
        <v>195</v>
      </c>
      <c r="H2852" s="8" t="s">
        <v>196</v>
      </c>
      <c r="I2852" s="8" t="s">
        <v>9039</v>
      </c>
      <c r="J2852" s="8" t="s">
        <v>9040</v>
      </c>
    </row>
    <row r="2853">
      <c r="A2853" s="7">
        <v>2.0052448E7</v>
      </c>
      <c r="B2853" s="8" t="s">
        <v>1723</v>
      </c>
      <c r="C2853" s="8" t="s">
        <v>9041</v>
      </c>
      <c r="D2853" s="8" t="s">
        <v>16</v>
      </c>
      <c r="E2853" s="8" t="s">
        <v>17</v>
      </c>
      <c r="F2853" s="9">
        <v>46113.0</v>
      </c>
      <c r="G2853" s="8" t="s">
        <v>1949</v>
      </c>
      <c r="H2853" s="8" t="s">
        <v>1950</v>
      </c>
      <c r="I2853" s="8" t="s">
        <v>9042</v>
      </c>
      <c r="J2853" s="8" t="s">
        <v>9043</v>
      </c>
    </row>
    <row r="2854">
      <c r="A2854" s="7">
        <v>2.0052154E7</v>
      </c>
      <c r="B2854" s="8" t="s">
        <v>1723</v>
      </c>
      <c r="C2854" s="8" t="s">
        <v>9044</v>
      </c>
      <c r="D2854" s="8" t="s">
        <v>16</v>
      </c>
      <c r="E2854" s="8" t="s">
        <v>17</v>
      </c>
      <c r="F2854" s="9">
        <v>46133.0</v>
      </c>
      <c r="G2854" s="8" t="s">
        <v>6228</v>
      </c>
      <c r="H2854" s="8" t="s">
        <v>6229</v>
      </c>
      <c r="I2854" s="8" t="s">
        <v>9045</v>
      </c>
      <c r="J2854" s="8"/>
    </row>
    <row r="2855">
      <c r="A2855" s="7">
        <v>2.0051502E7</v>
      </c>
      <c r="B2855" s="8" t="s">
        <v>1723</v>
      </c>
      <c r="C2855" s="8" t="s">
        <v>9046</v>
      </c>
      <c r="D2855" s="8" t="s">
        <v>16</v>
      </c>
      <c r="E2855" s="8" t="s">
        <v>17</v>
      </c>
      <c r="F2855" s="9">
        <v>46119.0</v>
      </c>
      <c r="G2855" s="8" t="s">
        <v>64</v>
      </c>
      <c r="H2855" s="8" t="s">
        <v>65</v>
      </c>
      <c r="I2855" s="8" t="s">
        <v>9047</v>
      </c>
      <c r="J2855" s="8" t="s">
        <v>9048</v>
      </c>
    </row>
    <row r="2856">
      <c r="A2856" s="7">
        <v>2.0050832E7</v>
      </c>
      <c r="B2856" s="8" t="s">
        <v>1723</v>
      </c>
      <c r="C2856" s="8" t="s">
        <v>9049</v>
      </c>
      <c r="D2856" s="8" t="s">
        <v>16</v>
      </c>
      <c r="E2856" s="8" t="s">
        <v>17</v>
      </c>
      <c r="F2856" s="9">
        <v>46127.0</v>
      </c>
      <c r="G2856" s="8" t="s">
        <v>314</v>
      </c>
      <c r="H2856" s="8" t="s">
        <v>315</v>
      </c>
      <c r="I2856" s="8" t="s">
        <v>9050</v>
      </c>
      <c r="J2856" s="8" t="s">
        <v>9051</v>
      </c>
    </row>
    <row r="2857">
      <c r="A2857" s="7">
        <v>2.0050477E7</v>
      </c>
      <c r="B2857" s="8" t="s">
        <v>1723</v>
      </c>
      <c r="C2857" s="8" t="s">
        <v>9052</v>
      </c>
      <c r="D2857" s="8" t="s">
        <v>16</v>
      </c>
      <c r="E2857" s="8" t="s">
        <v>48</v>
      </c>
      <c r="F2857" s="9">
        <v>46105.0</v>
      </c>
      <c r="G2857" s="8" t="s">
        <v>9053</v>
      </c>
      <c r="H2857" s="8" t="s">
        <v>9054</v>
      </c>
      <c r="I2857" s="8" t="s">
        <v>9055</v>
      </c>
      <c r="J2857" s="8" t="s">
        <v>9056</v>
      </c>
    </row>
    <row r="2858">
      <c r="A2858" s="7">
        <v>2.0034126E7</v>
      </c>
      <c r="B2858" s="8" t="s">
        <v>1723</v>
      </c>
      <c r="C2858" s="8" t="s">
        <v>9057</v>
      </c>
      <c r="D2858" s="8" t="s">
        <v>16</v>
      </c>
      <c r="E2858" s="8" t="s">
        <v>17</v>
      </c>
      <c r="F2858" s="9">
        <v>46069.0</v>
      </c>
      <c r="G2858" s="8" t="s">
        <v>1045</v>
      </c>
      <c r="H2858" s="8" t="s">
        <v>909</v>
      </c>
      <c r="I2858" s="8" t="s">
        <v>9058</v>
      </c>
      <c r="J2858" s="8" t="s">
        <v>9059</v>
      </c>
    </row>
    <row r="2859">
      <c r="A2859" s="7">
        <v>2.0060583E7</v>
      </c>
      <c r="B2859" s="8" t="s">
        <v>1723</v>
      </c>
      <c r="C2859" s="8" t="s">
        <v>9060</v>
      </c>
      <c r="D2859" s="8" t="s">
        <v>16</v>
      </c>
      <c r="E2859" s="8" t="s">
        <v>17</v>
      </c>
      <c r="F2859" s="9">
        <v>46160.0</v>
      </c>
      <c r="G2859" s="8" t="s">
        <v>9061</v>
      </c>
      <c r="H2859" s="8" t="s">
        <v>9062</v>
      </c>
      <c r="I2859" s="8" t="s">
        <v>9063</v>
      </c>
      <c r="J2859" s="8" t="s">
        <v>9064</v>
      </c>
    </row>
    <row r="2860">
      <c r="A2860" s="7">
        <v>2.0059912E7</v>
      </c>
      <c r="B2860" s="8" t="s">
        <v>1723</v>
      </c>
      <c r="C2860" s="8" t="s">
        <v>9065</v>
      </c>
      <c r="D2860" s="8" t="s">
        <v>16</v>
      </c>
      <c r="E2860" s="8" t="s">
        <v>17</v>
      </c>
      <c r="F2860" s="9">
        <v>46151.0</v>
      </c>
      <c r="G2860" s="8" t="s">
        <v>59</v>
      </c>
      <c r="H2860" s="8" t="s">
        <v>60</v>
      </c>
      <c r="I2860" s="8" t="s">
        <v>9066</v>
      </c>
      <c r="J2860" s="8" t="s">
        <v>9067</v>
      </c>
    </row>
    <row r="2861">
      <c r="A2861" s="7">
        <v>2.0059678E7</v>
      </c>
      <c r="B2861" s="8" t="s">
        <v>1723</v>
      </c>
      <c r="C2861" s="8" t="s">
        <v>9068</v>
      </c>
      <c r="D2861" s="8" t="s">
        <v>16</v>
      </c>
      <c r="E2861" s="8" t="s">
        <v>17</v>
      </c>
      <c r="F2861" s="9">
        <v>46177.0</v>
      </c>
      <c r="G2861" s="8" t="s">
        <v>171</v>
      </c>
      <c r="H2861" s="8" t="s">
        <v>172</v>
      </c>
      <c r="I2861" s="8" t="s">
        <v>9069</v>
      </c>
      <c r="J2861" s="8"/>
    </row>
    <row r="2862">
      <c r="A2862" s="7">
        <v>2.0056797E7</v>
      </c>
      <c r="B2862" s="8" t="s">
        <v>1723</v>
      </c>
      <c r="C2862" s="8" t="s">
        <v>9070</v>
      </c>
      <c r="D2862" s="8" t="s">
        <v>16</v>
      </c>
      <c r="E2862" s="8" t="s">
        <v>17</v>
      </c>
      <c r="F2862" s="9">
        <v>46144.0</v>
      </c>
      <c r="G2862" s="8" t="s">
        <v>361</v>
      </c>
      <c r="H2862" s="8" t="s">
        <v>362</v>
      </c>
      <c r="I2862" s="8" t="s">
        <v>9071</v>
      </c>
      <c r="J2862" s="8" t="s">
        <v>9072</v>
      </c>
    </row>
    <row r="2863">
      <c r="A2863" s="7">
        <v>2.0054294E7</v>
      </c>
      <c r="B2863" s="8" t="s">
        <v>1723</v>
      </c>
      <c r="C2863" s="8" t="s">
        <v>9073</v>
      </c>
      <c r="D2863" s="8" t="s">
        <v>16</v>
      </c>
      <c r="E2863" s="8" t="s">
        <v>17</v>
      </c>
      <c r="F2863" s="9">
        <v>46134.0</v>
      </c>
      <c r="G2863" s="8" t="s">
        <v>171</v>
      </c>
      <c r="H2863" s="8" t="s">
        <v>172</v>
      </c>
      <c r="I2863" s="8" t="s">
        <v>9074</v>
      </c>
      <c r="J2863" s="8"/>
    </row>
    <row r="2864">
      <c r="A2864" s="7">
        <v>2.0044288E7</v>
      </c>
      <c r="B2864" s="8" t="s">
        <v>1723</v>
      </c>
      <c r="C2864" s="8" t="s">
        <v>9075</v>
      </c>
      <c r="D2864" s="8" t="s">
        <v>16</v>
      </c>
      <c r="E2864" s="8" t="s">
        <v>17</v>
      </c>
      <c r="F2864" s="9">
        <v>46089.0</v>
      </c>
      <c r="G2864" s="8" t="s">
        <v>9076</v>
      </c>
      <c r="H2864" s="8" t="s">
        <v>44</v>
      </c>
      <c r="I2864" s="8" t="s">
        <v>9077</v>
      </c>
      <c r="J2864" s="8" t="s">
        <v>9078</v>
      </c>
    </row>
    <row r="2865">
      <c r="A2865" s="7">
        <v>2.0036443E7</v>
      </c>
      <c r="B2865" s="8" t="s">
        <v>1723</v>
      </c>
      <c r="C2865" s="8" t="s">
        <v>9079</v>
      </c>
      <c r="D2865" s="8" t="s">
        <v>16</v>
      </c>
      <c r="E2865" s="8" t="s">
        <v>17</v>
      </c>
      <c r="F2865" s="9">
        <v>46062.0</v>
      </c>
      <c r="G2865" s="8" t="s">
        <v>158</v>
      </c>
      <c r="H2865" s="8" t="s">
        <v>159</v>
      </c>
      <c r="I2865" s="8" t="s">
        <v>9080</v>
      </c>
      <c r="J2865" s="8"/>
    </row>
    <row r="2866">
      <c r="A2866" s="7">
        <v>2.006905E7</v>
      </c>
      <c r="B2866" s="8" t="s">
        <v>1723</v>
      </c>
      <c r="C2866" s="8" t="s">
        <v>9081</v>
      </c>
      <c r="D2866" s="8" t="s">
        <v>16</v>
      </c>
      <c r="E2866" s="8" t="s">
        <v>17</v>
      </c>
      <c r="F2866" s="9">
        <v>46182.0</v>
      </c>
      <c r="G2866" s="8" t="s">
        <v>34</v>
      </c>
      <c r="H2866" s="8" t="s">
        <v>35</v>
      </c>
      <c r="I2866" s="8" t="s">
        <v>9082</v>
      </c>
      <c r="J2866" s="8" t="s">
        <v>9083</v>
      </c>
    </row>
    <row r="2867">
      <c r="A2867" s="7">
        <v>2.0066396E7</v>
      </c>
      <c r="B2867" s="8" t="s">
        <v>1723</v>
      </c>
      <c r="C2867" s="8" t="s">
        <v>9084</v>
      </c>
      <c r="D2867" s="8" t="s">
        <v>16</v>
      </c>
      <c r="E2867" s="8" t="s">
        <v>17</v>
      </c>
      <c r="F2867" s="9">
        <v>46171.0</v>
      </c>
      <c r="G2867" s="8" t="s">
        <v>822</v>
      </c>
      <c r="H2867" s="8" t="s">
        <v>3985</v>
      </c>
      <c r="I2867" s="8" t="s">
        <v>9085</v>
      </c>
      <c r="J2867" s="8" t="s">
        <v>9086</v>
      </c>
    </row>
    <row r="2868">
      <c r="A2868" s="7">
        <v>2.0051049E7</v>
      </c>
      <c r="B2868" s="8" t="s">
        <v>1723</v>
      </c>
      <c r="C2868" s="8" t="s">
        <v>9087</v>
      </c>
      <c r="D2868" s="8" t="s">
        <v>16</v>
      </c>
      <c r="E2868" s="8" t="s">
        <v>17</v>
      </c>
      <c r="F2868" s="9">
        <v>46123.0</v>
      </c>
      <c r="G2868" s="8" t="s">
        <v>234</v>
      </c>
      <c r="H2868" s="8" t="s">
        <v>235</v>
      </c>
      <c r="I2868" s="8" t="s">
        <v>9088</v>
      </c>
      <c r="J2868" s="8" t="s">
        <v>9089</v>
      </c>
    </row>
    <row r="2869">
      <c r="A2869" s="7">
        <v>2.0048638E7</v>
      </c>
      <c r="B2869" s="8" t="s">
        <v>1723</v>
      </c>
      <c r="C2869" s="8" t="s">
        <v>9090</v>
      </c>
      <c r="D2869" s="8" t="s">
        <v>16</v>
      </c>
      <c r="E2869" s="8" t="s">
        <v>17</v>
      </c>
      <c r="F2869" s="9">
        <v>46119.0</v>
      </c>
      <c r="G2869" s="8" t="s">
        <v>49</v>
      </c>
      <c r="H2869" s="8" t="s">
        <v>50</v>
      </c>
      <c r="I2869" s="8" t="s">
        <v>9091</v>
      </c>
      <c r="J2869" s="8" t="s">
        <v>9092</v>
      </c>
    </row>
    <row r="2870">
      <c r="A2870" s="7">
        <v>2.0035495E7</v>
      </c>
      <c r="B2870" s="8" t="s">
        <v>1723</v>
      </c>
      <c r="C2870" s="8" t="s">
        <v>9093</v>
      </c>
      <c r="D2870" s="8" t="s">
        <v>16</v>
      </c>
      <c r="E2870" s="8" t="s">
        <v>17</v>
      </c>
      <c r="F2870" s="9">
        <v>46046.0</v>
      </c>
      <c r="G2870" s="8" t="s">
        <v>846</v>
      </c>
      <c r="H2870" s="8" t="s">
        <v>847</v>
      </c>
      <c r="I2870" s="8" t="s">
        <v>9094</v>
      </c>
      <c r="J2870" s="8"/>
    </row>
    <row r="2871">
      <c r="A2871" s="7">
        <v>2.0068566E7</v>
      </c>
      <c r="B2871" s="8" t="s">
        <v>1723</v>
      </c>
      <c r="C2871" s="8" t="s">
        <v>9095</v>
      </c>
      <c r="D2871" s="8" t="s">
        <v>16</v>
      </c>
      <c r="E2871" s="8" t="s">
        <v>700</v>
      </c>
      <c r="F2871" s="9">
        <v>46189.0</v>
      </c>
      <c r="G2871" s="8" t="s">
        <v>826</v>
      </c>
      <c r="H2871" s="8" t="s">
        <v>7633</v>
      </c>
      <c r="I2871" s="8" t="s">
        <v>9096</v>
      </c>
      <c r="J2871" s="8" t="s">
        <v>9097</v>
      </c>
    </row>
    <row r="2872">
      <c r="A2872" s="7">
        <v>2.0064243E7</v>
      </c>
      <c r="B2872" s="8" t="s">
        <v>1723</v>
      </c>
      <c r="C2872" s="8" t="s">
        <v>9098</v>
      </c>
      <c r="D2872" s="8" t="s">
        <v>16</v>
      </c>
      <c r="E2872" s="8" t="s">
        <v>17</v>
      </c>
      <c r="F2872" s="9">
        <v>46165.0</v>
      </c>
      <c r="G2872" s="8" t="s">
        <v>978</v>
      </c>
      <c r="H2872" s="8" t="s">
        <v>979</v>
      </c>
      <c r="I2872" s="8" t="s">
        <v>9099</v>
      </c>
      <c r="J2872" s="8" t="s">
        <v>9100</v>
      </c>
    </row>
    <row r="2873">
      <c r="A2873" s="7">
        <v>2.0064704E7</v>
      </c>
      <c r="B2873" s="8" t="s">
        <v>1723</v>
      </c>
      <c r="C2873" s="8" t="s">
        <v>9101</v>
      </c>
      <c r="D2873" s="8" t="s">
        <v>16</v>
      </c>
      <c r="E2873" s="8" t="s">
        <v>17</v>
      </c>
      <c r="F2873" s="9">
        <v>46186.0</v>
      </c>
      <c r="G2873" s="8" t="s">
        <v>418</v>
      </c>
      <c r="H2873" s="8" t="s">
        <v>419</v>
      </c>
      <c r="I2873" s="8" t="s">
        <v>9102</v>
      </c>
      <c r="J2873" s="8" t="s">
        <v>9103</v>
      </c>
    </row>
    <row r="2874">
      <c r="A2874" s="7">
        <v>2.0064704E7</v>
      </c>
      <c r="B2874" s="8" t="s">
        <v>1723</v>
      </c>
      <c r="C2874" s="8" t="s">
        <v>9101</v>
      </c>
      <c r="D2874" s="8" t="s">
        <v>16</v>
      </c>
      <c r="E2874" s="8" t="s">
        <v>17</v>
      </c>
      <c r="F2874" s="9">
        <v>46186.0</v>
      </c>
      <c r="G2874" s="8" t="s">
        <v>1431</v>
      </c>
      <c r="H2874" s="8" t="s">
        <v>1432</v>
      </c>
      <c r="I2874" s="8" t="s">
        <v>9104</v>
      </c>
      <c r="J2874" s="8" t="s">
        <v>9105</v>
      </c>
    </row>
    <row r="2875">
      <c r="A2875" s="7">
        <v>2.0064704E7</v>
      </c>
      <c r="B2875" s="8" t="s">
        <v>1723</v>
      </c>
      <c r="C2875" s="8" t="s">
        <v>9101</v>
      </c>
      <c r="D2875" s="8" t="s">
        <v>16</v>
      </c>
      <c r="E2875" s="8" t="s">
        <v>17</v>
      </c>
      <c r="F2875" s="9">
        <v>46186.0</v>
      </c>
      <c r="G2875" s="8" t="s">
        <v>1427</v>
      </c>
      <c r="H2875" s="8" t="s">
        <v>1428</v>
      </c>
      <c r="I2875" s="8" t="s">
        <v>9106</v>
      </c>
      <c r="J2875" s="8" t="s">
        <v>9107</v>
      </c>
    </row>
    <row r="2876">
      <c r="A2876" s="7">
        <v>2.0061856E7</v>
      </c>
      <c r="B2876" s="8" t="s">
        <v>1723</v>
      </c>
      <c r="C2876" s="8" t="s">
        <v>9108</v>
      </c>
      <c r="D2876" s="8" t="s">
        <v>16</v>
      </c>
      <c r="E2876" s="8" t="s">
        <v>17</v>
      </c>
      <c r="F2876" s="9">
        <v>46183.0</v>
      </c>
      <c r="G2876" s="8" t="s">
        <v>9109</v>
      </c>
      <c r="H2876" s="8" t="s">
        <v>9110</v>
      </c>
      <c r="I2876" s="8" t="s">
        <v>9111</v>
      </c>
      <c r="J2876" s="8" t="s">
        <v>9112</v>
      </c>
    </row>
    <row r="2877">
      <c r="A2877" s="7">
        <v>2.0061041E7</v>
      </c>
      <c r="B2877" s="8" t="s">
        <v>1723</v>
      </c>
      <c r="C2877" s="8" t="s">
        <v>9113</v>
      </c>
      <c r="D2877" s="8" t="s">
        <v>16</v>
      </c>
      <c r="E2877" s="8" t="s">
        <v>17</v>
      </c>
      <c r="F2877" s="9">
        <v>46149.0</v>
      </c>
      <c r="G2877" s="8" t="s">
        <v>352</v>
      </c>
      <c r="H2877" s="8" t="s">
        <v>353</v>
      </c>
      <c r="I2877" s="8" t="s">
        <v>9114</v>
      </c>
      <c r="J2877" s="8" t="s">
        <v>9115</v>
      </c>
    </row>
    <row r="2878">
      <c r="A2878" s="7">
        <v>2.0059158E7</v>
      </c>
      <c r="B2878" s="8" t="s">
        <v>1723</v>
      </c>
      <c r="C2878" s="8" t="s">
        <v>9116</v>
      </c>
      <c r="D2878" s="8" t="s">
        <v>16</v>
      </c>
      <c r="E2878" s="8" t="s">
        <v>17</v>
      </c>
      <c r="F2878" s="9">
        <v>46177.0</v>
      </c>
      <c r="G2878" s="8" t="s">
        <v>158</v>
      </c>
      <c r="H2878" s="8" t="s">
        <v>159</v>
      </c>
      <c r="I2878" s="8" t="s">
        <v>9117</v>
      </c>
      <c r="J2878" s="8"/>
    </row>
    <row r="2879">
      <c r="A2879" s="7">
        <v>2.005403E7</v>
      </c>
      <c r="B2879" s="8" t="s">
        <v>1723</v>
      </c>
      <c r="C2879" s="8" t="s">
        <v>9118</v>
      </c>
      <c r="D2879" s="8" t="s">
        <v>16</v>
      </c>
      <c r="E2879" s="8" t="s">
        <v>17</v>
      </c>
      <c r="F2879" s="9">
        <v>46135.0</v>
      </c>
      <c r="G2879" s="8" t="s">
        <v>9119</v>
      </c>
      <c r="H2879" s="8" t="s">
        <v>9120</v>
      </c>
      <c r="I2879" s="8" t="s">
        <v>9121</v>
      </c>
      <c r="J2879" s="8" t="s">
        <v>9122</v>
      </c>
    </row>
    <row r="2880">
      <c r="A2880" s="7">
        <v>2.0053098E7</v>
      </c>
      <c r="B2880" s="8" t="s">
        <v>1723</v>
      </c>
      <c r="C2880" s="8" t="s">
        <v>9123</v>
      </c>
      <c r="D2880" s="8" t="s">
        <v>16</v>
      </c>
      <c r="E2880" s="8" t="s">
        <v>17</v>
      </c>
      <c r="F2880" s="9">
        <v>46119.0</v>
      </c>
      <c r="G2880" s="8" t="s">
        <v>59</v>
      </c>
      <c r="H2880" s="8" t="s">
        <v>60</v>
      </c>
      <c r="I2880" s="8" t="s">
        <v>9124</v>
      </c>
      <c r="J2880" s="8" t="s">
        <v>9125</v>
      </c>
    </row>
    <row r="2881">
      <c r="A2881" s="7">
        <v>2.0049231E7</v>
      </c>
      <c r="B2881" s="8" t="s">
        <v>1723</v>
      </c>
      <c r="C2881" s="8" t="s">
        <v>9126</v>
      </c>
      <c r="D2881" s="8" t="s">
        <v>16</v>
      </c>
      <c r="E2881" s="8" t="s">
        <v>17</v>
      </c>
      <c r="F2881" s="9">
        <v>46105.0</v>
      </c>
      <c r="G2881" s="8" t="s">
        <v>339</v>
      </c>
      <c r="H2881" s="8" t="s">
        <v>340</v>
      </c>
      <c r="I2881" s="8" t="s">
        <v>9127</v>
      </c>
      <c r="J2881" s="8" t="s">
        <v>9128</v>
      </c>
    </row>
    <row r="2882">
      <c r="A2882" s="7">
        <v>2.0049576E7</v>
      </c>
      <c r="B2882" s="8" t="s">
        <v>1723</v>
      </c>
      <c r="C2882" s="8" t="s">
        <v>9129</v>
      </c>
      <c r="D2882" s="8" t="s">
        <v>16</v>
      </c>
      <c r="E2882" s="8" t="s">
        <v>17</v>
      </c>
      <c r="F2882" s="9">
        <v>46101.0</v>
      </c>
      <c r="G2882" s="8" t="s">
        <v>385</v>
      </c>
      <c r="H2882" s="8" t="s">
        <v>386</v>
      </c>
      <c r="I2882" s="8" t="s">
        <v>9130</v>
      </c>
      <c r="J2882" s="8" t="s">
        <v>9131</v>
      </c>
    </row>
    <row r="2883">
      <c r="A2883" s="7">
        <v>2.0045625E7</v>
      </c>
      <c r="B2883" s="8" t="s">
        <v>1723</v>
      </c>
      <c r="C2883" s="8" t="s">
        <v>9132</v>
      </c>
      <c r="D2883" s="8" t="s">
        <v>16</v>
      </c>
      <c r="E2883" s="8" t="s">
        <v>17</v>
      </c>
      <c r="F2883" s="9">
        <v>46091.0</v>
      </c>
      <c r="G2883" s="8" t="s">
        <v>1859</v>
      </c>
      <c r="H2883" s="8" t="s">
        <v>71</v>
      </c>
      <c r="I2883" s="8" t="s">
        <v>9133</v>
      </c>
      <c r="J2883" s="8" t="s">
        <v>9134</v>
      </c>
    </row>
    <row r="2884">
      <c r="A2884" s="7">
        <v>2.0043902E7</v>
      </c>
      <c r="B2884" s="8" t="s">
        <v>1723</v>
      </c>
      <c r="C2884" s="8" t="s">
        <v>9135</v>
      </c>
      <c r="D2884" s="8" t="s">
        <v>16</v>
      </c>
      <c r="E2884" s="8" t="s">
        <v>17</v>
      </c>
      <c r="F2884" s="9">
        <v>46095.0</v>
      </c>
      <c r="G2884" s="8" t="s">
        <v>732</v>
      </c>
      <c r="H2884" s="8" t="s">
        <v>733</v>
      </c>
      <c r="I2884" s="8" t="s">
        <v>9136</v>
      </c>
      <c r="J2884" s="8"/>
    </row>
    <row r="2885">
      <c r="A2885" s="7">
        <v>2.0040097E7</v>
      </c>
      <c r="B2885" s="8" t="s">
        <v>1723</v>
      </c>
      <c r="C2885" s="8" t="s">
        <v>9137</v>
      </c>
      <c r="D2885" s="8" t="s">
        <v>16</v>
      </c>
      <c r="E2885" s="8" t="s">
        <v>17</v>
      </c>
      <c r="F2885" s="9">
        <v>46064.0</v>
      </c>
      <c r="G2885" s="8" t="s">
        <v>365</v>
      </c>
      <c r="H2885" s="8" t="s">
        <v>366</v>
      </c>
      <c r="I2885" s="8" t="s">
        <v>9138</v>
      </c>
      <c r="J2885" s="8" t="s">
        <v>9139</v>
      </c>
    </row>
    <row r="2886">
      <c r="A2886" s="7">
        <v>2.003453E7</v>
      </c>
      <c r="B2886" s="8" t="s">
        <v>1723</v>
      </c>
      <c r="C2886" s="8" t="s">
        <v>9140</v>
      </c>
      <c r="D2886" s="8" t="s">
        <v>16</v>
      </c>
      <c r="E2886" s="8" t="s">
        <v>17</v>
      </c>
      <c r="F2886" s="9">
        <v>46052.0</v>
      </c>
      <c r="G2886" s="8" t="s">
        <v>3207</v>
      </c>
      <c r="H2886" s="8" t="s">
        <v>3208</v>
      </c>
      <c r="I2886" s="8" t="s">
        <v>9141</v>
      </c>
      <c r="J2886" s="8" t="s">
        <v>9142</v>
      </c>
    </row>
    <row r="2887">
      <c r="A2887" s="7">
        <v>2.0053936E7</v>
      </c>
      <c r="B2887" s="8" t="s">
        <v>1723</v>
      </c>
      <c r="C2887" s="8" t="s">
        <v>9143</v>
      </c>
      <c r="D2887" s="8" t="s">
        <v>16</v>
      </c>
      <c r="E2887" s="8" t="s">
        <v>17</v>
      </c>
      <c r="F2887" s="9">
        <v>46184.0</v>
      </c>
      <c r="G2887" s="8" t="s">
        <v>124</v>
      </c>
      <c r="H2887" s="8" t="s">
        <v>125</v>
      </c>
      <c r="I2887" s="8" t="s">
        <v>9144</v>
      </c>
      <c r="J2887" s="8"/>
    </row>
    <row r="2888">
      <c r="A2888" s="7">
        <v>2.0055162E7</v>
      </c>
      <c r="B2888" s="8" t="s">
        <v>1723</v>
      </c>
      <c r="C2888" s="8" t="s">
        <v>9145</v>
      </c>
      <c r="D2888" s="8" t="s">
        <v>16</v>
      </c>
      <c r="E2888" s="8" t="s">
        <v>17</v>
      </c>
      <c r="F2888" s="9">
        <v>46123.0</v>
      </c>
      <c r="G2888" s="8" t="s">
        <v>91</v>
      </c>
      <c r="H2888" s="8" t="s">
        <v>92</v>
      </c>
      <c r="I2888" s="8" t="s">
        <v>9146</v>
      </c>
      <c r="J2888" s="8" t="s">
        <v>9147</v>
      </c>
    </row>
    <row r="2889">
      <c r="A2889" s="7">
        <v>2.0055629E7</v>
      </c>
      <c r="B2889" s="8" t="s">
        <v>1723</v>
      </c>
      <c r="C2889" s="8" t="s">
        <v>9148</v>
      </c>
      <c r="D2889" s="8" t="s">
        <v>16</v>
      </c>
      <c r="E2889" s="8" t="s">
        <v>17</v>
      </c>
      <c r="F2889" s="9">
        <v>46122.0</v>
      </c>
      <c r="G2889" s="8" t="s">
        <v>846</v>
      </c>
      <c r="H2889" s="8" t="s">
        <v>847</v>
      </c>
      <c r="I2889" s="8" t="s">
        <v>9149</v>
      </c>
      <c r="J2889" s="8" t="s">
        <v>9150</v>
      </c>
    </row>
    <row r="2890">
      <c r="A2890" s="7">
        <v>2.0054509E7</v>
      </c>
      <c r="B2890" s="8" t="s">
        <v>1723</v>
      </c>
      <c r="C2890" s="8" t="s">
        <v>9151</v>
      </c>
      <c r="D2890" s="8" t="s">
        <v>16</v>
      </c>
      <c r="E2890" s="8" t="s">
        <v>17</v>
      </c>
      <c r="F2890" s="9">
        <v>46134.0</v>
      </c>
      <c r="G2890" s="8" t="s">
        <v>791</v>
      </c>
      <c r="H2890" s="8" t="s">
        <v>792</v>
      </c>
      <c r="I2890" s="8" t="s">
        <v>9152</v>
      </c>
      <c r="J2890" s="8"/>
    </row>
    <row r="2891">
      <c r="A2891" s="7">
        <v>2.0049243E7</v>
      </c>
      <c r="B2891" s="8" t="s">
        <v>1723</v>
      </c>
      <c r="C2891" s="8" t="s">
        <v>9153</v>
      </c>
      <c r="D2891" s="8" t="s">
        <v>16</v>
      </c>
      <c r="E2891" s="8" t="s">
        <v>17</v>
      </c>
      <c r="F2891" s="9">
        <v>46095.0</v>
      </c>
      <c r="G2891" s="8" t="s">
        <v>247</v>
      </c>
      <c r="H2891" s="8" t="s">
        <v>248</v>
      </c>
      <c r="I2891" s="8" t="s">
        <v>9154</v>
      </c>
      <c r="J2891" s="8" t="s">
        <v>9155</v>
      </c>
    </row>
    <row r="2892">
      <c r="A2892" s="7">
        <v>2.0044371E7</v>
      </c>
      <c r="B2892" s="8" t="s">
        <v>1723</v>
      </c>
      <c r="C2892" s="8" t="s">
        <v>9156</v>
      </c>
      <c r="D2892" s="8" t="s">
        <v>16</v>
      </c>
      <c r="E2892" s="8" t="s">
        <v>17</v>
      </c>
      <c r="F2892" s="9">
        <v>46084.0</v>
      </c>
      <c r="G2892" s="8" t="s">
        <v>339</v>
      </c>
      <c r="H2892" s="8" t="s">
        <v>340</v>
      </c>
      <c r="I2892" s="8" t="s">
        <v>9157</v>
      </c>
      <c r="J2892" s="8" t="s">
        <v>9158</v>
      </c>
    </row>
    <row r="2893">
      <c r="A2893" s="7">
        <v>2.006753E7</v>
      </c>
      <c r="B2893" s="8" t="s">
        <v>1723</v>
      </c>
      <c r="C2893" s="8" t="s">
        <v>9159</v>
      </c>
      <c r="D2893" s="8" t="s">
        <v>2136</v>
      </c>
      <c r="E2893" s="8" t="s">
        <v>17</v>
      </c>
      <c r="F2893" s="9">
        <v>46172.0</v>
      </c>
      <c r="G2893" s="8" t="s">
        <v>1007</v>
      </c>
      <c r="H2893" s="8" t="s">
        <v>1008</v>
      </c>
      <c r="I2893" s="8" t="s">
        <v>9160</v>
      </c>
      <c r="J2893" s="8" t="s">
        <v>9161</v>
      </c>
    </row>
    <row r="2894">
      <c r="A2894" s="7">
        <v>2.0063323E7</v>
      </c>
      <c r="B2894" s="8" t="s">
        <v>1723</v>
      </c>
      <c r="C2894" s="8" t="s">
        <v>9162</v>
      </c>
      <c r="D2894" s="8" t="s">
        <v>16</v>
      </c>
      <c r="E2894" s="8" t="s">
        <v>17</v>
      </c>
      <c r="F2894" s="9">
        <v>46180.0</v>
      </c>
      <c r="G2894" s="8" t="s">
        <v>2486</v>
      </c>
      <c r="H2894" s="8" t="s">
        <v>2487</v>
      </c>
      <c r="I2894" s="8" t="s">
        <v>9163</v>
      </c>
      <c r="J2894" s="8" t="s">
        <v>9164</v>
      </c>
    </row>
    <row r="2895">
      <c r="A2895" s="7">
        <v>2.0063655E7</v>
      </c>
      <c r="B2895" s="8" t="s">
        <v>1723</v>
      </c>
      <c r="C2895" s="8" t="s">
        <v>9165</v>
      </c>
      <c r="D2895" s="8" t="s">
        <v>16</v>
      </c>
      <c r="E2895" s="8" t="s">
        <v>17</v>
      </c>
      <c r="F2895" s="9">
        <v>46185.0</v>
      </c>
      <c r="G2895" s="8" t="s">
        <v>9166</v>
      </c>
      <c r="H2895" s="8" t="s">
        <v>9167</v>
      </c>
      <c r="I2895" s="8" t="s">
        <v>9168</v>
      </c>
      <c r="J2895" s="8"/>
    </row>
    <row r="2896">
      <c r="A2896" s="7">
        <v>2.0062884E7</v>
      </c>
      <c r="B2896" s="8" t="s">
        <v>1723</v>
      </c>
      <c r="C2896" s="8" t="s">
        <v>9169</v>
      </c>
      <c r="D2896" s="8" t="s">
        <v>16</v>
      </c>
      <c r="E2896" s="8" t="s">
        <v>17</v>
      </c>
      <c r="F2896" s="9">
        <v>46163.0</v>
      </c>
      <c r="G2896" s="8" t="s">
        <v>234</v>
      </c>
      <c r="H2896" s="8" t="s">
        <v>235</v>
      </c>
      <c r="I2896" s="8" t="s">
        <v>9170</v>
      </c>
      <c r="J2896" s="8" t="s">
        <v>9171</v>
      </c>
    </row>
    <row r="2897">
      <c r="A2897" s="7">
        <v>2.0062455E7</v>
      </c>
      <c r="B2897" s="8" t="s">
        <v>1723</v>
      </c>
      <c r="C2897" s="8" t="s">
        <v>9172</v>
      </c>
      <c r="D2897" s="8" t="s">
        <v>16</v>
      </c>
      <c r="E2897" s="8" t="s">
        <v>17</v>
      </c>
      <c r="F2897" s="9">
        <v>46152.0</v>
      </c>
      <c r="G2897" s="8" t="s">
        <v>59</v>
      </c>
      <c r="H2897" s="8" t="s">
        <v>60</v>
      </c>
      <c r="I2897" s="8" t="s">
        <v>9173</v>
      </c>
      <c r="J2897" s="8" t="s">
        <v>9174</v>
      </c>
    </row>
    <row r="2898">
      <c r="A2898" s="7">
        <v>2.0061861E7</v>
      </c>
      <c r="B2898" s="8" t="s">
        <v>1723</v>
      </c>
      <c r="C2898" s="8" t="s">
        <v>9175</v>
      </c>
      <c r="D2898" s="8" t="s">
        <v>16</v>
      </c>
      <c r="E2898" s="8" t="s">
        <v>17</v>
      </c>
      <c r="F2898" s="9">
        <v>46168.0</v>
      </c>
      <c r="G2898" s="8" t="s">
        <v>2511</v>
      </c>
      <c r="H2898" s="8" t="s">
        <v>2512</v>
      </c>
      <c r="I2898" s="8" t="s">
        <v>9176</v>
      </c>
      <c r="J2898" s="8" t="s">
        <v>9177</v>
      </c>
    </row>
    <row r="2899">
      <c r="A2899" s="7">
        <v>2.0061861E7</v>
      </c>
      <c r="B2899" s="8" t="s">
        <v>1723</v>
      </c>
      <c r="C2899" s="8" t="s">
        <v>9175</v>
      </c>
      <c r="D2899" s="8" t="s">
        <v>16</v>
      </c>
      <c r="E2899" s="8" t="s">
        <v>17</v>
      </c>
      <c r="F2899" s="9">
        <v>46168.0</v>
      </c>
      <c r="G2899" s="8" t="s">
        <v>2511</v>
      </c>
      <c r="H2899" s="8" t="s">
        <v>2512</v>
      </c>
      <c r="I2899" s="8" t="s">
        <v>9178</v>
      </c>
      <c r="J2899" s="8" t="s">
        <v>9177</v>
      </c>
    </row>
    <row r="2900">
      <c r="A2900" s="7">
        <v>2.0060901E7</v>
      </c>
      <c r="B2900" s="8" t="s">
        <v>1723</v>
      </c>
      <c r="C2900" s="8" t="s">
        <v>9179</v>
      </c>
      <c r="D2900" s="8" t="s">
        <v>16</v>
      </c>
      <c r="E2900" s="8" t="s">
        <v>17</v>
      </c>
      <c r="F2900" s="9">
        <v>46153.0</v>
      </c>
      <c r="G2900" s="8" t="s">
        <v>8642</v>
      </c>
      <c r="H2900" s="8" t="s">
        <v>8643</v>
      </c>
      <c r="I2900" s="8" t="s">
        <v>9180</v>
      </c>
      <c r="J2900" s="8"/>
    </row>
    <row r="2901">
      <c r="A2901" s="7">
        <v>2.0059168E7</v>
      </c>
      <c r="B2901" s="8" t="s">
        <v>1723</v>
      </c>
      <c r="C2901" s="8" t="s">
        <v>9181</v>
      </c>
      <c r="D2901" s="8" t="s">
        <v>16</v>
      </c>
      <c r="E2901" s="8" t="s">
        <v>17</v>
      </c>
      <c r="F2901" s="9">
        <v>46151.0</v>
      </c>
      <c r="G2901" s="8" t="s">
        <v>2724</v>
      </c>
      <c r="H2901" s="8" t="s">
        <v>2725</v>
      </c>
      <c r="I2901" s="8" t="s">
        <v>9182</v>
      </c>
      <c r="J2901" s="8" t="s">
        <v>9183</v>
      </c>
    </row>
    <row r="2902">
      <c r="A2902" s="7">
        <v>2.0058669E7</v>
      </c>
      <c r="B2902" s="8" t="s">
        <v>1723</v>
      </c>
      <c r="C2902" s="8" t="s">
        <v>9184</v>
      </c>
      <c r="D2902" s="8" t="s">
        <v>16</v>
      </c>
      <c r="E2902" s="8" t="s">
        <v>17</v>
      </c>
      <c r="F2902" s="9">
        <v>46142.0</v>
      </c>
      <c r="G2902" s="8" t="s">
        <v>923</v>
      </c>
      <c r="H2902" s="8" t="s">
        <v>7274</v>
      </c>
      <c r="I2902" s="8" t="s">
        <v>9185</v>
      </c>
      <c r="J2902" s="8" t="s">
        <v>9186</v>
      </c>
    </row>
    <row r="2903">
      <c r="A2903" s="7">
        <v>2.0058073E7</v>
      </c>
      <c r="B2903" s="8" t="s">
        <v>1723</v>
      </c>
      <c r="C2903" s="8" t="s">
        <v>9187</v>
      </c>
      <c r="D2903" s="8" t="s">
        <v>16</v>
      </c>
      <c r="E2903" s="8" t="s">
        <v>17</v>
      </c>
      <c r="F2903" s="9">
        <v>46132.0</v>
      </c>
      <c r="G2903" s="8" t="s">
        <v>805</v>
      </c>
      <c r="H2903" s="8" t="s">
        <v>806</v>
      </c>
      <c r="I2903" s="8" t="s">
        <v>9188</v>
      </c>
      <c r="J2903" s="8" t="s">
        <v>9189</v>
      </c>
    </row>
    <row r="2904">
      <c r="A2904" s="7">
        <v>2.0056886E7</v>
      </c>
      <c r="B2904" s="8" t="s">
        <v>1723</v>
      </c>
      <c r="C2904" s="8" t="s">
        <v>9190</v>
      </c>
      <c r="D2904" s="8" t="s">
        <v>16</v>
      </c>
      <c r="E2904" s="8" t="s">
        <v>17</v>
      </c>
      <c r="F2904" s="9">
        <v>46129.0</v>
      </c>
      <c r="G2904" s="8" t="s">
        <v>59</v>
      </c>
      <c r="H2904" s="8" t="s">
        <v>60</v>
      </c>
      <c r="I2904" s="8" t="s">
        <v>9191</v>
      </c>
      <c r="J2904" s="8" t="s">
        <v>9192</v>
      </c>
    </row>
    <row r="2905">
      <c r="A2905" s="7">
        <v>2.0052657E7</v>
      </c>
      <c r="B2905" s="8" t="s">
        <v>333</v>
      </c>
      <c r="C2905" s="8" t="s">
        <v>9193</v>
      </c>
      <c r="D2905" s="8" t="s">
        <v>16</v>
      </c>
      <c r="E2905" s="8" t="s">
        <v>17</v>
      </c>
      <c r="F2905" s="9">
        <v>46127.0</v>
      </c>
      <c r="G2905" s="8" t="s">
        <v>9194</v>
      </c>
      <c r="H2905" s="8" t="s">
        <v>9195</v>
      </c>
      <c r="I2905" s="8" t="s">
        <v>9196</v>
      </c>
      <c r="J2905" s="8"/>
    </row>
    <row r="2906">
      <c r="A2906" s="7">
        <v>2.0046281E7</v>
      </c>
      <c r="B2906" s="8" t="s">
        <v>333</v>
      </c>
      <c r="C2906" s="8" t="s">
        <v>9197</v>
      </c>
      <c r="D2906" s="8" t="s">
        <v>16</v>
      </c>
      <c r="E2906" s="8" t="s">
        <v>17</v>
      </c>
      <c r="F2906" s="9">
        <v>46125.0</v>
      </c>
      <c r="G2906" s="8" t="s">
        <v>1813</v>
      </c>
      <c r="H2906" s="8" t="s">
        <v>1814</v>
      </c>
      <c r="I2906" s="8" t="s">
        <v>9198</v>
      </c>
      <c r="J2906" s="8"/>
    </row>
    <row r="2907">
      <c r="A2907" s="7">
        <v>2.0048181E7</v>
      </c>
      <c r="B2907" s="8" t="s">
        <v>333</v>
      </c>
      <c r="C2907" s="8" t="s">
        <v>9199</v>
      </c>
      <c r="D2907" s="8" t="s">
        <v>16</v>
      </c>
      <c r="E2907" s="8" t="s">
        <v>17</v>
      </c>
      <c r="F2907" s="9">
        <v>46112.0</v>
      </c>
      <c r="G2907" s="8" t="s">
        <v>361</v>
      </c>
      <c r="H2907" s="8" t="s">
        <v>362</v>
      </c>
      <c r="I2907" s="8" t="s">
        <v>9200</v>
      </c>
      <c r="J2907" s="8"/>
    </row>
    <row r="2908">
      <c r="A2908" s="7">
        <v>2.0047646E7</v>
      </c>
      <c r="B2908" s="8" t="s">
        <v>333</v>
      </c>
      <c r="C2908" s="8" t="s">
        <v>9201</v>
      </c>
      <c r="D2908" s="8" t="s">
        <v>16</v>
      </c>
      <c r="E2908" s="8" t="s">
        <v>17</v>
      </c>
      <c r="F2908" s="9">
        <v>46121.0</v>
      </c>
      <c r="G2908" s="8" t="s">
        <v>436</v>
      </c>
      <c r="H2908" s="8" t="s">
        <v>437</v>
      </c>
      <c r="I2908" s="8" t="s">
        <v>9202</v>
      </c>
      <c r="J2908" s="8"/>
    </row>
    <row r="2909">
      <c r="A2909" s="7">
        <v>2.0046712E7</v>
      </c>
      <c r="B2909" s="8" t="s">
        <v>333</v>
      </c>
      <c r="C2909" s="8" t="s">
        <v>9203</v>
      </c>
      <c r="D2909" s="8" t="s">
        <v>16</v>
      </c>
      <c r="E2909" s="8" t="s">
        <v>17</v>
      </c>
      <c r="F2909" s="9">
        <v>46109.0</v>
      </c>
      <c r="G2909" s="8" t="s">
        <v>732</v>
      </c>
      <c r="H2909" s="8" t="s">
        <v>733</v>
      </c>
      <c r="I2909" s="8" t="s">
        <v>9204</v>
      </c>
      <c r="J2909" s="8"/>
    </row>
    <row r="2910">
      <c r="A2910" s="7">
        <v>2.0046589E7</v>
      </c>
      <c r="B2910" s="8" t="s">
        <v>333</v>
      </c>
      <c r="C2910" s="8" t="s">
        <v>9205</v>
      </c>
      <c r="D2910" s="8" t="s">
        <v>16</v>
      </c>
      <c r="E2910" s="8" t="s">
        <v>48</v>
      </c>
      <c r="F2910" s="9">
        <v>46117.0</v>
      </c>
      <c r="G2910" s="8" t="s">
        <v>1627</v>
      </c>
      <c r="H2910" s="8" t="s">
        <v>1628</v>
      </c>
      <c r="I2910" s="8" t="s">
        <v>9206</v>
      </c>
      <c r="J2910" s="8"/>
    </row>
    <row r="2911">
      <c r="A2911" s="7">
        <v>2.0046017E7</v>
      </c>
      <c r="B2911" s="8" t="s">
        <v>333</v>
      </c>
      <c r="C2911" s="8" t="s">
        <v>9207</v>
      </c>
      <c r="D2911" s="8" t="s">
        <v>16</v>
      </c>
      <c r="E2911" s="8" t="s">
        <v>17</v>
      </c>
      <c r="F2911" s="9">
        <v>46112.0</v>
      </c>
      <c r="G2911" s="8" t="s">
        <v>613</v>
      </c>
      <c r="H2911" s="8" t="s">
        <v>614</v>
      </c>
      <c r="I2911" s="8" t="s">
        <v>9208</v>
      </c>
      <c r="J2911" s="8" t="s">
        <v>9209</v>
      </c>
    </row>
    <row r="2912">
      <c r="A2912" s="7">
        <v>2.0043053E7</v>
      </c>
      <c r="B2912" s="8" t="s">
        <v>333</v>
      </c>
      <c r="C2912" s="8" t="s">
        <v>9210</v>
      </c>
      <c r="D2912" s="8" t="s">
        <v>16</v>
      </c>
      <c r="E2912" s="8" t="s">
        <v>17</v>
      </c>
      <c r="F2912" s="9">
        <v>46096.0</v>
      </c>
      <c r="G2912" s="8" t="s">
        <v>378</v>
      </c>
      <c r="H2912" s="8" t="s">
        <v>379</v>
      </c>
      <c r="I2912" s="8" t="s">
        <v>9211</v>
      </c>
      <c r="J2912" s="8"/>
    </row>
    <row r="2913">
      <c r="A2913" s="7">
        <v>2.00437E7</v>
      </c>
      <c r="B2913" s="8" t="s">
        <v>333</v>
      </c>
      <c r="C2913" s="8" t="s">
        <v>9212</v>
      </c>
      <c r="D2913" s="8" t="s">
        <v>16</v>
      </c>
      <c r="E2913" s="8" t="s">
        <v>48</v>
      </c>
      <c r="F2913" s="9">
        <v>46099.0</v>
      </c>
      <c r="G2913" s="8" t="s">
        <v>361</v>
      </c>
      <c r="H2913" s="8" t="s">
        <v>362</v>
      </c>
      <c r="I2913" s="8" t="s">
        <v>9213</v>
      </c>
      <c r="J2913" s="8"/>
    </row>
    <row r="2914">
      <c r="A2914" s="7">
        <v>2.0041292E7</v>
      </c>
      <c r="B2914" s="8" t="s">
        <v>333</v>
      </c>
      <c r="C2914" s="8" t="s">
        <v>9214</v>
      </c>
      <c r="D2914" s="8" t="s">
        <v>16</v>
      </c>
      <c r="E2914" s="8" t="s">
        <v>17</v>
      </c>
      <c r="F2914" s="9">
        <v>46090.0</v>
      </c>
      <c r="G2914" s="8" t="s">
        <v>314</v>
      </c>
      <c r="H2914" s="8" t="s">
        <v>315</v>
      </c>
      <c r="I2914" s="8" t="s">
        <v>9215</v>
      </c>
      <c r="J2914" s="8" t="s">
        <v>9216</v>
      </c>
    </row>
    <row r="2915">
      <c r="A2915" s="7">
        <v>2.0041314E7</v>
      </c>
      <c r="B2915" s="8" t="s">
        <v>333</v>
      </c>
      <c r="C2915" s="8" t="s">
        <v>9217</v>
      </c>
      <c r="D2915" s="8" t="s">
        <v>16</v>
      </c>
      <c r="E2915" s="8" t="s">
        <v>17</v>
      </c>
      <c r="F2915" s="9">
        <v>46074.0</v>
      </c>
      <c r="G2915" s="8" t="s">
        <v>1132</v>
      </c>
      <c r="H2915" s="8" t="s">
        <v>1133</v>
      </c>
      <c r="I2915" s="8" t="s">
        <v>9218</v>
      </c>
      <c r="J2915" s="8" t="s">
        <v>9219</v>
      </c>
    </row>
    <row r="2916">
      <c r="A2916" s="7">
        <v>2.0039715E7</v>
      </c>
      <c r="B2916" s="8" t="s">
        <v>333</v>
      </c>
      <c r="C2916" s="8" t="s">
        <v>9220</v>
      </c>
      <c r="D2916" s="8" t="s">
        <v>16</v>
      </c>
      <c r="E2916" s="8" t="s">
        <v>17</v>
      </c>
      <c r="F2916" s="9">
        <v>46078.0</v>
      </c>
      <c r="G2916" s="8" t="s">
        <v>410</v>
      </c>
      <c r="H2916" s="8" t="s">
        <v>411</v>
      </c>
      <c r="I2916" s="8" t="s">
        <v>9221</v>
      </c>
      <c r="J2916" s="8"/>
    </row>
    <row r="2917">
      <c r="A2917" s="7">
        <v>2.0039981E7</v>
      </c>
      <c r="B2917" s="8" t="s">
        <v>333</v>
      </c>
      <c r="C2917" s="8" t="s">
        <v>9222</v>
      </c>
      <c r="D2917" s="8" t="s">
        <v>16</v>
      </c>
      <c r="E2917" s="8" t="s">
        <v>17</v>
      </c>
      <c r="F2917" s="9">
        <v>46084.0</v>
      </c>
      <c r="G2917" s="8" t="s">
        <v>390</v>
      </c>
      <c r="H2917" s="8" t="s">
        <v>391</v>
      </c>
      <c r="I2917" s="8" t="s">
        <v>9223</v>
      </c>
      <c r="J2917" s="8"/>
    </row>
    <row r="2918">
      <c r="A2918" s="7">
        <v>2.0037471E7</v>
      </c>
      <c r="B2918" s="8" t="s">
        <v>333</v>
      </c>
      <c r="C2918" s="8" t="s">
        <v>9224</v>
      </c>
      <c r="D2918" s="8" t="s">
        <v>2136</v>
      </c>
      <c r="E2918" s="8" t="s">
        <v>17</v>
      </c>
      <c r="F2918" s="9">
        <v>46129.0</v>
      </c>
      <c r="G2918" s="8" t="s">
        <v>195</v>
      </c>
      <c r="H2918" s="8" t="s">
        <v>196</v>
      </c>
      <c r="I2918" s="8" t="s">
        <v>9225</v>
      </c>
      <c r="J2918" s="8" t="s">
        <v>9226</v>
      </c>
    </row>
    <row r="2919">
      <c r="A2919" s="7">
        <v>2.0037132E7</v>
      </c>
      <c r="B2919" s="8" t="s">
        <v>333</v>
      </c>
      <c r="C2919" s="8" t="s">
        <v>9227</v>
      </c>
      <c r="D2919" s="8" t="s">
        <v>16</v>
      </c>
      <c r="E2919" s="8" t="s">
        <v>17</v>
      </c>
      <c r="F2919" s="9">
        <v>46061.0</v>
      </c>
      <c r="G2919" s="8" t="s">
        <v>220</v>
      </c>
      <c r="H2919" s="8" t="s">
        <v>221</v>
      </c>
      <c r="I2919" s="8" t="s">
        <v>9228</v>
      </c>
      <c r="J2919" s="8" t="s">
        <v>9229</v>
      </c>
    </row>
    <row r="2920">
      <c r="A2920" s="7">
        <v>2.0037564E7</v>
      </c>
      <c r="B2920" s="8" t="s">
        <v>333</v>
      </c>
      <c r="C2920" s="8" t="s">
        <v>9230</v>
      </c>
      <c r="D2920" s="8" t="s">
        <v>16</v>
      </c>
      <c r="E2920" s="8" t="s">
        <v>17</v>
      </c>
      <c r="F2920" s="9">
        <v>46064.0</v>
      </c>
      <c r="G2920" s="8" t="s">
        <v>184</v>
      </c>
      <c r="H2920" s="8" t="s">
        <v>185</v>
      </c>
      <c r="I2920" s="8" t="s">
        <v>9231</v>
      </c>
      <c r="J2920" s="8"/>
    </row>
    <row r="2921">
      <c r="A2921" s="7">
        <v>2.0067137E7</v>
      </c>
      <c r="B2921" s="8" t="s">
        <v>333</v>
      </c>
      <c r="C2921" s="8" t="s">
        <v>9232</v>
      </c>
      <c r="D2921" s="8" t="s">
        <v>16</v>
      </c>
      <c r="E2921" s="8" t="s">
        <v>17</v>
      </c>
      <c r="F2921" s="9">
        <v>46173.0</v>
      </c>
      <c r="G2921" s="8" t="s">
        <v>91</v>
      </c>
      <c r="H2921" s="8" t="s">
        <v>92</v>
      </c>
      <c r="I2921" s="8" t="s">
        <v>9233</v>
      </c>
      <c r="J2921" s="8" t="s">
        <v>9234</v>
      </c>
    </row>
    <row r="2922">
      <c r="A2922" s="7">
        <v>2.0064423E7</v>
      </c>
      <c r="B2922" s="8" t="s">
        <v>333</v>
      </c>
      <c r="C2922" s="8" t="s">
        <v>9235</v>
      </c>
      <c r="D2922" s="8" t="s">
        <v>16</v>
      </c>
      <c r="E2922" s="8" t="s">
        <v>17</v>
      </c>
      <c r="F2922" s="9">
        <v>46191.0</v>
      </c>
      <c r="G2922" s="8" t="s">
        <v>158</v>
      </c>
      <c r="H2922" s="8" t="s">
        <v>159</v>
      </c>
      <c r="I2922" s="8" t="s">
        <v>9236</v>
      </c>
      <c r="J2922" s="8"/>
    </row>
    <row r="2923">
      <c r="A2923" s="7">
        <v>2.006188E7</v>
      </c>
      <c r="B2923" s="8" t="s">
        <v>333</v>
      </c>
      <c r="C2923" s="8" t="s">
        <v>9237</v>
      </c>
      <c r="D2923" s="8" t="s">
        <v>16</v>
      </c>
      <c r="E2923" s="8" t="s">
        <v>17</v>
      </c>
      <c r="F2923" s="9">
        <v>46167.0</v>
      </c>
      <c r="G2923" s="8" t="s">
        <v>234</v>
      </c>
      <c r="H2923" s="8" t="s">
        <v>235</v>
      </c>
      <c r="I2923" s="8" t="s">
        <v>9238</v>
      </c>
      <c r="J2923" s="8" t="s">
        <v>9239</v>
      </c>
    </row>
    <row r="2924">
      <c r="A2924" s="7">
        <v>2.0055706E7</v>
      </c>
      <c r="B2924" s="8" t="s">
        <v>333</v>
      </c>
      <c r="C2924" s="8" t="s">
        <v>9240</v>
      </c>
      <c r="D2924" s="8" t="s">
        <v>16</v>
      </c>
      <c r="E2924" s="8" t="s">
        <v>17</v>
      </c>
      <c r="F2924" s="9">
        <v>46153.0</v>
      </c>
      <c r="G2924" s="8" t="s">
        <v>1236</v>
      </c>
      <c r="H2924" s="8" t="s">
        <v>1237</v>
      </c>
      <c r="I2924" s="8" t="s">
        <v>9241</v>
      </c>
      <c r="J2924" s="8"/>
    </row>
    <row r="2925">
      <c r="A2925" s="7">
        <v>2.0055706E7</v>
      </c>
      <c r="B2925" s="8" t="s">
        <v>333</v>
      </c>
      <c r="C2925" s="8" t="s">
        <v>9240</v>
      </c>
      <c r="D2925" s="8" t="s">
        <v>16</v>
      </c>
      <c r="E2925" s="8" t="s">
        <v>17</v>
      </c>
      <c r="F2925" s="9">
        <v>46153.0</v>
      </c>
      <c r="G2925" s="8" t="s">
        <v>1949</v>
      </c>
      <c r="H2925" s="8" t="s">
        <v>1950</v>
      </c>
      <c r="I2925" s="8" t="s">
        <v>9242</v>
      </c>
      <c r="J2925" s="8" t="s">
        <v>9243</v>
      </c>
    </row>
    <row r="2926">
      <c r="A2926" s="7">
        <v>2.0050363E7</v>
      </c>
      <c r="B2926" s="8" t="s">
        <v>333</v>
      </c>
      <c r="C2926" s="8" t="s">
        <v>9244</v>
      </c>
      <c r="D2926" s="8" t="s">
        <v>16</v>
      </c>
      <c r="E2926" s="8" t="s">
        <v>17</v>
      </c>
      <c r="F2926" s="9">
        <v>46127.0</v>
      </c>
      <c r="G2926" s="8" t="s">
        <v>1132</v>
      </c>
      <c r="H2926" s="8" t="s">
        <v>1133</v>
      </c>
      <c r="I2926" s="8" t="s">
        <v>9245</v>
      </c>
      <c r="J2926" s="8" t="s">
        <v>9246</v>
      </c>
    </row>
    <row r="2927">
      <c r="A2927" s="7">
        <v>2.0047507E7</v>
      </c>
      <c r="B2927" s="8" t="s">
        <v>333</v>
      </c>
      <c r="C2927" s="8" t="s">
        <v>9247</v>
      </c>
      <c r="D2927" s="8" t="s">
        <v>16</v>
      </c>
      <c r="E2927" s="8" t="s">
        <v>17</v>
      </c>
      <c r="F2927" s="9">
        <v>46111.0</v>
      </c>
      <c r="G2927" s="8" t="s">
        <v>158</v>
      </c>
      <c r="H2927" s="8" t="s">
        <v>159</v>
      </c>
      <c r="I2927" s="8" t="s">
        <v>9248</v>
      </c>
      <c r="J2927" s="8"/>
    </row>
    <row r="2928">
      <c r="A2928" s="7">
        <v>2.0047457E7</v>
      </c>
      <c r="B2928" s="8" t="s">
        <v>333</v>
      </c>
      <c r="C2928" s="8" t="s">
        <v>9249</v>
      </c>
      <c r="D2928" s="8" t="s">
        <v>16</v>
      </c>
      <c r="E2928" s="8" t="s">
        <v>17</v>
      </c>
      <c r="F2928" s="9">
        <v>46109.0</v>
      </c>
      <c r="G2928" s="8" t="s">
        <v>721</v>
      </c>
      <c r="H2928" s="8" t="s">
        <v>722</v>
      </c>
      <c r="I2928" s="8" t="s">
        <v>9250</v>
      </c>
      <c r="J2928" s="8"/>
    </row>
    <row r="2929">
      <c r="A2929" s="7">
        <v>2.0045765E7</v>
      </c>
      <c r="B2929" s="8" t="s">
        <v>333</v>
      </c>
      <c r="C2929" s="8" t="s">
        <v>9251</v>
      </c>
      <c r="D2929" s="8" t="s">
        <v>16</v>
      </c>
      <c r="E2929" s="8" t="s">
        <v>17</v>
      </c>
      <c r="F2929" s="9">
        <v>46108.0</v>
      </c>
      <c r="G2929" s="8" t="s">
        <v>688</v>
      </c>
      <c r="H2929" s="8" t="s">
        <v>689</v>
      </c>
      <c r="I2929" s="8" t="s">
        <v>9252</v>
      </c>
      <c r="J2929" s="8"/>
    </row>
    <row r="2930">
      <c r="A2930" s="7">
        <v>2.0039225E7</v>
      </c>
      <c r="B2930" s="8" t="s">
        <v>333</v>
      </c>
      <c r="C2930" s="8" t="s">
        <v>9253</v>
      </c>
      <c r="D2930" s="8" t="s">
        <v>16</v>
      </c>
      <c r="E2930" s="8" t="s">
        <v>17</v>
      </c>
      <c r="F2930" s="9">
        <v>46074.0</v>
      </c>
      <c r="G2930" s="8" t="s">
        <v>171</v>
      </c>
      <c r="H2930" s="8" t="s">
        <v>172</v>
      </c>
      <c r="I2930" s="8" t="s">
        <v>9254</v>
      </c>
      <c r="J2930" s="8"/>
    </row>
    <row r="2931">
      <c r="A2931" s="7">
        <v>2.0034308E7</v>
      </c>
      <c r="B2931" s="8" t="s">
        <v>333</v>
      </c>
      <c r="C2931" s="8" t="s">
        <v>9255</v>
      </c>
      <c r="D2931" s="8" t="s">
        <v>16</v>
      </c>
      <c r="E2931" s="8" t="s">
        <v>17</v>
      </c>
      <c r="F2931" s="9">
        <v>46051.0</v>
      </c>
      <c r="G2931" s="8" t="s">
        <v>826</v>
      </c>
      <c r="H2931" s="8" t="s">
        <v>827</v>
      </c>
      <c r="I2931" s="8" t="s">
        <v>9256</v>
      </c>
      <c r="J2931" s="8" t="s">
        <v>9257</v>
      </c>
    </row>
    <row r="2932">
      <c r="A2932" s="7">
        <v>2.0034278E7</v>
      </c>
      <c r="B2932" s="8" t="s">
        <v>333</v>
      </c>
      <c r="C2932" s="8" t="s">
        <v>9258</v>
      </c>
      <c r="D2932" s="8" t="s">
        <v>16</v>
      </c>
      <c r="E2932" s="8" t="s">
        <v>17</v>
      </c>
      <c r="F2932" s="9">
        <v>46051.0</v>
      </c>
      <c r="G2932" s="8" t="s">
        <v>423</v>
      </c>
      <c r="H2932" s="8" t="s">
        <v>424</v>
      </c>
      <c r="I2932" s="8" t="s">
        <v>9259</v>
      </c>
      <c r="J2932" s="8" t="s">
        <v>9260</v>
      </c>
    </row>
    <row r="2933">
      <c r="A2933" s="7">
        <v>2.0063481E7</v>
      </c>
      <c r="B2933" s="8" t="s">
        <v>333</v>
      </c>
      <c r="C2933" s="8" t="s">
        <v>9261</v>
      </c>
      <c r="D2933" s="8" t="s">
        <v>16</v>
      </c>
      <c r="E2933" s="8" t="s">
        <v>17</v>
      </c>
      <c r="F2933" s="9">
        <v>46190.0</v>
      </c>
      <c r="G2933" s="8" t="s">
        <v>1049</v>
      </c>
      <c r="H2933" s="8" t="s">
        <v>1050</v>
      </c>
      <c r="I2933" s="8" t="s">
        <v>9262</v>
      </c>
      <c r="J2933" s="8"/>
    </row>
    <row r="2934">
      <c r="A2934" s="7">
        <v>2.0060479E7</v>
      </c>
      <c r="B2934" s="8" t="s">
        <v>333</v>
      </c>
      <c r="C2934" s="8" t="s">
        <v>9263</v>
      </c>
      <c r="D2934" s="8" t="s">
        <v>16</v>
      </c>
      <c r="E2934" s="8" t="s">
        <v>17</v>
      </c>
      <c r="F2934" s="9">
        <v>46180.0</v>
      </c>
      <c r="G2934" s="8" t="s">
        <v>9264</v>
      </c>
      <c r="H2934" s="8" t="s">
        <v>9265</v>
      </c>
      <c r="I2934" s="8" t="s">
        <v>9266</v>
      </c>
      <c r="J2934" s="8"/>
    </row>
    <row r="2935">
      <c r="A2935" s="7">
        <v>2.0053376E7</v>
      </c>
      <c r="B2935" s="8" t="s">
        <v>333</v>
      </c>
      <c r="C2935" s="8" t="s">
        <v>9267</v>
      </c>
      <c r="D2935" s="8" t="s">
        <v>16</v>
      </c>
      <c r="E2935" s="8" t="s">
        <v>17</v>
      </c>
      <c r="F2935" s="9">
        <v>46136.0</v>
      </c>
      <c r="G2935" s="8" t="s">
        <v>822</v>
      </c>
      <c r="H2935" s="8" t="s">
        <v>3985</v>
      </c>
      <c r="I2935" s="8" t="s">
        <v>9268</v>
      </c>
      <c r="J2935" s="8" t="s">
        <v>9269</v>
      </c>
    </row>
    <row r="2936">
      <c r="A2936" s="7">
        <v>2.0053844E7</v>
      </c>
      <c r="B2936" s="8" t="s">
        <v>333</v>
      </c>
      <c r="C2936" s="8" t="s">
        <v>9270</v>
      </c>
      <c r="D2936" s="8" t="s">
        <v>16</v>
      </c>
      <c r="E2936" s="8" t="s">
        <v>17</v>
      </c>
      <c r="F2936" s="9">
        <v>46138.0</v>
      </c>
      <c r="G2936" s="8" t="s">
        <v>543</v>
      </c>
      <c r="H2936" s="8" t="s">
        <v>544</v>
      </c>
      <c r="I2936" s="8" t="s">
        <v>9271</v>
      </c>
      <c r="J2936" s="8"/>
    </row>
    <row r="2937">
      <c r="A2937" s="7">
        <v>2.0053129E7</v>
      </c>
      <c r="B2937" s="8" t="s">
        <v>333</v>
      </c>
      <c r="C2937" s="8" t="s">
        <v>9272</v>
      </c>
      <c r="D2937" s="8" t="s">
        <v>16</v>
      </c>
      <c r="E2937" s="8" t="s">
        <v>17</v>
      </c>
      <c r="F2937" s="9">
        <v>46138.0</v>
      </c>
      <c r="G2937" s="8" t="s">
        <v>717</v>
      </c>
      <c r="H2937" s="8" t="s">
        <v>718</v>
      </c>
      <c r="I2937" s="8" t="s">
        <v>9273</v>
      </c>
      <c r="J2937" s="8"/>
    </row>
    <row r="2938">
      <c r="A2938" s="7">
        <v>2.0051791E7</v>
      </c>
      <c r="B2938" s="8" t="s">
        <v>333</v>
      </c>
      <c r="C2938" s="8" t="s">
        <v>9274</v>
      </c>
      <c r="D2938" s="8" t="s">
        <v>16</v>
      </c>
      <c r="E2938" s="8" t="s">
        <v>17</v>
      </c>
      <c r="F2938" s="9">
        <v>46123.0</v>
      </c>
      <c r="G2938" s="8" t="s">
        <v>5030</v>
      </c>
      <c r="H2938" s="8" t="s">
        <v>44</v>
      </c>
      <c r="I2938" s="8" t="s">
        <v>9275</v>
      </c>
      <c r="J2938" s="8" t="s">
        <v>9276</v>
      </c>
    </row>
    <row r="2939">
      <c r="A2939" s="7">
        <v>2.0052224E7</v>
      </c>
      <c r="B2939" s="8" t="s">
        <v>333</v>
      </c>
      <c r="C2939" s="8" t="s">
        <v>9277</v>
      </c>
      <c r="D2939" s="8" t="s">
        <v>16</v>
      </c>
      <c r="E2939" s="8" t="s">
        <v>17</v>
      </c>
      <c r="F2939" s="9">
        <v>46116.0</v>
      </c>
      <c r="G2939" s="8" t="s">
        <v>2511</v>
      </c>
      <c r="H2939" s="8" t="s">
        <v>2512</v>
      </c>
      <c r="I2939" s="8" t="s">
        <v>9278</v>
      </c>
      <c r="J2939" s="8" t="s">
        <v>9279</v>
      </c>
    </row>
    <row r="2940">
      <c r="A2940" s="7">
        <v>2.0050425E7</v>
      </c>
      <c r="B2940" s="8" t="s">
        <v>333</v>
      </c>
      <c r="C2940" s="8" t="s">
        <v>9280</v>
      </c>
      <c r="D2940" s="8" t="s">
        <v>16</v>
      </c>
      <c r="E2940" s="8" t="s">
        <v>17</v>
      </c>
      <c r="F2940" s="9">
        <v>46108.0</v>
      </c>
      <c r="G2940" s="8" t="s">
        <v>3837</v>
      </c>
      <c r="H2940" s="8" t="s">
        <v>3838</v>
      </c>
      <c r="I2940" s="8" t="s">
        <v>9281</v>
      </c>
      <c r="J2940" s="8" t="s">
        <v>9282</v>
      </c>
    </row>
    <row r="2941">
      <c r="A2941" s="7">
        <v>2.0041985E7</v>
      </c>
      <c r="B2941" s="8" t="s">
        <v>333</v>
      </c>
      <c r="C2941" s="8" t="s">
        <v>9283</v>
      </c>
      <c r="D2941" s="8" t="s">
        <v>16</v>
      </c>
      <c r="E2941" s="8" t="s">
        <v>17</v>
      </c>
      <c r="F2941" s="9">
        <v>46092.0</v>
      </c>
      <c r="G2941" s="8" t="s">
        <v>171</v>
      </c>
      <c r="H2941" s="8" t="s">
        <v>172</v>
      </c>
      <c r="I2941" s="8" t="s">
        <v>9284</v>
      </c>
      <c r="J2941" s="8"/>
    </row>
    <row r="2942">
      <c r="A2942" s="7">
        <v>2.003895E7</v>
      </c>
      <c r="B2942" s="8" t="s">
        <v>333</v>
      </c>
      <c r="C2942" s="8" t="s">
        <v>9285</v>
      </c>
      <c r="D2942" s="8" t="s">
        <v>16</v>
      </c>
      <c r="E2942" s="8" t="s">
        <v>17</v>
      </c>
      <c r="F2942" s="9">
        <v>46071.0</v>
      </c>
      <c r="G2942" s="8" t="s">
        <v>1110</v>
      </c>
      <c r="H2942" s="8" t="s">
        <v>1111</v>
      </c>
      <c r="I2942" s="8" t="s">
        <v>9286</v>
      </c>
      <c r="J2942" s="8" t="s">
        <v>9287</v>
      </c>
    </row>
    <row r="2943">
      <c r="A2943" s="7">
        <v>2.0037972E7</v>
      </c>
      <c r="B2943" s="8" t="s">
        <v>333</v>
      </c>
      <c r="C2943" s="8" t="s">
        <v>9288</v>
      </c>
      <c r="D2943" s="8" t="s">
        <v>16</v>
      </c>
      <c r="E2943" s="8" t="s">
        <v>17</v>
      </c>
      <c r="F2943" s="9">
        <v>46081.0</v>
      </c>
      <c r="G2943" s="8" t="s">
        <v>1280</v>
      </c>
      <c r="H2943" s="8" t="s">
        <v>1281</v>
      </c>
      <c r="I2943" s="8" t="s">
        <v>9289</v>
      </c>
      <c r="J2943" s="8"/>
    </row>
    <row r="2944">
      <c r="A2944" s="7">
        <v>2.0034254E7</v>
      </c>
      <c r="B2944" s="8" t="s">
        <v>333</v>
      </c>
      <c r="C2944" s="8" t="s">
        <v>9290</v>
      </c>
      <c r="D2944" s="8" t="s">
        <v>16</v>
      </c>
      <c r="E2944" s="8" t="s">
        <v>17</v>
      </c>
      <c r="F2944" s="9">
        <v>46061.0</v>
      </c>
      <c r="G2944" s="8" t="s">
        <v>314</v>
      </c>
      <c r="H2944" s="8" t="s">
        <v>315</v>
      </c>
      <c r="I2944" s="8" t="s">
        <v>9291</v>
      </c>
      <c r="J2944" s="8" t="s">
        <v>9292</v>
      </c>
    </row>
    <row r="2945">
      <c r="A2945" s="7">
        <v>2.0033924E7</v>
      </c>
      <c r="B2945" s="8" t="s">
        <v>333</v>
      </c>
      <c r="C2945" s="8" t="s">
        <v>9293</v>
      </c>
      <c r="D2945" s="8" t="s">
        <v>16</v>
      </c>
      <c r="E2945" s="8" t="s">
        <v>17</v>
      </c>
      <c r="F2945" s="9">
        <v>46052.0</v>
      </c>
      <c r="G2945" s="8" t="s">
        <v>626</v>
      </c>
      <c r="H2945" s="8" t="s">
        <v>627</v>
      </c>
      <c r="I2945" s="8" t="s">
        <v>9294</v>
      </c>
      <c r="J2945" s="8"/>
    </row>
    <row r="2946">
      <c r="A2946" s="7">
        <v>2.006198E7</v>
      </c>
      <c r="B2946" s="8" t="s">
        <v>333</v>
      </c>
      <c r="C2946" s="8" t="s">
        <v>9295</v>
      </c>
      <c r="D2946" s="8" t="s">
        <v>16</v>
      </c>
      <c r="E2946" s="8" t="s">
        <v>17</v>
      </c>
      <c r="F2946" s="9">
        <v>46169.0</v>
      </c>
      <c r="G2946" s="8" t="s">
        <v>5723</v>
      </c>
      <c r="H2946" s="8" t="s">
        <v>909</v>
      </c>
      <c r="I2946" s="8" t="s">
        <v>9296</v>
      </c>
      <c r="J2946" s="8" t="s">
        <v>9297</v>
      </c>
    </row>
    <row r="2947">
      <c r="A2947" s="7">
        <v>2.006203E7</v>
      </c>
      <c r="B2947" s="8" t="s">
        <v>333</v>
      </c>
      <c r="C2947" s="8" t="s">
        <v>9298</v>
      </c>
      <c r="D2947" s="8" t="s">
        <v>16</v>
      </c>
      <c r="E2947" s="8" t="s">
        <v>17</v>
      </c>
      <c r="F2947" s="9">
        <v>46158.0</v>
      </c>
      <c r="G2947" s="8" t="s">
        <v>400</v>
      </c>
      <c r="H2947" s="8" t="s">
        <v>2144</v>
      </c>
      <c r="I2947" s="8" t="s">
        <v>9299</v>
      </c>
      <c r="J2947" s="8" t="s">
        <v>9300</v>
      </c>
    </row>
    <row r="2948">
      <c r="A2948" s="7">
        <v>2.0057533E7</v>
      </c>
      <c r="B2948" s="8" t="s">
        <v>333</v>
      </c>
      <c r="C2948" s="8" t="s">
        <v>9301</v>
      </c>
      <c r="D2948" s="8" t="s">
        <v>16</v>
      </c>
      <c r="E2948" s="8" t="s">
        <v>17</v>
      </c>
      <c r="F2948" s="9">
        <v>46144.0</v>
      </c>
      <c r="G2948" s="8" t="s">
        <v>339</v>
      </c>
      <c r="H2948" s="8" t="s">
        <v>340</v>
      </c>
      <c r="I2948" s="8" t="s">
        <v>9302</v>
      </c>
      <c r="J2948" s="8" t="s">
        <v>9303</v>
      </c>
    </row>
    <row r="2949">
      <c r="A2949" s="7">
        <v>2.0050886E7</v>
      </c>
      <c r="B2949" s="8" t="s">
        <v>333</v>
      </c>
      <c r="C2949" s="8" t="s">
        <v>9304</v>
      </c>
      <c r="D2949" s="8" t="s">
        <v>16</v>
      </c>
      <c r="E2949" s="8" t="s">
        <v>17</v>
      </c>
      <c r="F2949" s="9">
        <v>46159.0</v>
      </c>
      <c r="G2949" s="8" t="s">
        <v>7490</v>
      </c>
      <c r="H2949" s="8" t="s">
        <v>7491</v>
      </c>
      <c r="I2949" s="8" t="s">
        <v>9305</v>
      </c>
      <c r="J2949" s="8"/>
    </row>
    <row r="2950">
      <c r="A2950" s="7">
        <v>2.0043565E7</v>
      </c>
      <c r="B2950" s="8" t="s">
        <v>333</v>
      </c>
      <c r="C2950" s="8" t="s">
        <v>9306</v>
      </c>
      <c r="D2950" s="8" t="s">
        <v>16</v>
      </c>
      <c r="E2950" s="8" t="s">
        <v>17</v>
      </c>
      <c r="F2950" s="9">
        <v>46093.0</v>
      </c>
      <c r="G2950" s="8" t="s">
        <v>1408</v>
      </c>
      <c r="H2950" s="8" t="s">
        <v>1409</v>
      </c>
      <c r="I2950" s="8" t="s">
        <v>9307</v>
      </c>
      <c r="J2950" s="8"/>
    </row>
    <row r="2951">
      <c r="A2951" s="7">
        <v>2.0043715E7</v>
      </c>
      <c r="B2951" s="8" t="s">
        <v>333</v>
      </c>
      <c r="C2951" s="8" t="s">
        <v>9308</v>
      </c>
      <c r="D2951" s="8" t="s">
        <v>16</v>
      </c>
      <c r="E2951" s="8" t="s">
        <v>17</v>
      </c>
      <c r="F2951" s="9">
        <v>46097.0</v>
      </c>
      <c r="G2951" s="8" t="s">
        <v>171</v>
      </c>
      <c r="H2951" s="8" t="s">
        <v>172</v>
      </c>
      <c r="I2951" s="8" t="s">
        <v>9309</v>
      </c>
      <c r="J2951" s="8"/>
    </row>
    <row r="2952">
      <c r="A2952" s="7">
        <v>2.0042128E7</v>
      </c>
      <c r="B2952" s="8" t="s">
        <v>333</v>
      </c>
      <c r="C2952" s="8" t="s">
        <v>9310</v>
      </c>
      <c r="D2952" s="8" t="s">
        <v>16</v>
      </c>
      <c r="E2952" s="8" t="s">
        <v>17</v>
      </c>
      <c r="F2952" s="9">
        <v>46080.0</v>
      </c>
      <c r="G2952" s="8" t="s">
        <v>385</v>
      </c>
      <c r="H2952" s="8" t="s">
        <v>386</v>
      </c>
      <c r="I2952" s="8" t="s">
        <v>9311</v>
      </c>
      <c r="J2952" s="8" t="s">
        <v>9312</v>
      </c>
    </row>
    <row r="2953">
      <c r="A2953" s="7">
        <v>2.0034067E7</v>
      </c>
      <c r="B2953" s="8" t="s">
        <v>333</v>
      </c>
      <c r="C2953" s="8" t="s">
        <v>9313</v>
      </c>
      <c r="D2953" s="8" t="s">
        <v>16</v>
      </c>
      <c r="E2953" s="8" t="s">
        <v>17</v>
      </c>
      <c r="F2953" s="9">
        <v>46051.0</v>
      </c>
      <c r="G2953" s="8" t="s">
        <v>3585</v>
      </c>
      <c r="H2953" s="8" t="s">
        <v>3586</v>
      </c>
      <c r="I2953" s="8" t="s">
        <v>9314</v>
      </c>
      <c r="J2953" s="8" t="s">
        <v>9315</v>
      </c>
    </row>
    <row r="2954">
      <c r="A2954" s="7">
        <v>2.0063395E7</v>
      </c>
      <c r="B2954" s="8" t="s">
        <v>333</v>
      </c>
      <c r="C2954" s="8" t="s">
        <v>9316</v>
      </c>
      <c r="D2954" s="8" t="s">
        <v>16</v>
      </c>
      <c r="E2954" s="8" t="s">
        <v>17</v>
      </c>
      <c r="F2954" s="9">
        <v>46175.0</v>
      </c>
      <c r="G2954" s="8" t="s">
        <v>9317</v>
      </c>
      <c r="H2954" s="8" t="s">
        <v>9318</v>
      </c>
      <c r="I2954" s="8" t="s">
        <v>9319</v>
      </c>
      <c r="J2954" s="8" t="s">
        <v>9320</v>
      </c>
    </row>
    <row r="2955">
      <c r="A2955" s="7">
        <v>2.0062412E7</v>
      </c>
      <c r="B2955" s="8" t="s">
        <v>333</v>
      </c>
      <c r="C2955" s="8" t="s">
        <v>9321</v>
      </c>
      <c r="D2955" s="8" t="s">
        <v>2136</v>
      </c>
      <c r="E2955" s="8" t="s">
        <v>17</v>
      </c>
      <c r="F2955" s="9">
        <v>46158.0</v>
      </c>
      <c r="G2955" s="8" t="s">
        <v>59</v>
      </c>
      <c r="H2955" s="8" t="s">
        <v>60</v>
      </c>
      <c r="I2955" s="8" t="s">
        <v>9322</v>
      </c>
      <c r="J2955" s="8" t="s">
        <v>9323</v>
      </c>
    </row>
    <row r="2956">
      <c r="A2956" s="7">
        <v>2.005896E7</v>
      </c>
      <c r="B2956" s="8" t="s">
        <v>333</v>
      </c>
      <c r="C2956" s="8" t="s">
        <v>9324</v>
      </c>
      <c r="D2956" s="8" t="s">
        <v>16</v>
      </c>
      <c r="E2956" s="8" t="s">
        <v>17</v>
      </c>
      <c r="F2956" s="9">
        <v>46163.0</v>
      </c>
      <c r="G2956" s="8" t="s">
        <v>418</v>
      </c>
      <c r="H2956" s="8" t="s">
        <v>419</v>
      </c>
      <c r="I2956" s="8" t="s">
        <v>9325</v>
      </c>
      <c r="J2956" s="8"/>
    </row>
    <row r="2957">
      <c r="A2957" s="7">
        <v>2.005896E7</v>
      </c>
      <c r="B2957" s="8" t="s">
        <v>333</v>
      </c>
      <c r="C2957" s="8" t="s">
        <v>9324</v>
      </c>
      <c r="D2957" s="8" t="s">
        <v>16</v>
      </c>
      <c r="E2957" s="8" t="s">
        <v>17</v>
      </c>
      <c r="F2957" s="9">
        <v>46163.0</v>
      </c>
      <c r="G2957" s="8" t="s">
        <v>1431</v>
      </c>
      <c r="H2957" s="8" t="s">
        <v>1432</v>
      </c>
      <c r="I2957" s="8" t="s">
        <v>9326</v>
      </c>
      <c r="J2957" s="8"/>
    </row>
    <row r="2958">
      <c r="A2958" s="7">
        <v>2.005896E7</v>
      </c>
      <c r="B2958" s="8" t="s">
        <v>333</v>
      </c>
      <c r="C2958" s="8" t="s">
        <v>9324</v>
      </c>
      <c r="D2958" s="8" t="s">
        <v>16</v>
      </c>
      <c r="E2958" s="8" t="s">
        <v>17</v>
      </c>
      <c r="F2958" s="9">
        <v>46163.0</v>
      </c>
      <c r="G2958" s="8" t="s">
        <v>418</v>
      </c>
      <c r="H2958" s="8" t="s">
        <v>419</v>
      </c>
      <c r="I2958" s="8" t="s">
        <v>9327</v>
      </c>
      <c r="J2958" s="8" t="s">
        <v>9328</v>
      </c>
    </row>
    <row r="2959">
      <c r="A2959" s="7">
        <v>2.005896E7</v>
      </c>
      <c r="B2959" s="8" t="s">
        <v>333</v>
      </c>
      <c r="C2959" s="8" t="s">
        <v>9324</v>
      </c>
      <c r="D2959" s="8" t="s">
        <v>16</v>
      </c>
      <c r="E2959" s="8" t="s">
        <v>17</v>
      </c>
      <c r="F2959" s="9">
        <v>46163.0</v>
      </c>
      <c r="G2959" s="8" t="s">
        <v>1431</v>
      </c>
      <c r="H2959" s="8" t="s">
        <v>1432</v>
      </c>
      <c r="I2959" s="8" t="s">
        <v>9329</v>
      </c>
      <c r="J2959" s="8" t="s">
        <v>9330</v>
      </c>
    </row>
    <row r="2960">
      <c r="A2960" s="7">
        <v>2.0056474E7</v>
      </c>
      <c r="B2960" s="8" t="s">
        <v>333</v>
      </c>
      <c r="C2960" s="8" t="s">
        <v>9331</v>
      </c>
      <c r="D2960" s="8" t="s">
        <v>16</v>
      </c>
      <c r="E2960" s="8" t="s">
        <v>17</v>
      </c>
      <c r="F2960" s="9">
        <v>46146.0</v>
      </c>
      <c r="G2960" s="8" t="s">
        <v>486</v>
      </c>
      <c r="H2960" s="8" t="s">
        <v>487</v>
      </c>
      <c r="I2960" s="8" t="s">
        <v>9332</v>
      </c>
      <c r="J2960" s="8"/>
    </row>
    <row r="2961">
      <c r="A2961" s="7">
        <v>2.0056128E7</v>
      </c>
      <c r="B2961" s="8" t="s">
        <v>333</v>
      </c>
      <c r="C2961" s="8" t="s">
        <v>9333</v>
      </c>
      <c r="D2961" s="8" t="s">
        <v>16</v>
      </c>
      <c r="E2961" s="8" t="s">
        <v>17</v>
      </c>
      <c r="F2961" s="9">
        <v>46151.0</v>
      </c>
      <c r="G2961" s="8" t="s">
        <v>9334</v>
      </c>
      <c r="H2961" s="8" t="s">
        <v>9335</v>
      </c>
      <c r="I2961" s="8" t="s">
        <v>9336</v>
      </c>
      <c r="J2961" s="8"/>
    </row>
    <row r="2962">
      <c r="A2962" s="7">
        <v>2.0055499E7</v>
      </c>
      <c r="B2962" s="8" t="s">
        <v>333</v>
      </c>
      <c r="C2962" s="8" t="s">
        <v>9337</v>
      </c>
      <c r="D2962" s="8" t="s">
        <v>16</v>
      </c>
      <c r="E2962" s="8" t="s">
        <v>17</v>
      </c>
      <c r="F2962" s="9">
        <v>46151.0</v>
      </c>
      <c r="G2962" s="8" t="s">
        <v>361</v>
      </c>
      <c r="H2962" s="8" t="s">
        <v>362</v>
      </c>
      <c r="I2962" s="8" t="s">
        <v>9338</v>
      </c>
      <c r="J2962" s="8"/>
    </row>
    <row r="2963">
      <c r="A2963" s="7">
        <v>2.0053034E7</v>
      </c>
      <c r="B2963" s="8" t="s">
        <v>333</v>
      </c>
      <c r="C2963" s="8" t="s">
        <v>9339</v>
      </c>
      <c r="D2963" s="8" t="s">
        <v>16</v>
      </c>
      <c r="E2963" s="8" t="s">
        <v>17</v>
      </c>
      <c r="F2963" s="9">
        <v>46144.0</v>
      </c>
      <c r="G2963" s="8" t="s">
        <v>3093</v>
      </c>
      <c r="H2963" s="8" t="s">
        <v>3094</v>
      </c>
      <c r="I2963" s="8" t="s">
        <v>9340</v>
      </c>
      <c r="J2963" s="8" t="s">
        <v>9341</v>
      </c>
    </row>
    <row r="2964">
      <c r="A2964" s="7">
        <v>2.0053457E7</v>
      </c>
      <c r="B2964" s="8" t="s">
        <v>333</v>
      </c>
      <c r="C2964" s="8" t="s">
        <v>9342</v>
      </c>
      <c r="D2964" s="8" t="s">
        <v>16</v>
      </c>
      <c r="E2964" s="8" t="s">
        <v>17</v>
      </c>
      <c r="F2964" s="9">
        <v>46126.0</v>
      </c>
      <c r="G2964" s="8" t="s">
        <v>385</v>
      </c>
      <c r="H2964" s="8" t="s">
        <v>386</v>
      </c>
      <c r="I2964" s="8" t="s">
        <v>9343</v>
      </c>
      <c r="J2964" s="8" t="s">
        <v>9344</v>
      </c>
    </row>
    <row r="2965">
      <c r="A2965" s="7">
        <v>2.0040141E7</v>
      </c>
      <c r="B2965" s="8" t="s">
        <v>333</v>
      </c>
      <c r="C2965" s="8" t="s">
        <v>9345</v>
      </c>
      <c r="D2965" s="8" t="s">
        <v>16</v>
      </c>
      <c r="E2965" s="8" t="s">
        <v>17</v>
      </c>
      <c r="F2965" s="9">
        <v>46103.0</v>
      </c>
      <c r="G2965" s="8" t="s">
        <v>390</v>
      </c>
      <c r="H2965" s="8" t="s">
        <v>391</v>
      </c>
      <c r="I2965" s="8" t="s">
        <v>9346</v>
      </c>
      <c r="J2965" s="8"/>
    </row>
    <row r="2966">
      <c r="A2966" s="7">
        <v>2.003731E7</v>
      </c>
      <c r="B2966" s="8" t="s">
        <v>333</v>
      </c>
      <c r="C2966" s="8" t="s">
        <v>9347</v>
      </c>
      <c r="D2966" s="8" t="s">
        <v>16</v>
      </c>
      <c r="E2966" s="8" t="s">
        <v>17</v>
      </c>
      <c r="F2966" s="9">
        <v>46082.0</v>
      </c>
      <c r="G2966" s="8" t="s">
        <v>436</v>
      </c>
      <c r="H2966" s="8" t="s">
        <v>437</v>
      </c>
      <c r="I2966" s="8" t="s">
        <v>9348</v>
      </c>
      <c r="J2966" s="8"/>
    </row>
    <row r="2967">
      <c r="A2967" s="7">
        <v>2.0037384E7</v>
      </c>
      <c r="B2967" s="8" t="s">
        <v>333</v>
      </c>
      <c r="C2967" s="8" t="s">
        <v>9349</v>
      </c>
      <c r="D2967" s="8" t="s">
        <v>16</v>
      </c>
      <c r="E2967" s="8" t="s">
        <v>17</v>
      </c>
      <c r="F2967" s="9">
        <v>46073.0</v>
      </c>
      <c r="G2967" s="8" t="s">
        <v>9350</v>
      </c>
      <c r="H2967" s="8" t="s">
        <v>9351</v>
      </c>
      <c r="I2967" s="8" t="s">
        <v>9352</v>
      </c>
      <c r="J2967" s="8"/>
    </row>
    <row r="2968">
      <c r="A2968" s="7">
        <v>2.003617E7</v>
      </c>
      <c r="B2968" s="8" t="s">
        <v>333</v>
      </c>
      <c r="C2968" s="8" t="s">
        <v>9353</v>
      </c>
      <c r="D2968" s="8" t="s">
        <v>16</v>
      </c>
      <c r="E2968" s="8" t="s">
        <v>17</v>
      </c>
      <c r="F2968" s="9">
        <v>46075.0</v>
      </c>
      <c r="G2968" s="8" t="s">
        <v>9354</v>
      </c>
      <c r="H2968" s="8" t="s">
        <v>9355</v>
      </c>
      <c r="I2968" s="8" t="s">
        <v>9356</v>
      </c>
      <c r="J2968" s="8"/>
    </row>
    <row r="2969">
      <c r="A2969" s="7">
        <v>2.0035095E7</v>
      </c>
      <c r="B2969" s="8" t="s">
        <v>333</v>
      </c>
      <c r="C2969" s="8" t="s">
        <v>9357</v>
      </c>
      <c r="D2969" s="8" t="s">
        <v>16</v>
      </c>
      <c r="E2969" s="8" t="s">
        <v>17</v>
      </c>
      <c r="F2969" s="9">
        <v>46062.0</v>
      </c>
      <c r="G2969" s="8" t="s">
        <v>601</v>
      </c>
      <c r="H2969" s="8" t="s">
        <v>602</v>
      </c>
      <c r="I2969" s="8" t="s">
        <v>9358</v>
      </c>
      <c r="J2969" s="8"/>
    </row>
    <row r="2970">
      <c r="A2970" s="7">
        <v>2.0062413E7</v>
      </c>
      <c r="B2970" s="8" t="s">
        <v>333</v>
      </c>
      <c r="C2970" s="8" t="s">
        <v>9359</v>
      </c>
      <c r="D2970" s="8" t="s">
        <v>16</v>
      </c>
      <c r="E2970" s="8" t="s">
        <v>17</v>
      </c>
      <c r="F2970" s="9">
        <v>46167.0</v>
      </c>
      <c r="G2970" s="8" t="s">
        <v>805</v>
      </c>
      <c r="H2970" s="8" t="s">
        <v>806</v>
      </c>
      <c r="I2970" s="8" t="s">
        <v>9360</v>
      </c>
      <c r="J2970" s="8" t="s">
        <v>9361</v>
      </c>
    </row>
    <row r="2971">
      <c r="A2971" s="7">
        <v>2.0059909E7</v>
      </c>
      <c r="B2971" s="8" t="s">
        <v>333</v>
      </c>
      <c r="C2971" s="8" t="s">
        <v>9362</v>
      </c>
      <c r="D2971" s="8" t="s">
        <v>16</v>
      </c>
      <c r="E2971" s="8" t="s">
        <v>17</v>
      </c>
      <c r="F2971" s="9">
        <v>46186.0</v>
      </c>
      <c r="G2971" s="8" t="s">
        <v>454</v>
      </c>
      <c r="H2971" s="8" t="s">
        <v>455</v>
      </c>
      <c r="I2971" s="8" t="s">
        <v>9363</v>
      </c>
      <c r="J2971" s="8" t="s">
        <v>9364</v>
      </c>
    </row>
    <row r="2972">
      <c r="A2972" s="7">
        <v>2.0058733E7</v>
      </c>
      <c r="B2972" s="8" t="s">
        <v>333</v>
      </c>
      <c r="C2972" s="8" t="s">
        <v>9365</v>
      </c>
      <c r="D2972" s="8" t="s">
        <v>16</v>
      </c>
      <c r="E2972" s="8" t="s">
        <v>17</v>
      </c>
      <c r="F2972" s="9">
        <v>46186.0</v>
      </c>
      <c r="G2972" s="8" t="s">
        <v>158</v>
      </c>
      <c r="H2972" s="8" t="s">
        <v>159</v>
      </c>
      <c r="I2972" s="8" t="s">
        <v>9366</v>
      </c>
      <c r="J2972" s="8"/>
    </row>
    <row r="2973">
      <c r="A2973" s="7">
        <v>2.0055365E7</v>
      </c>
      <c r="B2973" s="8" t="s">
        <v>333</v>
      </c>
      <c r="C2973" s="8" t="s">
        <v>9367</v>
      </c>
      <c r="D2973" s="8" t="s">
        <v>16</v>
      </c>
      <c r="E2973" s="8" t="s">
        <v>17</v>
      </c>
      <c r="F2973" s="9">
        <v>46148.0</v>
      </c>
      <c r="G2973" s="8" t="s">
        <v>158</v>
      </c>
      <c r="H2973" s="8" t="s">
        <v>159</v>
      </c>
      <c r="I2973" s="8" t="s">
        <v>9368</v>
      </c>
      <c r="J2973" s="8"/>
    </row>
    <row r="2974">
      <c r="A2974" s="7">
        <v>2.005205E7</v>
      </c>
      <c r="B2974" s="8" t="s">
        <v>333</v>
      </c>
      <c r="C2974" s="8" t="s">
        <v>9369</v>
      </c>
      <c r="D2974" s="8" t="s">
        <v>16</v>
      </c>
      <c r="E2974" s="8" t="s">
        <v>17</v>
      </c>
      <c r="F2974" s="9">
        <v>46149.0</v>
      </c>
      <c r="G2974" s="8" t="s">
        <v>4214</v>
      </c>
      <c r="H2974" s="8" t="s">
        <v>4215</v>
      </c>
      <c r="I2974" s="8" t="s">
        <v>9370</v>
      </c>
      <c r="J2974" s="8"/>
    </row>
    <row r="2975">
      <c r="A2975" s="7">
        <v>2.0051946E7</v>
      </c>
      <c r="B2975" s="8" t="s">
        <v>333</v>
      </c>
      <c r="C2975" s="8" t="s">
        <v>9371</v>
      </c>
      <c r="D2975" s="8" t="s">
        <v>16</v>
      </c>
      <c r="E2975" s="8" t="s">
        <v>17</v>
      </c>
      <c r="F2975" s="9">
        <v>46119.0</v>
      </c>
      <c r="G2975" s="8" t="s">
        <v>34</v>
      </c>
      <c r="H2975" s="8" t="s">
        <v>35</v>
      </c>
      <c r="I2975" s="8" t="s">
        <v>9372</v>
      </c>
      <c r="J2975" s="8" t="s">
        <v>9373</v>
      </c>
    </row>
    <row r="2976">
      <c r="A2976" s="7">
        <v>2.0046925E7</v>
      </c>
      <c r="B2976" s="8" t="s">
        <v>333</v>
      </c>
      <c r="C2976" s="8" t="s">
        <v>9374</v>
      </c>
      <c r="D2976" s="8" t="s">
        <v>16</v>
      </c>
      <c r="E2976" s="8" t="s">
        <v>17</v>
      </c>
      <c r="F2976" s="9">
        <v>46127.0</v>
      </c>
      <c r="G2976" s="8" t="s">
        <v>9375</v>
      </c>
      <c r="H2976" s="8" t="s">
        <v>9376</v>
      </c>
      <c r="I2976" s="8" t="s">
        <v>9377</v>
      </c>
      <c r="J2976" s="8" t="s">
        <v>9378</v>
      </c>
    </row>
    <row r="2977">
      <c r="A2977" s="7">
        <v>2.0046925E7</v>
      </c>
      <c r="B2977" s="8" t="s">
        <v>333</v>
      </c>
      <c r="C2977" s="8" t="s">
        <v>9374</v>
      </c>
      <c r="D2977" s="8" t="s">
        <v>16</v>
      </c>
      <c r="E2977" s="8" t="s">
        <v>17</v>
      </c>
      <c r="F2977" s="9">
        <v>46127.0</v>
      </c>
      <c r="G2977" s="8" t="s">
        <v>9379</v>
      </c>
      <c r="H2977" s="8" t="s">
        <v>9380</v>
      </c>
      <c r="I2977" s="8" t="s">
        <v>9381</v>
      </c>
      <c r="J2977" s="8" t="s">
        <v>9382</v>
      </c>
    </row>
    <row r="2978">
      <c r="A2978" s="7">
        <v>2.0046925E7</v>
      </c>
      <c r="B2978" s="8" t="s">
        <v>333</v>
      </c>
      <c r="C2978" s="8" t="s">
        <v>9374</v>
      </c>
      <c r="D2978" s="8" t="s">
        <v>16</v>
      </c>
      <c r="E2978" s="8" t="s">
        <v>17</v>
      </c>
      <c r="F2978" s="9">
        <v>46127.0</v>
      </c>
      <c r="G2978" s="8" t="s">
        <v>9383</v>
      </c>
      <c r="H2978" s="8" t="s">
        <v>9384</v>
      </c>
      <c r="I2978" s="8" t="s">
        <v>9385</v>
      </c>
      <c r="J2978" s="8" t="s">
        <v>9386</v>
      </c>
    </row>
    <row r="2979">
      <c r="A2979" s="7">
        <v>2.0040377E7</v>
      </c>
      <c r="B2979" s="8" t="s">
        <v>333</v>
      </c>
      <c r="C2979" s="8" t="s">
        <v>9387</v>
      </c>
      <c r="D2979" s="8" t="s">
        <v>16</v>
      </c>
      <c r="E2979" s="8" t="s">
        <v>17</v>
      </c>
      <c r="F2979" s="9">
        <v>46080.0</v>
      </c>
      <c r="G2979" s="8" t="s">
        <v>436</v>
      </c>
      <c r="H2979" s="8" t="s">
        <v>437</v>
      </c>
      <c r="I2979" s="8" t="s">
        <v>9388</v>
      </c>
      <c r="J2979" s="8"/>
    </row>
    <row r="2980">
      <c r="A2980" s="7">
        <v>2.0040381E7</v>
      </c>
      <c r="B2980" s="8" t="s">
        <v>333</v>
      </c>
      <c r="C2980" s="8" t="s">
        <v>9389</v>
      </c>
      <c r="D2980" s="8" t="s">
        <v>16</v>
      </c>
      <c r="E2980" s="8" t="s">
        <v>17</v>
      </c>
      <c r="F2980" s="9">
        <v>46072.0</v>
      </c>
      <c r="G2980" s="8" t="s">
        <v>34</v>
      </c>
      <c r="H2980" s="8" t="s">
        <v>35</v>
      </c>
      <c r="I2980" s="8" t="s">
        <v>9390</v>
      </c>
      <c r="J2980" s="8" t="s">
        <v>9391</v>
      </c>
    </row>
    <row r="2981">
      <c r="A2981" s="7">
        <v>2.0039958E7</v>
      </c>
      <c r="B2981" s="8" t="s">
        <v>333</v>
      </c>
      <c r="C2981" s="8" t="s">
        <v>9392</v>
      </c>
      <c r="D2981" s="8" t="s">
        <v>16</v>
      </c>
      <c r="E2981" s="8" t="s">
        <v>17</v>
      </c>
      <c r="F2981" s="9">
        <v>46070.0</v>
      </c>
      <c r="G2981" s="8" t="s">
        <v>1319</v>
      </c>
      <c r="H2981" s="8" t="s">
        <v>1320</v>
      </c>
      <c r="I2981" s="8" t="s">
        <v>9393</v>
      </c>
      <c r="J2981" s="8" t="s">
        <v>9394</v>
      </c>
    </row>
    <row r="2982">
      <c r="A2982" s="7">
        <v>2.0065185E7</v>
      </c>
      <c r="B2982" s="8" t="s">
        <v>333</v>
      </c>
      <c r="C2982" s="8" t="s">
        <v>9395</v>
      </c>
      <c r="D2982" s="8" t="s">
        <v>16</v>
      </c>
      <c r="E2982" s="8" t="s">
        <v>17</v>
      </c>
      <c r="F2982" s="9">
        <v>46178.0</v>
      </c>
      <c r="G2982" s="8" t="s">
        <v>822</v>
      </c>
      <c r="H2982" s="8" t="s">
        <v>3985</v>
      </c>
      <c r="I2982" s="8" t="s">
        <v>9396</v>
      </c>
      <c r="J2982" s="8" t="s">
        <v>9397</v>
      </c>
    </row>
    <row r="2983">
      <c r="A2983" s="7">
        <v>2.0061086E7</v>
      </c>
      <c r="B2983" s="8" t="s">
        <v>333</v>
      </c>
      <c r="C2983" s="8" t="s">
        <v>9398</v>
      </c>
      <c r="D2983" s="8" t="s">
        <v>16</v>
      </c>
      <c r="E2983" s="8" t="s">
        <v>17</v>
      </c>
      <c r="F2983" s="9">
        <v>46186.0</v>
      </c>
      <c r="G2983" s="8" t="s">
        <v>348</v>
      </c>
      <c r="H2983" s="8" t="s">
        <v>349</v>
      </c>
      <c r="I2983" s="8" t="s">
        <v>9399</v>
      </c>
      <c r="J2983" s="8"/>
    </row>
    <row r="2984">
      <c r="A2984" s="7">
        <v>2.0060412E7</v>
      </c>
      <c r="B2984" s="8" t="s">
        <v>333</v>
      </c>
      <c r="C2984" s="8" t="s">
        <v>9400</v>
      </c>
      <c r="D2984" s="8" t="s">
        <v>16</v>
      </c>
      <c r="E2984" s="8" t="s">
        <v>17</v>
      </c>
      <c r="F2984" s="9">
        <v>46189.0</v>
      </c>
      <c r="G2984" s="8" t="s">
        <v>454</v>
      </c>
      <c r="H2984" s="8" t="s">
        <v>455</v>
      </c>
      <c r="I2984" s="8" t="s">
        <v>9401</v>
      </c>
      <c r="J2984" s="8" t="s">
        <v>9402</v>
      </c>
    </row>
    <row r="2985">
      <c r="A2985" s="7">
        <v>2.0058538E7</v>
      </c>
      <c r="B2985" s="8" t="s">
        <v>333</v>
      </c>
      <c r="C2985" s="8" t="s">
        <v>9403</v>
      </c>
      <c r="D2985" s="8" t="s">
        <v>16</v>
      </c>
      <c r="E2985" s="8" t="s">
        <v>17</v>
      </c>
      <c r="F2985" s="9">
        <v>46180.0</v>
      </c>
      <c r="G2985" s="8" t="s">
        <v>171</v>
      </c>
      <c r="H2985" s="8" t="s">
        <v>172</v>
      </c>
      <c r="I2985" s="8" t="s">
        <v>9404</v>
      </c>
      <c r="J2985" s="8"/>
    </row>
    <row r="2986">
      <c r="A2986" s="7">
        <v>2.0058141E7</v>
      </c>
      <c r="B2986" s="8" t="s">
        <v>333</v>
      </c>
      <c r="C2986" s="8" t="s">
        <v>9405</v>
      </c>
      <c r="D2986" s="8" t="s">
        <v>16</v>
      </c>
      <c r="E2986" s="8" t="s">
        <v>17</v>
      </c>
      <c r="F2986" s="9">
        <v>46155.0</v>
      </c>
      <c r="G2986" s="8" t="s">
        <v>9354</v>
      </c>
      <c r="H2986" s="8" t="s">
        <v>9355</v>
      </c>
      <c r="I2986" s="8" t="s">
        <v>9406</v>
      </c>
      <c r="J2986" s="8"/>
    </row>
    <row r="2987">
      <c r="A2987" s="7">
        <v>2.0053064E7</v>
      </c>
      <c r="B2987" s="8" t="s">
        <v>333</v>
      </c>
      <c r="C2987" s="8" t="s">
        <v>9407</v>
      </c>
      <c r="D2987" s="8" t="s">
        <v>16</v>
      </c>
      <c r="E2987" s="8" t="s">
        <v>17</v>
      </c>
      <c r="F2987" s="9">
        <v>46134.0</v>
      </c>
      <c r="G2987" s="8" t="s">
        <v>158</v>
      </c>
      <c r="H2987" s="8" t="s">
        <v>159</v>
      </c>
      <c r="I2987" s="8" t="s">
        <v>9408</v>
      </c>
      <c r="J2987" s="8"/>
    </row>
    <row r="2988">
      <c r="A2988" s="7">
        <v>2.0049923E7</v>
      </c>
      <c r="B2988" s="8" t="s">
        <v>333</v>
      </c>
      <c r="C2988" s="8" t="s">
        <v>9409</v>
      </c>
      <c r="D2988" s="8" t="s">
        <v>16</v>
      </c>
      <c r="E2988" s="8" t="s">
        <v>17</v>
      </c>
      <c r="F2988" s="9">
        <v>46111.0</v>
      </c>
      <c r="G2988" s="8" t="s">
        <v>282</v>
      </c>
      <c r="H2988" s="8" t="s">
        <v>71</v>
      </c>
      <c r="I2988" s="8" t="s">
        <v>9410</v>
      </c>
      <c r="J2988" s="8" t="s">
        <v>9411</v>
      </c>
    </row>
    <row r="2989">
      <c r="A2989" s="7">
        <v>2.003395E7</v>
      </c>
      <c r="B2989" s="8" t="s">
        <v>333</v>
      </c>
      <c r="C2989" s="8" t="s">
        <v>9412</v>
      </c>
      <c r="D2989" s="8" t="s">
        <v>16</v>
      </c>
      <c r="E2989" s="8" t="s">
        <v>17</v>
      </c>
      <c r="F2989" s="9">
        <v>46050.0</v>
      </c>
      <c r="G2989" s="8" t="s">
        <v>34</v>
      </c>
      <c r="H2989" s="8" t="s">
        <v>35</v>
      </c>
      <c r="I2989" s="8" t="s">
        <v>9413</v>
      </c>
      <c r="J2989" s="8" t="s">
        <v>9414</v>
      </c>
    </row>
    <row r="2990">
      <c r="A2990" s="7">
        <v>2.006177E7</v>
      </c>
      <c r="B2990" s="8" t="s">
        <v>333</v>
      </c>
      <c r="C2990" s="8" t="s">
        <v>9415</v>
      </c>
      <c r="D2990" s="8" t="s">
        <v>16</v>
      </c>
      <c r="E2990" s="8" t="s">
        <v>17</v>
      </c>
      <c r="F2990" s="9">
        <v>46188.0</v>
      </c>
      <c r="G2990" s="8" t="s">
        <v>1627</v>
      </c>
      <c r="H2990" s="8" t="s">
        <v>1628</v>
      </c>
      <c r="I2990" s="8" t="s">
        <v>9416</v>
      </c>
      <c r="J2990" s="8"/>
    </row>
    <row r="2991">
      <c r="A2991" s="7">
        <v>2.0056023E7</v>
      </c>
      <c r="B2991" s="8" t="s">
        <v>333</v>
      </c>
      <c r="C2991" s="8" t="s">
        <v>9417</v>
      </c>
      <c r="D2991" s="8" t="s">
        <v>16</v>
      </c>
      <c r="E2991" s="8" t="s">
        <v>17</v>
      </c>
      <c r="F2991" s="9">
        <v>46133.0</v>
      </c>
      <c r="G2991" s="8" t="s">
        <v>826</v>
      </c>
      <c r="H2991" s="8" t="s">
        <v>7633</v>
      </c>
      <c r="I2991" s="8" t="s">
        <v>9418</v>
      </c>
      <c r="J2991" s="8" t="s">
        <v>9419</v>
      </c>
    </row>
    <row r="2992">
      <c r="A2992" s="7">
        <v>2.0055648E7</v>
      </c>
      <c r="B2992" s="8" t="s">
        <v>333</v>
      </c>
      <c r="C2992" s="8" t="s">
        <v>9420</v>
      </c>
      <c r="D2992" s="8" t="s">
        <v>16</v>
      </c>
      <c r="E2992" s="8" t="s">
        <v>17</v>
      </c>
      <c r="F2992" s="9">
        <v>46143.0</v>
      </c>
      <c r="G2992" s="8" t="s">
        <v>2666</v>
      </c>
      <c r="H2992" s="8" t="s">
        <v>2667</v>
      </c>
      <c r="I2992" s="8" t="s">
        <v>9421</v>
      </c>
      <c r="J2992" s="8"/>
    </row>
    <row r="2993">
      <c r="A2993" s="7">
        <v>2.0055249E7</v>
      </c>
      <c r="B2993" s="8" t="s">
        <v>333</v>
      </c>
      <c r="C2993" s="8" t="s">
        <v>9422</v>
      </c>
      <c r="D2993" s="8" t="s">
        <v>16</v>
      </c>
      <c r="E2993" s="8" t="s">
        <v>17</v>
      </c>
      <c r="F2993" s="9">
        <v>46148.0</v>
      </c>
      <c r="G2993" s="8" t="s">
        <v>486</v>
      </c>
      <c r="H2993" s="8" t="s">
        <v>487</v>
      </c>
      <c r="I2993" s="8" t="s">
        <v>9423</v>
      </c>
      <c r="J2993" s="8"/>
    </row>
    <row r="2994">
      <c r="A2994" s="7">
        <v>2.0051158E7</v>
      </c>
      <c r="B2994" s="8" t="s">
        <v>333</v>
      </c>
      <c r="C2994" s="8" t="s">
        <v>9424</v>
      </c>
      <c r="D2994" s="8" t="s">
        <v>16</v>
      </c>
      <c r="E2994" s="8" t="s">
        <v>17</v>
      </c>
      <c r="F2994" s="9">
        <v>46127.0</v>
      </c>
      <c r="G2994" s="8" t="s">
        <v>3532</v>
      </c>
      <c r="H2994" s="8" t="s">
        <v>3533</v>
      </c>
      <c r="I2994" s="8" t="s">
        <v>9425</v>
      </c>
      <c r="J2994" s="8"/>
    </row>
    <row r="2995">
      <c r="A2995" s="7">
        <v>2.0043439E7</v>
      </c>
      <c r="B2995" s="8" t="s">
        <v>333</v>
      </c>
      <c r="C2995" s="8" t="s">
        <v>9426</v>
      </c>
      <c r="D2995" s="8" t="s">
        <v>16</v>
      </c>
      <c r="E2995" s="8" t="s">
        <v>17</v>
      </c>
      <c r="F2995" s="9">
        <v>46093.0</v>
      </c>
      <c r="G2995" s="8" t="s">
        <v>436</v>
      </c>
      <c r="H2995" s="8" t="s">
        <v>437</v>
      </c>
      <c r="I2995" s="8" t="s">
        <v>9427</v>
      </c>
      <c r="J2995" s="8"/>
    </row>
    <row r="2996">
      <c r="A2996" s="7">
        <v>2.0043439E7</v>
      </c>
      <c r="B2996" s="8" t="s">
        <v>333</v>
      </c>
      <c r="C2996" s="8" t="s">
        <v>9428</v>
      </c>
      <c r="D2996" s="8" t="s">
        <v>16</v>
      </c>
      <c r="E2996" s="8" t="s">
        <v>17</v>
      </c>
      <c r="F2996" s="9">
        <v>46120.0</v>
      </c>
      <c r="G2996" s="8" t="s">
        <v>436</v>
      </c>
      <c r="H2996" s="8" t="s">
        <v>437</v>
      </c>
      <c r="I2996" s="8" t="s">
        <v>9429</v>
      </c>
      <c r="J2996" s="8"/>
    </row>
    <row r="2997">
      <c r="A2997" s="7">
        <v>2.0041621E7</v>
      </c>
      <c r="B2997" s="8" t="s">
        <v>333</v>
      </c>
      <c r="C2997" s="8" t="s">
        <v>9430</v>
      </c>
      <c r="D2997" s="8" t="s">
        <v>16</v>
      </c>
      <c r="E2997" s="8" t="s">
        <v>17</v>
      </c>
      <c r="F2997" s="9">
        <v>46090.0</v>
      </c>
      <c r="G2997" s="8" t="s">
        <v>314</v>
      </c>
      <c r="H2997" s="8" t="s">
        <v>315</v>
      </c>
      <c r="I2997" s="8" t="s">
        <v>9431</v>
      </c>
      <c r="J2997" s="8" t="s">
        <v>9432</v>
      </c>
    </row>
    <row r="2998">
      <c r="A2998" s="7">
        <v>2.004115E7</v>
      </c>
      <c r="B2998" s="8" t="s">
        <v>333</v>
      </c>
      <c r="C2998" s="8" t="s">
        <v>9433</v>
      </c>
      <c r="D2998" s="8" t="s">
        <v>16</v>
      </c>
      <c r="E2998" s="8" t="s">
        <v>17</v>
      </c>
      <c r="F2998" s="9">
        <v>46089.0</v>
      </c>
      <c r="G2998" s="8" t="s">
        <v>361</v>
      </c>
      <c r="H2998" s="8" t="s">
        <v>362</v>
      </c>
      <c r="I2998" s="8" t="s">
        <v>9434</v>
      </c>
      <c r="J2998" s="8"/>
    </row>
    <row r="2999">
      <c r="A2999" s="7">
        <v>2.0035871E7</v>
      </c>
      <c r="B2999" s="8" t="s">
        <v>333</v>
      </c>
      <c r="C2999" s="8" t="s">
        <v>9435</v>
      </c>
      <c r="D2999" s="8" t="s">
        <v>16</v>
      </c>
      <c r="E2999" s="8" t="s">
        <v>17</v>
      </c>
      <c r="F2999" s="9">
        <v>46060.0</v>
      </c>
      <c r="G2999" s="8" t="s">
        <v>1132</v>
      </c>
      <c r="H2999" s="8" t="s">
        <v>1133</v>
      </c>
      <c r="I2999" s="8" t="s">
        <v>9436</v>
      </c>
      <c r="J2999" s="8" t="s">
        <v>9437</v>
      </c>
    </row>
    <row r="3000">
      <c r="A3000" s="7">
        <v>2.0065799E7</v>
      </c>
      <c r="B3000" s="8" t="s">
        <v>333</v>
      </c>
      <c r="C3000" s="8" t="s">
        <v>9438</v>
      </c>
      <c r="D3000" s="8" t="s">
        <v>16</v>
      </c>
      <c r="E3000" s="8" t="s">
        <v>17</v>
      </c>
      <c r="F3000" s="9">
        <v>46192.0</v>
      </c>
      <c r="G3000" s="8" t="s">
        <v>1754</v>
      </c>
      <c r="H3000" s="8" t="s">
        <v>1755</v>
      </c>
      <c r="I3000" s="8" t="s">
        <v>9439</v>
      </c>
      <c r="J3000" s="8"/>
    </row>
    <row r="3001">
      <c r="A3001" s="7">
        <v>2.0060571E7</v>
      </c>
      <c r="B3001" s="8" t="s">
        <v>333</v>
      </c>
      <c r="C3001" s="8" t="s">
        <v>9440</v>
      </c>
      <c r="D3001" s="8" t="s">
        <v>16</v>
      </c>
      <c r="E3001" s="8" t="s">
        <v>17</v>
      </c>
      <c r="F3001" s="9">
        <v>46185.0</v>
      </c>
      <c r="G3001" s="8" t="s">
        <v>9441</v>
      </c>
      <c r="H3001" s="8" t="s">
        <v>9442</v>
      </c>
      <c r="I3001" s="8" t="s">
        <v>9443</v>
      </c>
      <c r="J3001" s="8"/>
    </row>
    <row r="3002">
      <c r="A3002" s="7">
        <v>2.0050875E7</v>
      </c>
      <c r="B3002" s="8" t="s">
        <v>333</v>
      </c>
      <c r="C3002" s="8" t="s">
        <v>9444</v>
      </c>
      <c r="D3002" s="8" t="s">
        <v>16</v>
      </c>
      <c r="E3002" s="8" t="s">
        <v>17</v>
      </c>
      <c r="F3002" s="9">
        <v>46123.0</v>
      </c>
      <c r="G3002" s="8" t="s">
        <v>543</v>
      </c>
      <c r="H3002" s="8" t="s">
        <v>544</v>
      </c>
      <c r="I3002" s="8" t="s">
        <v>9445</v>
      </c>
      <c r="J3002" s="8"/>
    </row>
    <row r="3003">
      <c r="A3003" s="7">
        <v>2.004871E7</v>
      </c>
      <c r="B3003" s="8" t="s">
        <v>333</v>
      </c>
      <c r="C3003" s="8" t="s">
        <v>9446</v>
      </c>
      <c r="D3003" s="8" t="s">
        <v>16</v>
      </c>
      <c r="E3003" s="8" t="s">
        <v>17</v>
      </c>
      <c r="F3003" s="9">
        <v>46108.0</v>
      </c>
      <c r="G3003" s="8" t="s">
        <v>9447</v>
      </c>
      <c r="H3003" s="8" t="s">
        <v>9448</v>
      </c>
      <c r="I3003" s="8" t="s">
        <v>9449</v>
      </c>
      <c r="J3003" s="8" t="s">
        <v>9450</v>
      </c>
    </row>
    <row r="3004">
      <c r="A3004" s="7">
        <v>2.0048532E7</v>
      </c>
      <c r="B3004" s="8" t="s">
        <v>333</v>
      </c>
      <c r="C3004" s="8" t="s">
        <v>9451</v>
      </c>
      <c r="D3004" s="8" t="s">
        <v>16</v>
      </c>
      <c r="E3004" s="8" t="s">
        <v>17</v>
      </c>
      <c r="F3004" s="9">
        <v>46117.0</v>
      </c>
      <c r="G3004" s="8" t="s">
        <v>522</v>
      </c>
      <c r="H3004" s="8" t="s">
        <v>523</v>
      </c>
      <c r="I3004" s="8" t="s">
        <v>9452</v>
      </c>
      <c r="J3004" s="8"/>
    </row>
    <row r="3005">
      <c r="A3005" s="7">
        <v>2.0044346E7</v>
      </c>
      <c r="B3005" s="8" t="s">
        <v>333</v>
      </c>
      <c r="C3005" s="8" t="s">
        <v>9453</v>
      </c>
      <c r="D3005" s="8" t="s">
        <v>16</v>
      </c>
      <c r="E3005" s="8" t="s">
        <v>17</v>
      </c>
      <c r="F3005" s="9">
        <v>46096.0</v>
      </c>
      <c r="G3005" s="8" t="s">
        <v>171</v>
      </c>
      <c r="H3005" s="8" t="s">
        <v>172</v>
      </c>
      <c r="I3005" s="8" t="s">
        <v>9454</v>
      </c>
      <c r="J3005" s="8"/>
    </row>
    <row r="3006">
      <c r="A3006" s="7">
        <v>2.0039644E7</v>
      </c>
      <c r="B3006" s="8" t="s">
        <v>333</v>
      </c>
      <c r="C3006" s="8" t="s">
        <v>9455</v>
      </c>
      <c r="D3006" s="8" t="s">
        <v>16</v>
      </c>
      <c r="E3006" s="8" t="s">
        <v>17</v>
      </c>
      <c r="F3006" s="9">
        <v>46063.0</v>
      </c>
      <c r="G3006" s="8" t="s">
        <v>846</v>
      </c>
      <c r="H3006" s="8" t="s">
        <v>847</v>
      </c>
      <c r="I3006" s="8" t="s">
        <v>9456</v>
      </c>
      <c r="J3006" s="8" t="s">
        <v>9457</v>
      </c>
    </row>
    <row r="3007">
      <c r="A3007" s="7">
        <v>2.0036138E7</v>
      </c>
      <c r="B3007" s="8" t="s">
        <v>333</v>
      </c>
      <c r="C3007" s="8" t="s">
        <v>9458</v>
      </c>
      <c r="D3007" s="8" t="s">
        <v>16</v>
      </c>
      <c r="E3007" s="8" t="s">
        <v>17</v>
      </c>
      <c r="F3007" s="9">
        <v>46094.0</v>
      </c>
      <c r="G3007" s="8" t="s">
        <v>9459</v>
      </c>
      <c r="H3007" s="8" t="s">
        <v>9460</v>
      </c>
      <c r="I3007" s="8" t="s">
        <v>9461</v>
      </c>
      <c r="J3007" s="8"/>
    </row>
    <row r="3008">
      <c r="A3008" s="7">
        <v>2.0036138E7</v>
      </c>
      <c r="B3008" s="8" t="s">
        <v>333</v>
      </c>
      <c r="C3008" s="8" t="s">
        <v>9458</v>
      </c>
      <c r="D3008" s="8" t="s">
        <v>16</v>
      </c>
      <c r="E3008" s="8" t="s">
        <v>17</v>
      </c>
      <c r="F3008" s="9">
        <v>46094.0</v>
      </c>
      <c r="G3008" s="8" t="s">
        <v>390</v>
      </c>
      <c r="H3008" s="8" t="s">
        <v>391</v>
      </c>
      <c r="I3008" s="8" t="s">
        <v>9462</v>
      </c>
      <c r="J3008" s="8"/>
    </row>
    <row r="3009">
      <c r="A3009" s="7">
        <v>2.0036138E7</v>
      </c>
      <c r="B3009" s="8" t="s">
        <v>333</v>
      </c>
      <c r="C3009" s="8" t="s">
        <v>9463</v>
      </c>
      <c r="D3009" s="8" t="s">
        <v>16</v>
      </c>
      <c r="E3009" s="8" t="s">
        <v>17</v>
      </c>
      <c r="F3009" s="9">
        <v>46127.0</v>
      </c>
      <c r="G3009" s="8" t="s">
        <v>137</v>
      </c>
      <c r="H3009" s="8" t="s">
        <v>138</v>
      </c>
      <c r="I3009" s="8" t="s">
        <v>9464</v>
      </c>
      <c r="J3009" s="8"/>
    </row>
    <row r="3010">
      <c r="A3010" s="7">
        <v>2.0058731E7</v>
      </c>
      <c r="B3010" s="8" t="s">
        <v>333</v>
      </c>
      <c r="C3010" s="8" t="s">
        <v>9465</v>
      </c>
      <c r="D3010" s="8" t="s">
        <v>16</v>
      </c>
      <c r="E3010" s="8" t="s">
        <v>17</v>
      </c>
      <c r="F3010" s="9">
        <v>46175.0</v>
      </c>
      <c r="G3010" s="8" t="s">
        <v>70</v>
      </c>
      <c r="H3010" s="8" t="s">
        <v>9466</v>
      </c>
      <c r="I3010" s="8" t="s">
        <v>9467</v>
      </c>
      <c r="J3010" s="8" t="s">
        <v>9468</v>
      </c>
    </row>
    <row r="3011">
      <c r="A3011" s="7">
        <v>2.0059764E7</v>
      </c>
      <c r="B3011" s="8" t="s">
        <v>333</v>
      </c>
      <c r="C3011" s="8" t="s">
        <v>9469</v>
      </c>
      <c r="D3011" s="8" t="s">
        <v>16</v>
      </c>
      <c r="E3011" s="8" t="s">
        <v>17</v>
      </c>
      <c r="F3011" s="9">
        <v>46151.0</v>
      </c>
      <c r="G3011" s="8" t="s">
        <v>3012</v>
      </c>
      <c r="H3011" s="8" t="s">
        <v>3013</v>
      </c>
      <c r="I3011" s="8" t="s">
        <v>9470</v>
      </c>
      <c r="J3011" s="8" t="s">
        <v>9471</v>
      </c>
    </row>
    <row r="3012">
      <c r="A3012" s="7">
        <v>2.0055454E7</v>
      </c>
      <c r="B3012" s="8" t="s">
        <v>333</v>
      </c>
      <c r="C3012" s="8" t="s">
        <v>9472</v>
      </c>
      <c r="D3012" s="8" t="s">
        <v>16</v>
      </c>
      <c r="E3012" s="8" t="s">
        <v>17</v>
      </c>
      <c r="F3012" s="9">
        <v>46162.0</v>
      </c>
      <c r="G3012" s="8" t="s">
        <v>1485</v>
      </c>
      <c r="H3012" s="8" t="s">
        <v>1486</v>
      </c>
      <c r="I3012" s="8" t="s">
        <v>9473</v>
      </c>
      <c r="J3012" s="8"/>
    </row>
    <row r="3013">
      <c r="A3013" s="7">
        <v>2.00565E7</v>
      </c>
      <c r="B3013" s="8" t="s">
        <v>333</v>
      </c>
      <c r="C3013" s="8" t="s">
        <v>9474</v>
      </c>
      <c r="D3013" s="8" t="s">
        <v>16</v>
      </c>
      <c r="E3013" s="8" t="s">
        <v>17</v>
      </c>
      <c r="F3013" s="9">
        <v>46135.0</v>
      </c>
      <c r="G3013" s="8" t="s">
        <v>220</v>
      </c>
      <c r="H3013" s="8" t="s">
        <v>221</v>
      </c>
      <c r="I3013" s="8" t="s">
        <v>9475</v>
      </c>
      <c r="J3013" s="8" t="s">
        <v>9476</v>
      </c>
    </row>
    <row r="3014">
      <c r="A3014" s="7">
        <v>2.0052361E7</v>
      </c>
      <c r="B3014" s="8" t="s">
        <v>333</v>
      </c>
      <c r="C3014" s="8" t="s">
        <v>9477</v>
      </c>
      <c r="D3014" s="8" t="s">
        <v>16</v>
      </c>
      <c r="E3014" s="8" t="s">
        <v>17</v>
      </c>
      <c r="F3014" s="9">
        <v>46118.0</v>
      </c>
      <c r="G3014" s="8" t="s">
        <v>385</v>
      </c>
      <c r="H3014" s="8" t="s">
        <v>386</v>
      </c>
      <c r="I3014" s="8" t="s">
        <v>9478</v>
      </c>
      <c r="J3014" s="8" t="s">
        <v>9479</v>
      </c>
    </row>
    <row r="3015">
      <c r="A3015" s="7">
        <v>2.0046983E7</v>
      </c>
      <c r="B3015" s="8" t="s">
        <v>333</v>
      </c>
      <c r="C3015" s="8" t="s">
        <v>9480</v>
      </c>
      <c r="D3015" s="8" t="s">
        <v>16</v>
      </c>
      <c r="E3015" s="8" t="s">
        <v>17</v>
      </c>
      <c r="F3015" s="9">
        <v>46120.0</v>
      </c>
      <c r="G3015" s="8" t="s">
        <v>390</v>
      </c>
      <c r="H3015" s="8" t="s">
        <v>391</v>
      </c>
      <c r="I3015" s="8" t="s">
        <v>9481</v>
      </c>
      <c r="J3015" s="8"/>
    </row>
    <row r="3016">
      <c r="A3016" s="7">
        <v>2.0044738E7</v>
      </c>
      <c r="B3016" s="8" t="s">
        <v>333</v>
      </c>
      <c r="C3016" s="8" t="s">
        <v>9482</v>
      </c>
      <c r="D3016" s="8" t="s">
        <v>16</v>
      </c>
      <c r="E3016" s="8" t="s">
        <v>17</v>
      </c>
      <c r="F3016" s="9">
        <v>46087.0</v>
      </c>
      <c r="G3016" s="8" t="s">
        <v>1132</v>
      </c>
      <c r="H3016" s="8" t="s">
        <v>1133</v>
      </c>
      <c r="I3016" s="8" t="s">
        <v>9483</v>
      </c>
      <c r="J3016" s="8" t="s">
        <v>9484</v>
      </c>
    </row>
    <row r="3017">
      <c r="A3017" s="7">
        <v>2.0043168E7</v>
      </c>
      <c r="B3017" s="8" t="s">
        <v>333</v>
      </c>
      <c r="C3017" s="8" t="s">
        <v>9485</v>
      </c>
      <c r="D3017" s="8" t="s">
        <v>16</v>
      </c>
      <c r="E3017" s="8" t="s">
        <v>17</v>
      </c>
      <c r="F3017" s="9">
        <v>46091.0</v>
      </c>
      <c r="G3017" s="8" t="s">
        <v>1949</v>
      </c>
      <c r="H3017" s="8" t="s">
        <v>1950</v>
      </c>
      <c r="I3017" s="8" t="s">
        <v>9486</v>
      </c>
      <c r="J3017" s="8" t="s">
        <v>9487</v>
      </c>
    </row>
    <row r="3018">
      <c r="A3018" s="7">
        <v>2.003916E7</v>
      </c>
      <c r="B3018" s="8" t="s">
        <v>333</v>
      </c>
      <c r="C3018" s="8" t="s">
        <v>9488</v>
      </c>
      <c r="D3018" s="8" t="s">
        <v>16</v>
      </c>
      <c r="E3018" s="8" t="s">
        <v>17</v>
      </c>
      <c r="F3018" s="9">
        <v>46081.0</v>
      </c>
      <c r="G3018" s="8" t="s">
        <v>1132</v>
      </c>
      <c r="H3018" s="8" t="s">
        <v>1133</v>
      </c>
      <c r="I3018" s="8" t="s">
        <v>9489</v>
      </c>
      <c r="J3018" s="8" t="s">
        <v>9490</v>
      </c>
    </row>
    <row r="3019">
      <c r="A3019" s="7">
        <v>2.003916E7</v>
      </c>
      <c r="B3019" s="8" t="s">
        <v>333</v>
      </c>
      <c r="C3019" s="8" t="s">
        <v>9488</v>
      </c>
      <c r="D3019" s="8" t="s">
        <v>16</v>
      </c>
      <c r="E3019" s="8" t="s">
        <v>17</v>
      </c>
      <c r="F3019" s="9">
        <v>46081.0</v>
      </c>
      <c r="G3019" s="8" t="s">
        <v>1498</v>
      </c>
      <c r="H3019" s="8" t="s">
        <v>1499</v>
      </c>
      <c r="I3019" s="8" t="s">
        <v>9491</v>
      </c>
      <c r="J3019" s="8" t="s">
        <v>9492</v>
      </c>
    </row>
    <row r="3020">
      <c r="A3020" s="7">
        <v>2.003916E7</v>
      </c>
      <c r="B3020" s="8" t="s">
        <v>333</v>
      </c>
      <c r="C3020" s="8" t="s">
        <v>9488</v>
      </c>
      <c r="D3020" s="8" t="s">
        <v>16</v>
      </c>
      <c r="E3020" s="8" t="s">
        <v>17</v>
      </c>
      <c r="F3020" s="9">
        <v>46081.0</v>
      </c>
      <c r="G3020" s="8" t="s">
        <v>1498</v>
      </c>
      <c r="H3020" s="8" t="s">
        <v>1499</v>
      </c>
      <c r="I3020" s="8" t="s">
        <v>9493</v>
      </c>
      <c r="J3020" s="8" t="s">
        <v>9492</v>
      </c>
    </row>
    <row r="3021">
      <c r="A3021" s="7">
        <v>2.003716E7</v>
      </c>
      <c r="B3021" s="8" t="s">
        <v>333</v>
      </c>
      <c r="C3021" s="8" t="s">
        <v>9494</v>
      </c>
      <c r="D3021" s="8" t="s">
        <v>16</v>
      </c>
      <c r="E3021" s="8" t="s">
        <v>17</v>
      </c>
      <c r="F3021" s="9">
        <v>46087.0</v>
      </c>
      <c r="G3021" s="8" t="s">
        <v>119</v>
      </c>
      <c r="H3021" s="8" t="s">
        <v>120</v>
      </c>
      <c r="I3021" s="8" t="s">
        <v>9495</v>
      </c>
      <c r="J3021" s="8" t="s">
        <v>9496</v>
      </c>
    </row>
    <row r="3022">
      <c r="A3022" s="7">
        <v>2.0037253E7</v>
      </c>
      <c r="B3022" s="8" t="s">
        <v>333</v>
      </c>
      <c r="C3022" s="8" t="s">
        <v>9497</v>
      </c>
      <c r="D3022" s="8" t="s">
        <v>16</v>
      </c>
      <c r="E3022" s="8" t="s">
        <v>17</v>
      </c>
      <c r="F3022" s="9">
        <v>46058.0</v>
      </c>
      <c r="G3022" s="8" t="s">
        <v>365</v>
      </c>
      <c r="H3022" s="8" t="s">
        <v>366</v>
      </c>
      <c r="I3022" s="8" t="s">
        <v>9498</v>
      </c>
      <c r="J3022" s="8" t="s">
        <v>9499</v>
      </c>
    </row>
    <row r="3023">
      <c r="A3023" s="7">
        <v>2.0036614E7</v>
      </c>
      <c r="B3023" s="8" t="s">
        <v>333</v>
      </c>
      <c r="C3023" s="8" t="s">
        <v>9500</v>
      </c>
      <c r="D3023" s="8" t="s">
        <v>16</v>
      </c>
      <c r="E3023" s="8" t="s">
        <v>17</v>
      </c>
      <c r="F3023" s="9">
        <v>46062.0</v>
      </c>
      <c r="G3023" s="8" t="s">
        <v>34</v>
      </c>
      <c r="H3023" s="8" t="s">
        <v>35</v>
      </c>
      <c r="I3023" s="8" t="s">
        <v>9501</v>
      </c>
      <c r="J3023" s="8" t="s">
        <v>9502</v>
      </c>
    </row>
    <row r="3024">
      <c r="A3024" s="7">
        <v>2.0032686E7</v>
      </c>
      <c r="B3024" s="8" t="s">
        <v>333</v>
      </c>
      <c r="C3024" s="8" t="s">
        <v>9503</v>
      </c>
      <c r="D3024" s="8" t="s">
        <v>16</v>
      </c>
      <c r="E3024" s="8" t="s">
        <v>17</v>
      </c>
      <c r="F3024" s="9">
        <v>46061.0</v>
      </c>
      <c r="G3024" s="8" t="s">
        <v>9504</v>
      </c>
      <c r="H3024" s="8" t="s">
        <v>9505</v>
      </c>
      <c r="I3024" s="8" t="s">
        <v>9506</v>
      </c>
      <c r="J3024" s="8"/>
    </row>
    <row r="3025">
      <c r="A3025" s="7">
        <v>2.0033852E7</v>
      </c>
      <c r="B3025" s="8" t="s">
        <v>333</v>
      </c>
      <c r="C3025" s="8" t="s">
        <v>9507</v>
      </c>
      <c r="D3025" s="8" t="s">
        <v>16</v>
      </c>
      <c r="E3025" s="8" t="s">
        <v>17</v>
      </c>
      <c r="F3025" s="9">
        <v>46047.0</v>
      </c>
      <c r="G3025" s="8" t="s">
        <v>978</v>
      </c>
      <c r="H3025" s="8" t="s">
        <v>979</v>
      </c>
      <c r="I3025" s="8" t="s">
        <v>9508</v>
      </c>
      <c r="J3025" s="8" t="s">
        <v>9509</v>
      </c>
    </row>
    <row r="3026">
      <c r="A3026" s="7">
        <v>2.0053051E7</v>
      </c>
      <c r="B3026" s="8" t="s">
        <v>333</v>
      </c>
      <c r="C3026" s="8" t="s">
        <v>9510</v>
      </c>
      <c r="D3026" s="8" t="s">
        <v>16</v>
      </c>
      <c r="E3026" s="8" t="s">
        <v>17</v>
      </c>
      <c r="F3026" s="9">
        <v>46193.0</v>
      </c>
      <c r="G3026" s="8" t="s">
        <v>6254</v>
      </c>
      <c r="H3026" s="8" t="s">
        <v>6255</v>
      </c>
      <c r="I3026" s="8" t="s">
        <v>9511</v>
      </c>
      <c r="J3026" s="8"/>
    </row>
    <row r="3027">
      <c r="A3027" s="7">
        <v>2.0065515E7</v>
      </c>
      <c r="B3027" s="8" t="s">
        <v>333</v>
      </c>
      <c r="C3027" s="8" t="s">
        <v>9512</v>
      </c>
      <c r="D3027" s="8" t="s">
        <v>16</v>
      </c>
      <c r="E3027" s="8" t="s">
        <v>17</v>
      </c>
      <c r="F3027" s="9">
        <v>46181.0</v>
      </c>
      <c r="G3027" s="8" t="s">
        <v>1859</v>
      </c>
      <c r="H3027" s="8" t="s">
        <v>6147</v>
      </c>
      <c r="I3027" s="8" t="s">
        <v>9513</v>
      </c>
      <c r="J3027" s="8" t="s">
        <v>9514</v>
      </c>
    </row>
    <row r="3028">
      <c r="A3028" s="7">
        <v>2.0061663E7</v>
      </c>
      <c r="B3028" s="8" t="s">
        <v>333</v>
      </c>
      <c r="C3028" s="8" t="s">
        <v>9515</v>
      </c>
      <c r="D3028" s="8" t="s">
        <v>16</v>
      </c>
      <c r="E3028" s="8" t="s">
        <v>17</v>
      </c>
      <c r="F3028" s="9">
        <v>46152.0</v>
      </c>
      <c r="G3028" s="8" t="s">
        <v>365</v>
      </c>
      <c r="H3028" s="8" t="s">
        <v>366</v>
      </c>
      <c r="I3028" s="8" t="s">
        <v>9516</v>
      </c>
      <c r="J3028" s="8" t="s">
        <v>9517</v>
      </c>
    </row>
    <row r="3029">
      <c r="A3029" s="7">
        <v>2.0047882E7</v>
      </c>
      <c r="B3029" s="8" t="s">
        <v>333</v>
      </c>
      <c r="C3029" s="8" t="s">
        <v>9518</v>
      </c>
      <c r="D3029" s="8" t="s">
        <v>16</v>
      </c>
      <c r="E3029" s="8" t="s">
        <v>17</v>
      </c>
      <c r="F3029" s="9">
        <v>46109.0</v>
      </c>
      <c r="G3029" s="8" t="s">
        <v>423</v>
      </c>
      <c r="H3029" s="8" t="s">
        <v>424</v>
      </c>
      <c r="I3029" s="8" t="s">
        <v>9519</v>
      </c>
      <c r="J3029" s="8" t="s">
        <v>9520</v>
      </c>
    </row>
    <row r="3030">
      <c r="A3030" s="7">
        <v>2.0046953E7</v>
      </c>
      <c r="B3030" s="8" t="s">
        <v>333</v>
      </c>
      <c r="C3030" s="8" t="s">
        <v>9521</v>
      </c>
      <c r="D3030" s="8" t="s">
        <v>16</v>
      </c>
      <c r="E3030" s="8" t="s">
        <v>17</v>
      </c>
      <c r="F3030" s="9">
        <v>46118.0</v>
      </c>
      <c r="G3030" s="8" t="s">
        <v>171</v>
      </c>
      <c r="H3030" s="8" t="s">
        <v>172</v>
      </c>
      <c r="I3030" s="8" t="s">
        <v>9522</v>
      </c>
      <c r="J3030" s="8"/>
    </row>
    <row r="3031">
      <c r="A3031" s="7">
        <v>2.0043786E7</v>
      </c>
      <c r="B3031" s="8" t="s">
        <v>333</v>
      </c>
      <c r="C3031" s="8" t="s">
        <v>9523</v>
      </c>
      <c r="D3031" s="8" t="s">
        <v>16</v>
      </c>
      <c r="E3031" s="8" t="s">
        <v>17</v>
      </c>
      <c r="F3031" s="9">
        <v>46095.0</v>
      </c>
      <c r="G3031" s="8" t="s">
        <v>153</v>
      </c>
      <c r="H3031" s="8" t="s">
        <v>154</v>
      </c>
      <c r="I3031" s="8" t="s">
        <v>9524</v>
      </c>
      <c r="J3031" s="8" t="s">
        <v>9525</v>
      </c>
    </row>
    <row r="3032">
      <c r="A3032" s="7">
        <v>2.0040701E7</v>
      </c>
      <c r="B3032" s="8" t="s">
        <v>333</v>
      </c>
      <c r="C3032" s="8" t="s">
        <v>9526</v>
      </c>
      <c r="D3032" s="8" t="s">
        <v>16</v>
      </c>
      <c r="E3032" s="8" t="s">
        <v>17</v>
      </c>
      <c r="F3032" s="9">
        <v>46082.0</v>
      </c>
      <c r="G3032" s="8" t="s">
        <v>1503</v>
      </c>
      <c r="H3032" s="8" t="s">
        <v>1504</v>
      </c>
      <c r="I3032" s="8" t="s">
        <v>9527</v>
      </c>
      <c r="J3032" s="8"/>
    </row>
    <row r="3033">
      <c r="A3033" s="7">
        <v>2.0032787E7</v>
      </c>
      <c r="B3033" s="8" t="s">
        <v>333</v>
      </c>
      <c r="C3033" s="8" t="s">
        <v>9528</v>
      </c>
      <c r="D3033" s="8" t="s">
        <v>16</v>
      </c>
      <c r="E3033" s="8" t="s">
        <v>17</v>
      </c>
      <c r="F3033" s="9">
        <v>46076.0</v>
      </c>
      <c r="G3033" s="8" t="s">
        <v>390</v>
      </c>
      <c r="H3033" s="8" t="s">
        <v>391</v>
      </c>
      <c r="I3033" s="8" t="s">
        <v>9529</v>
      </c>
      <c r="J3033" s="8"/>
    </row>
    <row r="3034">
      <c r="A3034" s="7">
        <v>2.0032054E7</v>
      </c>
      <c r="B3034" s="8" t="s">
        <v>333</v>
      </c>
      <c r="C3034" s="8" t="s">
        <v>9530</v>
      </c>
      <c r="D3034" s="8" t="s">
        <v>16</v>
      </c>
      <c r="E3034" s="8" t="s">
        <v>17</v>
      </c>
      <c r="F3034" s="9">
        <v>46047.0</v>
      </c>
      <c r="G3034" s="8" t="s">
        <v>54</v>
      </c>
      <c r="H3034" s="8" t="s">
        <v>55</v>
      </c>
      <c r="I3034" s="8" t="s">
        <v>9531</v>
      </c>
      <c r="J3034" s="8" t="s">
        <v>9532</v>
      </c>
    </row>
    <row r="3035">
      <c r="A3035" s="7">
        <v>2.0067083E7</v>
      </c>
      <c r="B3035" s="8" t="s">
        <v>333</v>
      </c>
      <c r="C3035" s="8" t="s">
        <v>9533</v>
      </c>
      <c r="D3035" s="8" t="s">
        <v>16</v>
      </c>
      <c r="E3035" s="8" t="s">
        <v>17</v>
      </c>
      <c r="F3035" s="9">
        <v>46191.0</v>
      </c>
      <c r="G3035" s="8" t="s">
        <v>410</v>
      </c>
      <c r="H3035" s="8" t="s">
        <v>411</v>
      </c>
      <c r="I3035" s="8" t="s">
        <v>9534</v>
      </c>
      <c r="J3035" s="8"/>
    </row>
    <row r="3036">
      <c r="A3036" s="7">
        <v>2.0064401E7</v>
      </c>
      <c r="B3036" s="8" t="s">
        <v>333</v>
      </c>
      <c r="C3036" s="8" t="s">
        <v>9535</v>
      </c>
      <c r="D3036" s="8" t="s">
        <v>16</v>
      </c>
      <c r="E3036" s="8" t="s">
        <v>17</v>
      </c>
      <c r="F3036" s="9">
        <v>46182.0</v>
      </c>
      <c r="G3036" s="8" t="s">
        <v>59</v>
      </c>
      <c r="H3036" s="8" t="s">
        <v>60</v>
      </c>
      <c r="I3036" s="8" t="s">
        <v>9536</v>
      </c>
      <c r="J3036" s="8" t="s">
        <v>9537</v>
      </c>
    </row>
    <row r="3037">
      <c r="A3037" s="7">
        <v>2.0058332E7</v>
      </c>
      <c r="B3037" s="8" t="s">
        <v>333</v>
      </c>
      <c r="C3037" s="8" t="s">
        <v>9538</v>
      </c>
      <c r="D3037" s="8" t="s">
        <v>16</v>
      </c>
      <c r="E3037" s="8" t="s">
        <v>17</v>
      </c>
      <c r="F3037" s="9">
        <v>46142.0</v>
      </c>
      <c r="G3037" s="8" t="s">
        <v>4850</v>
      </c>
      <c r="H3037" s="8" t="s">
        <v>4851</v>
      </c>
      <c r="I3037" s="8" t="s">
        <v>9539</v>
      </c>
      <c r="J3037" s="8" t="s">
        <v>9540</v>
      </c>
    </row>
    <row r="3038">
      <c r="A3038" s="7">
        <v>2.0054757E7</v>
      </c>
      <c r="B3038" s="8" t="s">
        <v>333</v>
      </c>
      <c r="C3038" s="8" t="s">
        <v>9541</v>
      </c>
      <c r="D3038" s="8" t="s">
        <v>16</v>
      </c>
      <c r="E3038" s="8" t="s">
        <v>17</v>
      </c>
      <c r="F3038" s="9">
        <v>46131.0</v>
      </c>
      <c r="G3038" s="8" t="s">
        <v>1132</v>
      </c>
      <c r="H3038" s="8" t="s">
        <v>1133</v>
      </c>
      <c r="I3038" s="8" t="s">
        <v>9542</v>
      </c>
      <c r="J3038" s="8" t="s">
        <v>9543</v>
      </c>
    </row>
    <row r="3039">
      <c r="A3039" s="7">
        <v>2.0041808E7</v>
      </c>
      <c r="B3039" s="8" t="s">
        <v>333</v>
      </c>
      <c r="C3039" s="8" t="s">
        <v>9544</v>
      </c>
      <c r="D3039" s="8" t="s">
        <v>16</v>
      </c>
      <c r="E3039" s="8" t="s">
        <v>17</v>
      </c>
      <c r="F3039" s="9">
        <v>46120.0</v>
      </c>
      <c r="G3039" s="8" t="s">
        <v>4431</v>
      </c>
      <c r="H3039" s="8" t="s">
        <v>4432</v>
      </c>
      <c r="I3039" s="8" t="s">
        <v>9545</v>
      </c>
      <c r="J3039" s="8"/>
    </row>
    <row r="3040">
      <c r="A3040" s="7">
        <v>2.0044312E7</v>
      </c>
      <c r="B3040" s="8" t="s">
        <v>333</v>
      </c>
      <c r="C3040" s="8" t="s">
        <v>9546</v>
      </c>
      <c r="D3040" s="8" t="s">
        <v>16</v>
      </c>
      <c r="E3040" s="8" t="s">
        <v>17</v>
      </c>
      <c r="F3040" s="9">
        <v>46101.0</v>
      </c>
      <c r="G3040" s="8" t="s">
        <v>9264</v>
      </c>
      <c r="H3040" s="8" t="s">
        <v>9265</v>
      </c>
      <c r="I3040" s="8" t="s">
        <v>9547</v>
      </c>
      <c r="J3040" s="8"/>
    </row>
    <row r="3041">
      <c r="A3041" s="7">
        <v>2.0043191E7</v>
      </c>
      <c r="B3041" s="8" t="s">
        <v>333</v>
      </c>
      <c r="C3041" s="8" t="s">
        <v>9548</v>
      </c>
      <c r="D3041" s="8" t="s">
        <v>16</v>
      </c>
      <c r="E3041" s="8" t="s">
        <v>17</v>
      </c>
      <c r="F3041" s="9">
        <v>46095.0</v>
      </c>
      <c r="G3041" s="8" t="s">
        <v>908</v>
      </c>
      <c r="H3041" s="8" t="s">
        <v>909</v>
      </c>
      <c r="I3041" s="8" t="s">
        <v>9549</v>
      </c>
      <c r="J3041" s="8" t="s">
        <v>9550</v>
      </c>
    </row>
    <row r="3042">
      <c r="A3042" s="7">
        <v>2.0043677E7</v>
      </c>
      <c r="B3042" s="8" t="s">
        <v>333</v>
      </c>
      <c r="C3042" s="8" t="s">
        <v>9551</v>
      </c>
      <c r="D3042" s="8" t="s">
        <v>16</v>
      </c>
      <c r="E3042" s="8" t="s">
        <v>17</v>
      </c>
      <c r="F3042" s="9">
        <v>46094.0</v>
      </c>
      <c r="G3042" s="8" t="s">
        <v>184</v>
      </c>
      <c r="H3042" s="8" t="s">
        <v>185</v>
      </c>
      <c r="I3042" s="8" t="s">
        <v>9552</v>
      </c>
      <c r="J3042" s="8"/>
    </row>
    <row r="3043">
      <c r="A3043" s="7">
        <v>2.0042386E7</v>
      </c>
      <c r="B3043" s="8" t="s">
        <v>333</v>
      </c>
      <c r="C3043" s="8" t="s">
        <v>9553</v>
      </c>
      <c r="D3043" s="8" t="s">
        <v>16</v>
      </c>
      <c r="E3043" s="8" t="s">
        <v>17</v>
      </c>
      <c r="F3043" s="9">
        <v>46095.0</v>
      </c>
      <c r="G3043" s="8" t="s">
        <v>3532</v>
      </c>
      <c r="H3043" s="8" t="s">
        <v>3533</v>
      </c>
      <c r="I3043" s="8" t="s">
        <v>9554</v>
      </c>
      <c r="J3043" s="8"/>
    </row>
    <row r="3044">
      <c r="A3044" s="7">
        <v>2.0039582E7</v>
      </c>
      <c r="B3044" s="8" t="s">
        <v>333</v>
      </c>
      <c r="C3044" s="8" t="s">
        <v>9555</v>
      </c>
      <c r="D3044" s="8" t="s">
        <v>16</v>
      </c>
      <c r="E3044" s="8" t="s">
        <v>17</v>
      </c>
      <c r="F3044" s="9">
        <v>46081.0</v>
      </c>
      <c r="G3044" s="8" t="s">
        <v>721</v>
      </c>
      <c r="H3044" s="8" t="s">
        <v>722</v>
      </c>
      <c r="I3044" s="8" t="s">
        <v>9556</v>
      </c>
      <c r="J3044" s="8"/>
    </row>
    <row r="3045">
      <c r="A3045" s="7">
        <v>2.004018E7</v>
      </c>
      <c r="B3045" s="8" t="s">
        <v>333</v>
      </c>
      <c r="C3045" s="8" t="s">
        <v>9557</v>
      </c>
      <c r="D3045" s="8" t="s">
        <v>16</v>
      </c>
      <c r="E3045" s="8" t="s">
        <v>17</v>
      </c>
      <c r="F3045" s="9">
        <v>46081.0</v>
      </c>
      <c r="G3045" s="8" t="s">
        <v>365</v>
      </c>
      <c r="H3045" s="8" t="s">
        <v>366</v>
      </c>
      <c r="I3045" s="8" t="s">
        <v>9558</v>
      </c>
      <c r="J3045" s="8" t="s">
        <v>9559</v>
      </c>
    </row>
    <row r="3046">
      <c r="A3046" s="7">
        <v>2.0035303E7</v>
      </c>
      <c r="B3046" s="8" t="s">
        <v>333</v>
      </c>
      <c r="C3046" s="8" t="s">
        <v>9560</v>
      </c>
      <c r="D3046" s="8" t="s">
        <v>16</v>
      </c>
      <c r="E3046" s="8" t="s">
        <v>17</v>
      </c>
      <c r="F3046" s="9">
        <v>46080.0</v>
      </c>
      <c r="G3046" s="8" t="s">
        <v>59</v>
      </c>
      <c r="H3046" s="8" t="s">
        <v>60</v>
      </c>
      <c r="I3046" s="8" t="s">
        <v>9561</v>
      </c>
      <c r="J3046" s="8" t="s">
        <v>9562</v>
      </c>
    </row>
    <row r="3047">
      <c r="A3047" s="7">
        <v>2.0069479E7</v>
      </c>
      <c r="B3047" s="8" t="s">
        <v>333</v>
      </c>
      <c r="C3047" s="8" t="s">
        <v>9563</v>
      </c>
      <c r="D3047" s="8" t="s">
        <v>16</v>
      </c>
      <c r="E3047" s="8" t="s">
        <v>17</v>
      </c>
      <c r="F3047" s="9">
        <v>46193.0</v>
      </c>
      <c r="G3047" s="8" t="s">
        <v>826</v>
      </c>
      <c r="H3047" s="8" t="s">
        <v>7633</v>
      </c>
      <c r="I3047" s="8" t="s">
        <v>9564</v>
      </c>
      <c r="J3047" s="8" t="s">
        <v>9565</v>
      </c>
    </row>
    <row r="3048">
      <c r="A3048" s="7">
        <v>2.0064638E7</v>
      </c>
      <c r="B3048" s="8" t="s">
        <v>333</v>
      </c>
      <c r="C3048" s="8" t="s">
        <v>9566</v>
      </c>
      <c r="D3048" s="8" t="s">
        <v>16</v>
      </c>
      <c r="E3048" s="8" t="s">
        <v>17</v>
      </c>
      <c r="F3048" s="9">
        <v>46175.0</v>
      </c>
      <c r="G3048" s="8" t="s">
        <v>9567</v>
      </c>
      <c r="H3048" s="8" t="s">
        <v>9568</v>
      </c>
      <c r="I3048" s="8" t="s">
        <v>9569</v>
      </c>
      <c r="J3048" s="8" t="s">
        <v>9570</v>
      </c>
    </row>
    <row r="3049">
      <c r="A3049" s="7">
        <v>2.0064638E7</v>
      </c>
      <c r="B3049" s="8" t="s">
        <v>333</v>
      </c>
      <c r="C3049" s="8" t="s">
        <v>9566</v>
      </c>
      <c r="D3049" s="8" t="s">
        <v>16</v>
      </c>
      <c r="E3049" s="8" t="s">
        <v>17</v>
      </c>
      <c r="F3049" s="9">
        <v>46175.0</v>
      </c>
      <c r="G3049" s="8" t="s">
        <v>9383</v>
      </c>
      <c r="H3049" s="8" t="s">
        <v>9384</v>
      </c>
      <c r="I3049" s="8" t="s">
        <v>9571</v>
      </c>
      <c r="J3049" s="8" t="s">
        <v>9572</v>
      </c>
    </row>
    <row r="3050">
      <c r="A3050" s="7">
        <v>2.0056864E7</v>
      </c>
      <c r="B3050" s="8" t="s">
        <v>333</v>
      </c>
      <c r="C3050" s="8" t="s">
        <v>9573</v>
      </c>
      <c r="D3050" s="8" t="s">
        <v>16</v>
      </c>
      <c r="E3050" s="8" t="s">
        <v>17</v>
      </c>
      <c r="F3050" s="9">
        <v>46146.0</v>
      </c>
      <c r="G3050" s="8" t="s">
        <v>352</v>
      </c>
      <c r="H3050" s="8" t="s">
        <v>353</v>
      </c>
      <c r="I3050" s="8" t="s">
        <v>9574</v>
      </c>
      <c r="J3050" s="8" t="s">
        <v>9575</v>
      </c>
    </row>
    <row r="3051">
      <c r="A3051" s="7">
        <v>2.0054316E7</v>
      </c>
      <c r="B3051" s="8" t="s">
        <v>333</v>
      </c>
      <c r="C3051" s="8" t="s">
        <v>9576</v>
      </c>
      <c r="D3051" s="8" t="s">
        <v>16</v>
      </c>
      <c r="E3051" s="8" t="s">
        <v>17</v>
      </c>
      <c r="F3051" s="9">
        <v>46139.0</v>
      </c>
      <c r="G3051" s="8" t="s">
        <v>1427</v>
      </c>
      <c r="H3051" s="8" t="s">
        <v>1428</v>
      </c>
      <c r="I3051" s="8" t="s">
        <v>9577</v>
      </c>
      <c r="J3051" s="8"/>
    </row>
    <row r="3052">
      <c r="A3052" s="7">
        <v>2.0054316E7</v>
      </c>
      <c r="B3052" s="8" t="s">
        <v>333</v>
      </c>
      <c r="C3052" s="8" t="s">
        <v>9578</v>
      </c>
      <c r="D3052" s="8" t="s">
        <v>16</v>
      </c>
      <c r="E3052" s="8" t="s">
        <v>17</v>
      </c>
      <c r="F3052" s="9">
        <v>46183.0</v>
      </c>
      <c r="G3052" s="8" t="s">
        <v>9579</v>
      </c>
      <c r="H3052" s="8" t="s">
        <v>9580</v>
      </c>
      <c r="I3052" s="8" t="s">
        <v>9581</v>
      </c>
      <c r="J3052" s="8"/>
    </row>
    <row r="3053">
      <c r="A3053" s="7">
        <v>2.0048405E7</v>
      </c>
      <c r="B3053" s="8" t="s">
        <v>333</v>
      </c>
      <c r="C3053" s="8" t="s">
        <v>9582</v>
      </c>
      <c r="D3053" s="8" t="s">
        <v>16</v>
      </c>
      <c r="E3053" s="8" t="s">
        <v>17</v>
      </c>
      <c r="F3053" s="9">
        <v>46103.0</v>
      </c>
      <c r="G3053" s="8" t="s">
        <v>822</v>
      </c>
      <c r="H3053" s="8" t="s">
        <v>120</v>
      </c>
      <c r="I3053" s="8" t="s">
        <v>9583</v>
      </c>
      <c r="J3053" s="8" t="s">
        <v>9584</v>
      </c>
    </row>
    <row r="3054">
      <c r="A3054" s="7">
        <v>2.0026317E7</v>
      </c>
      <c r="B3054" s="8" t="s">
        <v>333</v>
      </c>
      <c r="C3054" s="8" t="s">
        <v>9585</v>
      </c>
      <c r="D3054" s="8" t="s">
        <v>16</v>
      </c>
      <c r="E3054" s="8" t="s">
        <v>17</v>
      </c>
      <c r="F3054" s="9">
        <v>46107.0</v>
      </c>
      <c r="G3054" s="8" t="s">
        <v>2057</v>
      </c>
      <c r="H3054" s="8" t="s">
        <v>2058</v>
      </c>
      <c r="I3054" s="8" t="s">
        <v>9586</v>
      </c>
      <c r="J3054" s="8"/>
    </row>
    <row r="3055">
      <c r="A3055" s="7">
        <v>2.004535E7</v>
      </c>
      <c r="B3055" s="8" t="s">
        <v>333</v>
      </c>
      <c r="C3055" s="8" t="s">
        <v>9587</v>
      </c>
      <c r="D3055" s="8" t="s">
        <v>16</v>
      </c>
      <c r="E3055" s="8" t="s">
        <v>17</v>
      </c>
      <c r="F3055" s="9">
        <v>46113.0</v>
      </c>
      <c r="G3055" s="8" t="s">
        <v>390</v>
      </c>
      <c r="H3055" s="8" t="s">
        <v>391</v>
      </c>
      <c r="I3055" s="8" t="s">
        <v>9588</v>
      </c>
      <c r="J3055" s="8"/>
    </row>
    <row r="3056">
      <c r="A3056" s="7">
        <v>2.0043503E7</v>
      </c>
      <c r="B3056" s="8" t="s">
        <v>333</v>
      </c>
      <c r="C3056" s="8" t="s">
        <v>9589</v>
      </c>
      <c r="D3056" s="8" t="s">
        <v>16</v>
      </c>
      <c r="E3056" s="8" t="s">
        <v>17</v>
      </c>
      <c r="F3056" s="9">
        <v>46096.0</v>
      </c>
      <c r="G3056" s="8" t="s">
        <v>390</v>
      </c>
      <c r="H3056" s="8" t="s">
        <v>391</v>
      </c>
      <c r="I3056" s="8" t="s">
        <v>9590</v>
      </c>
      <c r="J3056" s="8"/>
    </row>
    <row r="3057">
      <c r="A3057" s="7">
        <v>2.0040894E7</v>
      </c>
      <c r="B3057" s="8" t="s">
        <v>333</v>
      </c>
      <c r="C3057" s="8" t="s">
        <v>9591</v>
      </c>
      <c r="D3057" s="8" t="s">
        <v>16</v>
      </c>
      <c r="E3057" s="8" t="s">
        <v>17</v>
      </c>
      <c r="F3057" s="9">
        <v>46081.0</v>
      </c>
      <c r="G3057" s="8" t="s">
        <v>1537</v>
      </c>
      <c r="H3057" s="8" t="s">
        <v>1538</v>
      </c>
      <c r="I3057" s="8" t="s">
        <v>9592</v>
      </c>
      <c r="J3057" s="8"/>
    </row>
    <row r="3058">
      <c r="A3058" s="7">
        <v>2.0040832E7</v>
      </c>
      <c r="B3058" s="8" t="s">
        <v>333</v>
      </c>
      <c r="C3058" s="8" t="s">
        <v>9593</v>
      </c>
      <c r="D3058" s="8" t="s">
        <v>16</v>
      </c>
      <c r="E3058" s="8" t="s">
        <v>17</v>
      </c>
      <c r="F3058" s="9">
        <v>46080.0</v>
      </c>
      <c r="G3058" s="8" t="s">
        <v>626</v>
      </c>
      <c r="H3058" s="8" t="s">
        <v>627</v>
      </c>
      <c r="I3058" s="8" t="s">
        <v>9594</v>
      </c>
      <c r="J3058" s="8"/>
    </row>
    <row r="3059">
      <c r="A3059" s="7">
        <v>2.0035873E7</v>
      </c>
      <c r="B3059" s="8" t="s">
        <v>333</v>
      </c>
      <c r="C3059" s="8" t="s">
        <v>9595</v>
      </c>
      <c r="D3059" s="8" t="s">
        <v>16</v>
      </c>
      <c r="E3059" s="8" t="s">
        <v>17</v>
      </c>
      <c r="F3059" s="9">
        <v>46068.0</v>
      </c>
      <c r="G3059" s="8" t="s">
        <v>9596</v>
      </c>
      <c r="H3059" s="8" t="s">
        <v>9597</v>
      </c>
      <c r="I3059" s="8" t="s">
        <v>9598</v>
      </c>
      <c r="J3059" s="8"/>
    </row>
    <row r="3060">
      <c r="A3060" s="7">
        <v>2.0062883E7</v>
      </c>
      <c r="B3060" s="8" t="s">
        <v>333</v>
      </c>
      <c r="C3060" s="8" t="s">
        <v>9599</v>
      </c>
      <c r="D3060" s="8" t="s">
        <v>16</v>
      </c>
      <c r="E3060" s="8" t="s">
        <v>17</v>
      </c>
      <c r="F3060" s="9">
        <v>46188.0</v>
      </c>
      <c r="G3060" s="8" t="s">
        <v>1045</v>
      </c>
      <c r="H3060" s="8" t="s">
        <v>909</v>
      </c>
      <c r="I3060" s="8" t="s">
        <v>9600</v>
      </c>
      <c r="J3060" s="8" t="s">
        <v>9601</v>
      </c>
    </row>
    <row r="3061">
      <c r="A3061" s="7">
        <v>2.0058745E7</v>
      </c>
      <c r="B3061" s="8" t="s">
        <v>333</v>
      </c>
      <c r="C3061" s="8" t="s">
        <v>9602</v>
      </c>
      <c r="D3061" s="8" t="s">
        <v>16</v>
      </c>
      <c r="E3061" s="8" t="s">
        <v>17</v>
      </c>
      <c r="F3061" s="9">
        <v>46188.0</v>
      </c>
      <c r="G3061" s="8" t="s">
        <v>158</v>
      </c>
      <c r="H3061" s="8" t="s">
        <v>159</v>
      </c>
      <c r="I3061" s="8" t="s">
        <v>9603</v>
      </c>
      <c r="J3061" s="8"/>
    </row>
    <row r="3062">
      <c r="A3062" s="7">
        <v>2.0055887E7</v>
      </c>
      <c r="B3062" s="8" t="s">
        <v>333</v>
      </c>
      <c r="C3062" s="8" t="s">
        <v>9604</v>
      </c>
      <c r="D3062" s="8" t="s">
        <v>16</v>
      </c>
      <c r="E3062" s="8" t="s">
        <v>17</v>
      </c>
      <c r="F3062" s="9">
        <v>46128.0</v>
      </c>
      <c r="G3062" s="8" t="s">
        <v>91</v>
      </c>
      <c r="H3062" s="8" t="s">
        <v>92</v>
      </c>
      <c r="I3062" s="8" t="s">
        <v>9605</v>
      </c>
      <c r="J3062" s="8" t="s">
        <v>9606</v>
      </c>
    </row>
    <row r="3063">
      <c r="A3063" s="7">
        <v>2.0050432E7</v>
      </c>
      <c r="B3063" s="8" t="s">
        <v>333</v>
      </c>
      <c r="C3063" s="8" t="s">
        <v>9607</v>
      </c>
      <c r="D3063" s="8" t="s">
        <v>16</v>
      </c>
      <c r="E3063" s="8" t="s">
        <v>17</v>
      </c>
      <c r="F3063" s="9">
        <v>46137.0</v>
      </c>
      <c r="G3063" s="8" t="s">
        <v>137</v>
      </c>
      <c r="H3063" s="8" t="s">
        <v>138</v>
      </c>
      <c r="I3063" s="8" t="s">
        <v>9608</v>
      </c>
      <c r="J3063" s="8"/>
    </row>
    <row r="3064">
      <c r="A3064" s="7">
        <v>2.0051149E7</v>
      </c>
      <c r="B3064" s="8" t="s">
        <v>333</v>
      </c>
      <c r="C3064" s="8" t="s">
        <v>9609</v>
      </c>
      <c r="D3064" s="8" t="s">
        <v>16</v>
      </c>
      <c r="E3064" s="8" t="s">
        <v>17</v>
      </c>
      <c r="F3064" s="9">
        <v>46121.0</v>
      </c>
      <c r="G3064" s="8" t="s">
        <v>171</v>
      </c>
      <c r="H3064" s="8" t="s">
        <v>172</v>
      </c>
      <c r="I3064" s="8" t="s">
        <v>9610</v>
      </c>
      <c r="J3064" s="8"/>
    </row>
    <row r="3065">
      <c r="A3065" s="7">
        <v>2.0049124E7</v>
      </c>
      <c r="B3065" s="8" t="s">
        <v>333</v>
      </c>
      <c r="C3065" s="8" t="s">
        <v>9611</v>
      </c>
      <c r="D3065" s="8" t="s">
        <v>16</v>
      </c>
      <c r="E3065" s="8" t="s">
        <v>17</v>
      </c>
      <c r="F3065" s="9">
        <v>46123.0</v>
      </c>
      <c r="G3065" s="8" t="s">
        <v>158</v>
      </c>
      <c r="H3065" s="8" t="s">
        <v>159</v>
      </c>
      <c r="I3065" s="8" t="s">
        <v>9612</v>
      </c>
      <c r="J3065" s="8"/>
    </row>
    <row r="3066">
      <c r="A3066" s="7">
        <v>2.0038054E7</v>
      </c>
      <c r="B3066" s="8" t="s">
        <v>333</v>
      </c>
      <c r="C3066" s="8" t="s">
        <v>9613</v>
      </c>
      <c r="D3066" s="8" t="s">
        <v>16</v>
      </c>
      <c r="E3066" s="8" t="s">
        <v>17</v>
      </c>
      <c r="F3066" s="9">
        <v>46108.0</v>
      </c>
      <c r="G3066" s="8" t="s">
        <v>4148</v>
      </c>
      <c r="H3066" s="8" t="s">
        <v>4149</v>
      </c>
      <c r="I3066" s="8" t="s">
        <v>9614</v>
      </c>
      <c r="J3066" s="8"/>
    </row>
    <row r="3067">
      <c r="A3067" s="7">
        <v>2.0032859E7</v>
      </c>
      <c r="B3067" s="8" t="s">
        <v>333</v>
      </c>
      <c r="C3067" s="8" t="s">
        <v>9615</v>
      </c>
      <c r="D3067" s="8" t="s">
        <v>16</v>
      </c>
      <c r="E3067" s="8" t="s">
        <v>17</v>
      </c>
      <c r="F3067" s="9">
        <v>46035.0</v>
      </c>
      <c r="G3067" s="8" t="s">
        <v>59</v>
      </c>
      <c r="H3067" s="8" t="s">
        <v>60</v>
      </c>
      <c r="I3067" s="8" t="s">
        <v>9616</v>
      </c>
      <c r="J3067" s="8" t="s">
        <v>9617</v>
      </c>
    </row>
    <row r="3068">
      <c r="A3068" s="7">
        <v>2.005726E7</v>
      </c>
      <c r="B3068" s="8" t="s">
        <v>333</v>
      </c>
      <c r="C3068" s="8" t="s">
        <v>9618</v>
      </c>
      <c r="D3068" s="8" t="s">
        <v>16</v>
      </c>
      <c r="E3068" s="8" t="s">
        <v>17</v>
      </c>
      <c r="F3068" s="9">
        <v>46158.0</v>
      </c>
      <c r="G3068" s="8" t="s">
        <v>630</v>
      </c>
      <c r="H3068" s="8" t="s">
        <v>631</v>
      </c>
      <c r="I3068" s="8" t="s">
        <v>9619</v>
      </c>
      <c r="J3068" s="8"/>
    </row>
    <row r="3069">
      <c r="A3069" s="7">
        <v>2.0058933E7</v>
      </c>
      <c r="B3069" s="8" t="s">
        <v>333</v>
      </c>
      <c r="C3069" s="8" t="s">
        <v>9620</v>
      </c>
      <c r="D3069" s="8" t="s">
        <v>16</v>
      </c>
      <c r="E3069" s="8" t="s">
        <v>17</v>
      </c>
      <c r="F3069" s="9">
        <v>46152.0</v>
      </c>
      <c r="G3069" s="8" t="s">
        <v>34</v>
      </c>
      <c r="H3069" s="8" t="s">
        <v>35</v>
      </c>
      <c r="I3069" s="8" t="s">
        <v>9621</v>
      </c>
      <c r="J3069" s="8" t="s">
        <v>9622</v>
      </c>
    </row>
    <row r="3070">
      <c r="A3070" s="7">
        <v>2.0057069E7</v>
      </c>
      <c r="B3070" s="8" t="s">
        <v>333</v>
      </c>
      <c r="C3070" s="8" t="s">
        <v>9623</v>
      </c>
      <c r="D3070" s="8" t="s">
        <v>16</v>
      </c>
      <c r="E3070" s="8" t="s">
        <v>17</v>
      </c>
      <c r="F3070" s="9">
        <v>46192.0</v>
      </c>
      <c r="G3070" s="8" t="s">
        <v>3118</v>
      </c>
      <c r="H3070" s="8" t="s">
        <v>3119</v>
      </c>
      <c r="I3070" s="8" t="s">
        <v>9624</v>
      </c>
      <c r="J3070" s="8" t="s">
        <v>9625</v>
      </c>
    </row>
    <row r="3071">
      <c r="A3071" s="7">
        <v>2.0057069E7</v>
      </c>
      <c r="B3071" s="8" t="s">
        <v>333</v>
      </c>
      <c r="C3071" s="8" t="s">
        <v>9623</v>
      </c>
      <c r="D3071" s="8" t="s">
        <v>16</v>
      </c>
      <c r="E3071" s="8" t="s">
        <v>17</v>
      </c>
      <c r="F3071" s="9">
        <v>46192.0</v>
      </c>
      <c r="G3071" s="8" t="s">
        <v>9626</v>
      </c>
      <c r="H3071" s="8" t="s">
        <v>9627</v>
      </c>
      <c r="I3071" s="8" t="s">
        <v>9628</v>
      </c>
      <c r="J3071" s="8" t="s">
        <v>9629</v>
      </c>
    </row>
    <row r="3072">
      <c r="A3072" s="7">
        <v>2.0055755E7</v>
      </c>
      <c r="B3072" s="8" t="s">
        <v>333</v>
      </c>
      <c r="C3072" s="8" t="s">
        <v>9630</v>
      </c>
      <c r="D3072" s="8" t="s">
        <v>16</v>
      </c>
      <c r="E3072" s="8" t="s">
        <v>17</v>
      </c>
      <c r="F3072" s="9">
        <v>46137.0</v>
      </c>
      <c r="G3072" s="8" t="s">
        <v>3572</v>
      </c>
      <c r="H3072" s="8" t="s">
        <v>3573</v>
      </c>
      <c r="I3072" s="8" t="s">
        <v>9631</v>
      </c>
      <c r="J3072" s="8" t="s">
        <v>9632</v>
      </c>
    </row>
    <row r="3073">
      <c r="A3073" s="7">
        <v>2.0055755E7</v>
      </c>
      <c r="B3073" s="8" t="s">
        <v>333</v>
      </c>
      <c r="C3073" s="8" t="s">
        <v>9630</v>
      </c>
      <c r="D3073" s="8" t="s">
        <v>16</v>
      </c>
      <c r="E3073" s="8" t="s">
        <v>17</v>
      </c>
      <c r="F3073" s="9">
        <v>46137.0</v>
      </c>
      <c r="G3073" s="8" t="s">
        <v>3572</v>
      </c>
      <c r="H3073" s="8" t="s">
        <v>3573</v>
      </c>
      <c r="I3073" s="8" t="s">
        <v>9633</v>
      </c>
      <c r="J3073" s="8" t="s">
        <v>9632</v>
      </c>
    </row>
    <row r="3074">
      <c r="A3074" s="7">
        <v>2.0055755E7</v>
      </c>
      <c r="B3074" s="8" t="s">
        <v>333</v>
      </c>
      <c r="C3074" s="8" t="s">
        <v>9634</v>
      </c>
      <c r="D3074" s="8" t="s">
        <v>16</v>
      </c>
      <c r="E3074" s="8" t="s">
        <v>17</v>
      </c>
      <c r="F3074" s="9">
        <v>46184.0</v>
      </c>
      <c r="G3074" s="8" t="s">
        <v>2809</v>
      </c>
      <c r="H3074" s="8" t="s">
        <v>2810</v>
      </c>
      <c r="I3074" s="8" t="s">
        <v>9635</v>
      </c>
      <c r="J3074" s="8"/>
    </row>
    <row r="3075">
      <c r="A3075" s="7">
        <v>2.0051842E7</v>
      </c>
      <c r="B3075" s="8" t="s">
        <v>333</v>
      </c>
      <c r="C3075" s="8" t="s">
        <v>9636</v>
      </c>
      <c r="D3075" s="8" t="s">
        <v>16</v>
      </c>
      <c r="E3075" s="8" t="s">
        <v>17</v>
      </c>
      <c r="F3075" s="9">
        <v>46129.0</v>
      </c>
      <c r="G3075" s="8" t="s">
        <v>390</v>
      </c>
      <c r="H3075" s="8" t="s">
        <v>391</v>
      </c>
      <c r="I3075" s="8" t="s">
        <v>9637</v>
      </c>
      <c r="J3075" s="8"/>
    </row>
    <row r="3076">
      <c r="A3076" s="7">
        <v>2.0048014E7</v>
      </c>
      <c r="B3076" s="8" t="s">
        <v>333</v>
      </c>
      <c r="C3076" s="8" t="s">
        <v>9638</v>
      </c>
      <c r="D3076" s="8" t="s">
        <v>16</v>
      </c>
      <c r="E3076" s="8" t="s">
        <v>17</v>
      </c>
      <c r="F3076" s="9">
        <v>46116.0</v>
      </c>
      <c r="G3076" s="8" t="s">
        <v>2479</v>
      </c>
      <c r="H3076" s="8" t="s">
        <v>2480</v>
      </c>
      <c r="I3076" s="8" t="s">
        <v>9639</v>
      </c>
      <c r="J3076" s="8"/>
    </row>
    <row r="3077">
      <c r="A3077" s="7">
        <v>2.0045172E7</v>
      </c>
      <c r="B3077" s="8" t="s">
        <v>333</v>
      </c>
      <c r="C3077" s="8" t="s">
        <v>9640</v>
      </c>
      <c r="D3077" s="8" t="s">
        <v>16</v>
      </c>
      <c r="E3077" s="8" t="s">
        <v>17</v>
      </c>
      <c r="F3077" s="9">
        <v>46107.0</v>
      </c>
      <c r="G3077" s="8" t="s">
        <v>9641</v>
      </c>
      <c r="H3077" s="8" t="s">
        <v>9642</v>
      </c>
      <c r="I3077" s="8" t="s">
        <v>9643</v>
      </c>
      <c r="J3077" s="8"/>
    </row>
    <row r="3078">
      <c r="A3078" s="7">
        <v>2.0043151E7</v>
      </c>
      <c r="B3078" s="8" t="s">
        <v>333</v>
      </c>
      <c r="C3078" s="8" t="s">
        <v>9644</v>
      </c>
      <c r="D3078" s="8" t="s">
        <v>16</v>
      </c>
      <c r="E3078" s="8" t="s">
        <v>17</v>
      </c>
      <c r="F3078" s="9">
        <v>46079.0</v>
      </c>
      <c r="G3078" s="8" t="s">
        <v>339</v>
      </c>
      <c r="H3078" s="8" t="s">
        <v>340</v>
      </c>
      <c r="I3078" s="8" t="s">
        <v>9645</v>
      </c>
      <c r="J3078" s="8" t="s">
        <v>9646</v>
      </c>
    </row>
    <row r="3079">
      <c r="A3079" s="7">
        <v>2.0041733E7</v>
      </c>
      <c r="B3079" s="8" t="s">
        <v>333</v>
      </c>
      <c r="C3079" s="8" t="s">
        <v>9647</v>
      </c>
      <c r="D3079" s="8" t="s">
        <v>16</v>
      </c>
      <c r="E3079" s="8" t="s">
        <v>17</v>
      </c>
      <c r="F3079" s="9">
        <v>46096.0</v>
      </c>
      <c r="G3079" s="8" t="s">
        <v>498</v>
      </c>
      <c r="H3079" s="8" t="s">
        <v>499</v>
      </c>
      <c r="I3079" s="8" t="s">
        <v>9648</v>
      </c>
      <c r="J3079" s="8"/>
    </row>
    <row r="3080">
      <c r="A3080" s="7">
        <v>2.004375E7</v>
      </c>
      <c r="B3080" s="8" t="s">
        <v>333</v>
      </c>
      <c r="C3080" s="8" t="s">
        <v>9649</v>
      </c>
      <c r="D3080" s="8" t="s">
        <v>16</v>
      </c>
      <c r="E3080" s="8" t="s">
        <v>17</v>
      </c>
      <c r="F3080" s="9">
        <v>46099.0</v>
      </c>
      <c r="G3080" s="8" t="s">
        <v>390</v>
      </c>
      <c r="H3080" s="8" t="s">
        <v>391</v>
      </c>
      <c r="I3080" s="8" t="s">
        <v>9650</v>
      </c>
      <c r="J3080" s="8"/>
    </row>
    <row r="3081">
      <c r="A3081" s="7">
        <v>2.0042637E7</v>
      </c>
      <c r="B3081" s="8" t="s">
        <v>333</v>
      </c>
      <c r="C3081" s="8" t="s">
        <v>9651</v>
      </c>
      <c r="D3081" s="8" t="s">
        <v>16</v>
      </c>
      <c r="E3081" s="8" t="s">
        <v>17</v>
      </c>
      <c r="F3081" s="9">
        <v>46073.0</v>
      </c>
      <c r="G3081" s="8" t="s">
        <v>75</v>
      </c>
      <c r="H3081" s="8" t="s">
        <v>76</v>
      </c>
      <c r="I3081" s="8" t="s">
        <v>9652</v>
      </c>
      <c r="J3081" s="8" t="s">
        <v>9653</v>
      </c>
    </row>
    <row r="3082">
      <c r="A3082" s="7">
        <v>2.0038533E7</v>
      </c>
      <c r="B3082" s="8" t="s">
        <v>333</v>
      </c>
      <c r="C3082" s="8" t="s">
        <v>9654</v>
      </c>
      <c r="D3082" s="8" t="s">
        <v>16</v>
      </c>
      <c r="E3082" s="8" t="s">
        <v>17</v>
      </c>
      <c r="F3082" s="9">
        <v>46076.0</v>
      </c>
      <c r="G3082" s="8" t="s">
        <v>436</v>
      </c>
      <c r="H3082" s="8" t="s">
        <v>437</v>
      </c>
      <c r="I3082" s="8" t="s">
        <v>9655</v>
      </c>
      <c r="J3082" s="8"/>
    </row>
    <row r="3083">
      <c r="A3083" s="7">
        <v>2.0034737E7</v>
      </c>
      <c r="B3083" s="8" t="s">
        <v>333</v>
      </c>
      <c r="C3083" s="8" t="s">
        <v>9656</v>
      </c>
      <c r="D3083" s="8" t="s">
        <v>16</v>
      </c>
      <c r="E3083" s="8" t="s">
        <v>17</v>
      </c>
      <c r="F3083" s="9">
        <v>46055.0</v>
      </c>
      <c r="G3083" s="8" t="s">
        <v>91</v>
      </c>
      <c r="H3083" s="8" t="s">
        <v>92</v>
      </c>
      <c r="I3083" s="8" t="s">
        <v>9657</v>
      </c>
      <c r="J3083" s="8" t="s">
        <v>9658</v>
      </c>
    </row>
    <row r="3084">
      <c r="A3084" s="7">
        <v>2.0035255E7</v>
      </c>
      <c r="B3084" s="8" t="s">
        <v>333</v>
      </c>
      <c r="C3084" s="8" t="s">
        <v>9659</v>
      </c>
      <c r="D3084" s="8" t="s">
        <v>16</v>
      </c>
      <c r="E3084" s="8" t="s">
        <v>17</v>
      </c>
      <c r="F3084" s="9">
        <v>46060.0</v>
      </c>
      <c r="G3084" s="8" t="s">
        <v>158</v>
      </c>
      <c r="H3084" s="8" t="s">
        <v>159</v>
      </c>
      <c r="I3084" s="8" t="s">
        <v>9660</v>
      </c>
      <c r="J3084" s="8"/>
    </row>
    <row r="3085">
      <c r="A3085" s="7">
        <v>2.0063521E7</v>
      </c>
      <c r="B3085" s="8" t="s">
        <v>333</v>
      </c>
      <c r="C3085" s="8" t="s">
        <v>9661</v>
      </c>
      <c r="D3085" s="8" t="s">
        <v>16</v>
      </c>
      <c r="E3085" s="8" t="s">
        <v>17</v>
      </c>
      <c r="F3085" s="9">
        <v>46188.0</v>
      </c>
      <c r="G3085" s="8" t="s">
        <v>436</v>
      </c>
      <c r="H3085" s="8" t="s">
        <v>437</v>
      </c>
      <c r="I3085" s="8" t="s">
        <v>9662</v>
      </c>
      <c r="J3085" s="8"/>
    </row>
    <row r="3086">
      <c r="A3086" s="7">
        <v>2.0058436E7</v>
      </c>
      <c r="B3086" s="8" t="s">
        <v>333</v>
      </c>
      <c r="C3086" s="8" t="s">
        <v>9663</v>
      </c>
      <c r="D3086" s="8" t="s">
        <v>16</v>
      </c>
      <c r="E3086" s="8" t="s">
        <v>17</v>
      </c>
      <c r="F3086" s="9">
        <v>46186.0</v>
      </c>
      <c r="G3086" s="8" t="s">
        <v>370</v>
      </c>
      <c r="H3086" s="8" t="s">
        <v>371</v>
      </c>
      <c r="I3086" s="8" t="s">
        <v>9664</v>
      </c>
      <c r="J3086" s="8"/>
    </row>
    <row r="3087">
      <c r="A3087" s="7">
        <v>2.0058089E7</v>
      </c>
      <c r="B3087" s="8" t="s">
        <v>333</v>
      </c>
      <c r="C3087" s="8" t="s">
        <v>9665</v>
      </c>
      <c r="D3087" s="8" t="s">
        <v>16</v>
      </c>
      <c r="E3087" s="8" t="s">
        <v>17</v>
      </c>
      <c r="F3087" s="9">
        <v>46182.0</v>
      </c>
      <c r="G3087" s="8" t="s">
        <v>9666</v>
      </c>
      <c r="H3087" s="8" t="s">
        <v>9667</v>
      </c>
      <c r="I3087" s="8" t="s">
        <v>9668</v>
      </c>
      <c r="J3087" s="8"/>
    </row>
    <row r="3088">
      <c r="A3088" s="7">
        <v>2.0055972E7</v>
      </c>
      <c r="B3088" s="8" t="s">
        <v>333</v>
      </c>
      <c r="C3088" s="8" t="s">
        <v>9669</v>
      </c>
      <c r="D3088" s="8" t="s">
        <v>16</v>
      </c>
      <c r="E3088" s="8" t="s">
        <v>17</v>
      </c>
      <c r="F3088" s="9">
        <v>46151.0</v>
      </c>
      <c r="G3088" s="8" t="s">
        <v>543</v>
      </c>
      <c r="H3088" s="8" t="s">
        <v>544</v>
      </c>
      <c r="I3088" s="8" t="s">
        <v>9670</v>
      </c>
      <c r="J3088" s="8"/>
    </row>
    <row r="3089">
      <c r="A3089" s="7">
        <v>2.0055099E7</v>
      </c>
      <c r="B3089" s="8" t="s">
        <v>333</v>
      </c>
      <c r="C3089" s="8" t="s">
        <v>9671</v>
      </c>
      <c r="D3089" s="8" t="s">
        <v>16</v>
      </c>
      <c r="E3089" s="8" t="s">
        <v>17</v>
      </c>
      <c r="F3089" s="9">
        <v>46147.0</v>
      </c>
      <c r="G3089" s="8" t="s">
        <v>486</v>
      </c>
      <c r="H3089" s="8" t="s">
        <v>487</v>
      </c>
      <c r="I3089" s="8" t="s">
        <v>9672</v>
      </c>
      <c r="J3089" s="8"/>
    </row>
    <row r="3090">
      <c r="A3090" s="7">
        <v>2.0043936E7</v>
      </c>
      <c r="B3090" s="8" t="s">
        <v>333</v>
      </c>
      <c r="C3090" s="8" t="s">
        <v>9673</v>
      </c>
      <c r="D3090" s="8" t="s">
        <v>16</v>
      </c>
      <c r="E3090" s="8" t="s">
        <v>48</v>
      </c>
      <c r="F3090" s="9">
        <v>46185.0</v>
      </c>
      <c r="G3090" s="8" t="s">
        <v>5425</v>
      </c>
      <c r="H3090" s="8" t="s">
        <v>120</v>
      </c>
      <c r="I3090" s="8" t="s">
        <v>9674</v>
      </c>
      <c r="J3090" s="8" t="s">
        <v>9675</v>
      </c>
    </row>
    <row r="3091">
      <c r="A3091" s="7">
        <v>2.0040561E7</v>
      </c>
      <c r="B3091" s="8" t="s">
        <v>333</v>
      </c>
      <c r="C3091" s="8" t="s">
        <v>9676</v>
      </c>
      <c r="D3091" s="8" t="s">
        <v>16</v>
      </c>
      <c r="E3091" s="8" t="s">
        <v>17</v>
      </c>
      <c r="F3091" s="9">
        <v>46071.0</v>
      </c>
      <c r="G3091" s="8" t="s">
        <v>826</v>
      </c>
      <c r="H3091" s="8" t="s">
        <v>827</v>
      </c>
      <c r="I3091" s="8" t="s">
        <v>9677</v>
      </c>
      <c r="J3091" s="8" t="s">
        <v>9678</v>
      </c>
    </row>
    <row r="3092">
      <c r="A3092" s="7">
        <v>2.0039404E7</v>
      </c>
      <c r="B3092" s="8" t="s">
        <v>333</v>
      </c>
      <c r="C3092" s="8" t="s">
        <v>9679</v>
      </c>
      <c r="D3092" s="8" t="s">
        <v>16</v>
      </c>
      <c r="E3092" s="8" t="s">
        <v>17</v>
      </c>
      <c r="F3092" s="9">
        <v>46078.0</v>
      </c>
      <c r="G3092" s="8" t="s">
        <v>9680</v>
      </c>
      <c r="H3092" s="8" t="s">
        <v>9681</v>
      </c>
      <c r="I3092" s="8" t="s">
        <v>9682</v>
      </c>
      <c r="J3092" s="8"/>
    </row>
    <row r="3093">
      <c r="A3093" s="7">
        <v>2.0037797E7</v>
      </c>
      <c r="B3093" s="8" t="s">
        <v>333</v>
      </c>
      <c r="C3093" s="8" t="s">
        <v>9683</v>
      </c>
      <c r="D3093" s="8" t="s">
        <v>16</v>
      </c>
      <c r="E3093" s="8" t="s">
        <v>17</v>
      </c>
      <c r="F3093" s="9">
        <v>46094.0</v>
      </c>
      <c r="G3093" s="8" t="s">
        <v>1427</v>
      </c>
      <c r="H3093" s="8" t="s">
        <v>1428</v>
      </c>
      <c r="I3093" s="8" t="s">
        <v>9684</v>
      </c>
      <c r="J3093" s="8"/>
    </row>
    <row r="3094">
      <c r="A3094" s="7">
        <v>2.0036041E7</v>
      </c>
      <c r="B3094" s="8" t="s">
        <v>333</v>
      </c>
      <c r="C3094" s="8" t="s">
        <v>9685</v>
      </c>
      <c r="D3094" s="8" t="s">
        <v>16</v>
      </c>
      <c r="E3094" s="8" t="s">
        <v>17</v>
      </c>
      <c r="F3094" s="9">
        <v>46073.0</v>
      </c>
      <c r="G3094" s="8" t="s">
        <v>171</v>
      </c>
      <c r="H3094" s="8" t="s">
        <v>172</v>
      </c>
      <c r="I3094" s="8" t="s">
        <v>9686</v>
      </c>
      <c r="J3094" s="8"/>
    </row>
    <row r="3095">
      <c r="A3095" s="7">
        <v>2.0036011E7</v>
      </c>
      <c r="B3095" s="8" t="s">
        <v>333</v>
      </c>
      <c r="C3095" s="8" t="s">
        <v>9687</v>
      </c>
      <c r="D3095" s="8" t="s">
        <v>16</v>
      </c>
      <c r="E3095" s="8" t="s">
        <v>17</v>
      </c>
      <c r="F3095" s="9">
        <v>46061.0</v>
      </c>
      <c r="G3095" s="8" t="s">
        <v>9688</v>
      </c>
      <c r="H3095" s="8" t="s">
        <v>9689</v>
      </c>
      <c r="I3095" s="8" t="s">
        <v>9690</v>
      </c>
      <c r="J3095" s="8" t="s">
        <v>9691</v>
      </c>
    </row>
    <row r="3096">
      <c r="A3096" s="7">
        <v>2.0058002E7</v>
      </c>
      <c r="B3096" s="8" t="s">
        <v>333</v>
      </c>
      <c r="C3096" s="8" t="s">
        <v>9692</v>
      </c>
      <c r="D3096" s="8" t="s">
        <v>16</v>
      </c>
      <c r="E3096" s="8" t="s">
        <v>17</v>
      </c>
      <c r="F3096" s="9">
        <v>46155.0</v>
      </c>
      <c r="G3096" s="8" t="s">
        <v>29</v>
      </c>
      <c r="H3096" s="8" t="s">
        <v>30</v>
      </c>
      <c r="I3096" s="8" t="s">
        <v>9693</v>
      </c>
      <c r="J3096" s="8" t="s">
        <v>9694</v>
      </c>
    </row>
    <row r="3097">
      <c r="A3097" s="7">
        <v>2.0055769E7</v>
      </c>
      <c r="B3097" s="8" t="s">
        <v>333</v>
      </c>
      <c r="C3097" s="8" t="s">
        <v>9695</v>
      </c>
      <c r="D3097" s="8" t="s">
        <v>16</v>
      </c>
      <c r="E3097" s="8" t="s">
        <v>17</v>
      </c>
      <c r="F3097" s="9">
        <v>46132.0</v>
      </c>
      <c r="G3097" s="8" t="s">
        <v>2511</v>
      </c>
      <c r="H3097" s="8" t="s">
        <v>2512</v>
      </c>
      <c r="I3097" s="8" t="s">
        <v>9696</v>
      </c>
      <c r="J3097" s="8" t="s">
        <v>9697</v>
      </c>
    </row>
    <row r="3098">
      <c r="A3098" s="7">
        <v>2.0054833E7</v>
      </c>
      <c r="B3098" s="8" t="s">
        <v>333</v>
      </c>
      <c r="C3098" s="8" t="s">
        <v>9698</v>
      </c>
      <c r="D3098" s="8" t="s">
        <v>16</v>
      </c>
      <c r="E3098" s="8" t="s">
        <v>17</v>
      </c>
      <c r="F3098" s="9">
        <v>46130.0</v>
      </c>
      <c r="G3098" s="8" t="s">
        <v>3572</v>
      </c>
      <c r="H3098" s="8" t="s">
        <v>3573</v>
      </c>
      <c r="I3098" s="8" t="s">
        <v>9699</v>
      </c>
      <c r="J3098" s="8" t="s">
        <v>9700</v>
      </c>
    </row>
    <row r="3099">
      <c r="A3099" s="7">
        <v>2.0054832E7</v>
      </c>
      <c r="B3099" s="8" t="s">
        <v>333</v>
      </c>
      <c r="C3099" s="8" t="s">
        <v>9701</v>
      </c>
      <c r="D3099" s="8" t="s">
        <v>16</v>
      </c>
      <c r="E3099" s="8" t="s">
        <v>17</v>
      </c>
      <c r="F3099" s="9">
        <v>46145.0</v>
      </c>
      <c r="G3099" s="8" t="s">
        <v>436</v>
      </c>
      <c r="H3099" s="8" t="s">
        <v>437</v>
      </c>
      <c r="I3099" s="8" t="s">
        <v>9702</v>
      </c>
      <c r="J3099" s="8"/>
    </row>
    <row r="3100">
      <c r="A3100" s="7">
        <v>2.0053603E7</v>
      </c>
      <c r="B3100" s="8" t="s">
        <v>333</v>
      </c>
      <c r="C3100" s="8" t="s">
        <v>9703</v>
      </c>
      <c r="D3100" s="8" t="s">
        <v>16</v>
      </c>
      <c r="E3100" s="8" t="s">
        <v>17</v>
      </c>
      <c r="F3100" s="9">
        <v>46119.0</v>
      </c>
      <c r="G3100" s="8" t="s">
        <v>2511</v>
      </c>
      <c r="H3100" s="8" t="s">
        <v>2512</v>
      </c>
      <c r="I3100" s="8" t="s">
        <v>9704</v>
      </c>
      <c r="J3100" s="8" t="s">
        <v>9705</v>
      </c>
    </row>
    <row r="3101">
      <c r="A3101" s="7">
        <v>2.0047895E7</v>
      </c>
      <c r="B3101" s="8" t="s">
        <v>333</v>
      </c>
      <c r="C3101" s="8" t="s">
        <v>9706</v>
      </c>
      <c r="D3101" s="8" t="s">
        <v>16</v>
      </c>
      <c r="E3101" s="8" t="s">
        <v>17</v>
      </c>
      <c r="F3101" s="9">
        <v>46109.0</v>
      </c>
      <c r="G3101" s="8" t="s">
        <v>396</v>
      </c>
      <c r="H3101" s="8" t="s">
        <v>397</v>
      </c>
      <c r="I3101" s="8" t="s">
        <v>9707</v>
      </c>
      <c r="J3101" s="8"/>
    </row>
    <row r="3102">
      <c r="A3102" s="7">
        <v>2.0044423E7</v>
      </c>
      <c r="B3102" s="8" t="s">
        <v>333</v>
      </c>
      <c r="C3102" s="8" t="s">
        <v>9708</v>
      </c>
      <c r="D3102" s="8" t="s">
        <v>16</v>
      </c>
      <c r="E3102" s="8" t="s">
        <v>17</v>
      </c>
      <c r="F3102" s="9">
        <v>46086.0</v>
      </c>
      <c r="G3102" s="8" t="s">
        <v>59</v>
      </c>
      <c r="H3102" s="8" t="s">
        <v>60</v>
      </c>
      <c r="I3102" s="8" t="s">
        <v>9709</v>
      </c>
      <c r="J3102" s="8" t="s">
        <v>9710</v>
      </c>
    </row>
    <row r="3103">
      <c r="A3103" s="7">
        <v>2.0045635E7</v>
      </c>
      <c r="B3103" s="8" t="s">
        <v>333</v>
      </c>
      <c r="C3103" s="8" t="s">
        <v>9711</v>
      </c>
      <c r="D3103" s="8" t="s">
        <v>16</v>
      </c>
      <c r="E3103" s="8" t="s">
        <v>17</v>
      </c>
      <c r="F3103" s="9">
        <v>46090.0</v>
      </c>
      <c r="G3103" s="8" t="s">
        <v>1132</v>
      </c>
      <c r="H3103" s="8" t="s">
        <v>1133</v>
      </c>
      <c r="I3103" s="8" t="s">
        <v>9712</v>
      </c>
      <c r="J3103" s="8" t="s">
        <v>9713</v>
      </c>
    </row>
    <row r="3104">
      <c r="A3104" s="7">
        <v>2.0045061E7</v>
      </c>
      <c r="B3104" s="8" t="s">
        <v>333</v>
      </c>
      <c r="C3104" s="8" t="s">
        <v>9714</v>
      </c>
      <c r="D3104" s="8" t="s">
        <v>16</v>
      </c>
      <c r="E3104" s="8" t="s">
        <v>17</v>
      </c>
      <c r="F3104" s="9">
        <v>46102.0</v>
      </c>
      <c r="G3104" s="8" t="s">
        <v>378</v>
      </c>
      <c r="H3104" s="8" t="s">
        <v>379</v>
      </c>
      <c r="I3104" s="8" t="s">
        <v>9715</v>
      </c>
      <c r="J3104" s="8"/>
    </row>
    <row r="3105">
      <c r="A3105" s="7">
        <v>2.0022743E7</v>
      </c>
      <c r="B3105" s="8" t="s">
        <v>333</v>
      </c>
      <c r="C3105" s="8" t="s">
        <v>9716</v>
      </c>
      <c r="D3105" s="8" t="s">
        <v>16</v>
      </c>
      <c r="E3105" s="8" t="s">
        <v>17</v>
      </c>
      <c r="F3105" s="9">
        <v>46078.0</v>
      </c>
      <c r="G3105" s="8" t="s">
        <v>277</v>
      </c>
      <c r="H3105" s="8" t="s">
        <v>278</v>
      </c>
      <c r="I3105" s="8" t="s">
        <v>9717</v>
      </c>
      <c r="J3105" s="8" t="s">
        <v>9718</v>
      </c>
    </row>
    <row r="3106">
      <c r="A3106" s="7">
        <v>2.0039751E7</v>
      </c>
      <c r="B3106" s="8" t="s">
        <v>333</v>
      </c>
      <c r="C3106" s="8" t="s">
        <v>9719</v>
      </c>
      <c r="D3106" s="8" t="s">
        <v>16</v>
      </c>
      <c r="E3106" s="8" t="s">
        <v>17</v>
      </c>
      <c r="F3106" s="9">
        <v>46069.0</v>
      </c>
      <c r="G3106" s="8" t="s">
        <v>826</v>
      </c>
      <c r="H3106" s="8" t="s">
        <v>827</v>
      </c>
      <c r="I3106" s="8" t="s">
        <v>9720</v>
      </c>
      <c r="J3106" s="8" t="s">
        <v>9721</v>
      </c>
    </row>
    <row r="3107">
      <c r="A3107" s="7">
        <v>2.0067796E7</v>
      </c>
      <c r="B3107" s="8" t="s">
        <v>333</v>
      </c>
      <c r="C3107" s="8" t="s">
        <v>9722</v>
      </c>
      <c r="D3107" s="8" t="s">
        <v>16</v>
      </c>
      <c r="E3107" s="8" t="s">
        <v>17</v>
      </c>
      <c r="F3107" s="9">
        <v>46179.0</v>
      </c>
      <c r="G3107" s="8" t="s">
        <v>365</v>
      </c>
      <c r="H3107" s="8" t="s">
        <v>366</v>
      </c>
      <c r="I3107" s="8" t="s">
        <v>9723</v>
      </c>
      <c r="J3107" s="8" t="s">
        <v>9724</v>
      </c>
    </row>
    <row r="3108">
      <c r="A3108" s="7">
        <v>2.0064628E7</v>
      </c>
      <c r="B3108" s="8" t="s">
        <v>333</v>
      </c>
      <c r="C3108" s="8" t="s">
        <v>9725</v>
      </c>
      <c r="D3108" s="8" t="s">
        <v>16</v>
      </c>
      <c r="E3108" s="8" t="s">
        <v>17</v>
      </c>
      <c r="F3108" s="9">
        <v>46190.0</v>
      </c>
      <c r="G3108" s="8" t="s">
        <v>9726</v>
      </c>
      <c r="H3108" s="8" t="s">
        <v>9727</v>
      </c>
      <c r="I3108" s="8" t="s">
        <v>9728</v>
      </c>
      <c r="J3108" s="8"/>
    </row>
    <row r="3109">
      <c r="A3109" s="7">
        <v>2.0064963E7</v>
      </c>
      <c r="B3109" s="8" t="s">
        <v>333</v>
      </c>
      <c r="C3109" s="8" t="s">
        <v>9729</v>
      </c>
      <c r="D3109" s="8" t="s">
        <v>16</v>
      </c>
      <c r="E3109" s="8" t="s">
        <v>17</v>
      </c>
      <c r="F3109" s="9">
        <v>46191.0</v>
      </c>
      <c r="G3109" s="8" t="s">
        <v>171</v>
      </c>
      <c r="H3109" s="8" t="s">
        <v>172</v>
      </c>
      <c r="I3109" s="8" t="s">
        <v>9730</v>
      </c>
      <c r="J3109" s="8"/>
    </row>
    <row r="3110">
      <c r="A3110" s="7">
        <v>2.0064175E7</v>
      </c>
      <c r="B3110" s="8" t="s">
        <v>333</v>
      </c>
      <c r="C3110" s="8" t="s">
        <v>9731</v>
      </c>
      <c r="D3110" s="8" t="s">
        <v>16</v>
      </c>
      <c r="E3110" s="8" t="s">
        <v>17</v>
      </c>
      <c r="F3110" s="9">
        <v>46167.0</v>
      </c>
      <c r="G3110" s="8" t="s">
        <v>873</v>
      </c>
      <c r="H3110" s="8" t="s">
        <v>874</v>
      </c>
      <c r="I3110" s="8" t="s">
        <v>9732</v>
      </c>
      <c r="J3110" s="8" t="s">
        <v>9733</v>
      </c>
    </row>
    <row r="3111">
      <c r="A3111" s="7">
        <v>2.0056389E7</v>
      </c>
      <c r="B3111" s="8" t="s">
        <v>333</v>
      </c>
      <c r="C3111" s="8" t="s">
        <v>9734</v>
      </c>
      <c r="D3111" s="8" t="s">
        <v>16</v>
      </c>
      <c r="E3111" s="8" t="s">
        <v>17</v>
      </c>
      <c r="F3111" s="9">
        <v>46137.0</v>
      </c>
      <c r="G3111" s="8" t="s">
        <v>3585</v>
      </c>
      <c r="H3111" s="8" t="s">
        <v>3586</v>
      </c>
      <c r="I3111" s="8" t="s">
        <v>9735</v>
      </c>
      <c r="J3111" s="8" t="s">
        <v>9736</v>
      </c>
    </row>
    <row r="3112">
      <c r="A3112" s="7">
        <v>2.0055567E7</v>
      </c>
      <c r="B3112" s="8" t="s">
        <v>333</v>
      </c>
      <c r="C3112" s="8" t="s">
        <v>9737</v>
      </c>
      <c r="D3112" s="8" t="s">
        <v>16</v>
      </c>
      <c r="E3112" s="8" t="s">
        <v>17</v>
      </c>
      <c r="F3112" s="9">
        <v>46138.0</v>
      </c>
      <c r="G3112" s="8" t="s">
        <v>1085</v>
      </c>
      <c r="H3112" s="8" t="s">
        <v>1086</v>
      </c>
      <c r="I3112" s="8" t="s">
        <v>9738</v>
      </c>
      <c r="J3112" s="8"/>
    </row>
    <row r="3113">
      <c r="A3113" s="7">
        <v>2.0055679E7</v>
      </c>
      <c r="B3113" s="8" t="s">
        <v>333</v>
      </c>
      <c r="C3113" s="8" t="s">
        <v>9739</v>
      </c>
      <c r="D3113" s="8" t="s">
        <v>16</v>
      </c>
      <c r="E3113" s="8" t="s">
        <v>17</v>
      </c>
      <c r="F3113" s="9">
        <v>46131.0</v>
      </c>
      <c r="G3113" s="8" t="s">
        <v>978</v>
      </c>
      <c r="H3113" s="8" t="s">
        <v>979</v>
      </c>
      <c r="I3113" s="8" t="s">
        <v>9740</v>
      </c>
      <c r="J3113" s="8" t="s">
        <v>9741</v>
      </c>
    </row>
    <row r="3114">
      <c r="A3114" s="7">
        <v>2.0044245E7</v>
      </c>
      <c r="B3114" s="8" t="s">
        <v>333</v>
      </c>
      <c r="C3114" s="8" t="s">
        <v>9742</v>
      </c>
      <c r="D3114" s="8" t="s">
        <v>16</v>
      </c>
      <c r="E3114" s="8" t="s">
        <v>17</v>
      </c>
      <c r="F3114" s="9">
        <v>46083.0</v>
      </c>
      <c r="G3114" s="8" t="s">
        <v>1132</v>
      </c>
      <c r="H3114" s="8" t="s">
        <v>1133</v>
      </c>
      <c r="I3114" s="8" t="s">
        <v>9743</v>
      </c>
      <c r="J3114" s="8" t="s">
        <v>9744</v>
      </c>
    </row>
    <row r="3115">
      <c r="A3115" s="7">
        <v>2.0040775E7</v>
      </c>
      <c r="B3115" s="8" t="s">
        <v>333</v>
      </c>
      <c r="C3115" s="8" t="s">
        <v>9745</v>
      </c>
      <c r="D3115" s="8" t="s">
        <v>16</v>
      </c>
      <c r="E3115" s="8" t="s">
        <v>17</v>
      </c>
      <c r="F3115" s="9">
        <v>46071.0</v>
      </c>
      <c r="G3115" s="8" t="s">
        <v>220</v>
      </c>
      <c r="H3115" s="8" t="s">
        <v>221</v>
      </c>
      <c r="I3115" s="8" t="s">
        <v>9746</v>
      </c>
      <c r="J3115" s="8" t="s">
        <v>9747</v>
      </c>
    </row>
    <row r="3116">
      <c r="A3116" s="7">
        <v>2.0040775E7</v>
      </c>
      <c r="B3116" s="8" t="s">
        <v>333</v>
      </c>
      <c r="C3116" s="8" t="s">
        <v>9748</v>
      </c>
      <c r="D3116" s="8" t="s">
        <v>16</v>
      </c>
      <c r="E3116" s="8" t="s">
        <v>17</v>
      </c>
      <c r="F3116" s="9">
        <v>46090.0</v>
      </c>
      <c r="G3116" s="8" t="s">
        <v>9749</v>
      </c>
      <c r="H3116" s="8" t="s">
        <v>9750</v>
      </c>
      <c r="I3116" s="8" t="s">
        <v>9751</v>
      </c>
      <c r="J3116" s="8"/>
    </row>
    <row r="3117">
      <c r="A3117" s="7">
        <v>2.0035258E7</v>
      </c>
      <c r="B3117" s="8" t="s">
        <v>333</v>
      </c>
      <c r="C3117" s="8" t="s">
        <v>9752</v>
      </c>
      <c r="D3117" s="8" t="s">
        <v>16</v>
      </c>
      <c r="E3117" s="8" t="s">
        <v>17</v>
      </c>
      <c r="F3117" s="9">
        <v>46053.0</v>
      </c>
      <c r="G3117" s="8" t="s">
        <v>400</v>
      </c>
      <c r="H3117" s="8" t="s">
        <v>401</v>
      </c>
      <c r="I3117" s="8" t="s">
        <v>9753</v>
      </c>
      <c r="J3117" s="8" t="s">
        <v>9754</v>
      </c>
    </row>
    <row r="3118">
      <c r="A3118" s="7">
        <v>2.0065304E7</v>
      </c>
      <c r="B3118" s="8" t="s">
        <v>333</v>
      </c>
      <c r="C3118" s="8" t="s">
        <v>9755</v>
      </c>
      <c r="D3118" s="8" t="s">
        <v>16</v>
      </c>
      <c r="E3118" s="8" t="s">
        <v>17</v>
      </c>
      <c r="F3118" s="9">
        <v>46166.0</v>
      </c>
      <c r="G3118" s="8" t="s">
        <v>365</v>
      </c>
      <c r="H3118" s="8" t="s">
        <v>366</v>
      </c>
      <c r="I3118" s="8" t="s">
        <v>9756</v>
      </c>
      <c r="J3118" s="8" t="s">
        <v>9757</v>
      </c>
    </row>
    <row r="3119">
      <c r="A3119" s="7">
        <v>2.0056583E7</v>
      </c>
      <c r="B3119" s="8" t="s">
        <v>333</v>
      </c>
      <c r="C3119" s="8" t="s">
        <v>9758</v>
      </c>
      <c r="D3119" s="8" t="s">
        <v>16</v>
      </c>
      <c r="E3119" s="8" t="s">
        <v>17</v>
      </c>
      <c r="F3119" s="9">
        <v>46191.0</v>
      </c>
      <c r="G3119" s="8" t="s">
        <v>9759</v>
      </c>
      <c r="H3119" s="8" t="s">
        <v>9760</v>
      </c>
      <c r="I3119" s="8" t="s">
        <v>9761</v>
      </c>
      <c r="J3119" s="8"/>
    </row>
    <row r="3120">
      <c r="A3120" s="7">
        <v>2.0045398E7</v>
      </c>
      <c r="B3120" s="8" t="s">
        <v>333</v>
      </c>
      <c r="C3120" s="8" t="s">
        <v>9762</v>
      </c>
      <c r="D3120" s="8" t="s">
        <v>16</v>
      </c>
      <c r="E3120" s="8" t="s">
        <v>17</v>
      </c>
      <c r="F3120" s="9">
        <v>46106.0</v>
      </c>
      <c r="G3120" s="8" t="s">
        <v>6936</v>
      </c>
      <c r="H3120" s="8" t="s">
        <v>6937</v>
      </c>
      <c r="I3120" s="8" t="s">
        <v>9763</v>
      </c>
      <c r="J3120" s="8"/>
    </row>
    <row r="3121">
      <c r="A3121" s="7">
        <v>2.0044394E7</v>
      </c>
      <c r="B3121" s="8" t="s">
        <v>333</v>
      </c>
      <c r="C3121" s="8" t="s">
        <v>9764</v>
      </c>
      <c r="D3121" s="8" t="s">
        <v>16</v>
      </c>
      <c r="E3121" s="8" t="s">
        <v>17</v>
      </c>
      <c r="F3121" s="9">
        <v>46096.0</v>
      </c>
      <c r="G3121" s="8" t="s">
        <v>6072</v>
      </c>
      <c r="H3121" s="8" t="s">
        <v>6073</v>
      </c>
      <c r="I3121" s="8" t="s">
        <v>9765</v>
      </c>
      <c r="J3121" s="8"/>
    </row>
    <row r="3122">
      <c r="A3122" s="7">
        <v>2.0042947E7</v>
      </c>
      <c r="B3122" s="8" t="s">
        <v>333</v>
      </c>
      <c r="C3122" s="8" t="s">
        <v>9766</v>
      </c>
      <c r="D3122" s="8" t="s">
        <v>16</v>
      </c>
      <c r="E3122" s="8" t="s">
        <v>17</v>
      </c>
      <c r="F3122" s="9">
        <v>46087.0</v>
      </c>
      <c r="G3122" s="8" t="s">
        <v>234</v>
      </c>
      <c r="H3122" s="8" t="s">
        <v>235</v>
      </c>
      <c r="I3122" s="8" t="s">
        <v>9767</v>
      </c>
      <c r="J3122" s="8" t="s">
        <v>9768</v>
      </c>
    </row>
    <row r="3123">
      <c r="A3123" s="7">
        <v>2.0041002E7</v>
      </c>
      <c r="B3123" s="8" t="s">
        <v>333</v>
      </c>
      <c r="C3123" s="8" t="s">
        <v>9769</v>
      </c>
      <c r="D3123" s="8" t="s">
        <v>16</v>
      </c>
      <c r="E3123" s="8" t="s">
        <v>17</v>
      </c>
      <c r="F3123" s="9">
        <v>46089.0</v>
      </c>
      <c r="G3123" s="8" t="s">
        <v>158</v>
      </c>
      <c r="H3123" s="8" t="s">
        <v>159</v>
      </c>
      <c r="I3123" s="8" t="s">
        <v>9770</v>
      </c>
      <c r="J3123" s="8"/>
    </row>
    <row r="3124">
      <c r="A3124" s="7">
        <v>2.0039287E7</v>
      </c>
      <c r="B3124" s="8" t="s">
        <v>333</v>
      </c>
      <c r="C3124" s="8" t="s">
        <v>9771</v>
      </c>
      <c r="D3124" s="8" t="s">
        <v>16</v>
      </c>
      <c r="E3124" s="8" t="s">
        <v>17</v>
      </c>
      <c r="F3124" s="9">
        <v>46071.0</v>
      </c>
      <c r="G3124" s="8" t="s">
        <v>6072</v>
      </c>
      <c r="H3124" s="8" t="s">
        <v>6073</v>
      </c>
      <c r="I3124" s="8" t="s">
        <v>9772</v>
      </c>
      <c r="J3124" s="8"/>
    </row>
    <row r="3125">
      <c r="A3125" s="7">
        <v>2.0038787E7</v>
      </c>
      <c r="B3125" s="8" t="s">
        <v>333</v>
      </c>
      <c r="C3125" s="8" t="s">
        <v>9773</v>
      </c>
      <c r="D3125" s="8" t="s">
        <v>16</v>
      </c>
      <c r="E3125" s="8" t="s">
        <v>17</v>
      </c>
      <c r="F3125" s="9">
        <v>46061.0</v>
      </c>
      <c r="G3125" s="8" t="s">
        <v>34</v>
      </c>
      <c r="H3125" s="8" t="s">
        <v>35</v>
      </c>
      <c r="I3125" s="8" t="s">
        <v>9774</v>
      </c>
      <c r="J3125" s="8" t="s">
        <v>9775</v>
      </c>
    </row>
    <row r="3126">
      <c r="A3126" s="7">
        <v>2.0035428E7</v>
      </c>
      <c r="B3126" s="8" t="s">
        <v>333</v>
      </c>
      <c r="C3126" s="8" t="s">
        <v>9776</v>
      </c>
      <c r="D3126" s="8" t="s">
        <v>16</v>
      </c>
      <c r="E3126" s="8" t="s">
        <v>17</v>
      </c>
      <c r="F3126" s="9">
        <v>46058.0</v>
      </c>
      <c r="G3126" s="8" t="s">
        <v>91</v>
      </c>
      <c r="H3126" s="8" t="s">
        <v>92</v>
      </c>
      <c r="I3126" s="8" t="s">
        <v>9777</v>
      </c>
      <c r="J3126" s="8" t="s">
        <v>9778</v>
      </c>
    </row>
    <row r="3127">
      <c r="A3127" s="7">
        <v>2.0035899E7</v>
      </c>
      <c r="B3127" s="8" t="s">
        <v>333</v>
      </c>
      <c r="C3127" s="8" t="s">
        <v>9779</v>
      </c>
      <c r="D3127" s="8" t="s">
        <v>16</v>
      </c>
      <c r="E3127" s="8" t="s">
        <v>17</v>
      </c>
      <c r="F3127" s="9">
        <v>46061.0</v>
      </c>
      <c r="G3127" s="8" t="s">
        <v>3140</v>
      </c>
      <c r="H3127" s="8" t="s">
        <v>3141</v>
      </c>
      <c r="I3127" s="8" t="s">
        <v>9780</v>
      </c>
      <c r="J3127" s="8" t="s">
        <v>9781</v>
      </c>
    </row>
    <row r="3128">
      <c r="A3128" s="7">
        <v>2.0034348E7</v>
      </c>
      <c r="B3128" s="8" t="s">
        <v>333</v>
      </c>
      <c r="C3128" s="8" t="s">
        <v>9782</v>
      </c>
      <c r="D3128" s="8" t="s">
        <v>16</v>
      </c>
      <c r="E3128" s="8" t="s">
        <v>17</v>
      </c>
      <c r="F3128" s="9">
        <v>46067.0</v>
      </c>
      <c r="G3128" s="8" t="s">
        <v>34</v>
      </c>
      <c r="H3128" s="8" t="s">
        <v>35</v>
      </c>
      <c r="I3128" s="8" t="s">
        <v>9783</v>
      </c>
      <c r="J3128" s="8" t="s">
        <v>9784</v>
      </c>
    </row>
    <row r="3129">
      <c r="A3129" s="7">
        <v>2.0034348E7</v>
      </c>
      <c r="B3129" s="8" t="s">
        <v>333</v>
      </c>
      <c r="C3129" s="8" t="s">
        <v>9782</v>
      </c>
      <c r="D3129" s="8" t="s">
        <v>16</v>
      </c>
      <c r="E3129" s="8" t="s">
        <v>17</v>
      </c>
      <c r="F3129" s="9">
        <v>46067.0</v>
      </c>
      <c r="G3129" s="8" t="s">
        <v>1085</v>
      </c>
      <c r="H3129" s="8" t="s">
        <v>1086</v>
      </c>
      <c r="I3129" s="8" t="s">
        <v>9785</v>
      </c>
      <c r="J3129" s="8"/>
    </row>
    <row r="3130">
      <c r="A3130" s="7">
        <v>2.0034398E7</v>
      </c>
      <c r="B3130" s="8" t="s">
        <v>333</v>
      </c>
      <c r="C3130" s="8" t="s">
        <v>9786</v>
      </c>
      <c r="D3130" s="8" t="s">
        <v>16</v>
      </c>
      <c r="E3130" s="8" t="s">
        <v>17</v>
      </c>
      <c r="F3130" s="9">
        <v>46057.0</v>
      </c>
      <c r="G3130" s="8" t="s">
        <v>1537</v>
      </c>
      <c r="H3130" s="8" t="s">
        <v>1538</v>
      </c>
      <c r="I3130" s="8" t="s">
        <v>9787</v>
      </c>
      <c r="J3130" s="8"/>
    </row>
    <row r="3131">
      <c r="A3131" s="7">
        <v>2.0066903E7</v>
      </c>
      <c r="B3131" s="8" t="s">
        <v>333</v>
      </c>
      <c r="C3131" s="8" t="s">
        <v>9788</v>
      </c>
      <c r="D3131" s="8" t="s">
        <v>16</v>
      </c>
      <c r="E3131" s="8" t="s">
        <v>17</v>
      </c>
      <c r="F3131" s="9">
        <v>46192.0</v>
      </c>
      <c r="G3131" s="8" t="s">
        <v>390</v>
      </c>
      <c r="H3131" s="8" t="s">
        <v>391</v>
      </c>
      <c r="I3131" s="8" t="s">
        <v>9789</v>
      </c>
      <c r="J3131" s="8"/>
    </row>
    <row r="3132">
      <c r="A3132" s="7">
        <v>2.0063116E7</v>
      </c>
      <c r="B3132" s="8" t="s">
        <v>333</v>
      </c>
      <c r="C3132" s="8" t="s">
        <v>9790</v>
      </c>
      <c r="D3132" s="8" t="s">
        <v>16</v>
      </c>
      <c r="E3132" s="8" t="s">
        <v>17</v>
      </c>
      <c r="F3132" s="9">
        <v>46187.0</v>
      </c>
      <c r="G3132" s="8" t="s">
        <v>543</v>
      </c>
      <c r="H3132" s="8" t="s">
        <v>544</v>
      </c>
      <c r="I3132" s="8" t="s">
        <v>9791</v>
      </c>
      <c r="J3132" s="8"/>
    </row>
    <row r="3133">
      <c r="A3133" s="7">
        <v>2.0047742E7</v>
      </c>
      <c r="B3133" s="8" t="s">
        <v>333</v>
      </c>
      <c r="C3133" s="8" t="s">
        <v>9792</v>
      </c>
      <c r="D3133" s="8" t="s">
        <v>16</v>
      </c>
      <c r="E3133" s="8" t="s">
        <v>17</v>
      </c>
      <c r="F3133" s="9">
        <v>46095.0</v>
      </c>
      <c r="G3133" s="8" t="s">
        <v>220</v>
      </c>
      <c r="H3133" s="8" t="s">
        <v>221</v>
      </c>
      <c r="I3133" s="8" t="s">
        <v>9793</v>
      </c>
      <c r="J3133" s="8" t="s">
        <v>9794</v>
      </c>
    </row>
    <row r="3134">
      <c r="A3134" s="7">
        <v>2.0045657E7</v>
      </c>
      <c r="B3134" s="8" t="s">
        <v>333</v>
      </c>
      <c r="C3134" s="8" t="s">
        <v>9795</v>
      </c>
      <c r="D3134" s="8" t="s">
        <v>16</v>
      </c>
      <c r="E3134" s="8" t="s">
        <v>17</v>
      </c>
      <c r="F3134" s="9">
        <v>46112.0</v>
      </c>
      <c r="G3134" s="8" t="s">
        <v>732</v>
      </c>
      <c r="H3134" s="8" t="s">
        <v>733</v>
      </c>
      <c r="I3134" s="8" t="s">
        <v>9796</v>
      </c>
      <c r="J3134" s="8"/>
    </row>
    <row r="3135">
      <c r="A3135" s="7">
        <v>2.0039464E7</v>
      </c>
      <c r="B3135" s="8" t="s">
        <v>333</v>
      </c>
      <c r="C3135" s="8" t="s">
        <v>9797</v>
      </c>
      <c r="D3135" s="8" t="s">
        <v>16</v>
      </c>
      <c r="E3135" s="8" t="s">
        <v>17</v>
      </c>
      <c r="F3135" s="9">
        <v>46073.0</v>
      </c>
      <c r="G3135" s="8" t="s">
        <v>1998</v>
      </c>
      <c r="H3135" s="8" t="s">
        <v>1999</v>
      </c>
      <c r="I3135" s="8" t="s">
        <v>9798</v>
      </c>
      <c r="J3135" s="8"/>
    </row>
    <row r="3136">
      <c r="A3136" s="7">
        <v>2.0037906E7</v>
      </c>
      <c r="B3136" s="8" t="s">
        <v>333</v>
      </c>
      <c r="C3136" s="8" t="s">
        <v>9799</v>
      </c>
      <c r="D3136" s="8" t="s">
        <v>16</v>
      </c>
      <c r="E3136" s="8" t="s">
        <v>17</v>
      </c>
      <c r="F3136" s="9">
        <v>46064.0</v>
      </c>
      <c r="G3136" s="8" t="s">
        <v>1093</v>
      </c>
      <c r="H3136" s="8" t="s">
        <v>1094</v>
      </c>
      <c r="I3136" s="8" t="s">
        <v>9800</v>
      </c>
      <c r="J3136" s="8" t="s">
        <v>9801</v>
      </c>
    </row>
    <row r="3137">
      <c r="A3137" s="7">
        <v>2.0033748E7</v>
      </c>
      <c r="B3137" s="8" t="s">
        <v>333</v>
      </c>
      <c r="C3137" s="8" t="s">
        <v>9802</v>
      </c>
      <c r="D3137" s="8" t="s">
        <v>16</v>
      </c>
      <c r="E3137" s="8" t="s">
        <v>17</v>
      </c>
      <c r="F3137" s="9">
        <v>46051.0</v>
      </c>
      <c r="G3137" s="8" t="s">
        <v>436</v>
      </c>
      <c r="H3137" s="8" t="s">
        <v>437</v>
      </c>
      <c r="I3137" s="8" t="s">
        <v>9803</v>
      </c>
      <c r="J3137" s="8"/>
    </row>
    <row r="3138">
      <c r="A3138" s="7">
        <v>2.0033748E7</v>
      </c>
      <c r="B3138" s="8" t="s">
        <v>333</v>
      </c>
      <c r="C3138" s="8" t="s">
        <v>9804</v>
      </c>
      <c r="D3138" s="8" t="s">
        <v>16</v>
      </c>
      <c r="E3138" s="8" t="s">
        <v>17</v>
      </c>
      <c r="F3138" s="9">
        <v>46074.0</v>
      </c>
      <c r="G3138" s="8" t="s">
        <v>124</v>
      </c>
      <c r="H3138" s="8" t="s">
        <v>125</v>
      </c>
      <c r="I3138" s="8" t="s">
        <v>9805</v>
      </c>
      <c r="J3138" s="8"/>
    </row>
    <row r="3139">
      <c r="A3139" s="7">
        <v>2.006763E7</v>
      </c>
      <c r="B3139" s="8" t="s">
        <v>333</v>
      </c>
      <c r="C3139" s="8" t="s">
        <v>9806</v>
      </c>
      <c r="D3139" s="8" t="s">
        <v>16</v>
      </c>
      <c r="E3139" s="8" t="s">
        <v>17</v>
      </c>
      <c r="F3139" s="9">
        <v>46182.0</v>
      </c>
      <c r="G3139" s="8" t="s">
        <v>873</v>
      </c>
      <c r="H3139" s="8" t="s">
        <v>874</v>
      </c>
      <c r="I3139" s="8" t="s">
        <v>9807</v>
      </c>
      <c r="J3139" s="8" t="s">
        <v>9808</v>
      </c>
    </row>
    <row r="3140">
      <c r="A3140" s="7">
        <v>2.0060022E7</v>
      </c>
      <c r="B3140" s="8" t="s">
        <v>333</v>
      </c>
      <c r="C3140" s="8" t="s">
        <v>9809</v>
      </c>
      <c r="D3140" s="8" t="s">
        <v>16</v>
      </c>
      <c r="E3140" s="8" t="s">
        <v>17</v>
      </c>
      <c r="F3140" s="9">
        <v>46185.0</v>
      </c>
      <c r="G3140" s="8" t="s">
        <v>6467</v>
      </c>
      <c r="H3140" s="8" t="s">
        <v>6468</v>
      </c>
      <c r="I3140" s="8" t="s">
        <v>9810</v>
      </c>
      <c r="J3140" s="8"/>
    </row>
    <row r="3141">
      <c r="A3141" s="7">
        <v>2.0057643E7</v>
      </c>
      <c r="B3141" s="8" t="s">
        <v>333</v>
      </c>
      <c r="C3141" s="8" t="s">
        <v>9811</v>
      </c>
      <c r="D3141" s="8" t="s">
        <v>16</v>
      </c>
      <c r="E3141" s="8" t="s">
        <v>17</v>
      </c>
      <c r="F3141" s="9">
        <v>46181.0</v>
      </c>
      <c r="G3141" s="8" t="s">
        <v>1085</v>
      </c>
      <c r="H3141" s="8" t="s">
        <v>1086</v>
      </c>
      <c r="I3141" s="8" t="s">
        <v>9812</v>
      </c>
      <c r="J3141" s="8"/>
    </row>
    <row r="3142">
      <c r="A3142" s="7">
        <v>2.0053362E7</v>
      </c>
      <c r="B3142" s="8" t="s">
        <v>333</v>
      </c>
      <c r="C3142" s="8" t="s">
        <v>9813</v>
      </c>
      <c r="D3142" s="8" t="s">
        <v>16</v>
      </c>
      <c r="E3142" s="8" t="s">
        <v>17</v>
      </c>
      <c r="F3142" s="9">
        <v>46123.0</v>
      </c>
      <c r="G3142" s="8" t="s">
        <v>2236</v>
      </c>
      <c r="H3142" s="8" t="s">
        <v>2237</v>
      </c>
      <c r="I3142" s="8" t="s">
        <v>9814</v>
      </c>
      <c r="J3142" s="8" t="s">
        <v>9815</v>
      </c>
    </row>
    <row r="3143">
      <c r="A3143" s="7">
        <v>2.0049744E7</v>
      </c>
      <c r="B3143" s="8" t="s">
        <v>333</v>
      </c>
      <c r="C3143" s="8" t="s">
        <v>9816</v>
      </c>
      <c r="D3143" s="8" t="s">
        <v>16</v>
      </c>
      <c r="E3143" s="8" t="s">
        <v>17</v>
      </c>
      <c r="F3143" s="9">
        <v>46123.0</v>
      </c>
      <c r="G3143" s="8" t="s">
        <v>390</v>
      </c>
      <c r="H3143" s="8" t="s">
        <v>391</v>
      </c>
      <c r="I3143" s="8" t="s">
        <v>9817</v>
      </c>
      <c r="J3143" s="8"/>
    </row>
    <row r="3144">
      <c r="A3144" s="7">
        <v>2.0046676E7</v>
      </c>
      <c r="B3144" s="8" t="s">
        <v>333</v>
      </c>
      <c r="C3144" s="8" t="s">
        <v>9818</v>
      </c>
      <c r="D3144" s="8" t="s">
        <v>16</v>
      </c>
      <c r="E3144" s="8" t="s">
        <v>17</v>
      </c>
      <c r="F3144" s="9">
        <v>46142.0</v>
      </c>
      <c r="G3144" s="8" t="s">
        <v>1045</v>
      </c>
      <c r="H3144" s="8" t="s">
        <v>909</v>
      </c>
      <c r="I3144" s="8" t="s">
        <v>9819</v>
      </c>
      <c r="J3144" s="8" t="s">
        <v>9820</v>
      </c>
    </row>
    <row r="3145">
      <c r="A3145" s="7">
        <v>2.0046676E7</v>
      </c>
      <c r="B3145" s="8" t="s">
        <v>333</v>
      </c>
      <c r="C3145" s="8" t="s">
        <v>9818</v>
      </c>
      <c r="D3145" s="8" t="s">
        <v>16</v>
      </c>
      <c r="E3145" s="8" t="s">
        <v>17</v>
      </c>
      <c r="F3145" s="9">
        <v>46142.0</v>
      </c>
      <c r="G3145" s="8" t="s">
        <v>613</v>
      </c>
      <c r="H3145" s="8" t="s">
        <v>614</v>
      </c>
      <c r="I3145" s="8" t="s">
        <v>9821</v>
      </c>
      <c r="J3145" s="8" t="s">
        <v>9822</v>
      </c>
    </row>
    <row r="3146">
      <c r="A3146" s="7">
        <v>2.0046676E7</v>
      </c>
      <c r="B3146" s="8" t="s">
        <v>333</v>
      </c>
      <c r="C3146" s="8" t="s">
        <v>9818</v>
      </c>
      <c r="D3146" s="8" t="s">
        <v>16</v>
      </c>
      <c r="E3146" s="8" t="s">
        <v>17</v>
      </c>
      <c r="F3146" s="9">
        <v>46142.0</v>
      </c>
      <c r="G3146" s="8" t="s">
        <v>54</v>
      </c>
      <c r="H3146" s="8" t="s">
        <v>6010</v>
      </c>
      <c r="I3146" s="8" t="s">
        <v>9823</v>
      </c>
      <c r="J3146" s="8" t="s">
        <v>9824</v>
      </c>
    </row>
    <row r="3147">
      <c r="A3147" s="7">
        <v>2.0043806E7</v>
      </c>
      <c r="B3147" s="8" t="s">
        <v>333</v>
      </c>
      <c r="C3147" s="8" t="s">
        <v>9825</v>
      </c>
      <c r="D3147" s="8" t="s">
        <v>16</v>
      </c>
      <c r="E3147" s="8" t="s">
        <v>17</v>
      </c>
      <c r="F3147" s="9">
        <v>46093.0</v>
      </c>
      <c r="G3147" s="8" t="s">
        <v>9826</v>
      </c>
      <c r="H3147" s="8" t="s">
        <v>9827</v>
      </c>
      <c r="I3147" s="8" t="s">
        <v>9828</v>
      </c>
      <c r="J3147" s="8"/>
    </row>
    <row r="3148">
      <c r="A3148" s="7">
        <v>2.0042081E7</v>
      </c>
      <c r="B3148" s="8" t="s">
        <v>333</v>
      </c>
      <c r="C3148" s="8" t="s">
        <v>9829</v>
      </c>
      <c r="D3148" s="8" t="s">
        <v>16</v>
      </c>
      <c r="E3148" s="8" t="s">
        <v>17</v>
      </c>
      <c r="F3148" s="9">
        <v>46077.0</v>
      </c>
      <c r="G3148" s="8" t="s">
        <v>1169</v>
      </c>
      <c r="H3148" s="8" t="s">
        <v>1170</v>
      </c>
      <c r="I3148" s="8" t="s">
        <v>9830</v>
      </c>
      <c r="J3148" s="8" t="s">
        <v>9831</v>
      </c>
    </row>
    <row r="3149">
      <c r="A3149" s="7">
        <v>2.0036216E7</v>
      </c>
      <c r="B3149" s="8" t="s">
        <v>333</v>
      </c>
      <c r="C3149" s="8" t="s">
        <v>9832</v>
      </c>
      <c r="D3149" s="8" t="s">
        <v>16</v>
      </c>
      <c r="E3149" s="8" t="s">
        <v>17</v>
      </c>
      <c r="F3149" s="9">
        <v>46064.0</v>
      </c>
      <c r="G3149" s="8" t="s">
        <v>732</v>
      </c>
      <c r="H3149" s="8" t="s">
        <v>733</v>
      </c>
      <c r="I3149" s="8" t="s">
        <v>9833</v>
      </c>
      <c r="J3149" s="8"/>
    </row>
    <row r="3150">
      <c r="A3150" s="7">
        <v>2.0035591E7</v>
      </c>
      <c r="B3150" s="8" t="s">
        <v>333</v>
      </c>
      <c r="C3150" s="8" t="s">
        <v>9834</v>
      </c>
      <c r="D3150" s="8" t="s">
        <v>16</v>
      </c>
      <c r="E3150" s="8" t="s">
        <v>17</v>
      </c>
      <c r="F3150" s="9">
        <v>46063.0</v>
      </c>
      <c r="G3150" s="8" t="s">
        <v>64</v>
      </c>
      <c r="H3150" s="8" t="s">
        <v>65</v>
      </c>
      <c r="I3150" s="8" t="s">
        <v>9835</v>
      </c>
      <c r="J3150" s="8"/>
    </row>
    <row r="3151">
      <c r="A3151" s="7">
        <v>2.0034337E7</v>
      </c>
      <c r="B3151" s="8" t="s">
        <v>333</v>
      </c>
      <c r="C3151" s="8" t="s">
        <v>9836</v>
      </c>
      <c r="D3151" s="8" t="s">
        <v>16</v>
      </c>
      <c r="E3151" s="8" t="s">
        <v>17</v>
      </c>
      <c r="F3151" s="9">
        <v>46059.0</v>
      </c>
      <c r="G3151" s="8" t="s">
        <v>436</v>
      </c>
      <c r="H3151" s="8" t="s">
        <v>437</v>
      </c>
      <c r="I3151" s="8" t="s">
        <v>9837</v>
      </c>
      <c r="J3151" s="8"/>
    </row>
    <row r="3152">
      <c r="A3152" s="7">
        <v>2.0062873E7</v>
      </c>
      <c r="B3152" s="8" t="s">
        <v>333</v>
      </c>
      <c r="C3152" s="8" t="s">
        <v>9838</v>
      </c>
      <c r="D3152" s="8" t="s">
        <v>16</v>
      </c>
      <c r="E3152" s="8" t="s">
        <v>17</v>
      </c>
      <c r="F3152" s="9">
        <v>46193.0</v>
      </c>
      <c r="G3152" s="8" t="s">
        <v>282</v>
      </c>
      <c r="H3152" s="8" t="s">
        <v>3005</v>
      </c>
      <c r="I3152" s="8" t="s">
        <v>9839</v>
      </c>
      <c r="J3152" s="8" t="s">
        <v>9840</v>
      </c>
    </row>
    <row r="3153">
      <c r="A3153" s="7">
        <v>2.0066104E7</v>
      </c>
      <c r="B3153" s="8" t="s">
        <v>333</v>
      </c>
      <c r="C3153" s="8" t="s">
        <v>9841</v>
      </c>
      <c r="D3153" s="8" t="s">
        <v>16</v>
      </c>
      <c r="E3153" s="8" t="s">
        <v>17</v>
      </c>
      <c r="F3153" s="9">
        <v>46191.0</v>
      </c>
      <c r="G3153" s="8" t="s">
        <v>171</v>
      </c>
      <c r="H3153" s="8" t="s">
        <v>172</v>
      </c>
      <c r="I3153" s="8" t="s">
        <v>9842</v>
      </c>
      <c r="J3153" s="8"/>
    </row>
    <row r="3154">
      <c r="A3154" s="7">
        <v>2.0065759E7</v>
      </c>
      <c r="B3154" s="8" t="s">
        <v>333</v>
      </c>
      <c r="C3154" s="8" t="s">
        <v>9843</v>
      </c>
      <c r="D3154" s="8" t="s">
        <v>16</v>
      </c>
      <c r="E3154" s="8" t="s">
        <v>17</v>
      </c>
      <c r="F3154" s="9">
        <v>46192.0</v>
      </c>
      <c r="G3154" s="8" t="s">
        <v>9844</v>
      </c>
      <c r="H3154" s="8" t="s">
        <v>9845</v>
      </c>
      <c r="I3154" s="8" t="s">
        <v>9846</v>
      </c>
      <c r="J3154" s="8"/>
    </row>
    <row r="3155">
      <c r="A3155" s="7">
        <v>2.0063151E7</v>
      </c>
      <c r="B3155" s="8" t="s">
        <v>333</v>
      </c>
      <c r="C3155" s="8" t="s">
        <v>9847</v>
      </c>
      <c r="D3155" s="8" t="s">
        <v>16</v>
      </c>
      <c r="E3155" s="8" t="s">
        <v>17</v>
      </c>
      <c r="F3155" s="9">
        <v>46190.0</v>
      </c>
      <c r="G3155" s="8" t="s">
        <v>594</v>
      </c>
      <c r="H3155" s="8" t="s">
        <v>595</v>
      </c>
      <c r="I3155" s="8" t="s">
        <v>9848</v>
      </c>
      <c r="J3155" s="8"/>
    </row>
    <row r="3156">
      <c r="A3156" s="7">
        <v>2.0058569E7</v>
      </c>
      <c r="B3156" s="8" t="s">
        <v>333</v>
      </c>
      <c r="C3156" s="8" t="s">
        <v>9849</v>
      </c>
      <c r="D3156" s="8" t="s">
        <v>16</v>
      </c>
      <c r="E3156" s="8" t="s">
        <v>17</v>
      </c>
      <c r="F3156" s="9">
        <v>46157.0</v>
      </c>
      <c r="G3156" s="8" t="s">
        <v>247</v>
      </c>
      <c r="H3156" s="8" t="s">
        <v>248</v>
      </c>
      <c r="I3156" s="8" t="s">
        <v>9850</v>
      </c>
      <c r="J3156" s="8" t="s">
        <v>9851</v>
      </c>
    </row>
    <row r="3157">
      <c r="A3157" s="7">
        <v>2.0057508E7</v>
      </c>
      <c r="B3157" s="8" t="s">
        <v>333</v>
      </c>
      <c r="C3157" s="8" t="s">
        <v>9852</v>
      </c>
      <c r="D3157" s="8" t="s">
        <v>16</v>
      </c>
      <c r="E3157" s="8" t="s">
        <v>17</v>
      </c>
      <c r="F3157" s="9">
        <v>46191.0</v>
      </c>
      <c r="G3157" s="8" t="s">
        <v>666</v>
      </c>
      <c r="H3157" s="8" t="s">
        <v>667</v>
      </c>
      <c r="I3157" s="8" t="s">
        <v>9853</v>
      </c>
      <c r="J3157" s="8"/>
    </row>
    <row r="3158">
      <c r="A3158" s="7">
        <v>2.0057215E7</v>
      </c>
      <c r="B3158" s="8" t="s">
        <v>333</v>
      </c>
      <c r="C3158" s="8" t="s">
        <v>9854</v>
      </c>
      <c r="D3158" s="8" t="s">
        <v>16</v>
      </c>
      <c r="E3158" s="8" t="s">
        <v>17</v>
      </c>
      <c r="F3158" s="9">
        <v>46160.0</v>
      </c>
      <c r="G3158" s="8" t="s">
        <v>171</v>
      </c>
      <c r="H3158" s="8" t="s">
        <v>172</v>
      </c>
      <c r="I3158" s="8" t="s">
        <v>9855</v>
      </c>
      <c r="J3158" s="8"/>
    </row>
    <row r="3159">
      <c r="A3159" s="7">
        <v>2.0054973E7</v>
      </c>
      <c r="B3159" s="8" t="s">
        <v>333</v>
      </c>
      <c r="C3159" s="8" t="s">
        <v>9856</v>
      </c>
      <c r="D3159" s="8" t="s">
        <v>16</v>
      </c>
      <c r="E3159" s="8" t="s">
        <v>17</v>
      </c>
      <c r="F3159" s="9">
        <v>46141.0</v>
      </c>
      <c r="G3159" s="8" t="s">
        <v>688</v>
      </c>
      <c r="H3159" s="8" t="s">
        <v>689</v>
      </c>
      <c r="I3159" s="8" t="s">
        <v>9857</v>
      </c>
      <c r="J3159" s="8"/>
    </row>
    <row r="3160">
      <c r="A3160" s="7">
        <v>2.0050756E7</v>
      </c>
      <c r="B3160" s="8" t="s">
        <v>333</v>
      </c>
      <c r="C3160" s="8" t="s">
        <v>9858</v>
      </c>
      <c r="D3160" s="8" t="s">
        <v>16</v>
      </c>
      <c r="E3160" s="8" t="s">
        <v>17</v>
      </c>
      <c r="F3160" s="9">
        <v>46130.0</v>
      </c>
      <c r="G3160" s="8" t="s">
        <v>171</v>
      </c>
      <c r="H3160" s="8" t="s">
        <v>172</v>
      </c>
      <c r="I3160" s="8" t="s">
        <v>9859</v>
      </c>
      <c r="J3160" s="8"/>
    </row>
    <row r="3161">
      <c r="A3161" s="7">
        <v>2.0042283E7</v>
      </c>
      <c r="B3161" s="8" t="s">
        <v>333</v>
      </c>
      <c r="C3161" s="8" t="s">
        <v>9860</v>
      </c>
      <c r="D3161" s="8" t="s">
        <v>16</v>
      </c>
      <c r="E3161" s="8" t="s">
        <v>17</v>
      </c>
      <c r="F3161" s="9">
        <v>46096.0</v>
      </c>
      <c r="G3161" s="8" t="s">
        <v>1085</v>
      </c>
      <c r="H3161" s="8" t="s">
        <v>1086</v>
      </c>
      <c r="I3161" s="8" t="s">
        <v>9861</v>
      </c>
      <c r="J3161" s="8"/>
    </row>
    <row r="3162">
      <c r="A3162" s="7">
        <v>2.0036885E7</v>
      </c>
      <c r="B3162" s="8" t="s">
        <v>333</v>
      </c>
      <c r="C3162" s="8" t="s">
        <v>9862</v>
      </c>
      <c r="D3162" s="8" t="s">
        <v>16</v>
      </c>
      <c r="E3162" s="8" t="s">
        <v>17</v>
      </c>
      <c r="F3162" s="9">
        <v>46075.0</v>
      </c>
      <c r="G3162" s="8" t="s">
        <v>314</v>
      </c>
      <c r="H3162" s="8" t="s">
        <v>315</v>
      </c>
      <c r="I3162" s="8" t="s">
        <v>9863</v>
      </c>
      <c r="J3162" s="8" t="s">
        <v>9864</v>
      </c>
    </row>
    <row r="3163">
      <c r="A3163" s="7">
        <v>2.0034828E7</v>
      </c>
      <c r="B3163" s="8" t="s">
        <v>333</v>
      </c>
      <c r="C3163" s="8" t="s">
        <v>9865</v>
      </c>
      <c r="D3163" s="8" t="s">
        <v>16</v>
      </c>
      <c r="E3163" s="8" t="s">
        <v>17</v>
      </c>
      <c r="F3163" s="9">
        <v>46073.0</v>
      </c>
      <c r="G3163" s="8" t="s">
        <v>9459</v>
      </c>
      <c r="H3163" s="8" t="s">
        <v>9460</v>
      </c>
      <c r="I3163" s="8" t="s">
        <v>9866</v>
      </c>
      <c r="J3163" s="8"/>
    </row>
    <row r="3164">
      <c r="A3164" s="7">
        <v>2.0035083E7</v>
      </c>
      <c r="B3164" s="8" t="s">
        <v>333</v>
      </c>
      <c r="C3164" s="8" t="s">
        <v>9867</v>
      </c>
      <c r="D3164" s="8" t="s">
        <v>16</v>
      </c>
      <c r="E3164" s="8" t="s">
        <v>17</v>
      </c>
      <c r="F3164" s="9">
        <v>46060.0</v>
      </c>
      <c r="G3164" s="8" t="s">
        <v>171</v>
      </c>
      <c r="H3164" s="8" t="s">
        <v>172</v>
      </c>
      <c r="I3164" s="8" t="s">
        <v>9868</v>
      </c>
      <c r="J3164" s="8"/>
    </row>
    <row r="3165">
      <c r="A3165" s="7">
        <v>2.0062994E7</v>
      </c>
      <c r="B3165" s="8" t="s">
        <v>333</v>
      </c>
      <c r="C3165" s="8" t="s">
        <v>9869</v>
      </c>
      <c r="D3165" s="8" t="s">
        <v>16</v>
      </c>
      <c r="E3165" s="8" t="s">
        <v>17</v>
      </c>
      <c r="F3165" s="9">
        <v>46186.0</v>
      </c>
      <c r="G3165" s="8" t="s">
        <v>9870</v>
      </c>
      <c r="H3165" s="8" t="s">
        <v>9871</v>
      </c>
      <c r="I3165" s="8" t="s">
        <v>9872</v>
      </c>
      <c r="J3165" s="8"/>
    </row>
    <row r="3166">
      <c r="A3166" s="7">
        <v>2.0055787E7</v>
      </c>
      <c r="B3166" s="8" t="s">
        <v>333</v>
      </c>
      <c r="C3166" s="8" t="s">
        <v>9873</v>
      </c>
      <c r="D3166" s="8" t="s">
        <v>16</v>
      </c>
      <c r="E3166" s="8" t="s">
        <v>17</v>
      </c>
      <c r="F3166" s="9">
        <v>46145.0</v>
      </c>
      <c r="G3166" s="8" t="s">
        <v>171</v>
      </c>
      <c r="H3166" s="8" t="s">
        <v>172</v>
      </c>
      <c r="I3166" s="8" t="s">
        <v>9874</v>
      </c>
      <c r="J3166" s="8"/>
    </row>
    <row r="3167">
      <c r="A3167" s="7">
        <v>2.0046703E7</v>
      </c>
      <c r="B3167" s="8" t="s">
        <v>333</v>
      </c>
      <c r="C3167" s="8" t="s">
        <v>9875</v>
      </c>
      <c r="D3167" s="8" t="s">
        <v>16</v>
      </c>
      <c r="E3167" s="8" t="s">
        <v>17</v>
      </c>
      <c r="F3167" s="9">
        <v>46117.0</v>
      </c>
      <c r="G3167" s="8" t="s">
        <v>2400</v>
      </c>
      <c r="H3167" s="8" t="s">
        <v>2401</v>
      </c>
      <c r="I3167" s="8" t="s">
        <v>9876</v>
      </c>
      <c r="J3167" s="8"/>
    </row>
    <row r="3168">
      <c r="A3168" s="7">
        <v>2.0045094E7</v>
      </c>
      <c r="B3168" s="8" t="s">
        <v>333</v>
      </c>
      <c r="C3168" s="8" t="s">
        <v>9877</v>
      </c>
      <c r="D3168" s="8" t="s">
        <v>16</v>
      </c>
      <c r="E3168" s="8" t="s">
        <v>17</v>
      </c>
      <c r="F3168" s="9">
        <v>46095.0</v>
      </c>
      <c r="G3168" s="8" t="s">
        <v>390</v>
      </c>
      <c r="H3168" s="8" t="s">
        <v>391</v>
      </c>
      <c r="I3168" s="8" t="s">
        <v>9878</v>
      </c>
      <c r="J3168" s="8"/>
    </row>
    <row r="3169">
      <c r="A3169" s="7">
        <v>2.0044336E7</v>
      </c>
      <c r="B3169" s="8" t="s">
        <v>333</v>
      </c>
      <c r="C3169" s="8" t="s">
        <v>9879</v>
      </c>
      <c r="D3169" s="8" t="s">
        <v>16</v>
      </c>
      <c r="E3169" s="8" t="s">
        <v>17</v>
      </c>
      <c r="F3169" s="9">
        <v>46130.0</v>
      </c>
      <c r="G3169" s="8" t="s">
        <v>9880</v>
      </c>
      <c r="H3169" s="8" t="s">
        <v>9881</v>
      </c>
      <c r="I3169" s="8" t="s">
        <v>9882</v>
      </c>
      <c r="J3169" s="8" t="s">
        <v>9883</v>
      </c>
    </row>
    <row r="3170">
      <c r="A3170" s="7">
        <v>2.004249E7</v>
      </c>
      <c r="B3170" s="8" t="s">
        <v>333</v>
      </c>
      <c r="C3170" s="8" t="s">
        <v>9884</v>
      </c>
      <c r="D3170" s="8" t="s">
        <v>16</v>
      </c>
      <c r="E3170" s="8" t="s">
        <v>17</v>
      </c>
      <c r="F3170" s="9">
        <v>46074.0</v>
      </c>
      <c r="G3170" s="8" t="s">
        <v>91</v>
      </c>
      <c r="H3170" s="8" t="s">
        <v>92</v>
      </c>
      <c r="I3170" s="8" t="s">
        <v>9885</v>
      </c>
      <c r="J3170" s="8" t="s">
        <v>9886</v>
      </c>
    </row>
    <row r="3171">
      <c r="A3171" s="7">
        <v>2.004249E7</v>
      </c>
      <c r="B3171" s="8" t="s">
        <v>333</v>
      </c>
      <c r="C3171" s="8" t="s">
        <v>9887</v>
      </c>
      <c r="D3171" s="8" t="s">
        <v>16</v>
      </c>
      <c r="E3171" s="8" t="s">
        <v>17</v>
      </c>
      <c r="F3171" s="9">
        <v>46080.0</v>
      </c>
      <c r="G3171" s="8" t="s">
        <v>846</v>
      </c>
      <c r="H3171" s="8" t="s">
        <v>847</v>
      </c>
      <c r="I3171" s="8" t="s">
        <v>9888</v>
      </c>
      <c r="J3171" s="8" t="s">
        <v>9889</v>
      </c>
    </row>
    <row r="3172">
      <c r="A3172" s="7">
        <v>2.0037148E7</v>
      </c>
      <c r="B3172" s="8" t="s">
        <v>333</v>
      </c>
      <c r="C3172" s="8" t="s">
        <v>9890</v>
      </c>
      <c r="D3172" s="8" t="s">
        <v>16</v>
      </c>
      <c r="E3172" s="8" t="s">
        <v>17</v>
      </c>
      <c r="F3172" s="9">
        <v>46088.0</v>
      </c>
      <c r="G3172" s="8" t="s">
        <v>9891</v>
      </c>
      <c r="H3172" s="8" t="s">
        <v>9892</v>
      </c>
      <c r="I3172" s="8" t="s">
        <v>9893</v>
      </c>
      <c r="J3172" s="8"/>
    </row>
    <row r="3173">
      <c r="A3173" s="7">
        <v>2.003668E7</v>
      </c>
      <c r="B3173" s="8" t="s">
        <v>333</v>
      </c>
      <c r="C3173" s="8" t="s">
        <v>9894</v>
      </c>
      <c r="D3173" s="8" t="s">
        <v>16</v>
      </c>
      <c r="E3173" s="8" t="s">
        <v>17</v>
      </c>
      <c r="F3173" s="9">
        <v>46067.0</v>
      </c>
      <c r="G3173" s="8" t="s">
        <v>436</v>
      </c>
      <c r="H3173" s="8" t="s">
        <v>437</v>
      </c>
      <c r="I3173" s="8" t="s">
        <v>9895</v>
      </c>
      <c r="J3173" s="8"/>
    </row>
    <row r="3174">
      <c r="A3174" s="7">
        <v>2.0067173E7</v>
      </c>
      <c r="B3174" s="8" t="s">
        <v>333</v>
      </c>
      <c r="C3174" s="8" t="s">
        <v>9896</v>
      </c>
      <c r="D3174" s="8" t="s">
        <v>16</v>
      </c>
      <c r="E3174" s="8" t="s">
        <v>17</v>
      </c>
      <c r="F3174" s="9">
        <v>46178.0</v>
      </c>
      <c r="G3174" s="8" t="s">
        <v>59</v>
      </c>
      <c r="H3174" s="8" t="s">
        <v>60</v>
      </c>
      <c r="I3174" s="8" t="s">
        <v>9897</v>
      </c>
      <c r="J3174" s="8" t="s">
        <v>9898</v>
      </c>
    </row>
    <row r="3175">
      <c r="A3175" s="7">
        <v>2.0063578E7</v>
      </c>
      <c r="B3175" s="8" t="s">
        <v>333</v>
      </c>
      <c r="C3175" s="8" t="s">
        <v>9899</v>
      </c>
      <c r="D3175" s="8" t="s">
        <v>16</v>
      </c>
      <c r="E3175" s="8" t="s">
        <v>17</v>
      </c>
      <c r="F3175" s="9">
        <v>46172.0</v>
      </c>
      <c r="G3175" s="8" t="s">
        <v>1431</v>
      </c>
      <c r="H3175" s="8" t="s">
        <v>1432</v>
      </c>
      <c r="I3175" s="8" t="s">
        <v>9900</v>
      </c>
      <c r="J3175" s="8" t="s">
        <v>9901</v>
      </c>
    </row>
    <row r="3176">
      <c r="A3176" s="7">
        <v>2.0061873E7</v>
      </c>
      <c r="B3176" s="8" t="s">
        <v>333</v>
      </c>
      <c r="C3176" s="8" t="s">
        <v>9902</v>
      </c>
      <c r="D3176" s="8" t="s">
        <v>16</v>
      </c>
      <c r="E3176" s="8" t="s">
        <v>17</v>
      </c>
      <c r="F3176" s="9">
        <v>46183.0</v>
      </c>
      <c r="G3176" s="8" t="s">
        <v>158</v>
      </c>
      <c r="H3176" s="8" t="s">
        <v>159</v>
      </c>
      <c r="I3176" s="8" t="s">
        <v>9903</v>
      </c>
      <c r="J3176" s="8"/>
    </row>
    <row r="3177">
      <c r="A3177" s="7">
        <v>2.0059741E7</v>
      </c>
      <c r="B3177" s="8" t="s">
        <v>333</v>
      </c>
      <c r="C3177" s="8" t="s">
        <v>9904</v>
      </c>
      <c r="D3177" s="8" t="s">
        <v>16</v>
      </c>
      <c r="E3177" s="8" t="s">
        <v>17</v>
      </c>
      <c r="F3177" s="9">
        <v>46191.0</v>
      </c>
      <c r="G3177" s="8" t="s">
        <v>171</v>
      </c>
      <c r="H3177" s="8" t="s">
        <v>172</v>
      </c>
      <c r="I3177" s="8" t="s">
        <v>9905</v>
      </c>
      <c r="J3177" s="8"/>
    </row>
    <row r="3178">
      <c r="A3178" s="7">
        <v>2.0054706E7</v>
      </c>
      <c r="B3178" s="8" t="s">
        <v>333</v>
      </c>
      <c r="C3178" s="8" t="s">
        <v>9906</v>
      </c>
      <c r="D3178" s="8" t="s">
        <v>16</v>
      </c>
      <c r="E3178" s="8" t="s">
        <v>17</v>
      </c>
      <c r="F3178" s="9">
        <v>46149.0</v>
      </c>
      <c r="G3178" s="8" t="s">
        <v>436</v>
      </c>
      <c r="H3178" s="8" t="s">
        <v>437</v>
      </c>
      <c r="I3178" s="8" t="s">
        <v>9907</v>
      </c>
      <c r="J3178" s="8"/>
    </row>
    <row r="3179">
      <c r="A3179" s="7">
        <v>2.0047552E7</v>
      </c>
      <c r="B3179" s="8" t="s">
        <v>333</v>
      </c>
      <c r="C3179" s="8" t="s">
        <v>9908</v>
      </c>
      <c r="D3179" s="8" t="s">
        <v>16</v>
      </c>
      <c r="E3179" s="8" t="s">
        <v>17</v>
      </c>
      <c r="F3179" s="9">
        <v>46120.0</v>
      </c>
      <c r="G3179" s="8" t="s">
        <v>158</v>
      </c>
      <c r="H3179" s="8" t="s">
        <v>159</v>
      </c>
      <c r="I3179" s="8" t="s">
        <v>9909</v>
      </c>
      <c r="J3179" s="8"/>
    </row>
    <row r="3180">
      <c r="A3180" s="7">
        <v>2.0046269E7</v>
      </c>
      <c r="B3180" s="8" t="s">
        <v>333</v>
      </c>
      <c r="C3180" s="8" t="s">
        <v>9910</v>
      </c>
      <c r="D3180" s="8" t="s">
        <v>16</v>
      </c>
      <c r="E3180" s="8" t="s">
        <v>17</v>
      </c>
      <c r="F3180" s="9">
        <v>46113.0</v>
      </c>
      <c r="G3180" s="8" t="s">
        <v>6254</v>
      </c>
      <c r="H3180" s="8" t="s">
        <v>6255</v>
      </c>
      <c r="I3180" s="8" t="s">
        <v>9911</v>
      </c>
      <c r="J3180" s="8"/>
    </row>
    <row r="3181">
      <c r="A3181" s="7">
        <v>2.0038958E7</v>
      </c>
      <c r="B3181" s="8" t="s">
        <v>333</v>
      </c>
      <c r="C3181" s="8" t="s">
        <v>9912</v>
      </c>
      <c r="D3181" s="8" t="s">
        <v>16</v>
      </c>
      <c r="E3181" s="8" t="s">
        <v>17</v>
      </c>
      <c r="F3181" s="9">
        <v>46088.0</v>
      </c>
      <c r="G3181" s="8" t="s">
        <v>34</v>
      </c>
      <c r="H3181" s="8" t="s">
        <v>35</v>
      </c>
      <c r="I3181" s="8" t="s">
        <v>9913</v>
      </c>
      <c r="J3181" s="8" t="s">
        <v>9914</v>
      </c>
    </row>
    <row r="3182">
      <c r="A3182" s="7">
        <v>2.0038958E7</v>
      </c>
      <c r="B3182" s="8" t="s">
        <v>333</v>
      </c>
      <c r="C3182" s="8" t="s">
        <v>9912</v>
      </c>
      <c r="D3182" s="8" t="s">
        <v>16</v>
      </c>
      <c r="E3182" s="8" t="s">
        <v>17</v>
      </c>
      <c r="F3182" s="9">
        <v>46088.0</v>
      </c>
      <c r="G3182" s="8" t="s">
        <v>34</v>
      </c>
      <c r="H3182" s="8" t="s">
        <v>35</v>
      </c>
      <c r="I3182" s="8" t="s">
        <v>9915</v>
      </c>
      <c r="J3182" s="8" t="s">
        <v>9914</v>
      </c>
    </row>
    <row r="3183">
      <c r="A3183" s="7">
        <v>2.0038958E7</v>
      </c>
      <c r="B3183" s="8" t="s">
        <v>333</v>
      </c>
      <c r="C3183" s="8" t="s">
        <v>9916</v>
      </c>
      <c r="D3183" s="8" t="s">
        <v>16</v>
      </c>
      <c r="E3183" s="8" t="s">
        <v>17</v>
      </c>
      <c r="F3183" s="9">
        <v>46117.0</v>
      </c>
      <c r="G3183" s="8" t="s">
        <v>3532</v>
      </c>
      <c r="H3183" s="8" t="s">
        <v>3533</v>
      </c>
      <c r="I3183" s="8" t="s">
        <v>9917</v>
      </c>
      <c r="J3183" s="8"/>
    </row>
    <row r="3184">
      <c r="A3184" s="7">
        <v>2.0040387E7</v>
      </c>
      <c r="B3184" s="8" t="s">
        <v>333</v>
      </c>
      <c r="C3184" s="8" t="s">
        <v>9918</v>
      </c>
      <c r="D3184" s="8" t="s">
        <v>16</v>
      </c>
      <c r="E3184" s="8" t="s">
        <v>17</v>
      </c>
      <c r="F3184" s="9">
        <v>46090.0</v>
      </c>
      <c r="G3184" s="8" t="s">
        <v>9919</v>
      </c>
      <c r="H3184" s="8" t="s">
        <v>9920</v>
      </c>
      <c r="I3184" s="8" t="s">
        <v>9921</v>
      </c>
      <c r="J3184" s="8"/>
    </row>
    <row r="3185">
      <c r="A3185" s="7">
        <v>2.0040155E7</v>
      </c>
      <c r="B3185" s="8" t="s">
        <v>333</v>
      </c>
      <c r="C3185" s="8" t="s">
        <v>9922</v>
      </c>
      <c r="D3185" s="8" t="s">
        <v>16</v>
      </c>
      <c r="E3185" s="8" t="s">
        <v>17</v>
      </c>
      <c r="F3185" s="9">
        <v>46071.0</v>
      </c>
      <c r="G3185" s="8" t="s">
        <v>868</v>
      </c>
      <c r="H3185" s="8" t="s">
        <v>869</v>
      </c>
      <c r="I3185" s="8" t="s">
        <v>9923</v>
      </c>
      <c r="J3185" s="8" t="s">
        <v>9924</v>
      </c>
    </row>
    <row r="3186">
      <c r="A3186" s="7">
        <v>2.0040155E7</v>
      </c>
      <c r="B3186" s="8" t="s">
        <v>333</v>
      </c>
      <c r="C3186" s="8" t="s">
        <v>9925</v>
      </c>
      <c r="D3186" s="8" t="s">
        <v>16</v>
      </c>
      <c r="E3186" s="8" t="s">
        <v>17</v>
      </c>
      <c r="F3186" s="9">
        <v>46097.0</v>
      </c>
      <c r="G3186" s="8" t="s">
        <v>9926</v>
      </c>
      <c r="H3186" s="8" t="s">
        <v>9927</v>
      </c>
      <c r="I3186" s="8" t="s">
        <v>9928</v>
      </c>
      <c r="J3186" s="8"/>
    </row>
    <row r="3187">
      <c r="A3187" s="7">
        <v>2.0067962E7</v>
      </c>
      <c r="B3187" s="8" t="s">
        <v>333</v>
      </c>
      <c r="C3187" s="8" t="s">
        <v>9929</v>
      </c>
      <c r="D3187" s="8" t="s">
        <v>16</v>
      </c>
      <c r="E3187" s="8" t="s">
        <v>17</v>
      </c>
      <c r="F3187" s="9">
        <v>46193.0</v>
      </c>
      <c r="G3187" s="8" t="s">
        <v>630</v>
      </c>
      <c r="H3187" s="8" t="s">
        <v>631</v>
      </c>
      <c r="I3187" s="8" t="s">
        <v>9930</v>
      </c>
      <c r="J3187" s="8"/>
    </row>
    <row r="3188">
      <c r="A3188" s="7">
        <v>2.006002E7</v>
      </c>
      <c r="B3188" s="8" t="s">
        <v>333</v>
      </c>
      <c r="C3188" s="8" t="s">
        <v>9931</v>
      </c>
      <c r="D3188" s="8" t="s">
        <v>16</v>
      </c>
      <c r="E3188" s="8" t="s">
        <v>17</v>
      </c>
      <c r="F3188" s="9">
        <v>46159.0</v>
      </c>
      <c r="G3188" s="8" t="s">
        <v>9932</v>
      </c>
      <c r="H3188" s="8" t="s">
        <v>9933</v>
      </c>
      <c r="I3188" s="8" t="s">
        <v>9934</v>
      </c>
      <c r="J3188" s="8"/>
    </row>
    <row r="3189">
      <c r="A3189" s="7">
        <v>2.0023434E7</v>
      </c>
      <c r="B3189" s="8" t="s">
        <v>333</v>
      </c>
      <c r="C3189" s="8" t="s">
        <v>9935</v>
      </c>
      <c r="D3189" s="8" t="s">
        <v>16</v>
      </c>
      <c r="E3189" s="8" t="s">
        <v>17</v>
      </c>
      <c r="F3189" s="9">
        <v>46125.0</v>
      </c>
      <c r="G3189" s="8" t="s">
        <v>428</v>
      </c>
      <c r="H3189" s="8" t="s">
        <v>429</v>
      </c>
      <c r="I3189" s="8" t="s">
        <v>9936</v>
      </c>
      <c r="J3189" s="8"/>
    </row>
    <row r="3190">
      <c r="A3190" s="7">
        <v>2.004315E7</v>
      </c>
      <c r="B3190" s="8" t="s">
        <v>333</v>
      </c>
      <c r="C3190" s="8" t="s">
        <v>9937</v>
      </c>
      <c r="D3190" s="8" t="s">
        <v>16</v>
      </c>
      <c r="E3190" s="8" t="s">
        <v>17</v>
      </c>
      <c r="F3190" s="9">
        <v>46094.0</v>
      </c>
      <c r="G3190" s="8" t="s">
        <v>114</v>
      </c>
      <c r="H3190" s="8" t="s">
        <v>115</v>
      </c>
      <c r="I3190" s="8" t="s">
        <v>9938</v>
      </c>
      <c r="J3190" s="8"/>
    </row>
    <row r="3191">
      <c r="A3191" s="7">
        <v>2.0040397E7</v>
      </c>
      <c r="B3191" s="8" t="s">
        <v>333</v>
      </c>
      <c r="C3191" s="8" t="s">
        <v>9939</v>
      </c>
      <c r="D3191" s="8" t="s">
        <v>16</v>
      </c>
      <c r="E3191" s="8" t="s">
        <v>17</v>
      </c>
      <c r="F3191" s="9">
        <v>46088.0</v>
      </c>
      <c r="G3191" s="8" t="s">
        <v>486</v>
      </c>
      <c r="H3191" s="8" t="s">
        <v>487</v>
      </c>
      <c r="I3191" s="8" t="s">
        <v>9940</v>
      </c>
      <c r="J3191" s="8"/>
    </row>
    <row r="3192">
      <c r="A3192" s="7">
        <v>2.0040907E7</v>
      </c>
      <c r="B3192" s="8" t="s">
        <v>333</v>
      </c>
      <c r="C3192" s="8" t="s">
        <v>9941</v>
      </c>
      <c r="D3192" s="8" t="s">
        <v>16</v>
      </c>
      <c r="E3192" s="8" t="s">
        <v>17</v>
      </c>
      <c r="F3192" s="9">
        <v>46071.0</v>
      </c>
      <c r="G3192" s="8" t="s">
        <v>220</v>
      </c>
      <c r="H3192" s="8" t="s">
        <v>221</v>
      </c>
      <c r="I3192" s="8" t="s">
        <v>9942</v>
      </c>
      <c r="J3192" s="8" t="s">
        <v>9943</v>
      </c>
    </row>
    <row r="3193">
      <c r="A3193" s="7">
        <v>2.0039472E7</v>
      </c>
      <c r="B3193" s="8" t="s">
        <v>333</v>
      </c>
      <c r="C3193" s="8" t="s">
        <v>9944</v>
      </c>
      <c r="D3193" s="8" t="s">
        <v>16</v>
      </c>
      <c r="E3193" s="8" t="s">
        <v>17</v>
      </c>
      <c r="F3193" s="9">
        <v>46081.0</v>
      </c>
      <c r="G3193" s="8" t="s">
        <v>4148</v>
      </c>
      <c r="H3193" s="8" t="s">
        <v>4149</v>
      </c>
      <c r="I3193" s="8" t="s">
        <v>9945</v>
      </c>
      <c r="J3193" s="8"/>
    </row>
    <row r="3194">
      <c r="A3194" s="7">
        <v>2.0036267E7</v>
      </c>
      <c r="B3194" s="8" t="s">
        <v>333</v>
      </c>
      <c r="C3194" s="8" t="s">
        <v>9946</v>
      </c>
      <c r="D3194" s="8" t="s">
        <v>16</v>
      </c>
      <c r="E3194" s="8" t="s">
        <v>17</v>
      </c>
      <c r="F3194" s="9">
        <v>46062.0</v>
      </c>
      <c r="G3194" s="8" t="s">
        <v>504</v>
      </c>
      <c r="H3194" s="8" t="s">
        <v>505</v>
      </c>
      <c r="I3194" s="8" t="s">
        <v>9947</v>
      </c>
      <c r="J3194" s="8" t="s">
        <v>9948</v>
      </c>
    </row>
    <row r="3195">
      <c r="A3195" s="7">
        <v>2.0036267E7</v>
      </c>
      <c r="B3195" s="8" t="s">
        <v>333</v>
      </c>
      <c r="C3195" s="8" t="s">
        <v>9946</v>
      </c>
      <c r="D3195" s="8" t="s">
        <v>16</v>
      </c>
      <c r="E3195" s="8" t="s">
        <v>17</v>
      </c>
      <c r="F3195" s="9">
        <v>46062.0</v>
      </c>
      <c r="G3195" s="8" t="s">
        <v>517</v>
      </c>
      <c r="H3195" s="8" t="s">
        <v>518</v>
      </c>
      <c r="I3195" s="8" t="s">
        <v>9949</v>
      </c>
      <c r="J3195" s="8" t="s">
        <v>9950</v>
      </c>
    </row>
    <row r="3196">
      <c r="A3196" s="7">
        <v>2.0035784E7</v>
      </c>
      <c r="B3196" s="8" t="s">
        <v>333</v>
      </c>
      <c r="C3196" s="8" t="s">
        <v>9951</v>
      </c>
      <c r="D3196" s="8" t="s">
        <v>16</v>
      </c>
      <c r="E3196" s="8" t="s">
        <v>17</v>
      </c>
      <c r="F3196" s="9">
        <v>46063.0</v>
      </c>
      <c r="G3196" s="8" t="s">
        <v>3012</v>
      </c>
      <c r="H3196" s="8" t="s">
        <v>3013</v>
      </c>
      <c r="I3196" s="8" t="s">
        <v>9952</v>
      </c>
      <c r="J3196" s="8" t="s">
        <v>9953</v>
      </c>
    </row>
    <row r="3197">
      <c r="A3197" s="7">
        <v>2.0035784E7</v>
      </c>
      <c r="B3197" s="8" t="s">
        <v>333</v>
      </c>
      <c r="C3197" s="8" t="s">
        <v>9954</v>
      </c>
      <c r="D3197" s="8" t="s">
        <v>16</v>
      </c>
      <c r="E3197" s="8" t="s">
        <v>17</v>
      </c>
      <c r="F3197" s="9">
        <v>46089.0</v>
      </c>
      <c r="G3197" s="8" t="s">
        <v>528</v>
      </c>
      <c r="H3197" s="8" t="s">
        <v>529</v>
      </c>
      <c r="I3197" s="8" t="s">
        <v>9955</v>
      </c>
      <c r="J3197" s="8"/>
    </row>
    <row r="3198">
      <c r="A3198" s="7">
        <v>2.0035978E7</v>
      </c>
      <c r="B3198" s="8" t="s">
        <v>333</v>
      </c>
      <c r="C3198" s="8" t="s">
        <v>9956</v>
      </c>
      <c r="D3198" s="8" t="s">
        <v>16</v>
      </c>
      <c r="E3198" s="8" t="s">
        <v>17</v>
      </c>
      <c r="F3198" s="9">
        <v>46069.0</v>
      </c>
      <c r="G3198" s="8" t="s">
        <v>1813</v>
      </c>
      <c r="H3198" s="8" t="s">
        <v>1814</v>
      </c>
      <c r="I3198" s="8" t="s">
        <v>9957</v>
      </c>
      <c r="J3198" s="8"/>
    </row>
    <row r="3199">
      <c r="A3199" s="7">
        <v>2.0034023E7</v>
      </c>
      <c r="B3199" s="8" t="s">
        <v>333</v>
      </c>
      <c r="C3199" s="8" t="s">
        <v>9958</v>
      </c>
      <c r="D3199" s="8" t="s">
        <v>16</v>
      </c>
      <c r="E3199" s="8" t="s">
        <v>17</v>
      </c>
      <c r="F3199" s="9">
        <v>46061.0</v>
      </c>
      <c r="G3199" s="8" t="s">
        <v>717</v>
      </c>
      <c r="H3199" s="8" t="s">
        <v>718</v>
      </c>
      <c r="I3199" s="8" t="s">
        <v>9959</v>
      </c>
      <c r="J3199" s="8"/>
    </row>
    <row r="3200">
      <c r="A3200" s="7">
        <v>2.0034848E7</v>
      </c>
      <c r="B3200" s="8" t="s">
        <v>333</v>
      </c>
      <c r="C3200" s="8" t="s">
        <v>9960</v>
      </c>
      <c r="D3200" s="8" t="s">
        <v>16</v>
      </c>
      <c r="E3200" s="8" t="s">
        <v>17</v>
      </c>
      <c r="F3200" s="9">
        <v>46039.0</v>
      </c>
      <c r="G3200" s="8" t="s">
        <v>75</v>
      </c>
      <c r="H3200" s="8" t="s">
        <v>76</v>
      </c>
      <c r="I3200" s="8" t="s">
        <v>9961</v>
      </c>
      <c r="J3200" s="8" t="s">
        <v>9962</v>
      </c>
    </row>
    <row r="3201">
      <c r="A3201" s="7">
        <v>2.0034544E7</v>
      </c>
      <c r="B3201" s="8" t="s">
        <v>333</v>
      </c>
      <c r="C3201" s="8" t="s">
        <v>9963</v>
      </c>
      <c r="D3201" s="8" t="s">
        <v>16</v>
      </c>
      <c r="E3201" s="8" t="s">
        <v>17</v>
      </c>
      <c r="F3201" s="9">
        <v>46055.0</v>
      </c>
      <c r="G3201" s="8" t="s">
        <v>410</v>
      </c>
      <c r="H3201" s="8" t="s">
        <v>411</v>
      </c>
      <c r="I3201" s="8" t="s">
        <v>9964</v>
      </c>
      <c r="J3201" s="8"/>
    </row>
    <row r="3202">
      <c r="A3202" s="7">
        <v>2.0034085E7</v>
      </c>
      <c r="B3202" s="8" t="s">
        <v>333</v>
      </c>
      <c r="C3202" s="8" t="s">
        <v>9965</v>
      </c>
      <c r="D3202" s="8" t="s">
        <v>16</v>
      </c>
      <c r="E3202" s="8" t="s">
        <v>17</v>
      </c>
      <c r="F3202" s="9">
        <v>46054.0</v>
      </c>
      <c r="G3202" s="8" t="s">
        <v>436</v>
      </c>
      <c r="H3202" s="8" t="s">
        <v>437</v>
      </c>
      <c r="I3202" s="8" t="s">
        <v>9966</v>
      </c>
      <c r="J3202" s="8"/>
    </row>
    <row r="3203">
      <c r="A3203" s="7">
        <v>2.0067024E7</v>
      </c>
      <c r="B3203" s="8" t="s">
        <v>333</v>
      </c>
      <c r="C3203" s="8" t="s">
        <v>9967</v>
      </c>
      <c r="D3203" s="8" t="s">
        <v>16</v>
      </c>
      <c r="E3203" s="8" t="s">
        <v>17</v>
      </c>
      <c r="F3203" s="9">
        <v>46185.0</v>
      </c>
      <c r="G3203" s="8" t="s">
        <v>4496</v>
      </c>
      <c r="H3203" s="8" t="s">
        <v>4497</v>
      </c>
      <c r="I3203" s="8" t="s">
        <v>9968</v>
      </c>
      <c r="J3203" s="8" t="s">
        <v>9969</v>
      </c>
    </row>
    <row r="3204">
      <c r="A3204" s="7">
        <v>2.0063129E7</v>
      </c>
      <c r="B3204" s="8" t="s">
        <v>333</v>
      </c>
      <c r="C3204" s="8" t="s">
        <v>9970</v>
      </c>
      <c r="D3204" s="8" t="s">
        <v>16</v>
      </c>
      <c r="E3204" s="8" t="s">
        <v>17</v>
      </c>
      <c r="F3204" s="9">
        <v>46190.0</v>
      </c>
      <c r="G3204" s="8" t="s">
        <v>390</v>
      </c>
      <c r="H3204" s="8" t="s">
        <v>391</v>
      </c>
      <c r="I3204" s="8" t="s">
        <v>9971</v>
      </c>
      <c r="J3204" s="8"/>
    </row>
    <row r="3205">
      <c r="A3205" s="7">
        <v>2.0062039E7</v>
      </c>
      <c r="B3205" s="8" t="s">
        <v>333</v>
      </c>
      <c r="C3205" s="8" t="s">
        <v>9972</v>
      </c>
      <c r="D3205" s="8" t="s">
        <v>16</v>
      </c>
      <c r="E3205" s="8" t="s">
        <v>17</v>
      </c>
      <c r="F3205" s="9">
        <v>46158.0</v>
      </c>
      <c r="G3205" s="8" t="s">
        <v>34</v>
      </c>
      <c r="H3205" s="8" t="s">
        <v>35</v>
      </c>
      <c r="I3205" s="8" t="s">
        <v>9973</v>
      </c>
      <c r="J3205" s="8" t="s">
        <v>9974</v>
      </c>
    </row>
    <row r="3206">
      <c r="A3206" s="7">
        <v>2.0058723E7</v>
      </c>
      <c r="B3206" s="8" t="s">
        <v>333</v>
      </c>
      <c r="C3206" s="8" t="s">
        <v>9975</v>
      </c>
      <c r="D3206" s="8" t="s">
        <v>16</v>
      </c>
      <c r="E3206" s="8" t="s">
        <v>17</v>
      </c>
      <c r="F3206" s="9">
        <v>46153.0</v>
      </c>
      <c r="G3206" s="8" t="s">
        <v>908</v>
      </c>
      <c r="H3206" s="8" t="s">
        <v>909</v>
      </c>
      <c r="I3206" s="8" t="s">
        <v>9976</v>
      </c>
      <c r="J3206" s="8" t="s">
        <v>9977</v>
      </c>
    </row>
    <row r="3207">
      <c r="A3207" s="7">
        <v>2.0059177E7</v>
      </c>
      <c r="B3207" s="8" t="s">
        <v>333</v>
      </c>
      <c r="C3207" s="8" t="s">
        <v>9978</v>
      </c>
      <c r="D3207" s="8" t="s">
        <v>16</v>
      </c>
      <c r="E3207" s="8" t="s">
        <v>17</v>
      </c>
      <c r="F3207" s="9">
        <v>46146.0</v>
      </c>
      <c r="G3207" s="8" t="s">
        <v>3012</v>
      </c>
      <c r="H3207" s="8" t="s">
        <v>3013</v>
      </c>
      <c r="I3207" s="8" t="s">
        <v>9979</v>
      </c>
      <c r="J3207" s="8" t="s">
        <v>9980</v>
      </c>
    </row>
    <row r="3208">
      <c r="A3208" s="7">
        <v>2.005834E7</v>
      </c>
      <c r="B3208" s="8" t="s">
        <v>333</v>
      </c>
      <c r="C3208" s="8" t="s">
        <v>9981</v>
      </c>
      <c r="D3208" s="8" t="s">
        <v>16</v>
      </c>
      <c r="E3208" s="8" t="s">
        <v>17</v>
      </c>
      <c r="F3208" s="9">
        <v>46192.0</v>
      </c>
      <c r="G3208" s="8" t="s">
        <v>9982</v>
      </c>
      <c r="H3208" s="8" t="s">
        <v>9983</v>
      </c>
      <c r="I3208" s="8" t="s">
        <v>9984</v>
      </c>
      <c r="J3208" s="8"/>
    </row>
    <row r="3209">
      <c r="A3209" s="7">
        <v>2.0055177E7</v>
      </c>
      <c r="B3209" s="8" t="s">
        <v>333</v>
      </c>
      <c r="C3209" s="8" t="s">
        <v>9985</v>
      </c>
      <c r="D3209" s="8" t="s">
        <v>16</v>
      </c>
      <c r="E3209" s="8" t="s">
        <v>17</v>
      </c>
      <c r="F3209" s="9">
        <v>46130.0</v>
      </c>
      <c r="G3209" s="8" t="s">
        <v>868</v>
      </c>
      <c r="H3209" s="8" t="s">
        <v>869</v>
      </c>
      <c r="I3209" s="8" t="s">
        <v>9986</v>
      </c>
      <c r="J3209" s="8" t="s">
        <v>9987</v>
      </c>
    </row>
    <row r="3210">
      <c r="A3210" s="7">
        <v>2.0052974E7</v>
      </c>
      <c r="B3210" s="8" t="s">
        <v>333</v>
      </c>
      <c r="C3210" s="8" t="s">
        <v>9988</v>
      </c>
      <c r="D3210" s="8" t="s">
        <v>16</v>
      </c>
      <c r="E3210" s="8" t="s">
        <v>17</v>
      </c>
      <c r="F3210" s="9">
        <v>46123.0</v>
      </c>
      <c r="G3210" s="8" t="s">
        <v>630</v>
      </c>
      <c r="H3210" s="8" t="s">
        <v>631</v>
      </c>
      <c r="I3210" s="8" t="s">
        <v>9989</v>
      </c>
      <c r="J3210" s="8"/>
    </row>
    <row r="3211">
      <c r="A3211" s="7">
        <v>2.0052008E7</v>
      </c>
      <c r="B3211" s="8" t="s">
        <v>333</v>
      </c>
      <c r="C3211" s="8" t="s">
        <v>9990</v>
      </c>
      <c r="D3211" s="8" t="s">
        <v>16</v>
      </c>
      <c r="E3211" s="8" t="s">
        <v>17</v>
      </c>
      <c r="F3211" s="9">
        <v>46120.0</v>
      </c>
      <c r="G3211" s="8" t="s">
        <v>3812</v>
      </c>
      <c r="H3211" s="8" t="s">
        <v>3813</v>
      </c>
      <c r="I3211" s="8" t="s">
        <v>9991</v>
      </c>
      <c r="J3211" s="8" t="s">
        <v>9992</v>
      </c>
    </row>
    <row r="3212">
      <c r="A3212" s="7">
        <v>2.0049047E7</v>
      </c>
      <c r="B3212" s="8" t="s">
        <v>333</v>
      </c>
      <c r="C3212" s="8" t="s">
        <v>9993</v>
      </c>
      <c r="D3212" s="8" t="s">
        <v>16</v>
      </c>
      <c r="E3212" s="8" t="s">
        <v>17</v>
      </c>
      <c r="F3212" s="9">
        <v>46116.0</v>
      </c>
      <c r="G3212" s="8" t="s">
        <v>8642</v>
      </c>
      <c r="H3212" s="8" t="s">
        <v>8643</v>
      </c>
      <c r="I3212" s="8" t="s">
        <v>9994</v>
      </c>
      <c r="J3212" s="8" t="s">
        <v>9995</v>
      </c>
    </row>
    <row r="3213">
      <c r="A3213" s="7">
        <v>2.0049848E7</v>
      </c>
      <c r="B3213" s="8" t="s">
        <v>333</v>
      </c>
      <c r="C3213" s="8" t="s">
        <v>9996</v>
      </c>
      <c r="D3213" s="8" t="s">
        <v>16</v>
      </c>
      <c r="E3213" s="8" t="s">
        <v>17</v>
      </c>
      <c r="F3213" s="9">
        <v>46103.0</v>
      </c>
      <c r="G3213" s="8" t="s">
        <v>365</v>
      </c>
      <c r="H3213" s="8" t="s">
        <v>366</v>
      </c>
      <c r="I3213" s="8" t="s">
        <v>9997</v>
      </c>
      <c r="J3213" s="8" t="s">
        <v>9998</v>
      </c>
    </row>
    <row r="3214">
      <c r="A3214" s="7">
        <v>2.0043394E7</v>
      </c>
      <c r="B3214" s="8" t="s">
        <v>333</v>
      </c>
      <c r="C3214" s="8" t="s">
        <v>9999</v>
      </c>
      <c r="D3214" s="8" t="s">
        <v>16</v>
      </c>
      <c r="E3214" s="8" t="s">
        <v>17</v>
      </c>
      <c r="F3214" s="9">
        <v>46107.0</v>
      </c>
      <c r="G3214" s="8" t="s">
        <v>1085</v>
      </c>
      <c r="H3214" s="8" t="s">
        <v>1086</v>
      </c>
      <c r="I3214" s="8" t="s">
        <v>10000</v>
      </c>
      <c r="J3214" s="8"/>
    </row>
    <row r="3215">
      <c r="A3215" s="7">
        <v>2.0043394E7</v>
      </c>
      <c r="B3215" s="8" t="s">
        <v>333</v>
      </c>
      <c r="C3215" s="8" t="s">
        <v>9999</v>
      </c>
      <c r="D3215" s="8" t="s">
        <v>16</v>
      </c>
      <c r="E3215" s="8" t="s">
        <v>17</v>
      </c>
      <c r="F3215" s="9">
        <v>46107.0</v>
      </c>
      <c r="G3215" s="8" t="s">
        <v>34</v>
      </c>
      <c r="H3215" s="8" t="s">
        <v>35</v>
      </c>
      <c r="I3215" s="8" t="s">
        <v>10001</v>
      </c>
      <c r="J3215" s="8" t="s">
        <v>10002</v>
      </c>
    </row>
    <row r="3216">
      <c r="A3216" s="7">
        <v>2.0044432E7</v>
      </c>
      <c r="B3216" s="8" t="s">
        <v>333</v>
      </c>
      <c r="C3216" s="8" t="s">
        <v>10003</v>
      </c>
      <c r="D3216" s="8" t="s">
        <v>16</v>
      </c>
      <c r="E3216" s="8" t="s">
        <v>17</v>
      </c>
      <c r="F3216" s="9">
        <v>46103.0</v>
      </c>
      <c r="G3216" s="8" t="s">
        <v>9596</v>
      </c>
      <c r="H3216" s="8" t="s">
        <v>9597</v>
      </c>
      <c r="I3216" s="8" t="s">
        <v>10004</v>
      </c>
      <c r="J3216" s="8"/>
    </row>
    <row r="3217">
      <c r="A3217" s="7">
        <v>2.0017517E7</v>
      </c>
      <c r="B3217" s="8" t="s">
        <v>333</v>
      </c>
      <c r="C3217" s="8" t="s">
        <v>10005</v>
      </c>
      <c r="D3217" s="8" t="s">
        <v>16</v>
      </c>
      <c r="E3217" s="8" t="s">
        <v>17</v>
      </c>
      <c r="F3217" s="9">
        <v>46067.0</v>
      </c>
      <c r="G3217" s="8" t="s">
        <v>10006</v>
      </c>
      <c r="H3217" s="8" t="s">
        <v>10007</v>
      </c>
      <c r="I3217" s="8" t="s">
        <v>10008</v>
      </c>
      <c r="J3217" s="8" t="s">
        <v>10009</v>
      </c>
    </row>
    <row r="3218">
      <c r="A3218" s="7">
        <v>2.0058147E7</v>
      </c>
      <c r="B3218" s="8" t="s">
        <v>333</v>
      </c>
      <c r="C3218" s="8" t="s">
        <v>10010</v>
      </c>
      <c r="D3218" s="8" t="s">
        <v>16</v>
      </c>
      <c r="E3218" s="8" t="s">
        <v>17</v>
      </c>
      <c r="F3218" s="9">
        <v>46187.0</v>
      </c>
      <c r="G3218" s="8" t="s">
        <v>543</v>
      </c>
      <c r="H3218" s="8" t="s">
        <v>544</v>
      </c>
      <c r="I3218" s="8" t="s">
        <v>10011</v>
      </c>
      <c r="J3218" s="8"/>
    </row>
    <row r="3219">
      <c r="A3219" s="7">
        <v>2.0056229E7</v>
      </c>
      <c r="B3219" s="8" t="s">
        <v>333</v>
      </c>
      <c r="C3219" s="8" t="s">
        <v>10012</v>
      </c>
      <c r="D3219" s="8" t="s">
        <v>16</v>
      </c>
      <c r="E3219" s="8" t="s">
        <v>17</v>
      </c>
      <c r="F3219" s="9">
        <v>46156.0</v>
      </c>
      <c r="G3219" s="8" t="s">
        <v>913</v>
      </c>
      <c r="H3219" s="8" t="s">
        <v>914</v>
      </c>
      <c r="I3219" s="8" t="s">
        <v>10013</v>
      </c>
      <c r="J3219" s="8"/>
    </row>
    <row r="3220">
      <c r="A3220" s="7">
        <v>2.0055574E7</v>
      </c>
      <c r="B3220" s="8" t="s">
        <v>333</v>
      </c>
      <c r="C3220" s="8" t="s">
        <v>10014</v>
      </c>
      <c r="D3220" s="8" t="s">
        <v>16</v>
      </c>
      <c r="E3220" s="8" t="s">
        <v>17</v>
      </c>
      <c r="F3220" s="9">
        <v>46146.0</v>
      </c>
      <c r="G3220" s="8" t="s">
        <v>626</v>
      </c>
      <c r="H3220" s="8" t="s">
        <v>627</v>
      </c>
      <c r="I3220" s="8" t="s">
        <v>10015</v>
      </c>
      <c r="J3220" s="8"/>
    </row>
    <row r="3221">
      <c r="A3221" s="7">
        <v>2.0049176E7</v>
      </c>
      <c r="B3221" s="8" t="s">
        <v>333</v>
      </c>
      <c r="C3221" s="8" t="s">
        <v>10016</v>
      </c>
      <c r="D3221" s="8" t="s">
        <v>16</v>
      </c>
      <c r="E3221" s="8" t="s">
        <v>17</v>
      </c>
      <c r="F3221" s="9">
        <v>46120.0</v>
      </c>
      <c r="G3221" s="8" t="s">
        <v>436</v>
      </c>
      <c r="H3221" s="8" t="s">
        <v>437</v>
      </c>
      <c r="I3221" s="8" t="s">
        <v>10017</v>
      </c>
      <c r="J3221" s="8"/>
    </row>
    <row r="3222">
      <c r="A3222" s="7">
        <v>2.0046533E7</v>
      </c>
      <c r="B3222" s="8" t="s">
        <v>333</v>
      </c>
      <c r="C3222" s="8" t="s">
        <v>10018</v>
      </c>
      <c r="D3222" s="8" t="s">
        <v>16</v>
      </c>
      <c r="E3222" s="8" t="s">
        <v>17</v>
      </c>
      <c r="F3222" s="9">
        <v>46117.0</v>
      </c>
      <c r="G3222" s="8" t="s">
        <v>613</v>
      </c>
      <c r="H3222" s="8" t="s">
        <v>614</v>
      </c>
      <c r="I3222" s="8" t="s">
        <v>10019</v>
      </c>
      <c r="J3222" s="8" t="s">
        <v>10020</v>
      </c>
    </row>
    <row r="3223">
      <c r="A3223" s="7">
        <v>2.0046533E7</v>
      </c>
      <c r="B3223" s="8" t="s">
        <v>333</v>
      </c>
      <c r="C3223" s="8" t="s">
        <v>10018</v>
      </c>
      <c r="D3223" s="8" t="s">
        <v>16</v>
      </c>
      <c r="E3223" s="8" t="s">
        <v>17</v>
      </c>
      <c r="F3223" s="9">
        <v>46117.0</v>
      </c>
      <c r="G3223" s="8" t="s">
        <v>54</v>
      </c>
      <c r="H3223" s="8" t="s">
        <v>55</v>
      </c>
      <c r="I3223" s="8" t="s">
        <v>10021</v>
      </c>
      <c r="J3223" s="8" t="s">
        <v>10022</v>
      </c>
    </row>
    <row r="3224">
      <c r="A3224" s="7">
        <v>2.0046361E7</v>
      </c>
      <c r="B3224" s="8" t="s">
        <v>333</v>
      </c>
      <c r="C3224" s="8" t="s">
        <v>10023</v>
      </c>
      <c r="D3224" s="8" t="s">
        <v>16</v>
      </c>
      <c r="E3224" s="8" t="s">
        <v>17</v>
      </c>
      <c r="F3224" s="9">
        <v>46094.0</v>
      </c>
      <c r="G3224" s="8" t="s">
        <v>423</v>
      </c>
      <c r="H3224" s="8" t="s">
        <v>424</v>
      </c>
      <c r="I3224" s="8" t="s">
        <v>10024</v>
      </c>
      <c r="J3224" s="8" t="s">
        <v>10025</v>
      </c>
    </row>
    <row r="3225">
      <c r="A3225" s="7">
        <v>2.0043809E7</v>
      </c>
      <c r="B3225" s="8" t="s">
        <v>333</v>
      </c>
      <c r="C3225" s="8" t="s">
        <v>10026</v>
      </c>
      <c r="D3225" s="8" t="s">
        <v>16</v>
      </c>
      <c r="E3225" s="8" t="s">
        <v>17</v>
      </c>
      <c r="F3225" s="9">
        <v>46082.0</v>
      </c>
      <c r="G3225" s="8" t="s">
        <v>277</v>
      </c>
      <c r="H3225" s="8" t="s">
        <v>278</v>
      </c>
      <c r="I3225" s="8" t="s">
        <v>10027</v>
      </c>
      <c r="J3225" s="8" t="s">
        <v>10028</v>
      </c>
    </row>
    <row r="3226">
      <c r="A3226" s="7">
        <v>2.0038801E7</v>
      </c>
      <c r="B3226" s="8" t="s">
        <v>333</v>
      </c>
      <c r="C3226" s="8" t="s">
        <v>10029</v>
      </c>
      <c r="D3226" s="8" t="s">
        <v>16</v>
      </c>
      <c r="E3226" s="8" t="s">
        <v>17</v>
      </c>
      <c r="F3226" s="9">
        <v>46076.0</v>
      </c>
      <c r="G3226" s="8" t="s">
        <v>543</v>
      </c>
      <c r="H3226" s="8" t="s">
        <v>544</v>
      </c>
      <c r="I3226" s="8" t="s">
        <v>10030</v>
      </c>
      <c r="J3226" s="8"/>
    </row>
    <row r="3227">
      <c r="A3227" s="7">
        <v>2.0037645E7</v>
      </c>
      <c r="B3227" s="8" t="s">
        <v>333</v>
      </c>
      <c r="C3227" s="8" t="s">
        <v>10031</v>
      </c>
      <c r="D3227" s="8" t="s">
        <v>16</v>
      </c>
      <c r="E3227" s="8" t="s">
        <v>17</v>
      </c>
      <c r="F3227" s="9">
        <v>46073.0</v>
      </c>
      <c r="G3227" s="8" t="s">
        <v>1085</v>
      </c>
      <c r="H3227" s="8" t="s">
        <v>1086</v>
      </c>
      <c r="I3227" s="8" t="s">
        <v>10032</v>
      </c>
      <c r="J3227" s="8"/>
    </row>
    <row r="3228">
      <c r="A3228" s="7">
        <v>2.0072296E7</v>
      </c>
      <c r="B3228" s="8" t="s">
        <v>333</v>
      </c>
      <c r="C3228" s="8" t="s">
        <v>10033</v>
      </c>
      <c r="D3228" s="8" t="s">
        <v>2136</v>
      </c>
      <c r="E3228" s="8" t="s">
        <v>17</v>
      </c>
      <c r="F3228" s="9">
        <v>46192.0</v>
      </c>
      <c r="G3228" s="8" t="s">
        <v>339</v>
      </c>
      <c r="H3228" s="8" t="s">
        <v>340</v>
      </c>
      <c r="I3228" s="8" t="s">
        <v>10034</v>
      </c>
      <c r="J3228" s="8" t="s">
        <v>10035</v>
      </c>
    </row>
    <row r="3229">
      <c r="A3229" s="7">
        <v>2.0060468E7</v>
      </c>
      <c r="B3229" s="8" t="s">
        <v>333</v>
      </c>
      <c r="C3229" s="8" t="s">
        <v>10036</v>
      </c>
      <c r="D3229" s="8" t="s">
        <v>16</v>
      </c>
      <c r="E3229" s="8" t="s">
        <v>17</v>
      </c>
      <c r="F3229" s="9">
        <v>46166.0</v>
      </c>
      <c r="G3229" s="8" t="s">
        <v>423</v>
      </c>
      <c r="H3229" s="8" t="s">
        <v>6351</v>
      </c>
      <c r="I3229" s="8" t="s">
        <v>10037</v>
      </c>
      <c r="J3229" s="8" t="s">
        <v>10038</v>
      </c>
    </row>
    <row r="3230">
      <c r="A3230" s="7">
        <v>2.0051134E7</v>
      </c>
      <c r="B3230" s="8" t="s">
        <v>333</v>
      </c>
      <c r="C3230" s="8" t="s">
        <v>10039</v>
      </c>
      <c r="D3230" s="8" t="s">
        <v>16</v>
      </c>
      <c r="E3230" s="8" t="s">
        <v>17</v>
      </c>
      <c r="F3230" s="9">
        <v>46126.0</v>
      </c>
      <c r="G3230" s="8" t="s">
        <v>1085</v>
      </c>
      <c r="H3230" s="8" t="s">
        <v>1086</v>
      </c>
      <c r="I3230" s="8" t="s">
        <v>10040</v>
      </c>
      <c r="J3230" s="8"/>
    </row>
    <row r="3231">
      <c r="A3231" s="7">
        <v>2.0051134E7</v>
      </c>
      <c r="B3231" s="8" t="s">
        <v>333</v>
      </c>
      <c r="C3231" s="8" t="s">
        <v>10041</v>
      </c>
      <c r="D3231" s="8" t="s">
        <v>16</v>
      </c>
      <c r="E3231" s="8" t="s">
        <v>17</v>
      </c>
      <c r="F3231" s="9">
        <v>46191.0</v>
      </c>
      <c r="G3231" s="8" t="s">
        <v>467</v>
      </c>
      <c r="H3231" s="8" t="s">
        <v>468</v>
      </c>
      <c r="I3231" s="8" t="s">
        <v>10042</v>
      </c>
      <c r="J3231" s="8"/>
    </row>
    <row r="3232">
      <c r="A3232" s="7">
        <v>2.004632E7</v>
      </c>
      <c r="B3232" s="8" t="s">
        <v>333</v>
      </c>
      <c r="C3232" s="8" t="s">
        <v>10043</v>
      </c>
      <c r="D3232" s="8" t="s">
        <v>16</v>
      </c>
      <c r="E3232" s="8" t="s">
        <v>17</v>
      </c>
      <c r="F3232" s="9">
        <v>46110.0</v>
      </c>
      <c r="G3232" s="8" t="s">
        <v>486</v>
      </c>
      <c r="H3232" s="8" t="s">
        <v>487</v>
      </c>
      <c r="I3232" s="8" t="s">
        <v>10044</v>
      </c>
      <c r="J3232" s="8"/>
    </row>
    <row r="3233">
      <c r="A3233" s="7">
        <v>2.0037981E7</v>
      </c>
      <c r="B3233" s="8" t="s">
        <v>333</v>
      </c>
      <c r="C3233" s="8" t="s">
        <v>10045</v>
      </c>
      <c r="D3233" s="8" t="s">
        <v>16</v>
      </c>
      <c r="E3233" s="8" t="s">
        <v>17</v>
      </c>
      <c r="F3233" s="9">
        <v>46051.0</v>
      </c>
      <c r="G3233" s="8" t="s">
        <v>365</v>
      </c>
      <c r="H3233" s="8" t="s">
        <v>366</v>
      </c>
      <c r="I3233" s="8" t="s">
        <v>10046</v>
      </c>
      <c r="J3233" s="8" t="s">
        <v>10047</v>
      </c>
    </row>
    <row r="3234">
      <c r="A3234" s="7">
        <v>2.003708E7</v>
      </c>
      <c r="B3234" s="8" t="s">
        <v>333</v>
      </c>
      <c r="C3234" s="8" t="s">
        <v>10048</v>
      </c>
      <c r="D3234" s="8" t="s">
        <v>16</v>
      </c>
      <c r="E3234" s="8" t="s">
        <v>17</v>
      </c>
      <c r="F3234" s="9">
        <v>46060.0</v>
      </c>
      <c r="G3234" s="8" t="s">
        <v>3012</v>
      </c>
      <c r="H3234" s="8" t="s">
        <v>3013</v>
      </c>
      <c r="I3234" s="8" t="s">
        <v>10049</v>
      </c>
      <c r="J3234" s="8" t="s">
        <v>10050</v>
      </c>
    </row>
    <row r="3235">
      <c r="A3235" s="7">
        <v>2.0066327E7</v>
      </c>
      <c r="B3235" s="8" t="s">
        <v>333</v>
      </c>
      <c r="C3235" s="8" t="s">
        <v>10051</v>
      </c>
      <c r="D3235" s="8" t="s">
        <v>16</v>
      </c>
      <c r="E3235" s="8" t="s">
        <v>17</v>
      </c>
      <c r="F3235" s="9">
        <v>46179.0</v>
      </c>
      <c r="G3235" s="8" t="s">
        <v>385</v>
      </c>
      <c r="H3235" s="8" t="s">
        <v>386</v>
      </c>
      <c r="I3235" s="8" t="s">
        <v>10052</v>
      </c>
      <c r="J3235" s="8" t="s">
        <v>10053</v>
      </c>
    </row>
    <row r="3236">
      <c r="A3236" s="7">
        <v>2.0052747E7</v>
      </c>
      <c r="B3236" s="8" t="s">
        <v>333</v>
      </c>
      <c r="C3236" s="8" t="s">
        <v>10054</v>
      </c>
      <c r="D3236" s="8" t="s">
        <v>16</v>
      </c>
      <c r="E3236" s="8" t="s">
        <v>17</v>
      </c>
      <c r="F3236" s="9">
        <v>46131.0</v>
      </c>
      <c r="G3236" s="8" t="s">
        <v>10055</v>
      </c>
      <c r="H3236" s="8" t="s">
        <v>10056</v>
      </c>
      <c r="I3236" s="8" t="s">
        <v>10057</v>
      </c>
      <c r="J3236" s="8"/>
    </row>
    <row r="3237">
      <c r="A3237" s="7">
        <v>2.0052599E7</v>
      </c>
      <c r="B3237" s="8" t="s">
        <v>333</v>
      </c>
      <c r="C3237" s="8" t="s">
        <v>10058</v>
      </c>
      <c r="D3237" s="8" t="s">
        <v>16</v>
      </c>
      <c r="E3237" s="8" t="s">
        <v>17</v>
      </c>
      <c r="F3237" s="9">
        <v>46130.0</v>
      </c>
      <c r="G3237" s="8" t="s">
        <v>390</v>
      </c>
      <c r="H3237" s="8" t="s">
        <v>391</v>
      </c>
      <c r="I3237" s="8" t="s">
        <v>10059</v>
      </c>
      <c r="J3237" s="8"/>
    </row>
    <row r="3238">
      <c r="A3238" s="7">
        <v>2.0047627E7</v>
      </c>
      <c r="B3238" s="8" t="s">
        <v>333</v>
      </c>
      <c r="C3238" s="8" t="s">
        <v>10060</v>
      </c>
      <c r="D3238" s="8" t="s">
        <v>16</v>
      </c>
      <c r="E3238" s="8" t="s">
        <v>17</v>
      </c>
      <c r="F3238" s="9">
        <v>46096.0</v>
      </c>
      <c r="G3238" s="8" t="s">
        <v>882</v>
      </c>
      <c r="H3238" s="8" t="s">
        <v>883</v>
      </c>
      <c r="I3238" s="8" t="s">
        <v>10061</v>
      </c>
      <c r="J3238" s="8" t="s">
        <v>10062</v>
      </c>
    </row>
    <row r="3239">
      <c r="A3239" s="7">
        <v>2.0047039E7</v>
      </c>
      <c r="B3239" s="8" t="s">
        <v>333</v>
      </c>
      <c r="C3239" s="8" t="s">
        <v>10063</v>
      </c>
      <c r="D3239" s="8" t="s">
        <v>16</v>
      </c>
      <c r="E3239" s="8" t="s">
        <v>17</v>
      </c>
      <c r="F3239" s="9">
        <v>46096.0</v>
      </c>
      <c r="G3239" s="8" t="s">
        <v>1746</v>
      </c>
      <c r="H3239" s="8" t="s">
        <v>4130</v>
      </c>
      <c r="I3239" s="8" t="s">
        <v>10064</v>
      </c>
      <c r="J3239" s="8" t="s">
        <v>10065</v>
      </c>
    </row>
    <row r="3240">
      <c r="A3240" s="7">
        <v>2.0044298E7</v>
      </c>
      <c r="B3240" s="8" t="s">
        <v>333</v>
      </c>
      <c r="C3240" s="8" t="s">
        <v>10066</v>
      </c>
      <c r="D3240" s="8" t="s">
        <v>16</v>
      </c>
      <c r="E3240" s="8" t="s">
        <v>17</v>
      </c>
      <c r="F3240" s="9">
        <v>46100.0</v>
      </c>
      <c r="G3240" s="8" t="s">
        <v>34</v>
      </c>
      <c r="H3240" s="8" t="s">
        <v>35</v>
      </c>
      <c r="I3240" s="8" t="s">
        <v>10067</v>
      </c>
      <c r="J3240" s="8" t="s">
        <v>10068</v>
      </c>
    </row>
    <row r="3241">
      <c r="A3241" s="7">
        <v>2.0044298E7</v>
      </c>
      <c r="B3241" s="8" t="s">
        <v>333</v>
      </c>
      <c r="C3241" s="8" t="s">
        <v>10066</v>
      </c>
      <c r="D3241" s="8" t="s">
        <v>16</v>
      </c>
      <c r="E3241" s="8" t="s">
        <v>17</v>
      </c>
      <c r="F3241" s="9">
        <v>46100.0</v>
      </c>
      <c r="G3241" s="8" t="s">
        <v>34</v>
      </c>
      <c r="H3241" s="8" t="s">
        <v>35</v>
      </c>
      <c r="I3241" s="8" t="s">
        <v>10069</v>
      </c>
      <c r="J3241" s="8" t="s">
        <v>10068</v>
      </c>
    </row>
    <row r="3242">
      <c r="A3242" s="7">
        <v>2.0044298E7</v>
      </c>
      <c r="B3242" s="8" t="s">
        <v>333</v>
      </c>
      <c r="C3242" s="8" t="s">
        <v>10070</v>
      </c>
      <c r="D3242" s="8" t="s">
        <v>16</v>
      </c>
      <c r="E3242" s="8" t="s">
        <v>17</v>
      </c>
      <c r="F3242" s="9">
        <v>46127.0</v>
      </c>
      <c r="G3242" s="8" t="s">
        <v>607</v>
      </c>
      <c r="H3242" s="8" t="s">
        <v>608</v>
      </c>
      <c r="I3242" s="8" t="s">
        <v>10071</v>
      </c>
      <c r="J3242" s="8"/>
    </row>
    <row r="3243">
      <c r="A3243" s="7">
        <v>2.0045573E7</v>
      </c>
      <c r="B3243" s="8" t="s">
        <v>333</v>
      </c>
      <c r="C3243" s="8" t="s">
        <v>10072</v>
      </c>
      <c r="D3243" s="8" t="s">
        <v>16</v>
      </c>
      <c r="E3243" s="8" t="s">
        <v>17</v>
      </c>
      <c r="F3243" s="9">
        <v>46104.0</v>
      </c>
      <c r="G3243" s="8" t="s">
        <v>10073</v>
      </c>
      <c r="H3243" s="8" t="s">
        <v>10074</v>
      </c>
      <c r="I3243" s="8" t="s">
        <v>10075</v>
      </c>
      <c r="J3243" s="8" t="s">
        <v>10076</v>
      </c>
    </row>
    <row r="3244">
      <c r="A3244" s="7">
        <v>2.0042939E7</v>
      </c>
      <c r="B3244" s="8" t="s">
        <v>333</v>
      </c>
      <c r="C3244" s="8" t="s">
        <v>10077</v>
      </c>
      <c r="D3244" s="8" t="s">
        <v>16</v>
      </c>
      <c r="E3244" s="8" t="s">
        <v>17</v>
      </c>
      <c r="F3244" s="9">
        <v>46099.0</v>
      </c>
      <c r="G3244" s="8" t="s">
        <v>543</v>
      </c>
      <c r="H3244" s="8" t="s">
        <v>544</v>
      </c>
      <c r="I3244" s="8" t="s">
        <v>10078</v>
      </c>
      <c r="J3244" s="8"/>
    </row>
    <row r="3245">
      <c r="A3245" s="7">
        <v>2.0043097E7</v>
      </c>
      <c r="B3245" s="8" t="s">
        <v>333</v>
      </c>
      <c r="C3245" s="8" t="s">
        <v>10079</v>
      </c>
      <c r="D3245" s="8" t="s">
        <v>16</v>
      </c>
      <c r="E3245" s="8" t="s">
        <v>17</v>
      </c>
      <c r="F3245" s="9">
        <v>46085.0</v>
      </c>
      <c r="G3245" s="8" t="s">
        <v>517</v>
      </c>
      <c r="H3245" s="8" t="s">
        <v>518</v>
      </c>
      <c r="I3245" s="8" t="s">
        <v>10080</v>
      </c>
      <c r="J3245" s="8" t="s">
        <v>10081</v>
      </c>
    </row>
    <row r="3246">
      <c r="A3246" s="7">
        <v>2.0043097E7</v>
      </c>
      <c r="B3246" s="8" t="s">
        <v>333</v>
      </c>
      <c r="C3246" s="8" t="s">
        <v>10079</v>
      </c>
      <c r="D3246" s="8" t="s">
        <v>16</v>
      </c>
      <c r="E3246" s="8" t="s">
        <v>17</v>
      </c>
      <c r="F3246" s="9">
        <v>46085.0</v>
      </c>
      <c r="G3246" s="8" t="s">
        <v>517</v>
      </c>
      <c r="H3246" s="8" t="s">
        <v>518</v>
      </c>
      <c r="I3246" s="8" t="s">
        <v>10082</v>
      </c>
      <c r="J3246" s="8" t="s">
        <v>10081</v>
      </c>
    </row>
    <row r="3247">
      <c r="A3247" s="7">
        <v>2.0043097E7</v>
      </c>
      <c r="B3247" s="8" t="s">
        <v>333</v>
      </c>
      <c r="C3247" s="8" t="s">
        <v>10083</v>
      </c>
      <c r="D3247" s="8" t="s">
        <v>16</v>
      </c>
      <c r="E3247" s="8" t="s">
        <v>17</v>
      </c>
      <c r="F3247" s="9">
        <v>46107.0</v>
      </c>
      <c r="G3247" s="8" t="s">
        <v>1057</v>
      </c>
      <c r="H3247" s="8" t="s">
        <v>1058</v>
      </c>
      <c r="I3247" s="8" t="s">
        <v>10084</v>
      </c>
      <c r="J3247" s="8"/>
    </row>
    <row r="3248">
      <c r="A3248" s="7">
        <v>2.0041555E7</v>
      </c>
      <c r="B3248" s="8" t="s">
        <v>333</v>
      </c>
      <c r="C3248" s="8" t="s">
        <v>10085</v>
      </c>
      <c r="D3248" s="8" t="s">
        <v>16</v>
      </c>
      <c r="E3248" s="8" t="s">
        <v>17</v>
      </c>
      <c r="F3248" s="9">
        <v>46093.0</v>
      </c>
      <c r="G3248" s="8" t="s">
        <v>1754</v>
      </c>
      <c r="H3248" s="8" t="s">
        <v>1755</v>
      </c>
      <c r="I3248" s="8" t="s">
        <v>10086</v>
      </c>
      <c r="J3248" s="8"/>
    </row>
    <row r="3249">
      <c r="A3249" s="7">
        <v>2.0039028E7</v>
      </c>
      <c r="B3249" s="8" t="s">
        <v>333</v>
      </c>
      <c r="C3249" s="8" t="s">
        <v>10087</v>
      </c>
      <c r="D3249" s="8" t="s">
        <v>16</v>
      </c>
      <c r="E3249" s="8" t="s">
        <v>17</v>
      </c>
      <c r="F3249" s="9">
        <v>46071.0</v>
      </c>
      <c r="G3249" s="8" t="s">
        <v>220</v>
      </c>
      <c r="H3249" s="8" t="s">
        <v>221</v>
      </c>
      <c r="I3249" s="8" t="s">
        <v>10088</v>
      </c>
      <c r="J3249" s="8" t="s">
        <v>10089</v>
      </c>
    </row>
    <row r="3250">
      <c r="A3250" s="7">
        <v>2.003569E7</v>
      </c>
      <c r="B3250" s="8" t="s">
        <v>333</v>
      </c>
      <c r="C3250" s="8" t="s">
        <v>10090</v>
      </c>
      <c r="D3250" s="8" t="s">
        <v>16</v>
      </c>
      <c r="E3250" s="8" t="s">
        <v>17</v>
      </c>
      <c r="F3250" s="9">
        <v>46073.0</v>
      </c>
      <c r="G3250" s="8" t="s">
        <v>10091</v>
      </c>
      <c r="H3250" s="8" t="s">
        <v>10092</v>
      </c>
      <c r="I3250" s="8" t="s">
        <v>10093</v>
      </c>
      <c r="J3250" s="8"/>
    </row>
    <row r="3251">
      <c r="A3251" s="7">
        <v>2.0034316E7</v>
      </c>
      <c r="B3251" s="8" t="s">
        <v>333</v>
      </c>
      <c r="C3251" s="8" t="s">
        <v>10094</v>
      </c>
      <c r="D3251" s="8" t="s">
        <v>16</v>
      </c>
      <c r="E3251" s="8" t="s">
        <v>17</v>
      </c>
      <c r="F3251" s="9">
        <v>46048.0</v>
      </c>
      <c r="G3251" s="8" t="s">
        <v>220</v>
      </c>
      <c r="H3251" s="8" t="s">
        <v>221</v>
      </c>
      <c r="I3251" s="8" t="s">
        <v>10095</v>
      </c>
      <c r="J3251" s="8" t="s">
        <v>10096</v>
      </c>
    </row>
    <row r="3252">
      <c r="A3252" s="7">
        <v>2.0033221E7</v>
      </c>
      <c r="B3252" s="8" t="s">
        <v>333</v>
      </c>
      <c r="C3252" s="8" t="s">
        <v>10097</v>
      </c>
      <c r="D3252" s="8" t="s">
        <v>16</v>
      </c>
      <c r="E3252" s="8" t="s">
        <v>17</v>
      </c>
      <c r="F3252" s="9">
        <v>46055.0</v>
      </c>
      <c r="G3252" s="8" t="s">
        <v>543</v>
      </c>
      <c r="H3252" s="8" t="s">
        <v>544</v>
      </c>
      <c r="I3252" s="8" t="s">
        <v>10098</v>
      </c>
      <c r="J3252" s="8"/>
    </row>
    <row r="3253">
      <c r="A3253" s="7">
        <v>2.0070243E7</v>
      </c>
      <c r="B3253" s="8" t="s">
        <v>333</v>
      </c>
      <c r="C3253" s="8" t="s">
        <v>10099</v>
      </c>
      <c r="D3253" s="8" t="s">
        <v>2136</v>
      </c>
      <c r="E3253" s="8" t="s">
        <v>17</v>
      </c>
      <c r="F3253" s="9">
        <v>46186.0</v>
      </c>
      <c r="G3253" s="8" t="s">
        <v>109</v>
      </c>
      <c r="H3253" s="8" t="s">
        <v>110</v>
      </c>
      <c r="I3253" s="8" t="s">
        <v>10100</v>
      </c>
      <c r="J3253" s="8" t="s">
        <v>10101</v>
      </c>
    </row>
    <row r="3254">
      <c r="A3254" s="7">
        <v>2.0061771E7</v>
      </c>
      <c r="B3254" s="8" t="s">
        <v>333</v>
      </c>
      <c r="C3254" s="8" t="s">
        <v>10102</v>
      </c>
      <c r="D3254" s="8" t="s">
        <v>16</v>
      </c>
      <c r="E3254" s="8" t="s">
        <v>17</v>
      </c>
      <c r="F3254" s="9">
        <v>46180.0</v>
      </c>
      <c r="G3254" s="8" t="s">
        <v>436</v>
      </c>
      <c r="H3254" s="8" t="s">
        <v>437</v>
      </c>
      <c r="I3254" s="8" t="s">
        <v>10103</v>
      </c>
      <c r="J3254" s="8"/>
    </row>
    <row r="3255">
      <c r="A3255" s="7">
        <v>2.0060517E7</v>
      </c>
      <c r="B3255" s="8" t="s">
        <v>333</v>
      </c>
      <c r="C3255" s="8" t="s">
        <v>10104</v>
      </c>
      <c r="D3255" s="8" t="s">
        <v>16</v>
      </c>
      <c r="E3255" s="8" t="s">
        <v>17</v>
      </c>
      <c r="F3255" s="9">
        <v>46187.0</v>
      </c>
      <c r="G3255" s="8" t="s">
        <v>1049</v>
      </c>
      <c r="H3255" s="8" t="s">
        <v>1050</v>
      </c>
      <c r="I3255" s="8" t="s">
        <v>10105</v>
      </c>
      <c r="J3255" s="8"/>
    </row>
    <row r="3256">
      <c r="A3256" s="7">
        <v>2.005828E7</v>
      </c>
      <c r="B3256" s="8" t="s">
        <v>333</v>
      </c>
      <c r="C3256" s="8" t="s">
        <v>10106</v>
      </c>
      <c r="D3256" s="8" t="s">
        <v>16</v>
      </c>
      <c r="E3256" s="8" t="s">
        <v>17</v>
      </c>
      <c r="F3256" s="9">
        <v>46185.0</v>
      </c>
      <c r="G3256" s="8" t="s">
        <v>390</v>
      </c>
      <c r="H3256" s="8" t="s">
        <v>391</v>
      </c>
      <c r="I3256" s="8" t="s">
        <v>10107</v>
      </c>
      <c r="J3256" s="8"/>
    </row>
    <row r="3257">
      <c r="A3257" s="7">
        <v>2.00587E7</v>
      </c>
      <c r="B3257" s="8" t="s">
        <v>333</v>
      </c>
      <c r="C3257" s="8" t="s">
        <v>10108</v>
      </c>
      <c r="D3257" s="8" t="s">
        <v>16</v>
      </c>
      <c r="E3257" s="8" t="s">
        <v>17</v>
      </c>
      <c r="F3257" s="9">
        <v>46187.0</v>
      </c>
      <c r="G3257" s="8" t="s">
        <v>410</v>
      </c>
      <c r="H3257" s="8" t="s">
        <v>411</v>
      </c>
      <c r="I3257" s="8" t="s">
        <v>10109</v>
      </c>
      <c r="J3257" s="8"/>
    </row>
    <row r="3258">
      <c r="A3258" s="7">
        <v>2.0057038E7</v>
      </c>
      <c r="B3258" s="8" t="s">
        <v>333</v>
      </c>
      <c r="C3258" s="8" t="s">
        <v>10110</v>
      </c>
      <c r="D3258" s="8" t="s">
        <v>16</v>
      </c>
      <c r="E3258" s="8" t="s">
        <v>17</v>
      </c>
      <c r="F3258" s="9">
        <v>46156.0</v>
      </c>
      <c r="G3258" s="8" t="s">
        <v>4523</v>
      </c>
      <c r="H3258" s="8" t="s">
        <v>4524</v>
      </c>
      <c r="I3258" s="8" t="s">
        <v>10111</v>
      </c>
      <c r="J3258" s="8"/>
    </row>
    <row r="3259">
      <c r="A3259" s="7">
        <v>2.0056873E7</v>
      </c>
      <c r="B3259" s="8" t="s">
        <v>333</v>
      </c>
      <c r="C3259" s="8" t="s">
        <v>10112</v>
      </c>
      <c r="D3259" s="8" t="s">
        <v>16</v>
      </c>
      <c r="E3259" s="8" t="s">
        <v>17</v>
      </c>
      <c r="F3259" s="9">
        <v>46154.0</v>
      </c>
      <c r="G3259" s="8" t="s">
        <v>688</v>
      </c>
      <c r="H3259" s="8" t="s">
        <v>689</v>
      </c>
      <c r="I3259" s="8" t="s">
        <v>10113</v>
      </c>
      <c r="J3259" s="8"/>
    </row>
    <row r="3260">
      <c r="A3260" s="7">
        <v>2.0052378E7</v>
      </c>
      <c r="B3260" s="8" t="s">
        <v>333</v>
      </c>
      <c r="C3260" s="8" t="s">
        <v>10114</v>
      </c>
      <c r="D3260" s="8" t="s">
        <v>16</v>
      </c>
      <c r="E3260" s="8" t="s">
        <v>17</v>
      </c>
      <c r="F3260" s="9">
        <v>46146.0</v>
      </c>
      <c r="G3260" s="8" t="s">
        <v>1841</v>
      </c>
      <c r="H3260" s="8" t="s">
        <v>1842</v>
      </c>
      <c r="I3260" s="8" t="s">
        <v>10115</v>
      </c>
      <c r="J3260" s="8" t="s">
        <v>10116</v>
      </c>
    </row>
    <row r="3261">
      <c r="A3261" s="7">
        <v>2.0055015E7</v>
      </c>
      <c r="B3261" s="8" t="s">
        <v>333</v>
      </c>
      <c r="C3261" s="8" t="s">
        <v>10117</v>
      </c>
      <c r="D3261" s="8" t="s">
        <v>16</v>
      </c>
      <c r="E3261" s="8" t="s">
        <v>17</v>
      </c>
      <c r="F3261" s="9">
        <v>46144.0</v>
      </c>
      <c r="G3261" s="8" t="s">
        <v>1537</v>
      </c>
      <c r="H3261" s="8" t="s">
        <v>1538</v>
      </c>
      <c r="I3261" s="8" t="s">
        <v>10118</v>
      </c>
      <c r="J3261" s="8"/>
    </row>
    <row r="3262">
      <c r="A3262" s="7">
        <v>2.0051138E7</v>
      </c>
      <c r="B3262" s="8" t="s">
        <v>333</v>
      </c>
      <c r="C3262" s="8" t="s">
        <v>10119</v>
      </c>
      <c r="D3262" s="8" t="s">
        <v>16</v>
      </c>
      <c r="E3262" s="8" t="s">
        <v>17</v>
      </c>
      <c r="F3262" s="9">
        <v>46109.0</v>
      </c>
      <c r="G3262" s="8" t="s">
        <v>1132</v>
      </c>
      <c r="H3262" s="8" t="s">
        <v>1133</v>
      </c>
      <c r="I3262" s="8" t="s">
        <v>10120</v>
      </c>
      <c r="J3262" s="8" t="s">
        <v>10121</v>
      </c>
    </row>
    <row r="3263">
      <c r="A3263" s="7">
        <v>2.0050697E7</v>
      </c>
      <c r="B3263" s="8" t="s">
        <v>333</v>
      </c>
      <c r="C3263" s="8" t="s">
        <v>10122</v>
      </c>
      <c r="D3263" s="8" t="s">
        <v>16</v>
      </c>
      <c r="E3263" s="8" t="s">
        <v>17</v>
      </c>
      <c r="F3263" s="9">
        <v>46148.0</v>
      </c>
      <c r="G3263" s="8" t="s">
        <v>390</v>
      </c>
      <c r="H3263" s="8" t="s">
        <v>391</v>
      </c>
      <c r="I3263" s="8" t="s">
        <v>10123</v>
      </c>
      <c r="J3263" s="8"/>
    </row>
    <row r="3264">
      <c r="A3264" s="7">
        <v>2.0050697E7</v>
      </c>
      <c r="B3264" s="8" t="s">
        <v>333</v>
      </c>
      <c r="C3264" s="8" t="s">
        <v>10122</v>
      </c>
      <c r="D3264" s="8" t="s">
        <v>16</v>
      </c>
      <c r="E3264" s="8" t="s">
        <v>17</v>
      </c>
      <c r="F3264" s="9">
        <v>46148.0</v>
      </c>
      <c r="G3264" s="8" t="s">
        <v>390</v>
      </c>
      <c r="H3264" s="8" t="s">
        <v>391</v>
      </c>
      <c r="I3264" s="8" t="s">
        <v>10124</v>
      </c>
      <c r="J3264" s="8"/>
    </row>
    <row r="3265">
      <c r="A3265" s="7">
        <v>2.0050697E7</v>
      </c>
      <c r="B3265" s="8" t="s">
        <v>333</v>
      </c>
      <c r="C3265" s="8" t="s">
        <v>10125</v>
      </c>
      <c r="D3265" s="8" t="s">
        <v>16</v>
      </c>
      <c r="E3265" s="8" t="s">
        <v>17</v>
      </c>
      <c r="F3265" s="9">
        <v>46184.0</v>
      </c>
      <c r="G3265" s="8" t="s">
        <v>137</v>
      </c>
      <c r="H3265" s="8" t="s">
        <v>138</v>
      </c>
      <c r="I3265" s="8" t="s">
        <v>10126</v>
      </c>
      <c r="J3265" s="8"/>
    </row>
    <row r="3266">
      <c r="A3266" s="7">
        <v>2.004993E7</v>
      </c>
      <c r="B3266" s="8" t="s">
        <v>333</v>
      </c>
      <c r="C3266" s="8" t="s">
        <v>10127</v>
      </c>
      <c r="D3266" s="8" t="s">
        <v>16</v>
      </c>
      <c r="E3266" s="8" t="s">
        <v>48</v>
      </c>
      <c r="F3266" s="9">
        <v>46119.0</v>
      </c>
      <c r="G3266" s="8" t="s">
        <v>454</v>
      </c>
      <c r="H3266" s="8" t="s">
        <v>455</v>
      </c>
      <c r="I3266" s="8" t="s">
        <v>10128</v>
      </c>
      <c r="J3266" s="8" t="s">
        <v>10129</v>
      </c>
    </row>
    <row r="3267">
      <c r="A3267" s="7">
        <v>2.004284E7</v>
      </c>
      <c r="B3267" s="8" t="s">
        <v>333</v>
      </c>
      <c r="C3267" s="8" t="s">
        <v>10130</v>
      </c>
      <c r="D3267" s="8" t="s">
        <v>16</v>
      </c>
      <c r="E3267" s="8" t="s">
        <v>17</v>
      </c>
      <c r="F3267" s="9">
        <v>46088.0</v>
      </c>
      <c r="G3267" s="8" t="s">
        <v>390</v>
      </c>
      <c r="H3267" s="8" t="s">
        <v>391</v>
      </c>
      <c r="I3267" s="8" t="s">
        <v>10131</v>
      </c>
      <c r="J3267" s="8"/>
    </row>
    <row r="3268">
      <c r="A3268" s="7">
        <v>2.0042333E7</v>
      </c>
      <c r="B3268" s="8" t="s">
        <v>333</v>
      </c>
      <c r="C3268" s="8" t="s">
        <v>10132</v>
      </c>
      <c r="D3268" s="8" t="s">
        <v>16</v>
      </c>
      <c r="E3268" s="8" t="s">
        <v>17</v>
      </c>
      <c r="F3268" s="9">
        <v>46090.0</v>
      </c>
      <c r="G3268" s="8" t="s">
        <v>390</v>
      </c>
      <c r="H3268" s="8" t="s">
        <v>391</v>
      </c>
      <c r="I3268" s="8" t="s">
        <v>10133</v>
      </c>
      <c r="J3268" s="8"/>
    </row>
    <row r="3269">
      <c r="A3269" s="7">
        <v>2.0041395E7</v>
      </c>
      <c r="B3269" s="8" t="s">
        <v>333</v>
      </c>
      <c r="C3269" s="8" t="s">
        <v>10134</v>
      </c>
      <c r="D3269" s="8" t="s">
        <v>16</v>
      </c>
      <c r="E3269" s="8" t="s">
        <v>17</v>
      </c>
      <c r="F3269" s="9">
        <v>46088.0</v>
      </c>
      <c r="G3269" s="8" t="s">
        <v>374</v>
      </c>
      <c r="H3269" s="8" t="s">
        <v>375</v>
      </c>
      <c r="I3269" s="8" t="s">
        <v>10135</v>
      </c>
      <c r="J3269" s="8"/>
    </row>
    <row r="3270">
      <c r="A3270" s="7">
        <v>2.0039295E7</v>
      </c>
      <c r="B3270" s="8" t="s">
        <v>333</v>
      </c>
      <c r="C3270" s="8" t="s">
        <v>10136</v>
      </c>
      <c r="D3270" s="8" t="s">
        <v>16</v>
      </c>
      <c r="E3270" s="8" t="s">
        <v>17</v>
      </c>
      <c r="F3270" s="9">
        <v>46066.0</v>
      </c>
      <c r="G3270" s="8" t="s">
        <v>365</v>
      </c>
      <c r="H3270" s="8" t="s">
        <v>366</v>
      </c>
      <c r="I3270" s="8" t="s">
        <v>10137</v>
      </c>
      <c r="J3270" s="8" t="s">
        <v>10138</v>
      </c>
    </row>
    <row r="3271">
      <c r="A3271" s="7">
        <v>2.006736E7</v>
      </c>
      <c r="B3271" s="8" t="s">
        <v>333</v>
      </c>
      <c r="C3271" s="8" t="s">
        <v>10139</v>
      </c>
      <c r="D3271" s="8" t="s">
        <v>16</v>
      </c>
      <c r="E3271" s="8" t="s">
        <v>17</v>
      </c>
      <c r="F3271" s="9">
        <v>46185.0</v>
      </c>
      <c r="G3271" s="8" t="s">
        <v>91</v>
      </c>
      <c r="H3271" s="8" t="s">
        <v>92</v>
      </c>
      <c r="I3271" s="8" t="s">
        <v>10140</v>
      </c>
      <c r="J3271" s="8" t="s">
        <v>10141</v>
      </c>
    </row>
    <row r="3272">
      <c r="A3272" s="7">
        <v>2.0065008E7</v>
      </c>
      <c r="B3272" s="8" t="s">
        <v>333</v>
      </c>
      <c r="C3272" s="8" t="s">
        <v>10142</v>
      </c>
      <c r="D3272" s="8" t="s">
        <v>16</v>
      </c>
      <c r="E3272" s="8" t="s">
        <v>17</v>
      </c>
      <c r="F3272" s="9">
        <v>46167.0</v>
      </c>
      <c r="G3272" s="8" t="s">
        <v>3837</v>
      </c>
      <c r="H3272" s="8" t="s">
        <v>3838</v>
      </c>
      <c r="I3272" s="8" t="s">
        <v>10143</v>
      </c>
      <c r="J3272" s="8" t="s">
        <v>10144</v>
      </c>
    </row>
    <row r="3273">
      <c r="A3273" s="7">
        <v>2.006352E7</v>
      </c>
      <c r="B3273" s="8" t="s">
        <v>333</v>
      </c>
      <c r="C3273" s="8" t="s">
        <v>10145</v>
      </c>
      <c r="D3273" s="8" t="s">
        <v>16</v>
      </c>
      <c r="E3273" s="8" t="s">
        <v>17</v>
      </c>
      <c r="F3273" s="9">
        <v>46187.0</v>
      </c>
      <c r="G3273" s="8" t="s">
        <v>721</v>
      </c>
      <c r="H3273" s="8" t="s">
        <v>722</v>
      </c>
      <c r="I3273" s="8" t="s">
        <v>10146</v>
      </c>
      <c r="J3273" s="8"/>
    </row>
    <row r="3274">
      <c r="A3274" s="7">
        <v>2.0058721E7</v>
      </c>
      <c r="B3274" s="8" t="s">
        <v>333</v>
      </c>
      <c r="C3274" s="8" t="s">
        <v>10147</v>
      </c>
      <c r="D3274" s="8" t="s">
        <v>16</v>
      </c>
      <c r="E3274" s="8" t="s">
        <v>17</v>
      </c>
      <c r="F3274" s="9">
        <v>46157.0</v>
      </c>
      <c r="G3274" s="8" t="s">
        <v>10148</v>
      </c>
      <c r="H3274" s="8" t="s">
        <v>10149</v>
      </c>
      <c r="I3274" s="8" t="s">
        <v>10150</v>
      </c>
      <c r="J3274" s="8" t="s">
        <v>10151</v>
      </c>
    </row>
    <row r="3275">
      <c r="A3275" s="7">
        <v>2.0053879E7</v>
      </c>
      <c r="B3275" s="8" t="s">
        <v>333</v>
      </c>
      <c r="C3275" s="8" t="s">
        <v>10152</v>
      </c>
      <c r="D3275" s="8" t="s">
        <v>16</v>
      </c>
      <c r="E3275" s="8" t="s">
        <v>17</v>
      </c>
      <c r="F3275" s="9">
        <v>46152.0</v>
      </c>
      <c r="G3275" s="8" t="s">
        <v>826</v>
      </c>
      <c r="H3275" s="8" t="s">
        <v>7633</v>
      </c>
      <c r="I3275" s="8" t="s">
        <v>10153</v>
      </c>
      <c r="J3275" s="8" t="s">
        <v>10154</v>
      </c>
    </row>
    <row r="3276">
      <c r="A3276" s="7">
        <v>2.0053304E7</v>
      </c>
      <c r="B3276" s="8" t="s">
        <v>333</v>
      </c>
      <c r="C3276" s="8" t="s">
        <v>10155</v>
      </c>
      <c r="D3276" s="8" t="s">
        <v>16</v>
      </c>
      <c r="E3276" s="8" t="s">
        <v>17</v>
      </c>
      <c r="F3276" s="9">
        <v>46125.0</v>
      </c>
      <c r="G3276" s="8" t="s">
        <v>6072</v>
      </c>
      <c r="H3276" s="8" t="s">
        <v>6073</v>
      </c>
      <c r="I3276" s="8" t="s">
        <v>10156</v>
      </c>
      <c r="J3276" s="8"/>
    </row>
    <row r="3277">
      <c r="A3277" s="7">
        <v>2.0051282E7</v>
      </c>
      <c r="B3277" s="8" t="s">
        <v>333</v>
      </c>
      <c r="C3277" s="8" t="s">
        <v>10157</v>
      </c>
      <c r="D3277" s="8" t="s">
        <v>16</v>
      </c>
      <c r="E3277" s="8" t="s">
        <v>17</v>
      </c>
      <c r="F3277" s="9">
        <v>46127.0</v>
      </c>
      <c r="G3277" s="8" t="s">
        <v>390</v>
      </c>
      <c r="H3277" s="8" t="s">
        <v>391</v>
      </c>
      <c r="I3277" s="8" t="s">
        <v>10158</v>
      </c>
      <c r="J3277" s="8"/>
    </row>
    <row r="3278">
      <c r="A3278" s="7">
        <v>2.0049766E7</v>
      </c>
      <c r="B3278" s="8" t="s">
        <v>333</v>
      </c>
      <c r="C3278" s="8" t="s">
        <v>10159</v>
      </c>
      <c r="D3278" s="8" t="s">
        <v>16</v>
      </c>
      <c r="E3278" s="8" t="s">
        <v>17</v>
      </c>
      <c r="F3278" s="9">
        <v>46120.0</v>
      </c>
      <c r="G3278" s="8" t="s">
        <v>10160</v>
      </c>
      <c r="H3278" s="8" t="s">
        <v>10161</v>
      </c>
      <c r="I3278" s="8" t="s">
        <v>10162</v>
      </c>
      <c r="J3278" s="8"/>
    </row>
    <row r="3279">
      <c r="A3279" s="7">
        <v>2.0047625E7</v>
      </c>
      <c r="B3279" s="8" t="s">
        <v>333</v>
      </c>
      <c r="C3279" s="8" t="s">
        <v>10163</v>
      </c>
      <c r="D3279" s="8" t="s">
        <v>16</v>
      </c>
      <c r="E3279" s="8" t="s">
        <v>17</v>
      </c>
      <c r="F3279" s="9">
        <v>46119.0</v>
      </c>
      <c r="G3279" s="8" t="s">
        <v>4148</v>
      </c>
      <c r="H3279" s="8" t="s">
        <v>4149</v>
      </c>
      <c r="I3279" s="8" t="s">
        <v>10164</v>
      </c>
      <c r="J3279" s="8"/>
    </row>
    <row r="3280">
      <c r="A3280" s="7">
        <v>2.0047504E7</v>
      </c>
      <c r="B3280" s="8" t="s">
        <v>333</v>
      </c>
      <c r="C3280" s="8" t="s">
        <v>10165</v>
      </c>
      <c r="D3280" s="8" t="s">
        <v>16</v>
      </c>
      <c r="E3280" s="8" t="s">
        <v>17</v>
      </c>
      <c r="F3280" s="9">
        <v>46092.0</v>
      </c>
      <c r="G3280" s="8" t="s">
        <v>91</v>
      </c>
      <c r="H3280" s="8" t="s">
        <v>92</v>
      </c>
      <c r="I3280" s="8" t="s">
        <v>10166</v>
      </c>
      <c r="J3280" s="8" t="s">
        <v>10167</v>
      </c>
    </row>
    <row r="3281">
      <c r="A3281" s="7">
        <v>2.0044922E7</v>
      </c>
      <c r="B3281" s="8" t="s">
        <v>333</v>
      </c>
      <c r="C3281" s="8" t="s">
        <v>10168</v>
      </c>
      <c r="D3281" s="8" t="s">
        <v>16</v>
      </c>
      <c r="E3281" s="8" t="s">
        <v>17</v>
      </c>
      <c r="F3281" s="9">
        <v>46101.0</v>
      </c>
      <c r="G3281" s="8" t="s">
        <v>486</v>
      </c>
      <c r="H3281" s="8" t="s">
        <v>487</v>
      </c>
      <c r="I3281" s="8" t="s">
        <v>10169</v>
      </c>
      <c r="J3281" s="8"/>
    </row>
    <row r="3282">
      <c r="A3282" s="7">
        <v>2.0043485E7</v>
      </c>
      <c r="B3282" s="8" t="s">
        <v>333</v>
      </c>
      <c r="C3282" s="8" t="s">
        <v>10170</v>
      </c>
      <c r="D3282" s="8" t="s">
        <v>16</v>
      </c>
      <c r="E3282" s="8" t="s">
        <v>17</v>
      </c>
      <c r="F3282" s="9">
        <v>46079.0</v>
      </c>
      <c r="G3282" s="8" t="s">
        <v>339</v>
      </c>
      <c r="H3282" s="8" t="s">
        <v>340</v>
      </c>
      <c r="I3282" s="8" t="s">
        <v>10171</v>
      </c>
      <c r="J3282" s="8" t="s">
        <v>10172</v>
      </c>
    </row>
    <row r="3283">
      <c r="A3283" s="7">
        <v>2.003893E7</v>
      </c>
      <c r="B3283" s="8" t="s">
        <v>333</v>
      </c>
      <c r="C3283" s="8" t="s">
        <v>10173</v>
      </c>
      <c r="D3283" s="8" t="s">
        <v>16</v>
      </c>
      <c r="E3283" s="8" t="s">
        <v>17</v>
      </c>
      <c r="F3283" s="9">
        <v>46074.0</v>
      </c>
      <c r="G3283" s="8" t="s">
        <v>220</v>
      </c>
      <c r="H3283" s="8" t="s">
        <v>221</v>
      </c>
      <c r="I3283" s="8" t="s">
        <v>10174</v>
      </c>
      <c r="J3283" s="8" t="s">
        <v>10175</v>
      </c>
    </row>
    <row r="3284">
      <c r="A3284" s="7">
        <v>2.003893E7</v>
      </c>
      <c r="B3284" s="8" t="s">
        <v>333</v>
      </c>
      <c r="C3284" s="8" t="s">
        <v>10173</v>
      </c>
      <c r="D3284" s="8" t="s">
        <v>16</v>
      </c>
      <c r="E3284" s="8" t="s">
        <v>17</v>
      </c>
      <c r="F3284" s="9">
        <v>46074.0</v>
      </c>
      <c r="G3284" s="8" t="s">
        <v>220</v>
      </c>
      <c r="H3284" s="8" t="s">
        <v>221</v>
      </c>
      <c r="I3284" s="8" t="s">
        <v>10176</v>
      </c>
      <c r="J3284" s="8"/>
    </row>
    <row r="3285">
      <c r="A3285" s="7">
        <v>2.003893E7</v>
      </c>
      <c r="B3285" s="8" t="s">
        <v>333</v>
      </c>
      <c r="C3285" s="8" t="s">
        <v>10177</v>
      </c>
      <c r="D3285" s="8" t="s">
        <v>16</v>
      </c>
      <c r="E3285" s="8" t="s">
        <v>17</v>
      </c>
      <c r="F3285" s="9">
        <v>46098.0</v>
      </c>
      <c r="G3285" s="8" t="s">
        <v>2156</v>
      </c>
      <c r="H3285" s="8" t="s">
        <v>2157</v>
      </c>
      <c r="I3285" s="8" t="s">
        <v>10178</v>
      </c>
      <c r="J3285" s="8"/>
    </row>
    <row r="3286">
      <c r="A3286" s="7">
        <v>2.0037137E7</v>
      </c>
      <c r="B3286" s="8" t="s">
        <v>333</v>
      </c>
      <c r="C3286" s="8" t="s">
        <v>10179</v>
      </c>
      <c r="D3286" s="8" t="s">
        <v>16</v>
      </c>
      <c r="E3286" s="8" t="s">
        <v>17</v>
      </c>
      <c r="F3286" s="9">
        <v>46055.0</v>
      </c>
      <c r="G3286" s="8" t="s">
        <v>423</v>
      </c>
      <c r="H3286" s="8" t="s">
        <v>424</v>
      </c>
      <c r="I3286" s="8" t="s">
        <v>10180</v>
      </c>
      <c r="J3286" s="8" t="s">
        <v>10181</v>
      </c>
    </row>
    <row r="3287">
      <c r="A3287" s="7">
        <v>2.0034851E7</v>
      </c>
      <c r="B3287" s="8" t="s">
        <v>333</v>
      </c>
      <c r="C3287" s="8" t="s">
        <v>10182</v>
      </c>
      <c r="D3287" s="8" t="s">
        <v>16</v>
      </c>
      <c r="E3287" s="8" t="s">
        <v>17</v>
      </c>
      <c r="F3287" s="9">
        <v>46046.0</v>
      </c>
      <c r="G3287" s="8" t="s">
        <v>91</v>
      </c>
      <c r="H3287" s="8" t="s">
        <v>92</v>
      </c>
      <c r="I3287" s="8" t="s">
        <v>10183</v>
      </c>
      <c r="J3287" s="8" t="s">
        <v>10184</v>
      </c>
    </row>
    <row r="3288">
      <c r="A3288" s="7">
        <v>2.0034659E7</v>
      </c>
      <c r="B3288" s="8" t="s">
        <v>333</v>
      </c>
      <c r="C3288" s="8" t="s">
        <v>10185</v>
      </c>
      <c r="D3288" s="8" t="s">
        <v>16</v>
      </c>
      <c r="E3288" s="8" t="s">
        <v>17</v>
      </c>
      <c r="F3288" s="9">
        <v>46045.0</v>
      </c>
      <c r="G3288" s="8" t="s">
        <v>3207</v>
      </c>
      <c r="H3288" s="8" t="s">
        <v>3208</v>
      </c>
      <c r="I3288" s="8" t="s">
        <v>10186</v>
      </c>
      <c r="J3288" s="8" t="s">
        <v>10187</v>
      </c>
    </row>
    <row r="3289">
      <c r="A3289" s="7">
        <v>2.0035629E7</v>
      </c>
      <c r="B3289" s="8" t="s">
        <v>333</v>
      </c>
      <c r="C3289" s="8" t="s">
        <v>10188</v>
      </c>
      <c r="D3289" s="8" t="s">
        <v>16</v>
      </c>
      <c r="E3289" s="8" t="s">
        <v>17</v>
      </c>
      <c r="F3289" s="9">
        <v>46062.0</v>
      </c>
      <c r="G3289" s="8" t="s">
        <v>171</v>
      </c>
      <c r="H3289" s="8" t="s">
        <v>172</v>
      </c>
      <c r="I3289" s="8" t="s">
        <v>10189</v>
      </c>
      <c r="J3289" s="8"/>
    </row>
    <row r="3290">
      <c r="A3290" s="7">
        <v>2.0034153E7</v>
      </c>
      <c r="B3290" s="8" t="s">
        <v>333</v>
      </c>
      <c r="C3290" s="8" t="s">
        <v>10190</v>
      </c>
      <c r="D3290" s="8" t="s">
        <v>16</v>
      </c>
      <c r="E3290" s="8" t="s">
        <v>17</v>
      </c>
      <c r="F3290" s="9">
        <v>46050.0</v>
      </c>
      <c r="G3290" s="8" t="s">
        <v>171</v>
      </c>
      <c r="H3290" s="8" t="s">
        <v>172</v>
      </c>
      <c r="I3290" s="8" t="s">
        <v>10191</v>
      </c>
      <c r="J3290" s="8"/>
    </row>
    <row r="3291">
      <c r="A3291" s="7">
        <v>2.0069796E7</v>
      </c>
      <c r="B3291" s="8" t="s">
        <v>4599</v>
      </c>
      <c r="C3291" s="8" t="s">
        <v>10192</v>
      </c>
      <c r="D3291" s="8" t="s">
        <v>16</v>
      </c>
      <c r="E3291" s="8" t="s">
        <v>17</v>
      </c>
      <c r="F3291" s="9">
        <v>46186.0</v>
      </c>
      <c r="G3291" s="8" t="s">
        <v>247</v>
      </c>
      <c r="H3291" s="8" t="s">
        <v>248</v>
      </c>
      <c r="I3291" s="8" t="s">
        <v>10193</v>
      </c>
      <c r="J3291" s="8" t="s">
        <v>10194</v>
      </c>
    </row>
    <row r="3292">
      <c r="A3292" s="7">
        <v>2.0069796E7</v>
      </c>
      <c r="B3292" s="8" t="s">
        <v>4599</v>
      </c>
      <c r="C3292" s="8" t="s">
        <v>10192</v>
      </c>
      <c r="D3292" s="8" t="s">
        <v>16</v>
      </c>
      <c r="E3292" s="8" t="s">
        <v>17</v>
      </c>
      <c r="F3292" s="9">
        <v>46186.0</v>
      </c>
      <c r="G3292" s="8" t="s">
        <v>10195</v>
      </c>
      <c r="H3292" s="8" t="s">
        <v>10196</v>
      </c>
      <c r="I3292" s="8" t="s">
        <v>10197</v>
      </c>
      <c r="J3292" s="8" t="s">
        <v>10198</v>
      </c>
    </row>
    <row r="3293">
      <c r="A3293" s="7">
        <v>2.0067004E7</v>
      </c>
      <c r="B3293" s="8" t="s">
        <v>4599</v>
      </c>
      <c r="C3293" s="8" t="s">
        <v>10199</v>
      </c>
      <c r="D3293" s="8" t="s">
        <v>16</v>
      </c>
      <c r="E3293" s="8" t="s">
        <v>17</v>
      </c>
      <c r="F3293" s="9">
        <v>46190.0</v>
      </c>
      <c r="G3293" s="8" t="s">
        <v>184</v>
      </c>
      <c r="H3293" s="8" t="s">
        <v>185</v>
      </c>
      <c r="I3293" s="8" t="s">
        <v>10200</v>
      </c>
      <c r="J3293" s="8" t="s">
        <v>10201</v>
      </c>
    </row>
    <row r="3294">
      <c r="A3294" s="7">
        <v>2.0065769E7</v>
      </c>
      <c r="B3294" s="8" t="s">
        <v>4599</v>
      </c>
      <c r="C3294" s="8" t="s">
        <v>10202</v>
      </c>
      <c r="D3294" s="8" t="s">
        <v>16</v>
      </c>
      <c r="E3294" s="8" t="s">
        <v>17</v>
      </c>
      <c r="F3294" s="9">
        <v>46176.0</v>
      </c>
      <c r="G3294" s="8" t="s">
        <v>247</v>
      </c>
      <c r="H3294" s="8" t="s">
        <v>248</v>
      </c>
      <c r="I3294" s="8" t="s">
        <v>10203</v>
      </c>
      <c r="J3294" s="8" t="s">
        <v>10204</v>
      </c>
    </row>
    <row r="3295">
      <c r="A3295" s="7">
        <v>2.0065096E7</v>
      </c>
      <c r="B3295" s="8" t="s">
        <v>4599</v>
      </c>
      <c r="C3295" s="8" t="s">
        <v>10205</v>
      </c>
      <c r="D3295" s="8" t="s">
        <v>16</v>
      </c>
      <c r="E3295" s="8" t="s">
        <v>17</v>
      </c>
      <c r="F3295" s="9">
        <v>46188.0</v>
      </c>
      <c r="G3295" s="8" t="s">
        <v>6689</v>
      </c>
      <c r="H3295" s="8" t="s">
        <v>6690</v>
      </c>
      <c r="I3295" s="8" t="s">
        <v>10206</v>
      </c>
      <c r="J3295" s="8" t="s">
        <v>10207</v>
      </c>
    </row>
    <row r="3296">
      <c r="A3296" s="7">
        <v>2.0064721E7</v>
      </c>
      <c r="B3296" s="8" t="s">
        <v>4599</v>
      </c>
      <c r="C3296" s="8" t="s">
        <v>10208</v>
      </c>
      <c r="D3296" s="8" t="s">
        <v>16</v>
      </c>
      <c r="E3296" s="8" t="s">
        <v>17</v>
      </c>
      <c r="F3296" s="9">
        <v>46162.0</v>
      </c>
      <c r="G3296" s="8" t="s">
        <v>1093</v>
      </c>
      <c r="H3296" s="8" t="s">
        <v>1094</v>
      </c>
      <c r="I3296" s="8" t="s">
        <v>10209</v>
      </c>
      <c r="J3296" s="8" t="s">
        <v>10210</v>
      </c>
    </row>
    <row r="3297">
      <c r="A3297" s="7">
        <v>2.0064699E7</v>
      </c>
      <c r="B3297" s="8" t="s">
        <v>4599</v>
      </c>
      <c r="C3297" s="8" t="s">
        <v>10211</v>
      </c>
      <c r="D3297" s="8" t="s">
        <v>2136</v>
      </c>
      <c r="E3297" s="8" t="s">
        <v>17</v>
      </c>
      <c r="F3297" s="9">
        <v>46160.0</v>
      </c>
      <c r="G3297" s="8" t="s">
        <v>153</v>
      </c>
      <c r="H3297" s="8" t="s">
        <v>154</v>
      </c>
      <c r="I3297" s="8" t="s">
        <v>10212</v>
      </c>
      <c r="J3297" s="8" t="s">
        <v>10213</v>
      </c>
    </row>
    <row r="3298">
      <c r="A3298" s="7">
        <v>2.0062988E7</v>
      </c>
      <c r="B3298" s="8" t="s">
        <v>4599</v>
      </c>
      <c r="C3298" s="8" t="s">
        <v>10214</v>
      </c>
      <c r="D3298" s="8" t="s">
        <v>16</v>
      </c>
      <c r="E3298" s="8" t="s">
        <v>17</v>
      </c>
      <c r="F3298" s="9">
        <v>46187.0</v>
      </c>
      <c r="G3298" s="8" t="s">
        <v>1998</v>
      </c>
      <c r="H3298" s="8" t="s">
        <v>1999</v>
      </c>
      <c r="I3298" s="8" t="s">
        <v>10215</v>
      </c>
      <c r="J3298" s="8" t="s">
        <v>10216</v>
      </c>
    </row>
    <row r="3299">
      <c r="A3299" s="7">
        <v>2.0061682E7</v>
      </c>
      <c r="B3299" s="8" t="s">
        <v>4599</v>
      </c>
      <c r="C3299" s="8" t="s">
        <v>10217</v>
      </c>
      <c r="D3299" s="8" t="s">
        <v>16</v>
      </c>
      <c r="E3299" s="8" t="s">
        <v>17</v>
      </c>
      <c r="F3299" s="9">
        <v>46177.0</v>
      </c>
      <c r="G3299" s="8" t="s">
        <v>114</v>
      </c>
      <c r="H3299" s="8" t="s">
        <v>115</v>
      </c>
      <c r="I3299" s="8" t="s">
        <v>10218</v>
      </c>
      <c r="J3299" s="8"/>
    </row>
    <row r="3300">
      <c r="A3300" s="7">
        <v>2.0060159E7</v>
      </c>
      <c r="B3300" s="8" t="s">
        <v>4599</v>
      </c>
      <c r="C3300" s="8" t="s">
        <v>10219</v>
      </c>
      <c r="D3300" s="8" t="s">
        <v>16</v>
      </c>
      <c r="E3300" s="8" t="s">
        <v>17</v>
      </c>
      <c r="F3300" s="9">
        <v>46143.0</v>
      </c>
      <c r="G3300" s="8" t="s">
        <v>805</v>
      </c>
      <c r="H3300" s="8" t="s">
        <v>806</v>
      </c>
      <c r="I3300" s="8" t="s">
        <v>10220</v>
      </c>
      <c r="J3300" s="8" t="s">
        <v>10221</v>
      </c>
    </row>
    <row r="3301">
      <c r="A3301" s="7">
        <v>2.0060231E7</v>
      </c>
      <c r="B3301" s="8" t="s">
        <v>4599</v>
      </c>
      <c r="C3301" s="8" t="s">
        <v>10222</v>
      </c>
      <c r="D3301" s="8" t="s">
        <v>16</v>
      </c>
      <c r="E3301" s="8" t="s">
        <v>17</v>
      </c>
      <c r="F3301" s="9">
        <v>46188.0</v>
      </c>
      <c r="G3301" s="8" t="s">
        <v>454</v>
      </c>
      <c r="H3301" s="8" t="s">
        <v>455</v>
      </c>
      <c r="I3301" s="8" t="s">
        <v>10223</v>
      </c>
      <c r="J3301" s="8" t="s">
        <v>10224</v>
      </c>
    </row>
    <row r="3302">
      <c r="A3302" s="7">
        <v>2.005908E7</v>
      </c>
      <c r="B3302" s="8" t="s">
        <v>4599</v>
      </c>
      <c r="C3302" s="8" t="s">
        <v>10225</v>
      </c>
      <c r="D3302" s="8" t="s">
        <v>16</v>
      </c>
      <c r="E3302" s="8" t="s">
        <v>17</v>
      </c>
      <c r="F3302" s="9">
        <v>46179.0</v>
      </c>
      <c r="G3302" s="8" t="s">
        <v>34</v>
      </c>
      <c r="H3302" s="8" t="s">
        <v>35</v>
      </c>
      <c r="I3302" s="8" t="s">
        <v>10226</v>
      </c>
      <c r="J3302" s="8" t="s">
        <v>10227</v>
      </c>
    </row>
    <row r="3303">
      <c r="A3303" s="7">
        <v>2.005908E7</v>
      </c>
      <c r="B3303" s="8" t="s">
        <v>4599</v>
      </c>
      <c r="C3303" s="8" t="s">
        <v>10225</v>
      </c>
      <c r="D3303" s="8" t="s">
        <v>16</v>
      </c>
      <c r="E3303" s="8" t="s">
        <v>17</v>
      </c>
      <c r="F3303" s="9">
        <v>46179.0</v>
      </c>
      <c r="G3303" s="8" t="s">
        <v>7659</v>
      </c>
      <c r="H3303" s="8" t="s">
        <v>7660</v>
      </c>
      <c r="I3303" s="8" t="s">
        <v>10228</v>
      </c>
      <c r="J3303" s="8"/>
    </row>
    <row r="3304">
      <c r="A3304" s="7">
        <v>2.0056288E7</v>
      </c>
      <c r="B3304" s="8" t="s">
        <v>4599</v>
      </c>
      <c r="C3304" s="8" t="s">
        <v>10229</v>
      </c>
      <c r="D3304" s="8" t="s">
        <v>16</v>
      </c>
      <c r="E3304" s="8" t="s">
        <v>17</v>
      </c>
      <c r="F3304" s="9">
        <v>46147.0</v>
      </c>
      <c r="G3304" s="8" t="s">
        <v>2989</v>
      </c>
      <c r="H3304" s="8" t="s">
        <v>2990</v>
      </c>
      <c r="I3304" s="8" t="s">
        <v>10230</v>
      </c>
      <c r="J3304" s="8"/>
    </row>
    <row r="3305">
      <c r="A3305" s="7">
        <v>2.0055244E7</v>
      </c>
      <c r="B3305" s="8" t="s">
        <v>4599</v>
      </c>
      <c r="C3305" s="8" t="s">
        <v>10231</v>
      </c>
      <c r="D3305" s="8" t="s">
        <v>16</v>
      </c>
      <c r="E3305" s="8" t="s">
        <v>17</v>
      </c>
      <c r="F3305" s="9">
        <v>46130.0</v>
      </c>
      <c r="G3305" s="8" t="s">
        <v>1093</v>
      </c>
      <c r="H3305" s="8" t="s">
        <v>1094</v>
      </c>
      <c r="I3305" s="8" t="s">
        <v>10232</v>
      </c>
      <c r="J3305" s="8" t="s">
        <v>10233</v>
      </c>
    </row>
    <row r="3306">
      <c r="A3306" s="7">
        <v>2.0053606E7</v>
      </c>
      <c r="B3306" s="8" t="s">
        <v>4599</v>
      </c>
      <c r="C3306" s="8" t="s">
        <v>10234</v>
      </c>
      <c r="D3306" s="8" t="s">
        <v>16</v>
      </c>
      <c r="E3306" s="8" t="s">
        <v>17</v>
      </c>
      <c r="F3306" s="9">
        <v>46135.0</v>
      </c>
      <c r="G3306" s="8" t="s">
        <v>361</v>
      </c>
      <c r="H3306" s="8" t="s">
        <v>362</v>
      </c>
      <c r="I3306" s="8" t="s">
        <v>10235</v>
      </c>
      <c r="J3306" s="8" t="s">
        <v>10236</v>
      </c>
    </row>
    <row r="3307">
      <c r="A3307" s="7">
        <v>2.0051819E7</v>
      </c>
      <c r="B3307" s="8" t="s">
        <v>4599</v>
      </c>
      <c r="C3307" s="8" t="s">
        <v>10237</v>
      </c>
      <c r="D3307" s="8" t="s">
        <v>16</v>
      </c>
      <c r="E3307" s="8" t="s">
        <v>17</v>
      </c>
      <c r="F3307" s="9">
        <v>46120.0</v>
      </c>
      <c r="G3307" s="8" t="s">
        <v>1427</v>
      </c>
      <c r="H3307" s="8" t="s">
        <v>1428</v>
      </c>
      <c r="I3307" s="8" t="s">
        <v>10238</v>
      </c>
      <c r="J3307" s="8" t="s">
        <v>10239</v>
      </c>
    </row>
    <row r="3308">
      <c r="A3308" s="7">
        <v>2.0051091E7</v>
      </c>
      <c r="B3308" s="8" t="s">
        <v>4599</v>
      </c>
      <c r="C3308" s="8" t="s">
        <v>10240</v>
      </c>
      <c r="D3308" s="8" t="s">
        <v>16</v>
      </c>
      <c r="E3308" s="8" t="s">
        <v>17</v>
      </c>
      <c r="F3308" s="9">
        <v>46101.0</v>
      </c>
      <c r="G3308" s="8" t="s">
        <v>234</v>
      </c>
      <c r="H3308" s="8" t="s">
        <v>235</v>
      </c>
      <c r="I3308" s="8" t="s">
        <v>10241</v>
      </c>
      <c r="J3308" s="8" t="s">
        <v>10242</v>
      </c>
    </row>
    <row r="3309">
      <c r="A3309" s="7">
        <v>2.0046449E7</v>
      </c>
      <c r="B3309" s="8" t="s">
        <v>4599</v>
      </c>
      <c r="C3309" s="8" t="s">
        <v>10243</v>
      </c>
      <c r="D3309" s="8" t="s">
        <v>16</v>
      </c>
      <c r="E3309" s="8" t="s">
        <v>17</v>
      </c>
      <c r="F3309" s="9">
        <v>46100.0</v>
      </c>
      <c r="G3309" s="8" t="s">
        <v>1045</v>
      </c>
      <c r="H3309" s="8" t="s">
        <v>909</v>
      </c>
      <c r="I3309" s="8" t="s">
        <v>10244</v>
      </c>
      <c r="J3309" s="8" t="s">
        <v>10245</v>
      </c>
    </row>
    <row r="3310">
      <c r="A3310" s="7">
        <v>2.0044563E7</v>
      </c>
      <c r="B3310" s="8" t="s">
        <v>4599</v>
      </c>
      <c r="C3310" s="8" t="s">
        <v>10246</v>
      </c>
      <c r="D3310" s="8" t="s">
        <v>2136</v>
      </c>
      <c r="E3310" s="8" t="s">
        <v>17</v>
      </c>
      <c r="F3310" s="9">
        <v>46078.0</v>
      </c>
      <c r="G3310" s="8" t="s">
        <v>195</v>
      </c>
      <c r="H3310" s="8" t="s">
        <v>196</v>
      </c>
      <c r="I3310" s="8" t="s">
        <v>10247</v>
      </c>
      <c r="J3310" s="8" t="s">
        <v>10248</v>
      </c>
    </row>
    <row r="3311">
      <c r="A3311" s="7">
        <v>2.0038045E7</v>
      </c>
      <c r="B3311" s="8" t="s">
        <v>4599</v>
      </c>
      <c r="C3311" s="8" t="s">
        <v>10249</v>
      </c>
      <c r="D3311" s="8" t="s">
        <v>16</v>
      </c>
      <c r="E3311" s="8" t="s">
        <v>17</v>
      </c>
      <c r="F3311" s="9">
        <v>46057.0</v>
      </c>
      <c r="G3311" s="8" t="s">
        <v>234</v>
      </c>
      <c r="H3311" s="8" t="s">
        <v>235</v>
      </c>
      <c r="I3311" s="8" t="s">
        <v>10250</v>
      </c>
      <c r="J3311" s="8" t="s">
        <v>10251</v>
      </c>
    </row>
    <row r="3312">
      <c r="A3312" s="7">
        <v>2.003288E7</v>
      </c>
      <c r="B3312" s="8" t="s">
        <v>4599</v>
      </c>
      <c r="C3312" s="8" t="s">
        <v>10252</v>
      </c>
      <c r="D3312" s="8" t="s">
        <v>16</v>
      </c>
      <c r="E3312" s="8" t="s">
        <v>17</v>
      </c>
      <c r="F3312" s="9">
        <v>46051.0</v>
      </c>
      <c r="G3312" s="8" t="s">
        <v>247</v>
      </c>
      <c r="H3312" s="8" t="s">
        <v>248</v>
      </c>
      <c r="I3312" s="8" t="s">
        <v>10253</v>
      </c>
      <c r="J3312" s="8" t="s">
        <v>10254</v>
      </c>
    </row>
    <row r="3313">
      <c r="A3313" s="7">
        <v>2.0033358E7</v>
      </c>
      <c r="B3313" s="8" t="s">
        <v>4599</v>
      </c>
      <c r="C3313" s="8" t="s">
        <v>10255</v>
      </c>
      <c r="D3313" s="8" t="s">
        <v>16</v>
      </c>
      <c r="E3313" s="8" t="s">
        <v>17</v>
      </c>
      <c r="F3313" s="9">
        <v>46045.0</v>
      </c>
      <c r="G3313" s="8" t="s">
        <v>195</v>
      </c>
      <c r="H3313" s="8" t="s">
        <v>196</v>
      </c>
      <c r="I3313" s="8" t="s">
        <v>10256</v>
      </c>
      <c r="J3313" s="8" t="s">
        <v>10257</v>
      </c>
    </row>
    <row r="3314">
      <c r="A3314" s="7">
        <v>2.0069873E7</v>
      </c>
      <c r="B3314" s="8" t="s">
        <v>4599</v>
      </c>
      <c r="C3314" s="8" t="s">
        <v>10258</v>
      </c>
      <c r="D3314" s="8" t="s">
        <v>16</v>
      </c>
      <c r="E3314" s="8" t="s">
        <v>17</v>
      </c>
      <c r="F3314" s="9">
        <v>46187.0</v>
      </c>
      <c r="G3314" s="8" t="s">
        <v>5046</v>
      </c>
      <c r="H3314" s="8" t="s">
        <v>5047</v>
      </c>
      <c r="I3314" s="8" t="s">
        <v>10259</v>
      </c>
      <c r="J3314" s="8" t="s">
        <v>10260</v>
      </c>
    </row>
    <row r="3315">
      <c r="A3315" s="7">
        <v>2.0067028E7</v>
      </c>
      <c r="B3315" s="8" t="s">
        <v>4599</v>
      </c>
      <c r="C3315" s="8" t="s">
        <v>10261</v>
      </c>
      <c r="D3315" s="8" t="s">
        <v>16</v>
      </c>
      <c r="E3315" s="8" t="s">
        <v>17</v>
      </c>
      <c r="F3315" s="9">
        <v>46178.0</v>
      </c>
      <c r="G3315" s="8" t="s">
        <v>3027</v>
      </c>
      <c r="H3315" s="8" t="s">
        <v>909</v>
      </c>
      <c r="I3315" s="8" t="s">
        <v>10262</v>
      </c>
      <c r="J3315" s="8" t="s">
        <v>10263</v>
      </c>
    </row>
    <row r="3316">
      <c r="A3316" s="7">
        <v>2.0067005E7</v>
      </c>
      <c r="B3316" s="8" t="s">
        <v>4599</v>
      </c>
      <c r="C3316" s="8" t="s">
        <v>10264</v>
      </c>
      <c r="D3316" s="8" t="s">
        <v>16</v>
      </c>
      <c r="E3316" s="8" t="s">
        <v>17</v>
      </c>
      <c r="F3316" s="9">
        <v>46190.0</v>
      </c>
      <c r="G3316" s="8" t="s">
        <v>1085</v>
      </c>
      <c r="H3316" s="8" t="s">
        <v>1086</v>
      </c>
      <c r="I3316" s="8" t="s">
        <v>10265</v>
      </c>
      <c r="J3316" s="8" t="s">
        <v>10266</v>
      </c>
    </row>
    <row r="3317">
      <c r="A3317" s="7">
        <v>2.0063483E7</v>
      </c>
      <c r="B3317" s="8" t="s">
        <v>4599</v>
      </c>
      <c r="C3317" s="8" t="s">
        <v>10267</v>
      </c>
      <c r="D3317" s="8" t="s">
        <v>16</v>
      </c>
      <c r="E3317" s="8" t="s">
        <v>17</v>
      </c>
      <c r="F3317" s="9">
        <v>46185.0</v>
      </c>
      <c r="G3317" s="8" t="s">
        <v>10268</v>
      </c>
      <c r="H3317" s="8" t="s">
        <v>10269</v>
      </c>
      <c r="I3317" s="8" t="s">
        <v>10270</v>
      </c>
      <c r="J3317" s="8" t="s">
        <v>10271</v>
      </c>
    </row>
    <row r="3318">
      <c r="A3318" s="7">
        <v>2.0063465E7</v>
      </c>
      <c r="B3318" s="8" t="s">
        <v>4599</v>
      </c>
      <c r="C3318" s="8" t="s">
        <v>10272</v>
      </c>
      <c r="D3318" s="8" t="s">
        <v>2136</v>
      </c>
      <c r="E3318" s="8" t="s">
        <v>17</v>
      </c>
      <c r="F3318" s="9">
        <v>46155.0</v>
      </c>
      <c r="G3318" s="8" t="s">
        <v>1969</v>
      </c>
      <c r="H3318" s="8" t="s">
        <v>1970</v>
      </c>
      <c r="I3318" s="8" t="s">
        <v>10273</v>
      </c>
      <c r="J3318" s="8" t="s">
        <v>10274</v>
      </c>
    </row>
    <row r="3319">
      <c r="A3319" s="7">
        <v>2.0061478E7</v>
      </c>
      <c r="B3319" s="8" t="s">
        <v>4599</v>
      </c>
      <c r="C3319" s="8" t="s">
        <v>10275</v>
      </c>
      <c r="D3319" s="8" t="s">
        <v>16</v>
      </c>
      <c r="E3319" s="8" t="s">
        <v>17</v>
      </c>
      <c r="F3319" s="9">
        <v>46146.0</v>
      </c>
      <c r="G3319" s="8" t="s">
        <v>352</v>
      </c>
      <c r="H3319" s="8" t="s">
        <v>353</v>
      </c>
      <c r="I3319" s="8" t="s">
        <v>10276</v>
      </c>
      <c r="J3319" s="8" t="s">
        <v>10277</v>
      </c>
    </row>
    <row r="3320">
      <c r="A3320" s="7">
        <v>2.0058805E7</v>
      </c>
      <c r="B3320" s="8" t="s">
        <v>4599</v>
      </c>
      <c r="C3320" s="8" t="s">
        <v>10278</v>
      </c>
      <c r="D3320" s="8" t="s">
        <v>16</v>
      </c>
      <c r="E3320" s="8" t="s">
        <v>17</v>
      </c>
      <c r="F3320" s="9">
        <v>46143.0</v>
      </c>
      <c r="G3320" s="8" t="s">
        <v>1132</v>
      </c>
      <c r="H3320" s="8" t="s">
        <v>1133</v>
      </c>
      <c r="I3320" s="8" t="s">
        <v>10279</v>
      </c>
      <c r="J3320" s="8" t="s">
        <v>10280</v>
      </c>
    </row>
    <row r="3321">
      <c r="A3321" s="7">
        <v>2.0053893E7</v>
      </c>
      <c r="B3321" s="8" t="s">
        <v>4599</v>
      </c>
      <c r="C3321" s="8" t="s">
        <v>10281</v>
      </c>
      <c r="D3321" s="8" t="s">
        <v>16</v>
      </c>
      <c r="E3321" s="8" t="s">
        <v>17</v>
      </c>
      <c r="F3321" s="9">
        <v>46130.0</v>
      </c>
      <c r="G3321" s="8" t="s">
        <v>153</v>
      </c>
      <c r="H3321" s="8" t="s">
        <v>154</v>
      </c>
      <c r="I3321" s="8" t="s">
        <v>10282</v>
      </c>
      <c r="J3321" s="8" t="s">
        <v>10283</v>
      </c>
    </row>
    <row r="3322">
      <c r="A3322" s="7">
        <v>2.0056199E7</v>
      </c>
      <c r="B3322" s="8" t="s">
        <v>4599</v>
      </c>
      <c r="C3322" s="8" t="s">
        <v>10284</v>
      </c>
      <c r="D3322" s="8" t="s">
        <v>16</v>
      </c>
      <c r="E3322" s="8" t="s">
        <v>17</v>
      </c>
      <c r="F3322" s="9">
        <v>46134.0</v>
      </c>
      <c r="G3322" s="8" t="s">
        <v>1085</v>
      </c>
      <c r="H3322" s="8" t="s">
        <v>1086</v>
      </c>
      <c r="I3322" s="8" t="s">
        <v>10285</v>
      </c>
      <c r="J3322" s="8" t="s">
        <v>10286</v>
      </c>
    </row>
    <row r="3323">
      <c r="A3323" s="7">
        <v>2.005595E7</v>
      </c>
      <c r="B3323" s="8" t="s">
        <v>4599</v>
      </c>
      <c r="C3323" s="8" t="s">
        <v>10287</v>
      </c>
      <c r="D3323" s="8" t="s">
        <v>16</v>
      </c>
      <c r="E3323" s="8" t="s">
        <v>17</v>
      </c>
      <c r="F3323" s="9">
        <v>46143.0</v>
      </c>
      <c r="G3323" s="8" t="s">
        <v>688</v>
      </c>
      <c r="H3323" s="8" t="s">
        <v>689</v>
      </c>
      <c r="I3323" s="8" t="s">
        <v>10288</v>
      </c>
      <c r="J3323" s="8"/>
    </row>
    <row r="3324">
      <c r="A3324" s="7">
        <v>2.0053577E7</v>
      </c>
      <c r="B3324" s="8" t="s">
        <v>4599</v>
      </c>
      <c r="C3324" s="8" t="s">
        <v>10289</v>
      </c>
      <c r="D3324" s="8" t="s">
        <v>16</v>
      </c>
      <c r="E3324" s="8" t="s">
        <v>17</v>
      </c>
      <c r="F3324" s="9">
        <v>46112.0</v>
      </c>
      <c r="G3324" s="8" t="s">
        <v>59</v>
      </c>
      <c r="H3324" s="8" t="s">
        <v>60</v>
      </c>
      <c r="I3324" s="8" t="s">
        <v>10290</v>
      </c>
      <c r="J3324" s="8" t="s">
        <v>10291</v>
      </c>
    </row>
    <row r="3325">
      <c r="A3325" s="7">
        <v>2.0043955E7</v>
      </c>
      <c r="B3325" s="8" t="s">
        <v>4599</v>
      </c>
      <c r="C3325" s="8" t="s">
        <v>10292</v>
      </c>
      <c r="D3325" s="8" t="s">
        <v>16</v>
      </c>
      <c r="E3325" s="8" t="s">
        <v>17</v>
      </c>
      <c r="F3325" s="9">
        <v>46091.0</v>
      </c>
      <c r="G3325" s="8" t="s">
        <v>158</v>
      </c>
      <c r="H3325" s="8" t="s">
        <v>159</v>
      </c>
      <c r="I3325" s="8" t="s">
        <v>10293</v>
      </c>
      <c r="J3325" s="8" t="s">
        <v>10294</v>
      </c>
    </row>
    <row r="3326">
      <c r="A3326" s="7">
        <v>2.0043318E7</v>
      </c>
      <c r="B3326" s="8" t="s">
        <v>4599</v>
      </c>
      <c r="C3326" s="8" t="s">
        <v>10295</v>
      </c>
      <c r="D3326" s="8" t="s">
        <v>16</v>
      </c>
      <c r="E3326" s="8" t="s">
        <v>17</v>
      </c>
      <c r="F3326" s="9">
        <v>46073.0</v>
      </c>
      <c r="G3326" s="8" t="s">
        <v>868</v>
      </c>
      <c r="H3326" s="8" t="s">
        <v>869</v>
      </c>
      <c r="I3326" s="8" t="s">
        <v>10296</v>
      </c>
      <c r="J3326" s="8" t="s">
        <v>10297</v>
      </c>
    </row>
    <row r="3327">
      <c r="A3327" s="7">
        <v>2.003826E7</v>
      </c>
      <c r="B3327" s="8" t="s">
        <v>4599</v>
      </c>
      <c r="C3327" s="8" t="s">
        <v>10298</v>
      </c>
      <c r="D3327" s="8" t="s">
        <v>16</v>
      </c>
      <c r="E3327" s="8" t="s">
        <v>17</v>
      </c>
      <c r="F3327" s="9">
        <v>46076.0</v>
      </c>
      <c r="G3327" s="8" t="s">
        <v>29</v>
      </c>
      <c r="H3327" s="8" t="s">
        <v>30</v>
      </c>
      <c r="I3327" s="8" t="s">
        <v>10299</v>
      </c>
      <c r="J3327" s="8" t="s">
        <v>10300</v>
      </c>
    </row>
    <row r="3328">
      <c r="A3328" s="7">
        <v>2.0040804E7</v>
      </c>
      <c r="B3328" s="8" t="s">
        <v>4599</v>
      </c>
      <c r="C3328" s="8" t="s">
        <v>10301</v>
      </c>
      <c r="D3328" s="8" t="s">
        <v>16</v>
      </c>
      <c r="E3328" s="8" t="s">
        <v>17</v>
      </c>
      <c r="F3328" s="9">
        <v>46082.0</v>
      </c>
      <c r="G3328" s="8" t="s">
        <v>314</v>
      </c>
      <c r="H3328" s="8" t="s">
        <v>315</v>
      </c>
      <c r="I3328" s="8" t="s">
        <v>10302</v>
      </c>
      <c r="J3328" s="8" t="s">
        <v>10303</v>
      </c>
    </row>
    <row r="3329">
      <c r="A3329" s="7">
        <v>2.0037612E7</v>
      </c>
      <c r="B3329" s="8" t="s">
        <v>4599</v>
      </c>
      <c r="C3329" s="8" t="s">
        <v>10304</v>
      </c>
      <c r="D3329" s="8" t="s">
        <v>16</v>
      </c>
      <c r="E3329" s="8" t="s">
        <v>17</v>
      </c>
      <c r="F3329" s="9">
        <v>46070.0</v>
      </c>
      <c r="G3329" s="8" t="s">
        <v>908</v>
      </c>
      <c r="H3329" s="8" t="s">
        <v>909</v>
      </c>
      <c r="I3329" s="8" t="s">
        <v>10305</v>
      </c>
      <c r="J3329" s="8" t="s">
        <v>10306</v>
      </c>
    </row>
    <row r="3330">
      <c r="A3330" s="7">
        <v>2.0038113E7</v>
      </c>
      <c r="B3330" s="8" t="s">
        <v>4599</v>
      </c>
      <c r="C3330" s="8" t="s">
        <v>10307</v>
      </c>
      <c r="D3330" s="8" t="s">
        <v>16</v>
      </c>
      <c r="E3330" s="8" t="s">
        <v>17</v>
      </c>
      <c r="F3330" s="9">
        <v>46053.0</v>
      </c>
      <c r="G3330" s="8" t="s">
        <v>385</v>
      </c>
      <c r="H3330" s="8" t="s">
        <v>386</v>
      </c>
      <c r="I3330" s="8" t="s">
        <v>10308</v>
      </c>
      <c r="J3330" s="8" t="s">
        <v>10309</v>
      </c>
    </row>
    <row r="3331">
      <c r="A3331" s="7">
        <v>2.003765E7</v>
      </c>
      <c r="B3331" s="8" t="s">
        <v>4599</v>
      </c>
      <c r="C3331" s="8" t="s">
        <v>10310</v>
      </c>
      <c r="D3331" s="8" t="s">
        <v>16</v>
      </c>
      <c r="E3331" s="8" t="s">
        <v>17</v>
      </c>
      <c r="F3331" s="9">
        <v>46053.0</v>
      </c>
      <c r="G3331" s="8" t="s">
        <v>923</v>
      </c>
      <c r="H3331" s="8" t="s">
        <v>71</v>
      </c>
      <c r="I3331" s="8" t="s">
        <v>10311</v>
      </c>
      <c r="J3331" s="8" t="s">
        <v>10312</v>
      </c>
    </row>
    <row r="3332">
      <c r="A3332" s="7">
        <v>2.0035735E7</v>
      </c>
      <c r="B3332" s="8" t="s">
        <v>4599</v>
      </c>
      <c r="C3332" s="8" t="s">
        <v>10313</v>
      </c>
      <c r="D3332" s="8" t="s">
        <v>16</v>
      </c>
      <c r="E3332" s="8" t="s">
        <v>17</v>
      </c>
      <c r="F3332" s="9">
        <v>46053.0</v>
      </c>
      <c r="G3332" s="8" t="s">
        <v>247</v>
      </c>
      <c r="H3332" s="8" t="s">
        <v>248</v>
      </c>
      <c r="I3332" s="8" t="s">
        <v>10314</v>
      </c>
      <c r="J3332" s="8" t="s">
        <v>10315</v>
      </c>
    </row>
    <row r="3333">
      <c r="A3333" s="7">
        <v>2.0036193E7</v>
      </c>
      <c r="B3333" s="8" t="s">
        <v>4599</v>
      </c>
      <c r="C3333" s="8" t="s">
        <v>10316</v>
      </c>
      <c r="D3333" s="8" t="s">
        <v>16</v>
      </c>
      <c r="E3333" s="8" t="s">
        <v>48</v>
      </c>
      <c r="F3333" s="9">
        <v>46049.0</v>
      </c>
      <c r="G3333" s="8" t="s">
        <v>365</v>
      </c>
      <c r="H3333" s="8" t="s">
        <v>366</v>
      </c>
      <c r="I3333" s="8" t="s">
        <v>10317</v>
      </c>
      <c r="J3333" s="8" t="s">
        <v>10318</v>
      </c>
    </row>
    <row r="3334">
      <c r="A3334" s="7">
        <v>2.0035678E7</v>
      </c>
      <c r="B3334" s="8" t="s">
        <v>4599</v>
      </c>
      <c r="C3334" s="8" t="s">
        <v>10319</v>
      </c>
      <c r="D3334" s="8" t="s">
        <v>16</v>
      </c>
      <c r="E3334" s="8" t="s">
        <v>17</v>
      </c>
      <c r="F3334" s="9">
        <v>46046.0</v>
      </c>
      <c r="G3334" s="8" t="s">
        <v>277</v>
      </c>
      <c r="H3334" s="8" t="s">
        <v>278</v>
      </c>
      <c r="I3334" s="8" t="s">
        <v>10320</v>
      </c>
      <c r="J3334" s="8"/>
    </row>
    <row r="3335">
      <c r="A3335" s="7">
        <v>2.0035678E7</v>
      </c>
      <c r="B3335" s="8" t="s">
        <v>4599</v>
      </c>
      <c r="C3335" s="8" t="s">
        <v>10319</v>
      </c>
      <c r="D3335" s="8" t="s">
        <v>16</v>
      </c>
      <c r="E3335" s="8" t="s">
        <v>17</v>
      </c>
      <c r="F3335" s="9">
        <v>46046.0</v>
      </c>
      <c r="G3335" s="8" t="s">
        <v>277</v>
      </c>
      <c r="H3335" s="8" t="s">
        <v>278</v>
      </c>
      <c r="I3335" s="8" t="s">
        <v>10321</v>
      </c>
      <c r="J3335" s="8" t="s">
        <v>10322</v>
      </c>
    </row>
    <row r="3336">
      <c r="A3336" s="7">
        <v>2.0032839E7</v>
      </c>
      <c r="B3336" s="8" t="s">
        <v>4599</v>
      </c>
      <c r="C3336" s="8" t="s">
        <v>10323</v>
      </c>
      <c r="D3336" s="8" t="s">
        <v>16</v>
      </c>
      <c r="E3336" s="8" t="s">
        <v>17</v>
      </c>
      <c r="F3336" s="9">
        <v>46050.0</v>
      </c>
      <c r="G3336" s="8" t="s">
        <v>18</v>
      </c>
      <c r="H3336" s="8" t="s">
        <v>19</v>
      </c>
      <c r="I3336" s="8" t="s">
        <v>10324</v>
      </c>
      <c r="J3336" s="8" t="s">
        <v>10325</v>
      </c>
    </row>
    <row r="3337">
      <c r="A3337" s="7">
        <v>2.0071863E7</v>
      </c>
      <c r="B3337" s="8" t="s">
        <v>4599</v>
      </c>
      <c r="C3337" s="8" t="s">
        <v>10326</v>
      </c>
      <c r="D3337" s="8" t="s">
        <v>16</v>
      </c>
      <c r="E3337" s="8" t="s">
        <v>17</v>
      </c>
      <c r="F3337" s="9">
        <v>46189.0</v>
      </c>
      <c r="G3337" s="8" t="s">
        <v>59</v>
      </c>
      <c r="H3337" s="8" t="s">
        <v>60</v>
      </c>
      <c r="I3337" s="8" t="s">
        <v>10327</v>
      </c>
      <c r="J3337" s="8" t="s">
        <v>10328</v>
      </c>
    </row>
    <row r="3338">
      <c r="A3338" s="7">
        <v>2.0070861E7</v>
      </c>
      <c r="B3338" s="8" t="s">
        <v>4599</v>
      </c>
      <c r="C3338" s="8" t="s">
        <v>10329</v>
      </c>
      <c r="D3338" s="8" t="s">
        <v>16</v>
      </c>
      <c r="E3338" s="8" t="s">
        <v>17</v>
      </c>
      <c r="F3338" s="9">
        <v>46192.0</v>
      </c>
      <c r="G3338" s="8" t="s">
        <v>2724</v>
      </c>
      <c r="H3338" s="8" t="s">
        <v>2725</v>
      </c>
      <c r="I3338" s="8" t="s">
        <v>10330</v>
      </c>
      <c r="J3338" s="8" t="s">
        <v>10331</v>
      </c>
    </row>
    <row r="3339">
      <c r="A3339" s="7">
        <v>2.0068626E7</v>
      </c>
      <c r="B3339" s="8" t="s">
        <v>4599</v>
      </c>
      <c r="C3339" s="8" t="s">
        <v>10332</v>
      </c>
      <c r="D3339" s="8" t="s">
        <v>16</v>
      </c>
      <c r="E3339" s="8" t="s">
        <v>17</v>
      </c>
      <c r="F3339" s="9">
        <v>46185.0</v>
      </c>
      <c r="G3339" s="8" t="s">
        <v>195</v>
      </c>
      <c r="H3339" s="8" t="s">
        <v>196</v>
      </c>
      <c r="I3339" s="8" t="s">
        <v>10333</v>
      </c>
      <c r="J3339" s="8" t="s">
        <v>10334</v>
      </c>
    </row>
    <row r="3340">
      <c r="A3340" s="7">
        <v>2.0069082E7</v>
      </c>
      <c r="B3340" s="8" t="s">
        <v>4599</v>
      </c>
      <c r="C3340" s="8" t="s">
        <v>10335</v>
      </c>
      <c r="D3340" s="8" t="s">
        <v>16</v>
      </c>
      <c r="E3340" s="8" t="s">
        <v>17</v>
      </c>
      <c r="F3340" s="9">
        <v>46190.0</v>
      </c>
      <c r="G3340" s="8" t="s">
        <v>75</v>
      </c>
      <c r="H3340" s="8" t="s">
        <v>76</v>
      </c>
      <c r="I3340" s="8" t="s">
        <v>10336</v>
      </c>
      <c r="J3340" s="8" t="s">
        <v>10337</v>
      </c>
    </row>
    <row r="3341">
      <c r="A3341" s="7">
        <v>2.0068749E7</v>
      </c>
      <c r="B3341" s="8" t="s">
        <v>4599</v>
      </c>
      <c r="C3341" s="8" t="s">
        <v>10338</v>
      </c>
      <c r="D3341" s="8" t="s">
        <v>16</v>
      </c>
      <c r="E3341" s="8" t="s">
        <v>17</v>
      </c>
      <c r="F3341" s="9">
        <v>46185.0</v>
      </c>
      <c r="G3341" s="8" t="s">
        <v>34</v>
      </c>
      <c r="H3341" s="8" t="s">
        <v>35</v>
      </c>
      <c r="I3341" s="8" t="s">
        <v>10339</v>
      </c>
      <c r="J3341" s="8" t="s">
        <v>10340</v>
      </c>
    </row>
    <row r="3342">
      <c r="A3342" s="7">
        <v>2.0068076E7</v>
      </c>
      <c r="B3342" s="8" t="s">
        <v>4599</v>
      </c>
      <c r="C3342" s="8" t="s">
        <v>10341</v>
      </c>
      <c r="D3342" s="8" t="s">
        <v>2136</v>
      </c>
      <c r="E3342" s="8" t="s">
        <v>17</v>
      </c>
      <c r="F3342" s="9">
        <v>46173.0</v>
      </c>
      <c r="G3342" s="8" t="s">
        <v>75</v>
      </c>
      <c r="H3342" s="8" t="s">
        <v>76</v>
      </c>
      <c r="I3342" s="8" t="s">
        <v>10342</v>
      </c>
      <c r="J3342" s="8" t="s">
        <v>10343</v>
      </c>
    </row>
    <row r="3343">
      <c r="A3343" s="7">
        <v>2.0067639E7</v>
      </c>
      <c r="B3343" s="8" t="s">
        <v>4599</v>
      </c>
      <c r="C3343" s="8" t="s">
        <v>10344</v>
      </c>
      <c r="D3343" s="8" t="s">
        <v>16</v>
      </c>
      <c r="E3343" s="8" t="s">
        <v>17</v>
      </c>
      <c r="F3343" s="9">
        <v>46193.0</v>
      </c>
      <c r="G3343" s="8" t="s">
        <v>171</v>
      </c>
      <c r="H3343" s="8" t="s">
        <v>172</v>
      </c>
      <c r="I3343" s="8" t="s">
        <v>10345</v>
      </c>
      <c r="J3343" s="8" t="s">
        <v>10346</v>
      </c>
    </row>
    <row r="3344">
      <c r="A3344" s="7">
        <v>2.0066611E7</v>
      </c>
      <c r="B3344" s="8" t="s">
        <v>4599</v>
      </c>
      <c r="C3344" s="8" t="s">
        <v>10347</v>
      </c>
      <c r="D3344" s="8" t="s">
        <v>16</v>
      </c>
      <c r="E3344" s="8" t="s">
        <v>17</v>
      </c>
      <c r="F3344" s="9">
        <v>46191.0</v>
      </c>
      <c r="G3344" s="8" t="s">
        <v>10348</v>
      </c>
      <c r="H3344" s="8" t="s">
        <v>10349</v>
      </c>
      <c r="I3344" s="8" t="s">
        <v>10350</v>
      </c>
      <c r="J3344" s="8"/>
    </row>
    <row r="3345">
      <c r="A3345" s="7">
        <v>2.0066272E7</v>
      </c>
      <c r="B3345" s="8" t="s">
        <v>4599</v>
      </c>
      <c r="C3345" s="8" t="s">
        <v>10351</v>
      </c>
      <c r="D3345" s="8" t="s">
        <v>16</v>
      </c>
      <c r="E3345" s="8" t="s">
        <v>17</v>
      </c>
      <c r="F3345" s="9">
        <v>46180.0</v>
      </c>
      <c r="G3345" s="8" t="s">
        <v>59</v>
      </c>
      <c r="H3345" s="8" t="s">
        <v>60</v>
      </c>
      <c r="I3345" s="8" t="s">
        <v>10352</v>
      </c>
      <c r="J3345" s="8" t="s">
        <v>10353</v>
      </c>
    </row>
    <row r="3346">
      <c r="A3346" s="7">
        <v>2.0064985E7</v>
      </c>
      <c r="B3346" s="8" t="s">
        <v>4599</v>
      </c>
      <c r="C3346" s="8" t="s">
        <v>10354</v>
      </c>
      <c r="D3346" s="8" t="s">
        <v>16</v>
      </c>
      <c r="E3346" s="8" t="s">
        <v>17</v>
      </c>
      <c r="F3346" s="9">
        <v>46167.0</v>
      </c>
      <c r="G3346" s="8" t="s">
        <v>800</v>
      </c>
      <c r="H3346" s="8" t="s">
        <v>801</v>
      </c>
      <c r="I3346" s="8" t="s">
        <v>10355</v>
      </c>
      <c r="J3346" s="8" t="s">
        <v>10356</v>
      </c>
    </row>
    <row r="3347">
      <c r="A3347" s="7">
        <v>2.0063788E7</v>
      </c>
      <c r="B3347" s="8" t="s">
        <v>4599</v>
      </c>
      <c r="C3347" s="8" t="s">
        <v>10357</v>
      </c>
      <c r="D3347" s="8" t="s">
        <v>16</v>
      </c>
      <c r="E3347" s="8" t="s">
        <v>17</v>
      </c>
      <c r="F3347" s="9">
        <v>46158.0</v>
      </c>
      <c r="G3347" s="8" t="s">
        <v>3012</v>
      </c>
      <c r="H3347" s="8" t="s">
        <v>3013</v>
      </c>
      <c r="I3347" s="8" t="s">
        <v>10358</v>
      </c>
      <c r="J3347" s="8" t="s">
        <v>10359</v>
      </c>
    </row>
    <row r="3348">
      <c r="A3348" s="7">
        <v>2.0064213E7</v>
      </c>
      <c r="B3348" s="8" t="s">
        <v>4599</v>
      </c>
      <c r="C3348" s="8" t="s">
        <v>10360</v>
      </c>
      <c r="D3348" s="8" t="s">
        <v>16</v>
      </c>
      <c r="E3348" s="8" t="s">
        <v>17</v>
      </c>
      <c r="F3348" s="9">
        <v>46185.0</v>
      </c>
      <c r="G3348" s="8" t="s">
        <v>158</v>
      </c>
      <c r="H3348" s="8" t="s">
        <v>159</v>
      </c>
      <c r="I3348" s="8" t="s">
        <v>10361</v>
      </c>
      <c r="J3348" s="8" t="s">
        <v>10362</v>
      </c>
    </row>
    <row r="3349">
      <c r="A3349" s="7">
        <v>2.0061244E7</v>
      </c>
      <c r="B3349" s="8" t="s">
        <v>4599</v>
      </c>
      <c r="C3349" s="8" t="s">
        <v>10363</v>
      </c>
      <c r="D3349" s="8" t="s">
        <v>16</v>
      </c>
      <c r="E3349" s="8" t="s">
        <v>17</v>
      </c>
      <c r="F3349" s="9">
        <v>46152.0</v>
      </c>
      <c r="G3349" s="8" t="s">
        <v>59</v>
      </c>
      <c r="H3349" s="8" t="s">
        <v>60</v>
      </c>
      <c r="I3349" s="8" t="s">
        <v>10364</v>
      </c>
      <c r="J3349" s="8" t="s">
        <v>10365</v>
      </c>
    </row>
    <row r="3350">
      <c r="A3350" s="7">
        <v>2.0057674E7</v>
      </c>
      <c r="B3350" s="8" t="s">
        <v>4599</v>
      </c>
      <c r="C3350" s="8" t="s">
        <v>10366</v>
      </c>
      <c r="D3350" s="8" t="s">
        <v>16</v>
      </c>
      <c r="E3350" s="8" t="s">
        <v>17</v>
      </c>
      <c r="F3350" s="9">
        <v>46151.0</v>
      </c>
      <c r="G3350" s="8" t="s">
        <v>10367</v>
      </c>
      <c r="H3350" s="8" t="s">
        <v>10368</v>
      </c>
      <c r="I3350" s="8" t="s">
        <v>10369</v>
      </c>
      <c r="J3350" s="8" t="s">
        <v>10370</v>
      </c>
    </row>
    <row r="3351">
      <c r="A3351" s="7">
        <v>2.0057093E7</v>
      </c>
      <c r="B3351" s="8" t="s">
        <v>4599</v>
      </c>
      <c r="C3351" s="8" t="s">
        <v>10371</v>
      </c>
      <c r="D3351" s="8" t="s">
        <v>16</v>
      </c>
      <c r="E3351" s="8" t="s">
        <v>17</v>
      </c>
      <c r="F3351" s="9">
        <v>46151.0</v>
      </c>
      <c r="G3351" s="8" t="s">
        <v>791</v>
      </c>
      <c r="H3351" s="8" t="s">
        <v>792</v>
      </c>
      <c r="I3351" s="8" t="s">
        <v>10372</v>
      </c>
      <c r="J3351" s="8"/>
    </row>
    <row r="3352">
      <c r="A3352" s="7">
        <v>2.0056267E7</v>
      </c>
      <c r="B3352" s="8" t="s">
        <v>4599</v>
      </c>
      <c r="C3352" s="8" t="s">
        <v>10373</v>
      </c>
      <c r="D3352" s="8" t="s">
        <v>16</v>
      </c>
      <c r="E3352" s="8" t="s">
        <v>48</v>
      </c>
      <c r="F3352" s="9">
        <v>46146.0</v>
      </c>
      <c r="G3352" s="8" t="s">
        <v>1841</v>
      </c>
      <c r="H3352" s="8" t="s">
        <v>1842</v>
      </c>
      <c r="I3352" s="8" t="s">
        <v>10374</v>
      </c>
      <c r="J3352" s="8"/>
    </row>
    <row r="3353">
      <c r="A3353" s="7">
        <v>2.0042791E7</v>
      </c>
      <c r="B3353" s="8" t="s">
        <v>4599</v>
      </c>
      <c r="C3353" s="8" t="s">
        <v>10375</v>
      </c>
      <c r="D3353" s="8" t="s">
        <v>16</v>
      </c>
      <c r="E3353" s="8" t="s">
        <v>17</v>
      </c>
      <c r="F3353" s="9">
        <v>46132.0</v>
      </c>
      <c r="G3353" s="8" t="s">
        <v>171</v>
      </c>
      <c r="H3353" s="8" t="s">
        <v>172</v>
      </c>
      <c r="I3353" s="8" t="s">
        <v>10376</v>
      </c>
      <c r="J3353" s="8" t="s">
        <v>10377</v>
      </c>
    </row>
    <row r="3354">
      <c r="A3354" s="7">
        <v>2.0052508E7</v>
      </c>
      <c r="B3354" s="8" t="s">
        <v>4599</v>
      </c>
      <c r="C3354" s="8" t="s">
        <v>10378</v>
      </c>
      <c r="D3354" s="8" t="s">
        <v>16</v>
      </c>
      <c r="E3354" s="8" t="s">
        <v>17</v>
      </c>
      <c r="F3354" s="9">
        <v>46107.0</v>
      </c>
      <c r="G3354" s="8" t="s">
        <v>220</v>
      </c>
      <c r="H3354" s="8" t="s">
        <v>221</v>
      </c>
      <c r="I3354" s="8" t="s">
        <v>10379</v>
      </c>
      <c r="J3354" s="8" t="s">
        <v>10380</v>
      </c>
    </row>
    <row r="3355">
      <c r="A3355" s="7">
        <v>2.0049951E7</v>
      </c>
      <c r="B3355" s="8" t="s">
        <v>4599</v>
      </c>
      <c r="C3355" s="8" t="s">
        <v>10381</v>
      </c>
      <c r="D3355" s="8" t="s">
        <v>16</v>
      </c>
      <c r="E3355" s="8" t="s">
        <v>17</v>
      </c>
      <c r="F3355" s="9">
        <v>46099.0</v>
      </c>
      <c r="G3355" s="8" t="s">
        <v>6038</v>
      </c>
      <c r="H3355" s="8" t="s">
        <v>6039</v>
      </c>
      <c r="I3355" s="8" t="s">
        <v>10382</v>
      </c>
      <c r="J3355" s="8" t="s">
        <v>1752</v>
      </c>
    </row>
    <row r="3356">
      <c r="A3356" s="7">
        <v>2.0047147E7</v>
      </c>
      <c r="B3356" s="8" t="s">
        <v>4599</v>
      </c>
      <c r="C3356" s="8" t="s">
        <v>10383</v>
      </c>
      <c r="D3356" s="8" t="s">
        <v>16</v>
      </c>
      <c r="E3356" s="8" t="s">
        <v>17</v>
      </c>
      <c r="F3356" s="9">
        <v>46085.0</v>
      </c>
      <c r="G3356" s="8" t="s">
        <v>234</v>
      </c>
      <c r="H3356" s="8" t="s">
        <v>235</v>
      </c>
      <c r="I3356" s="8" t="s">
        <v>10384</v>
      </c>
      <c r="J3356" s="8" t="s">
        <v>10385</v>
      </c>
    </row>
    <row r="3357">
      <c r="A3357" s="7">
        <v>2.0044274E7</v>
      </c>
      <c r="B3357" s="8" t="s">
        <v>4599</v>
      </c>
      <c r="C3357" s="8" t="s">
        <v>10386</v>
      </c>
      <c r="D3357" s="8" t="s">
        <v>16</v>
      </c>
      <c r="E3357" s="8" t="s">
        <v>17</v>
      </c>
      <c r="F3357" s="9">
        <v>46080.0</v>
      </c>
      <c r="G3357" s="8" t="s">
        <v>822</v>
      </c>
      <c r="H3357" s="8" t="s">
        <v>120</v>
      </c>
      <c r="I3357" s="8" t="s">
        <v>10387</v>
      </c>
      <c r="J3357" s="8" t="s">
        <v>10388</v>
      </c>
    </row>
    <row r="3358">
      <c r="A3358" s="7">
        <v>2.0036903E7</v>
      </c>
      <c r="B3358" s="8" t="s">
        <v>4599</v>
      </c>
      <c r="C3358" s="8" t="s">
        <v>10389</v>
      </c>
      <c r="D3358" s="8" t="s">
        <v>16</v>
      </c>
      <c r="E3358" s="8" t="s">
        <v>17</v>
      </c>
      <c r="F3358" s="9">
        <v>46054.0</v>
      </c>
      <c r="G3358" s="8" t="s">
        <v>3812</v>
      </c>
      <c r="H3358" s="8" t="s">
        <v>3813</v>
      </c>
      <c r="I3358" s="8" t="s">
        <v>10390</v>
      </c>
      <c r="J3358" s="8" t="s">
        <v>10391</v>
      </c>
    </row>
    <row r="3359">
      <c r="A3359" s="7">
        <v>2.0035985E7</v>
      </c>
      <c r="B3359" s="8" t="s">
        <v>4599</v>
      </c>
      <c r="C3359" s="8" t="s">
        <v>10392</v>
      </c>
      <c r="D3359" s="8" t="s">
        <v>16</v>
      </c>
      <c r="E3359" s="8" t="s">
        <v>17</v>
      </c>
      <c r="F3359" s="9">
        <v>46046.0</v>
      </c>
      <c r="G3359" s="8" t="s">
        <v>3012</v>
      </c>
      <c r="H3359" s="8" t="s">
        <v>3013</v>
      </c>
      <c r="I3359" s="8" t="s">
        <v>10393</v>
      </c>
      <c r="J3359" s="8" t="s">
        <v>10394</v>
      </c>
    </row>
    <row r="3360">
      <c r="A3360" s="7">
        <v>2.0035554E7</v>
      </c>
      <c r="B3360" s="8" t="s">
        <v>4599</v>
      </c>
      <c r="C3360" s="8" t="s">
        <v>10395</v>
      </c>
      <c r="D3360" s="8" t="s">
        <v>16</v>
      </c>
      <c r="E3360" s="8" t="s">
        <v>17</v>
      </c>
      <c r="F3360" s="9">
        <v>46058.0</v>
      </c>
      <c r="G3360" s="8" t="s">
        <v>171</v>
      </c>
      <c r="H3360" s="8" t="s">
        <v>172</v>
      </c>
      <c r="I3360" s="8" t="s">
        <v>10396</v>
      </c>
      <c r="J3360" s="8"/>
    </row>
    <row r="3361">
      <c r="A3361" s="7">
        <v>2.0033023E7</v>
      </c>
      <c r="B3361" s="8" t="s">
        <v>4599</v>
      </c>
      <c r="C3361" s="8" t="s">
        <v>10397</v>
      </c>
      <c r="D3361" s="8" t="s">
        <v>16</v>
      </c>
      <c r="E3361" s="8" t="s">
        <v>17</v>
      </c>
      <c r="F3361" s="9">
        <v>46059.0</v>
      </c>
      <c r="G3361" s="8" t="s">
        <v>2075</v>
      </c>
      <c r="H3361" s="8" t="s">
        <v>2076</v>
      </c>
      <c r="I3361" s="8" t="s">
        <v>10398</v>
      </c>
      <c r="J3361" s="8" t="s">
        <v>10399</v>
      </c>
    </row>
    <row r="3362">
      <c r="A3362" s="7">
        <v>2.0032598E7</v>
      </c>
      <c r="B3362" s="8" t="s">
        <v>4599</v>
      </c>
      <c r="C3362" s="8" t="s">
        <v>10400</v>
      </c>
      <c r="D3362" s="8" t="s">
        <v>16</v>
      </c>
      <c r="E3362" s="8" t="s">
        <v>17</v>
      </c>
      <c r="F3362" s="9">
        <v>46037.0</v>
      </c>
      <c r="G3362" s="8" t="s">
        <v>504</v>
      </c>
      <c r="H3362" s="8" t="s">
        <v>505</v>
      </c>
      <c r="I3362" s="8" t="s">
        <v>10401</v>
      </c>
      <c r="J3362" s="8" t="s">
        <v>10402</v>
      </c>
    </row>
    <row r="3363">
      <c r="A3363" s="7">
        <v>2.0068061E7</v>
      </c>
      <c r="B3363" s="8" t="s">
        <v>4599</v>
      </c>
      <c r="C3363" s="8" t="s">
        <v>10403</v>
      </c>
      <c r="D3363" s="8" t="s">
        <v>16</v>
      </c>
      <c r="E3363" s="8" t="s">
        <v>17</v>
      </c>
      <c r="F3363" s="9">
        <v>46185.0</v>
      </c>
      <c r="G3363" s="8" t="s">
        <v>630</v>
      </c>
      <c r="H3363" s="8" t="s">
        <v>631</v>
      </c>
      <c r="I3363" s="8" t="s">
        <v>10404</v>
      </c>
      <c r="J3363" s="8" t="s">
        <v>10405</v>
      </c>
    </row>
    <row r="3364">
      <c r="A3364" s="7">
        <v>2.0068847E7</v>
      </c>
      <c r="B3364" s="8" t="s">
        <v>4599</v>
      </c>
      <c r="C3364" s="8" t="s">
        <v>10406</v>
      </c>
      <c r="D3364" s="8" t="s">
        <v>16</v>
      </c>
      <c r="E3364" s="8" t="s">
        <v>17</v>
      </c>
      <c r="F3364" s="9">
        <v>46177.0</v>
      </c>
      <c r="G3364" s="8" t="s">
        <v>220</v>
      </c>
      <c r="H3364" s="8" t="s">
        <v>221</v>
      </c>
      <c r="I3364" s="8" t="s">
        <v>10407</v>
      </c>
      <c r="J3364" s="8" t="s">
        <v>10408</v>
      </c>
    </row>
    <row r="3365">
      <c r="A3365" s="7">
        <v>2.0066363E7</v>
      </c>
      <c r="B3365" s="8" t="s">
        <v>4599</v>
      </c>
      <c r="C3365" s="8" t="s">
        <v>10409</v>
      </c>
      <c r="D3365" s="8" t="s">
        <v>16</v>
      </c>
      <c r="E3365" s="8" t="s">
        <v>17</v>
      </c>
      <c r="F3365" s="9">
        <v>46177.0</v>
      </c>
      <c r="G3365" s="8" t="s">
        <v>234</v>
      </c>
      <c r="H3365" s="8" t="s">
        <v>235</v>
      </c>
      <c r="I3365" s="8" t="s">
        <v>10410</v>
      </c>
      <c r="J3365" s="8" t="s">
        <v>10411</v>
      </c>
    </row>
    <row r="3366">
      <c r="A3366" s="7">
        <v>2.0066323E7</v>
      </c>
      <c r="B3366" s="8" t="s">
        <v>4599</v>
      </c>
      <c r="C3366" s="8" t="s">
        <v>10412</v>
      </c>
      <c r="D3366" s="8" t="s">
        <v>2136</v>
      </c>
      <c r="E3366" s="8" t="s">
        <v>17</v>
      </c>
      <c r="F3366" s="9">
        <v>46172.0</v>
      </c>
      <c r="G3366" s="8" t="s">
        <v>868</v>
      </c>
      <c r="H3366" s="8" t="s">
        <v>869</v>
      </c>
      <c r="I3366" s="8" t="s">
        <v>10413</v>
      </c>
      <c r="J3366" s="8" t="s">
        <v>10414</v>
      </c>
    </row>
    <row r="3367">
      <c r="A3367" s="7">
        <v>2.0062916E7</v>
      </c>
      <c r="B3367" s="8" t="s">
        <v>4599</v>
      </c>
      <c r="C3367" s="8" t="s">
        <v>10415</v>
      </c>
      <c r="D3367" s="8" t="s">
        <v>16</v>
      </c>
      <c r="E3367" s="8" t="s">
        <v>17</v>
      </c>
      <c r="F3367" s="9">
        <v>46157.0</v>
      </c>
      <c r="G3367" s="8" t="s">
        <v>59</v>
      </c>
      <c r="H3367" s="8" t="s">
        <v>60</v>
      </c>
      <c r="I3367" s="8" t="s">
        <v>10416</v>
      </c>
      <c r="J3367" s="8" t="s">
        <v>10417</v>
      </c>
    </row>
    <row r="3368">
      <c r="A3368" s="7">
        <v>2.00598E7</v>
      </c>
      <c r="B3368" s="8" t="s">
        <v>4599</v>
      </c>
      <c r="C3368" s="8" t="s">
        <v>10418</v>
      </c>
      <c r="D3368" s="8" t="s">
        <v>16</v>
      </c>
      <c r="E3368" s="8" t="s">
        <v>17</v>
      </c>
      <c r="F3368" s="9">
        <v>46147.0</v>
      </c>
      <c r="G3368" s="8" t="s">
        <v>75</v>
      </c>
      <c r="H3368" s="8" t="s">
        <v>76</v>
      </c>
      <c r="I3368" s="8" t="s">
        <v>10419</v>
      </c>
      <c r="J3368" s="8" t="s">
        <v>10420</v>
      </c>
    </row>
    <row r="3369">
      <c r="A3369" s="7">
        <v>2.0059755E7</v>
      </c>
      <c r="B3369" s="8" t="s">
        <v>4599</v>
      </c>
      <c r="C3369" s="8" t="s">
        <v>10421</v>
      </c>
      <c r="D3369" s="8" t="s">
        <v>16</v>
      </c>
      <c r="E3369" s="8" t="s">
        <v>17</v>
      </c>
      <c r="F3369" s="9">
        <v>46187.0</v>
      </c>
      <c r="G3369" s="8" t="s">
        <v>410</v>
      </c>
      <c r="H3369" s="8" t="s">
        <v>411</v>
      </c>
      <c r="I3369" s="8" t="s">
        <v>10422</v>
      </c>
      <c r="J3369" s="8" t="s">
        <v>10423</v>
      </c>
    </row>
    <row r="3370">
      <c r="A3370" s="7">
        <v>2.0058666E7</v>
      </c>
      <c r="B3370" s="8" t="s">
        <v>4599</v>
      </c>
      <c r="C3370" s="8" t="s">
        <v>10424</v>
      </c>
      <c r="D3370" s="8" t="s">
        <v>16</v>
      </c>
      <c r="E3370" s="8" t="s">
        <v>17</v>
      </c>
      <c r="F3370" s="9">
        <v>46142.0</v>
      </c>
      <c r="G3370" s="8" t="s">
        <v>2511</v>
      </c>
      <c r="H3370" s="8" t="s">
        <v>2512</v>
      </c>
      <c r="I3370" s="8" t="s">
        <v>10425</v>
      </c>
      <c r="J3370" s="8" t="s">
        <v>10426</v>
      </c>
    </row>
    <row r="3371">
      <c r="A3371" s="7">
        <v>2.0058095E7</v>
      </c>
      <c r="B3371" s="8" t="s">
        <v>4599</v>
      </c>
      <c r="C3371" s="8" t="s">
        <v>10427</v>
      </c>
      <c r="D3371" s="8" t="s">
        <v>16</v>
      </c>
      <c r="E3371" s="8" t="s">
        <v>17</v>
      </c>
      <c r="F3371" s="9">
        <v>46135.0</v>
      </c>
      <c r="G3371" s="8" t="s">
        <v>34</v>
      </c>
      <c r="H3371" s="8" t="s">
        <v>35</v>
      </c>
      <c r="I3371" s="8" t="s">
        <v>10428</v>
      </c>
      <c r="J3371" s="8" t="s">
        <v>10429</v>
      </c>
    </row>
    <row r="3372">
      <c r="A3372" s="7">
        <v>2.0056269E7</v>
      </c>
      <c r="B3372" s="8" t="s">
        <v>4599</v>
      </c>
      <c r="C3372" s="8" t="s">
        <v>10430</v>
      </c>
      <c r="D3372" s="8" t="s">
        <v>16</v>
      </c>
      <c r="E3372" s="8" t="s">
        <v>17</v>
      </c>
      <c r="F3372" s="9">
        <v>46127.0</v>
      </c>
      <c r="G3372" s="8" t="s">
        <v>5030</v>
      </c>
      <c r="H3372" s="8" t="s">
        <v>10431</v>
      </c>
      <c r="I3372" s="8" t="s">
        <v>10432</v>
      </c>
      <c r="J3372" s="8" t="s">
        <v>10433</v>
      </c>
    </row>
    <row r="3373">
      <c r="A3373" s="7">
        <v>2.0050911E7</v>
      </c>
      <c r="B3373" s="8" t="s">
        <v>4599</v>
      </c>
      <c r="C3373" s="8" t="s">
        <v>10434</v>
      </c>
      <c r="D3373" s="8" t="s">
        <v>16</v>
      </c>
      <c r="E3373" s="8" t="s">
        <v>17</v>
      </c>
      <c r="F3373" s="9">
        <v>46101.0</v>
      </c>
      <c r="G3373" s="8" t="s">
        <v>59</v>
      </c>
      <c r="H3373" s="8" t="s">
        <v>60</v>
      </c>
      <c r="I3373" s="8" t="s">
        <v>10435</v>
      </c>
      <c r="J3373" s="8" t="s">
        <v>10436</v>
      </c>
    </row>
    <row r="3374">
      <c r="A3374" s="7">
        <v>2.0049885E7</v>
      </c>
      <c r="B3374" s="8" t="s">
        <v>4599</v>
      </c>
      <c r="C3374" s="8" t="s">
        <v>10437</v>
      </c>
      <c r="D3374" s="8" t="s">
        <v>16</v>
      </c>
      <c r="E3374" s="8" t="s">
        <v>17</v>
      </c>
      <c r="F3374" s="9">
        <v>46119.0</v>
      </c>
      <c r="G3374" s="8" t="s">
        <v>64</v>
      </c>
      <c r="H3374" s="8" t="s">
        <v>65</v>
      </c>
      <c r="I3374" s="8" t="s">
        <v>10438</v>
      </c>
      <c r="J3374" s="8" t="s">
        <v>10439</v>
      </c>
    </row>
    <row r="3375">
      <c r="A3375" s="7">
        <v>2.0049381E7</v>
      </c>
      <c r="B3375" s="8" t="s">
        <v>4599</v>
      </c>
      <c r="C3375" s="8" t="s">
        <v>10440</v>
      </c>
      <c r="D3375" s="8" t="s">
        <v>16</v>
      </c>
      <c r="E3375" s="8" t="s">
        <v>17</v>
      </c>
      <c r="F3375" s="9">
        <v>46101.0</v>
      </c>
      <c r="G3375" s="8" t="s">
        <v>423</v>
      </c>
      <c r="H3375" s="8" t="s">
        <v>424</v>
      </c>
      <c r="I3375" s="8" t="s">
        <v>10441</v>
      </c>
      <c r="J3375" s="8" t="s">
        <v>10442</v>
      </c>
    </row>
    <row r="3376">
      <c r="A3376" s="7">
        <v>2.0048319E7</v>
      </c>
      <c r="B3376" s="8" t="s">
        <v>4599</v>
      </c>
      <c r="C3376" s="8" t="s">
        <v>10443</v>
      </c>
      <c r="D3376" s="8" t="s">
        <v>16</v>
      </c>
      <c r="E3376" s="8" t="s">
        <v>17</v>
      </c>
      <c r="F3376" s="9">
        <v>46097.0</v>
      </c>
      <c r="G3376" s="8" t="s">
        <v>1969</v>
      </c>
      <c r="H3376" s="8" t="s">
        <v>1970</v>
      </c>
      <c r="I3376" s="8" t="s">
        <v>10444</v>
      </c>
      <c r="J3376" s="8" t="s">
        <v>10445</v>
      </c>
    </row>
    <row r="3377">
      <c r="A3377" s="7">
        <v>2.0048246E7</v>
      </c>
      <c r="B3377" s="8" t="s">
        <v>4599</v>
      </c>
      <c r="C3377" s="8" t="s">
        <v>10446</v>
      </c>
      <c r="D3377" s="8" t="s">
        <v>16</v>
      </c>
      <c r="E3377" s="8" t="s">
        <v>17</v>
      </c>
      <c r="F3377" s="9">
        <v>46096.0</v>
      </c>
      <c r="G3377" s="8" t="s">
        <v>109</v>
      </c>
      <c r="H3377" s="8" t="s">
        <v>110</v>
      </c>
      <c r="I3377" s="8" t="s">
        <v>10447</v>
      </c>
      <c r="J3377" s="8" t="s">
        <v>10448</v>
      </c>
    </row>
    <row r="3378">
      <c r="A3378" s="7">
        <v>2.0048048E7</v>
      </c>
      <c r="B3378" s="8" t="s">
        <v>4599</v>
      </c>
      <c r="C3378" s="8" t="s">
        <v>10449</v>
      </c>
      <c r="D3378" s="8" t="s">
        <v>16</v>
      </c>
      <c r="E3378" s="8" t="s">
        <v>17</v>
      </c>
      <c r="F3378" s="9">
        <v>46094.0</v>
      </c>
      <c r="G3378" s="8" t="s">
        <v>1949</v>
      </c>
      <c r="H3378" s="8" t="s">
        <v>1950</v>
      </c>
      <c r="I3378" s="8" t="s">
        <v>10450</v>
      </c>
      <c r="J3378" s="8" t="s">
        <v>10451</v>
      </c>
    </row>
    <row r="3379">
      <c r="A3379" s="7">
        <v>2.0046312E7</v>
      </c>
      <c r="B3379" s="8" t="s">
        <v>4599</v>
      </c>
      <c r="C3379" s="8" t="s">
        <v>10452</v>
      </c>
      <c r="D3379" s="8" t="s">
        <v>16</v>
      </c>
      <c r="E3379" s="8" t="s">
        <v>17</v>
      </c>
      <c r="F3379" s="9">
        <v>46084.0</v>
      </c>
      <c r="G3379" s="8" t="s">
        <v>29</v>
      </c>
      <c r="H3379" s="8" t="s">
        <v>30</v>
      </c>
      <c r="I3379" s="8" t="s">
        <v>10453</v>
      </c>
      <c r="J3379" s="8" t="s">
        <v>10454</v>
      </c>
    </row>
    <row r="3380">
      <c r="A3380" s="7">
        <v>2.0042285E7</v>
      </c>
      <c r="B3380" s="8" t="s">
        <v>4599</v>
      </c>
      <c r="C3380" s="8" t="s">
        <v>10455</v>
      </c>
      <c r="D3380" s="8" t="s">
        <v>16</v>
      </c>
      <c r="E3380" s="8" t="s">
        <v>69</v>
      </c>
      <c r="F3380" s="9">
        <v>46079.0</v>
      </c>
      <c r="G3380" s="8" t="s">
        <v>908</v>
      </c>
      <c r="H3380" s="8" t="s">
        <v>909</v>
      </c>
      <c r="I3380" s="8" t="s">
        <v>10456</v>
      </c>
      <c r="J3380" s="8" t="s">
        <v>10457</v>
      </c>
    </row>
    <row r="3381">
      <c r="A3381" s="7">
        <v>2.0042285E7</v>
      </c>
      <c r="B3381" s="8" t="s">
        <v>4599</v>
      </c>
      <c r="C3381" s="8" t="s">
        <v>10458</v>
      </c>
      <c r="D3381" s="8" t="s">
        <v>16</v>
      </c>
      <c r="E3381" s="8" t="s">
        <v>17</v>
      </c>
      <c r="F3381" s="9">
        <v>46084.0</v>
      </c>
      <c r="G3381" s="8" t="s">
        <v>908</v>
      </c>
      <c r="H3381" s="8" t="s">
        <v>909</v>
      </c>
      <c r="I3381" s="8" t="s">
        <v>10456</v>
      </c>
      <c r="J3381" s="8" t="s">
        <v>10457</v>
      </c>
    </row>
    <row r="3382">
      <c r="A3382" s="7">
        <v>2.004432E7</v>
      </c>
      <c r="B3382" s="8" t="s">
        <v>4599</v>
      </c>
      <c r="C3382" s="8" t="s">
        <v>10459</v>
      </c>
      <c r="D3382" s="8" t="s">
        <v>16</v>
      </c>
      <c r="E3382" s="8" t="s">
        <v>17</v>
      </c>
      <c r="F3382" s="9">
        <v>46078.0</v>
      </c>
      <c r="G3382" s="8" t="s">
        <v>2511</v>
      </c>
      <c r="H3382" s="8" t="s">
        <v>2512</v>
      </c>
      <c r="I3382" s="8" t="s">
        <v>10460</v>
      </c>
      <c r="J3382" s="8" t="s">
        <v>10461</v>
      </c>
    </row>
    <row r="3383">
      <c r="A3383" s="7">
        <v>2.0043656E7</v>
      </c>
      <c r="B3383" s="8" t="s">
        <v>4599</v>
      </c>
      <c r="C3383" s="8" t="s">
        <v>10462</v>
      </c>
      <c r="D3383" s="8" t="s">
        <v>16</v>
      </c>
      <c r="E3383" s="8" t="s">
        <v>17</v>
      </c>
      <c r="F3383" s="9">
        <v>46073.0</v>
      </c>
      <c r="G3383" s="8" t="s">
        <v>91</v>
      </c>
      <c r="H3383" s="8" t="s">
        <v>92</v>
      </c>
      <c r="I3383" s="8" t="s">
        <v>10463</v>
      </c>
      <c r="J3383" s="8" t="s">
        <v>10464</v>
      </c>
    </row>
    <row r="3384">
      <c r="A3384" s="7">
        <v>2.0039258E7</v>
      </c>
      <c r="B3384" s="8" t="s">
        <v>4599</v>
      </c>
      <c r="C3384" s="8" t="s">
        <v>10465</v>
      </c>
      <c r="D3384" s="8" t="s">
        <v>16</v>
      </c>
      <c r="E3384" s="8" t="s">
        <v>48</v>
      </c>
      <c r="F3384" s="9">
        <v>46078.0</v>
      </c>
      <c r="G3384" s="8" t="s">
        <v>171</v>
      </c>
      <c r="H3384" s="8" t="s">
        <v>172</v>
      </c>
      <c r="I3384" s="8" t="s">
        <v>10466</v>
      </c>
      <c r="J3384" s="8"/>
    </row>
    <row r="3385">
      <c r="A3385" s="7">
        <v>2.0038923E7</v>
      </c>
      <c r="B3385" s="8" t="s">
        <v>4599</v>
      </c>
      <c r="C3385" s="8" t="s">
        <v>10467</v>
      </c>
      <c r="D3385" s="8" t="s">
        <v>16</v>
      </c>
      <c r="E3385" s="8" t="s">
        <v>48</v>
      </c>
      <c r="F3385" s="9">
        <v>46072.0</v>
      </c>
      <c r="G3385" s="8" t="s">
        <v>18</v>
      </c>
      <c r="H3385" s="8" t="s">
        <v>19</v>
      </c>
      <c r="I3385" s="8" t="s">
        <v>10468</v>
      </c>
      <c r="J3385" s="8"/>
    </row>
    <row r="3386">
      <c r="A3386" s="7">
        <v>2.0037652E7</v>
      </c>
      <c r="B3386" s="8" t="s">
        <v>4599</v>
      </c>
      <c r="C3386" s="8" t="s">
        <v>10469</v>
      </c>
      <c r="D3386" s="8" t="s">
        <v>16</v>
      </c>
      <c r="E3386" s="8" t="s">
        <v>17</v>
      </c>
      <c r="F3386" s="9">
        <v>46056.0</v>
      </c>
      <c r="G3386" s="8" t="s">
        <v>59</v>
      </c>
      <c r="H3386" s="8" t="s">
        <v>60</v>
      </c>
      <c r="I3386" s="8" t="s">
        <v>10470</v>
      </c>
      <c r="J3386" s="8" t="s">
        <v>10471</v>
      </c>
    </row>
    <row r="3387">
      <c r="A3387" s="7">
        <v>2.0035658E7</v>
      </c>
      <c r="B3387" s="8" t="s">
        <v>4599</v>
      </c>
      <c r="C3387" s="8" t="s">
        <v>10472</v>
      </c>
      <c r="D3387" s="8" t="s">
        <v>16</v>
      </c>
      <c r="E3387" s="8" t="s">
        <v>17</v>
      </c>
      <c r="F3387" s="9">
        <v>46047.0</v>
      </c>
      <c r="G3387" s="8" t="s">
        <v>846</v>
      </c>
      <c r="H3387" s="8" t="s">
        <v>847</v>
      </c>
      <c r="I3387" s="8" t="s">
        <v>10473</v>
      </c>
      <c r="J3387" s="8" t="s">
        <v>10474</v>
      </c>
    </row>
    <row r="3388">
      <c r="A3388" s="7">
        <v>2.0023295E7</v>
      </c>
      <c r="B3388" s="8" t="s">
        <v>4599</v>
      </c>
      <c r="C3388" s="8" t="s">
        <v>10475</v>
      </c>
      <c r="D3388" s="8" t="s">
        <v>16</v>
      </c>
      <c r="E3388" s="8" t="s">
        <v>17</v>
      </c>
      <c r="F3388" s="9">
        <v>46065.0</v>
      </c>
      <c r="G3388" s="8" t="s">
        <v>2968</v>
      </c>
      <c r="H3388" s="8" t="s">
        <v>2969</v>
      </c>
      <c r="I3388" s="8" t="s">
        <v>10476</v>
      </c>
      <c r="J3388" s="8" t="s">
        <v>10477</v>
      </c>
    </row>
    <row r="3389">
      <c r="A3389" s="7">
        <v>2.0071037E7</v>
      </c>
      <c r="B3389" s="8" t="s">
        <v>4599</v>
      </c>
      <c r="C3389" s="8" t="s">
        <v>10478</v>
      </c>
      <c r="D3389" s="8" t="s">
        <v>2136</v>
      </c>
      <c r="E3389" s="8" t="s">
        <v>17</v>
      </c>
      <c r="F3389" s="9">
        <v>46189.0</v>
      </c>
      <c r="G3389" s="8" t="s">
        <v>805</v>
      </c>
      <c r="H3389" s="8" t="s">
        <v>806</v>
      </c>
      <c r="I3389" s="8" t="s">
        <v>10479</v>
      </c>
      <c r="J3389" s="8" t="s">
        <v>10480</v>
      </c>
    </row>
    <row r="3390">
      <c r="A3390" s="7">
        <v>2.0070041E7</v>
      </c>
      <c r="B3390" s="8" t="s">
        <v>4599</v>
      </c>
      <c r="C3390" s="8" t="s">
        <v>10481</v>
      </c>
      <c r="D3390" s="8" t="s">
        <v>16</v>
      </c>
      <c r="E3390" s="8" t="s">
        <v>17</v>
      </c>
      <c r="F3390" s="9">
        <v>46193.0</v>
      </c>
      <c r="G3390" s="8" t="s">
        <v>8788</v>
      </c>
      <c r="H3390" s="8" t="s">
        <v>8789</v>
      </c>
      <c r="I3390" s="8" t="s">
        <v>10482</v>
      </c>
      <c r="J3390" s="8" t="s">
        <v>10483</v>
      </c>
    </row>
    <row r="3391">
      <c r="A3391" s="7">
        <v>2.006952E7</v>
      </c>
      <c r="B3391" s="8" t="s">
        <v>4599</v>
      </c>
      <c r="C3391" s="8" t="s">
        <v>10484</v>
      </c>
      <c r="D3391" s="8" t="s">
        <v>16</v>
      </c>
      <c r="E3391" s="8" t="s">
        <v>17</v>
      </c>
      <c r="F3391" s="9">
        <v>46181.0</v>
      </c>
      <c r="G3391" s="8" t="s">
        <v>882</v>
      </c>
      <c r="H3391" s="8" t="s">
        <v>883</v>
      </c>
      <c r="I3391" s="8" t="s">
        <v>10485</v>
      </c>
      <c r="J3391" s="8" t="s">
        <v>10486</v>
      </c>
    </row>
    <row r="3392">
      <c r="A3392" s="7">
        <v>2.0069477E7</v>
      </c>
      <c r="B3392" s="8" t="s">
        <v>4599</v>
      </c>
      <c r="C3392" s="8" t="s">
        <v>10487</v>
      </c>
      <c r="D3392" s="8" t="s">
        <v>16</v>
      </c>
      <c r="E3392" s="8" t="s">
        <v>17</v>
      </c>
      <c r="F3392" s="9">
        <v>46180.0</v>
      </c>
      <c r="G3392" s="8" t="s">
        <v>91</v>
      </c>
      <c r="H3392" s="8" t="s">
        <v>92</v>
      </c>
      <c r="I3392" s="8" t="s">
        <v>10488</v>
      </c>
      <c r="J3392" s="8" t="s">
        <v>10489</v>
      </c>
    </row>
    <row r="3393">
      <c r="A3393" s="7">
        <v>2.0062946E7</v>
      </c>
      <c r="B3393" s="8" t="s">
        <v>4599</v>
      </c>
      <c r="C3393" s="8" t="s">
        <v>10490</v>
      </c>
      <c r="D3393" s="8" t="s">
        <v>16</v>
      </c>
      <c r="E3393" s="8" t="s">
        <v>17</v>
      </c>
      <c r="F3393" s="9">
        <v>46156.0</v>
      </c>
      <c r="G3393" s="8" t="s">
        <v>3585</v>
      </c>
      <c r="H3393" s="8" t="s">
        <v>3586</v>
      </c>
      <c r="I3393" s="8" t="s">
        <v>10491</v>
      </c>
      <c r="J3393" s="8" t="s">
        <v>10492</v>
      </c>
    </row>
    <row r="3394">
      <c r="A3394" s="7">
        <v>2.0062191E7</v>
      </c>
      <c r="B3394" s="8" t="s">
        <v>4599</v>
      </c>
      <c r="C3394" s="8" t="s">
        <v>10493</v>
      </c>
      <c r="D3394" s="8" t="s">
        <v>16</v>
      </c>
      <c r="E3394" s="8" t="s">
        <v>17</v>
      </c>
      <c r="F3394" s="9">
        <v>46170.0</v>
      </c>
      <c r="G3394" s="8" t="s">
        <v>1132</v>
      </c>
      <c r="H3394" s="8" t="s">
        <v>1133</v>
      </c>
      <c r="I3394" s="8" t="s">
        <v>10494</v>
      </c>
      <c r="J3394" s="8" t="s">
        <v>10495</v>
      </c>
    </row>
    <row r="3395">
      <c r="A3395" s="7">
        <v>2.0060617E7</v>
      </c>
      <c r="B3395" s="8" t="s">
        <v>4599</v>
      </c>
      <c r="C3395" s="8" t="s">
        <v>10496</v>
      </c>
      <c r="D3395" s="8" t="s">
        <v>16</v>
      </c>
      <c r="E3395" s="8" t="s">
        <v>17</v>
      </c>
      <c r="F3395" s="9">
        <v>46178.0</v>
      </c>
      <c r="G3395" s="8" t="s">
        <v>7407</v>
      </c>
      <c r="H3395" s="8" t="s">
        <v>7408</v>
      </c>
      <c r="I3395" s="8" t="s">
        <v>10497</v>
      </c>
      <c r="J3395" s="8" t="s">
        <v>10498</v>
      </c>
    </row>
    <row r="3396">
      <c r="A3396" s="7">
        <v>2.0060617E7</v>
      </c>
      <c r="B3396" s="8" t="s">
        <v>4599</v>
      </c>
      <c r="C3396" s="8" t="s">
        <v>10496</v>
      </c>
      <c r="D3396" s="8" t="s">
        <v>16</v>
      </c>
      <c r="E3396" s="8" t="s">
        <v>17</v>
      </c>
      <c r="F3396" s="9">
        <v>46178.0</v>
      </c>
      <c r="G3396" s="8" t="s">
        <v>7411</v>
      </c>
      <c r="H3396" s="8" t="s">
        <v>7412</v>
      </c>
      <c r="I3396" s="8" t="s">
        <v>10499</v>
      </c>
      <c r="J3396" s="8" t="s">
        <v>10500</v>
      </c>
    </row>
    <row r="3397">
      <c r="A3397" s="7">
        <v>2.0059272E7</v>
      </c>
      <c r="B3397" s="8" t="s">
        <v>4599</v>
      </c>
      <c r="C3397" s="8" t="s">
        <v>10501</v>
      </c>
      <c r="D3397" s="8" t="s">
        <v>16</v>
      </c>
      <c r="E3397" s="8" t="s">
        <v>17</v>
      </c>
      <c r="F3397" s="9">
        <v>46141.0</v>
      </c>
      <c r="G3397" s="8" t="s">
        <v>3585</v>
      </c>
      <c r="H3397" s="8" t="s">
        <v>3586</v>
      </c>
      <c r="I3397" s="8" t="s">
        <v>10502</v>
      </c>
      <c r="J3397" s="8" t="s">
        <v>10503</v>
      </c>
    </row>
    <row r="3398">
      <c r="A3398" s="7">
        <v>2.0057104E7</v>
      </c>
      <c r="B3398" s="8" t="s">
        <v>4599</v>
      </c>
      <c r="C3398" s="8" t="s">
        <v>10504</v>
      </c>
      <c r="D3398" s="8" t="s">
        <v>16</v>
      </c>
      <c r="E3398" s="8" t="s">
        <v>17</v>
      </c>
      <c r="F3398" s="9">
        <v>46129.0</v>
      </c>
      <c r="G3398" s="8" t="s">
        <v>365</v>
      </c>
      <c r="H3398" s="8" t="s">
        <v>366</v>
      </c>
      <c r="I3398" s="8"/>
      <c r="J3398" s="8" t="s">
        <v>10505</v>
      </c>
    </row>
    <row r="3399">
      <c r="A3399" s="7">
        <v>2.0057104E7</v>
      </c>
      <c r="B3399" s="8" t="s">
        <v>4599</v>
      </c>
      <c r="C3399" s="8" t="s">
        <v>10504</v>
      </c>
      <c r="D3399" s="8" t="s">
        <v>16</v>
      </c>
      <c r="E3399" s="8" t="s">
        <v>17</v>
      </c>
      <c r="F3399" s="9">
        <v>46129.0</v>
      </c>
      <c r="G3399" s="8" t="s">
        <v>365</v>
      </c>
      <c r="H3399" s="8" t="s">
        <v>366</v>
      </c>
      <c r="I3399" s="8" t="s">
        <v>10506</v>
      </c>
      <c r="J3399" s="8" t="s">
        <v>10507</v>
      </c>
    </row>
    <row r="3400">
      <c r="A3400" s="7">
        <v>2.0056533E7</v>
      </c>
      <c r="B3400" s="8" t="s">
        <v>4599</v>
      </c>
      <c r="C3400" s="8" t="s">
        <v>10508</v>
      </c>
      <c r="D3400" s="8" t="s">
        <v>16</v>
      </c>
      <c r="E3400" s="8" t="s">
        <v>17</v>
      </c>
      <c r="F3400" s="9">
        <v>46126.0</v>
      </c>
      <c r="G3400" s="8" t="s">
        <v>29</v>
      </c>
      <c r="H3400" s="8" t="s">
        <v>30</v>
      </c>
      <c r="I3400" s="8" t="s">
        <v>10509</v>
      </c>
      <c r="J3400" s="8" t="s">
        <v>10510</v>
      </c>
    </row>
    <row r="3401">
      <c r="A3401" s="7">
        <v>2.0056101E7</v>
      </c>
      <c r="B3401" s="8" t="s">
        <v>4599</v>
      </c>
      <c r="C3401" s="8" t="s">
        <v>10511</v>
      </c>
      <c r="D3401" s="8" t="s">
        <v>16</v>
      </c>
      <c r="E3401" s="8" t="s">
        <v>17</v>
      </c>
      <c r="F3401" s="9">
        <v>46144.0</v>
      </c>
      <c r="G3401" s="8" t="s">
        <v>64</v>
      </c>
      <c r="H3401" s="8" t="s">
        <v>65</v>
      </c>
      <c r="I3401" s="8" t="s">
        <v>10512</v>
      </c>
      <c r="J3401" s="8" t="s">
        <v>10513</v>
      </c>
    </row>
    <row r="3402">
      <c r="A3402" s="7">
        <v>2.0054489E7</v>
      </c>
      <c r="B3402" s="8" t="s">
        <v>4599</v>
      </c>
      <c r="C3402" s="8" t="s">
        <v>10514</v>
      </c>
      <c r="D3402" s="8" t="s">
        <v>16</v>
      </c>
      <c r="E3402" s="8" t="s">
        <v>17</v>
      </c>
      <c r="F3402" s="9">
        <v>46125.0</v>
      </c>
      <c r="G3402" s="8" t="s">
        <v>822</v>
      </c>
      <c r="H3402" s="8" t="s">
        <v>3985</v>
      </c>
      <c r="I3402" s="8" t="s">
        <v>10515</v>
      </c>
      <c r="J3402" s="8" t="s">
        <v>10516</v>
      </c>
    </row>
    <row r="3403">
      <c r="A3403" s="7">
        <v>2.0054518E7</v>
      </c>
      <c r="B3403" s="8" t="s">
        <v>4599</v>
      </c>
      <c r="C3403" s="8" t="s">
        <v>10517</v>
      </c>
      <c r="D3403" s="8" t="s">
        <v>16</v>
      </c>
      <c r="E3403" s="8" t="s">
        <v>17</v>
      </c>
      <c r="F3403" s="9">
        <v>46134.0</v>
      </c>
      <c r="G3403" s="8" t="s">
        <v>158</v>
      </c>
      <c r="H3403" s="8" t="s">
        <v>159</v>
      </c>
      <c r="I3403" s="8" t="s">
        <v>10518</v>
      </c>
      <c r="J3403" s="8" t="s">
        <v>10519</v>
      </c>
    </row>
    <row r="3404">
      <c r="A3404" s="7">
        <v>2.0054441E7</v>
      </c>
      <c r="B3404" s="8" t="s">
        <v>4599</v>
      </c>
      <c r="C3404" s="8" t="s">
        <v>10520</v>
      </c>
      <c r="D3404" s="8" t="s">
        <v>16</v>
      </c>
      <c r="E3404" s="8" t="s">
        <v>17</v>
      </c>
      <c r="F3404" s="9">
        <v>46138.0</v>
      </c>
      <c r="G3404" s="8" t="s">
        <v>2511</v>
      </c>
      <c r="H3404" s="8" t="s">
        <v>2512</v>
      </c>
      <c r="I3404" s="8"/>
      <c r="J3404" s="8" t="s">
        <v>10521</v>
      </c>
    </row>
    <row r="3405">
      <c r="A3405" s="7">
        <v>2.0054441E7</v>
      </c>
      <c r="B3405" s="8" t="s">
        <v>4599</v>
      </c>
      <c r="C3405" s="8" t="s">
        <v>10520</v>
      </c>
      <c r="D3405" s="8" t="s">
        <v>16</v>
      </c>
      <c r="E3405" s="8" t="s">
        <v>17</v>
      </c>
      <c r="F3405" s="9">
        <v>46138.0</v>
      </c>
      <c r="G3405" s="8" t="s">
        <v>4850</v>
      </c>
      <c r="H3405" s="8" t="s">
        <v>4851</v>
      </c>
      <c r="I3405" s="8"/>
      <c r="J3405" s="8" t="s">
        <v>10522</v>
      </c>
    </row>
    <row r="3406">
      <c r="A3406" s="7">
        <v>2.0054441E7</v>
      </c>
      <c r="B3406" s="8" t="s">
        <v>4599</v>
      </c>
      <c r="C3406" s="8" t="s">
        <v>10520</v>
      </c>
      <c r="D3406" s="8" t="s">
        <v>16</v>
      </c>
      <c r="E3406" s="8" t="s">
        <v>17</v>
      </c>
      <c r="F3406" s="9">
        <v>46138.0</v>
      </c>
      <c r="G3406" s="8" t="s">
        <v>2511</v>
      </c>
      <c r="H3406" s="8" t="s">
        <v>2512</v>
      </c>
      <c r="I3406" s="8" t="s">
        <v>10523</v>
      </c>
      <c r="J3406" s="8" t="s">
        <v>10524</v>
      </c>
    </row>
    <row r="3407">
      <c r="A3407" s="7">
        <v>2.0054441E7</v>
      </c>
      <c r="B3407" s="8" t="s">
        <v>4599</v>
      </c>
      <c r="C3407" s="8" t="s">
        <v>10520</v>
      </c>
      <c r="D3407" s="8" t="s">
        <v>16</v>
      </c>
      <c r="E3407" s="8" t="s">
        <v>17</v>
      </c>
      <c r="F3407" s="9">
        <v>46138.0</v>
      </c>
      <c r="G3407" s="8" t="s">
        <v>4850</v>
      </c>
      <c r="H3407" s="8" t="s">
        <v>4851</v>
      </c>
      <c r="I3407" s="8" t="s">
        <v>10525</v>
      </c>
      <c r="J3407" s="8" t="s">
        <v>10526</v>
      </c>
    </row>
    <row r="3408">
      <c r="A3408" s="7">
        <v>2.0054441E7</v>
      </c>
      <c r="B3408" s="8" t="s">
        <v>4599</v>
      </c>
      <c r="C3408" s="8" t="s">
        <v>10520</v>
      </c>
      <c r="D3408" s="8" t="s">
        <v>16</v>
      </c>
      <c r="E3408" s="8" t="s">
        <v>17</v>
      </c>
      <c r="F3408" s="9">
        <v>46138.0</v>
      </c>
      <c r="G3408" s="8" t="s">
        <v>1085</v>
      </c>
      <c r="H3408" s="8" t="s">
        <v>1086</v>
      </c>
      <c r="I3408" s="8" t="s">
        <v>10527</v>
      </c>
      <c r="J3408" s="8"/>
    </row>
    <row r="3409">
      <c r="A3409" s="7">
        <v>2.0048787E7</v>
      </c>
      <c r="B3409" s="8" t="s">
        <v>4599</v>
      </c>
      <c r="C3409" s="8" t="s">
        <v>10528</v>
      </c>
      <c r="D3409" s="8" t="s">
        <v>16</v>
      </c>
      <c r="E3409" s="8" t="s">
        <v>17</v>
      </c>
      <c r="F3409" s="9">
        <v>46095.0</v>
      </c>
      <c r="G3409" s="8" t="s">
        <v>91</v>
      </c>
      <c r="H3409" s="8" t="s">
        <v>92</v>
      </c>
      <c r="I3409" s="8" t="s">
        <v>10529</v>
      </c>
      <c r="J3409" s="8" t="s">
        <v>10530</v>
      </c>
    </row>
    <row r="3410">
      <c r="A3410" s="7">
        <v>2.0048962E7</v>
      </c>
      <c r="B3410" s="8" t="s">
        <v>4599</v>
      </c>
      <c r="C3410" s="8" t="s">
        <v>10531</v>
      </c>
      <c r="D3410" s="8" t="s">
        <v>16</v>
      </c>
      <c r="E3410" s="8" t="s">
        <v>17</v>
      </c>
      <c r="F3410" s="9">
        <v>46108.0</v>
      </c>
      <c r="G3410" s="8" t="s">
        <v>290</v>
      </c>
      <c r="H3410" s="8" t="s">
        <v>291</v>
      </c>
      <c r="I3410" s="8" t="s">
        <v>10532</v>
      </c>
      <c r="J3410" s="8" t="s">
        <v>10533</v>
      </c>
    </row>
    <row r="3411">
      <c r="A3411" s="7">
        <v>2.0047946E7</v>
      </c>
      <c r="B3411" s="8" t="s">
        <v>4599</v>
      </c>
      <c r="C3411" s="8" t="s">
        <v>10534</v>
      </c>
      <c r="D3411" s="8" t="s">
        <v>16</v>
      </c>
      <c r="E3411" s="8" t="s">
        <v>17</v>
      </c>
      <c r="F3411" s="9">
        <v>46094.0</v>
      </c>
      <c r="G3411" s="8" t="s">
        <v>873</v>
      </c>
      <c r="H3411" s="8" t="s">
        <v>874</v>
      </c>
      <c r="I3411" s="8" t="s">
        <v>10535</v>
      </c>
      <c r="J3411" s="8" t="s">
        <v>10536</v>
      </c>
    </row>
    <row r="3412">
      <c r="A3412" s="7">
        <v>2.0047733E7</v>
      </c>
      <c r="B3412" s="8" t="s">
        <v>4599</v>
      </c>
      <c r="C3412" s="8" t="s">
        <v>10537</v>
      </c>
      <c r="D3412" s="8" t="s">
        <v>16</v>
      </c>
      <c r="E3412" s="8" t="s">
        <v>17</v>
      </c>
      <c r="F3412" s="9">
        <v>46092.0</v>
      </c>
      <c r="G3412" s="8" t="s">
        <v>247</v>
      </c>
      <c r="H3412" s="8" t="s">
        <v>248</v>
      </c>
      <c r="I3412" s="8" t="s">
        <v>10538</v>
      </c>
      <c r="J3412" s="8" t="s">
        <v>10539</v>
      </c>
    </row>
    <row r="3413">
      <c r="A3413" s="7">
        <v>2.0044306E7</v>
      </c>
      <c r="B3413" s="8" t="s">
        <v>4599</v>
      </c>
      <c r="C3413" s="8" t="s">
        <v>10540</v>
      </c>
      <c r="D3413" s="8" t="s">
        <v>16</v>
      </c>
      <c r="E3413" s="8" t="s">
        <v>17</v>
      </c>
      <c r="F3413" s="9">
        <v>46107.0</v>
      </c>
      <c r="G3413" s="8" t="s">
        <v>7945</v>
      </c>
      <c r="H3413" s="8" t="s">
        <v>7946</v>
      </c>
      <c r="I3413" s="8" t="s">
        <v>10541</v>
      </c>
      <c r="J3413" s="8" t="s">
        <v>10542</v>
      </c>
    </row>
    <row r="3414">
      <c r="A3414" s="7">
        <v>2.0044916E7</v>
      </c>
      <c r="B3414" s="8" t="s">
        <v>4599</v>
      </c>
      <c r="C3414" s="8" t="s">
        <v>10543</v>
      </c>
      <c r="D3414" s="8" t="s">
        <v>16</v>
      </c>
      <c r="E3414" s="8" t="s">
        <v>17</v>
      </c>
      <c r="F3414" s="9">
        <v>46105.0</v>
      </c>
      <c r="G3414" s="8" t="s">
        <v>454</v>
      </c>
      <c r="H3414" s="8" t="s">
        <v>455</v>
      </c>
      <c r="I3414" s="8" t="s">
        <v>10544</v>
      </c>
      <c r="J3414" s="8" t="s">
        <v>10545</v>
      </c>
    </row>
    <row r="3415">
      <c r="A3415" s="7">
        <v>2.0043175E7</v>
      </c>
      <c r="B3415" s="8" t="s">
        <v>4599</v>
      </c>
      <c r="C3415" s="8" t="s">
        <v>10546</v>
      </c>
      <c r="D3415" s="8" t="s">
        <v>16</v>
      </c>
      <c r="E3415" s="8" t="s">
        <v>17</v>
      </c>
      <c r="F3415" s="9">
        <v>46075.0</v>
      </c>
      <c r="G3415" s="8" t="s">
        <v>400</v>
      </c>
      <c r="H3415" s="8" t="s">
        <v>401</v>
      </c>
      <c r="I3415" s="8" t="s">
        <v>10547</v>
      </c>
      <c r="J3415" s="8" t="s">
        <v>10548</v>
      </c>
    </row>
    <row r="3416">
      <c r="A3416" s="7">
        <v>2.0038732E7</v>
      </c>
      <c r="B3416" s="8" t="s">
        <v>4599</v>
      </c>
      <c r="C3416" s="8" t="s">
        <v>10549</v>
      </c>
      <c r="D3416" s="8" t="s">
        <v>16</v>
      </c>
      <c r="E3416" s="8" t="s">
        <v>17</v>
      </c>
      <c r="F3416" s="9">
        <v>46059.0</v>
      </c>
      <c r="G3416" s="8" t="s">
        <v>971</v>
      </c>
      <c r="H3416" s="8" t="s">
        <v>972</v>
      </c>
      <c r="I3416" s="8" t="s">
        <v>10550</v>
      </c>
      <c r="J3416" s="8" t="s">
        <v>10551</v>
      </c>
    </row>
    <row r="3417">
      <c r="A3417" s="7">
        <v>2.0032342E7</v>
      </c>
      <c r="B3417" s="8" t="s">
        <v>4599</v>
      </c>
      <c r="C3417" s="8" t="s">
        <v>10552</v>
      </c>
      <c r="D3417" s="8" t="s">
        <v>16</v>
      </c>
      <c r="E3417" s="8" t="s">
        <v>17</v>
      </c>
      <c r="F3417" s="9">
        <v>46057.0</v>
      </c>
      <c r="G3417" s="8" t="s">
        <v>897</v>
      </c>
      <c r="H3417" s="8" t="s">
        <v>898</v>
      </c>
      <c r="I3417" s="8" t="s">
        <v>10553</v>
      </c>
      <c r="J3417" s="8" t="s">
        <v>10554</v>
      </c>
    </row>
    <row r="3418">
      <c r="A3418" s="7">
        <v>2.0071636E7</v>
      </c>
      <c r="B3418" s="8" t="s">
        <v>4599</v>
      </c>
      <c r="C3418" s="8" t="s">
        <v>10555</v>
      </c>
      <c r="D3418" s="8" t="s">
        <v>16</v>
      </c>
      <c r="E3418" s="8" t="s">
        <v>17</v>
      </c>
      <c r="F3418" s="9">
        <v>46189.0</v>
      </c>
      <c r="G3418" s="8" t="s">
        <v>873</v>
      </c>
      <c r="H3418" s="8" t="s">
        <v>874</v>
      </c>
      <c r="I3418" s="8" t="s">
        <v>10556</v>
      </c>
      <c r="J3418" s="8" t="s">
        <v>10557</v>
      </c>
    </row>
    <row r="3419">
      <c r="A3419" s="7">
        <v>2.0070061E7</v>
      </c>
      <c r="B3419" s="8" t="s">
        <v>4599</v>
      </c>
      <c r="C3419" s="8" t="s">
        <v>10558</v>
      </c>
      <c r="D3419" s="8" t="s">
        <v>16</v>
      </c>
      <c r="E3419" s="8" t="s">
        <v>17</v>
      </c>
      <c r="F3419" s="9">
        <v>46186.0</v>
      </c>
      <c r="G3419" s="8" t="s">
        <v>868</v>
      </c>
      <c r="H3419" s="8" t="s">
        <v>869</v>
      </c>
      <c r="I3419" s="8" t="s">
        <v>10559</v>
      </c>
      <c r="J3419" s="8" t="s">
        <v>10560</v>
      </c>
    </row>
    <row r="3420">
      <c r="A3420" s="7">
        <v>2.0066297E7</v>
      </c>
      <c r="B3420" s="8" t="s">
        <v>4599</v>
      </c>
      <c r="C3420" s="8" t="s">
        <v>10561</v>
      </c>
      <c r="D3420" s="8" t="s">
        <v>2136</v>
      </c>
      <c r="E3420" s="8" t="s">
        <v>17</v>
      </c>
      <c r="F3420" s="9">
        <v>46174.0</v>
      </c>
      <c r="G3420" s="8" t="s">
        <v>75</v>
      </c>
      <c r="H3420" s="8" t="s">
        <v>76</v>
      </c>
      <c r="I3420" s="8" t="s">
        <v>10562</v>
      </c>
      <c r="J3420" s="8" t="s">
        <v>10563</v>
      </c>
    </row>
    <row r="3421">
      <c r="A3421" s="7">
        <v>2.0064666E7</v>
      </c>
      <c r="B3421" s="8" t="s">
        <v>4599</v>
      </c>
      <c r="C3421" s="8" t="s">
        <v>10564</v>
      </c>
      <c r="D3421" s="8" t="s">
        <v>16</v>
      </c>
      <c r="E3421" s="8" t="s">
        <v>17</v>
      </c>
      <c r="F3421" s="9">
        <v>46162.0</v>
      </c>
      <c r="G3421" s="8" t="s">
        <v>220</v>
      </c>
      <c r="H3421" s="8" t="s">
        <v>221</v>
      </c>
      <c r="I3421" s="8" t="s">
        <v>10565</v>
      </c>
      <c r="J3421" s="8" t="s">
        <v>10566</v>
      </c>
    </row>
    <row r="3422">
      <c r="A3422" s="7">
        <v>2.0059112E7</v>
      </c>
      <c r="B3422" s="8" t="s">
        <v>4599</v>
      </c>
      <c r="C3422" s="8" t="s">
        <v>10567</v>
      </c>
      <c r="D3422" s="8" t="s">
        <v>16</v>
      </c>
      <c r="E3422" s="8" t="s">
        <v>17</v>
      </c>
      <c r="F3422" s="9">
        <v>46151.0</v>
      </c>
      <c r="G3422" s="8" t="s">
        <v>59</v>
      </c>
      <c r="H3422" s="8" t="s">
        <v>60</v>
      </c>
      <c r="I3422" s="8" t="s">
        <v>10568</v>
      </c>
      <c r="J3422" s="8" t="s">
        <v>10569</v>
      </c>
    </row>
    <row r="3423">
      <c r="A3423" s="7">
        <v>2.005958E7</v>
      </c>
      <c r="B3423" s="8" t="s">
        <v>4599</v>
      </c>
      <c r="C3423" s="8" t="s">
        <v>10570</v>
      </c>
      <c r="D3423" s="8" t="s">
        <v>16</v>
      </c>
      <c r="E3423" s="8" t="s">
        <v>17</v>
      </c>
      <c r="F3423" s="9">
        <v>46145.0</v>
      </c>
      <c r="G3423" s="8" t="s">
        <v>59</v>
      </c>
      <c r="H3423" s="8" t="s">
        <v>60</v>
      </c>
      <c r="I3423" s="8" t="s">
        <v>10571</v>
      </c>
      <c r="J3423" s="8" t="s">
        <v>10572</v>
      </c>
    </row>
    <row r="3424">
      <c r="A3424" s="7">
        <v>2.0056585E7</v>
      </c>
      <c r="B3424" s="8" t="s">
        <v>4599</v>
      </c>
      <c r="C3424" s="8" t="s">
        <v>10573</v>
      </c>
      <c r="D3424" s="8" t="s">
        <v>16</v>
      </c>
      <c r="E3424" s="8" t="s">
        <v>17</v>
      </c>
      <c r="F3424" s="9">
        <v>46131.0</v>
      </c>
      <c r="G3424" s="8" t="s">
        <v>2486</v>
      </c>
      <c r="H3424" s="8" t="s">
        <v>2487</v>
      </c>
      <c r="I3424" s="8" t="s">
        <v>10574</v>
      </c>
      <c r="J3424" s="8" t="s">
        <v>10575</v>
      </c>
    </row>
    <row r="3425">
      <c r="A3425" s="7">
        <v>2.0056119E7</v>
      </c>
      <c r="B3425" s="8" t="s">
        <v>4599</v>
      </c>
      <c r="C3425" s="8" t="s">
        <v>10576</v>
      </c>
      <c r="D3425" s="8" t="s">
        <v>16</v>
      </c>
      <c r="E3425" s="8" t="s">
        <v>17</v>
      </c>
      <c r="F3425" s="9">
        <v>46150.0</v>
      </c>
      <c r="G3425" s="8" t="s">
        <v>361</v>
      </c>
      <c r="H3425" s="8" t="s">
        <v>362</v>
      </c>
      <c r="I3425" s="8" t="s">
        <v>10577</v>
      </c>
      <c r="J3425" s="8" t="s">
        <v>10578</v>
      </c>
    </row>
    <row r="3426">
      <c r="A3426" s="7">
        <v>2.0055478E7</v>
      </c>
      <c r="B3426" s="8" t="s">
        <v>4599</v>
      </c>
      <c r="C3426" s="8" t="s">
        <v>10579</v>
      </c>
      <c r="D3426" s="8" t="s">
        <v>16</v>
      </c>
      <c r="E3426" s="8" t="s">
        <v>17</v>
      </c>
      <c r="F3426" s="9">
        <v>46143.0</v>
      </c>
      <c r="G3426" s="8" t="s">
        <v>171</v>
      </c>
      <c r="H3426" s="8" t="s">
        <v>172</v>
      </c>
      <c r="I3426" s="8" t="s">
        <v>10580</v>
      </c>
      <c r="J3426" s="8" t="s">
        <v>10581</v>
      </c>
    </row>
    <row r="3427">
      <c r="A3427" s="7">
        <v>2.0054458E7</v>
      </c>
      <c r="B3427" s="8" t="s">
        <v>4599</v>
      </c>
      <c r="C3427" s="8" t="s">
        <v>10582</v>
      </c>
      <c r="D3427" s="8" t="s">
        <v>16</v>
      </c>
      <c r="E3427" s="8" t="s">
        <v>17</v>
      </c>
      <c r="F3427" s="9">
        <v>46124.0</v>
      </c>
      <c r="G3427" s="8" t="s">
        <v>59</v>
      </c>
      <c r="H3427" s="8" t="s">
        <v>60</v>
      </c>
      <c r="I3427" s="8" t="s">
        <v>10583</v>
      </c>
      <c r="J3427" s="8" t="s">
        <v>10584</v>
      </c>
    </row>
    <row r="3428">
      <c r="A3428" s="7">
        <v>2.0050572E7</v>
      </c>
      <c r="B3428" s="8" t="s">
        <v>4599</v>
      </c>
      <c r="C3428" s="8" t="s">
        <v>10585</v>
      </c>
      <c r="D3428" s="8" t="s">
        <v>16</v>
      </c>
      <c r="E3428" s="8" t="s">
        <v>17</v>
      </c>
      <c r="F3428" s="9">
        <v>46106.0</v>
      </c>
      <c r="G3428" s="8" t="s">
        <v>195</v>
      </c>
      <c r="H3428" s="8" t="s">
        <v>196</v>
      </c>
      <c r="I3428" s="8" t="s">
        <v>10586</v>
      </c>
      <c r="J3428" s="8" t="s">
        <v>10587</v>
      </c>
    </row>
    <row r="3429">
      <c r="A3429" s="7">
        <v>2.0049873E7</v>
      </c>
      <c r="B3429" s="8" t="s">
        <v>4599</v>
      </c>
      <c r="C3429" s="8" t="s">
        <v>10588</v>
      </c>
      <c r="D3429" s="8" t="s">
        <v>16</v>
      </c>
      <c r="E3429" s="8" t="s">
        <v>17</v>
      </c>
      <c r="F3429" s="9">
        <v>46101.0</v>
      </c>
      <c r="G3429" s="8" t="s">
        <v>2511</v>
      </c>
      <c r="H3429" s="8" t="s">
        <v>2512</v>
      </c>
      <c r="I3429" s="8" t="s">
        <v>10589</v>
      </c>
      <c r="J3429" s="8" t="s">
        <v>10590</v>
      </c>
    </row>
    <row r="3430">
      <c r="A3430" s="7">
        <v>2.0050105E7</v>
      </c>
      <c r="B3430" s="8" t="s">
        <v>4599</v>
      </c>
      <c r="C3430" s="8" t="s">
        <v>10591</v>
      </c>
      <c r="D3430" s="8" t="s">
        <v>16</v>
      </c>
      <c r="E3430" s="8" t="s">
        <v>17</v>
      </c>
      <c r="F3430" s="9">
        <v>46111.0</v>
      </c>
      <c r="G3430" s="8" t="s">
        <v>314</v>
      </c>
      <c r="H3430" s="8" t="s">
        <v>315</v>
      </c>
      <c r="I3430" s="8" t="s">
        <v>10592</v>
      </c>
      <c r="J3430" s="8" t="s">
        <v>10593</v>
      </c>
    </row>
    <row r="3431">
      <c r="A3431" s="7">
        <v>2.0046158E7</v>
      </c>
      <c r="B3431" s="8" t="s">
        <v>4599</v>
      </c>
      <c r="C3431" s="8" t="s">
        <v>10594</v>
      </c>
      <c r="D3431" s="8" t="s">
        <v>16</v>
      </c>
      <c r="E3431" s="8" t="s">
        <v>17</v>
      </c>
      <c r="F3431" s="9">
        <v>46098.0</v>
      </c>
      <c r="G3431" s="8" t="s">
        <v>1813</v>
      </c>
      <c r="H3431" s="8" t="s">
        <v>1814</v>
      </c>
      <c r="I3431" s="8" t="s">
        <v>10595</v>
      </c>
      <c r="J3431" s="8"/>
    </row>
    <row r="3432">
      <c r="A3432" s="7">
        <v>2.0045231E7</v>
      </c>
      <c r="B3432" s="8" t="s">
        <v>4599</v>
      </c>
      <c r="C3432" s="8" t="s">
        <v>10596</v>
      </c>
      <c r="D3432" s="8" t="s">
        <v>16</v>
      </c>
      <c r="E3432" s="8" t="s">
        <v>17</v>
      </c>
      <c r="F3432" s="9">
        <v>46091.0</v>
      </c>
      <c r="G3432" s="8" t="s">
        <v>171</v>
      </c>
      <c r="H3432" s="8" t="s">
        <v>172</v>
      </c>
      <c r="I3432" s="8" t="s">
        <v>10597</v>
      </c>
      <c r="J3432" s="8"/>
    </row>
    <row r="3433">
      <c r="A3433" s="7">
        <v>2.004491E7</v>
      </c>
      <c r="B3433" s="8" t="s">
        <v>4599</v>
      </c>
      <c r="C3433" s="8" t="s">
        <v>10598</v>
      </c>
      <c r="D3433" s="8" t="s">
        <v>16</v>
      </c>
      <c r="E3433" s="8" t="s">
        <v>17</v>
      </c>
      <c r="F3433" s="9">
        <v>46092.0</v>
      </c>
      <c r="G3433" s="8" t="s">
        <v>171</v>
      </c>
      <c r="H3433" s="8" t="s">
        <v>172</v>
      </c>
      <c r="I3433" s="8" t="s">
        <v>10599</v>
      </c>
      <c r="J3433" s="8"/>
    </row>
    <row r="3434">
      <c r="A3434" s="7">
        <v>2.0042674E7</v>
      </c>
      <c r="B3434" s="8" t="s">
        <v>4599</v>
      </c>
      <c r="C3434" s="8" t="s">
        <v>10600</v>
      </c>
      <c r="D3434" s="8" t="s">
        <v>16</v>
      </c>
      <c r="E3434" s="8" t="s">
        <v>17</v>
      </c>
      <c r="F3434" s="9">
        <v>46075.0</v>
      </c>
      <c r="G3434" s="8" t="s">
        <v>978</v>
      </c>
      <c r="H3434" s="8" t="s">
        <v>979</v>
      </c>
      <c r="I3434" s="8" t="s">
        <v>10601</v>
      </c>
      <c r="J3434" s="8" t="s">
        <v>10602</v>
      </c>
    </row>
    <row r="3435">
      <c r="A3435" s="7">
        <v>2.0042674E7</v>
      </c>
      <c r="B3435" s="8" t="s">
        <v>4599</v>
      </c>
      <c r="C3435" s="8" t="s">
        <v>10600</v>
      </c>
      <c r="D3435" s="8" t="s">
        <v>16</v>
      </c>
      <c r="E3435" s="8" t="s">
        <v>17</v>
      </c>
      <c r="F3435" s="9">
        <v>46075.0</v>
      </c>
      <c r="G3435" s="8" t="s">
        <v>29</v>
      </c>
      <c r="H3435" s="8" t="s">
        <v>30</v>
      </c>
      <c r="I3435" s="8" t="s">
        <v>10603</v>
      </c>
      <c r="J3435" s="8" t="s">
        <v>10604</v>
      </c>
    </row>
    <row r="3436">
      <c r="A3436" s="7">
        <v>2.0043199E7</v>
      </c>
      <c r="B3436" s="8" t="s">
        <v>4599</v>
      </c>
      <c r="C3436" s="8" t="s">
        <v>10605</v>
      </c>
      <c r="D3436" s="8" t="s">
        <v>16</v>
      </c>
      <c r="E3436" s="8" t="s">
        <v>17</v>
      </c>
      <c r="F3436" s="9">
        <v>46070.0</v>
      </c>
      <c r="G3436" s="8" t="s">
        <v>247</v>
      </c>
      <c r="H3436" s="8" t="s">
        <v>248</v>
      </c>
      <c r="I3436" s="8" t="s">
        <v>10606</v>
      </c>
      <c r="J3436" s="8" t="s">
        <v>10607</v>
      </c>
    </row>
    <row r="3437">
      <c r="A3437" s="7">
        <v>2.0039412E7</v>
      </c>
      <c r="B3437" s="8" t="s">
        <v>4599</v>
      </c>
      <c r="C3437" s="8" t="s">
        <v>10608</v>
      </c>
      <c r="D3437" s="8" t="s">
        <v>16</v>
      </c>
      <c r="E3437" s="8" t="s">
        <v>17</v>
      </c>
      <c r="F3437" s="9">
        <v>46064.0</v>
      </c>
      <c r="G3437" s="8" t="s">
        <v>10609</v>
      </c>
      <c r="H3437" s="8" t="s">
        <v>10610</v>
      </c>
      <c r="I3437" s="8" t="s">
        <v>10611</v>
      </c>
      <c r="J3437" s="8" t="s">
        <v>10612</v>
      </c>
    </row>
    <row r="3438">
      <c r="A3438" s="7">
        <v>2.0040759E7</v>
      </c>
      <c r="B3438" s="8" t="s">
        <v>4599</v>
      </c>
      <c r="C3438" s="8" t="s">
        <v>10613</v>
      </c>
      <c r="D3438" s="8" t="s">
        <v>16</v>
      </c>
      <c r="E3438" s="8" t="s">
        <v>17</v>
      </c>
      <c r="F3438" s="9">
        <v>46075.0</v>
      </c>
      <c r="G3438" s="8" t="s">
        <v>5192</v>
      </c>
      <c r="H3438" s="8" t="s">
        <v>5193</v>
      </c>
      <c r="I3438" s="8" t="s">
        <v>10614</v>
      </c>
      <c r="J3438" s="8" t="s">
        <v>10615</v>
      </c>
    </row>
    <row r="3439">
      <c r="A3439" s="7">
        <v>2.0033111E7</v>
      </c>
      <c r="B3439" s="8" t="s">
        <v>4599</v>
      </c>
      <c r="C3439" s="8" t="s">
        <v>10616</v>
      </c>
      <c r="D3439" s="8" t="s">
        <v>16</v>
      </c>
      <c r="E3439" s="8" t="s">
        <v>17</v>
      </c>
      <c r="F3439" s="9">
        <v>46071.0</v>
      </c>
      <c r="G3439" s="8" t="s">
        <v>994</v>
      </c>
      <c r="H3439" s="8" t="s">
        <v>995</v>
      </c>
      <c r="I3439" s="8" t="s">
        <v>10617</v>
      </c>
      <c r="J3439" s="8" t="s">
        <v>10618</v>
      </c>
    </row>
    <row r="3440">
      <c r="A3440" s="7">
        <v>2.0038819E7</v>
      </c>
      <c r="B3440" s="8" t="s">
        <v>4599</v>
      </c>
      <c r="C3440" s="8" t="s">
        <v>10619</v>
      </c>
      <c r="D3440" s="8" t="s">
        <v>16</v>
      </c>
      <c r="E3440" s="8" t="s">
        <v>17</v>
      </c>
      <c r="F3440" s="9">
        <v>46059.0</v>
      </c>
      <c r="G3440" s="8" t="s">
        <v>3088</v>
      </c>
      <c r="H3440" s="8" t="s">
        <v>3089</v>
      </c>
      <c r="I3440" s="8" t="s">
        <v>10620</v>
      </c>
      <c r="J3440" s="8" t="s">
        <v>10621</v>
      </c>
    </row>
    <row r="3441">
      <c r="A3441" s="7">
        <v>2.0036677E7</v>
      </c>
      <c r="B3441" s="8" t="s">
        <v>4599</v>
      </c>
      <c r="C3441" s="8" t="s">
        <v>10622</v>
      </c>
      <c r="D3441" s="8" t="s">
        <v>16</v>
      </c>
      <c r="E3441" s="8" t="s">
        <v>17</v>
      </c>
      <c r="F3441" s="9">
        <v>46056.0</v>
      </c>
      <c r="G3441" s="8" t="s">
        <v>247</v>
      </c>
      <c r="H3441" s="8" t="s">
        <v>248</v>
      </c>
      <c r="I3441" s="8" t="s">
        <v>10623</v>
      </c>
      <c r="J3441" s="8" t="s">
        <v>10624</v>
      </c>
    </row>
    <row r="3442">
      <c r="A3442" s="7">
        <v>2.0037786E7</v>
      </c>
      <c r="B3442" s="8" t="s">
        <v>4599</v>
      </c>
      <c r="C3442" s="8" t="s">
        <v>10625</v>
      </c>
      <c r="D3442" s="8" t="s">
        <v>16</v>
      </c>
      <c r="E3442" s="8" t="s">
        <v>17</v>
      </c>
      <c r="F3442" s="9">
        <v>46052.0</v>
      </c>
      <c r="G3442" s="8" t="s">
        <v>1949</v>
      </c>
      <c r="H3442" s="8" t="s">
        <v>1950</v>
      </c>
      <c r="I3442" s="8" t="s">
        <v>10626</v>
      </c>
      <c r="J3442" s="8" t="s">
        <v>10627</v>
      </c>
    </row>
    <row r="3443">
      <c r="A3443" s="7">
        <v>2.0036182E7</v>
      </c>
      <c r="B3443" s="8" t="s">
        <v>4599</v>
      </c>
      <c r="C3443" s="8" t="s">
        <v>10628</v>
      </c>
      <c r="D3443" s="8" t="s">
        <v>16</v>
      </c>
      <c r="E3443" s="8" t="s">
        <v>17</v>
      </c>
      <c r="F3443" s="9">
        <v>46045.0</v>
      </c>
      <c r="G3443" s="8" t="s">
        <v>3012</v>
      </c>
      <c r="H3443" s="8" t="s">
        <v>3013</v>
      </c>
      <c r="I3443" s="8" t="s">
        <v>10629</v>
      </c>
      <c r="J3443" s="8" t="s">
        <v>10630</v>
      </c>
    </row>
    <row r="3444">
      <c r="A3444" s="7">
        <v>2.0072595E7</v>
      </c>
      <c r="B3444" s="8" t="s">
        <v>4599</v>
      </c>
      <c r="C3444" s="8" t="s">
        <v>10631</v>
      </c>
      <c r="D3444" s="8" t="s">
        <v>16</v>
      </c>
      <c r="E3444" s="8" t="s">
        <v>17</v>
      </c>
      <c r="F3444" s="9">
        <v>46192.0</v>
      </c>
      <c r="G3444" s="8" t="s">
        <v>3585</v>
      </c>
      <c r="H3444" s="8" t="s">
        <v>3586</v>
      </c>
      <c r="I3444" s="8" t="s">
        <v>10632</v>
      </c>
      <c r="J3444" s="8" t="s">
        <v>10633</v>
      </c>
    </row>
    <row r="3445">
      <c r="A3445" s="7">
        <v>2.00695E7</v>
      </c>
      <c r="B3445" s="8" t="s">
        <v>4599</v>
      </c>
      <c r="C3445" s="8" t="s">
        <v>10634</v>
      </c>
      <c r="D3445" s="8" t="s">
        <v>16</v>
      </c>
      <c r="E3445" s="8" t="s">
        <v>17</v>
      </c>
      <c r="F3445" s="9">
        <v>46185.0</v>
      </c>
      <c r="G3445" s="8" t="s">
        <v>59</v>
      </c>
      <c r="H3445" s="8" t="s">
        <v>60</v>
      </c>
      <c r="I3445" s="8" t="s">
        <v>10635</v>
      </c>
      <c r="J3445" s="8" t="s">
        <v>10636</v>
      </c>
    </row>
    <row r="3446">
      <c r="A3446" s="7">
        <v>2.006401E7</v>
      </c>
      <c r="B3446" s="8" t="s">
        <v>4599</v>
      </c>
      <c r="C3446" s="8" t="s">
        <v>10637</v>
      </c>
      <c r="D3446" s="8" t="s">
        <v>16</v>
      </c>
      <c r="E3446" s="8" t="s">
        <v>17</v>
      </c>
      <c r="F3446" s="9">
        <v>46164.0</v>
      </c>
      <c r="G3446" s="8" t="s">
        <v>109</v>
      </c>
      <c r="H3446" s="8" t="s">
        <v>110</v>
      </c>
      <c r="I3446" s="8" t="s">
        <v>10638</v>
      </c>
      <c r="J3446" s="8" t="s">
        <v>10639</v>
      </c>
    </row>
    <row r="3447">
      <c r="A3447" s="7">
        <v>2.006401E7</v>
      </c>
      <c r="B3447" s="8" t="s">
        <v>4599</v>
      </c>
      <c r="C3447" s="8" t="s">
        <v>10637</v>
      </c>
      <c r="D3447" s="8" t="s">
        <v>16</v>
      </c>
      <c r="E3447" s="8" t="s">
        <v>17</v>
      </c>
      <c r="F3447" s="9">
        <v>46164.0</v>
      </c>
      <c r="G3447" s="8" t="s">
        <v>10640</v>
      </c>
      <c r="H3447" s="8" t="s">
        <v>10641</v>
      </c>
      <c r="I3447" s="8" t="s">
        <v>10642</v>
      </c>
      <c r="J3447" s="8" t="s">
        <v>10643</v>
      </c>
    </row>
    <row r="3448">
      <c r="A3448" s="7">
        <v>2.0063196E7</v>
      </c>
      <c r="B3448" s="8" t="s">
        <v>4599</v>
      </c>
      <c r="C3448" s="8" t="s">
        <v>10644</v>
      </c>
      <c r="D3448" s="8" t="s">
        <v>16</v>
      </c>
      <c r="E3448" s="8" t="s">
        <v>17</v>
      </c>
      <c r="F3448" s="9">
        <v>46162.0</v>
      </c>
      <c r="G3448" s="8" t="s">
        <v>59</v>
      </c>
      <c r="H3448" s="8" t="s">
        <v>60</v>
      </c>
      <c r="I3448" s="8" t="s">
        <v>10645</v>
      </c>
      <c r="J3448" s="8" t="s">
        <v>10646</v>
      </c>
    </row>
    <row r="3449">
      <c r="A3449" s="7">
        <v>2.0062499E7</v>
      </c>
      <c r="B3449" s="8" t="s">
        <v>4599</v>
      </c>
      <c r="C3449" s="8" t="s">
        <v>10647</v>
      </c>
      <c r="D3449" s="8" t="s">
        <v>16</v>
      </c>
      <c r="E3449" s="8" t="s">
        <v>17</v>
      </c>
      <c r="F3449" s="9">
        <v>46169.0</v>
      </c>
      <c r="G3449" s="8" t="s">
        <v>1132</v>
      </c>
      <c r="H3449" s="8" t="s">
        <v>1133</v>
      </c>
      <c r="I3449" s="8" t="s">
        <v>10648</v>
      </c>
      <c r="J3449" s="8" t="s">
        <v>10649</v>
      </c>
    </row>
    <row r="3450">
      <c r="A3450" s="7">
        <v>2.0061882E7</v>
      </c>
      <c r="B3450" s="8" t="s">
        <v>4599</v>
      </c>
      <c r="C3450" s="8" t="s">
        <v>10650</v>
      </c>
      <c r="D3450" s="8" t="s">
        <v>16</v>
      </c>
      <c r="E3450" s="8" t="s">
        <v>17</v>
      </c>
      <c r="F3450" s="9">
        <v>46149.0</v>
      </c>
      <c r="G3450" s="8" t="s">
        <v>220</v>
      </c>
      <c r="H3450" s="8" t="s">
        <v>221</v>
      </c>
      <c r="I3450" s="8" t="s">
        <v>10651</v>
      </c>
      <c r="J3450" s="8" t="s">
        <v>10652</v>
      </c>
    </row>
    <row r="3451">
      <c r="A3451" s="7">
        <v>2.006168E7</v>
      </c>
      <c r="B3451" s="8" t="s">
        <v>4599</v>
      </c>
      <c r="C3451" s="8" t="s">
        <v>10653</v>
      </c>
      <c r="D3451" s="8" t="s">
        <v>16</v>
      </c>
      <c r="E3451" s="8" t="s">
        <v>17</v>
      </c>
      <c r="F3451" s="9">
        <v>46188.0</v>
      </c>
      <c r="G3451" s="8" t="s">
        <v>314</v>
      </c>
      <c r="H3451" s="8" t="s">
        <v>315</v>
      </c>
      <c r="I3451" s="8" t="s">
        <v>10654</v>
      </c>
      <c r="J3451" s="8" t="s">
        <v>10655</v>
      </c>
    </row>
    <row r="3452">
      <c r="A3452" s="7">
        <v>2.0058864E7</v>
      </c>
      <c r="B3452" s="8" t="s">
        <v>4599</v>
      </c>
      <c r="C3452" s="8" t="s">
        <v>10656</v>
      </c>
      <c r="D3452" s="8" t="s">
        <v>16</v>
      </c>
      <c r="E3452" s="8" t="s">
        <v>17</v>
      </c>
      <c r="F3452" s="9">
        <v>46147.0</v>
      </c>
      <c r="G3452" s="8" t="s">
        <v>418</v>
      </c>
      <c r="H3452" s="8" t="s">
        <v>419</v>
      </c>
      <c r="I3452" s="8" t="s">
        <v>10657</v>
      </c>
      <c r="J3452" s="8" t="s">
        <v>10658</v>
      </c>
    </row>
    <row r="3453">
      <c r="A3453" s="7">
        <v>2.0058707E7</v>
      </c>
      <c r="B3453" s="8" t="s">
        <v>4599</v>
      </c>
      <c r="C3453" s="8" t="s">
        <v>10659</v>
      </c>
      <c r="D3453" s="8" t="s">
        <v>16</v>
      </c>
      <c r="E3453" s="8" t="s">
        <v>17</v>
      </c>
      <c r="F3453" s="9">
        <v>46144.0</v>
      </c>
      <c r="G3453" s="8" t="s">
        <v>59</v>
      </c>
      <c r="H3453" s="8" t="s">
        <v>60</v>
      </c>
      <c r="I3453" s="8" t="s">
        <v>10660</v>
      </c>
      <c r="J3453" s="8" t="s">
        <v>10661</v>
      </c>
    </row>
    <row r="3454">
      <c r="A3454" s="7">
        <v>2.0058346E7</v>
      </c>
      <c r="B3454" s="8" t="s">
        <v>4599</v>
      </c>
      <c r="C3454" s="8" t="s">
        <v>10662</v>
      </c>
      <c r="D3454" s="8" t="s">
        <v>16</v>
      </c>
      <c r="E3454" s="8" t="s">
        <v>17</v>
      </c>
      <c r="F3454" s="9">
        <v>46134.0</v>
      </c>
      <c r="G3454" s="8" t="s">
        <v>365</v>
      </c>
      <c r="H3454" s="8" t="s">
        <v>366</v>
      </c>
      <c r="I3454" s="8" t="s">
        <v>10317</v>
      </c>
      <c r="J3454" s="8" t="s">
        <v>10663</v>
      </c>
    </row>
    <row r="3455">
      <c r="A3455" s="7">
        <v>2.0057139E7</v>
      </c>
      <c r="B3455" s="8" t="s">
        <v>4599</v>
      </c>
      <c r="C3455" s="8" t="s">
        <v>10664</v>
      </c>
      <c r="D3455" s="8" t="s">
        <v>16</v>
      </c>
      <c r="E3455" s="8" t="s">
        <v>17</v>
      </c>
      <c r="F3455" s="9">
        <v>46129.0</v>
      </c>
      <c r="G3455" s="8" t="s">
        <v>846</v>
      </c>
      <c r="H3455" s="8" t="s">
        <v>847</v>
      </c>
      <c r="I3455" s="8" t="s">
        <v>10665</v>
      </c>
      <c r="J3455" s="8" t="s">
        <v>10666</v>
      </c>
    </row>
    <row r="3456">
      <c r="A3456" s="7">
        <v>2.0056279E7</v>
      </c>
      <c r="B3456" s="8" t="s">
        <v>4599</v>
      </c>
      <c r="C3456" s="8" t="s">
        <v>10667</v>
      </c>
      <c r="D3456" s="8" t="s">
        <v>16</v>
      </c>
      <c r="E3456" s="8" t="s">
        <v>17</v>
      </c>
      <c r="F3456" s="9">
        <v>46132.0</v>
      </c>
      <c r="G3456" s="8" t="s">
        <v>49</v>
      </c>
      <c r="H3456" s="8" t="s">
        <v>50</v>
      </c>
      <c r="I3456" s="8" t="s">
        <v>10668</v>
      </c>
      <c r="J3456" s="8" t="s">
        <v>10669</v>
      </c>
    </row>
    <row r="3457">
      <c r="A3457" s="7">
        <v>2.0053534E7</v>
      </c>
      <c r="B3457" s="8" t="s">
        <v>4599</v>
      </c>
      <c r="C3457" s="8" t="s">
        <v>10670</v>
      </c>
      <c r="D3457" s="8" t="s">
        <v>16</v>
      </c>
      <c r="E3457" s="8" t="s">
        <v>17</v>
      </c>
      <c r="F3457" s="9">
        <v>46138.0</v>
      </c>
      <c r="G3457" s="8" t="s">
        <v>361</v>
      </c>
      <c r="H3457" s="8" t="s">
        <v>362</v>
      </c>
      <c r="I3457" s="8" t="s">
        <v>10671</v>
      </c>
      <c r="J3457" s="8" t="s">
        <v>10672</v>
      </c>
    </row>
    <row r="3458">
      <c r="A3458" s="7">
        <v>2.0048655E7</v>
      </c>
      <c r="B3458" s="8" t="s">
        <v>4599</v>
      </c>
      <c r="C3458" s="8" t="s">
        <v>10673</v>
      </c>
      <c r="D3458" s="8" t="s">
        <v>16</v>
      </c>
      <c r="E3458" s="8" t="s">
        <v>17</v>
      </c>
      <c r="F3458" s="9">
        <v>46094.0</v>
      </c>
      <c r="G3458" s="8" t="s">
        <v>91</v>
      </c>
      <c r="H3458" s="8" t="s">
        <v>92</v>
      </c>
      <c r="I3458" s="8" t="s">
        <v>10674</v>
      </c>
      <c r="J3458" s="8" t="s">
        <v>10675</v>
      </c>
    </row>
    <row r="3459">
      <c r="A3459" s="7">
        <v>2.004783E7</v>
      </c>
      <c r="B3459" s="8" t="s">
        <v>4599</v>
      </c>
      <c r="C3459" s="8" t="s">
        <v>10676</v>
      </c>
      <c r="D3459" s="8" t="s">
        <v>16</v>
      </c>
      <c r="E3459" s="8" t="s">
        <v>17</v>
      </c>
      <c r="F3459" s="9">
        <v>46088.0</v>
      </c>
      <c r="G3459" s="8" t="s">
        <v>339</v>
      </c>
      <c r="H3459" s="8" t="s">
        <v>340</v>
      </c>
      <c r="I3459" s="8" t="s">
        <v>10677</v>
      </c>
      <c r="J3459" s="8" t="s">
        <v>10678</v>
      </c>
    </row>
    <row r="3460">
      <c r="A3460" s="7">
        <v>2.0046391E7</v>
      </c>
      <c r="B3460" s="8" t="s">
        <v>4599</v>
      </c>
      <c r="C3460" s="8" t="s">
        <v>10679</v>
      </c>
      <c r="D3460" s="8" t="s">
        <v>16</v>
      </c>
      <c r="E3460" s="8" t="s">
        <v>17</v>
      </c>
      <c r="F3460" s="9">
        <v>46093.0</v>
      </c>
      <c r="G3460" s="8" t="s">
        <v>3012</v>
      </c>
      <c r="H3460" s="8" t="s">
        <v>3013</v>
      </c>
      <c r="I3460" s="8" t="s">
        <v>10680</v>
      </c>
      <c r="J3460" s="8" t="s">
        <v>10681</v>
      </c>
    </row>
    <row r="3461">
      <c r="A3461" s="7">
        <v>2.0046803E7</v>
      </c>
      <c r="B3461" s="8" t="s">
        <v>4599</v>
      </c>
      <c r="C3461" s="8" t="s">
        <v>10682</v>
      </c>
      <c r="D3461" s="8" t="s">
        <v>16</v>
      </c>
      <c r="E3461" s="8" t="s">
        <v>17</v>
      </c>
      <c r="F3461" s="9">
        <v>46105.0</v>
      </c>
      <c r="G3461" s="8" t="s">
        <v>4810</v>
      </c>
      <c r="H3461" s="8" t="s">
        <v>4811</v>
      </c>
      <c r="I3461" s="8" t="s">
        <v>10683</v>
      </c>
      <c r="J3461" s="8" t="s">
        <v>10684</v>
      </c>
    </row>
    <row r="3462">
      <c r="A3462" s="7">
        <v>2.0046482E7</v>
      </c>
      <c r="B3462" s="8" t="s">
        <v>4599</v>
      </c>
      <c r="C3462" s="8" t="s">
        <v>10685</v>
      </c>
      <c r="D3462" s="8" t="s">
        <v>16</v>
      </c>
      <c r="E3462" s="8" t="s">
        <v>17</v>
      </c>
      <c r="F3462" s="9">
        <v>46106.0</v>
      </c>
      <c r="G3462" s="8" t="s">
        <v>184</v>
      </c>
      <c r="H3462" s="8" t="s">
        <v>185</v>
      </c>
      <c r="I3462" s="8" t="s">
        <v>10686</v>
      </c>
      <c r="J3462" s="8" t="s">
        <v>10687</v>
      </c>
    </row>
    <row r="3463">
      <c r="A3463" s="7">
        <v>2.0045224E7</v>
      </c>
      <c r="B3463" s="8" t="s">
        <v>4599</v>
      </c>
      <c r="C3463" s="8" t="s">
        <v>10688</v>
      </c>
      <c r="D3463" s="8" t="s">
        <v>16</v>
      </c>
      <c r="E3463" s="8" t="s">
        <v>17</v>
      </c>
      <c r="F3463" s="9">
        <v>46091.0</v>
      </c>
      <c r="G3463" s="8" t="s">
        <v>9334</v>
      </c>
      <c r="H3463" s="8" t="s">
        <v>9335</v>
      </c>
      <c r="I3463" s="8" t="s">
        <v>10689</v>
      </c>
      <c r="J3463" s="8"/>
    </row>
    <row r="3464">
      <c r="A3464" s="7">
        <v>2.004476E7</v>
      </c>
      <c r="B3464" s="8" t="s">
        <v>4599</v>
      </c>
      <c r="C3464" s="8" t="s">
        <v>10690</v>
      </c>
      <c r="D3464" s="8" t="s">
        <v>16</v>
      </c>
      <c r="E3464" s="8" t="s">
        <v>17</v>
      </c>
      <c r="F3464" s="9">
        <v>46092.0</v>
      </c>
      <c r="G3464" s="8" t="s">
        <v>171</v>
      </c>
      <c r="H3464" s="8" t="s">
        <v>172</v>
      </c>
      <c r="I3464" s="8" t="s">
        <v>10691</v>
      </c>
      <c r="J3464" s="8" t="s">
        <v>10692</v>
      </c>
    </row>
    <row r="3465">
      <c r="A3465" s="7">
        <v>2.0041398E7</v>
      </c>
      <c r="B3465" s="8" t="s">
        <v>4599</v>
      </c>
      <c r="C3465" s="8" t="s">
        <v>10693</v>
      </c>
      <c r="D3465" s="8" t="s">
        <v>16</v>
      </c>
      <c r="E3465" s="8" t="s">
        <v>17</v>
      </c>
      <c r="F3465" s="9">
        <v>46078.0</v>
      </c>
      <c r="G3465" s="8" t="s">
        <v>5723</v>
      </c>
      <c r="H3465" s="8" t="s">
        <v>909</v>
      </c>
      <c r="I3465" s="8" t="s">
        <v>10694</v>
      </c>
      <c r="J3465" s="8" t="s">
        <v>10695</v>
      </c>
    </row>
    <row r="3466">
      <c r="A3466" s="7">
        <v>2.0037865E7</v>
      </c>
      <c r="B3466" s="8" t="s">
        <v>4599</v>
      </c>
      <c r="C3466" s="8" t="s">
        <v>10696</v>
      </c>
      <c r="D3466" s="8" t="s">
        <v>16</v>
      </c>
      <c r="E3466" s="8" t="s">
        <v>17</v>
      </c>
      <c r="F3466" s="9">
        <v>46063.0</v>
      </c>
      <c r="G3466" s="8" t="s">
        <v>153</v>
      </c>
      <c r="H3466" s="8" t="s">
        <v>154</v>
      </c>
      <c r="I3466" s="8" t="s">
        <v>10697</v>
      </c>
      <c r="J3466" s="8" t="s">
        <v>10698</v>
      </c>
    </row>
    <row r="3467">
      <c r="A3467" s="7">
        <v>2.0037429E7</v>
      </c>
      <c r="B3467" s="8" t="s">
        <v>4599</v>
      </c>
      <c r="C3467" s="8" t="s">
        <v>10699</v>
      </c>
      <c r="D3467" s="8" t="s">
        <v>16</v>
      </c>
      <c r="E3467" s="8" t="s">
        <v>17</v>
      </c>
      <c r="F3467" s="9">
        <v>46051.0</v>
      </c>
      <c r="G3467" s="8" t="s">
        <v>34</v>
      </c>
      <c r="H3467" s="8" t="s">
        <v>35</v>
      </c>
      <c r="I3467" s="8" t="s">
        <v>10700</v>
      </c>
      <c r="J3467" s="8" t="s">
        <v>10701</v>
      </c>
    </row>
    <row r="3468">
      <c r="A3468" s="7">
        <v>2.0073093E7</v>
      </c>
      <c r="B3468" s="8" t="s">
        <v>4599</v>
      </c>
      <c r="C3468" s="8" t="s">
        <v>10702</v>
      </c>
      <c r="D3468" s="8" t="s">
        <v>16</v>
      </c>
      <c r="E3468" s="8" t="s">
        <v>17</v>
      </c>
      <c r="F3468" s="9">
        <v>46193.0</v>
      </c>
      <c r="G3468" s="8" t="s">
        <v>59</v>
      </c>
      <c r="H3468" s="8" t="s">
        <v>60</v>
      </c>
      <c r="I3468" s="8" t="s">
        <v>10703</v>
      </c>
      <c r="J3468" s="8" t="s">
        <v>10704</v>
      </c>
    </row>
    <row r="3469">
      <c r="A3469" s="7">
        <v>2.0067029E7</v>
      </c>
      <c r="B3469" s="8" t="s">
        <v>4599</v>
      </c>
      <c r="C3469" s="8" t="s">
        <v>10705</v>
      </c>
      <c r="D3469" s="8" t="s">
        <v>2136</v>
      </c>
      <c r="E3469" s="8" t="s">
        <v>17</v>
      </c>
      <c r="F3469" s="9">
        <v>46193.0</v>
      </c>
      <c r="G3469" s="8" t="s">
        <v>153</v>
      </c>
      <c r="H3469" s="8" t="s">
        <v>154</v>
      </c>
      <c r="I3469" s="8" t="s">
        <v>10706</v>
      </c>
      <c r="J3469" s="8" t="s">
        <v>10707</v>
      </c>
    </row>
    <row r="3470">
      <c r="A3470" s="7">
        <v>2.0068752E7</v>
      </c>
      <c r="B3470" s="8" t="s">
        <v>4599</v>
      </c>
      <c r="C3470" s="8" t="s">
        <v>10708</v>
      </c>
      <c r="D3470" s="8" t="s">
        <v>16</v>
      </c>
      <c r="E3470" s="8" t="s">
        <v>17</v>
      </c>
      <c r="F3470" s="9">
        <v>46182.0</v>
      </c>
      <c r="G3470" s="8" t="s">
        <v>2511</v>
      </c>
      <c r="H3470" s="8" t="s">
        <v>2512</v>
      </c>
      <c r="I3470" s="8" t="s">
        <v>10709</v>
      </c>
      <c r="J3470" s="8" t="s">
        <v>10710</v>
      </c>
    </row>
    <row r="3471">
      <c r="A3471" s="7">
        <v>2.0068124E7</v>
      </c>
      <c r="B3471" s="8" t="s">
        <v>4599</v>
      </c>
      <c r="C3471" s="8" t="s">
        <v>10711</v>
      </c>
      <c r="D3471" s="8" t="s">
        <v>16</v>
      </c>
      <c r="E3471" s="8" t="s">
        <v>17</v>
      </c>
      <c r="F3471" s="9">
        <v>46178.0</v>
      </c>
      <c r="G3471" s="8" t="s">
        <v>428</v>
      </c>
      <c r="H3471" s="8" t="s">
        <v>429</v>
      </c>
      <c r="I3471" s="8" t="s">
        <v>10712</v>
      </c>
      <c r="J3471" s="8" t="s">
        <v>10713</v>
      </c>
    </row>
    <row r="3472">
      <c r="A3472" s="7">
        <v>2.0067054E7</v>
      </c>
      <c r="B3472" s="8" t="s">
        <v>4599</v>
      </c>
      <c r="C3472" s="8" t="s">
        <v>10714</v>
      </c>
      <c r="D3472" s="8" t="s">
        <v>16</v>
      </c>
      <c r="E3472" s="8" t="s">
        <v>17</v>
      </c>
      <c r="F3472" s="9">
        <v>46180.0</v>
      </c>
      <c r="G3472" s="8" t="s">
        <v>3409</v>
      </c>
      <c r="H3472" s="8" t="s">
        <v>10715</v>
      </c>
      <c r="I3472" s="8" t="s">
        <v>10716</v>
      </c>
      <c r="J3472" s="8" t="s">
        <v>10717</v>
      </c>
    </row>
    <row r="3473">
      <c r="A3473" s="7">
        <v>2.0065156E7</v>
      </c>
      <c r="B3473" s="8" t="s">
        <v>4599</v>
      </c>
      <c r="C3473" s="8" t="s">
        <v>10718</v>
      </c>
      <c r="D3473" s="8" t="s">
        <v>16</v>
      </c>
      <c r="E3473" s="8" t="s">
        <v>17</v>
      </c>
      <c r="F3473" s="9">
        <v>46183.0</v>
      </c>
      <c r="G3473" s="8" t="s">
        <v>361</v>
      </c>
      <c r="H3473" s="8" t="s">
        <v>362</v>
      </c>
      <c r="I3473" s="8" t="s">
        <v>10719</v>
      </c>
      <c r="J3473" s="8" t="s">
        <v>10720</v>
      </c>
    </row>
    <row r="3474">
      <c r="A3474" s="7">
        <v>2.0064829E7</v>
      </c>
      <c r="B3474" s="8" t="s">
        <v>4599</v>
      </c>
      <c r="C3474" s="8" t="s">
        <v>10721</v>
      </c>
      <c r="D3474" s="8" t="s">
        <v>16</v>
      </c>
      <c r="E3474" s="8" t="s">
        <v>17</v>
      </c>
      <c r="F3474" s="9">
        <v>46165.0</v>
      </c>
      <c r="G3474" s="8" t="s">
        <v>195</v>
      </c>
      <c r="H3474" s="8" t="s">
        <v>196</v>
      </c>
      <c r="I3474" s="8" t="s">
        <v>10722</v>
      </c>
      <c r="J3474" s="8" t="s">
        <v>10723</v>
      </c>
    </row>
    <row r="3475">
      <c r="A3475" s="7">
        <v>2.006275E7</v>
      </c>
      <c r="B3475" s="8" t="s">
        <v>4599</v>
      </c>
      <c r="C3475" s="8" t="s">
        <v>10724</v>
      </c>
      <c r="D3475" s="8" t="s">
        <v>16</v>
      </c>
      <c r="E3475" s="8" t="s">
        <v>17</v>
      </c>
      <c r="F3475" s="9">
        <v>46156.0</v>
      </c>
      <c r="G3475" s="8" t="s">
        <v>1532</v>
      </c>
      <c r="H3475" s="8" t="s">
        <v>1533</v>
      </c>
      <c r="I3475" s="8" t="s">
        <v>10725</v>
      </c>
      <c r="J3475" s="8" t="s">
        <v>10726</v>
      </c>
    </row>
    <row r="3476">
      <c r="A3476" s="7">
        <v>2.0062036E7</v>
      </c>
      <c r="B3476" s="8" t="s">
        <v>4599</v>
      </c>
      <c r="C3476" s="8" t="s">
        <v>10727</v>
      </c>
      <c r="D3476" s="8" t="s">
        <v>16</v>
      </c>
      <c r="E3476" s="8" t="s">
        <v>17</v>
      </c>
      <c r="F3476" s="9">
        <v>46185.0</v>
      </c>
      <c r="G3476" s="8" t="s">
        <v>171</v>
      </c>
      <c r="H3476" s="8" t="s">
        <v>172</v>
      </c>
      <c r="I3476" s="8" t="s">
        <v>10728</v>
      </c>
      <c r="J3476" s="8" t="s">
        <v>10729</v>
      </c>
    </row>
    <row r="3477">
      <c r="A3477" s="7">
        <v>2.0060964E7</v>
      </c>
      <c r="B3477" s="8" t="s">
        <v>4599</v>
      </c>
      <c r="C3477" s="8" t="s">
        <v>10730</v>
      </c>
      <c r="D3477" s="8" t="s">
        <v>16</v>
      </c>
      <c r="E3477" s="8" t="s">
        <v>17</v>
      </c>
      <c r="F3477" s="9">
        <v>46144.0</v>
      </c>
      <c r="G3477" s="8" t="s">
        <v>59</v>
      </c>
      <c r="H3477" s="8" t="s">
        <v>60</v>
      </c>
      <c r="I3477" s="8" t="s">
        <v>10731</v>
      </c>
      <c r="J3477" s="8" t="s">
        <v>10732</v>
      </c>
    </row>
    <row r="3478">
      <c r="A3478" s="7">
        <v>2.0059062E7</v>
      </c>
      <c r="B3478" s="8" t="s">
        <v>4599</v>
      </c>
      <c r="C3478" s="8" t="s">
        <v>10733</v>
      </c>
      <c r="D3478" s="8" t="s">
        <v>16</v>
      </c>
      <c r="E3478" s="8" t="s">
        <v>17</v>
      </c>
      <c r="F3478" s="9">
        <v>46147.0</v>
      </c>
      <c r="G3478" s="8" t="s">
        <v>6142</v>
      </c>
      <c r="H3478" s="8" t="s">
        <v>6143</v>
      </c>
      <c r="I3478" s="8" t="s">
        <v>10734</v>
      </c>
      <c r="J3478" s="8" t="s">
        <v>10735</v>
      </c>
    </row>
    <row r="3479">
      <c r="A3479" s="7">
        <v>2.0058505E7</v>
      </c>
      <c r="B3479" s="8" t="s">
        <v>4599</v>
      </c>
      <c r="C3479" s="8" t="s">
        <v>10736</v>
      </c>
      <c r="D3479" s="8" t="s">
        <v>16</v>
      </c>
      <c r="E3479" s="8" t="s">
        <v>17</v>
      </c>
      <c r="F3479" s="9">
        <v>46141.0</v>
      </c>
      <c r="G3479" s="8" t="s">
        <v>630</v>
      </c>
      <c r="H3479" s="8" t="s">
        <v>631</v>
      </c>
      <c r="I3479" s="8" t="s">
        <v>10737</v>
      </c>
      <c r="J3479" s="8"/>
    </row>
    <row r="3480">
      <c r="A3480" s="7">
        <v>2.005465E7</v>
      </c>
      <c r="B3480" s="8" t="s">
        <v>4599</v>
      </c>
      <c r="C3480" s="8" t="s">
        <v>10738</v>
      </c>
      <c r="D3480" s="8" t="s">
        <v>16</v>
      </c>
      <c r="E3480" s="8" t="s">
        <v>17</v>
      </c>
      <c r="F3480" s="9">
        <v>46118.0</v>
      </c>
      <c r="G3480" s="8" t="s">
        <v>385</v>
      </c>
      <c r="H3480" s="8" t="s">
        <v>386</v>
      </c>
      <c r="I3480" s="8" t="s">
        <v>10739</v>
      </c>
      <c r="J3480" s="8" t="s">
        <v>10740</v>
      </c>
    </row>
    <row r="3481">
      <c r="A3481" s="7">
        <v>2.0053149E7</v>
      </c>
      <c r="B3481" s="8" t="s">
        <v>4599</v>
      </c>
      <c r="C3481" s="8" t="s">
        <v>10741</v>
      </c>
      <c r="D3481" s="8" t="s">
        <v>16</v>
      </c>
      <c r="E3481" s="8" t="s">
        <v>17</v>
      </c>
      <c r="F3481" s="9">
        <v>46127.0</v>
      </c>
      <c r="G3481" s="8" t="s">
        <v>10742</v>
      </c>
      <c r="H3481" s="8" t="s">
        <v>3261</v>
      </c>
      <c r="I3481" s="8" t="s">
        <v>10743</v>
      </c>
      <c r="J3481" s="8" t="s">
        <v>10744</v>
      </c>
    </row>
    <row r="3482">
      <c r="A3482" s="7">
        <v>2.0053E7</v>
      </c>
      <c r="B3482" s="8" t="s">
        <v>4599</v>
      </c>
      <c r="C3482" s="8" t="s">
        <v>10745</v>
      </c>
      <c r="D3482" s="8" t="s">
        <v>16</v>
      </c>
      <c r="E3482" s="8" t="s">
        <v>17</v>
      </c>
      <c r="F3482" s="9">
        <v>46119.0</v>
      </c>
      <c r="G3482" s="8" t="s">
        <v>1132</v>
      </c>
      <c r="H3482" s="8" t="s">
        <v>1133</v>
      </c>
      <c r="I3482" s="8" t="s">
        <v>10746</v>
      </c>
      <c r="J3482" s="8" t="s">
        <v>10747</v>
      </c>
    </row>
    <row r="3483">
      <c r="A3483" s="7">
        <v>2.0052602E7</v>
      </c>
      <c r="B3483" s="8" t="s">
        <v>4599</v>
      </c>
      <c r="C3483" s="8" t="s">
        <v>10748</v>
      </c>
      <c r="D3483" s="8" t="s">
        <v>16</v>
      </c>
      <c r="E3483" s="8" t="s">
        <v>17</v>
      </c>
      <c r="F3483" s="9">
        <v>46107.0</v>
      </c>
      <c r="G3483" s="8" t="s">
        <v>29</v>
      </c>
      <c r="H3483" s="8" t="s">
        <v>30</v>
      </c>
      <c r="I3483" s="8" t="s">
        <v>10749</v>
      </c>
      <c r="J3483" s="8" t="s">
        <v>10750</v>
      </c>
    </row>
    <row r="3484">
      <c r="A3484" s="7">
        <v>2.0047427E7</v>
      </c>
      <c r="B3484" s="8" t="s">
        <v>4599</v>
      </c>
      <c r="C3484" s="8" t="s">
        <v>10751</v>
      </c>
      <c r="D3484" s="8" t="s">
        <v>16</v>
      </c>
      <c r="E3484" s="8" t="s">
        <v>17</v>
      </c>
      <c r="F3484" s="9">
        <v>46093.0</v>
      </c>
      <c r="G3484" s="8" t="s">
        <v>54</v>
      </c>
      <c r="H3484" s="8" t="s">
        <v>55</v>
      </c>
      <c r="I3484" s="8" t="s">
        <v>10752</v>
      </c>
      <c r="J3484" s="8" t="s">
        <v>10753</v>
      </c>
    </row>
    <row r="3485">
      <c r="A3485" s="7">
        <v>2.0046337E7</v>
      </c>
      <c r="B3485" s="8" t="s">
        <v>4599</v>
      </c>
      <c r="C3485" s="8" t="s">
        <v>10754</v>
      </c>
      <c r="D3485" s="8" t="s">
        <v>16</v>
      </c>
      <c r="E3485" s="8" t="s">
        <v>17</v>
      </c>
      <c r="F3485" s="9">
        <v>46091.0</v>
      </c>
      <c r="G3485" s="8" t="s">
        <v>234</v>
      </c>
      <c r="H3485" s="8" t="s">
        <v>235</v>
      </c>
      <c r="I3485" s="8" t="s">
        <v>10755</v>
      </c>
      <c r="J3485" s="8" t="s">
        <v>10756</v>
      </c>
    </row>
    <row r="3486">
      <c r="A3486" s="7">
        <v>2.0046479E7</v>
      </c>
      <c r="B3486" s="8" t="s">
        <v>4599</v>
      </c>
      <c r="C3486" s="8" t="s">
        <v>10757</v>
      </c>
      <c r="D3486" s="8" t="s">
        <v>16</v>
      </c>
      <c r="E3486" s="8" t="s">
        <v>17</v>
      </c>
      <c r="F3486" s="9">
        <v>46083.0</v>
      </c>
      <c r="G3486" s="8" t="s">
        <v>59</v>
      </c>
      <c r="H3486" s="8" t="s">
        <v>60</v>
      </c>
      <c r="I3486" s="8" t="s">
        <v>10758</v>
      </c>
      <c r="J3486" s="8" t="s">
        <v>10759</v>
      </c>
    </row>
    <row r="3487">
      <c r="A3487" s="7">
        <v>2.0043489E7</v>
      </c>
      <c r="B3487" s="8" t="s">
        <v>4599</v>
      </c>
      <c r="C3487" s="8" t="s">
        <v>10760</v>
      </c>
      <c r="D3487" s="8" t="s">
        <v>16</v>
      </c>
      <c r="E3487" s="8" t="s">
        <v>17</v>
      </c>
      <c r="F3487" s="9">
        <v>46095.0</v>
      </c>
      <c r="G3487" s="8" t="s">
        <v>10761</v>
      </c>
      <c r="H3487" s="8" t="s">
        <v>10762</v>
      </c>
      <c r="I3487" s="8" t="s">
        <v>10763</v>
      </c>
      <c r="J3487" s="8" t="s">
        <v>10764</v>
      </c>
    </row>
    <row r="3488">
      <c r="A3488" s="7">
        <v>2.0043489E7</v>
      </c>
      <c r="B3488" s="8" t="s">
        <v>4599</v>
      </c>
      <c r="C3488" s="8" t="s">
        <v>10760</v>
      </c>
      <c r="D3488" s="8" t="s">
        <v>16</v>
      </c>
      <c r="E3488" s="8" t="s">
        <v>17</v>
      </c>
      <c r="F3488" s="9">
        <v>46095.0</v>
      </c>
      <c r="G3488" s="8" t="s">
        <v>10765</v>
      </c>
      <c r="H3488" s="8" t="s">
        <v>10766</v>
      </c>
      <c r="I3488" s="8" t="s">
        <v>10767</v>
      </c>
      <c r="J3488" s="8" t="s">
        <v>10768</v>
      </c>
    </row>
    <row r="3489">
      <c r="A3489" s="7">
        <v>2.0043002E7</v>
      </c>
      <c r="B3489" s="8" t="s">
        <v>4599</v>
      </c>
      <c r="C3489" s="8" t="s">
        <v>10769</v>
      </c>
      <c r="D3489" s="8" t="s">
        <v>16</v>
      </c>
      <c r="E3489" s="8" t="s">
        <v>17</v>
      </c>
      <c r="F3489" s="9">
        <v>46081.0</v>
      </c>
      <c r="G3489" s="8" t="s">
        <v>109</v>
      </c>
      <c r="H3489" s="8" t="s">
        <v>110</v>
      </c>
      <c r="I3489" s="8" t="s">
        <v>10770</v>
      </c>
      <c r="J3489" s="8" t="s">
        <v>10771</v>
      </c>
    </row>
    <row r="3490">
      <c r="A3490" s="7">
        <v>2.0034336E7</v>
      </c>
      <c r="B3490" s="8" t="s">
        <v>4599</v>
      </c>
      <c r="C3490" s="8" t="s">
        <v>10772</v>
      </c>
      <c r="D3490" s="8" t="s">
        <v>16</v>
      </c>
      <c r="E3490" s="8" t="s">
        <v>17</v>
      </c>
      <c r="F3490" s="9">
        <v>46064.0</v>
      </c>
      <c r="G3490" s="8" t="s">
        <v>176</v>
      </c>
      <c r="H3490" s="8" t="s">
        <v>177</v>
      </c>
      <c r="I3490" s="8" t="s">
        <v>10773</v>
      </c>
      <c r="J3490" s="8"/>
    </row>
    <row r="3491">
      <c r="A3491" s="7">
        <v>2.0035635E7</v>
      </c>
      <c r="B3491" s="8" t="s">
        <v>4599</v>
      </c>
      <c r="C3491" s="8" t="s">
        <v>10774</v>
      </c>
      <c r="D3491" s="8" t="s">
        <v>16</v>
      </c>
      <c r="E3491" s="8" t="s">
        <v>17</v>
      </c>
      <c r="F3491" s="9">
        <v>46046.0</v>
      </c>
      <c r="G3491" s="8" t="s">
        <v>517</v>
      </c>
      <c r="H3491" s="8" t="s">
        <v>518</v>
      </c>
      <c r="I3491" s="8" t="s">
        <v>10775</v>
      </c>
      <c r="J3491" s="8" t="s">
        <v>10776</v>
      </c>
    </row>
    <row r="3492">
      <c r="A3492" s="7">
        <v>2.0034062E7</v>
      </c>
      <c r="B3492" s="8" t="s">
        <v>4599</v>
      </c>
      <c r="C3492" s="8" t="s">
        <v>10777</v>
      </c>
      <c r="D3492" s="8" t="s">
        <v>16</v>
      </c>
      <c r="E3492" s="8" t="s">
        <v>17</v>
      </c>
      <c r="F3492" s="9">
        <v>46034.0</v>
      </c>
      <c r="G3492" s="8" t="s">
        <v>365</v>
      </c>
      <c r="H3492" s="8" t="s">
        <v>366</v>
      </c>
      <c r="I3492" s="8" t="s">
        <v>10778</v>
      </c>
      <c r="J3492" s="8" t="s">
        <v>10779</v>
      </c>
    </row>
    <row r="3493">
      <c r="A3493" s="7">
        <v>2.0071259E7</v>
      </c>
      <c r="B3493" s="8" t="s">
        <v>4599</v>
      </c>
      <c r="C3493" s="8" t="s">
        <v>10780</v>
      </c>
      <c r="D3493" s="8" t="s">
        <v>2136</v>
      </c>
      <c r="E3493" s="8" t="s">
        <v>17</v>
      </c>
      <c r="F3493" s="9">
        <v>46186.0</v>
      </c>
      <c r="G3493" s="8" t="s">
        <v>339</v>
      </c>
      <c r="H3493" s="8" t="s">
        <v>340</v>
      </c>
      <c r="I3493" s="8" t="s">
        <v>10781</v>
      </c>
      <c r="J3493" s="8" t="s">
        <v>10782</v>
      </c>
    </row>
    <row r="3494">
      <c r="A3494" s="7">
        <v>2.0066586E7</v>
      </c>
      <c r="B3494" s="8" t="s">
        <v>4599</v>
      </c>
      <c r="C3494" s="8" t="s">
        <v>10783</v>
      </c>
      <c r="D3494" s="8" t="s">
        <v>16</v>
      </c>
      <c r="E3494" s="8" t="s">
        <v>17</v>
      </c>
      <c r="F3494" s="9">
        <v>46167.0</v>
      </c>
      <c r="G3494" s="8" t="s">
        <v>978</v>
      </c>
      <c r="H3494" s="8" t="s">
        <v>979</v>
      </c>
      <c r="I3494" s="8" t="s">
        <v>10784</v>
      </c>
      <c r="J3494" s="8" t="s">
        <v>10785</v>
      </c>
    </row>
    <row r="3495">
      <c r="A3495" s="7">
        <v>2.0065728E7</v>
      </c>
      <c r="B3495" s="8" t="s">
        <v>4599</v>
      </c>
      <c r="C3495" s="8" t="s">
        <v>10786</v>
      </c>
      <c r="D3495" s="8" t="s">
        <v>2136</v>
      </c>
      <c r="E3495" s="8" t="s">
        <v>17</v>
      </c>
      <c r="F3495" s="9">
        <v>46164.0</v>
      </c>
      <c r="G3495" s="8" t="s">
        <v>868</v>
      </c>
      <c r="H3495" s="8" t="s">
        <v>869</v>
      </c>
      <c r="I3495" s="8" t="s">
        <v>10787</v>
      </c>
      <c r="J3495" s="8" t="s">
        <v>10788</v>
      </c>
    </row>
    <row r="3496">
      <c r="A3496" s="7">
        <v>2.006312E7</v>
      </c>
      <c r="B3496" s="8" t="s">
        <v>4599</v>
      </c>
      <c r="C3496" s="8" t="s">
        <v>10789</v>
      </c>
      <c r="D3496" s="8" t="s">
        <v>16</v>
      </c>
      <c r="E3496" s="8" t="s">
        <v>17</v>
      </c>
      <c r="F3496" s="9">
        <v>46180.0</v>
      </c>
      <c r="G3496" s="8" t="s">
        <v>361</v>
      </c>
      <c r="H3496" s="8" t="s">
        <v>362</v>
      </c>
      <c r="I3496" s="8" t="s">
        <v>10790</v>
      </c>
      <c r="J3496" s="8"/>
    </row>
    <row r="3497">
      <c r="A3497" s="7">
        <v>2.0062507E7</v>
      </c>
      <c r="B3497" s="8" t="s">
        <v>4599</v>
      </c>
      <c r="C3497" s="8" t="s">
        <v>10791</v>
      </c>
      <c r="D3497" s="8" t="s">
        <v>2136</v>
      </c>
      <c r="E3497" s="8" t="s">
        <v>17</v>
      </c>
      <c r="F3497" s="9">
        <v>46150.0</v>
      </c>
      <c r="G3497" s="8" t="s">
        <v>846</v>
      </c>
      <c r="H3497" s="8" t="s">
        <v>847</v>
      </c>
      <c r="I3497" s="8" t="s">
        <v>10792</v>
      </c>
      <c r="J3497" s="8" t="s">
        <v>10793</v>
      </c>
    </row>
    <row r="3498">
      <c r="A3498" s="7">
        <v>2.0061243E7</v>
      </c>
      <c r="B3498" s="8" t="s">
        <v>4599</v>
      </c>
      <c r="C3498" s="8" t="s">
        <v>10794</v>
      </c>
      <c r="D3498" s="8" t="s">
        <v>16</v>
      </c>
      <c r="E3498" s="8" t="s">
        <v>17</v>
      </c>
      <c r="F3498" s="9">
        <v>46148.0</v>
      </c>
      <c r="G3498" s="8" t="s">
        <v>10795</v>
      </c>
      <c r="H3498" s="8" t="s">
        <v>10796</v>
      </c>
      <c r="I3498" s="8" t="s">
        <v>10797</v>
      </c>
      <c r="J3498" s="8" t="s">
        <v>10798</v>
      </c>
    </row>
    <row r="3499">
      <c r="A3499" s="7">
        <v>2.0060759E7</v>
      </c>
      <c r="B3499" s="8" t="s">
        <v>4599</v>
      </c>
      <c r="C3499" s="8" t="s">
        <v>10799</v>
      </c>
      <c r="D3499" s="8" t="s">
        <v>16</v>
      </c>
      <c r="E3499" s="8" t="s">
        <v>17</v>
      </c>
      <c r="F3499" s="9">
        <v>46184.0</v>
      </c>
      <c r="G3499" s="8" t="s">
        <v>171</v>
      </c>
      <c r="H3499" s="8" t="s">
        <v>172</v>
      </c>
      <c r="I3499" s="8" t="s">
        <v>10800</v>
      </c>
      <c r="J3499" s="8" t="s">
        <v>10801</v>
      </c>
    </row>
    <row r="3500">
      <c r="A3500" s="7">
        <v>2.0059562E7</v>
      </c>
      <c r="B3500" s="8" t="s">
        <v>4599</v>
      </c>
      <c r="C3500" s="8" t="s">
        <v>10802</v>
      </c>
      <c r="D3500" s="8" t="s">
        <v>16</v>
      </c>
      <c r="E3500" s="8" t="s">
        <v>17</v>
      </c>
      <c r="F3500" s="9">
        <v>46145.0</v>
      </c>
      <c r="G3500" s="8" t="s">
        <v>59</v>
      </c>
      <c r="H3500" s="8" t="s">
        <v>60</v>
      </c>
      <c r="I3500" s="8" t="s">
        <v>10803</v>
      </c>
      <c r="J3500" s="8" t="s">
        <v>10804</v>
      </c>
    </row>
    <row r="3501">
      <c r="A3501" s="7">
        <v>2.0058976E7</v>
      </c>
      <c r="B3501" s="8" t="s">
        <v>4599</v>
      </c>
      <c r="C3501" s="8" t="s">
        <v>10805</v>
      </c>
      <c r="D3501" s="8" t="s">
        <v>16</v>
      </c>
      <c r="E3501" s="8" t="s">
        <v>17</v>
      </c>
      <c r="F3501" s="9">
        <v>46137.0</v>
      </c>
      <c r="G3501" s="8" t="s">
        <v>247</v>
      </c>
      <c r="H3501" s="8" t="s">
        <v>248</v>
      </c>
      <c r="I3501" s="8" t="s">
        <v>10806</v>
      </c>
      <c r="J3501" s="8" t="s">
        <v>10807</v>
      </c>
    </row>
    <row r="3502">
      <c r="A3502" s="7">
        <v>2.00568E7</v>
      </c>
      <c r="B3502" s="8" t="s">
        <v>4599</v>
      </c>
      <c r="C3502" s="8" t="s">
        <v>10808</v>
      </c>
      <c r="D3502" s="8" t="s">
        <v>16</v>
      </c>
      <c r="E3502" s="8" t="s">
        <v>17</v>
      </c>
      <c r="F3502" s="9">
        <v>46182.0</v>
      </c>
      <c r="G3502" s="8" t="s">
        <v>994</v>
      </c>
      <c r="H3502" s="8" t="s">
        <v>995</v>
      </c>
      <c r="I3502" s="8" t="s">
        <v>10809</v>
      </c>
      <c r="J3502" s="8" t="s">
        <v>10810</v>
      </c>
    </row>
    <row r="3503">
      <c r="A3503" s="7">
        <v>2.0056711E7</v>
      </c>
      <c r="B3503" s="8" t="s">
        <v>4599</v>
      </c>
      <c r="C3503" s="8" t="s">
        <v>10811</v>
      </c>
      <c r="D3503" s="8" t="s">
        <v>16</v>
      </c>
      <c r="E3503" s="8" t="s">
        <v>17</v>
      </c>
      <c r="F3503" s="9">
        <v>46128.0</v>
      </c>
      <c r="G3503" s="8" t="s">
        <v>220</v>
      </c>
      <c r="H3503" s="8" t="s">
        <v>221</v>
      </c>
      <c r="I3503" s="8" t="s">
        <v>10812</v>
      </c>
      <c r="J3503" s="8" t="s">
        <v>10813</v>
      </c>
    </row>
    <row r="3504">
      <c r="A3504" s="7">
        <v>2.0053907E7</v>
      </c>
      <c r="B3504" s="8" t="s">
        <v>4599</v>
      </c>
      <c r="C3504" s="8" t="s">
        <v>10814</v>
      </c>
      <c r="D3504" s="8" t="s">
        <v>16</v>
      </c>
      <c r="E3504" s="8" t="s">
        <v>17</v>
      </c>
      <c r="F3504" s="9">
        <v>46122.0</v>
      </c>
      <c r="G3504" s="8" t="s">
        <v>34</v>
      </c>
      <c r="H3504" s="8" t="s">
        <v>35</v>
      </c>
      <c r="I3504" s="8" t="s">
        <v>10815</v>
      </c>
      <c r="J3504" s="8" t="s">
        <v>10816</v>
      </c>
    </row>
    <row r="3505">
      <c r="A3505" s="7">
        <v>2.0051553E7</v>
      </c>
      <c r="B3505" s="8" t="s">
        <v>4599</v>
      </c>
      <c r="C3505" s="8" t="s">
        <v>10817</v>
      </c>
      <c r="D3505" s="8" t="s">
        <v>16</v>
      </c>
      <c r="E3505" s="8" t="s">
        <v>17</v>
      </c>
      <c r="F3505" s="9">
        <v>46103.0</v>
      </c>
      <c r="G3505" s="8" t="s">
        <v>34</v>
      </c>
      <c r="H3505" s="8" t="s">
        <v>35</v>
      </c>
      <c r="I3505" s="8" t="s">
        <v>10818</v>
      </c>
      <c r="J3505" s="8" t="s">
        <v>10819</v>
      </c>
    </row>
    <row r="3506">
      <c r="A3506" s="7">
        <v>2.0048788E7</v>
      </c>
      <c r="B3506" s="8" t="s">
        <v>4599</v>
      </c>
      <c r="C3506" s="8" t="s">
        <v>10820</v>
      </c>
      <c r="D3506" s="8" t="s">
        <v>16</v>
      </c>
      <c r="E3506" s="8" t="s">
        <v>17</v>
      </c>
      <c r="F3506" s="9">
        <v>46094.0</v>
      </c>
      <c r="G3506" s="8" t="s">
        <v>59</v>
      </c>
      <c r="H3506" s="8" t="s">
        <v>60</v>
      </c>
      <c r="I3506" s="8" t="s">
        <v>10821</v>
      </c>
      <c r="J3506" s="8" t="s">
        <v>10822</v>
      </c>
    </row>
    <row r="3507">
      <c r="A3507" s="7">
        <v>2.0045012E7</v>
      </c>
      <c r="B3507" s="8" t="s">
        <v>4599</v>
      </c>
      <c r="C3507" s="8" t="s">
        <v>10823</v>
      </c>
      <c r="D3507" s="8" t="s">
        <v>16</v>
      </c>
      <c r="E3507" s="8" t="s">
        <v>17</v>
      </c>
      <c r="F3507" s="9">
        <v>46086.0</v>
      </c>
      <c r="G3507" s="8" t="s">
        <v>5030</v>
      </c>
      <c r="H3507" s="8" t="s">
        <v>44</v>
      </c>
      <c r="I3507" s="8" t="s">
        <v>10824</v>
      </c>
      <c r="J3507" s="8" t="s">
        <v>10825</v>
      </c>
    </row>
    <row r="3508">
      <c r="A3508" s="7">
        <v>2.0040667E7</v>
      </c>
      <c r="B3508" s="8" t="s">
        <v>4599</v>
      </c>
      <c r="C3508" s="8" t="s">
        <v>10826</v>
      </c>
      <c r="D3508" s="8" t="s">
        <v>16</v>
      </c>
      <c r="E3508" s="8" t="s">
        <v>17</v>
      </c>
      <c r="F3508" s="9">
        <v>46081.0</v>
      </c>
      <c r="G3508" s="8" t="s">
        <v>400</v>
      </c>
      <c r="H3508" s="8" t="s">
        <v>401</v>
      </c>
      <c r="I3508" s="8" t="s">
        <v>10827</v>
      </c>
      <c r="J3508" s="8" t="s">
        <v>10828</v>
      </c>
    </row>
    <row r="3509">
      <c r="A3509" s="7">
        <v>2.0040766E7</v>
      </c>
      <c r="B3509" s="8" t="s">
        <v>4599</v>
      </c>
      <c r="C3509" s="8" t="s">
        <v>10829</v>
      </c>
      <c r="D3509" s="8" t="s">
        <v>16</v>
      </c>
      <c r="E3509" s="8" t="s">
        <v>17</v>
      </c>
      <c r="F3509" s="9">
        <v>46066.0</v>
      </c>
      <c r="G3509" s="8" t="s">
        <v>971</v>
      </c>
      <c r="H3509" s="8" t="s">
        <v>972</v>
      </c>
      <c r="I3509" s="8" t="s">
        <v>10830</v>
      </c>
      <c r="J3509" s="8" t="s">
        <v>10831</v>
      </c>
    </row>
    <row r="3510">
      <c r="A3510" s="7">
        <v>2.0032997E7</v>
      </c>
      <c r="B3510" s="8" t="s">
        <v>4599</v>
      </c>
      <c r="C3510" s="8" t="s">
        <v>10832</v>
      </c>
      <c r="D3510" s="8" t="s">
        <v>16</v>
      </c>
      <c r="E3510" s="8" t="s">
        <v>17</v>
      </c>
      <c r="F3510" s="9">
        <v>46081.0</v>
      </c>
      <c r="G3510" s="8" t="s">
        <v>10833</v>
      </c>
      <c r="H3510" s="8" t="s">
        <v>10834</v>
      </c>
      <c r="I3510" s="8" t="s">
        <v>10835</v>
      </c>
      <c r="J3510" s="8" t="s">
        <v>10836</v>
      </c>
    </row>
    <row r="3511">
      <c r="A3511" s="7">
        <v>2.0039661E7</v>
      </c>
      <c r="B3511" s="8" t="s">
        <v>4599</v>
      </c>
      <c r="C3511" s="8" t="s">
        <v>10837</v>
      </c>
      <c r="D3511" s="8" t="s">
        <v>16</v>
      </c>
      <c r="E3511" s="8" t="s">
        <v>17</v>
      </c>
      <c r="F3511" s="9">
        <v>46058.0</v>
      </c>
      <c r="G3511" s="8" t="s">
        <v>91</v>
      </c>
      <c r="H3511" s="8" t="s">
        <v>92</v>
      </c>
      <c r="I3511" s="8" t="s">
        <v>10838</v>
      </c>
      <c r="J3511" s="8" t="s">
        <v>10839</v>
      </c>
    </row>
    <row r="3512">
      <c r="A3512" s="7">
        <v>2.0039172E7</v>
      </c>
      <c r="B3512" s="8" t="s">
        <v>4599</v>
      </c>
      <c r="C3512" s="8" t="s">
        <v>10840</v>
      </c>
      <c r="D3512" s="8" t="s">
        <v>16</v>
      </c>
      <c r="E3512" s="8" t="s">
        <v>17</v>
      </c>
      <c r="F3512" s="9">
        <v>46061.0</v>
      </c>
      <c r="G3512" s="8" t="s">
        <v>1949</v>
      </c>
      <c r="H3512" s="8" t="s">
        <v>1950</v>
      </c>
      <c r="I3512" s="8" t="s">
        <v>10841</v>
      </c>
      <c r="J3512" s="8" t="s">
        <v>10842</v>
      </c>
    </row>
    <row r="3513">
      <c r="A3513" s="7">
        <v>2.0037257E7</v>
      </c>
      <c r="B3513" s="8" t="s">
        <v>4599</v>
      </c>
      <c r="C3513" s="8" t="s">
        <v>10843</v>
      </c>
      <c r="D3513" s="8" t="s">
        <v>16</v>
      </c>
      <c r="E3513" s="8" t="s">
        <v>17</v>
      </c>
      <c r="F3513" s="9">
        <v>46068.0</v>
      </c>
      <c r="G3513" s="8" t="s">
        <v>176</v>
      </c>
      <c r="H3513" s="8" t="s">
        <v>177</v>
      </c>
      <c r="I3513" s="8" t="s">
        <v>10844</v>
      </c>
      <c r="J3513" s="8"/>
    </row>
    <row r="3514">
      <c r="A3514" s="7">
        <v>2.0035822E7</v>
      </c>
      <c r="B3514" s="8" t="s">
        <v>4599</v>
      </c>
      <c r="C3514" s="8" t="s">
        <v>10845</v>
      </c>
      <c r="D3514" s="8" t="s">
        <v>16</v>
      </c>
      <c r="E3514" s="8" t="s">
        <v>17</v>
      </c>
      <c r="F3514" s="9">
        <v>46047.0</v>
      </c>
      <c r="G3514" s="8" t="s">
        <v>34</v>
      </c>
      <c r="H3514" s="8" t="s">
        <v>35</v>
      </c>
      <c r="I3514" s="8" t="s">
        <v>10846</v>
      </c>
      <c r="J3514" s="8" t="s">
        <v>10847</v>
      </c>
    </row>
    <row r="3515">
      <c r="A3515" s="7">
        <v>2.0035102E7</v>
      </c>
      <c r="B3515" s="8" t="s">
        <v>4599</v>
      </c>
      <c r="C3515" s="8" t="s">
        <v>10848</v>
      </c>
      <c r="D3515" s="8" t="s">
        <v>16</v>
      </c>
      <c r="E3515" s="8" t="s">
        <v>17</v>
      </c>
      <c r="F3515" s="9">
        <v>46046.0</v>
      </c>
      <c r="G3515" s="8" t="s">
        <v>277</v>
      </c>
      <c r="H3515" s="8" t="s">
        <v>278</v>
      </c>
      <c r="I3515" s="8" t="s">
        <v>10849</v>
      </c>
      <c r="J3515" s="8" t="s">
        <v>10850</v>
      </c>
    </row>
    <row r="3516">
      <c r="A3516" s="7">
        <v>2.007067E7</v>
      </c>
      <c r="B3516" s="8" t="s">
        <v>4599</v>
      </c>
      <c r="C3516" s="8" t="s">
        <v>10851</v>
      </c>
      <c r="D3516" s="8" t="s">
        <v>16</v>
      </c>
      <c r="E3516" s="8" t="s">
        <v>17</v>
      </c>
      <c r="F3516" s="9">
        <v>46189.0</v>
      </c>
      <c r="G3516" s="8" t="s">
        <v>800</v>
      </c>
      <c r="H3516" s="8" t="s">
        <v>801</v>
      </c>
      <c r="I3516" s="8" t="s">
        <v>10852</v>
      </c>
      <c r="J3516" s="8" t="s">
        <v>10853</v>
      </c>
    </row>
    <row r="3517">
      <c r="A3517" s="7">
        <v>2.0064901E7</v>
      </c>
      <c r="B3517" s="8" t="s">
        <v>4599</v>
      </c>
      <c r="C3517" s="8" t="s">
        <v>10854</v>
      </c>
      <c r="D3517" s="8" t="s">
        <v>2136</v>
      </c>
      <c r="E3517" s="8" t="s">
        <v>17</v>
      </c>
      <c r="F3517" s="9">
        <v>46160.0</v>
      </c>
      <c r="G3517" s="8" t="s">
        <v>339</v>
      </c>
      <c r="H3517" s="8" t="s">
        <v>340</v>
      </c>
      <c r="I3517" s="8" t="s">
        <v>10855</v>
      </c>
      <c r="J3517" s="8" t="s">
        <v>10856</v>
      </c>
    </row>
    <row r="3518">
      <c r="A3518" s="7">
        <v>2.0061042E7</v>
      </c>
      <c r="B3518" s="8" t="s">
        <v>4599</v>
      </c>
      <c r="C3518" s="8" t="s">
        <v>10857</v>
      </c>
      <c r="D3518" s="8" t="s">
        <v>16</v>
      </c>
      <c r="E3518" s="8" t="s">
        <v>17</v>
      </c>
      <c r="F3518" s="9">
        <v>46166.0</v>
      </c>
      <c r="G3518" s="8" t="s">
        <v>1557</v>
      </c>
      <c r="H3518" s="8" t="s">
        <v>1558</v>
      </c>
      <c r="I3518" s="8" t="s">
        <v>10858</v>
      </c>
      <c r="J3518" s="8" t="s">
        <v>10859</v>
      </c>
    </row>
    <row r="3519">
      <c r="A3519" s="7">
        <v>2.0058325E7</v>
      </c>
      <c r="B3519" s="8" t="s">
        <v>4599</v>
      </c>
      <c r="C3519" s="8" t="s">
        <v>10860</v>
      </c>
      <c r="D3519" s="8" t="s">
        <v>16</v>
      </c>
      <c r="E3519" s="8" t="s">
        <v>17</v>
      </c>
      <c r="F3519" s="9">
        <v>46133.0</v>
      </c>
      <c r="G3519" s="8" t="s">
        <v>365</v>
      </c>
      <c r="H3519" s="8" t="s">
        <v>366</v>
      </c>
      <c r="I3519" s="8" t="s">
        <v>10861</v>
      </c>
      <c r="J3519" s="8" t="s">
        <v>10862</v>
      </c>
    </row>
    <row r="3520">
      <c r="A3520" s="7">
        <v>2.0056098E7</v>
      </c>
      <c r="B3520" s="8" t="s">
        <v>4599</v>
      </c>
      <c r="C3520" s="8" t="s">
        <v>10863</v>
      </c>
      <c r="D3520" s="8" t="s">
        <v>16</v>
      </c>
      <c r="E3520" s="8" t="s">
        <v>17</v>
      </c>
      <c r="F3520" s="9">
        <v>46139.0</v>
      </c>
      <c r="G3520" s="8" t="s">
        <v>2486</v>
      </c>
      <c r="H3520" s="8" t="s">
        <v>2487</v>
      </c>
      <c r="I3520" s="8" t="s">
        <v>10864</v>
      </c>
      <c r="J3520" s="8" t="s">
        <v>10865</v>
      </c>
    </row>
    <row r="3521">
      <c r="A3521" s="7">
        <v>2.005763E7</v>
      </c>
      <c r="B3521" s="8" t="s">
        <v>4599</v>
      </c>
      <c r="C3521" s="8" t="s">
        <v>10866</v>
      </c>
      <c r="D3521" s="8" t="s">
        <v>16</v>
      </c>
      <c r="E3521" s="8" t="s">
        <v>17</v>
      </c>
      <c r="F3521" s="9">
        <v>46134.0</v>
      </c>
      <c r="G3521" s="8" t="s">
        <v>10867</v>
      </c>
      <c r="H3521" s="8" t="s">
        <v>10868</v>
      </c>
      <c r="I3521" s="8" t="s">
        <v>10869</v>
      </c>
      <c r="J3521" s="8"/>
    </row>
    <row r="3522">
      <c r="A3522" s="7">
        <v>2.0057296E7</v>
      </c>
      <c r="B3522" s="8" t="s">
        <v>4599</v>
      </c>
      <c r="C3522" s="8" t="s">
        <v>10870</v>
      </c>
      <c r="D3522" s="8" t="s">
        <v>16</v>
      </c>
      <c r="E3522" s="8" t="s">
        <v>17</v>
      </c>
      <c r="F3522" s="9">
        <v>46135.0</v>
      </c>
      <c r="G3522" s="8" t="s">
        <v>273</v>
      </c>
      <c r="H3522" s="8" t="s">
        <v>274</v>
      </c>
      <c r="I3522" s="8" t="s">
        <v>10871</v>
      </c>
      <c r="J3522" s="8" t="s">
        <v>10872</v>
      </c>
    </row>
    <row r="3523">
      <c r="A3523" s="7">
        <v>2.0054641E7</v>
      </c>
      <c r="B3523" s="8" t="s">
        <v>4599</v>
      </c>
      <c r="C3523" s="8" t="s">
        <v>10873</v>
      </c>
      <c r="D3523" s="8" t="s">
        <v>16</v>
      </c>
      <c r="E3523" s="8" t="s">
        <v>17</v>
      </c>
      <c r="F3523" s="9">
        <v>46118.0</v>
      </c>
      <c r="G3523" s="8" t="s">
        <v>846</v>
      </c>
      <c r="H3523" s="8" t="s">
        <v>847</v>
      </c>
      <c r="I3523" s="8" t="s">
        <v>10874</v>
      </c>
      <c r="J3523" s="8" t="s">
        <v>10875</v>
      </c>
    </row>
    <row r="3524">
      <c r="A3524" s="7">
        <v>2.0053462E7</v>
      </c>
      <c r="B3524" s="8" t="s">
        <v>4599</v>
      </c>
      <c r="C3524" s="8" t="s">
        <v>10876</v>
      </c>
      <c r="D3524" s="8" t="s">
        <v>16</v>
      </c>
      <c r="E3524" s="8" t="s">
        <v>17</v>
      </c>
      <c r="F3524" s="9">
        <v>46119.0</v>
      </c>
      <c r="G3524" s="8" t="s">
        <v>10609</v>
      </c>
      <c r="H3524" s="8" t="s">
        <v>10610</v>
      </c>
      <c r="I3524" s="8" t="s">
        <v>10877</v>
      </c>
      <c r="J3524" s="8" t="s">
        <v>10878</v>
      </c>
    </row>
    <row r="3525">
      <c r="A3525" s="7">
        <v>2.0044262E7</v>
      </c>
      <c r="B3525" s="8" t="s">
        <v>4599</v>
      </c>
      <c r="C3525" s="8" t="s">
        <v>10879</v>
      </c>
      <c r="D3525" s="8" t="s">
        <v>16</v>
      </c>
      <c r="E3525" s="8" t="s">
        <v>17</v>
      </c>
      <c r="F3525" s="9">
        <v>46116.0</v>
      </c>
      <c r="G3525" s="8" t="s">
        <v>10880</v>
      </c>
      <c r="H3525" s="8" t="s">
        <v>10881</v>
      </c>
      <c r="I3525" s="8" t="s">
        <v>10882</v>
      </c>
      <c r="J3525" s="8" t="s">
        <v>10883</v>
      </c>
    </row>
    <row r="3526">
      <c r="A3526" s="7">
        <v>2.0052646E7</v>
      </c>
      <c r="B3526" s="8" t="s">
        <v>4599</v>
      </c>
      <c r="C3526" s="8" t="s">
        <v>10884</v>
      </c>
      <c r="D3526" s="8" t="s">
        <v>16</v>
      </c>
      <c r="E3526" s="8" t="s">
        <v>17</v>
      </c>
      <c r="F3526" s="9">
        <v>46122.0</v>
      </c>
      <c r="G3526" s="8" t="s">
        <v>29</v>
      </c>
      <c r="H3526" s="8" t="s">
        <v>30</v>
      </c>
      <c r="I3526" s="8" t="s">
        <v>10885</v>
      </c>
      <c r="J3526" s="8" t="s">
        <v>10886</v>
      </c>
    </row>
    <row r="3527">
      <c r="A3527" s="7">
        <v>2.0053042E7</v>
      </c>
      <c r="B3527" s="8" t="s">
        <v>4599</v>
      </c>
      <c r="C3527" s="8" t="s">
        <v>10887</v>
      </c>
      <c r="D3527" s="8" t="s">
        <v>16</v>
      </c>
      <c r="E3527" s="8" t="s">
        <v>17</v>
      </c>
      <c r="F3527" s="9">
        <v>46109.0</v>
      </c>
      <c r="G3527" s="8" t="s">
        <v>59</v>
      </c>
      <c r="H3527" s="8" t="s">
        <v>60</v>
      </c>
      <c r="I3527" s="8" t="s">
        <v>10888</v>
      </c>
      <c r="J3527" s="8" t="s">
        <v>10889</v>
      </c>
    </row>
    <row r="3528">
      <c r="A3528" s="7">
        <v>2.0049402E7</v>
      </c>
      <c r="B3528" s="8" t="s">
        <v>4599</v>
      </c>
      <c r="C3528" s="8" t="s">
        <v>10890</v>
      </c>
      <c r="D3528" s="8" t="s">
        <v>16</v>
      </c>
      <c r="E3528" s="8" t="s">
        <v>17</v>
      </c>
      <c r="F3528" s="9">
        <v>46109.0</v>
      </c>
      <c r="G3528" s="8" t="s">
        <v>2202</v>
      </c>
      <c r="H3528" s="8" t="s">
        <v>2203</v>
      </c>
      <c r="I3528" s="8" t="s">
        <v>10891</v>
      </c>
      <c r="J3528" s="8" t="s">
        <v>10892</v>
      </c>
    </row>
    <row r="3529">
      <c r="A3529" s="7">
        <v>2.0047752E7</v>
      </c>
      <c r="B3529" s="8" t="s">
        <v>4599</v>
      </c>
      <c r="C3529" s="8" t="s">
        <v>10893</v>
      </c>
      <c r="D3529" s="8" t="s">
        <v>16</v>
      </c>
      <c r="E3529" s="8" t="s">
        <v>17</v>
      </c>
      <c r="F3529" s="9">
        <v>46088.0</v>
      </c>
      <c r="G3529" s="8" t="s">
        <v>59</v>
      </c>
      <c r="H3529" s="8" t="s">
        <v>60</v>
      </c>
      <c r="I3529" s="8" t="s">
        <v>10894</v>
      </c>
      <c r="J3529" s="8" t="s">
        <v>10895</v>
      </c>
    </row>
    <row r="3530">
      <c r="A3530" s="7">
        <v>2.0040729E7</v>
      </c>
      <c r="B3530" s="8" t="s">
        <v>4599</v>
      </c>
      <c r="C3530" s="8" t="s">
        <v>10896</v>
      </c>
      <c r="D3530" s="8" t="s">
        <v>2136</v>
      </c>
      <c r="E3530" s="8" t="s">
        <v>17</v>
      </c>
      <c r="F3530" s="9">
        <v>46069.0</v>
      </c>
      <c r="G3530" s="8" t="s">
        <v>75</v>
      </c>
      <c r="H3530" s="8" t="s">
        <v>76</v>
      </c>
      <c r="I3530" s="8" t="s">
        <v>10897</v>
      </c>
      <c r="J3530" s="8" t="s">
        <v>10898</v>
      </c>
    </row>
    <row r="3531">
      <c r="A3531" s="7">
        <v>2.0037457E7</v>
      </c>
      <c r="B3531" s="8" t="s">
        <v>4599</v>
      </c>
      <c r="C3531" s="8" t="s">
        <v>10899</v>
      </c>
      <c r="D3531" s="8" t="s">
        <v>16</v>
      </c>
      <c r="E3531" s="8" t="s">
        <v>17</v>
      </c>
      <c r="F3531" s="9">
        <v>46057.0</v>
      </c>
      <c r="G3531" s="8" t="s">
        <v>5282</v>
      </c>
      <c r="H3531" s="8" t="s">
        <v>5283</v>
      </c>
      <c r="I3531" s="8" t="s">
        <v>10900</v>
      </c>
      <c r="J3531" s="8" t="s">
        <v>10901</v>
      </c>
    </row>
    <row r="3532">
      <c r="A3532" s="7">
        <v>2.0037457E7</v>
      </c>
      <c r="B3532" s="8" t="s">
        <v>4599</v>
      </c>
      <c r="C3532" s="8" t="s">
        <v>10899</v>
      </c>
      <c r="D3532" s="8" t="s">
        <v>16</v>
      </c>
      <c r="E3532" s="8" t="s">
        <v>17</v>
      </c>
      <c r="F3532" s="9">
        <v>46057.0</v>
      </c>
      <c r="G3532" s="8" t="s">
        <v>234</v>
      </c>
      <c r="H3532" s="8" t="s">
        <v>235</v>
      </c>
      <c r="I3532" s="8" t="s">
        <v>10902</v>
      </c>
      <c r="J3532" s="8" t="s">
        <v>10903</v>
      </c>
    </row>
    <row r="3533">
      <c r="A3533" s="7">
        <v>2.0037686E7</v>
      </c>
      <c r="B3533" s="8" t="s">
        <v>4599</v>
      </c>
      <c r="C3533" s="8" t="s">
        <v>10904</v>
      </c>
      <c r="D3533" s="8" t="s">
        <v>16</v>
      </c>
      <c r="E3533" s="8" t="s">
        <v>17</v>
      </c>
      <c r="F3533" s="9">
        <v>46058.0</v>
      </c>
      <c r="G3533" s="8" t="s">
        <v>9354</v>
      </c>
      <c r="H3533" s="8" t="s">
        <v>9355</v>
      </c>
      <c r="I3533" s="8" t="s">
        <v>10905</v>
      </c>
      <c r="J3533" s="8"/>
    </row>
    <row r="3534">
      <c r="A3534" s="7">
        <v>2.0035853E7</v>
      </c>
      <c r="B3534" s="8" t="s">
        <v>4599</v>
      </c>
      <c r="C3534" s="8" t="s">
        <v>10906</v>
      </c>
      <c r="D3534" s="8" t="s">
        <v>16</v>
      </c>
      <c r="E3534" s="8" t="s">
        <v>17</v>
      </c>
      <c r="F3534" s="9">
        <v>46047.0</v>
      </c>
      <c r="G3534" s="8" t="s">
        <v>59</v>
      </c>
      <c r="H3534" s="8" t="s">
        <v>60</v>
      </c>
      <c r="I3534" s="8" t="s">
        <v>10907</v>
      </c>
      <c r="J3534" s="8" t="s">
        <v>10908</v>
      </c>
    </row>
    <row r="3535">
      <c r="A3535" s="7">
        <v>2.0034325E7</v>
      </c>
      <c r="B3535" s="8" t="s">
        <v>4599</v>
      </c>
      <c r="C3535" s="8" t="s">
        <v>10909</v>
      </c>
      <c r="D3535" s="8" t="s">
        <v>16</v>
      </c>
      <c r="E3535" s="8" t="s">
        <v>48</v>
      </c>
      <c r="F3535" s="9">
        <v>46046.0</v>
      </c>
      <c r="G3535" s="8" t="s">
        <v>5866</v>
      </c>
      <c r="H3535" s="8" t="s">
        <v>1111</v>
      </c>
      <c r="I3535" s="8" t="s">
        <v>10910</v>
      </c>
      <c r="J3535" s="8"/>
    </row>
    <row r="3536">
      <c r="A3536" s="7">
        <v>2.0033802E7</v>
      </c>
      <c r="B3536" s="8" t="s">
        <v>4599</v>
      </c>
      <c r="C3536" s="8" t="s">
        <v>10911</v>
      </c>
      <c r="D3536" s="8" t="s">
        <v>16</v>
      </c>
      <c r="E3536" s="8" t="s">
        <v>17</v>
      </c>
      <c r="F3536" s="9">
        <v>46036.0</v>
      </c>
      <c r="G3536" s="8" t="s">
        <v>195</v>
      </c>
      <c r="H3536" s="8" t="s">
        <v>196</v>
      </c>
      <c r="I3536" s="8" t="s">
        <v>10912</v>
      </c>
      <c r="J3536" s="8" t="s">
        <v>10913</v>
      </c>
    </row>
    <row r="3537">
      <c r="A3537" s="7">
        <v>2.0033749E7</v>
      </c>
      <c r="B3537" s="8" t="s">
        <v>4599</v>
      </c>
      <c r="C3537" s="8" t="s">
        <v>10914</v>
      </c>
      <c r="D3537" s="8" t="s">
        <v>16</v>
      </c>
      <c r="E3537" s="8" t="s">
        <v>17</v>
      </c>
      <c r="F3537" s="9">
        <v>46053.0</v>
      </c>
      <c r="G3537" s="8" t="s">
        <v>1355</v>
      </c>
      <c r="H3537" s="8" t="s">
        <v>1356</v>
      </c>
      <c r="I3537" s="8" t="s">
        <v>10915</v>
      </c>
      <c r="J3537" s="8" t="s">
        <v>10916</v>
      </c>
    </row>
    <row r="3538">
      <c r="A3538" s="7">
        <v>2.0071144E7</v>
      </c>
      <c r="B3538" s="8" t="s">
        <v>4599</v>
      </c>
      <c r="C3538" s="8" t="s">
        <v>10917</v>
      </c>
      <c r="D3538" s="8" t="s">
        <v>2136</v>
      </c>
      <c r="E3538" s="8" t="s">
        <v>17</v>
      </c>
      <c r="F3538" s="9">
        <v>46186.0</v>
      </c>
      <c r="G3538" s="8" t="s">
        <v>10918</v>
      </c>
      <c r="H3538" s="8" t="s">
        <v>10919</v>
      </c>
      <c r="I3538" s="8" t="s">
        <v>10920</v>
      </c>
      <c r="J3538" s="8" t="s">
        <v>10921</v>
      </c>
    </row>
    <row r="3539">
      <c r="A3539" s="7">
        <v>2.0066265E7</v>
      </c>
      <c r="B3539" s="8" t="s">
        <v>4599</v>
      </c>
      <c r="C3539" s="8" t="s">
        <v>10922</v>
      </c>
      <c r="D3539" s="8" t="s">
        <v>16</v>
      </c>
      <c r="E3539" s="8" t="s">
        <v>17</v>
      </c>
      <c r="F3539" s="9">
        <v>46183.0</v>
      </c>
      <c r="G3539" s="8" t="s">
        <v>59</v>
      </c>
      <c r="H3539" s="8" t="s">
        <v>60</v>
      </c>
      <c r="I3539" s="8" t="s">
        <v>10923</v>
      </c>
      <c r="J3539" s="8" t="s">
        <v>10924</v>
      </c>
    </row>
    <row r="3540">
      <c r="A3540" s="7">
        <v>2.0065099E7</v>
      </c>
      <c r="B3540" s="8" t="s">
        <v>4599</v>
      </c>
      <c r="C3540" s="8" t="s">
        <v>10925</v>
      </c>
      <c r="D3540" s="8" t="s">
        <v>2136</v>
      </c>
      <c r="E3540" s="8" t="s">
        <v>17</v>
      </c>
      <c r="F3540" s="9">
        <v>46163.0</v>
      </c>
      <c r="G3540" s="8" t="s">
        <v>75</v>
      </c>
      <c r="H3540" s="8" t="s">
        <v>76</v>
      </c>
      <c r="I3540" s="8" t="s">
        <v>10926</v>
      </c>
      <c r="J3540" s="8" t="s">
        <v>10927</v>
      </c>
    </row>
    <row r="3541">
      <c r="A3541" s="7">
        <v>2.0063974E7</v>
      </c>
      <c r="B3541" s="8" t="s">
        <v>4599</v>
      </c>
      <c r="C3541" s="8" t="s">
        <v>10928</v>
      </c>
      <c r="D3541" s="8" t="s">
        <v>2136</v>
      </c>
      <c r="E3541" s="8" t="s">
        <v>17</v>
      </c>
      <c r="F3541" s="9">
        <v>46157.0</v>
      </c>
      <c r="G3541" s="8" t="s">
        <v>59</v>
      </c>
      <c r="H3541" s="8" t="s">
        <v>60</v>
      </c>
      <c r="I3541" s="8" t="s">
        <v>10929</v>
      </c>
      <c r="J3541" s="8" t="s">
        <v>10930</v>
      </c>
    </row>
    <row r="3542">
      <c r="A3542" s="7">
        <v>2.006345E7</v>
      </c>
      <c r="B3542" s="8" t="s">
        <v>4599</v>
      </c>
      <c r="C3542" s="8" t="s">
        <v>10931</v>
      </c>
      <c r="D3542" s="8" t="s">
        <v>16</v>
      </c>
      <c r="E3542" s="8" t="s">
        <v>17</v>
      </c>
      <c r="F3542" s="9">
        <v>46159.0</v>
      </c>
      <c r="G3542" s="8" t="s">
        <v>504</v>
      </c>
      <c r="H3542" s="8" t="s">
        <v>505</v>
      </c>
      <c r="I3542" s="8" t="s">
        <v>10932</v>
      </c>
      <c r="J3542" s="8" t="s">
        <v>10933</v>
      </c>
    </row>
    <row r="3543">
      <c r="A3543" s="7">
        <v>2.006345E7</v>
      </c>
      <c r="B3543" s="8" t="s">
        <v>4599</v>
      </c>
      <c r="C3543" s="8" t="s">
        <v>10931</v>
      </c>
      <c r="D3543" s="8" t="s">
        <v>16</v>
      </c>
      <c r="E3543" s="8" t="s">
        <v>17</v>
      </c>
      <c r="F3543" s="9">
        <v>46159.0</v>
      </c>
      <c r="G3543" s="8" t="s">
        <v>10934</v>
      </c>
      <c r="H3543" s="8" t="s">
        <v>10935</v>
      </c>
      <c r="I3543" s="8" t="s">
        <v>10936</v>
      </c>
      <c r="J3543" s="8" t="s">
        <v>10937</v>
      </c>
    </row>
    <row r="3544">
      <c r="A3544" s="7">
        <v>2.006267E7</v>
      </c>
      <c r="B3544" s="8" t="s">
        <v>4599</v>
      </c>
      <c r="C3544" s="8" t="s">
        <v>10938</v>
      </c>
      <c r="D3544" s="8" t="s">
        <v>2136</v>
      </c>
      <c r="E3544" s="8" t="s">
        <v>17</v>
      </c>
      <c r="F3544" s="9">
        <v>46151.0</v>
      </c>
      <c r="G3544" s="8" t="s">
        <v>846</v>
      </c>
      <c r="H3544" s="8" t="s">
        <v>847</v>
      </c>
      <c r="I3544" s="8" t="s">
        <v>10939</v>
      </c>
      <c r="J3544" s="8" t="s">
        <v>10940</v>
      </c>
    </row>
    <row r="3545">
      <c r="A3545" s="7">
        <v>2.0061605E7</v>
      </c>
      <c r="B3545" s="8" t="s">
        <v>4599</v>
      </c>
      <c r="C3545" s="8" t="s">
        <v>10941</v>
      </c>
      <c r="D3545" s="8" t="s">
        <v>16</v>
      </c>
      <c r="E3545" s="8" t="s">
        <v>17</v>
      </c>
      <c r="F3545" s="9">
        <v>46178.0</v>
      </c>
      <c r="G3545" s="8" t="s">
        <v>410</v>
      </c>
      <c r="H3545" s="8" t="s">
        <v>411</v>
      </c>
      <c r="I3545" s="8" t="s">
        <v>10942</v>
      </c>
      <c r="J3545" s="8"/>
    </row>
    <row r="3546">
      <c r="A3546" s="7">
        <v>2.0056675E7</v>
      </c>
      <c r="B3546" s="8" t="s">
        <v>4599</v>
      </c>
      <c r="C3546" s="8" t="s">
        <v>10943</v>
      </c>
      <c r="D3546" s="8" t="s">
        <v>16</v>
      </c>
      <c r="E3546" s="8" t="s">
        <v>17</v>
      </c>
      <c r="F3546" s="9">
        <v>46141.0</v>
      </c>
      <c r="G3546" s="8" t="s">
        <v>1764</v>
      </c>
      <c r="H3546" s="8" t="s">
        <v>1765</v>
      </c>
      <c r="I3546" s="8" t="s">
        <v>10944</v>
      </c>
      <c r="J3546" s="8" t="s">
        <v>10945</v>
      </c>
    </row>
    <row r="3547">
      <c r="A3547" s="7">
        <v>2.0056126E7</v>
      </c>
      <c r="B3547" s="8" t="s">
        <v>4599</v>
      </c>
      <c r="C3547" s="8" t="s">
        <v>10946</v>
      </c>
      <c r="D3547" s="8" t="s">
        <v>16</v>
      </c>
      <c r="E3547" s="8" t="s">
        <v>17</v>
      </c>
      <c r="F3547" s="9">
        <v>46124.0</v>
      </c>
      <c r="G3547" s="8" t="s">
        <v>339</v>
      </c>
      <c r="H3547" s="8" t="s">
        <v>340</v>
      </c>
      <c r="I3547" s="8" t="s">
        <v>10947</v>
      </c>
      <c r="J3547" s="8" t="s">
        <v>10948</v>
      </c>
    </row>
    <row r="3548">
      <c r="A3548" s="7">
        <v>2.005042E7</v>
      </c>
      <c r="B3548" s="8" t="s">
        <v>4599</v>
      </c>
      <c r="C3548" s="8" t="s">
        <v>10949</v>
      </c>
      <c r="D3548" s="8" t="s">
        <v>16</v>
      </c>
      <c r="E3548" s="8" t="s">
        <v>17</v>
      </c>
      <c r="F3548" s="9">
        <v>46102.0</v>
      </c>
      <c r="G3548" s="8" t="s">
        <v>5916</v>
      </c>
      <c r="H3548" s="8" t="s">
        <v>6548</v>
      </c>
      <c r="I3548" s="8" t="s">
        <v>10950</v>
      </c>
      <c r="J3548" s="8" t="s">
        <v>10951</v>
      </c>
    </row>
    <row r="3549">
      <c r="A3549" s="7">
        <v>2.0049064E7</v>
      </c>
      <c r="B3549" s="8" t="s">
        <v>4599</v>
      </c>
      <c r="C3549" s="8" t="s">
        <v>10952</v>
      </c>
      <c r="D3549" s="8" t="s">
        <v>16</v>
      </c>
      <c r="E3549" s="8" t="s">
        <v>17</v>
      </c>
      <c r="F3549" s="9">
        <v>46111.0</v>
      </c>
      <c r="G3549" s="8" t="s">
        <v>1427</v>
      </c>
      <c r="H3549" s="8" t="s">
        <v>1428</v>
      </c>
      <c r="I3549" s="8" t="s">
        <v>10953</v>
      </c>
      <c r="J3549" s="8"/>
    </row>
    <row r="3550">
      <c r="A3550" s="7">
        <v>2.0048703E7</v>
      </c>
      <c r="B3550" s="8" t="s">
        <v>4599</v>
      </c>
      <c r="C3550" s="8" t="s">
        <v>10954</v>
      </c>
      <c r="D3550" s="8" t="s">
        <v>16</v>
      </c>
      <c r="E3550" s="8" t="s">
        <v>17</v>
      </c>
      <c r="F3550" s="9">
        <v>46091.0</v>
      </c>
      <c r="G3550" s="8" t="s">
        <v>59</v>
      </c>
      <c r="H3550" s="8" t="s">
        <v>60</v>
      </c>
      <c r="I3550" s="8" t="s">
        <v>10955</v>
      </c>
      <c r="J3550" s="8" t="s">
        <v>10956</v>
      </c>
    </row>
    <row r="3551">
      <c r="A3551" s="7">
        <v>2.0044531E7</v>
      </c>
      <c r="B3551" s="8" t="s">
        <v>4599</v>
      </c>
      <c r="C3551" s="8" t="s">
        <v>10957</v>
      </c>
      <c r="D3551" s="8" t="s">
        <v>2136</v>
      </c>
      <c r="E3551" s="8" t="s">
        <v>17</v>
      </c>
      <c r="F3551" s="9">
        <v>46083.0</v>
      </c>
      <c r="G3551" s="8" t="s">
        <v>195</v>
      </c>
      <c r="H3551" s="8" t="s">
        <v>196</v>
      </c>
      <c r="I3551" s="8" t="s">
        <v>10958</v>
      </c>
      <c r="J3551" s="8" t="s">
        <v>10959</v>
      </c>
    </row>
    <row r="3552">
      <c r="A3552" s="7">
        <v>2.0044742E7</v>
      </c>
      <c r="B3552" s="8" t="s">
        <v>4599</v>
      </c>
      <c r="C3552" s="8" t="s">
        <v>10960</v>
      </c>
      <c r="D3552" s="8" t="s">
        <v>16</v>
      </c>
      <c r="E3552" s="8" t="s">
        <v>17</v>
      </c>
      <c r="F3552" s="9">
        <v>46085.0</v>
      </c>
      <c r="G3552" s="8" t="s">
        <v>1431</v>
      </c>
      <c r="H3552" s="8" t="s">
        <v>1432</v>
      </c>
      <c r="I3552" s="8" t="s">
        <v>10961</v>
      </c>
      <c r="J3552" s="8" t="s">
        <v>10962</v>
      </c>
    </row>
    <row r="3553">
      <c r="A3553" s="7">
        <v>2.0043481E7</v>
      </c>
      <c r="B3553" s="8" t="s">
        <v>4599</v>
      </c>
      <c r="C3553" s="8" t="s">
        <v>10963</v>
      </c>
      <c r="D3553" s="8" t="s">
        <v>16</v>
      </c>
      <c r="E3553" s="8" t="s">
        <v>17</v>
      </c>
      <c r="F3553" s="9">
        <v>46101.0</v>
      </c>
      <c r="G3553" s="8" t="s">
        <v>10964</v>
      </c>
      <c r="H3553" s="8" t="s">
        <v>10965</v>
      </c>
      <c r="I3553" s="8" t="s">
        <v>10966</v>
      </c>
      <c r="J3553" s="8" t="s">
        <v>10967</v>
      </c>
    </row>
    <row r="3554">
      <c r="A3554" s="7">
        <v>2.0043481E7</v>
      </c>
      <c r="B3554" s="8" t="s">
        <v>4599</v>
      </c>
      <c r="C3554" s="8" t="s">
        <v>10963</v>
      </c>
      <c r="D3554" s="8" t="s">
        <v>16</v>
      </c>
      <c r="E3554" s="8" t="s">
        <v>17</v>
      </c>
      <c r="F3554" s="9">
        <v>46101.0</v>
      </c>
      <c r="G3554" s="8" t="s">
        <v>3674</v>
      </c>
      <c r="H3554" s="8" t="s">
        <v>44</v>
      </c>
      <c r="I3554" s="8" t="s">
        <v>10968</v>
      </c>
      <c r="J3554" s="8" t="s">
        <v>10969</v>
      </c>
    </row>
    <row r="3555">
      <c r="A3555" s="7">
        <v>2.0044892E7</v>
      </c>
      <c r="B3555" s="8" t="s">
        <v>4599</v>
      </c>
      <c r="C3555" s="8" t="s">
        <v>10970</v>
      </c>
      <c r="D3555" s="8" t="s">
        <v>16</v>
      </c>
      <c r="E3555" s="8" t="s">
        <v>17</v>
      </c>
      <c r="F3555" s="9">
        <v>46079.0</v>
      </c>
      <c r="G3555" s="8" t="s">
        <v>59</v>
      </c>
      <c r="H3555" s="8" t="s">
        <v>60</v>
      </c>
      <c r="I3555" s="8" t="s">
        <v>10971</v>
      </c>
      <c r="J3555" s="8" t="s">
        <v>10972</v>
      </c>
    </row>
    <row r="3556">
      <c r="A3556" s="7">
        <v>2.0039317E7</v>
      </c>
      <c r="B3556" s="8" t="s">
        <v>4599</v>
      </c>
      <c r="C3556" s="8" t="s">
        <v>10973</v>
      </c>
      <c r="D3556" s="8" t="s">
        <v>16</v>
      </c>
      <c r="E3556" s="8" t="s">
        <v>17</v>
      </c>
      <c r="F3556" s="9">
        <v>46068.0</v>
      </c>
      <c r="G3556" s="8" t="s">
        <v>630</v>
      </c>
      <c r="H3556" s="8" t="s">
        <v>631</v>
      </c>
      <c r="I3556" s="8" t="s">
        <v>10974</v>
      </c>
      <c r="J3556" s="8" t="s">
        <v>10975</v>
      </c>
    </row>
    <row r="3557">
      <c r="A3557" s="7">
        <v>2.0037256E7</v>
      </c>
      <c r="B3557" s="8" t="s">
        <v>4599</v>
      </c>
      <c r="C3557" s="8" t="s">
        <v>10976</v>
      </c>
      <c r="D3557" s="8" t="s">
        <v>16</v>
      </c>
      <c r="E3557" s="8" t="s">
        <v>17</v>
      </c>
      <c r="F3557" s="9">
        <v>46054.0</v>
      </c>
      <c r="G3557" s="8" t="s">
        <v>5317</v>
      </c>
      <c r="H3557" s="8" t="s">
        <v>5318</v>
      </c>
      <c r="I3557" s="8" t="s">
        <v>10977</v>
      </c>
      <c r="J3557" s="8" t="s">
        <v>10978</v>
      </c>
    </row>
    <row r="3558">
      <c r="A3558" s="7">
        <v>2.0069307E7</v>
      </c>
      <c r="B3558" s="8" t="s">
        <v>4599</v>
      </c>
      <c r="C3558" s="8" t="s">
        <v>10979</v>
      </c>
      <c r="D3558" s="8" t="s">
        <v>16</v>
      </c>
      <c r="E3558" s="8" t="s">
        <v>17</v>
      </c>
      <c r="F3558" s="9">
        <v>46186.0</v>
      </c>
      <c r="G3558" s="8" t="s">
        <v>10980</v>
      </c>
      <c r="H3558" s="8" t="s">
        <v>10981</v>
      </c>
      <c r="I3558" s="8" t="s">
        <v>10982</v>
      </c>
      <c r="J3558" s="8" t="s">
        <v>10983</v>
      </c>
    </row>
    <row r="3559">
      <c r="A3559" s="7">
        <v>2.0068621E7</v>
      </c>
      <c r="B3559" s="8" t="s">
        <v>4599</v>
      </c>
      <c r="C3559" s="8" t="s">
        <v>10984</v>
      </c>
      <c r="D3559" s="8" t="s">
        <v>16</v>
      </c>
      <c r="E3559" s="8" t="s">
        <v>17</v>
      </c>
      <c r="F3559" s="9">
        <v>46185.0</v>
      </c>
      <c r="G3559" s="8" t="s">
        <v>826</v>
      </c>
      <c r="H3559" s="8" t="s">
        <v>7633</v>
      </c>
      <c r="I3559" s="8" t="s">
        <v>10985</v>
      </c>
      <c r="J3559" s="8" t="s">
        <v>10986</v>
      </c>
    </row>
    <row r="3560">
      <c r="A3560" s="7">
        <v>2.0062197E7</v>
      </c>
      <c r="B3560" s="8" t="s">
        <v>4599</v>
      </c>
      <c r="C3560" s="8" t="s">
        <v>10987</v>
      </c>
      <c r="D3560" s="8" t="s">
        <v>16</v>
      </c>
      <c r="E3560" s="8" t="s">
        <v>17</v>
      </c>
      <c r="F3560" s="9">
        <v>46155.0</v>
      </c>
      <c r="G3560" s="8" t="s">
        <v>3812</v>
      </c>
      <c r="H3560" s="8" t="s">
        <v>3813</v>
      </c>
      <c r="I3560" s="8" t="s">
        <v>10988</v>
      </c>
      <c r="J3560" s="8" t="s">
        <v>10989</v>
      </c>
    </row>
    <row r="3561">
      <c r="A3561" s="7">
        <v>2.0062197E7</v>
      </c>
      <c r="B3561" s="8" t="s">
        <v>4599</v>
      </c>
      <c r="C3561" s="8" t="s">
        <v>10987</v>
      </c>
      <c r="D3561" s="8" t="s">
        <v>16</v>
      </c>
      <c r="E3561" s="8" t="s">
        <v>17</v>
      </c>
      <c r="F3561" s="9">
        <v>46155.0</v>
      </c>
      <c r="G3561" s="8" t="s">
        <v>3812</v>
      </c>
      <c r="H3561" s="8" t="s">
        <v>3813</v>
      </c>
      <c r="I3561" s="8" t="s">
        <v>10990</v>
      </c>
      <c r="J3561" s="8" t="s">
        <v>10989</v>
      </c>
    </row>
    <row r="3562">
      <c r="A3562" s="7">
        <v>2.0061539E7</v>
      </c>
      <c r="B3562" s="8" t="s">
        <v>4599</v>
      </c>
      <c r="C3562" s="8" t="s">
        <v>10991</v>
      </c>
      <c r="D3562" s="8" t="s">
        <v>2136</v>
      </c>
      <c r="E3562" s="8" t="s">
        <v>17</v>
      </c>
      <c r="F3562" s="9">
        <v>46146.0</v>
      </c>
      <c r="G3562" s="8" t="s">
        <v>846</v>
      </c>
      <c r="H3562" s="8" t="s">
        <v>847</v>
      </c>
      <c r="I3562" s="8" t="s">
        <v>10992</v>
      </c>
      <c r="J3562" s="8" t="s">
        <v>10993</v>
      </c>
    </row>
    <row r="3563">
      <c r="A3563" s="7">
        <v>2.0059353E7</v>
      </c>
      <c r="B3563" s="8" t="s">
        <v>4599</v>
      </c>
      <c r="C3563" s="8" t="s">
        <v>10994</v>
      </c>
      <c r="D3563" s="8" t="s">
        <v>16</v>
      </c>
      <c r="E3563" s="8" t="s">
        <v>17</v>
      </c>
      <c r="F3563" s="9">
        <v>46155.0</v>
      </c>
      <c r="G3563" s="8" t="s">
        <v>791</v>
      </c>
      <c r="H3563" s="8" t="s">
        <v>792</v>
      </c>
      <c r="I3563" s="8" t="s">
        <v>10995</v>
      </c>
      <c r="J3563" s="8"/>
    </row>
    <row r="3564">
      <c r="A3564" s="7">
        <v>2.0054983E7</v>
      </c>
      <c r="B3564" s="8" t="s">
        <v>4599</v>
      </c>
      <c r="C3564" s="8" t="s">
        <v>10996</v>
      </c>
      <c r="D3564" s="8" t="s">
        <v>16</v>
      </c>
      <c r="E3564" s="8" t="s">
        <v>17</v>
      </c>
      <c r="F3564" s="9">
        <v>46128.0</v>
      </c>
      <c r="G3564" s="8" t="s">
        <v>59</v>
      </c>
      <c r="H3564" s="8" t="s">
        <v>60</v>
      </c>
      <c r="I3564" s="8" t="s">
        <v>10997</v>
      </c>
      <c r="J3564" s="8" t="s">
        <v>10998</v>
      </c>
    </row>
    <row r="3565">
      <c r="A3565" s="7">
        <v>2.0056622E7</v>
      </c>
      <c r="B3565" s="8" t="s">
        <v>4599</v>
      </c>
      <c r="C3565" s="8" t="s">
        <v>10999</v>
      </c>
      <c r="D3565" s="8" t="s">
        <v>16</v>
      </c>
      <c r="E3565" s="8" t="s">
        <v>700</v>
      </c>
      <c r="F3565" s="9">
        <v>46147.0</v>
      </c>
      <c r="G3565" s="8" t="s">
        <v>5570</v>
      </c>
      <c r="H3565" s="8" t="s">
        <v>5571</v>
      </c>
      <c r="I3565" s="8" t="s">
        <v>11000</v>
      </c>
      <c r="J3565" s="8"/>
    </row>
    <row r="3566">
      <c r="A3566" s="7">
        <v>2.0055521E7</v>
      </c>
      <c r="B3566" s="8" t="s">
        <v>4599</v>
      </c>
      <c r="C3566" s="8" t="s">
        <v>11001</v>
      </c>
      <c r="D3566" s="8" t="s">
        <v>16</v>
      </c>
      <c r="E3566" s="8" t="s">
        <v>4439</v>
      </c>
      <c r="F3566" s="9">
        <v>46125.0</v>
      </c>
      <c r="G3566" s="8" t="s">
        <v>1949</v>
      </c>
      <c r="H3566" s="8" t="s">
        <v>1950</v>
      </c>
      <c r="I3566" s="8" t="s">
        <v>11002</v>
      </c>
      <c r="J3566" s="8" t="s">
        <v>11003</v>
      </c>
    </row>
    <row r="3567">
      <c r="A3567" s="7">
        <v>2.0055521E7</v>
      </c>
      <c r="B3567" s="8" t="s">
        <v>4599</v>
      </c>
      <c r="C3567" s="8" t="s">
        <v>11001</v>
      </c>
      <c r="D3567" s="8" t="s">
        <v>16</v>
      </c>
      <c r="E3567" s="8" t="s">
        <v>4439</v>
      </c>
      <c r="F3567" s="9">
        <v>46125.0</v>
      </c>
      <c r="G3567" s="8" t="s">
        <v>1949</v>
      </c>
      <c r="H3567" s="8" t="s">
        <v>1950</v>
      </c>
      <c r="I3567" s="8" t="s">
        <v>11004</v>
      </c>
      <c r="J3567" s="8" t="s">
        <v>11003</v>
      </c>
    </row>
    <row r="3568">
      <c r="A3568" s="7">
        <v>2.0050809E7</v>
      </c>
      <c r="B3568" s="8" t="s">
        <v>4599</v>
      </c>
      <c r="C3568" s="8" t="s">
        <v>11005</v>
      </c>
      <c r="D3568" s="8" t="s">
        <v>16</v>
      </c>
      <c r="E3568" s="8" t="s">
        <v>17</v>
      </c>
      <c r="F3568" s="9">
        <v>46100.0</v>
      </c>
      <c r="G3568" s="8" t="s">
        <v>59</v>
      </c>
      <c r="H3568" s="8" t="s">
        <v>60</v>
      </c>
      <c r="I3568" s="8" t="s">
        <v>11006</v>
      </c>
      <c r="J3568" s="8" t="s">
        <v>11007</v>
      </c>
    </row>
    <row r="3569">
      <c r="A3569" s="7">
        <v>2.0050377E7</v>
      </c>
      <c r="B3569" s="8" t="s">
        <v>4599</v>
      </c>
      <c r="C3569" s="8" t="s">
        <v>11008</v>
      </c>
      <c r="D3569" s="8" t="s">
        <v>16</v>
      </c>
      <c r="E3569" s="8" t="s">
        <v>17</v>
      </c>
      <c r="F3569" s="9">
        <v>46099.0</v>
      </c>
      <c r="G3569" s="8" t="s">
        <v>3992</v>
      </c>
      <c r="H3569" s="8" t="s">
        <v>3993</v>
      </c>
      <c r="I3569" s="8" t="s">
        <v>11009</v>
      </c>
      <c r="J3569" s="8" t="s">
        <v>11010</v>
      </c>
    </row>
    <row r="3570">
      <c r="A3570" s="7">
        <v>2.0048485E7</v>
      </c>
      <c r="B3570" s="8" t="s">
        <v>4599</v>
      </c>
      <c r="C3570" s="8" t="s">
        <v>11011</v>
      </c>
      <c r="D3570" s="8" t="s">
        <v>16</v>
      </c>
      <c r="E3570" s="8" t="s">
        <v>17</v>
      </c>
      <c r="F3570" s="9">
        <v>46107.0</v>
      </c>
      <c r="G3570" s="8" t="s">
        <v>171</v>
      </c>
      <c r="H3570" s="8" t="s">
        <v>172</v>
      </c>
      <c r="I3570" s="8" t="s">
        <v>11012</v>
      </c>
      <c r="J3570" s="8" t="s">
        <v>11013</v>
      </c>
    </row>
    <row r="3571">
      <c r="A3571" s="7">
        <v>2.0046955E7</v>
      </c>
      <c r="B3571" s="8" t="s">
        <v>4599</v>
      </c>
      <c r="C3571" s="8" t="s">
        <v>11014</v>
      </c>
      <c r="D3571" s="8" t="s">
        <v>16</v>
      </c>
      <c r="E3571" s="8" t="s">
        <v>17</v>
      </c>
      <c r="F3571" s="9">
        <v>46085.0</v>
      </c>
      <c r="G3571" s="8" t="s">
        <v>365</v>
      </c>
      <c r="H3571" s="8" t="s">
        <v>366</v>
      </c>
      <c r="I3571" s="8" t="s">
        <v>11015</v>
      </c>
      <c r="J3571" s="8" t="s">
        <v>11016</v>
      </c>
    </row>
    <row r="3572">
      <c r="A3572" s="7">
        <v>2.0042626E7</v>
      </c>
      <c r="B3572" s="8" t="s">
        <v>4599</v>
      </c>
      <c r="C3572" s="8" t="s">
        <v>11017</v>
      </c>
      <c r="D3572" s="8" t="s">
        <v>16</v>
      </c>
      <c r="E3572" s="8" t="s">
        <v>17</v>
      </c>
      <c r="F3572" s="9">
        <v>46085.0</v>
      </c>
      <c r="G3572" s="8" t="s">
        <v>158</v>
      </c>
      <c r="H3572" s="8" t="s">
        <v>159</v>
      </c>
      <c r="I3572" s="8" t="s">
        <v>11018</v>
      </c>
      <c r="J3572" s="8" t="s">
        <v>11019</v>
      </c>
    </row>
    <row r="3573">
      <c r="A3573" s="7">
        <v>2.0042161E7</v>
      </c>
      <c r="B3573" s="8" t="s">
        <v>4599</v>
      </c>
      <c r="C3573" s="8" t="s">
        <v>11020</v>
      </c>
      <c r="D3573" s="8" t="s">
        <v>16</v>
      </c>
      <c r="E3573" s="8" t="s">
        <v>17</v>
      </c>
      <c r="F3573" s="9">
        <v>46068.0</v>
      </c>
      <c r="G3573" s="8" t="s">
        <v>846</v>
      </c>
      <c r="H3573" s="8" t="s">
        <v>847</v>
      </c>
      <c r="I3573" s="8" t="s">
        <v>11021</v>
      </c>
      <c r="J3573" s="8" t="s">
        <v>11022</v>
      </c>
    </row>
    <row r="3574">
      <c r="A3574" s="7">
        <v>2.0034054E7</v>
      </c>
      <c r="B3574" s="8" t="s">
        <v>4599</v>
      </c>
      <c r="C3574" s="8" t="s">
        <v>11023</v>
      </c>
      <c r="D3574" s="8" t="s">
        <v>16</v>
      </c>
      <c r="E3574" s="8" t="s">
        <v>17</v>
      </c>
      <c r="F3574" s="9">
        <v>46054.0</v>
      </c>
      <c r="G3574" s="8" t="s">
        <v>234</v>
      </c>
      <c r="H3574" s="8" t="s">
        <v>235</v>
      </c>
      <c r="I3574" s="8" t="s">
        <v>11024</v>
      </c>
      <c r="J3574" s="8" t="s">
        <v>11025</v>
      </c>
    </row>
    <row r="3575">
      <c r="A3575" s="7">
        <v>2.0032622E7</v>
      </c>
      <c r="B3575" s="8" t="s">
        <v>4599</v>
      </c>
      <c r="C3575" s="8" t="s">
        <v>11026</v>
      </c>
      <c r="D3575" s="8" t="s">
        <v>16</v>
      </c>
      <c r="E3575" s="8" t="s">
        <v>48</v>
      </c>
      <c r="F3575" s="9">
        <v>46037.0</v>
      </c>
      <c r="G3575" s="8" t="s">
        <v>11027</v>
      </c>
      <c r="H3575" s="8" t="s">
        <v>11028</v>
      </c>
      <c r="I3575" s="8" t="s">
        <v>11029</v>
      </c>
      <c r="J3575" s="8" t="s">
        <v>11030</v>
      </c>
    </row>
    <row r="3576">
      <c r="A3576" s="7">
        <v>2.0069346E7</v>
      </c>
      <c r="B3576" s="8" t="s">
        <v>4599</v>
      </c>
      <c r="C3576" s="8" t="s">
        <v>11031</v>
      </c>
      <c r="D3576" s="8" t="s">
        <v>16</v>
      </c>
      <c r="E3576" s="8" t="s">
        <v>17</v>
      </c>
      <c r="F3576" s="9">
        <v>46187.0</v>
      </c>
      <c r="G3576" s="8" t="s">
        <v>365</v>
      </c>
      <c r="H3576" s="8" t="s">
        <v>366</v>
      </c>
      <c r="I3576" s="8" t="s">
        <v>11032</v>
      </c>
      <c r="J3576" s="8" t="s">
        <v>11033</v>
      </c>
    </row>
    <row r="3577">
      <c r="A3577" s="7">
        <v>2.0069346E7</v>
      </c>
      <c r="B3577" s="8" t="s">
        <v>4599</v>
      </c>
      <c r="C3577" s="8" t="s">
        <v>11031</v>
      </c>
      <c r="D3577" s="8" t="s">
        <v>16</v>
      </c>
      <c r="E3577" s="8" t="s">
        <v>17</v>
      </c>
      <c r="F3577" s="9">
        <v>46187.0</v>
      </c>
      <c r="G3577" s="8" t="s">
        <v>59</v>
      </c>
      <c r="H3577" s="8" t="s">
        <v>60</v>
      </c>
      <c r="I3577" s="8" t="s">
        <v>11034</v>
      </c>
      <c r="J3577" s="8" t="s">
        <v>11035</v>
      </c>
    </row>
    <row r="3578">
      <c r="A3578" s="7">
        <v>2.0062467E7</v>
      </c>
      <c r="B3578" s="8" t="s">
        <v>4599</v>
      </c>
      <c r="C3578" s="8" t="s">
        <v>11036</v>
      </c>
      <c r="D3578" s="8" t="s">
        <v>16</v>
      </c>
      <c r="E3578" s="8" t="s">
        <v>17</v>
      </c>
      <c r="F3578" s="9">
        <v>46150.0</v>
      </c>
      <c r="G3578" s="8" t="s">
        <v>59</v>
      </c>
      <c r="H3578" s="8" t="s">
        <v>60</v>
      </c>
      <c r="I3578" s="8" t="s">
        <v>11037</v>
      </c>
      <c r="J3578" s="8" t="s">
        <v>11038</v>
      </c>
    </row>
    <row r="3579">
      <c r="A3579" s="7">
        <v>2.0060492E7</v>
      </c>
      <c r="B3579" s="8" t="s">
        <v>4599</v>
      </c>
      <c r="C3579" s="8" t="s">
        <v>11039</v>
      </c>
      <c r="D3579" s="8" t="s">
        <v>2136</v>
      </c>
      <c r="E3579" s="8" t="s">
        <v>17</v>
      </c>
      <c r="F3579" s="9">
        <v>46142.0</v>
      </c>
      <c r="G3579" s="8" t="s">
        <v>59</v>
      </c>
      <c r="H3579" s="8" t="s">
        <v>60</v>
      </c>
      <c r="I3579" s="8" t="s">
        <v>11040</v>
      </c>
      <c r="J3579" s="8" t="s">
        <v>11041</v>
      </c>
    </row>
    <row r="3580">
      <c r="A3580" s="7">
        <v>2.0059469E7</v>
      </c>
      <c r="B3580" s="8" t="s">
        <v>4599</v>
      </c>
      <c r="C3580" s="8" t="s">
        <v>11042</v>
      </c>
      <c r="D3580" s="8" t="s">
        <v>16</v>
      </c>
      <c r="E3580" s="8" t="s">
        <v>1074</v>
      </c>
      <c r="F3580" s="9">
        <v>46176.0</v>
      </c>
      <c r="G3580" s="8" t="s">
        <v>1085</v>
      </c>
      <c r="H3580" s="8" t="s">
        <v>1086</v>
      </c>
      <c r="I3580" s="8" t="s">
        <v>11043</v>
      </c>
      <c r="J3580" s="8"/>
    </row>
    <row r="3581">
      <c r="A3581" s="7">
        <v>2.0054778E7</v>
      </c>
      <c r="B3581" s="8" t="s">
        <v>4599</v>
      </c>
      <c r="C3581" s="8" t="s">
        <v>11044</v>
      </c>
      <c r="D3581" s="8" t="s">
        <v>16</v>
      </c>
      <c r="E3581" s="8" t="s">
        <v>17</v>
      </c>
      <c r="F3581" s="9">
        <v>46122.0</v>
      </c>
      <c r="G3581" s="8" t="s">
        <v>2497</v>
      </c>
      <c r="H3581" s="8" t="s">
        <v>2498</v>
      </c>
      <c r="I3581" s="8" t="s">
        <v>11045</v>
      </c>
      <c r="J3581" s="8" t="s">
        <v>11046</v>
      </c>
    </row>
    <row r="3582">
      <c r="A3582" s="7">
        <v>2.0055471E7</v>
      </c>
      <c r="B3582" s="8" t="s">
        <v>4599</v>
      </c>
      <c r="C3582" s="8" t="s">
        <v>11047</v>
      </c>
      <c r="D3582" s="8" t="s">
        <v>16</v>
      </c>
      <c r="E3582" s="8" t="s">
        <v>17</v>
      </c>
      <c r="F3582" s="9">
        <v>46121.0</v>
      </c>
      <c r="G3582" s="8" t="s">
        <v>365</v>
      </c>
      <c r="H3582" s="8" t="s">
        <v>366</v>
      </c>
      <c r="I3582" s="8" t="s">
        <v>11048</v>
      </c>
      <c r="J3582" s="8" t="s">
        <v>11049</v>
      </c>
    </row>
    <row r="3583">
      <c r="A3583" s="7">
        <v>2.0052266E7</v>
      </c>
      <c r="B3583" s="8" t="s">
        <v>4599</v>
      </c>
      <c r="C3583" s="8" t="s">
        <v>11050</v>
      </c>
      <c r="D3583" s="8" t="s">
        <v>16</v>
      </c>
      <c r="E3583" s="8" t="s">
        <v>17</v>
      </c>
      <c r="F3583" s="9">
        <v>46118.0</v>
      </c>
      <c r="G3583" s="8" t="s">
        <v>282</v>
      </c>
      <c r="H3583" s="8" t="s">
        <v>71</v>
      </c>
      <c r="I3583" s="8" t="s">
        <v>11051</v>
      </c>
      <c r="J3583" s="8" t="s">
        <v>11052</v>
      </c>
    </row>
    <row r="3584">
      <c r="A3584" s="7">
        <v>2.0051225E7</v>
      </c>
      <c r="B3584" s="8" t="s">
        <v>4599</v>
      </c>
      <c r="C3584" s="8" t="s">
        <v>11053</v>
      </c>
      <c r="D3584" s="8" t="s">
        <v>16</v>
      </c>
      <c r="E3584" s="8" t="s">
        <v>17</v>
      </c>
      <c r="F3584" s="9">
        <v>46109.0</v>
      </c>
      <c r="G3584" s="8" t="s">
        <v>4850</v>
      </c>
      <c r="H3584" s="8" t="s">
        <v>4851</v>
      </c>
      <c r="I3584" s="8" t="s">
        <v>11054</v>
      </c>
      <c r="J3584" s="8"/>
    </row>
    <row r="3585">
      <c r="A3585" s="7">
        <v>2.0051225E7</v>
      </c>
      <c r="B3585" s="8" t="s">
        <v>4599</v>
      </c>
      <c r="C3585" s="8" t="s">
        <v>11053</v>
      </c>
      <c r="D3585" s="8" t="s">
        <v>16</v>
      </c>
      <c r="E3585" s="8" t="s">
        <v>17</v>
      </c>
      <c r="F3585" s="9">
        <v>46109.0</v>
      </c>
      <c r="G3585" s="8" t="s">
        <v>4850</v>
      </c>
      <c r="H3585" s="8" t="s">
        <v>4851</v>
      </c>
      <c r="I3585" s="8" t="s">
        <v>11055</v>
      </c>
      <c r="J3585" s="8" t="s">
        <v>11056</v>
      </c>
    </row>
    <row r="3586">
      <c r="A3586" s="7">
        <v>2.0051319E7</v>
      </c>
      <c r="B3586" s="8" t="s">
        <v>4599</v>
      </c>
      <c r="C3586" s="8" t="s">
        <v>11057</v>
      </c>
      <c r="D3586" s="8" t="s">
        <v>16</v>
      </c>
      <c r="E3586" s="8" t="s">
        <v>17</v>
      </c>
      <c r="F3586" s="9">
        <v>46102.0</v>
      </c>
      <c r="G3586" s="8" t="s">
        <v>29</v>
      </c>
      <c r="H3586" s="8" t="s">
        <v>30</v>
      </c>
      <c r="I3586" s="8" t="s">
        <v>11058</v>
      </c>
      <c r="J3586" s="8" t="s">
        <v>11059</v>
      </c>
    </row>
    <row r="3587">
      <c r="A3587" s="7">
        <v>2.0048352E7</v>
      </c>
      <c r="B3587" s="8" t="s">
        <v>4599</v>
      </c>
      <c r="C3587" s="8" t="s">
        <v>11060</v>
      </c>
      <c r="D3587" s="8" t="s">
        <v>16</v>
      </c>
      <c r="E3587" s="8" t="s">
        <v>17</v>
      </c>
      <c r="F3587" s="9">
        <v>46090.0</v>
      </c>
      <c r="G3587" s="8" t="s">
        <v>59</v>
      </c>
      <c r="H3587" s="8" t="s">
        <v>60</v>
      </c>
      <c r="I3587" s="8" t="s">
        <v>11061</v>
      </c>
      <c r="J3587" s="8" t="s">
        <v>11062</v>
      </c>
    </row>
    <row r="3588">
      <c r="A3588" s="7">
        <v>2.0046664E7</v>
      </c>
      <c r="B3588" s="8" t="s">
        <v>4599</v>
      </c>
      <c r="C3588" s="8" t="s">
        <v>11063</v>
      </c>
      <c r="D3588" s="8" t="s">
        <v>16</v>
      </c>
      <c r="E3588" s="8" t="s">
        <v>17</v>
      </c>
      <c r="F3588" s="9">
        <v>46113.0</v>
      </c>
      <c r="G3588" s="8" t="s">
        <v>184</v>
      </c>
      <c r="H3588" s="8" t="s">
        <v>185</v>
      </c>
      <c r="I3588" s="8" t="s">
        <v>11064</v>
      </c>
      <c r="J3588" s="8" t="s">
        <v>11065</v>
      </c>
    </row>
    <row r="3589">
      <c r="A3589" s="7">
        <v>2.0038036E7</v>
      </c>
      <c r="B3589" s="8" t="s">
        <v>4599</v>
      </c>
      <c r="C3589" s="8" t="s">
        <v>11066</v>
      </c>
      <c r="D3589" s="8" t="s">
        <v>16</v>
      </c>
      <c r="E3589" s="8" t="s">
        <v>17</v>
      </c>
      <c r="F3589" s="9">
        <v>46055.0</v>
      </c>
      <c r="G3589" s="8" t="s">
        <v>846</v>
      </c>
      <c r="H3589" s="8" t="s">
        <v>847</v>
      </c>
      <c r="I3589" s="8" t="s">
        <v>11067</v>
      </c>
      <c r="J3589" s="8" t="s">
        <v>11068</v>
      </c>
    </row>
    <row r="3590">
      <c r="A3590" s="7">
        <v>2.0035817E7</v>
      </c>
      <c r="B3590" s="8" t="s">
        <v>4599</v>
      </c>
      <c r="C3590" s="8" t="s">
        <v>11069</v>
      </c>
      <c r="D3590" s="8" t="s">
        <v>16</v>
      </c>
      <c r="E3590" s="8" t="s">
        <v>17</v>
      </c>
      <c r="F3590" s="9">
        <v>46046.0</v>
      </c>
      <c r="G3590" s="8" t="s">
        <v>75</v>
      </c>
      <c r="H3590" s="8" t="s">
        <v>76</v>
      </c>
      <c r="I3590" s="8" t="s">
        <v>11070</v>
      </c>
      <c r="J3590" s="8" t="s">
        <v>11071</v>
      </c>
    </row>
    <row r="3591">
      <c r="A3591" s="7">
        <v>2.0034055E7</v>
      </c>
      <c r="B3591" s="8" t="s">
        <v>4599</v>
      </c>
      <c r="C3591" s="8" t="s">
        <v>11072</v>
      </c>
      <c r="D3591" s="8" t="s">
        <v>16</v>
      </c>
      <c r="E3591" s="8" t="s">
        <v>17</v>
      </c>
      <c r="F3591" s="9">
        <v>46053.0</v>
      </c>
      <c r="G3591" s="8" t="s">
        <v>2181</v>
      </c>
      <c r="H3591" s="8" t="s">
        <v>2182</v>
      </c>
      <c r="I3591" s="8" t="s">
        <v>11073</v>
      </c>
      <c r="J3591" s="8" t="s">
        <v>11074</v>
      </c>
    </row>
    <row r="3592">
      <c r="A3592" s="7">
        <v>2.0071795E7</v>
      </c>
      <c r="B3592" s="8" t="s">
        <v>4599</v>
      </c>
      <c r="C3592" s="8" t="s">
        <v>11075</v>
      </c>
      <c r="D3592" s="8" t="s">
        <v>16</v>
      </c>
      <c r="E3592" s="8" t="s">
        <v>17</v>
      </c>
      <c r="F3592" s="9">
        <v>46189.0</v>
      </c>
      <c r="G3592" s="8" t="s">
        <v>59</v>
      </c>
      <c r="H3592" s="8" t="s">
        <v>60</v>
      </c>
      <c r="I3592" s="8" t="s">
        <v>11076</v>
      </c>
      <c r="J3592" s="8" t="s">
        <v>11077</v>
      </c>
    </row>
    <row r="3593">
      <c r="A3593" s="7">
        <v>2.0070794E7</v>
      </c>
      <c r="B3593" s="8" t="s">
        <v>4599</v>
      </c>
      <c r="C3593" s="8" t="s">
        <v>11078</v>
      </c>
      <c r="D3593" s="8" t="s">
        <v>2136</v>
      </c>
      <c r="E3593" s="8" t="s">
        <v>17</v>
      </c>
      <c r="F3593" s="9">
        <v>46188.0</v>
      </c>
      <c r="G3593" s="8" t="s">
        <v>29</v>
      </c>
      <c r="H3593" s="8" t="s">
        <v>30</v>
      </c>
      <c r="I3593" s="8" t="s">
        <v>11079</v>
      </c>
      <c r="J3593" s="8" t="s">
        <v>11080</v>
      </c>
    </row>
    <row r="3594">
      <c r="A3594" s="7">
        <v>2.0068842E7</v>
      </c>
      <c r="B3594" s="8" t="s">
        <v>4599</v>
      </c>
      <c r="C3594" s="8" t="s">
        <v>11081</v>
      </c>
      <c r="D3594" s="8" t="s">
        <v>16</v>
      </c>
      <c r="E3594" s="8" t="s">
        <v>17</v>
      </c>
      <c r="F3594" s="9">
        <v>46183.0</v>
      </c>
      <c r="G3594" s="8" t="s">
        <v>3585</v>
      </c>
      <c r="H3594" s="8" t="s">
        <v>3586</v>
      </c>
      <c r="I3594" s="8" t="s">
        <v>11082</v>
      </c>
      <c r="J3594" s="8" t="s">
        <v>11083</v>
      </c>
    </row>
    <row r="3595">
      <c r="A3595" s="7">
        <v>2.0068753E7</v>
      </c>
      <c r="B3595" s="8" t="s">
        <v>4599</v>
      </c>
      <c r="C3595" s="8" t="s">
        <v>11084</v>
      </c>
      <c r="D3595" s="8" t="s">
        <v>16</v>
      </c>
      <c r="E3595" s="8" t="s">
        <v>17</v>
      </c>
      <c r="F3595" s="9">
        <v>46185.0</v>
      </c>
      <c r="G3595" s="8" t="s">
        <v>247</v>
      </c>
      <c r="H3595" s="8" t="s">
        <v>248</v>
      </c>
      <c r="I3595" s="8" t="s">
        <v>11085</v>
      </c>
      <c r="J3595" s="8" t="s">
        <v>11086</v>
      </c>
    </row>
    <row r="3596">
      <c r="A3596" s="7">
        <v>2.0066876E7</v>
      </c>
      <c r="B3596" s="8" t="s">
        <v>4599</v>
      </c>
      <c r="C3596" s="8" t="s">
        <v>11087</v>
      </c>
      <c r="D3596" s="8" t="s">
        <v>16</v>
      </c>
      <c r="E3596" s="8" t="s">
        <v>17</v>
      </c>
      <c r="F3596" s="9">
        <v>46190.0</v>
      </c>
      <c r="G3596" s="8" t="s">
        <v>1508</v>
      </c>
      <c r="H3596" s="8" t="s">
        <v>1509</v>
      </c>
      <c r="I3596" s="8" t="s">
        <v>11088</v>
      </c>
      <c r="J3596" s="8" t="s">
        <v>11089</v>
      </c>
    </row>
    <row r="3597">
      <c r="A3597" s="7">
        <v>2.0066498E7</v>
      </c>
      <c r="B3597" s="8" t="s">
        <v>4599</v>
      </c>
      <c r="C3597" s="8" t="s">
        <v>11090</v>
      </c>
      <c r="D3597" s="8" t="s">
        <v>16</v>
      </c>
      <c r="E3597" s="8" t="s">
        <v>17</v>
      </c>
      <c r="F3597" s="9">
        <v>46168.0</v>
      </c>
      <c r="G3597" s="8" t="s">
        <v>385</v>
      </c>
      <c r="H3597" s="8" t="s">
        <v>386</v>
      </c>
      <c r="I3597" s="8" t="s">
        <v>11091</v>
      </c>
      <c r="J3597" s="8" t="s">
        <v>11092</v>
      </c>
    </row>
    <row r="3598">
      <c r="A3598" s="7">
        <v>2.0066256E7</v>
      </c>
      <c r="B3598" s="8" t="s">
        <v>4599</v>
      </c>
      <c r="C3598" s="8" t="s">
        <v>11093</v>
      </c>
      <c r="D3598" s="8" t="s">
        <v>16</v>
      </c>
      <c r="E3598" s="8" t="s">
        <v>17</v>
      </c>
      <c r="F3598" s="9">
        <v>46192.0</v>
      </c>
      <c r="G3598" s="8" t="s">
        <v>34</v>
      </c>
      <c r="H3598" s="8" t="s">
        <v>35</v>
      </c>
      <c r="I3598" s="8" t="s">
        <v>11094</v>
      </c>
      <c r="J3598" s="8" t="s">
        <v>11095</v>
      </c>
    </row>
    <row r="3599">
      <c r="A3599" s="7">
        <v>2.0066256E7</v>
      </c>
      <c r="B3599" s="8" t="s">
        <v>4599</v>
      </c>
      <c r="C3599" s="8" t="s">
        <v>11093</v>
      </c>
      <c r="D3599" s="8" t="s">
        <v>16</v>
      </c>
      <c r="E3599" s="8" t="s">
        <v>17</v>
      </c>
      <c r="F3599" s="9">
        <v>46192.0</v>
      </c>
      <c r="G3599" s="8" t="s">
        <v>1085</v>
      </c>
      <c r="H3599" s="8" t="s">
        <v>1086</v>
      </c>
      <c r="I3599" s="8" t="s">
        <v>11096</v>
      </c>
      <c r="J3599" s="8" t="s">
        <v>11097</v>
      </c>
    </row>
    <row r="3600">
      <c r="A3600" s="7">
        <v>2.0065834E7</v>
      </c>
      <c r="B3600" s="8" t="s">
        <v>4599</v>
      </c>
      <c r="C3600" s="8" t="s">
        <v>11098</v>
      </c>
      <c r="D3600" s="8" t="s">
        <v>16</v>
      </c>
      <c r="E3600" s="8" t="s">
        <v>17</v>
      </c>
      <c r="F3600" s="9">
        <v>46191.0</v>
      </c>
      <c r="G3600" s="8" t="s">
        <v>11099</v>
      </c>
      <c r="H3600" s="8" t="s">
        <v>11100</v>
      </c>
      <c r="I3600" s="8" t="s">
        <v>11101</v>
      </c>
      <c r="J3600" s="8" t="s">
        <v>11102</v>
      </c>
    </row>
    <row r="3601">
      <c r="A3601" s="7">
        <v>2.0065306E7</v>
      </c>
      <c r="B3601" s="8" t="s">
        <v>4599</v>
      </c>
      <c r="C3601" s="8" t="s">
        <v>11103</v>
      </c>
      <c r="D3601" s="8" t="s">
        <v>16</v>
      </c>
      <c r="E3601" s="8" t="s">
        <v>17</v>
      </c>
      <c r="F3601" s="9">
        <v>46175.0</v>
      </c>
      <c r="G3601" s="8" t="s">
        <v>59</v>
      </c>
      <c r="H3601" s="8" t="s">
        <v>60</v>
      </c>
      <c r="I3601" s="8" t="s">
        <v>11104</v>
      </c>
      <c r="J3601" s="8" t="s">
        <v>11105</v>
      </c>
    </row>
    <row r="3602">
      <c r="A3602" s="7">
        <v>2.0059523E7</v>
      </c>
      <c r="B3602" s="8" t="s">
        <v>4599</v>
      </c>
      <c r="C3602" s="8" t="s">
        <v>11106</v>
      </c>
      <c r="D3602" s="8" t="s">
        <v>16</v>
      </c>
      <c r="E3602" s="8" t="s">
        <v>17</v>
      </c>
      <c r="F3602" s="9">
        <v>46156.0</v>
      </c>
      <c r="G3602" s="8" t="s">
        <v>1880</v>
      </c>
      <c r="H3602" s="8" t="s">
        <v>6631</v>
      </c>
      <c r="I3602" s="8" t="s">
        <v>11107</v>
      </c>
      <c r="J3602" s="8" t="s">
        <v>11108</v>
      </c>
    </row>
    <row r="3603">
      <c r="A3603" s="7">
        <v>2.0059836E7</v>
      </c>
      <c r="B3603" s="8" t="s">
        <v>4599</v>
      </c>
      <c r="C3603" s="8" t="s">
        <v>11109</v>
      </c>
      <c r="D3603" s="8" t="s">
        <v>16</v>
      </c>
      <c r="E3603" s="8" t="s">
        <v>17</v>
      </c>
      <c r="F3603" s="9">
        <v>46177.0</v>
      </c>
      <c r="G3603" s="8" t="s">
        <v>643</v>
      </c>
      <c r="H3603" s="8" t="s">
        <v>644</v>
      </c>
      <c r="I3603" s="8" t="s">
        <v>11110</v>
      </c>
      <c r="J3603" s="8" t="s">
        <v>11111</v>
      </c>
    </row>
    <row r="3604">
      <c r="A3604" s="7">
        <v>2.0058351E7</v>
      </c>
      <c r="B3604" s="8" t="s">
        <v>4599</v>
      </c>
      <c r="C3604" s="8" t="s">
        <v>11112</v>
      </c>
      <c r="D3604" s="8" t="s">
        <v>16</v>
      </c>
      <c r="E3604" s="8" t="s">
        <v>17</v>
      </c>
      <c r="F3604" s="9">
        <v>46137.0</v>
      </c>
      <c r="G3604" s="8" t="s">
        <v>11113</v>
      </c>
      <c r="H3604" s="8" t="s">
        <v>11114</v>
      </c>
      <c r="I3604" s="8" t="s">
        <v>11115</v>
      </c>
      <c r="J3604" s="8" t="s">
        <v>11116</v>
      </c>
    </row>
    <row r="3605">
      <c r="A3605" s="7">
        <v>2.0058263E7</v>
      </c>
      <c r="B3605" s="8" t="s">
        <v>4599</v>
      </c>
      <c r="C3605" s="8" t="s">
        <v>11117</v>
      </c>
      <c r="D3605" s="8" t="s">
        <v>16</v>
      </c>
      <c r="E3605" s="8" t="s">
        <v>17</v>
      </c>
      <c r="F3605" s="9">
        <v>46134.0</v>
      </c>
      <c r="G3605" s="8" t="s">
        <v>91</v>
      </c>
      <c r="H3605" s="8" t="s">
        <v>92</v>
      </c>
      <c r="I3605" s="8" t="s">
        <v>11118</v>
      </c>
      <c r="J3605" s="8" t="s">
        <v>11119</v>
      </c>
    </row>
    <row r="3606">
      <c r="A3606" s="7">
        <v>2.0054959E7</v>
      </c>
      <c r="B3606" s="8" t="s">
        <v>4599</v>
      </c>
      <c r="C3606" s="8" t="s">
        <v>11120</v>
      </c>
      <c r="D3606" s="8" t="s">
        <v>16</v>
      </c>
      <c r="E3606" s="8" t="s">
        <v>17</v>
      </c>
      <c r="F3606" s="9">
        <v>46123.0</v>
      </c>
      <c r="G3606" s="8" t="s">
        <v>11113</v>
      </c>
      <c r="H3606" s="8" t="s">
        <v>11114</v>
      </c>
      <c r="I3606" s="8" t="s">
        <v>11121</v>
      </c>
      <c r="J3606" s="8" t="s">
        <v>11122</v>
      </c>
    </row>
    <row r="3607">
      <c r="A3607" s="7">
        <v>2.0051339E7</v>
      </c>
      <c r="B3607" s="8" t="s">
        <v>4599</v>
      </c>
      <c r="C3607" s="8" t="s">
        <v>11123</v>
      </c>
      <c r="D3607" s="8" t="s">
        <v>16</v>
      </c>
      <c r="E3607" s="8" t="s">
        <v>17</v>
      </c>
      <c r="F3607" s="9">
        <v>46102.0</v>
      </c>
      <c r="G3607" s="8" t="s">
        <v>59</v>
      </c>
      <c r="H3607" s="8" t="s">
        <v>60</v>
      </c>
      <c r="I3607" s="8" t="s">
        <v>11124</v>
      </c>
      <c r="J3607" s="8" t="s">
        <v>11125</v>
      </c>
    </row>
    <row r="3608">
      <c r="A3608" s="7">
        <v>2.0049022E7</v>
      </c>
      <c r="B3608" s="8" t="s">
        <v>4599</v>
      </c>
      <c r="C3608" s="8" t="s">
        <v>11126</v>
      </c>
      <c r="D3608" s="8" t="s">
        <v>16</v>
      </c>
      <c r="E3608" s="8" t="s">
        <v>17</v>
      </c>
      <c r="F3608" s="9">
        <v>46095.0</v>
      </c>
      <c r="G3608" s="8" t="s">
        <v>846</v>
      </c>
      <c r="H3608" s="8" t="s">
        <v>847</v>
      </c>
      <c r="I3608" s="8" t="s">
        <v>11127</v>
      </c>
      <c r="J3608" s="8" t="s">
        <v>11128</v>
      </c>
    </row>
    <row r="3609">
      <c r="A3609" s="7">
        <v>2.0046448E7</v>
      </c>
      <c r="B3609" s="8" t="s">
        <v>4599</v>
      </c>
      <c r="C3609" s="8" t="s">
        <v>11129</v>
      </c>
      <c r="D3609" s="8" t="s">
        <v>2136</v>
      </c>
      <c r="E3609" s="8" t="s">
        <v>17</v>
      </c>
      <c r="F3609" s="9">
        <v>46082.0</v>
      </c>
      <c r="G3609" s="8" t="s">
        <v>195</v>
      </c>
      <c r="H3609" s="8" t="s">
        <v>196</v>
      </c>
      <c r="I3609" s="8" t="s">
        <v>11130</v>
      </c>
      <c r="J3609" s="8" t="s">
        <v>11131</v>
      </c>
    </row>
    <row r="3610">
      <c r="A3610" s="7">
        <v>2.0045561E7</v>
      </c>
      <c r="B3610" s="8" t="s">
        <v>4599</v>
      </c>
      <c r="C3610" s="8" t="s">
        <v>11132</v>
      </c>
      <c r="D3610" s="8" t="s">
        <v>16</v>
      </c>
      <c r="E3610" s="8" t="s">
        <v>17</v>
      </c>
      <c r="F3610" s="9">
        <v>46084.0</v>
      </c>
      <c r="G3610" s="8" t="s">
        <v>282</v>
      </c>
      <c r="H3610" s="8" t="s">
        <v>71</v>
      </c>
      <c r="I3610" s="8" t="s">
        <v>11133</v>
      </c>
      <c r="J3610" s="8" t="s">
        <v>11134</v>
      </c>
    </row>
    <row r="3611">
      <c r="A3611" s="7">
        <v>2.0044569E7</v>
      </c>
      <c r="B3611" s="8" t="s">
        <v>4599</v>
      </c>
      <c r="C3611" s="8" t="s">
        <v>11135</v>
      </c>
      <c r="D3611" s="8" t="s">
        <v>16</v>
      </c>
      <c r="E3611" s="8" t="s">
        <v>17</v>
      </c>
      <c r="F3611" s="9">
        <v>46076.0</v>
      </c>
      <c r="G3611" s="8" t="s">
        <v>59</v>
      </c>
      <c r="H3611" s="8" t="s">
        <v>60</v>
      </c>
      <c r="I3611" s="8" t="s">
        <v>11136</v>
      </c>
      <c r="J3611" s="8" t="s">
        <v>11137</v>
      </c>
    </row>
    <row r="3612">
      <c r="A3612" s="7">
        <v>2.0042152E7</v>
      </c>
      <c r="B3612" s="8" t="s">
        <v>4599</v>
      </c>
      <c r="C3612" s="8" t="s">
        <v>11138</v>
      </c>
      <c r="D3612" s="8" t="s">
        <v>16</v>
      </c>
      <c r="E3612" s="8" t="s">
        <v>17</v>
      </c>
      <c r="F3612" s="9">
        <v>46086.0</v>
      </c>
      <c r="G3612" s="8" t="s">
        <v>132</v>
      </c>
      <c r="H3612" s="8" t="s">
        <v>133</v>
      </c>
      <c r="I3612" s="8" t="s">
        <v>11139</v>
      </c>
      <c r="J3612" s="8"/>
    </row>
    <row r="3613">
      <c r="A3613" s="7">
        <v>2.004014E7</v>
      </c>
      <c r="B3613" s="8" t="s">
        <v>4599</v>
      </c>
      <c r="C3613" s="8" t="s">
        <v>11140</v>
      </c>
      <c r="D3613" s="8" t="s">
        <v>16</v>
      </c>
      <c r="E3613" s="8" t="s">
        <v>17</v>
      </c>
      <c r="F3613" s="9">
        <v>46063.0</v>
      </c>
      <c r="G3613" s="8" t="s">
        <v>3992</v>
      </c>
      <c r="H3613" s="8" t="s">
        <v>3993</v>
      </c>
      <c r="I3613" s="8" t="s">
        <v>11141</v>
      </c>
      <c r="J3613" s="8" t="s">
        <v>11142</v>
      </c>
    </row>
    <row r="3614">
      <c r="A3614" s="7">
        <v>2.0036582E7</v>
      </c>
      <c r="B3614" s="8" t="s">
        <v>4599</v>
      </c>
      <c r="C3614" s="8" t="s">
        <v>11143</v>
      </c>
      <c r="D3614" s="8" t="s">
        <v>16</v>
      </c>
      <c r="E3614" s="8" t="s">
        <v>17</v>
      </c>
      <c r="F3614" s="9">
        <v>46053.0</v>
      </c>
      <c r="G3614" s="8" t="s">
        <v>1859</v>
      </c>
      <c r="H3614" s="8" t="s">
        <v>71</v>
      </c>
      <c r="I3614" s="8" t="s">
        <v>11144</v>
      </c>
      <c r="J3614" s="8" t="s">
        <v>11145</v>
      </c>
    </row>
    <row r="3615">
      <c r="A3615" s="7">
        <v>2.0035914E7</v>
      </c>
      <c r="B3615" s="8" t="s">
        <v>4599</v>
      </c>
      <c r="C3615" s="8" t="s">
        <v>11146</v>
      </c>
      <c r="D3615" s="8" t="s">
        <v>16</v>
      </c>
      <c r="E3615" s="8" t="s">
        <v>17</v>
      </c>
      <c r="F3615" s="9">
        <v>46068.0</v>
      </c>
      <c r="G3615" s="8" t="s">
        <v>11147</v>
      </c>
      <c r="H3615" s="8" t="s">
        <v>11148</v>
      </c>
      <c r="I3615" s="8" t="s">
        <v>11149</v>
      </c>
      <c r="J3615" s="8" t="s">
        <v>11150</v>
      </c>
    </row>
    <row r="3616">
      <c r="A3616" s="7">
        <v>2.0034638E7</v>
      </c>
      <c r="B3616" s="8" t="s">
        <v>4599</v>
      </c>
      <c r="C3616" s="8" t="s">
        <v>11151</v>
      </c>
      <c r="D3616" s="8" t="s">
        <v>16</v>
      </c>
      <c r="E3616" s="8" t="s">
        <v>17</v>
      </c>
      <c r="F3616" s="9">
        <v>46046.0</v>
      </c>
      <c r="G3616" s="8" t="s">
        <v>3255</v>
      </c>
      <c r="H3616" s="8" t="s">
        <v>3256</v>
      </c>
      <c r="I3616" s="8" t="s">
        <v>11152</v>
      </c>
      <c r="J3616" s="8" t="s">
        <v>11153</v>
      </c>
    </row>
    <row r="3617">
      <c r="A3617" s="7">
        <v>2.0034674E7</v>
      </c>
      <c r="B3617" s="8" t="s">
        <v>4599</v>
      </c>
      <c r="C3617" s="8" t="s">
        <v>11154</v>
      </c>
      <c r="D3617" s="8" t="s">
        <v>16</v>
      </c>
      <c r="E3617" s="8" t="s">
        <v>17</v>
      </c>
      <c r="F3617" s="9">
        <v>46036.0</v>
      </c>
      <c r="G3617" s="8" t="s">
        <v>365</v>
      </c>
      <c r="H3617" s="8" t="s">
        <v>366</v>
      </c>
      <c r="I3617" s="8" t="s">
        <v>11155</v>
      </c>
      <c r="J3617" s="8" t="s">
        <v>11156</v>
      </c>
    </row>
    <row r="3618">
      <c r="A3618" s="7">
        <v>2.0034181E7</v>
      </c>
      <c r="B3618" s="8" t="s">
        <v>4599</v>
      </c>
      <c r="C3618" s="8" t="s">
        <v>11157</v>
      </c>
      <c r="D3618" s="8" t="s">
        <v>16</v>
      </c>
      <c r="E3618" s="8" t="s">
        <v>17</v>
      </c>
      <c r="F3618" s="9">
        <v>46042.0</v>
      </c>
      <c r="G3618" s="8" t="s">
        <v>247</v>
      </c>
      <c r="H3618" s="8" t="s">
        <v>248</v>
      </c>
      <c r="I3618" s="8" t="s">
        <v>11158</v>
      </c>
      <c r="J3618" s="8" t="s">
        <v>11159</v>
      </c>
    </row>
    <row r="3619">
      <c r="A3619" s="7">
        <v>2.0070543E7</v>
      </c>
      <c r="B3619" s="8" t="s">
        <v>4599</v>
      </c>
      <c r="C3619" s="8" t="s">
        <v>11160</v>
      </c>
      <c r="D3619" s="8" t="s">
        <v>16</v>
      </c>
      <c r="E3619" s="8" t="s">
        <v>17</v>
      </c>
      <c r="F3619" s="9">
        <v>46192.0</v>
      </c>
      <c r="G3619" s="8" t="s">
        <v>1110</v>
      </c>
      <c r="H3619" s="8" t="s">
        <v>11161</v>
      </c>
      <c r="I3619" s="8" t="s">
        <v>11162</v>
      </c>
      <c r="J3619" s="8" t="s">
        <v>11163</v>
      </c>
    </row>
    <row r="3620">
      <c r="A3620" s="7">
        <v>2.0069348E7</v>
      </c>
      <c r="B3620" s="8" t="s">
        <v>4599</v>
      </c>
      <c r="C3620" s="8" t="s">
        <v>11164</v>
      </c>
      <c r="D3620" s="8" t="s">
        <v>16</v>
      </c>
      <c r="E3620" s="8" t="s">
        <v>17</v>
      </c>
      <c r="F3620" s="9">
        <v>46184.0</v>
      </c>
      <c r="G3620" s="8" t="s">
        <v>11165</v>
      </c>
      <c r="H3620" s="8" t="s">
        <v>11166</v>
      </c>
      <c r="I3620" s="8" t="s">
        <v>11167</v>
      </c>
      <c r="J3620" s="8" t="s">
        <v>1752</v>
      </c>
    </row>
    <row r="3621">
      <c r="A3621" s="7">
        <v>2.006632E7</v>
      </c>
      <c r="B3621" s="8" t="s">
        <v>4599</v>
      </c>
      <c r="C3621" s="8" t="s">
        <v>11168</v>
      </c>
      <c r="D3621" s="8" t="s">
        <v>16</v>
      </c>
      <c r="E3621" s="8" t="s">
        <v>17</v>
      </c>
      <c r="F3621" s="9">
        <v>46176.0</v>
      </c>
      <c r="G3621" s="8" t="s">
        <v>59</v>
      </c>
      <c r="H3621" s="8" t="s">
        <v>60</v>
      </c>
      <c r="I3621" s="8" t="s">
        <v>11169</v>
      </c>
      <c r="J3621" s="8" t="s">
        <v>11170</v>
      </c>
    </row>
    <row r="3622">
      <c r="A3622" s="7">
        <v>2.0064406E7</v>
      </c>
      <c r="B3622" s="8" t="s">
        <v>4599</v>
      </c>
      <c r="C3622" s="8" t="s">
        <v>11171</v>
      </c>
      <c r="D3622" s="8" t="s">
        <v>2136</v>
      </c>
      <c r="E3622" s="8" t="s">
        <v>17</v>
      </c>
      <c r="F3622" s="9">
        <v>46158.0</v>
      </c>
      <c r="G3622" s="8" t="s">
        <v>339</v>
      </c>
      <c r="H3622" s="8" t="s">
        <v>340</v>
      </c>
      <c r="I3622" s="8" t="s">
        <v>11172</v>
      </c>
      <c r="J3622" s="8" t="s">
        <v>11173</v>
      </c>
    </row>
    <row r="3623">
      <c r="A3623" s="7">
        <v>2.0063632E7</v>
      </c>
      <c r="B3623" s="8" t="s">
        <v>4599</v>
      </c>
      <c r="C3623" s="8" t="s">
        <v>11174</v>
      </c>
      <c r="D3623" s="8" t="s">
        <v>16</v>
      </c>
      <c r="E3623" s="8" t="s">
        <v>17</v>
      </c>
      <c r="F3623" s="9">
        <v>46187.0</v>
      </c>
      <c r="G3623" s="8" t="s">
        <v>158</v>
      </c>
      <c r="H3623" s="8" t="s">
        <v>159</v>
      </c>
      <c r="I3623" s="8" t="s">
        <v>11175</v>
      </c>
      <c r="J3623" s="8" t="s">
        <v>11176</v>
      </c>
    </row>
    <row r="3624">
      <c r="A3624" s="7">
        <v>2.0059018E7</v>
      </c>
      <c r="B3624" s="8" t="s">
        <v>4599</v>
      </c>
      <c r="C3624" s="8" t="s">
        <v>11177</v>
      </c>
      <c r="D3624" s="8" t="s">
        <v>16</v>
      </c>
      <c r="E3624" s="8" t="s">
        <v>17</v>
      </c>
      <c r="F3624" s="9">
        <v>46157.0</v>
      </c>
      <c r="G3624" s="8" t="s">
        <v>3706</v>
      </c>
      <c r="H3624" s="8" t="s">
        <v>3707</v>
      </c>
      <c r="I3624" s="8" t="s">
        <v>11178</v>
      </c>
      <c r="J3624" s="8"/>
    </row>
    <row r="3625">
      <c r="A3625" s="7">
        <v>2.0058716E7</v>
      </c>
      <c r="B3625" s="8" t="s">
        <v>4599</v>
      </c>
      <c r="C3625" s="8" t="s">
        <v>11179</v>
      </c>
      <c r="D3625" s="8" t="s">
        <v>16</v>
      </c>
      <c r="E3625" s="8" t="s">
        <v>17</v>
      </c>
      <c r="F3625" s="9">
        <v>46178.0</v>
      </c>
      <c r="G3625" s="8" t="s">
        <v>1427</v>
      </c>
      <c r="H3625" s="8" t="s">
        <v>1428</v>
      </c>
      <c r="I3625" s="8" t="s">
        <v>11180</v>
      </c>
      <c r="J3625" s="8" t="s">
        <v>11181</v>
      </c>
    </row>
    <row r="3626">
      <c r="A3626" s="7">
        <v>2.0057667E7</v>
      </c>
      <c r="B3626" s="8" t="s">
        <v>4599</v>
      </c>
      <c r="C3626" s="8" t="s">
        <v>11182</v>
      </c>
      <c r="D3626" s="8" t="s">
        <v>16</v>
      </c>
      <c r="E3626" s="8" t="s">
        <v>17</v>
      </c>
      <c r="F3626" s="9">
        <v>46141.0</v>
      </c>
      <c r="G3626" s="8" t="s">
        <v>504</v>
      </c>
      <c r="H3626" s="8" t="s">
        <v>505</v>
      </c>
      <c r="I3626" s="8" t="s">
        <v>11183</v>
      </c>
      <c r="J3626" s="8" t="s">
        <v>11184</v>
      </c>
    </row>
    <row r="3627">
      <c r="A3627" s="7">
        <v>2.00573E7</v>
      </c>
      <c r="B3627" s="8" t="s">
        <v>4599</v>
      </c>
      <c r="C3627" s="8" t="s">
        <v>11185</v>
      </c>
      <c r="D3627" s="8" t="s">
        <v>16</v>
      </c>
      <c r="E3627" s="8" t="s">
        <v>17</v>
      </c>
      <c r="F3627" s="9">
        <v>46133.0</v>
      </c>
      <c r="G3627" s="8" t="s">
        <v>247</v>
      </c>
      <c r="H3627" s="8" t="s">
        <v>248</v>
      </c>
      <c r="I3627" s="8" t="s">
        <v>11186</v>
      </c>
      <c r="J3627" s="8" t="s">
        <v>11187</v>
      </c>
    </row>
    <row r="3628">
      <c r="A3628" s="7">
        <v>2.00573E7</v>
      </c>
      <c r="B3628" s="8" t="s">
        <v>4599</v>
      </c>
      <c r="C3628" s="8" t="s">
        <v>11185</v>
      </c>
      <c r="D3628" s="8" t="s">
        <v>16</v>
      </c>
      <c r="E3628" s="8" t="s">
        <v>17</v>
      </c>
      <c r="F3628" s="9">
        <v>46133.0</v>
      </c>
      <c r="G3628" s="8" t="s">
        <v>10195</v>
      </c>
      <c r="H3628" s="8" t="s">
        <v>10196</v>
      </c>
      <c r="I3628" s="8" t="s">
        <v>11188</v>
      </c>
      <c r="J3628" s="8" t="s">
        <v>11189</v>
      </c>
    </row>
    <row r="3629">
      <c r="A3629" s="7">
        <v>2.0050197E7</v>
      </c>
      <c r="B3629" s="8" t="s">
        <v>4599</v>
      </c>
      <c r="C3629" s="8" t="s">
        <v>11190</v>
      </c>
      <c r="D3629" s="8" t="s">
        <v>16</v>
      </c>
      <c r="E3629" s="8" t="s">
        <v>17</v>
      </c>
      <c r="F3629" s="9">
        <v>46110.0</v>
      </c>
      <c r="G3629" s="8" t="s">
        <v>908</v>
      </c>
      <c r="H3629" s="8" t="s">
        <v>909</v>
      </c>
      <c r="I3629" s="8" t="s">
        <v>11191</v>
      </c>
      <c r="J3629" s="8" t="s">
        <v>11192</v>
      </c>
    </row>
    <row r="3630">
      <c r="A3630" s="7">
        <v>2.0036776E7</v>
      </c>
      <c r="B3630" s="8" t="s">
        <v>4599</v>
      </c>
      <c r="C3630" s="8" t="s">
        <v>11193</v>
      </c>
      <c r="D3630" s="8" t="s">
        <v>16</v>
      </c>
      <c r="E3630" s="8" t="s">
        <v>17</v>
      </c>
      <c r="F3630" s="9">
        <v>46086.0</v>
      </c>
      <c r="G3630" s="8" t="s">
        <v>1187</v>
      </c>
      <c r="H3630" s="8" t="s">
        <v>1188</v>
      </c>
      <c r="I3630" s="8" t="s">
        <v>11194</v>
      </c>
      <c r="J3630" s="8" t="s">
        <v>11195</v>
      </c>
    </row>
    <row r="3631">
      <c r="A3631" s="7">
        <v>2.0040382E7</v>
      </c>
      <c r="B3631" s="8" t="s">
        <v>4599</v>
      </c>
      <c r="C3631" s="8" t="s">
        <v>11196</v>
      </c>
      <c r="D3631" s="8" t="s">
        <v>16</v>
      </c>
      <c r="E3631" s="8" t="s">
        <v>17</v>
      </c>
      <c r="F3631" s="9">
        <v>46076.0</v>
      </c>
      <c r="G3631" s="8" t="s">
        <v>1638</v>
      </c>
      <c r="H3631" s="8" t="s">
        <v>1639</v>
      </c>
      <c r="I3631" s="8" t="s">
        <v>11197</v>
      </c>
      <c r="J3631" s="8" t="s">
        <v>11198</v>
      </c>
    </row>
    <row r="3632">
      <c r="A3632" s="7">
        <v>2.0039416E7</v>
      </c>
      <c r="B3632" s="8" t="s">
        <v>4599</v>
      </c>
      <c r="C3632" s="8" t="s">
        <v>11199</v>
      </c>
      <c r="D3632" s="8" t="s">
        <v>16</v>
      </c>
      <c r="E3632" s="8" t="s">
        <v>17</v>
      </c>
      <c r="F3632" s="9">
        <v>46060.0</v>
      </c>
      <c r="G3632" s="8" t="s">
        <v>220</v>
      </c>
      <c r="H3632" s="8" t="s">
        <v>221</v>
      </c>
      <c r="I3632" s="8" t="s">
        <v>11200</v>
      </c>
      <c r="J3632" s="8" t="s">
        <v>11201</v>
      </c>
    </row>
    <row r="3633">
      <c r="A3633" s="7">
        <v>2.0037636E7</v>
      </c>
      <c r="B3633" s="8" t="s">
        <v>4599</v>
      </c>
      <c r="C3633" s="8" t="s">
        <v>11202</v>
      </c>
      <c r="D3633" s="8" t="s">
        <v>16</v>
      </c>
      <c r="E3633" s="8" t="s">
        <v>17</v>
      </c>
      <c r="F3633" s="9">
        <v>46060.0</v>
      </c>
      <c r="G3633" s="8" t="s">
        <v>64</v>
      </c>
      <c r="H3633" s="8" t="s">
        <v>65</v>
      </c>
      <c r="I3633" s="8" t="s">
        <v>11203</v>
      </c>
      <c r="J3633" s="8" t="s">
        <v>11204</v>
      </c>
    </row>
    <row r="3634">
      <c r="A3634" s="7">
        <v>2.0034399E7</v>
      </c>
      <c r="B3634" s="8" t="s">
        <v>4599</v>
      </c>
      <c r="C3634" s="8" t="s">
        <v>11205</v>
      </c>
      <c r="D3634" s="8" t="s">
        <v>16</v>
      </c>
      <c r="E3634" s="8" t="s">
        <v>17</v>
      </c>
      <c r="F3634" s="9">
        <v>46049.0</v>
      </c>
      <c r="G3634" s="8" t="s">
        <v>29</v>
      </c>
      <c r="H3634" s="8" t="s">
        <v>30</v>
      </c>
      <c r="I3634" s="8" t="s">
        <v>11206</v>
      </c>
      <c r="J3634" s="8" t="s">
        <v>11207</v>
      </c>
    </row>
    <row r="3635">
      <c r="A3635" s="7">
        <v>2.003421E7</v>
      </c>
      <c r="B3635" s="8" t="s">
        <v>4599</v>
      </c>
      <c r="C3635" s="8" t="s">
        <v>11208</v>
      </c>
      <c r="D3635" s="8" t="s">
        <v>16</v>
      </c>
      <c r="E3635" s="8" t="s">
        <v>17</v>
      </c>
      <c r="F3635" s="9">
        <v>46039.0</v>
      </c>
      <c r="G3635" s="8" t="s">
        <v>882</v>
      </c>
      <c r="H3635" s="8" t="s">
        <v>883</v>
      </c>
      <c r="I3635" s="8" t="s">
        <v>11209</v>
      </c>
      <c r="J3635" s="8" t="s">
        <v>11210</v>
      </c>
    </row>
    <row r="3636">
      <c r="A3636" s="7">
        <v>2.0032769E7</v>
      </c>
      <c r="B3636" s="8" t="s">
        <v>4599</v>
      </c>
      <c r="C3636" s="8" t="s">
        <v>11211</v>
      </c>
      <c r="D3636" s="8" t="s">
        <v>16</v>
      </c>
      <c r="E3636" s="8" t="s">
        <v>17</v>
      </c>
      <c r="F3636" s="9">
        <v>46044.0</v>
      </c>
      <c r="G3636" s="8" t="s">
        <v>1880</v>
      </c>
      <c r="H3636" s="8" t="s">
        <v>55</v>
      </c>
      <c r="I3636" s="8" t="s">
        <v>11212</v>
      </c>
      <c r="J3636" s="8" t="s">
        <v>11213</v>
      </c>
    </row>
    <row r="3637">
      <c r="A3637" s="7">
        <v>2.0069013E7</v>
      </c>
      <c r="B3637" s="8" t="s">
        <v>4599</v>
      </c>
      <c r="C3637" s="8" t="s">
        <v>11214</v>
      </c>
      <c r="D3637" s="8" t="s">
        <v>16</v>
      </c>
      <c r="E3637" s="8" t="s">
        <v>17</v>
      </c>
      <c r="F3637" s="9">
        <v>46182.0</v>
      </c>
      <c r="G3637" s="8" t="s">
        <v>861</v>
      </c>
      <c r="H3637" s="8" t="s">
        <v>862</v>
      </c>
      <c r="I3637" s="8" t="s">
        <v>11215</v>
      </c>
      <c r="J3637" s="8" t="s">
        <v>11216</v>
      </c>
    </row>
    <row r="3638">
      <c r="A3638" s="7">
        <v>2.0068266E7</v>
      </c>
      <c r="B3638" s="8" t="s">
        <v>4599</v>
      </c>
      <c r="C3638" s="8" t="s">
        <v>11217</v>
      </c>
      <c r="D3638" s="8" t="s">
        <v>16</v>
      </c>
      <c r="E3638" s="8" t="s">
        <v>17</v>
      </c>
      <c r="F3638" s="9">
        <v>46178.0</v>
      </c>
      <c r="G3638" s="8" t="s">
        <v>1431</v>
      </c>
      <c r="H3638" s="8" t="s">
        <v>1432</v>
      </c>
      <c r="I3638" s="8" t="s">
        <v>11218</v>
      </c>
      <c r="J3638" s="8" t="s">
        <v>11219</v>
      </c>
    </row>
    <row r="3639">
      <c r="A3639" s="7">
        <v>2.0068266E7</v>
      </c>
      <c r="B3639" s="8" t="s">
        <v>4599</v>
      </c>
      <c r="C3639" s="8" t="s">
        <v>11217</v>
      </c>
      <c r="D3639" s="8" t="s">
        <v>16</v>
      </c>
      <c r="E3639" s="8" t="s">
        <v>17</v>
      </c>
      <c r="F3639" s="9">
        <v>46178.0</v>
      </c>
      <c r="G3639" s="8" t="s">
        <v>418</v>
      </c>
      <c r="H3639" s="8" t="s">
        <v>419</v>
      </c>
      <c r="I3639" s="8" t="s">
        <v>11220</v>
      </c>
      <c r="J3639" s="8" t="s">
        <v>11221</v>
      </c>
    </row>
    <row r="3640">
      <c r="A3640" s="7">
        <v>2.0066248E7</v>
      </c>
      <c r="B3640" s="8" t="s">
        <v>4599</v>
      </c>
      <c r="C3640" s="8" t="s">
        <v>11222</v>
      </c>
      <c r="D3640" s="8" t="s">
        <v>16</v>
      </c>
      <c r="E3640" s="8" t="s">
        <v>17</v>
      </c>
      <c r="F3640" s="9">
        <v>46173.0</v>
      </c>
      <c r="G3640" s="8" t="s">
        <v>428</v>
      </c>
      <c r="H3640" s="8" t="s">
        <v>429</v>
      </c>
      <c r="I3640" s="8" t="s">
        <v>11223</v>
      </c>
      <c r="J3640" s="8" t="s">
        <v>11224</v>
      </c>
    </row>
    <row r="3641">
      <c r="A3641" s="7">
        <v>2.0065872E7</v>
      </c>
      <c r="B3641" s="8" t="s">
        <v>4599</v>
      </c>
      <c r="C3641" s="8" t="s">
        <v>11225</v>
      </c>
      <c r="D3641" s="8" t="s">
        <v>16</v>
      </c>
      <c r="E3641" s="8" t="s">
        <v>17</v>
      </c>
      <c r="F3641" s="9">
        <v>46186.0</v>
      </c>
      <c r="G3641" s="8" t="s">
        <v>6689</v>
      </c>
      <c r="H3641" s="8" t="s">
        <v>6690</v>
      </c>
      <c r="I3641" s="8" t="s">
        <v>11226</v>
      </c>
      <c r="J3641" s="8" t="s">
        <v>11227</v>
      </c>
    </row>
    <row r="3642">
      <c r="A3642" s="7">
        <v>2.0065013E7</v>
      </c>
      <c r="B3642" s="8" t="s">
        <v>4599</v>
      </c>
      <c r="C3642" s="8" t="s">
        <v>11228</v>
      </c>
      <c r="D3642" s="8" t="s">
        <v>16</v>
      </c>
      <c r="E3642" s="8" t="s">
        <v>17</v>
      </c>
      <c r="F3642" s="9">
        <v>46185.0</v>
      </c>
      <c r="G3642" s="8" t="s">
        <v>688</v>
      </c>
      <c r="H3642" s="8" t="s">
        <v>689</v>
      </c>
      <c r="I3642" s="8" t="s">
        <v>11229</v>
      </c>
      <c r="J3642" s="8" t="s">
        <v>11230</v>
      </c>
    </row>
    <row r="3643">
      <c r="A3643" s="7">
        <v>2.0060929E7</v>
      </c>
      <c r="B3643" s="8" t="s">
        <v>4599</v>
      </c>
      <c r="C3643" s="8" t="s">
        <v>11231</v>
      </c>
      <c r="D3643" s="8" t="s">
        <v>2136</v>
      </c>
      <c r="E3643" s="8" t="s">
        <v>17</v>
      </c>
      <c r="F3643" s="9">
        <v>46144.0</v>
      </c>
      <c r="G3643" s="8" t="s">
        <v>247</v>
      </c>
      <c r="H3643" s="8" t="s">
        <v>248</v>
      </c>
      <c r="I3643" s="8" t="s">
        <v>11232</v>
      </c>
      <c r="J3643" s="8" t="s">
        <v>11233</v>
      </c>
    </row>
    <row r="3644">
      <c r="A3644" s="7">
        <v>2.0059768E7</v>
      </c>
      <c r="B3644" s="8" t="s">
        <v>4599</v>
      </c>
      <c r="C3644" s="8" t="s">
        <v>11234</v>
      </c>
      <c r="D3644" s="8" t="s">
        <v>16</v>
      </c>
      <c r="E3644" s="8" t="s">
        <v>17</v>
      </c>
      <c r="F3644" s="9">
        <v>46144.0</v>
      </c>
      <c r="G3644" s="8" t="s">
        <v>9383</v>
      </c>
      <c r="H3644" s="8" t="s">
        <v>9384</v>
      </c>
      <c r="I3644" s="8" t="s">
        <v>11235</v>
      </c>
      <c r="J3644" s="8" t="s">
        <v>11236</v>
      </c>
    </row>
    <row r="3645">
      <c r="A3645" s="7">
        <v>2.0053868E7</v>
      </c>
      <c r="B3645" s="8" t="s">
        <v>4599</v>
      </c>
      <c r="C3645" s="8" t="s">
        <v>11237</v>
      </c>
      <c r="D3645" s="8" t="s">
        <v>16</v>
      </c>
      <c r="E3645" s="8" t="s">
        <v>17</v>
      </c>
      <c r="F3645" s="9">
        <v>46124.0</v>
      </c>
      <c r="G3645" s="8" t="s">
        <v>1045</v>
      </c>
      <c r="H3645" s="8" t="s">
        <v>909</v>
      </c>
      <c r="I3645" s="8" t="s">
        <v>11238</v>
      </c>
      <c r="J3645" s="8" t="s">
        <v>11239</v>
      </c>
    </row>
    <row r="3646">
      <c r="A3646" s="7">
        <v>2.0046947E7</v>
      </c>
      <c r="B3646" s="8" t="s">
        <v>4599</v>
      </c>
      <c r="C3646" s="8" t="s">
        <v>11240</v>
      </c>
      <c r="D3646" s="8" t="s">
        <v>16</v>
      </c>
      <c r="E3646" s="8" t="s">
        <v>17</v>
      </c>
      <c r="F3646" s="9">
        <v>46085.0</v>
      </c>
      <c r="G3646" s="8" t="s">
        <v>59</v>
      </c>
      <c r="H3646" s="8" t="s">
        <v>60</v>
      </c>
      <c r="I3646" s="8" t="s">
        <v>11241</v>
      </c>
      <c r="J3646" s="8" t="s">
        <v>11242</v>
      </c>
    </row>
    <row r="3647">
      <c r="A3647" s="7">
        <v>2.0046661E7</v>
      </c>
      <c r="B3647" s="8" t="s">
        <v>4599</v>
      </c>
      <c r="C3647" s="8" t="s">
        <v>11243</v>
      </c>
      <c r="D3647" s="8" t="s">
        <v>16</v>
      </c>
      <c r="E3647" s="8" t="s">
        <v>17</v>
      </c>
      <c r="F3647" s="9">
        <v>46084.0</v>
      </c>
      <c r="G3647" s="8" t="s">
        <v>91</v>
      </c>
      <c r="H3647" s="8" t="s">
        <v>92</v>
      </c>
      <c r="I3647" s="8" t="s">
        <v>11244</v>
      </c>
      <c r="J3647" s="8" t="s">
        <v>11245</v>
      </c>
    </row>
    <row r="3648">
      <c r="A3648" s="7">
        <v>2.0045009E7</v>
      </c>
      <c r="B3648" s="8" t="s">
        <v>4599</v>
      </c>
      <c r="C3648" s="8" t="s">
        <v>11246</v>
      </c>
      <c r="D3648" s="8" t="s">
        <v>16</v>
      </c>
      <c r="E3648" s="8" t="s">
        <v>17</v>
      </c>
      <c r="F3648" s="9">
        <v>46088.0</v>
      </c>
      <c r="G3648" s="8" t="s">
        <v>34</v>
      </c>
      <c r="H3648" s="8" t="s">
        <v>35</v>
      </c>
      <c r="I3648" s="8" t="s">
        <v>11247</v>
      </c>
      <c r="J3648" s="8" t="s">
        <v>11248</v>
      </c>
    </row>
    <row r="3649">
      <c r="A3649" s="7">
        <v>2.0045392E7</v>
      </c>
      <c r="B3649" s="8" t="s">
        <v>4599</v>
      </c>
      <c r="C3649" s="8" t="s">
        <v>11249</v>
      </c>
      <c r="D3649" s="8" t="s">
        <v>16</v>
      </c>
      <c r="E3649" s="8" t="s">
        <v>17</v>
      </c>
      <c r="F3649" s="9">
        <v>46084.0</v>
      </c>
      <c r="G3649" s="8" t="s">
        <v>908</v>
      </c>
      <c r="H3649" s="8" t="s">
        <v>909</v>
      </c>
      <c r="I3649" s="8" t="s">
        <v>11250</v>
      </c>
      <c r="J3649" s="8" t="s">
        <v>11251</v>
      </c>
    </row>
    <row r="3650">
      <c r="A3650" s="7">
        <v>2.0043159E7</v>
      </c>
      <c r="B3650" s="8" t="s">
        <v>4599</v>
      </c>
      <c r="C3650" s="8" t="s">
        <v>11252</v>
      </c>
      <c r="D3650" s="8" t="s">
        <v>16</v>
      </c>
      <c r="E3650" s="8" t="s">
        <v>17</v>
      </c>
      <c r="F3650" s="9">
        <v>46070.0</v>
      </c>
      <c r="G3650" s="8" t="s">
        <v>846</v>
      </c>
      <c r="H3650" s="8" t="s">
        <v>847</v>
      </c>
      <c r="I3650" s="8" t="s">
        <v>11253</v>
      </c>
      <c r="J3650" s="8" t="s">
        <v>11254</v>
      </c>
    </row>
    <row r="3651">
      <c r="A3651" s="7">
        <v>2.0042349E7</v>
      </c>
      <c r="B3651" s="8" t="s">
        <v>4599</v>
      </c>
      <c r="C3651" s="8" t="s">
        <v>11255</v>
      </c>
      <c r="D3651" s="8" t="s">
        <v>16</v>
      </c>
      <c r="E3651" s="8" t="s">
        <v>48</v>
      </c>
      <c r="F3651" s="9">
        <v>46089.0</v>
      </c>
      <c r="G3651" s="8" t="s">
        <v>184</v>
      </c>
      <c r="H3651" s="8" t="s">
        <v>185</v>
      </c>
      <c r="I3651" s="8" t="s">
        <v>11256</v>
      </c>
      <c r="J3651" s="8"/>
    </row>
    <row r="3652">
      <c r="A3652" s="7">
        <v>2.0038315E7</v>
      </c>
      <c r="B3652" s="8" t="s">
        <v>4599</v>
      </c>
      <c r="C3652" s="8" t="s">
        <v>11257</v>
      </c>
      <c r="D3652" s="8" t="s">
        <v>16</v>
      </c>
      <c r="E3652" s="8" t="s">
        <v>17</v>
      </c>
      <c r="F3652" s="9">
        <v>46067.0</v>
      </c>
      <c r="G3652" s="8" t="s">
        <v>11258</v>
      </c>
      <c r="H3652" s="8" t="s">
        <v>11259</v>
      </c>
      <c r="I3652" s="8" t="s">
        <v>11260</v>
      </c>
      <c r="J3652" s="8"/>
    </row>
    <row r="3653">
      <c r="A3653" s="7">
        <v>2.0036596E7</v>
      </c>
      <c r="B3653" s="8" t="s">
        <v>4599</v>
      </c>
      <c r="C3653" s="8" t="s">
        <v>11261</v>
      </c>
      <c r="D3653" s="8" t="s">
        <v>16</v>
      </c>
      <c r="E3653" s="8" t="s">
        <v>17</v>
      </c>
      <c r="F3653" s="9">
        <v>46053.0</v>
      </c>
      <c r="G3653" s="8" t="s">
        <v>3200</v>
      </c>
      <c r="H3653" s="8" t="s">
        <v>401</v>
      </c>
      <c r="I3653" s="8" t="s">
        <v>11262</v>
      </c>
      <c r="J3653" s="8" t="s">
        <v>11263</v>
      </c>
    </row>
    <row r="3654">
      <c r="A3654" s="7">
        <v>2.0037262E7</v>
      </c>
      <c r="B3654" s="8" t="s">
        <v>4599</v>
      </c>
      <c r="C3654" s="8" t="s">
        <v>11264</v>
      </c>
      <c r="D3654" s="8" t="s">
        <v>16</v>
      </c>
      <c r="E3654" s="8" t="s">
        <v>17</v>
      </c>
      <c r="F3654" s="9">
        <v>46068.0</v>
      </c>
      <c r="G3654" s="8" t="s">
        <v>158</v>
      </c>
      <c r="H3654" s="8" t="s">
        <v>159</v>
      </c>
      <c r="I3654" s="8" t="s">
        <v>11265</v>
      </c>
      <c r="J3654" s="8"/>
    </row>
    <row r="3655">
      <c r="A3655" s="7">
        <v>2.0035402E7</v>
      </c>
      <c r="B3655" s="8" t="s">
        <v>4599</v>
      </c>
      <c r="C3655" s="8" t="s">
        <v>11266</v>
      </c>
      <c r="D3655" s="8" t="s">
        <v>16</v>
      </c>
      <c r="E3655" s="8" t="s">
        <v>17</v>
      </c>
      <c r="F3655" s="9">
        <v>46040.0</v>
      </c>
      <c r="G3655" s="8" t="s">
        <v>365</v>
      </c>
      <c r="H3655" s="8" t="s">
        <v>366</v>
      </c>
      <c r="I3655" s="8" t="s">
        <v>11267</v>
      </c>
      <c r="J3655" s="8" t="s">
        <v>11268</v>
      </c>
    </row>
    <row r="3656">
      <c r="A3656" s="7">
        <v>2.0072239E7</v>
      </c>
      <c r="B3656" s="8" t="s">
        <v>4599</v>
      </c>
      <c r="C3656" s="8" t="s">
        <v>11269</v>
      </c>
      <c r="D3656" s="8" t="s">
        <v>2136</v>
      </c>
      <c r="E3656" s="8" t="s">
        <v>17</v>
      </c>
      <c r="F3656" s="9">
        <v>46191.0</v>
      </c>
      <c r="G3656" s="8" t="s">
        <v>234</v>
      </c>
      <c r="H3656" s="8" t="s">
        <v>235</v>
      </c>
      <c r="I3656" s="8" t="s">
        <v>11270</v>
      </c>
      <c r="J3656" s="8" t="s">
        <v>11271</v>
      </c>
    </row>
    <row r="3657">
      <c r="A3657" s="7">
        <v>2.0072102E7</v>
      </c>
      <c r="B3657" s="8" t="s">
        <v>4599</v>
      </c>
      <c r="C3657" s="8" t="s">
        <v>11272</v>
      </c>
      <c r="D3657" s="8" t="s">
        <v>16</v>
      </c>
      <c r="E3657" s="8" t="s">
        <v>17</v>
      </c>
      <c r="F3657" s="9">
        <v>46191.0</v>
      </c>
      <c r="G3657" s="8" t="s">
        <v>220</v>
      </c>
      <c r="H3657" s="8" t="s">
        <v>221</v>
      </c>
      <c r="I3657" s="8" t="s">
        <v>11273</v>
      </c>
      <c r="J3657" s="8" t="s">
        <v>11274</v>
      </c>
    </row>
    <row r="3658">
      <c r="A3658" s="7">
        <v>2.0070931E7</v>
      </c>
      <c r="B3658" s="8" t="s">
        <v>4599</v>
      </c>
      <c r="C3658" s="8" t="s">
        <v>11275</v>
      </c>
      <c r="D3658" s="8" t="s">
        <v>16</v>
      </c>
      <c r="E3658" s="8" t="s">
        <v>17</v>
      </c>
      <c r="F3658" s="9">
        <v>46185.0</v>
      </c>
      <c r="G3658" s="8" t="s">
        <v>3585</v>
      </c>
      <c r="H3658" s="8" t="s">
        <v>3586</v>
      </c>
      <c r="I3658" s="8" t="s">
        <v>11276</v>
      </c>
      <c r="J3658" s="8" t="s">
        <v>11277</v>
      </c>
    </row>
    <row r="3659">
      <c r="A3659" s="7">
        <v>2.006573E7</v>
      </c>
      <c r="B3659" s="8" t="s">
        <v>4599</v>
      </c>
      <c r="C3659" s="8" t="s">
        <v>11278</v>
      </c>
      <c r="D3659" s="8" t="s">
        <v>16</v>
      </c>
      <c r="E3659" s="8" t="s">
        <v>17</v>
      </c>
      <c r="F3659" s="9">
        <v>46175.0</v>
      </c>
      <c r="G3659" s="8" t="s">
        <v>59</v>
      </c>
      <c r="H3659" s="8" t="s">
        <v>60</v>
      </c>
      <c r="I3659" s="8" t="s">
        <v>11279</v>
      </c>
      <c r="J3659" s="8" t="s">
        <v>11280</v>
      </c>
    </row>
    <row r="3660">
      <c r="A3660" s="7">
        <v>2.006552E7</v>
      </c>
      <c r="B3660" s="8" t="s">
        <v>4599</v>
      </c>
      <c r="C3660" s="8" t="s">
        <v>11281</v>
      </c>
      <c r="D3660" s="8" t="s">
        <v>16</v>
      </c>
      <c r="E3660" s="8" t="s">
        <v>17</v>
      </c>
      <c r="F3660" s="9">
        <v>46164.0</v>
      </c>
      <c r="G3660" s="8" t="s">
        <v>11282</v>
      </c>
      <c r="H3660" s="8" t="s">
        <v>11283</v>
      </c>
      <c r="I3660" s="8" t="s">
        <v>11284</v>
      </c>
      <c r="J3660" s="8" t="s">
        <v>11285</v>
      </c>
    </row>
    <row r="3661">
      <c r="A3661" s="7">
        <v>2.0063474E7</v>
      </c>
      <c r="B3661" s="8" t="s">
        <v>4599</v>
      </c>
      <c r="C3661" s="8" t="s">
        <v>11286</v>
      </c>
      <c r="D3661" s="8" t="s">
        <v>16</v>
      </c>
      <c r="E3661" s="8" t="s">
        <v>17</v>
      </c>
      <c r="F3661" s="9">
        <v>46161.0</v>
      </c>
      <c r="G3661" s="8" t="s">
        <v>971</v>
      </c>
      <c r="H3661" s="8" t="s">
        <v>972</v>
      </c>
      <c r="I3661" s="8" t="s">
        <v>11287</v>
      </c>
      <c r="J3661" s="8" t="s">
        <v>11288</v>
      </c>
    </row>
    <row r="3662">
      <c r="A3662" s="7">
        <v>2.0063021E7</v>
      </c>
      <c r="B3662" s="8" t="s">
        <v>4599</v>
      </c>
      <c r="C3662" s="8" t="s">
        <v>11289</v>
      </c>
      <c r="D3662" s="8" t="s">
        <v>16</v>
      </c>
      <c r="E3662" s="8" t="s">
        <v>17</v>
      </c>
      <c r="F3662" s="9">
        <v>46181.0</v>
      </c>
      <c r="G3662" s="8" t="s">
        <v>184</v>
      </c>
      <c r="H3662" s="8" t="s">
        <v>185</v>
      </c>
      <c r="I3662" s="8" t="s">
        <v>11290</v>
      </c>
      <c r="J3662" s="8" t="s">
        <v>11291</v>
      </c>
    </row>
    <row r="3663">
      <c r="A3663" s="7">
        <v>2.0061785E7</v>
      </c>
      <c r="B3663" s="8" t="s">
        <v>4599</v>
      </c>
      <c r="C3663" s="8" t="s">
        <v>11292</v>
      </c>
      <c r="D3663" s="8" t="s">
        <v>16</v>
      </c>
      <c r="E3663" s="8" t="s">
        <v>17</v>
      </c>
      <c r="F3663" s="9">
        <v>46165.0</v>
      </c>
      <c r="G3663" s="8" t="s">
        <v>822</v>
      </c>
      <c r="H3663" s="8" t="s">
        <v>3985</v>
      </c>
      <c r="I3663" s="8" t="s">
        <v>11293</v>
      </c>
      <c r="J3663" s="8" t="s">
        <v>11294</v>
      </c>
    </row>
    <row r="3664">
      <c r="A3664" s="7">
        <v>2.0061332E7</v>
      </c>
      <c r="B3664" s="8" t="s">
        <v>4599</v>
      </c>
      <c r="C3664" s="8" t="s">
        <v>11295</v>
      </c>
      <c r="D3664" s="8" t="s">
        <v>16</v>
      </c>
      <c r="E3664" s="8" t="s">
        <v>17</v>
      </c>
      <c r="F3664" s="9">
        <v>46158.0</v>
      </c>
      <c r="G3664" s="8" t="s">
        <v>195</v>
      </c>
      <c r="H3664" s="8" t="s">
        <v>196</v>
      </c>
      <c r="I3664" s="8" t="s">
        <v>11296</v>
      </c>
      <c r="J3664" s="8" t="s">
        <v>11297</v>
      </c>
    </row>
    <row r="3665">
      <c r="A3665" s="7">
        <v>2.0060344E7</v>
      </c>
      <c r="B3665" s="8" t="s">
        <v>4599</v>
      </c>
      <c r="C3665" s="8" t="s">
        <v>11298</v>
      </c>
      <c r="D3665" s="8" t="s">
        <v>16</v>
      </c>
      <c r="E3665" s="8" t="s">
        <v>17</v>
      </c>
      <c r="F3665" s="9">
        <v>46153.0</v>
      </c>
      <c r="G3665" s="8" t="s">
        <v>423</v>
      </c>
      <c r="H3665" s="8" t="s">
        <v>6351</v>
      </c>
      <c r="I3665" s="8" t="s">
        <v>11299</v>
      </c>
      <c r="J3665" s="8" t="s">
        <v>11300</v>
      </c>
    </row>
    <row r="3666">
      <c r="A3666" s="7">
        <v>2.005955E7</v>
      </c>
      <c r="B3666" s="8" t="s">
        <v>4599</v>
      </c>
      <c r="C3666" s="8" t="s">
        <v>11301</v>
      </c>
      <c r="D3666" s="8" t="s">
        <v>16</v>
      </c>
      <c r="E3666" s="8" t="s">
        <v>17</v>
      </c>
      <c r="F3666" s="9">
        <v>46156.0</v>
      </c>
      <c r="G3666" s="8" t="s">
        <v>25</v>
      </c>
      <c r="H3666" s="8" t="s">
        <v>26</v>
      </c>
      <c r="I3666" s="8" t="s">
        <v>11302</v>
      </c>
      <c r="J3666" s="8"/>
    </row>
    <row r="3667">
      <c r="A3667" s="7">
        <v>2.0056706E7</v>
      </c>
      <c r="B3667" s="8" t="s">
        <v>4599</v>
      </c>
      <c r="C3667" s="8" t="s">
        <v>11303</v>
      </c>
      <c r="D3667" s="8" t="s">
        <v>16</v>
      </c>
      <c r="E3667" s="8" t="s">
        <v>17</v>
      </c>
      <c r="F3667" s="9">
        <v>46127.0</v>
      </c>
      <c r="G3667" s="8" t="s">
        <v>34</v>
      </c>
      <c r="H3667" s="8" t="s">
        <v>35</v>
      </c>
      <c r="I3667" s="8" t="s">
        <v>11304</v>
      </c>
      <c r="J3667" s="8" t="s">
        <v>11305</v>
      </c>
    </row>
    <row r="3668">
      <c r="A3668" s="7">
        <v>2.0047113E7</v>
      </c>
      <c r="B3668" s="8" t="s">
        <v>4599</v>
      </c>
      <c r="C3668" s="8" t="s">
        <v>11306</v>
      </c>
      <c r="D3668" s="8" t="s">
        <v>16</v>
      </c>
      <c r="E3668" s="8" t="s">
        <v>17</v>
      </c>
      <c r="F3668" s="9">
        <v>46127.0</v>
      </c>
      <c r="G3668" s="8" t="s">
        <v>11307</v>
      </c>
      <c r="H3668" s="8" t="s">
        <v>1740</v>
      </c>
      <c r="I3668" s="8" t="s">
        <v>11308</v>
      </c>
      <c r="J3668" s="8" t="s">
        <v>11309</v>
      </c>
    </row>
    <row r="3669">
      <c r="A3669" s="7">
        <v>2.0053031E7</v>
      </c>
      <c r="B3669" s="8" t="s">
        <v>4599</v>
      </c>
      <c r="C3669" s="8" t="s">
        <v>11310</v>
      </c>
      <c r="D3669" s="8" t="s">
        <v>16</v>
      </c>
      <c r="E3669" s="8" t="s">
        <v>17</v>
      </c>
      <c r="F3669" s="9">
        <v>46109.0</v>
      </c>
      <c r="G3669" s="8" t="s">
        <v>339</v>
      </c>
      <c r="H3669" s="8" t="s">
        <v>340</v>
      </c>
      <c r="I3669" s="8" t="s">
        <v>11311</v>
      </c>
      <c r="J3669" s="8" t="s">
        <v>11312</v>
      </c>
    </row>
    <row r="3670">
      <c r="A3670" s="7">
        <v>2.005117E7</v>
      </c>
      <c r="B3670" s="8" t="s">
        <v>4599</v>
      </c>
      <c r="C3670" s="8" t="s">
        <v>11313</v>
      </c>
      <c r="D3670" s="8" t="s">
        <v>16</v>
      </c>
      <c r="E3670" s="8" t="s">
        <v>17</v>
      </c>
      <c r="F3670" s="9">
        <v>46101.0</v>
      </c>
      <c r="G3670" s="8" t="s">
        <v>846</v>
      </c>
      <c r="H3670" s="8" t="s">
        <v>847</v>
      </c>
      <c r="I3670" s="8" t="s">
        <v>11314</v>
      </c>
      <c r="J3670" s="8" t="s">
        <v>11315</v>
      </c>
    </row>
    <row r="3671">
      <c r="A3671" s="7">
        <v>2.0046812E7</v>
      </c>
      <c r="B3671" s="8" t="s">
        <v>4599</v>
      </c>
      <c r="C3671" s="8" t="s">
        <v>11316</v>
      </c>
      <c r="D3671" s="8" t="s">
        <v>2136</v>
      </c>
      <c r="E3671" s="8" t="s">
        <v>17</v>
      </c>
      <c r="F3671" s="9">
        <v>46084.0</v>
      </c>
      <c r="G3671" s="8" t="s">
        <v>195</v>
      </c>
      <c r="H3671" s="8" t="s">
        <v>196</v>
      </c>
      <c r="I3671" s="8" t="s">
        <v>11317</v>
      </c>
      <c r="J3671" s="8" t="s">
        <v>11318</v>
      </c>
    </row>
    <row r="3672">
      <c r="A3672" s="7">
        <v>2.0045641E7</v>
      </c>
      <c r="B3672" s="8" t="s">
        <v>4599</v>
      </c>
      <c r="C3672" s="8" t="s">
        <v>11319</v>
      </c>
      <c r="D3672" s="8" t="s">
        <v>16</v>
      </c>
      <c r="E3672" s="8" t="s">
        <v>17</v>
      </c>
      <c r="F3672" s="9">
        <v>46106.0</v>
      </c>
      <c r="G3672" s="8" t="s">
        <v>11320</v>
      </c>
      <c r="H3672" s="8" t="s">
        <v>11321</v>
      </c>
      <c r="I3672" s="8" t="s">
        <v>11322</v>
      </c>
      <c r="J3672" s="8" t="s">
        <v>11323</v>
      </c>
    </row>
    <row r="3673">
      <c r="A3673" s="7">
        <v>2.0042697E7</v>
      </c>
      <c r="B3673" s="8" t="s">
        <v>4599</v>
      </c>
      <c r="C3673" s="8" t="s">
        <v>11324</v>
      </c>
      <c r="D3673" s="8" t="s">
        <v>16</v>
      </c>
      <c r="E3673" s="8" t="s">
        <v>17</v>
      </c>
      <c r="F3673" s="9">
        <v>46074.0</v>
      </c>
      <c r="G3673" s="8" t="s">
        <v>34</v>
      </c>
      <c r="H3673" s="8" t="s">
        <v>35</v>
      </c>
      <c r="I3673" s="8" t="s">
        <v>11325</v>
      </c>
      <c r="J3673" s="8" t="s">
        <v>11326</v>
      </c>
    </row>
    <row r="3674">
      <c r="A3674" s="7">
        <v>2.0040943E7</v>
      </c>
      <c r="B3674" s="8" t="s">
        <v>4599</v>
      </c>
      <c r="C3674" s="8" t="s">
        <v>11327</v>
      </c>
      <c r="D3674" s="8" t="s">
        <v>16</v>
      </c>
      <c r="E3674" s="8" t="s">
        <v>17</v>
      </c>
      <c r="F3674" s="9">
        <v>46067.0</v>
      </c>
      <c r="G3674" s="8" t="s">
        <v>385</v>
      </c>
      <c r="H3674" s="8" t="s">
        <v>386</v>
      </c>
      <c r="I3674" s="8" t="s">
        <v>11328</v>
      </c>
      <c r="J3674" s="8" t="s">
        <v>11329</v>
      </c>
    </row>
    <row r="3675">
      <c r="A3675" s="7">
        <v>2.0041566E7</v>
      </c>
      <c r="B3675" s="8" t="s">
        <v>4599</v>
      </c>
      <c r="C3675" s="8" t="s">
        <v>11330</v>
      </c>
      <c r="D3675" s="8" t="s">
        <v>16</v>
      </c>
      <c r="E3675" s="8" t="s">
        <v>17</v>
      </c>
      <c r="F3675" s="9">
        <v>46066.0</v>
      </c>
      <c r="G3675" s="8" t="s">
        <v>365</v>
      </c>
      <c r="H3675" s="8" t="s">
        <v>366</v>
      </c>
      <c r="I3675" s="8" t="s">
        <v>11331</v>
      </c>
      <c r="J3675" s="8" t="s">
        <v>11332</v>
      </c>
    </row>
    <row r="3676">
      <c r="A3676" s="7">
        <v>2.0038086E7</v>
      </c>
      <c r="B3676" s="8" t="s">
        <v>4599</v>
      </c>
      <c r="C3676" s="8" t="s">
        <v>11333</v>
      </c>
      <c r="D3676" s="8" t="s">
        <v>16</v>
      </c>
      <c r="E3676" s="8" t="s">
        <v>17</v>
      </c>
      <c r="F3676" s="9">
        <v>46074.0</v>
      </c>
      <c r="G3676" s="8" t="s">
        <v>6467</v>
      </c>
      <c r="H3676" s="8" t="s">
        <v>6468</v>
      </c>
      <c r="I3676" s="8" t="s">
        <v>11334</v>
      </c>
      <c r="J3676" s="8" t="s">
        <v>11335</v>
      </c>
    </row>
    <row r="3677">
      <c r="A3677" s="7">
        <v>2.0036623E7</v>
      </c>
      <c r="B3677" s="8" t="s">
        <v>4599</v>
      </c>
      <c r="C3677" s="8" t="s">
        <v>11336</v>
      </c>
      <c r="D3677" s="8" t="s">
        <v>16</v>
      </c>
      <c r="E3677" s="8" t="s">
        <v>17</v>
      </c>
      <c r="F3677" s="9">
        <v>46074.0</v>
      </c>
      <c r="G3677" s="8" t="s">
        <v>2068</v>
      </c>
      <c r="H3677" s="8" t="s">
        <v>2069</v>
      </c>
      <c r="I3677" s="8" t="s">
        <v>11337</v>
      </c>
      <c r="J3677" s="8" t="s">
        <v>11338</v>
      </c>
    </row>
    <row r="3678">
      <c r="A3678" s="7">
        <v>2.0038592E7</v>
      </c>
      <c r="B3678" s="8" t="s">
        <v>4599</v>
      </c>
      <c r="C3678" s="8" t="s">
        <v>11339</v>
      </c>
      <c r="D3678" s="8" t="s">
        <v>16</v>
      </c>
      <c r="E3678" s="8" t="s">
        <v>17</v>
      </c>
      <c r="F3678" s="9">
        <v>46059.0</v>
      </c>
      <c r="G3678" s="8" t="s">
        <v>29</v>
      </c>
      <c r="H3678" s="8" t="s">
        <v>30</v>
      </c>
      <c r="I3678" s="8" t="s">
        <v>11340</v>
      </c>
      <c r="J3678" s="8" t="s">
        <v>11341</v>
      </c>
    </row>
    <row r="3679">
      <c r="A3679" s="7">
        <v>2.0038249E7</v>
      </c>
      <c r="B3679" s="8" t="s">
        <v>4599</v>
      </c>
      <c r="C3679" s="8" t="s">
        <v>11342</v>
      </c>
      <c r="D3679" s="8" t="s">
        <v>16</v>
      </c>
      <c r="E3679" s="8" t="s">
        <v>17</v>
      </c>
      <c r="F3679" s="9">
        <v>46050.0</v>
      </c>
      <c r="G3679" s="8" t="s">
        <v>91</v>
      </c>
      <c r="H3679" s="8" t="s">
        <v>92</v>
      </c>
      <c r="I3679" s="8" t="s">
        <v>11343</v>
      </c>
      <c r="J3679" s="8" t="s">
        <v>11344</v>
      </c>
    </row>
    <row r="3680">
      <c r="A3680" s="7">
        <v>2.0034862E7</v>
      </c>
      <c r="B3680" s="8" t="s">
        <v>4599</v>
      </c>
      <c r="C3680" s="8" t="s">
        <v>11345</v>
      </c>
      <c r="D3680" s="8" t="s">
        <v>16</v>
      </c>
      <c r="E3680" s="8" t="s">
        <v>17</v>
      </c>
      <c r="F3680" s="9">
        <v>46040.0</v>
      </c>
      <c r="G3680" s="8" t="s">
        <v>3585</v>
      </c>
      <c r="H3680" s="8" t="s">
        <v>3586</v>
      </c>
      <c r="I3680" s="8" t="s">
        <v>11346</v>
      </c>
      <c r="J3680" s="8" t="s">
        <v>11347</v>
      </c>
    </row>
    <row r="3681">
      <c r="A3681" s="7">
        <v>2.0070466E7</v>
      </c>
      <c r="B3681" s="8" t="s">
        <v>4599</v>
      </c>
      <c r="C3681" s="8" t="s">
        <v>11348</v>
      </c>
      <c r="D3681" s="8" t="s">
        <v>16</v>
      </c>
      <c r="E3681" s="8" t="s">
        <v>17</v>
      </c>
      <c r="F3681" s="9">
        <v>46184.0</v>
      </c>
      <c r="G3681" s="8" t="s">
        <v>34</v>
      </c>
      <c r="H3681" s="8" t="s">
        <v>35</v>
      </c>
      <c r="I3681" s="8" t="s">
        <v>11349</v>
      </c>
      <c r="J3681" s="8" t="s">
        <v>11350</v>
      </c>
    </row>
    <row r="3682">
      <c r="A3682" s="7">
        <v>2.0069935E7</v>
      </c>
      <c r="B3682" s="8" t="s">
        <v>4599</v>
      </c>
      <c r="C3682" s="8" t="s">
        <v>11351</v>
      </c>
      <c r="D3682" s="8" t="s">
        <v>16</v>
      </c>
      <c r="E3682" s="8" t="s">
        <v>17</v>
      </c>
      <c r="F3682" s="9">
        <v>46191.0</v>
      </c>
      <c r="G3682" s="8" t="s">
        <v>91</v>
      </c>
      <c r="H3682" s="8" t="s">
        <v>92</v>
      </c>
      <c r="I3682" s="8" t="s">
        <v>11352</v>
      </c>
      <c r="J3682" s="8" t="s">
        <v>11353</v>
      </c>
    </row>
    <row r="3683">
      <c r="A3683" s="7">
        <v>2.0069281E7</v>
      </c>
      <c r="B3683" s="8" t="s">
        <v>4599</v>
      </c>
      <c r="C3683" s="8" t="s">
        <v>11354</v>
      </c>
      <c r="D3683" s="8" t="s">
        <v>16</v>
      </c>
      <c r="E3683" s="8" t="s">
        <v>17</v>
      </c>
      <c r="F3683" s="9">
        <v>46178.0</v>
      </c>
      <c r="G3683" s="8" t="s">
        <v>91</v>
      </c>
      <c r="H3683" s="8" t="s">
        <v>92</v>
      </c>
      <c r="I3683" s="8" t="s">
        <v>11355</v>
      </c>
      <c r="J3683" s="8" t="s">
        <v>11356</v>
      </c>
    </row>
    <row r="3684">
      <c r="A3684" s="7">
        <v>2.0066601E7</v>
      </c>
      <c r="B3684" s="8" t="s">
        <v>4599</v>
      </c>
      <c r="C3684" s="8" t="s">
        <v>11357</v>
      </c>
      <c r="D3684" s="8" t="s">
        <v>16</v>
      </c>
      <c r="E3684" s="8" t="s">
        <v>17</v>
      </c>
      <c r="F3684" s="9">
        <v>46167.0</v>
      </c>
      <c r="G3684" s="8" t="s">
        <v>352</v>
      </c>
      <c r="H3684" s="8" t="s">
        <v>353</v>
      </c>
      <c r="I3684" s="8" t="s">
        <v>11358</v>
      </c>
      <c r="J3684" s="8" t="s">
        <v>11359</v>
      </c>
    </row>
    <row r="3685">
      <c r="A3685" s="7">
        <v>2.0061015E7</v>
      </c>
      <c r="B3685" s="8" t="s">
        <v>4599</v>
      </c>
      <c r="C3685" s="8" t="s">
        <v>11360</v>
      </c>
      <c r="D3685" s="8" t="s">
        <v>16</v>
      </c>
      <c r="E3685" s="8" t="s">
        <v>17</v>
      </c>
      <c r="F3685" s="9">
        <v>46144.0</v>
      </c>
      <c r="G3685" s="8" t="s">
        <v>34</v>
      </c>
      <c r="H3685" s="8" t="s">
        <v>35</v>
      </c>
      <c r="I3685" s="8" t="s">
        <v>11361</v>
      </c>
      <c r="J3685" s="8" t="s">
        <v>11362</v>
      </c>
    </row>
    <row r="3686">
      <c r="A3686" s="7">
        <v>2.0059819E7</v>
      </c>
      <c r="B3686" s="8" t="s">
        <v>4599</v>
      </c>
      <c r="C3686" s="8" t="s">
        <v>11363</v>
      </c>
      <c r="D3686" s="8" t="s">
        <v>16</v>
      </c>
      <c r="E3686" s="8" t="s">
        <v>17</v>
      </c>
      <c r="F3686" s="9">
        <v>46140.0</v>
      </c>
      <c r="G3686" s="8" t="s">
        <v>234</v>
      </c>
      <c r="H3686" s="8" t="s">
        <v>235</v>
      </c>
      <c r="I3686" s="8" t="s">
        <v>11364</v>
      </c>
      <c r="J3686" s="8" t="s">
        <v>11365</v>
      </c>
    </row>
    <row r="3687">
      <c r="A3687" s="7">
        <v>2.004695E7</v>
      </c>
      <c r="B3687" s="8" t="s">
        <v>4599</v>
      </c>
      <c r="C3687" s="8" t="s">
        <v>11366</v>
      </c>
      <c r="D3687" s="8" t="s">
        <v>16</v>
      </c>
      <c r="E3687" s="8" t="s">
        <v>17</v>
      </c>
      <c r="F3687" s="9">
        <v>46087.0</v>
      </c>
      <c r="G3687" s="8" t="s">
        <v>846</v>
      </c>
      <c r="H3687" s="8" t="s">
        <v>847</v>
      </c>
      <c r="I3687" s="8" t="s">
        <v>11367</v>
      </c>
      <c r="J3687" s="8" t="s">
        <v>11368</v>
      </c>
    </row>
    <row r="3688">
      <c r="A3688" s="7">
        <v>2.00473E7</v>
      </c>
      <c r="B3688" s="8" t="s">
        <v>4599</v>
      </c>
      <c r="C3688" s="8" t="s">
        <v>11369</v>
      </c>
      <c r="D3688" s="8" t="s">
        <v>16</v>
      </c>
      <c r="E3688" s="8" t="s">
        <v>17</v>
      </c>
      <c r="F3688" s="9">
        <v>46105.0</v>
      </c>
      <c r="G3688" s="8" t="s">
        <v>410</v>
      </c>
      <c r="H3688" s="8" t="s">
        <v>411</v>
      </c>
      <c r="I3688" s="8" t="s">
        <v>11370</v>
      </c>
      <c r="J3688" s="8" t="s">
        <v>11371</v>
      </c>
    </row>
    <row r="3689">
      <c r="A3689" s="7">
        <v>2.004316E7</v>
      </c>
      <c r="B3689" s="8" t="s">
        <v>4599</v>
      </c>
      <c r="C3689" s="8" t="s">
        <v>11372</v>
      </c>
      <c r="D3689" s="8" t="s">
        <v>16</v>
      </c>
      <c r="E3689" s="8" t="s">
        <v>17</v>
      </c>
      <c r="F3689" s="9">
        <v>46070.0</v>
      </c>
      <c r="G3689" s="8" t="s">
        <v>59</v>
      </c>
      <c r="H3689" s="8" t="s">
        <v>60</v>
      </c>
      <c r="I3689" s="8" t="s">
        <v>11373</v>
      </c>
      <c r="J3689" s="8" t="s">
        <v>11374</v>
      </c>
    </row>
    <row r="3690">
      <c r="A3690" s="7">
        <v>2.0037911E7</v>
      </c>
      <c r="B3690" s="8" t="s">
        <v>4599</v>
      </c>
      <c r="C3690" s="8" t="s">
        <v>11375</v>
      </c>
      <c r="D3690" s="8" t="s">
        <v>16</v>
      </c>
      <c r="E3690" s="8" t="s">
        <v>17</v>
      </c>
      <c r="F3690" s="9">
        <v>46059.0</v>
      </c>
      <c r="G3690" s="8" t="s">
        <v>5153</v>
      </c>
      <c r="H3690" s="8" t="s">
        <v>5154</v>
      </c>
      <c r="I3690" s="8" t="s">
        <v>11376</v>
      </c>
      <c r="J3690" s="8" t="s">
        <v>11377</v>
      </c>
    </row>
    <row r="3691">
      <c r="A3691" s="7">
        <v>2.0035663E7</v>
      </c>
      <c r="B3691" s="8" t="s">
        <v>4599</v>
      </c>
      <c r="C3691" s="8" t="s">
        <v>11378</v>
      </c>
      <c r="D3691" s="8" t="s">
        <v>16</v>
      </c>
      <c r="E3691" s="8" t="s">
        <v>17</v>
      </c>
      <c r="F3691" s="9">
        <v>46050.0</v>
      </c>
      <c r="G3691" s="8" t="s">
        <v>1880</v>
      </c>
      <c r="H3691" s="8" t="s">
        <v>55</v>
      </c>
      <c r="I3691" s="8" t="s">
        <v>11379</v>
      </c>
      <c r="J3691" s="8" t="s">
        <v>11380</v>
      </c>
    </row>
    <row r="3692">
      <c r="A3692" s="7">
        <v>2.0034339E7</v>
      </c>
      <c r="B3692" s="8" t="s">
        <v>4599</v>
      </c>
      <c r="C3692" s="8" t="s">
        <v>11381</v>
      </c>
      <c r="D3692" s="8" t="s">
        <v>16</v>
      </c>
      <c r="E3692" s="8" t="s">
        <v>17</v>
      </c>
      <c r="F3692" s="9">
        <v>46038.0</v>
      </c>
      <c r="G3692" s="8" t="s">
        <v>365</v>
      </c>
      <c r="H3692" s="8" t="s">
        <v>366</v>
      </c>
      <c r="I3692" s="8" t="s">
        <v>11382</v>
      </c>
      <c r="J3692" s="8" t="s">
        <v>11383</v>
      </c>
    </row>
    <row r="3693">
      <c r="A3693" s="7">
        <v>2.003417E7</v>
      </c>
      <c r="B3693" s="8" t="s">
        <v>4599</v>
      </c>
      <c r="C3693" s="8" t="s">
        <v>11384</v>
      </c>
      <c r="D3693" s="8" t="s">
        <v>16</v>
      </c>
      <c r="E3693" s="8" t="s">
        <v>17</v>
      </c>
      <c r="F3693" s="9">
        <v>46040.0</v>
      </c>
      <c r="G3693" s="8" t="s">
        <v>826</v>
      </c>
      <c r="H3693" s="8" t="s">
        <v>827</v>
      </c>
      <c r="I3693" s="8" t="s">
        <v>11385</v>
      </c>
      <c r="J3693" s="8" t="s">
        <v>11386</v>
      </c>
    </row>
    <row r="3694">
      <c r="A3694" s="7">
        <v>2.0069301E7</v>
      </c>
      <c r="B3694" s="8" t="s">
        <v>4599</v>
      </c>
      <c r="C3694" s="8" t="s">
        <v>11387</v>
      </c>
      <c r="D3694" s="8" t="s">
        <v>16</v>
      </c>
      <c r="E3694" s="8" t="s">
        <v>17</v>
      </c>
      <c r="F3694" s="9">
        <v>46185.0</v>
      </c>
      <c r="G3694" s="8" t="s">
        <v>234</v>
      </c>
      <c r="H3694" s="8" t="s">
        <v>235</v>
      </c>
      <c r="I3694" s="8" t="s">
        <v>11388</v>
      </c>
      <c r="J3694" s="8" t="s">
        <v>11389</v>
      </c>
    </row>
    <row r="3695">
      <c r="A3695" s="7">
        <v>2.0069301E7</v>
      </c>
      <c r="B3695" s="8" t="s">
        <v>4599</v>
      </c>
      <c r="C3695" s="8" t="s">
        <v>11387</v>
      </c>
      <c r="D3695" s="8" t="s">
        <v>16</v>
      </c>
      <c r="E3695" s="8" t="s">
        <v>17</v>
      </c>
      <c r="F3695" s="9">
        <v>46185.0</v>
      </c>
      <c r="G3695" s="8" t="s">
        <v>5282</v>
      </c>
      <c r="H3695" s="8" t="s">
        <v>5283</v>
      </c>
      <c r="I3695" s="8" t="s">
        <v>11390</v>
      </c>
      <c r="J3695" s="8" t="s">
        <v>11391</v>
      </c>
    </row>
    <row r="3696">
      <c r="A3696" s="7">
        <v>2.0067489E7</v>
      </c>
      <c r="B3696" s="8" t="s">
        <v>4599</v>
      </c>
      <c r="C3696" s="8" t="s">
        <v>11392</v>
      </c>
      <c r="D3696" s="8" t="s">
        <v>16</v>
      </c>
      <c r="E3696" s="8" t="s">
        <v>17</v>
      </c>
      <c r="F3696" s="9">
        <v>46193.0</v>
      </c>
      <c r="G3696" s="8" t="s">
        <v>1941</v>
      </c>
      <c r="H3696" s="8" t="s">
        <v>1942</v>
      </c>
      <c r="I3696" s="8" t="s">
        <v>11393</v>
      </c>
      <c r="J3696" s="8" t="s">
        <v>11394</v>
      </c>
    </row>
    <row r="3697">
      <c r="A3697" s="7">
        <v>2.0066258E7</v>
      </c>
      <c r="B3697" s="8" t="s">
        <v>4599</v>
      </c>
      <c r="C3697" s="8" t="s">
        <v>11395</v>
      </c>
      <c r="D3697" s="8" t="s">
        <v>2136</v>
      </c>
      <c r="E3697" s="8" t="s">
        <v>17</v>
      </c>
      <c r="F3697" s="9">
        <v>46166.0</v>
      </c>
      <c r="G3697" s="8" t="s">
        <v>805</v>
      </c>
      <c r="H3697" s="8" t="s">
        <v>806</v>
      </c>
      <c r="I3697" s="8" t="s">
        <v>11396</v>
      </c>
      <c r="J3697" s="8" t="s">
        <v>11397</v>
      </c>
    </row>
    <row r="3698">
      <c r="A3698" s="7">
        <v>2.0056299E7</v>
      </c>
      <c r="B3698" s="8" t="s">
        <v>4599</v>
      </c>
      <c r="C3698" s="8" t="s">
        <v>11398</v>
      </c>
      <c r="D3698" s="8" t="s">
        <v>16</v>
      </c>
      <c r="E3698" s="8" t="s">
        <v>17</v>
      </c>
      <c r="F3698" s="9">
        <v>46185.0</v>
      </c>
      <c r="G3698" s="8" t="s">
        <v>1508</v>
      </c>
      <c r="H3698" s="8" t="s">
        <v>1509</v>
      </c>
      <c r="I3698" s="8" t="s">
        <v>11399</v>
      </c>
      <c r="J3698" s="8"/>
    </row>
    <row r="3699">
      <c r="A3699" s="7">
        <v>2.00651E7</v>
      </c>
      <c r="B3699" s="8" t="s">
        <v>4599</v>
      </c>
      <c r="C3699" s="8" t="s">
        <v>11400</v>
      </c>
      <c r="D3699" s="8" t="s">
        <v>16</v>
      </c>
      <c r="E3699" s="8" t="s">
        <v>17</v>
      </c>
      <c r="F3699" s="9">
        <v>46163.0</v>
      </c>
      <c r="G3699" s="8" t="s">
        <v>91</v>
      </c>
      <c r="H3699" s="8" t="s">
        <v>92</v>
      </c>
      <c r="I3699" s="8" t="s">
        <v>11401</v>
      </c>
      <c r="J3699" s="8" t="s">
        <v>11402</v>
      </c>
    </row>
    <row r="3700">
      <c r="A3700" s="7">
        <v>2.0063738E7</v>
      </c>
      <c r="B3700" s="8" t="s">
        <v>4599</v>
      </c>
      <c r="C3700" s="8" t="s">
        <v>11403</v>
      </c>
      <c r="D3700" s="8" t="s">
        <v>16</v>
      </c>
      <c r="E3700" s="8" t="s">
        <v>17</v>
      </c>
      <c r="F3700" s="9">
        <v>46160.0</v>
      </c>
      <c r="G3700" s="8" t="s">
        <v>882</v>
      </c>
      <c r="H3700" s="8" t="s">
        <v>883</v>
      </c>
      <c r="I3700" s="8" t="s">
        <v>11404</v>
      </c>
      <c r="J3700" s="8" t="s">
        <v>11405</v>
      </c>
    </row>
    <row r="3701">
      <c r="A3701" s="7">
        <v>2.0063241E7</v>
      </c>
      <c r="B3701" s="8" t="s">
        <v>4599</v>
      </c>
      <c r="C3701" s="8" t="s">
        <v>11406</v>
      </c>
      <c r="D3701" s="8" t="s">
        <v>16</v>
      </c>
      <c r="E3701" s="8" t="s">
        <v>17</v>
      </c>
      <c r="F3701" s="9">
        <v>46179.0</v>
      </c>
      <c r="G3701" s="8" t="s">
        <v>1085</v>
      </c>
      <c r="H3701" s="8" t="s">
        <v>1086</v>
      </c>
      <c r="I3701" s="8" t="s">
        <v>11407</v>
      </c>
      <c r="J3701" s="8" t="s">
        <v>11408</v>
      </c>
    </row>
    <row r="3702">
      <c r="A3702" s="7">
        <v>2.0061582E7</v>
      </c>
      <c r="B3702" s="8" t="s">
        <v>4599</v>
      </c>
      <c r="C3702" s="8" t="s">
        <v>11409</v>
      </c>
      <c r="D3702" s="8" t="s">
        <v>16</v>
      </c>
      <c r="E3702" s="8" t="s">
        <v>17</v>
      </c>
      <c r="F3702" s="9">
        <v>46164.0</v>
      </c>
      <c r="G3702" s="8" t="s">
        <v>1841</v>
      </c>
      <c r="H3702" s="8" t="s">
        <v>1842</v>
      </c>
      <c r="I3702" s="8"/>
      <c r="J3702" s="8" t="s">
        <v>11410</v>
      </c>
    </row>
    <row r="3703">
      <c r="A3703" s="7">
        <v>2.0055709E7</v>
      </c>
      <c r="B3703" s="8" t="s">
        <v>4599</v>
      </c>
      <c r="C3703" s="8" t="s">
        <v>11411</v>
      </c>
      <c r="D3703" s="8" t="s">
        <v>16</v>
      </c>
      <c r="E3703" s="8" t="s">
        <v>17</v>
      </c>
      <c r="F3703" s="9">
        <v>46125.0</v>
      </c>
      <c r="G3703" s="8" t="s">
        <v>34</v>
      </c>
      <c r="H3703" s="8" t="s">
        <v>35</v>
      </c>
      <c r="I3703" s="8" t="s">
        <v>11412</v>
      </c>
      <c r="J3703" s="8" t="s">
        <v>11413</v>
      </c>
    </row>
    <row r="3704">
      <c r="A3704" s="7">
        <v>2.0055656E7</v>
      </c>
      <c r="B3704" s="8" t="s">
        <v>4599</v>
      </c>
      <c r="C3704" s="8" t="s">
        <v>11414</v>
      </c>
      <c r="D3704" s="8" t="s">
        <v>16</v>
      </c>
      <c r="E3704" s="8" t="s">
        <v>17</v>
      </c>
      <c r="F3704" s="9">
        <v>46123.0</v>
      </c>
      <c r="G3704" s="8" t="s">
        <v>234</v>
      </c>
      <c r="H3704" s="8" t="s">
        <v>235</v>
      </c>
      <c r="I3704" s="8" t="s">
        <v>11415</v>
      </c>
      <c r="J3704" s="8" t="s">
        <v>11416</v>
      </c>
    </row>
    <row r="3705">
      <c r="A3705" s="7">
        <v>2.0054223E7</v>
      </c>
      <c r="B3705" s="8" t="s">
        <v>4599</v>
      </c>
      <c r="C3705" s="8" t="s">
        <v>11417</v>
      </c>
      <c r="D3705" s="8" t="s">
        <v>16</v>
      </c>
      <c r="E3705" s="8" t="s">
        <v>17</v>
      </c>
      <c r="F3705" s="9">
        <v>46133.0</v>
      </c>
      <c r="G3705" s="8" t="s">
        <v>1085</v>
      </c>
      <c r="H3705" s="8" t="s">
        <v>1086</v>
      </c>
      <c r="I3705" s="8" t="s">
        <v>11418</v>
      </c>
      <c r="J3705" s="8" t="s">
        <v>11419</v>
      </c>
    </row>
    <row r="3706">
      <c r="A3706" s="7">
        <v>2.0053072E7</v>
      </c>
      <c r="B3706" s="8" t="s">
        <v>4599</v>
      </c>
      <c r="C3706" s="8" t="s">
        <v>11420</v>
      </c>
      <c r="D3706" s="8" t="s">
        <v>16</v>
      </c>
      <c r="E3706" s="8" t="s">
        <v>17</v>
      </c>
      <c r="F3706" s="9">
        <v>46109.0</v>
      </c>
      <c r="G3706" s="8" t="s">
        <v>1007</v>
      </c>
      <c r="H3706" s="8" t="s">
        <v>1008</v>
      </c>
      <c r="I3706" s="8" t="s">
        <v>11421</v>
      </c>
      <c r="J3706" s="8" t="s">
        <v>11422</v>
      </c>
    </row>
    <row r="3707">
      <c r="A3707" s="7">
        <v>2.0052616E7</v>
      </c>
      <c r="B3707" s="8" t="s">
        <v>4599</v>
      </c>
      <c r="C3707" s="8" t="s">
        <v>11423</v>
      </c>
      <c r="D3707" s="8" t="s">
        <v>16</v>
      </c>
      <c r="E3707" s="8" t="s">
        <v>17</v>
      </c>
      <c r="F3707" s="9">
        <v>46112.0</v>
      </c>
      <c r="G3707" s="8" t="s">
        <v>2511</v>
      </c>
      <c r="H3707" s="8" t="s">
        <v>2512</v>
      </c>
      <c r="I3707" s="8" t="s">
        <v>11424</v>
      </c>
      <c r="J3707" s="8" t="s">
        <v>11425</v>
      </c>
    </row>
    <row r="3708">
      <c r="A3708" s="7">
        <v>2.0050896E7</v>
      </c>
      <c r="B3708" s="8" t="s">
        <v>4599</v>
      </c>
      <c r="C3708" s="8" t="s">
        <v>11426</v>
      </c>
      <c r="D3708" s="8" t="s">
        <v>16</v>
      </c>
      <c r="E3708" s="8" t="s">
        <v>17</v>
      </c>
      <c r="F3708" s="9">
        <v>46109.0</v>
      </c>
      <c r="G3708" s="8" t="s">
        <v>195</v>
      </c>
      <c r="H3708" s="8" t="s">
        <v>196</v>
      </c>
      <c r="I3708" s="8" t="s">
        <v>11427</v>
      </c>
      <c r="J3708" s="8" t="s">
        <v>11428</v>
      </c>
    </row>
    <row r="3709">
      <c r="A3709" s="7">
        <v>2.004996E7</v>
      </c>
      <c r="B3709" s="8" t="s">
        <v>4599</v>
      </c>
      <c r="C3709" s="8" t="s">
        <v>11429</v>
      </c>
      <c r="D3709" s="8" t="s">
        <v>16</v>
      </c>
      <c r="E3709" s="8" t="s">
        <v>17</v>
      </c>
      <c r="F3709" s="9">
        <v>46110.0</v>
      </c>
      <c r="G3709" s="8" t="s">
        <v>158</v>
      </c>
      <c r="H3709" s="8" t="s">
        <v>159</v>
      </c>
      <c r="I3709" s="8" t="s">
        <v>11430</v>
      </c>
      <c r="J3709" s="8" t="s">
        <v>11431</v>
      </c>
    </row>
    <row r="3710">
      <c r="A3710" s="7">
        <v>2.0049173E7</v>
      </c>
      <c r="B3710" s="8" t="s">
        <v>4599</v>
      </c>
      <c r="C3710" s="8" t="s">
        <v>11432</v>
      </c>
      <c r="D3710" s="8" t="s">
        <v>16</v>
      </c>
      <c r="E3710" s="8" t="s">
        <v>17</v>
      </c>
      <c r="F3710" s="9">
        <v>46098.0</v>
      </c>
      <c r="G3710" s="8" t="s">
        <v>3088</v>
      </c>
      <c r="H3710" s="8" t="s">
        <v>3089</v>
      </c>
      <c r="I3710" s="8" t="s">
        <v>11433</v>
      </c>
      <c r="J3710" s="8" t="s">
        <v>11434</v>
      </c>
    </row>
    <row r="3711">
      <c r="A3711" s="7">
        <v>2.0047661E7</v>
      </c>
      <c r="B3711" s="8" t="s">
        <v>4599</v>
      </c>
      <c r="C3711" s="8" t="s">
        <v>11435</v>
      </c>
      <c r="D3711" s="8" t="s">
        <v>16</v>
      </c>
      <c r="E3711" s="8" t="s">
        <v>17</v>
      </c>
      <c r="F3711" s="9">
        <v>46098.0</v>
      </c>
      <c r="G3711" s="8" t="s">
        <v>247</v>
      </c>
      <c r="H3711" s="8" t="s">
        <v>248</v>
      </c>
      <c r="I3711" s="8" t="s">
        <v>11436</v>
      </c>
      <c r="J3711" s="8" t="s">
        <v>11437</v>
      </c>
    </row>
    <row r="3712">
      <c r="A3712" s="7">
        <v>2.0044398E7</v>
      </c>
      <c r="B3712" s="8" t="s">
        <v>4599</v>
      </c>
      <c r="C3712" s="8" t="s">
        <v>11438</v>
      </c>
      <c r="D3712" s="8" t="s">
        <v>16</v>
      </c>
      <c r="E3712" s="8" t="s">
        <v>17</v>
      </c>
      <c r="F3712" s="9">
        <v>46080.0</v>
      </c>
      <c r="G3712" s="8" t="s">
        <v>517</v>
      </c>
      <c r="H3712" s="8" t="s">
        <v>518</v>
      </c>
      <c r="I3712" s="8" t="s">
        <v>11439</v>
      </c>
      <c r="J3712" s="8" t="s">
        <v>11440</v>
      </c>
    </row>
    <row r="3713">
      <c r="A3713" s="7">
        <v>2.0041388E7</v>
      </c>
      <c r="B3713" s="8" t="s">
        <v>4599</v>
      </c>
      <c r="C3713" s="8" t="s">
        <v>11441</v>
      </c>
      <c r="D3713" s="8" t="s">
        <v>16</v>
      </c>
      <c r="E3713" s="8" t="s">
        <v>17</v>
      </c>
      <c r="F3713" s="9">
        <v>46076.0</v>
      </c>
      <c r="G3713" s="8" t="s">
        <v>2511</v>
      </c>
      <c r="H3713" s="8" t="s">
        <v>2512</v>
      </c>
      <c r="I3713" s="8" t="s">
        <v>11442</v>
      </c>
      <c r="J3713" s="8" t="s">
        <v>11443</v>
      </c>
    </row>
    <row r="3714">
      <c r="A3714" s="7">
        <v>2.0041388E7</v>
      </c>
      <c r="B3714" s="8" t="s">
        <v>4599</v>
      </c>
      <c r="C3714" s="8" t="s">
        <v>11441</v>
      </c>
      <c r="D3714" s="8" t="s">
        <v>16</v>
      </c>
      <c r="E3714" s="8" t="s">
        <v>17</v>
      </c>
      <c r="F3714" s="9">
        <v>46076.0</v>
      </c>
      <c r="G3714" s="8" t="s">
        <v>4850</v>
      </c>
      <c r="H3714" s="8" t="s">
        <v>4851</v>
      </c>
      <c r="I3714" s="8" t="s">
        <v>11444</v>
      </c>
      <c r="J3714" s="8" t="s">
        <v>11445</v>
      </c>
    </row>
    <row r="3715">
      <c r="A3715" s="7">
        <v>2.0039847E7</v>
      </c>
      <c r="B3715" s="8" t="s">
        <v>4599</v>
      </c>
      <c r="C3715" s="8" t="s">
        <v>11446</v>
      </c>
      <c r="D3715" s="8" t="s">
        <v>16</v>
      </c>
      <c r="E3715" s="8" t="s">
        <v>17</v>
      </c>
      <c r="F3715" s="9">
        <v>46073.0</v>
      </c>
      <c r="G3715" s="8" t="s">
        <v>314</v>
      </c>
      <c r="H3715" s="8" t="s">
        <v>315</v>
      </c>
      <c r="I3715" s="8" t="s">
        <v>11447</v>
      </c>
      <c r="J3715" s="8" t="s">
        <v>11448</v>
      </c>
    </row>
    <row r="3716">
      <c r="A3716" s="7">
        <v>2.0038236E7</v>
      </c>
      <c r="B3716" s="8" t="s">
        <v>4599</v>
      </c>
      <c r="C3716" s="8" t="s">
        <v>11449</v>
      </c>
      <c r="D3716" s="8" t="s">
        <v>16</v>
      </c>
      <c r="E3716" s="8" t="s">
        <v>17</v>
      </c>
      <c r="F3716" s="9">
        <v>46060.0</v>
      </c>
      <c r="G3716" s="8" t="s">
        <v>1285</v>
      </c>
      <c r="H3716" s="8" t="s">
        <v>1286</v>
      </c>
      <c r="I3716" s="8" t="s">
        <v>11450</v>
      </c>
      <c r="J3716" s="8" t="s">
        <v>11451</v>
      </c>
    </row>
    <row r="3717">
      <c r="A3717" s="7">
        <v>2.0036812E7</v>
      </c>
      <c r="B3717" s="8" t="s">
        <v>4599</v>
      </c>
      <c r="C3717" s="8" t="s">
        <v>11452</v>
      </c>
      <c r="D3717" s="8" t="s">
        <v>16</v>
      </c>
      <c r="E3717" s="8" t="s">
        <v>17</v>
      </c>
      <c r="F3717" s="9">
        <v>46065.0</v>
      </c>
      <c r="G3717" s="8" t="s">
        <v>8538</v>
      </c>
      <c r="H3717" s="8" t="s">
        <v>8539</v>
      </c>
      <c r="I3717" s="8" t="s">
        <v>11453</v>
      </c>
      <c r="J3717" s="8"/>
    </row>
    <row r="3718">
      <c r="A3718" s="7">
        <v>2.0034415E7</v>
      </c>
      <c r="B3718" s="8" t="s">
        <v>4599</v>
      </c>
      <c r="C3718" s="8" t="s">
        <v>11454</v>
      </c>
      <c r="D3718" s="8" t="s">
        <v>16</v>
      </c>
      <c r="E3718" s="8" t="s">
        <v>17</v>
      </c>
      <c r="F3718" s="9">
        <v>46040.0</v>
      </c>
      <c r="G3718" s="8" t="s">
        <v>846</v>
      </c>
      <c r="H3718" s="8" t="s">
        <v>847</v>
      </c>
      <c r="I3718" s="8" t="s">
        <v>11455</v>
      </c>
      <c r="J3718" s="8" t="s">
        <v>11456</v>
      </c>
    </row>
    <row r="3719">
      <c r="A3719" s="7">
        <v>2.003462E7</v>
      </c>
      <c r="B3719" s="8" t="s">
        <v>4599</v>
      </c>
      <c r="C3719" s="8" t="s">
        <v>11457</v>
      </c>
      <c r="D3719" s="8" t="s">
        <v>16</v>
      </c>
      <c r="E3719" s="8" t="s">
        <v>17</v>
      </c>
      <c r="F3719" s="9">
        <v>46038.0</v>
      </c>
      <c r="G3719" s="8" t="s">
        <v>846</v>
      </c>
      <c r="H3719" s="8" t="s">
        <v>847</v>
      </c>
      <c r="I3719" s="8" t="s">
        <v>11458</v>
      </c>
      <c r="J3719" s="8" t="s">
        <v>11459</v>
      </c>
    </row>
    <row r="3720">
      <c r="A3720" s="7">
        <v>2.0067218E7</v>
      </c>
      <c r="B3720" s="8" t="s">
        <v>4599</v>
      </c>
      <c r="C3720" s="8" t="s">
        <v>11460</v>
      </c>
      <c r="D3720" s="8" t="s">
        <v>16</v>
      </c>
      <c r="E3720" s="8" t="s">
        <v>17</v>
      </c>
      <c r="F3720" s="9">
        <v>46176.0</v>
      </c>
      <c r="G3720" s="8" t="s">
        <v>59</v>
      </c>
      <c r="H3720" s="8" t="s">
        <v>60</v>
      </c>
      <c r="I3720" s="8" t="s">
        <v>11461</v>
      </c>
      <c r="J3720" s="8" t="s">
        <v>11462</v>
      </c>
    </row>
    <row r="3721">
      <c r="A3721" s="7">
        <v>2.0064631E7</v>
      </c>
      <c r="B3721" s="8" t="s">
        <v>4599</v>
      </c>
      <c r="C3721" s="8" t="s">
        <v>11463</v>
      </c>
      <c r="D3721" s="8" t="s">
        <v>2136</v>
      </c>
      <c r="E3721" s="8" t="s">
        <v>17</v>
      </c>
      <c r="F3721" s="9">
        <v>46160.0</v>
      </c>
      <c r="G3721" s="8" t="s">
        <v>846</v>
      </c>
      <c r="H3721" s="8" t="s">
        <v>847</v>
      </c>
      <c r="I3721" s="8" t="s">
        <v>11464</v>
      </c>
      <c r="J3721" s="8" t="s">
        <v>11465</v>
      </c>
    </row>
    <row r="3722">
      <c r="A3722" s="7">
        <v>2.0060747E7</v>
      </c>
      <c r="B3722" s="8" t="s">
        <v>4599</v>
      </c>
      <c r="C3722" s="8" t="s">
        <v>11466</v>
      </c>
      <c r="D3722" s="8" t="s">
        <v>16</v>
      </c>
      <c r="E3722" s="8" t="s">
        <v>17</v>
      </c>
      <c r="F3722" s="9">
        <v>46162.0</v>
      </c>
      <c r="G3722" s="8" t="s">
        <v>11467</v>
      </c>
      <c r="H3722" s="8" t="s">
        <v>11468</v>
      </c>
      <c r="I3722" s="8" t="s">
        <v>11469</v>
      </c>
      <c r="J3722" s="8"/>
    </row>
    <row r="3723">
      <c r="A3723" s="7">
        <v>2.0060702E7</v>
      </c>
      <c r="B3723" s="8" t="s">
        <v>4599</v>
      </c>
      <c r="C3723" s="8" t="s">
        <v>11470</v>
      </c>
      <c r="D3723" s="8" t="s">
        <v>2136</v>
      </c>
      <c r="E3723" s="8" t="s">
        <v>17</v>
      </c>
      <c r="F3723" s="9">
        <v>46143.0</v>
      </c>
      <c r="G3723" s="8" t="s">
        <v>234</v>
      </c>
      <c r="H3723" s="8" t="s">
        <v>235</v>
      </c>
      <c r="I3723" s="8" t="s">
        <v>11471</v>
      </c>
      <c r="J3723" s="8" t="s">
        <v>11472</v>
      </c>
    </row>
    <row r="3724">
      <c r="A3724" s="7">
        <v>2.0059807E7</v>
      </c>
      <c r="B3724" s="8" t="s">
        <v>4599</v>
      </c>
      <c r="C3724" s="8" t="s">
        <v>11473</v>
      </c>
      <c r="D3724" s="8" t="s">
        <v>16</v>
      </c>
      <c r="E3724" s="8" t="s">
        <v>17</v>
      </c>
      <c r="F3724" s="9">
        <v>46147.0</v>
      </c>
      <c r="G3724" s="8" t="s">
        <v>59</v>
      </c>
      <c r="H3724" s="8" t="s">
        <v>60</v>
      </c>
      <c r="I3724" s="8" t="s">
        <v>11474</v>
      </c>
      <c r="J3724" s="8" t="s">
        <v>11475</v>
      </c>
    </row>
    <row r="3725">
      <c r="A3725" s="7">
        <v>2.0056106E7</v>
      </c>
      <c r="B3725" s="8" t="s">
        <v>4599</v>
      </c>
      <c r="C3725" s="8" t="s">
        <v>11476</v>
      </c>
      <c r="D3725" s="8" t="s">
        <v>16</v>
      </c>
      <c r="E3725" s="8" t="s">
        <v>17</v>
      </c>
      <c r="F3725" s="9">
        <v>46141.0</v>
      </c>
      <c r="G3725" s="8" t="s">
        <v>826</v>
      </c>
      <c r="H3725" s="8" t="s">
        <v>7633</v>
      </c>
      <c r="I3725" s="8" t="s">
        <v>11477</v>
      </c>
      <c r="J3725" s="8" t="s">
        <v>11478</v>
      </c>
    </row>
    <row r="3726">
      <c r="A3726" s="7">
        <v>2.0057326E7</v>
      </c>
      <c r="B3726" s="8" t="s">
        <v>4599</v>
      </c>
      <c r="C3726" s="8" t="s">
        <v>11479</v>
      </c>
      <c r="D3726" s="8" t="s">
        <v>16</v>
      </c>
      <c r="E3726" s="8" t="s">
        <v>17</v>
      </c>
      <c r="F3726" s="9">
        <v>46139.0</v>
      </c>
      <c r="G3726" s="8" t="s">
        <v>2666</v>
      </c>
      <c r="H3726" s="8" t="s">
        <v>2667</v>
      </c>
      <c r="I3726" s="8" t="s">
        <v>11480</v>
      </c>
      <c r="J3726" s="8" t="s">
        <v>11481</v>
      </c>
    </row>
    <row r="3727">
      <c r="A3727" s="7">
        <v>2.0055573E7</v>
      </c>
      <c r="B3727" s="8" t="s">
        <v>4599</v>
      </c>
      <c r="C3727" s="8" t="s">
        <v>11482</v>
      </c>
      <c r="D3727" s="8" t="s">
        <v>16</v>
      </c>
      <c r="E3727" s="8" t="s">
        <v>17</v>
      </c>
      <c r="F3727" s="9">
        <v>46147.0</v>
      </c>
      <c r="G3727" s="8" t="s">
        <v>2989</v>
      </c>
      <c r="H3727" s="8" t="s">
        <v>2990</v>
      </c>
      <c r="I3727" s="8" t="s">
        <v>11483</v>
      </c>
      <c r="J3727" s="8"/>
    </row>
    <row r="3728">
      <c r="A3728" s="7">
        <v>2.0050929E7</v>
      </c>
      <c r="B3728" s="8" t="s">
        <v>4599</v>
      </c>
      <c r="C3728" s="8" t="s">
        <v>11484</v>
      </c>
      <c r="D3728" s="8" t="s">
        <v>16</v>
      </c>
      <c r="E3728" s="8" t="s">
        <v>17</v>
      </c>
      <c r="F3728" s="9">
        <v>46101.0</v>
      </c>
      <c r="G3728" s="8" t="s">
        <v>2497</v>
      </c>
      <c r="H3728" s="8" t="s">
        <v>2498</v>
      </c>
      <c r="I3728" s="8" t="s">
        <v>11485</v>
      </c>
      <c r="J3728" s="8" t="s">
        <v>11486</v>
      </c>
    </row>
    <row r="3729">
      <c r="A3729" s="7">
        <v>2.0048744E7</v>
      </c>
      <c r="B3729" s="8" t="s">
        <v>4599</v>
      </c>
      <c r="C3729" s="8" t="s">
        <v>11487</v>
      </c>
      <c r="D3729" s="8" t="s">
        <v>16</v>
      </c>
      <c r="E3729" s="8" t="s">
        <v>17</v>
      </c>
      <c r="F3729" s="9">
        <v>46109.0</v>
      </c>
      <c r="G3729" s="8" t="s">
        <v>158</v>
      </c>
      <c r="H3729" s="8" t="s">
        <v>159</v>
      </c>
      <c r="I3729" s="8" t="s">
        <v>11488</v>
      </c>
      <c r="J3729" s="8" t="s">
        <v>11489</v>
      </c>
    </row>
    <row r="3730">
      <c r="A3730" s="7">
        <v>2.004723E7</v>
      </c>
      <c r="B3730" s="8" t="s">
        <v>4599</v>
      </c>
      <c r="C3730" s="8" t="s">
        <v>11490</v>
      </c>
      <c r="D3730" s="8" t="s">
        <v>16</v>
      </c>
      <c r="E3730" s="8" t="s">
        <v>17</v>
      </c>
      <c r="F3730" s="9">
        <v>46094.0</v>
      </c>
      <c r="G3730" s="8" t="s">
        <v>3017</v>
      </c>
      <c r="H3730" s="8" t="s">
        <v>3018</v>
      </c>
      <c r="I3730" s="8" t="s">
        <v>11491</v>
      </c>
      <c r="J3730" s="8"/>
    </row>
    <row r="3731">
      <c r="A3731" s="7">
        <v>2.0046111E7</v>
      </c>
      <c r="B3731" s="8" t="s">
        <v>4599</v>
      </c>
      <c r="C3731" s="8" t="s">
        <v>11492</v>
      </c>
      <c r="D3731" s="8" t="s">
        <v>16</v>
      </c>
      <c r="E3731" s="8" t="s">
        <v>17</v>
      </c>
      <c r="F3731" s="9">
        <v>46099.0</v>
      </c>
      <c r="G3731" s="8" t="s">
        <v>1427</v>
      </c>
      <c r="H3731" s="8" t="s">
        <v>1428</v>
      </c>
      <c r="I3731" s="8" t="s">
        <v>11493</v>
      </c>
      <c r="J3731" s="8" t="s">
        <v>11494</v>
      </c>
    </row>
    <row r="3732">
      <c r="A3732" s="7">
        <v>2.0045387E7</v>
      </c>
      <c r="B3732" s="8" t="s">
        <v>4599</v>
      </c>
      <c r="C3732" s="8" t="s">
        <v>11495</v>
      </c>
      <c r="D3732" s="8" t="s">
        <v>16</v>
      </c>
      <c r="E3732" s="8" t="s">
        <v>17</v>
      </c>
      <c r="F3732" s="9">
        <v>46084.0</v>
      </c>
      <c r="G3732" s="8" t="s">
        <v>4850</v>
      </c>
      <c r="H3732" s="8" t="s">
        <v>4851</v>
      </c>
      <c r="I3732" s="8" t="s">
        <v>11496</v>
      </c>
      <c r="J3732" s="8" t="s">
        <v>11497</v>
      </c>
    </row>
    <row r="3733">
      <c r="A3733" s="7">
        <v>2.0045397E7</v>
      </c>
      <c r="B3733" s="8" t="s">
        <v>4599</v>
      </c>
      <c r="C3733" s="8" t="s">
        <v>11498</v>
      </c>
      <c r="D3733" s="8" t="s">
        <v>16</v>
      </c>
      <c r="E3733" s="8" t="s">
        <v>700</v>
      </c>
      <c r="F3733" s="9">
        <v>46084.0</v>
      </c>
      <c r="G3733" s="8" t="s">
        <v>10609</v>
      </c>
      <c r="H3733" s="8" t="s">
        <v>10610</v>
      </c>
      <c r="I3733" s="8" t="s">
        <v>11499</v>
      </c>
      <c r="J3733" s="8" t="s">
        <v>1752</v>
      </c>
    </row>
    <row r="3734">
      <c r="A3734" s="7">
        <v>2.0044927E7</v>
      </c>
      <c r="B3734" s="8" t="s">
        <v>4599</v>
      </c>
      <c r="C3734" s="8" t="s">
        <v>11500</v>
      </c>
      <c r="D3734" s="8" t="s">
        <v>16</v>
      </c>
      <c r="E3734" s="8" t="s">
        <v>17</v>
      </c>
      <c r="F3734" s="9">
        <v>46082.0</v>
      </c>
      <c r="G3734" s="8" t="s">
        <v>418</v>
      </c>
      <c r="H3734" s="8" t="s">
        <v>419</v>
      </c>
      <c r="I3734" s="8" t="s">
        <v>11501</v>
      </c>
      <c r="J3734" s="8" t="s">
        <v>11502</v>
      </c>
    </row>
    <row r="3735">
      <c r="A3735" s="7">
        <v>2.0044847E7</v>
      </c>
      <c r="B3735" s="8" t="s">
        <v>4599</v>
      </c>
      <c r="C3735" s="8" t="s">
        <v>11503</v>
      </c>
      <c r="D3735" s="8" t="s">
        <v>16</v>
      </c>
      <c r="E3735" s="8" t="s">
        <v>17</v>
      </c>
      <c r="F3735" s="9">
        <v>46091.0</v>
      </c>
      <c r="G3735" s="8" t="s">
        <v>158</v>
      </c>
      <c r="H3735" s="8" t="s">
        <v>159</v>
      </c>
      <c r="I3735" s="8" t="s">
        <v>11504</v>
      </c>
      <c r="J3735" s="8"/>
    </row>
    <row r="3736">
      <c r="A3736" s="7">
        <v>2.0039656E7</v>
      </c>
      <c r="B3736" s="8" t="s">
        <v>4599</v>
      </c>
      <c r="C3736" s="8" t="s">
        <v>11505</v>
      </c>
      <c r="D3736" s="8" t="s">
        <v>16</v>
      </c>
      <c r="E3736" s="8" t="s">
        <v>17</v>
      </c>
      <c r="F3736" s="9">
        <v>46060.0</v>
      </c>
      <c r="G3736" s="8" t="s">
        <v>4850</v>
      </c>
      <c r="H3736" s="8" t="s">
        <v>4851</v>
      </c>
      <c r="I3736" s="8" t="s">
        <v>11506</v>
      </c>
      <c r="J3736" s="8" t="s">
        <v>11507</v>
      </c>
    </row>
    <row r="3737">
      <c r="A3737" s="7">
        <v>2.0037315E7</v>
      </c>
      <c r="B3737" s="8" t="s">
        <v>4599</v>
      </c>
      <c r="C3737" s="8" t="s">
        <v>11508</v>
      </c>
      <c r="D3737" s="8" t="s">
        <v>16</v>
      </c>
      <c r="E3737" s="8" t="s">
        <v>17</v>
      </c>
      <c r="F3737" s="9">
        <v>46054.0</v>
      </c>
      <c r="G3737" s="8" t="s">
        <v>247</v>
      </c>
      <c r="H3737" s="8" t="s">
        <v>248</v>
      </c>
      <c r="I3737" s="8" t="s">
        <v>11509</v>
      </c>
      <c r="J3737" s="8" t="s">
        <v>11510</v>
      </c>
    </row>
    <row r="3738">
      <c r="A3738" s="7">
        <v>2.003657E7</v>
      </c>
      <c r="B3738" s="8" t="s">
        <v>4599</v>
      </c>
      <c r="C3738" s="8" t="s">
        <v>11511</v>
      </c>
      <c r="D3738" s="8" t="s">
        <v>2136</v>
      </c>
      <c r="E3738" s="8" t="s">
        <v>17</v>
      </c>
      <c r="F3738" s="9">
        <v>46054.0</v>
      </c>
      <c r="G3738" s="8" t="s">
        <v>109</v>
      </c>
      <c r="H3738" s="8" t="s">
        <v>110</v>
      </c>
      <c r="I3738" s="8" t="s">
        <v>11512</v>
      </c>
      <c r="J3738" s="8" t="s">
        <v>11513</v>
      </c>
    </row>
    <row r="3739">
      <c r="A3739" s="7">
        <v>2.003657E7</v>
      </c>
      <c r="B3739" s="8" t="s">
        <v>4599</v>
      </c>
      <c r="C3739" s="8" t="s">
        <v>11511</v>
      </c>
      <c r="D3739" s="8" t="s">
        <v>2136</v>
      </c>
      <c r="E3739" s="8" t="s">
        <v>17</v>
      </c>
      <c r="F3739" s="9">
        <v>46054.0</v>
      </c>
      <c r="G3739" s="8" t="s">
        <v>10640</v>
      </c>
      <c r="H3739" s="8" t="s">
        <v>10641</v>
      </c>
      <c r="I3739" s="8" t="s">
        <v>11514</v>
      </c>
      <c r="J3739" s="8" t="s">
        <v>11515</v>
      </c>
    </row>
    <row r="3740">
      <c r="A3740" s="7">
        <v>2.0033671E7</v>
      </c>
      <c r="B3740" s="8" t="s">
        <v>4599</v>
      </c>
      <c r="C3740" s="8" t="s">
        <v>11516</v>
      </c>
      <c r="D3740" s="8" t="s">
        <v>16</v>
      </c>
      <c r="E3740" s="8" t="s">
        <v>17</v>
      </c>
      <c r="F3740" s="9">
        <v>46064.0</v>
      </c>
      <c r="G3740" s="8" t="s">
        <v>467</v>
      </c>
      <c r="H3740" s="8" t="s">
        <v>468</v>
      </c>
      <c r="I3740" s="8" t="s">
        <v>11517</v>
      </c>
      <c r="J3740" s="8"/>
    </row>
    <row r="3741">
      <c r="A3741" s="7">
        <v>2.0033845E7</v>
      </c>
      <c r="B3741" s="8" t="s">
        <v>4599</v>
      </c>
      <c r="C3741" s="8" t="s">
        <v>11518</v>
      </c>
      <c r="D3741" s="8" t="s">
        <v>16</v>
      </c>
      <c r="E3741" s="8" t="s">
        <v>17</v>
      </c>
      <c r="F3741" s="9">
        <v>46045.0</v>
      </c>
      <c r="G3741" s="8" t="s">
        <v>923</v>
      </c>
      <c r="H3741" s="8" t="s">
        <v>71</v>
      </c>
      <c r="I3741" s="8" t="s">
        <v>11519</v>
      </c>
      <c r="J3741" s="8" t="s">
        <v>11520</v>
      </c>
    </row>
    <row r="3742">
      <c r="A3742" s="7">
        <v>2.0035932E7</v>
      </c>
      <c r="B3742" s="8" t="s">
        <v>4599</v>
      </c>
      <c r="C3742" s="8" t="s">
        <v>11521</v>
      </c>
      <c r="D3742" s="8" t="s">
        <v>16</v>
      </c>
      <c r="E3742" s="8" t="s">
        <v>17</v>
      </c>
      <c r="F3742" s="9">
        <v>46062.0</v>
      </c>
      <c r="G3742" s="8" t="s">
        <v>1524</v>
      </c>
      <c r="H3742" s="8" t="s">
        <v>1525</v>
      </c>
      <c r="I3742" s="8" t="s">
        <v>11522</v>
      </c>
      <c r="J3742" s="8" t="s">
        <v>11523</v>
      </c>
    </row>
    <row r="3743">
      <c r="A3743" s="7">
        <v>2.0033963E7</v>
      </c>
      <c r="B3743" s="8" t="s">
        <v>4599</v>
      </c>
      <c r="C3743" s="8" t="s">
        <v>11524</v>
      </c>
      <c r="D3743" s="8" t="s">
        <v>16</v>
      </c>
      <c r="E3743" s="8" t="s">
        <v>17</v>
      </c>
      <c r="F3743" s="9">
        <v>46034.0</v>
      </c>
      <c r="G3743" s="8" t="s">
        <v>91</v>
      </c>
      <c r="H3743" s="8" t="s">
        <v>92</v>
      </c>
      <c r="I3743" s="8" t="s">
        <v>11525</v>
      </c>
      <c r="J3743" s="8" t="s">
        <v>11526</v>
      </c>
    </row>
    <row r="3744">
      <c r="A3744" s="7">
        <v>2.0071949E7</v>
      </c>
      <c r="B3744" s="8" t="s">
        <v>4599</v>
      </c>
      <c r="C3744" s="8" t="s">
        <v>11527</v>
      </c>
      <c r="D3744" s="8" t="s">
        <v>16</v>
      </c>
      <c r="E3744" s="8" t="s">
        <v>17</v>
      </c>
      <c r="F3744" s="9">
        <v>46190.0</v>
      </c>
      <c r="G3744" s="8" t="s">
        <v>59</v>
      </c>
      <c r="H3744" s="8" t="s">
        <v>60</v>
      </c>
      <c r="I3744" s="8" t="s">
        <v>11528</v>
      </c>
      <c r="J3744" s="8" t="s">
        <v>11529</v>
      </c>
    </row>
    <row r="3745">
      <c r="A3745" s="7">
        <v>2.0069117E7</v>
      </c>
      <c r="B3745" s="8" t="s">
        <v>4599</v>
      </c>
      <c r="C3745" s="8" t="s">
        <v>11530</v>
      </c>
      <c r="D3745" s="8" t="s">
        <v>2136</v>
      </c>
      <c r="E3745" s="8" t="s">
        <v>17</v>
      </c>
      <c r="F3745" s="9">
        <v>46182.0</v>
      </c>
      <c r="G3745" s="8" t="s">
        <v>29</v>
      </c>
      <c r="H3745" s="8" t="s">
        <v>30</v>
      </c>
      <c r="I3745" s="8" t="s">
        <v>11531</v>
      </c>
      <c r="J3745" s="8" t="s">
        <v>11532</v>
      </c>
    </row>
    <row r="3746">
      <c r="A3746" s="7">
        <v>2.0069283E7</v>
      </c>
      <c r="B3746" s="8" t="s">
        <v>4599</v>
      </c>
      <c r="C3746" s="8" t="s">
        <v>11533</v>
      </c>
      <c r="D3746" s="8" t="s">
        <v>16</v>
      </c>
      <c r="E3746" s="8" t="s">
        <v>17</v>
      </c>
      <c r="F3746" s="9">
        <v>46186.0</v>
      </c>
      <c r="G3746" s="8" t="s">
        <v>11534</v>
      </c>
      <c r="H3746" s="8" t="s">
        <v>11535</v>
      </c>
      <c r="I3746" s="8" t="s">
        <v>11536</v>
      </c>
      <c r="J3746" s="8" t="s">
        <v>1752</v>
      </c>
    </row>
    <row r="3747">
      <c r="A3747" s="7">
        <v>2.0065505E7</v>
      </c>
      <c r="B3747" s="8" t="s">
        <v>4599</v>
      </c>
      <c r="C3747" s="8" t="s">
        <v>11537</v>
      </c>
      <c r="D3747" s="8" t="s">
        <v>16</v>
      </c>
      <c r="E3747" s="8" t="s">
        <v>48</v>
      </c>
      <c r="F3747" s="9">
        <v>46168.0</v>
      </c>
      <c r="G3747" s="8" t="s">
        <v>8350</v>
      </c>
      <c r="H3747" s="8" t="s">
        <v>8351</v>
      </c>
      <c r="I3747" s="8" t="s">
        <v>11538</v>
      </c>
      <c r="J3747" s="8" t="s">
        <v>11539</v>
      </c>
    </row>
    <row r="3748">
      <c r="A3748" s="7">
        <v>2.0063764E7</v>
      </c>
      <c r="B3748" s="8" t="s">
        <v>4599</v>
      </c>
      <c r="C3748" s="8" t="s">
        <v>11540</v>
      </c>
      <c r="D3748" s="8" t="s">
        <v>16</v>
      </c>
      <c r="E3748" s="8" t="s">
        <v>17</v>
      </c>
      <c r="F3748" s="9">
        <v>46182.0</v>
      </c>
      <c r="G3748" s="8" t="s">
        <v>158</v>
      </c>
      <c r="H3748" s="8" t="s">
        <v>159</v>
      </c>
      <c r="I3748" s="8" t="s">
        <v>11541</v>
      </c>
      <c r="J3748" s="8"/>
    </row>
    <row r="3749">
      <c r="A3749" s="7">
        <v>2.006076E7</v>
      </c>
      <c r="B3749" s="8" t="s">
        <v>4599</v>
      </c>
      <c r="C3749" s="8" t="s">
        <v>11542</v>
      </c>
      <c r="D3749" s="8" t="s">
        <v>2136</v>
      </c>
      <c r="E3749" s="8" t="s">
        <v>17</v>
      </c>
      <c r="F3749" s="9">
        <v>46143.0</v>
      </c>
      <c r="G3749" s="8" t="s">
        <v>339</v>
      </c>
      <c r="H3749" s="8" t="s">
        <v>340</v>
      </c>
      <c r="I3749" s="8" t="s">
        <v>11543</v>
      </c>
      <c r="J3749" s="8" t="s">
        <v>1752</v>
      </c>
    </row>
    <row r="3750">
      <c r="A3750" s="7">
        <v>2.0058938E7</v>
      </c>
      <c r="B3750" s="8" t="s">
        <v>4599</v>
      </c>
      <c r="C3750" s="8" t="s">
        <v>11544</v>
      </c>
      <c r="D3750" s="8" t="s">
        <v>16</v>
      </c>
      <c r="E3750" s="8" t="s">
        <v>17</v>
      </c>
      <c r="F3750" s="9">
        <v>46179.0</v>
      </c>
      <c r="G3750" s="8" t="s">
        <v>11545</v>
      </c>
      <c r="H3750" s="8" t="s">
        <v>11546</v>
      </c>
      <c r="I3750" s="8" t="s">
        <v>11547</v>
      </c>
      <c r="J3750" s="8" t="s">
        <v>11548</v>
      </c>
    </row>
    <row r="3751">
      <c r="A3751" s="7">
        <v>2.0058577E7</v>
      </c>
      <c r="B3751" s="8" t="s">
        <v>4599</v>
      </c>
      <c r="C3751" s="8" t="s">
        <v>11549</v>
      </c>
      <c r="D3751" s="8" t="s">
        <v>16</v>
      </c>
      <c r="E3751" s="8" t="s">
        <v>17</v>
      </c>
      <c r="F3751" s="9">
        <v>46189.0</v>
      </c>
      <c r="G3751" s="8" t="s">
        <v>148</v>
      </c>
      <c r="H3751" s="8" t="s">
        <v>149</v>
      </c>
      <c r="I3751" s="8" t="s">
        <v>11550</v>
      </c>
      <c r="J3751" s="8" t="s">
        <v>11551</v>
      </c>
    </row>
    <row r="3752">
      <c r="A3752" s="7">
        <v>2.0058011E7</v>
      </c>
      <c r="B3752" s="8" t="s">
        <v>4599</v>
      </c>
      <c r="C3752" s="8" t="s">
        <v>11552</v>
      </c>
      <c r="D3752" s="8" t="s">
        <v>16</v>
      </c>
      <c r="E3752" s="8" t="s">
        <v>17</v>
      </c>
      <c r="F3752" s="9">
        <v>46141.0</v>
      </c>
      <c r="G3752" s="8" t="s">
        <v>11553</v>
      </c>
      <c r="H3752" s="8" t="s">
        <v>11554</v>
      </c>
      <c r="I3752" s="8" t="s">
        <v>11555</v>
      </c>
      <c r="J3752" s="8" t="s">
        <v>11556</v>
      </c>
    </row>
    <row r="3753">
      <c r="A3753" s="7">
        <v>2.0058011E7</v>
      </c>
      <c r="B3753" s="8" t="s">
        <v>4599</v>
      </c>
      <c r="C3753" s="8" t="s">
        <v>11552</v>
      </c>
      <c r="D3753" s="8" t="s">
        <v>16</v>
      </c>
      <c r="E3753" s="8" t="s">
        <v>17</v>
      </c>
      <c r="F3753" s="9">
        <v>46141.0</v>
      </c>
      <c r="G3753" s="8" t="s">
        <v>1085</v>
      </c>
      <c r="H3753" s="8" t="s">
        <v>1086</v>
      </c>
      <c r="I3753" s="8" t="s">
        <v>11557</v>
      </c>
      <c r="J3753" s="8" t="s">
        <v>11558</v>
      </c>
    </row>
    <row r="3754">
      <c r="A3754" s="7">
        <v>2.0057833E7</v>
      </c>
      <c r="B3754" s="8" t="s">
        <v>4599</v>
      </c>
      <c r="C3754" s="8" t="s">
        <v>11559</v>
      </c>
      <c r="D3754" s="8" t="s">
        <v>16</v>
      </c>
      <c r="E3754" s="8" t="s">
        <v>700</v>
      </c>
      <c r="F3754" s="9">
        <v>46135.0</v>
      </c>
      <c r="G3754" s="8" t="s">
        <v>11560</v>
      </c>
      <c r="H3754" s="8" t="s">
        <v>11561</v>
      </c>
      <c r="I3754" s="8" t="s">
        <v>11562</v>
      </c>
      <c r="J3754" s="8"/>
    </row>
    <row r="3755">
      <c r="A3755" s="7">
        <v>2.0056527E7</v>
      </c>
      <c r="B3755" s="8" t="s">
        <v>4599</v>
      </c>
      <c r="C3755" s="8" t="s">
        <v>11563</v>
      </c>
      <c r="D3755" s="8" t="s">
        <v>16</v>
      </c>
      <c r="E3755" s="8" t="s">
        <v>17</v>
      </c>
      <c r="F3755" s="9">
        <v>46128.0</v>
      </c>
      <c r="G3755" s="8" t="s">
        <v>59</v>
      </c>
      <c r="H3755" s="8" t="s">
        <v>60</v>
      </c>
      <c r="I3755" s="8" t="s">
        <v>11564</v>
      </c>
      <c r="J3755" s="8" t="s">
        <v>11565</v>
      </c>
    </row>
    <row r="3756">
      <c r="A3756" s="7">
        <v>2.005497E7</v>
      </c>
      <c r="B3756" s="8" t="s">
        <v>4599</v>
      </c>
      <c r="C3756" s="8" t="s">
        <v>11566</v>
      </c>
      <c r="D3756" s="8" t="s">
        <v>16</v>
      </c>
      <c r="E3756" s="8" t="s">
        <v>17</v>
      </c>
      <c r="F3756" s="9">
        <v>46134.0</v>
      </c>
      <c r="G3756" s="8" t="s">
        <v>1045</v>
      </c>
      <c r="H3756" s="8" t="s">
        <v>909</v>
      </c>
      <c r="I3756" s="8" t="s">
        <v>11567</v>
      </c>
      <c r="J3756" s="8" t="s">
        <v>11568</v>
      </c>
    </row>
    <row r="3757">
      <c r="A3757" s="7">
        <v>2.0055595E7</v>
      </c>
      <c r="B3757" s="8" t="s">
        <v>4599</v>
      </c>
      <c r="C3757" s="8" t="s">
        <v>11569</v>
      </c>
      <c r="D3757" s="8" t="s">
        <v>16</v>
      </c>
      <c r="E3757" s="8" t="s">
        <v>17</v>
      </c>
      <c r="F3757" s="9">
        <v>46123.0</v>
      </c>
      <c r="G3757" s="8" t="s">
        <v>247</v>
      </c>
      <c r="H3757" s="8" t="s">
        <v>248</v>
      </c>
      <c r="I3757" s="8" t="s">
        <v>11570</v>
      </c>
      <c r="J3757" s="8" t="s">
        <v>11571</v>
      </c>
    </row>
    <row r="3758">
      <c r="A3758" s="7">
        <v>2.0055192E7</v>
      </c>
      <c r="B3758" s="8" t="s">
        <v>4599</v>
      </c>
      <c r="C3758" s="8" t="s">
        <v>11572</v>
      </c>
      <c r="D3758" s="8" t="s">
        <v>16</v>
      </c>
      <c r="E3758" s="8" t="s">
        <v>17</v>
      </c>
      <c r="F3758" s="9">
        <v>46120.0</v>
      </c>
      <c r="G3758" s="8" t="s">
        <v>59</v>
      </c>
      <c r="H3758" s="8" t="s">
        <v>60</v>
      </c>
      <c r="I3758" s="8" t="s">
        <v>11573</v>
      </c>
      <c r="J3758" s="8" t="s">
        <v>11574</v>
      </c>
    </row>
    <row r="3759">
      <c r="A3759" s="7">
        <v>2.0049671E7</v>
      </c>
      <c r="B3759" s="8" t="s">
        <v>4599</v>
      </c>
      <c r="C3759" s="8" t="s">
        <v>11575</v>
      </c>
      <c r="D3759" s="8" t="s">
        <v>16</v>
      </c>
      <c r="E3759" s="8" t="s">
        <v>17</v>
      </c>
      <c r="F3759" s="9">
        <v>46104.0</v>
      </c>
      <c r="G3759" s="8" t="s">
        <v>923</v>
      </c>
      <c r="H3759" s="8" t="s">
        <v>71</v>
      </c>
      <c r="I3759" s="8" t="s">
        <v>11576</v>
      </c>
      <c r="J3759" s="8" t="s">
        <v>11577</v>
      </c>
    </row>
    <row r="3760">
      <c r="A3760" s="7">
        <v>2.004821E7</v>
      </c>
      <c r="B3760" s="8" t="s">
        <v>4599</v>
      </c>
      <c r="C3760" s="8" t="s">
        <v>11578</v>
      </c>
      <c r="D3760" s="8" t="s">
        <v>16</v>
      </c>
      <c r="E3760" s="8" t="s">
        <v>17</v>
      </c>
      <c r="F3760" s="9">
        <v>46090.0</v>
      </c>
      <c r="G3760" s="8" t="s">
        <v>29</v>
      </c>
      <c r="H3760" s="8" t="s">
        <v>30</v>
      </c>
      <c r="I3760" s="8" t="s">
        <v>11579</v>
      </c>
      <c r="J3760" s="8" t="s">
        <v>11580</v>
      </c>
    </row>
    <row r="3761">
      <c r="A3761" s="7">
        <v>2.0047663E7</v>
      </c>
      <c r="B3761" s="8" t="s">
        <v>4599</v>
      </c>
      <c r="C3761" s="8" t="s">
        <v>11581</v>
      </c>
      <c r="D3761" s="8" t="s">
        <v>16</v>
      </c>
      <c r="E3761" s="8" t="s">
        <v>17</v>
      </c>
      <c r="F3761" s="9">
        <v>46110.0</v>
      </c>
      <c r="G3761" s="8" t="s">
        <v>148</v>
      </c>
      <c r="H3761" s="8" t="s">
        <v>149</v>
      </c>
      <c r="I3761" s="8" t="s">
        <v>11582</v>
      </c>
      <c r="J3761" s="8" t="s">
        <v>11583</v>
      </c>
    </row>
    <row r="3762">
      <c r="A3762" s="7">
        <v>2.004326E7</v>
      </c>
      <c r="B3762" s="8" t="s">
        <v>4599</v>
      </c>
      <c r="C3762" s="8" t="s">
        <v>11584</v>
      </c>
      <c r="D3762" s="8" t="s">
        <v>16</v>
      </c>
      <c r="E3762" s="8" t="s">
        <v>17</v>
      </c>
      <c r="F3762" s="9">
        <v>46070.0</v>
      </c>
      <c r="G3762" s="8" t="s">
        <v>59</v>
      </c>
      <c r="H3762" s="8" t="s">
        <v>60</v>
      </c>
      <c r="I3762" s="8" t="s">
        <v>11585</v>
      </c>
      <c r="J3762" s="8" t="s">
        <v>11586</v>
      </c>
    </row>
    <row r="3763">
      <c r="A3763" s="7">
        <v>2.0042247E7</v>
      </c>
      <c r="B3763" s="8" t="s">
        <v>4599</v>
      </c>
      <c r="C3763" s="8" t="s">
        <v>11587</v>
      </c>
      <c r="D3763" s="8" t="s">
        <v>16</v>
      </c>
      <c r="E3763" s="8" t="s">
        <v>17</v>
      </c>
      <c r="F3763" s="9">
        <v>46071.0</v>
      </c>
      <c r="G3763" s="8" t="s">
        <v>153</v>
      </c>
      <c r="H3763" s="8" t="s">
        <v>154</v>
      </c>
      <c r="I3763" s="8" t="s">
        <v>11588</v>
      </c>
      <c r="J3763" s="8" t="s">
        <v>11589</v>
      </c>
    </row>
    <row r="3764">
      <c r="A3764" s="7">
        <v>2.0041211E7</v>
      </c>
      <c r="B3764" s="8" t="s">
        <v>4599</v>
      </c>
      <c r="C3764" s="8" t="s">
        <v>11590</v>
      </c>
      <c r="D3764" s="8" t="s">
        <v>16</v>
      </c>
      <c r="E3764" s="8" t="s">
        <v>17</v>
      </c>
      <c r="F3764" s="9">
        <v>46072.0</v>
      </c>
      <c r="G3764" s="8" t="s">
        <v>800</v>
      </c>
      <c r="H3764" s="8" t="s">
        <v>801</v>
      </c>
      <c r="I3764" s="8" t="s">
        <v>11591</v>
      </c>
      <c r="J3764" s="8" t="s">
        <v>11592</v>
      </c>
    </row>
    <row r="3765">
      <c r="A3765" s="7">
        <v>2.0038563E7</v>
      </c>
      <c r="B3765" s="8" t="s">
        <v>4599</v>
      </c>
      <c r="C3765" s="8" t="s">
        <v>11593</v>
      </c>
      <c r="D3765" s="8" t="s">
        <v>16</v>
      </c>
      <c r="E3765" s="8" t="s">
        <v>17</v>
      </c>
      <c r="F3765" s="9">
        <v>46054.0</v>
      </c>
      <c r="G3765" s="8" t="s">
        <v>59</v>
      </c>
      <c r="H3765" s="8" t="s">
        <v>60</v>
      </c>
      <c r="I3765" s="8" t="s">
        <v>11594</v>
      </c>
      <c r="J3765" s="8" t="s">
        <v>11595</v>
      </c>
    </row>
    <row r="3766">
      <c r="A3766" s="7">
        <v>2.0035693E7</v>
      </c>
      <c r="B3766" s="8" t="s">
        <v>4599</v>
      </c>
      <c r="C3766" s="8" t="s">
        <v>11596</v>
      </c>
      <c r="D3766" s="8" t="s">
        <v>16</v>
      </c>
      <c r="E3766" s="8" t="s">
        <v>17</v>
      </c>
      <c r="F3766" s="9">
        <v>46057.0</v>
      </c>
      <c r="G3766" s="8" t="s">
        <v>374</v>
      </c>
      <c r="H3766" s="8" t="s">
        <v>375</v>
      </c>
      <c r="I3766" s="8" t="s">
        <v>11597</v>
      </c>
      <c r="J3766" s="8" t="s">
        <v>11598</v>
      </c>
    </row>
    <row r="3767">
      <c r="A3767" s="7">
        <v>2.0066413E7</v>
      </c>
      <c r="B3767" s="8" t="s">
        <v>4599</v>
      </c>
      <c r="C3767" s="8" t="s">
        <v>11599</v>
      </c>
      <c r="D3767" s="8" t="s">
        <v>16</v>
      </c>
      <c r="E3767" s="8" t="s">
        <v>17</v>
      </c>
      <c r="F3767" s="9">
        <v>46181.0</v>
      </c>
      <c r="G3767" s="8" t="s">
        <v>59</v>
      </c>
      <c r="H3767" s="8" t="s">
        <v>60</v>
      </c>
      <c r="I3767" s="8" t="s">
        <v>11600</v>
      </c>
      <c r="J3767" s="8" t="s">
        <v>11601</v>
      </c>
    </row>
    <row r="3768">
      <c r="A3768" s="7">
        <v>2.0065621E7</v>
      </c>
      <c r="B3768" s="8" t="s">
        <v>4599</v>
      </c>
      <c r="C3768" s="8" t="s">
        <v>11602</v>
      </c>
      <c r="D3768" s="8" t="s">
        <v>16</v>
      </c>
      <c r="E3768" s="8" t="s">
        <v>17</v>
      </c>
      <c r="F3768" s="9">
        <v>46193.0</v>
      </c>
      <c r="G3768" s="8" t="s">
        <v>4850</v>
      </c>
      <c r="H3768" s="8" t="s">
        <v>4851</v>
      </c>
      <c r="I3768" s="8" t="s">
        <v>11603</v>
      </c>
      <c r="J3768" s="8" t="s">
        <v>11604</v>
      </c>
    </row>
    <row r="3769">
      <c r="A3769" s="7">
        <v>2.0065621E7</v>
      </c>
      <c r="B3769" s="8" t="s">
        <v>4599</v>
      </c>
      <c r="C3769" s="8" t="s">
        <v>11602</v>
      </c>
      <c r="D3769" s="8" t="s">
        <v>16</v>
      </c>
      <c r="E3769" s="8" t="s">
        <v>17</v>
      </c>
      <c r="F3769" s="9">
        <v>46193.0</v>
      </c>
      <c r="G3769" s="8" t="s">
        <v>2511</v>
      </c>
      <c r="H3769" s="8" t="s">
        <v>2512</v>
      </c>
      <c r="I3769" s="8" t="s">
        <v>11605</v>
      </c>
      <c r="J3769" s="8" t="s">
        <v>11606</v>
      </c>
    </row>
    <row r="3770">
      <c r="A3770" s="7">
        <v>2.0065621E7</v>
      </c>
      <c r="B3770" s="8" t="s">
        <v>4599</v>
      </c>
      <c r="C3770" s="8" t="s">
        <v>11602</v>
      </c>
      <c r="D3770" s="8" t="s">
        <v>16</v>
      </c>
      <c r="E3770" s="8" t="s">
        <v>17</v>
      </c>
      <c r="F3770" s="9">
        <v>46193.0</v>
      </c>
      <c r="G3770" s="8" t="s">
        <v>4850</v>
      </c>
      <c r="H3770" s="8" t="s">
        <v>4851</v>
      </c>
      <c r="I3770" s="8" t="s">
        <v>11607</v>
      </c>
      <c r="J3770" s="8" t="s">
        <v>11604</v>
      </c>
    </row>
    <row r="3771">
      <c r="A3771" s="7">
        <v>2.0065621E7</v>
      </c>
      <c r="B3771" s="8" t="s">
        <v>4599</v>
      </c>
      <c r="C3771" s="8" t="s">
        <v>11602</v>
      </c>
      <c r="D3771" s="8" t="s">
        <v>16</v>
      </c>
      <c r="E3771" s="8" t="s">
        <v>17</v>
      </c>
      <c r="F3771" s="9">
        <v>46193.0</v>
      </c>
      <c r="G3771" s="8" t="s">
        <v>2511</v>
      </c>
      <c r="H3771" s="8" t="s">
        <v>2512</v>
      </c>
      <c r="I3771" s="8" t="s">
        <v>11608</v>
      </c>
      <c r="J3771" s="8" t="s">
        <v>11606</v>
      </c>
    </row>
    <row r="3772">
      <c r="A3772" s="7">
        <v>2.0065621E7</v>
      </c>
      <c r="B3772" s="8" t="s">
        <v>4599</v>
      </c>
      <c r="C3772" s="8" t="s">
        <v>11602</v>
      </c>
      <c r="D3772" s="8" t="s">
        <v>16</v>
      </c>
      <c r="E3772" s="8" t="s">
        <v>17</v>
      </c>
      <c r="F3772" s="9">
        <v>46193.0</v>
      </c>
      <c r="G3772" s="8" t="s">
        <v>1085</v>
      </c>
      <c r="H3772" s="8" t="s">
        <v>1086</v>
      </c>
      <c r="I3772" s="8" t="s">
        <v>11609</v>
      </c>
      <c r="J3772" s="8" t="s">
        <v>11610</v>
      </c>
    </row>
    <row r="3773">
      <c r="A3773" s="7">
        <v>2.0062963E7</v>
      </c>
      <c r="B3773" s="8" t="s">
        <v>4599</v>
      </c>
      <c r="C3773" s="8" t="s">
        <v>11611</v>
      </c>
      <c r="D3773" s="8" t="s">
        <v>16</v>
      </c>
      <c r="E3773" s="8" t="s">
        <v>17</v>
      </c>
      <c r="F3773" s="9">
        <v>46183.0</v>
      </c>
      <c r="G3773" s="8" t="s">
        <v>8911</v>
      </c>
      <c r="H3773" s="8" t="s">
        <v>8912</v>
      </c>
      <c r="I3773" s="8" t="s">
        <v>11612</v>
      </c>
      <c r="J3773" s="8" t="s">
        <v>11613</v>
      </c>
    </row>
    <row r="3774">
      <c r="A3774" s="7">
        <v>2.0061492E7</v>
      </c>
      <c r="B3774" s="8" t="s">
        <v>4599</v>
      </c>
      <c r="C3774" s="8" t="s">
        <v>11614</v>
      </c>
      <c r="D3774" s="8" t="s">
        <v>16</v>
      </c>
      <c r="E3774" s="8" t="s">
        <v>17</v>
      </c>
      <c r="F3774" s="9">
        <v>46146.0</v>
      </c>
      <c r="G3774" s="8" t="s">
        <v>59</v>
      </c>
      <c r="H3774" s="8" t="s">
        <v>60</v>
      </c>
      <c r="I3774" s="8" t="s">
        <v>11615</v>
      </c>
      <c r="J3774" s="8" t="s">
        <v>11616</v>
      </c>
    </row>
    <row r="3775">
      <c r="A3775" s="7">
        <v>2.0060546E7</v>
      </c>
      <c r="B3775" s="8" t="s">
        <v>4599</v>
      </c>
      <c r="C3775" s="8" t="s">
        <v>11617</v>
      </c>
      <c r="D3775" s="8" t="s">
        <v>16</v>
      </c>
      <c r="E3775" s="8" t="s">
        <v>17</v>
      </c>
      <c r="F3775" s="9">
        <v>46145.0</v>
      </c>
      <c r="G3775" s="8" t="s">
        <v>846</v>
      </c>
      <c r="H3775" s="8" t="s">
        <v>847</v>
      </c>
      <c r="I3775" s="8" t="s">
        <v>11618</v>
      </c>
      <c r="J3775" s="8" t="s">
        <v>11619</v>
      </c>
    </row>
    <row r="3776">
      <c r="A3776" s="7">
        <v>2.0060546E7</v>
      </c>
      <c r="B3776" s="8" t="s">
        <v>4599</v>
      </c>
      <c r="C3776" s="8" t="s">
        <v>11617</v>
      </c>
      <c r="D3776" s="8" t="s">
        <v>16</v>
      </c>
      <c r="E3776" s="8" t="s">
        <v>17</v>
      </c>
      <c r="F3776" s="9">
        <v>46145.0</v>
      </c>
      <c r="G3776" s="8" t="s">
        <v>1888</v>
      </c>
      <c r="H3776" s="8" t="s">
        <v>1889</v>
      </c>
      <c r="I3776" s="8" t="s">
        <v>11620</v>
      </c>
      <c r="J3776" s="8" t="s">
        <v>11621</v>
      </c>
    </row>
    <row r="3777">
      <c r="A3777" s="7">
        <v>2.0059253E7</v>
      </c>
      <c r="B3777" s="8" t="s">
        <v>4599</v>
      </c>
      <c r="C3777" s="8" t="s">
        <v>11622</v>
      </c>
      <c r="D3777" s="8" t="s">
        <v>16</v>
      </c>
      <c r="E3777" s="8" t="s">
        <v>17</v>
      </c>
      <c r="F3777" s="9">
        <v>46143.0</v>
      </c>
      <c r="G3777" s="8" t="s">
        <v>908</v>
      </c>
      <c r="H3777" s="8" t="s">
        <v>909</v>
      </c>
      <c r="I3777" s="8" t="s">
        <v>11623</v>
      </c>
      <c r="J3777" s="8" t="s">
        <v>11624</v>
      </c>
    </row>
    <row r="3778">
      <c r="A3778" s="7">
        <v>2.005872E7</v>
      </c>
      <c r="B3778" s="8" t="s">
        <v>4599</v>
      </c>
      <c r="C3778" s="8" t="s">
        <v>11625</v>
      </c>
      <c r="D3778" s="8" t="s">
        <v>16</v>
      </c>
      <c r="E3778" s="8" t="s">
        <v>17</v>
      </c>
      <c r="F3778" s="9">
        <v>46141.0</v>
      </c>
      <c r="G3778" s="8" t="s">
        <v>153</v>
      </c>
      <c r="H3778" s="8" t="s">
        <v>154</v>
      </c>
      <c r="I3778" s="8" t="s">
        <v>11626</v>
      </c>
      <c r="J3778" s="8" t="s">
        <v>11627</v>
      </c>
    </row>
    <row r="3779">
      <c r="A3779" s="7">
        <v>2.0057544E7</v>
      </c>
      <c r="B3779" s="8" t="s">
        <v>4599</v>
      </c>
      <c r="C3779" s="8" t="s">
        <v>11628</v>
      </c>
      <c r="D3779" s="8" t="s">
        <v>16</v>
      </c>
      <c r="E3779" s="8" t="s">
        <v>17</v>
      </c>
      <c r="F3779" s="9">
        <v>46139.0</v>
      </c>
      <c r="G3779" s="8" t="s">
        <v>454</v>
      </c>
      <c r="H3779" s="8" t="s">
        <v>455</v>
      </c>
      <c r="I3779" s="8" t="s">
        <v>11629</v>
      </c>
      <c r="J3779" s="8" t="s">
        <v>11630</v>
      </c>
    </row>
    <row r="3780">
      <c r="A3780" s="7">
        <v>2.0057046E7</v>
      </c>
      <c r="B3780" s="8" t="s">
        <v>4599</v>
      </c>
      <c r="C3780" s="8" t="s">
        <v>11631</v>
      </c>
      <c r="D3780" s="8" t="s">
        <v>16</v>
      </c>
      <c r="E3780" s="8" t="s">
        <v>17</v>
      </c>
      <c r="F3780" s="9">
        <v>46133.0</v>
      </c>
      <c r="G3780" s="8" t="s">
        <v>365</v>
      </c>
      <c r="H3780" s="8" t="s">
        <v>366</v>
      </c>
      <c r="I3780" s="8" t="s">
        <v>11632</v>
      </c>
      <c r="J3780" s="8" t="s">
        <v>11633</v>
      </c>
    </row>
    <row r="3781">
      <c r="A3781" s="7">
        <v>2.0056969E7</v>
      </c>
      <c r="B3781" s="8" t="s">
        <v>4599</v>
      </c>
      <c r="C3781" s="8" t="s">
        <v>11634</v>
      </c>
      <c r="D3781" s="8" t="s">
        <v>16</v>
      </c>
      <c r="E3781" s="8" t="s">
        <v>17</v>
      </c>
      <c r="F3781" s="9">
        <v>46130.0</v>
      </c>
      <c r="G3781" s="8" t="s">
        <v>339</v>
      </c>
      <c r="H3781" s="8" t="s">
        <v>340</v>
      </c>
      <c r="I3781" s="8" t="s">
        <v>11635</v>
      </c>
      <c r="J3781" s="8" t="s">
        <v>11636</v>
      </c>
    </row>
    <row r="3782">
      <c r="A3782" s="7">
        <v>2.0057401E7</v>
      </c>
      <c r="B3782" s="8" t="s">
        <v>4599</v>
      </c>
      <c r="C3782" s="8" t="s">
        <v>11637</v>
      </c>
      <c r="D3782" s="8" t="s">
        <v>16</v>
      </c>
      <c r="E3782" s="8" t="s">
        <v>17</v>
      </c>
      <c r="F3782" s="9">
        <v>46131.0</v>
      </c>
      <c r="G3782" s="8" t="s">
        <v>1949</v>
      </c>
      <c r="H3782" s="8" t="s">
        <v>1950</v>
      </c>
      <c r="I3782" s="8" t="s">
        <v>11638</v>
      </c>
      <c r="J3782" s="8" t="s">
        <v>11639</v>
      </c>
    </row>
    <row r="3783">
      <c r="A3783" s="7">
        <v>2.0052502E7</v>
      </c>
      <c r="B3783" s="8" t="s">
        <v>4599</v>
      </c>
      <c r="C3783" s="8" t="s">
        <v>11640</v>
      </c>
      <c r="D3783" s="8" t="s">
        <v>16</v>
      </c>
      <c r="E3783" s="8" t="s">
        <v>17</v>
      </c>
      <c r="F3783" s="9">
        <v>46112.0</v>
      </c>
      <c r="G3783" s="8" t="s">
        <v>923</v>
      </c>
      <c r="H3783" s="8" t="s">
        <v>71</v>
      </c>
      <c r="I3783" s="8" t="s">
        <v>11641</v>
      </c>
      <c r="J3783" s="8" t="s">
        <v>11642</v>
      </c>
    </row>
    <row r="3784">
      <c r="A3784" s="7">
        <v>2.0051781E7</v>
      </c>
      <c r="B3784" s="8" t="s">
        <v>4599</v>
      </c>
      <c r="C3784" s="8" t="s">
        <v>11643</v>
      </c>
      <c r="D3784" s="8" t="s">
        <v>16</v>
      </c>
      <c r="E3784" s="8" t="s">
        <v>17</v>
      </c>
      <c r="F3784" s="9">
        <v>46137.0</v>
      </c>
      <c r="G3784" s="8" t="s">
        <v>1754</v>
      </c>
      <c r="H3784" s="8" t="s">
        <v>1755</v>
      </c>
      <c r="I3784" s="8" t="s">
        <v>11644</v>
      </c>
      <c r="J3784" s="8" t="s">
        <v>11645</v>
      </c>
    </row>
    <row r="3785">
      <c r="A3785" s="7">
        <v>2.0051781E7</v>
      </c>
      <c r="B3785" s="8" t="s">
        <v>4599</v>
      </c>
      <c r="C3785" s="8" t="s">
        <v>11643</v>
      </c>
      <c r="D3785" s="8" t="s">
        <v>16</v>
      </c>
      <c r="E3785" s="8" t="s">
        <v>17</v>
      </c>
      <c r="F3785" s="9">
        <v>46137.0</v>
      </c>
      <c r="G3785" s="8" t="s">
        <v>1754</v>
      </c>
      <c r="H3785" s="8" t="s">
        <v>1755</v>
      </c>
      <c r="I3785" s="8" t="s">
        <v>11646</v>
      </c>
      <c r="J3785" s="8" t="s">
        <v>11645</v>
      </c>
    </row>
    <row r="3786">
      <c r="A3786" s="7">
        <v>2.0051781E7</v>
      </c>
      <c r="B3786" s="8" t="s">
        <v>4599</v>
      </c>
      <c r="C3786" s="8" t="s">
        <v>11643</v>
      </c>
      <c r="D3786" s="8" t="s">
        <v>16</v>
      </c>
      <c r="E3786" s="8" t="s">
        <v>17</v>
      </c>
      <c r="F3786" s="9">
        <v>46137.0</v>
      </c>
      <c r="G3786" s="8" t="s">
        <v>11553</v>
      </c>
      <c r="H3786" s="8" t="s">
        <v>11554</v>
      </c>
      <c r="I3786" s="8" t="s">
        <v>11647</v>
      </c>
      <c r="J3786" s="8" t="s">
        <v>11648</v>
      </c>
    </row>
    <row r="3787">
      <c r="A3787" s="7">
        <v>2.0047666E7</v>
      </c>
      <c r="B3787" s="8" t="s">
        <v>4599</v>
      </c>
      <c r="C3787" s="8" t="s">
        <v>11649</v>
      </c>
      <c r="D3787" s="8" t="s">
        <v>16</v>
      </c>
      <c r="E3787" s="8" t="s">
        <v>17</v>
      </c>
      <c r="F3787" s="9">
        <v>46095.0</v>
      </c>
      <c r="G3787" s="8" t="s">
        <v>3200</v>
      </c>
      <c r="H3787" s="8" t="s">
        <v>401</v>
      </c>
      <c r="I3787" s="8" t="s">
        <v>11650</v>
      </c>
      <c r="J3787" s="8" t="s">
        <v>11651</v>
      </c>
    </row>
    <row r="3788">
      <c r="A3788" s="7">
        <v>2.0045572E7</v>
      </c>
      <c r="B3788" s="8" t="s">
        <v>4599</v>
      </c>
      <c r="C3788" s="8" t="s">
        <v>11652</v>
      </c>
      <c r="D3788" s="8" t="s">
        <v>16</v>
      </c>
      <c r="E3788" s="8" t="s">
        <v>17</v>
      </c>
      <c r="F3788" s="9">
        <v>46100.0</v>
      </c>
      <c r="G3788" s="8" t="s">
        <v>184</v>
      </c>
      <c r="H3788" s="8" t="s">
        <v>185</v>
      </c>
      <c r="I3788" s="8" t="s">
        <v>11653</v>
      </c>
      <c r="J3788" s="8"/>
    </row>
    <row r="3789">
      <c r="A3789" s="7">
        <v>2.0043322E7</v>
      </c>
      <c r="B3789" s="8" t="s">
        <v>4599</v>
      </c>
      <c r="C3789" s="8" t="s">
        <v>11654</v>
      </c>
      <c r="D3789" s="8" t="s">
        <v>16</v>
      </c>
      <c r="E3789" s="8" t="s">
        <v>17</v>
      </c>
      <c r="F3789" s="9">
        <v>46071.0</v>
      </c>
      <c r="G3789" s="8" t="s">
        <v>846</v>
      </c>
      <c r="H3789" s="8" t="s">
        <v>847</v>
      </c>
      <c r="I3789" s="8" t="s">
        <v>11655</v>
      </c>
      <c r="J3789" s="8" t="s">
        <v>11656</v>
      </c>
    </row>
    <row r="3790">
      <c r="A3790" s="7">
        <v>2.0038639E7</v>
      </c>
      <c r="B3790" s="8" t="s">
        <v>4599</v>
      </c>
      <c r="C3790" s="8" t="s">
        <v>11657</v>
      </c>
      <c r="D3790" s="8" t="s">
        <v>16</v>
      </c>
      <c r="E3790" s="8" t="s">
        <v>17</v>
      </c>
      <c r="F3790" s="9">
        <v>46062.0</v>
      </c>
      <c r="G3790" s="8" t="s">
        <v>5916</v>
      </c>
      <c r="H3790" s="8" t="s">
        <v>6548</v>
      </c>
      <c r="I3790" s="8" t="s">
        <v>11658</v>
      </c>
      <c r="J3790" s="8" t="s">
        <v>11659</v>
      </c>
    </row>
    <row r="3791">
      <c r="A3791" s="7">
        <v>2.00395E7</v>
      </c>
      <c r="B3791" s="8" t="s">
        <v>4599</v>
      </c>
      <c r="C3791" s="8" t="s">
        <v>11660</v>
      </c>
      <c r="D3791" s="8" t="s">
        <v>16</v>
      </c>
      <c r="E3791" s="8" t="s">
        <v>17</v>
      </c>
      <c r="F3791" s="9">
        <v>46070.0</v>
      </c>
      <c r="G3791" s="8" t="s">
        <v>357</v>
      </c>
      <c r="H3791" s="8" t="s">
        <v>358</v>
      </c>
      <c r="I3791" s="8" t="s">
        <v>11661</v>
      </c>
      <c r="J3791" s="8" t="s">
        <v>11662</v>
      </c>
    </row>
    <row r="3792">
      <c r="A3792" s="7">
        <v>2.0038121E7</v>
      </c>
      <c r="B3792" s="8" t="s">
        <v>4599</v>
      </c>
      <c r="C3792" s="8" t="s">
        <v>11663</v>
      </c>
      <c r="D3792" s="8" t="s">
        <v>16</v>
      </c>
      <c r="E3792" s="8" t="s">
        <v>17</v>
      </c>
      <c r="F3792" s="9">
        <v>46063.0</v>
      </c>
      <c r="G3792" s="8" t="s">
        <v>6778</v>
      </c>
      <c r="H3792" s="8" t="s">
        <v>6779</v>
      </c>
      <c r="I3792" s="8" t="s">
        <v>11664</v>
      </c>
      <c r="J3792" s="8" t="s">
        <v>11665</v>
      </c>
    </row>
    <row r="3793">
      <c r="A3793" s="7">
        <v>2.0035381E7</v>
      </c>
      <c r="B3793" s="8" t="s">
        <v>4599</v>
      </c>
      <c r="C3793" s="8" t="s">
        <v>11666</v>
      </c>
      <c r="D3793" s="8" t="s">
        <v>16</v>
      </c>
      <c r="E3793" s="8" t="s">
        <v>17</v>
      </c>
      <c r="F3793" s="9">
        <v>46043.0</v>
      </c>
      <c r="G3793" s="8" t="s">
        <v>846</v>
      </c>
      <c r="H3793" s="8" t="s">
        <v>847</v>
      </c>
      <c r="I3793" s="8" t="s">
        <v>11667</v>
      </c>
      <c r="J3793" s="8" t="s">
        <v>11668</v>
      </c>
    </row>
    <row r="3794">
      <c r="A3794" s="7">
        <v>2.0033974E7</v>
      </c>
      <c r="B3794" s="8" t="s">
        <v>4599</v>
      </c>
      <c r="C3794" s="8" t="s">
        <v>11669</v>
      </c>
      <c r="D3794" s="8" t="s">
        <v>16</v>
      </c>
      <c r="E3794" s="8" t="s">
        <v>17</v>
      </c>
      <c r="F3794" s="9">
        <v>46049.0</v>
      </c>
      <c r="G3794" s="8" t="s">
        <v>601</v>
      </c>
      <c r="H3794" s="8" t="s">
        <v>602</v>
      </c>
      <c r="I3794" s="8" t="s">
        <v>11670</v>
      </c>
      <c r="J3794" s="8" t="s">
        <v>11671</v>
      </c>
    </row>
    <row r="3795">
      <c r="A3795" s="7">
        <v>2.0070014E7</v>
      </c>
      <c r="B3795" s="8" t="s">
        <v>4599</v>
      </c>
      <c r="C3795" s="8" t="s">
        <v>11672</v>
      </c>
      <c r="D3795" s="8" t="s">
        <v>16</v>
      </c>
      <c r="E3795" s="8" t="s">
        <v>17</v>
      </c>
      <c r="F3795" s="9">
        <v>46185.0</v>
      </c>
      <c r="G3795" s="8" t="s">
        <v>220</v>
      </c>
      <c r="H3795" s="8" t="s">
        <v>221</v>
      </c>
      <c r="I3795" s="8" t="s">
        <v>11673</v>
      </c>
      <c r="J3795" s="8" t="s">
        <v>11674</v>
      </c>
    </row>
    <row r="3796">
      <c r="A3796" s="7">
        <v>2.0068374E7</v>
      </c>
      <c r="B3796" s="8" t="s">
        <v>4599</v>
      </c>
      <c r="C3796" s="8" t="s">
        <v>11675</v>
      </c>
      <c r="D3796" s="8" t="s">
        <v>16</v>
      </c>
      <c r="E3796" s="8" t="s">
        <v>17</v>
      </c>
      <c r="F3796" s="9">
        <v>46178.0</v>
      </c>
      <c r="G3796" s="8" t="s">
        <v>59</v>
      </c>
      <c r="H3796" s="8" t="s">
        <v>60</v>
      </c>
      <c r="I3796" s="8" t="s">
        <v>11676</v>
      </c>
      <c r="J3796" s="8" t="s">
        <v>11677</v>
      </c>
    </row>
    <row r="3797">
      <c r="A3797" s="7">
        <v>2.006811E7</v>
      </c>
      <c r="B3797" s="8" t="s">
        <v>4599</v>
      </c>
      <c r="C3797" s="8" t="s">
        <v>11678</v>
      </c>
      <c r="D3797" s="8" t="s">
        <v>16</v>
      </c>
      <c r="E3797" s="8" t="s">
        <v>17</v>
      </c>
      <c r="F3797" s="9">
        <v>46178.0</v>
      </c>
      <c r="G3797" s="8" t="s">
        <v>805</v>
      </c>
      <c r="H3797" s="8" t="s">
        <v>806</v>
      </c>
      <c r="I3797" s="8" t="s">
        <v>11679</v>
      </c>
      <c r="J3797" s="8" t="s">
        <v>11680</v>
      </c>
    </row>
    <row r="3798">
      <c r="A3798" s="7">
        <v>2.0067656E7</v>
      </c>
      <c r="B3798" s="8" t="s">
        <v>4599</v>
      </c>
      <c r="C3798" s="8" t="s">
        <v>11681</v>
      </c>
      <c r="D3798" s="8" t="s">
        <v>16</v>
      </c>
      <c r="E3798" s="8" t="s">
        <v>17</v>
      </c>
      <c r="F3798" s="9">
        <v>46179.0</v>
      </c>
      <c r="G3798" s="8" t="s">
        <v>800</v>
      </c>
      <c r="H3798" s="8" t="s">
        <v>801</v>
      </c>
      <c r="I3798" s="8" t="s">
        <v>11682</v>
      </c>
      <c r="J3798" s="8" t="s">
        <v>11683</v>
      </c>
    </row>
    <row r="3799">
      <c r="A3799" s="7">
        <v>2.0067656E7</v>
      </c>
      <c r="B3799" s="8" t="s">
        <v>4599</v>
      </c>
      <c r="C3799" s="8" t="s">
        <v>11681</v>
      </c>
      <c r="D3799" s="8" t="s">
        <v>16</v>
      </c>
      <c r="E3799" s="8" t="s">
        <v>17</v>
      </c>
      <c r="F3799" s="9">
        <v>46179.0</v>
      </c>
      <c r="G3799" s="8" t="s">
        <v>971</v>
      </c>
      <c r="H3799" s="8" t="s">
        <v>972</v>
      </c>
      <c r="I3799" s="8" t="s">
        <v>11684</v>
      </c>
      <c r="J3799" s="8" t="s">
        <v>11685</v>
      </c>
    </row>
    <row r="3800">
      <c r="A3800" s="7">
        <v>2.0065571E7</v>
      </c>
      <c r="B3800" s="8" t="s">
        <v>4599</v>
      </c>
      <c r="C3800" s="8" t="s">
        <v>11686</v>
      </c>
      <c r="D3800" s="8" t="s">
        <v>16</v>
      </c>
      <c r="E3800" s="8" t="s">
        <v>17</v>
      </c>
      <c r="F3800" s="9">
        <v>46187.0</v>
      </c>
      <c r="G3800" s="8" t="s">
        <v>1085</v>
      </c>
      <c r="H3800" s="8" t="s">
        <v>1086</v>
      </c>
      <c r="I3800" s="8" t="s">
        <v>11687</v>
      </c>
      <c r="J3800" s="8" t="s">
        <v>11688</v>
      </c>
    </row>
    <row r="3801">
      <c r="A3801" s="7">
        <v>2.0063011E7</v>
      </c>
      <c r="B3801" s="8" t="s">
        <v>4599</v>
      </c>
      <c r="C3801" s="8" t="s">
        <v>11689</v>
      </c>
      <c r="D3801" s="8" t="s">
        <v>16</v>
      </c>
      <c r="E3801" s="8" t="s">
        <v>17</v>
      </c>
      <c r="F3801" s="9">
        <v>46182.0</v>
      </c>
      <c r="G3801" s="8" t="s">
        <v>314</v>
      </c>
      <c r="H3801" s="8" t="s">
        <v>315</v>
      </c>
      <c r="I3801" s="8" t="s">
        <v>11690</v>
      </c>
      <c r="J3801" s="8" t="s">
        <v>11691</v>
      </c>
    </row>
    <row r="3802">
      <c r="A3802" s="7">
        <v>2.0062482E7</v>
      </c>
      <c r="B3802" s="8" t="s">
        <v>4599</v>
      </c>
      <c r="C3802" s="8" t="s">
        <v>11692</v>
      </c>
      <c r="D3802" s="8" t="s">
        <v>2136</v>
      </c>
      <c r="E3802" s="8" t="s">
        <v>17</v>
      </c>
      <c r="F3802" s="9">
        <v>46150.0</v>
      </c>
      <c r="G3802" s="8" t="s">
        <v>846</v>
      </c>
      <c r="H3802" s="8" t="s">
        <v>847</v>
      </c>
      <c r="I3802" s="8" t="s">
        <v>11693</v>
      </c>
      <c r="J3802" s="8" t="s">
        <v>11694</v>
      </c>
    </row>
    <row r="3803">
      <c r="A3803" s="7">
        <v>2.0059447E7</v>
      </c>
      <c r="B3803" s="8" t="s">
        <v>4599</v>
      </c>
      <c r="C3803" s="8" t="s">
        <v>11695</v>
      </c>
      <c r="D3803" s="8" t="s">
        <v>16</v>
      </c>
      <c r="E3803" s="8" t="s">
        <v>17</v>
      </c>
      <c r="F3803" s="9">
        <v>46140.0</v>
      </c>
      <c r="G3803" s="8" t="s">
        <v>220</v>
      </c>
      <c r="H3803" s="8" t="s">
        <v>221</v>
      </c>
      <c r="I3803" s="8" t="s">
        <v>11696</v>
      </c>
      <c r="J3803" s="8" t="s">
        <v>11697</v>
      </c>
    </row>
    <row r="3804">
      <c r="A3804" s="7">
        <v>2.0056501E7</v>
      </c>
      <c r="B3804" s="8" t="s">
        <v>4599</v>
      </c>
      <c r="C3804" s="8" t="s">
        <v>11698</v>
      </c>
      <c r="D3804" s="8" t="s">
        <v>16</v>
      </c>
      <c r="E3804" s="8" t="s">
        <v>17</v>
      </c>
      <c r="F3804" s="9">
        <v>46135.0</v>
      </c>
      <c r="G3804" s="8" t="s">
        <v>1949</v>
      </c>
      <c r="H3804" s="8" t="s">
        <v>1950</v>
      </c>
      <c r="I3804" s="8" t="s">
        <v>11699</v>
      </c>
      <c r="J3804" s="8" t="s">
        <v>11700</v>
      </c>
    </row>
    <row r="3805">
      <c r="A3805" s="7">
        <v>2.0056824E7</v>
      </c>
      <c r="B3805" s="8" t="s">
        <v>4599</v>
      </c>
      <c r="C3805" s="8" t="s">
        <v>11701</v>
      </c>
      <c r="D3805" s="8" t="s">
        <v>16</v>
      </c>
      <c r="E3805" s="8" t="s">
        <v>17</v>
      </c>
      <c r="F3805" s="9">
        <v>46139.0</v>
      </c>
      <c r="G3805" s="8" t="s">
        <v>59</v>
      </c>
      <c r="H3805" s="8" t="s">
        <v>60</v>
      </c>
      <c r="I3805" s="8" t="s">
        <v>11702</v>
      </c>
      <c r="J3805" s="8" t="s">
        <v>11703</v>
      </c>
    </row>
    <row r="3806">
      <c r="A3806" s="7">
        <v>2.0057195E7</v>
      </c>
      <c r="B3806" s="8" t="s">
        <v>4599</v>
      </c>
      <c r="C3806" s="8" t="s">
        <v>11704</v>
      </c>
      <c r="D3806" s="8" t="s">
        <v>16</v>
      </c>
      <c r="E3806" s="8" t="s">
        <v>17</v>
      </c>
      <c r="F3806" s="9">
        <v>46129.0</v>
      </c>
      <c r="G3806" s="8" t="s">
        <v>805</v>
      </c>
      <c r="H3806" s="8" t="s">
        <v>806</v>
      </c>
      <c r="I3806" s="8" t="s">
        <v>11705</v>
      </c>
      <c r="J3806" s="8" t="s">
        <v>11706</v>
      </c>
    </row>
    <row r="3807">
      <c r="A3807" s="7">
        <v>2.0053479E7</v>
      </c>
      <c r="B3807" s="8" t="s">
        <v>4599</v>
      </c>
      <c r="C3807" s="8" t="s">
        <v>11707</v>
      </c>
      <c r="D3807" s="8" t="s">
        <v>16</v>
      </c>
      <c r="E3807" s="8" t="s">
        <v>17</v>
      </c>
      <c r="F3807" s="9">
        <v>46117.0</v>
      </c>
      <c r="G3807" s="8" t="s">
        <v>352</v>
      </c>
      <c r="H3807" s="8" t="s">
        <v>353</v>
      </c>
      <c r="I3807" s="8" t="s">
        <v>11708</v>
      </c>
      <c r="J3807" s="8" t="s">
        <v>11709</v>
      </c>
    </row>
    <row r="3808">
      <c r="A3808" s="7">
        <v>2.0051939E7</v>
      </c>
      <c r="B3808" s="8" t="s">
        <v>4599</v>
      </c>
      <c r="C3808" s="8" t="s">
        <v>11710</v>
      </c>
      <c r="D3808" s="8" t="s">
        <v>16</v>
      </c>
      <c r="E3808" s="8" t="s">
        <v>17</v>
      </c>
      <c r="F3808" s="9">
        <v>46113.0</v>
      </c>
      <c r="G3808" s="8" t="s">
        <v>3572</v>
      </c>
      <c r="H3808" s="8" t="s">
        <v>3573</v>
      </c>
      <c r="I3808" s="8" t="s">
        <v>11711</v>
      </c>
      <c r="J3808" s="8" t="s">
        <v>11712</v>
      </c>
    </row>
    <row r="3809">
      <c r="A3809" s="7">
        <v>2.00512E7</v>
      </c>
      <c r="B3809" s="8" t="s">
        <v>4599</v>
      </c>
      <c r="C3809" s="8" t="s">
        <v>11713</v>
      </c>
      <c r="D3809" s="8" t="s">
        <v>16</v>
      </c>
      <c r="E3809" s="8" t="s">
        <v>17</v>
      </c>
      <c r="F3809" s="9">
        <v>46121.0</v>
      </c>
      <c r="G3809" s="8" t="s">
        <v>1800</v>
      </c>
      <c r="H3809" s="8" t="s">
        <v>1801</v>
      </c>
      <c r="I3809" s="8" t="s">
        <v>11714</v>
      </c>
      <c r="J3809" s="8" t="s">
        <v>11715</v>
      </c>
    </row>
    <row r="3810">
      <c r="A3810" s="7">
        <v>2.0048515E7</v>
      </c>
      <c r="B3810" s="8" t="s">
        <v>4599</v>
      </c>
      <c r="C3810" s="8" t="s">
        <v>11716</v>
      </c>
      <c r="D3810" s="8" t="s">
        <v>16</v>
      </c>
      <c r="E3810" s="8" t="s">
        <v>17</v>
      </c>
      <c r="F3810" s="9">
        <v>46092.0</v>
      </c>
      <c r="G3810" s="8" t="s">
        <v>385</v>
      </c>
      <c r="H3810" s="8" t="s">
        <v>386</v>
      </c>
      <c r="I3810" s="8" t="s">
        <v>11717</v>
      </c>
      <c r="J3810" s="8" t="s">
        <v>11718</v>
      </c>
    </row>
    <row r="3811">
      <c r="A3811" s="7">
        <v>2.0048182E7</v>
      </c>
      <c r="B3811" s="8" t="s">
        <v>4599</v>
      </c>
      <c r="C3811" s="8" t="s">
        <v>11719</v>
      </c>
      <c r="D3811" s="8" t="s">
        <v>16</v>
      </c>
      <c r="E3811" s="8" t="s">
        <v>17</v>
      </c>
      <c r="F3811" s="9">
        <v>46090.0</v>
      </c>
      <c r="G3811" s="8" t="s">
        <v>1949</v>
      </c>
      <c r="H3811" s="8" t="s">
        <v>1950</v>
      </c>
      <c r="I3811" s="8" t="s">
        <v>11720</v>
      </c>
      <c r="J3811" s="8" t="s">
        <v>11721</v>
      </c>
    </row>
    <row r="3812">
      <c r="A3812" s="7">
        <v>2.0047905E7</v>
      </c>
      <c r="B3812" s="8" t="s">
        <v>4599</v>
      </c>
      <c r="C3812" s="8" t="s">
        <v>11722</v>
      </c>
      <c r="D3812" s="8" t="s">
        <v>16</v>
      </c>
      <c r="E3812" s="8" t="s">
        <v>17</v>
      </c>
      <c r="F3812" s="9">
        <v>46103.0</v>
      </c>
      <c r="G3812" s="8" t="s">
        <v>10073</v>
      </c>
      <c r="H3812" s="8" t="s">
        <v>10074</v>
      </c>
      <c r="I3812" s="8" t="s">
        <v>11723</v>
      </c>
      <c r="J3812" s="8" t="s">
        <v>11724</v>
      </c>
    </row>
    <row r="3813">
      <c r="A3813" s="7">
        <v>2.004561E7</v>
      </c>
      <c r="B3813" s="8" t="s">
        <v>4599</v>
      </c>
      <c r="C3813" s="8" t="s">
        <v>11725</v>
      </c>
      <c r="D3813" s="8" t="s">
        <v>16</v>
      </c>
      <c r="E3813" s="8" t="s">
        <v>17</v>
      </c>
      <c r="F3813" s="9">
        <v>46086.0</v>
      </c>
      <c r="G3813" s="8" t="s">
        <v>91</v>
      </c>
      <c r="H3813" s="8" t="s">
        <v>92</v>
      </c>
      <c r="I3813" s="8" t="s">
        <v>11726</v>
      </c>
      <c r="J3813" s="8" t="s">
        <v>11727</v>
      </c>
    </row>
    <row r="3814">
      <c r="A3814" s="7">
        <v>2.004561E7</v>
      </c>
      <c r="B3814" s="8" t="s">
        <v>4599</v>
      </c>
      <c r="C3814" s="8" t="s">
        <v>11725</v>
      </c>
      <c r="D3814" s="8" t="s">
        <v>16</v>
      </c>
      <c r="E3814" s="8" t="s">
        <v>17</v>
      </c>
      <c r="F3814" s="9">
        <v>46086.0</v>
      </c>
      <c r="G3814" s="8" t="s">
        <v>846</v>
      </c>
      <c r="H3814" s="8" t="s">
        <v>847</v>
      </c>
      <c r="I3814" s="8" t="s">
        <v>11728</v>
      </c>
      <c r="J3814" s="8" t="s">
        <v>11729</v>
      </c>
    </row>
    <row r="3815">
      <c r="A3815" s="7">
        <v>2.004561E7</v>
      </c>
      <c r="B3815" s="8" t="s">
        <v>4599</v>
      </c>
      <c r="C3815" s="8" t="s">
        <v>11725</v>
      </c>
      <c r="D3815" s="8" t="s">
        <v>16</v>
      </c>
      <c r="E3815" s="8" t="s">
        <v>17</v>
      </c>
      <c r="F3815" s="9">
        <v>46086.0</v>
      </c>
      <c r="G3815" s="8" t="s">
        <v>91</v>
      </c>
      <c r="H3815" s="8" t="s">
        <v>92</v>
      </c>
      <c r="I3815" s="8" t="s">
        <v>11730</v>
      </c>
      <c r="J3815" s="8" t="s">
        <v>11727</v>
      </c>
    </row>
    <row r="3816">
      <c r="A3816" s="7">
        <v>2.0042618E7</v>
      </c>
      <c r="B3816" s="8" t="s">
        <v>4599</v>
      </c>
      <c r="C3816" s="8" t="s">
        <v>11731</v>
      </c>
      <c r="D3816" s="8" t="s">
        <v>16</v>
      </c>
      <c r="E3816" s="8" t="s">
        <v>17</v>
      </c>
      <c r="F3816" s="9">
        <v>46109.0</v>
      </c>
      <c r="G3816" s="8" t="s">
        <v>4045</v>
      </c>
      <c r="H3816" s="8" t="s">
        <v>4046</v>
      </c>
      <c r="I3816" s="8" t="s">
        <v>11732</v>
      </c>
      <c r="J3816" s="8" t="s">
        <v>11733</v>
      </c>
    </row>
    <row r="3817">
      <c r="A3817" s="7">
        <v>2.0041384E7</v>
      </c>
      <c r="B3817" s="8" t="s">
        <v>4599</v>
      </c>
      <c r="C3817" s="8" t="s">
        <v>11734</v>
      </c>
      <c r="D3817" s="8" t="s">
        <v>2136</v>
      </c>
      <c r="E3817" s="8" t="s">
        <v>17</v>
      </c>
      <c r="F3817" s="9">
        <v>46071.0</v>
      </c>
      <c r="G3817" s="8" t="s">
        <v>195</v>
      </c>
      <c r="H3817" s="8" t="s">
        <v>196</v>
      </c>
      <c r="I3817" s="8" t="s">
        <v>11735</v>
      </c>
      <c r="J3817" s="8" t="s">
        <v>11736</v>
      </c>
    </row>
    <row r="3818">
      <c r="A3818" s="7">
        <v>2.0038363E7</v>
      </c>
      <c r="B3818" s="8" t="s">
        <v>4599</v>
      </c>
      <c r="C3818" s="8" t="s">
        <v>11737</v>
      </c>
      <c r="D3818" s="8" t="s">
        <v>16</v>
      </c>
      <c r="E3818" s="8" t="s">
        <v>17</v>
      </c>
      <c r="F3818" s="9">
        <v>46055.0</v>
      </c>
      <c r="G3818" s="8" t="s">
        <v>400</v>
      </c>
      <c r="H3818" s="8" t="s">
        <v>401</v>
      </c>
      <c r="I3818" s="8" t="s">
        <v>11738</v>
      </c>
      <c r="J3818" s="8" t="s">
        <v>11739</v>
      </c>
    </row>
    <row r="3819">
      <c r="A3819" s="7">
        <v>2.0037102E7</v>
      </c>
      <c r="B3819" s="8" t="s">
        <v>4599</v>
      </c>
      <c r="C3819" s="8" t="s">
        <v>11740</v>
      </c>
      <c r="D3819" s="8" t="s">
        <v>16</v>
      </c>
      <c r="E3819" s="8" t="s">
        <v>17</v>
      </c>
      <c r="F3819" s="9">
        <v>46063.0</v>
      </c>
      <c r="G3819" s="8" t="s">
        <v>374</v>
      </c>
      <c r="H3819" s="8" t="s">
        <v>375</v>
      </c>
      <c r="I3819" s="8" t="s">
        <v>11741</v>
      </c>
      <c r="J3819" s="8" t="s">
        <v>11742</v>
      </c>
    </row>
    <row r="3820">
      <c r="A3820" s="7">
        <v>2.003595E7</v>
      </c>
      <c r="B3820" s="8" t="s">
        <v>4599</v>
      </c>
      <c r="C3820" s="8" t="s">
        <v>11743</v>
      </c>
      <c r="D3820" s="8" t="s">
        <v>16</v>
      </c>
      <c r="E3820" s="8" t="s">
        <v>17</v>
      </c>
      <c r="F3820" s="9">
        <v>46045.0</v>
      </c>
      <c r="G3820" s="8" t="s">
        <v>352</v>
      </c>
      <c r="H3820" s="8" t="s">
        <v>353</v>
      </c>
      <c r="I3820" s="8" t="s">
        <v>11744</v>
      </c>
      <c r="J3820" s="8" t="s">
        <v>11745</v>
      </c>
    </row>
    <row r="3821">
      <c r="A3821" s="7">
        <v>2.0070035E7</v>
      </c>
      <c r="B3821" s="8" t="s">
        <v>4599</v>
      </c>
      <c r="C3821" s="8" t="s">
        <v>11746</v>
      </c>
      <c r="D3821" s="8" t="s">
        <v>2136</v>
      </c>
      <c r="E3821" s="8" t="s">
        <v>17</v>
      </c>
      <c r="F3821" s="9">
        <v>46181.0</v>
      </c>
      <c r="G3821" s="8" t="s">
        <v>29</v>
      </c>
      <c r="H3821" s="8" t="s">
        <v>30</v>
      </c>
      <c r="I3821" s="8" t="s">
        <v>11747</v>
      </c>
      <c r="J3821" s="8" t="s">
        <v>11748</v>
      </c>
    </row>
    <row r="3822">
      <c r="A3822" s="7">
        <v>2.0066236E7</v>
      </c>
      <c r="B3822" s="8" t="s">
        <v>4599</v>
      </c>
      <c r="C3822" s="8" t="s">
        <v>11749</v>
      </c>
      <c r="D3822" s="8" t="s">
        <v>16</v>
      </c>
      <c r="E3822" s="8" t="s">
        <v>17</v>
      </c>
      <c r="F3822" s="9">
        <v>46169.0</v>
      </c>
      <c r="G3822" s="8" t="s">
        <v>4850</v>
      </c>
      <c r="H3822" s="8" t="s">
        <v>4851</v>
      </c>
      <c r="I3822" s="8" t="s">
        <v>11750</v>
      </c>
      <c r="J3822" s="8" t="s">
        <v>11751</v>
      </c>
    </row>
    <row r="3823">
      <c r="A3823" s="7">
        <v>2.0066236E7</v>
      </c>
      <c r="B3823" s="8" t="s">
        <v>4599</v>
      </c>
      <c r="C3823" s="8" t="s">
        <v>11749</v>
      </c>
      <c r="D3823" s="8" t="s">
        <v>16</v>
      </c>
      <c r="E3823" s="8" t="s">
        <v>17</v>
      </c>
      <c r="F3823" s="9">
        <v>46169.0</v>
      </c>
      <c r="G3823" s="8" t="s">
        <v>2511</v>
      </c>
      <c r="H3823" s="8" t="s">
        <v>2512</v>
      </c>
      <c r="I3823" s="8" t="s">
        <v>11752</v>
      </c>
      <c r="J3823" s="8" t="s">
        <v>11753</v>
      </c>
    </row>
    <row r="3824">
      <c r="A3824" s="7">
        <v>2.0064001E7</v>
      </c>
      <c r="B3824" s="8" t="s">
        <v>4599</v>
      </c>
      <c r="C3824" s="8" t="s">
        <v>11754</v>
      </c>
      <c r="D3824" s="8" t="s">
        <v>16</v>
      </c>
      <c r="E3824" s="8" t="s">
        <v>17</v>
      </c>
      <c r="F3824" s="9">
        <v>46185.0</v>
      </c>
      <c r="G3824" s="8" t="s">
        <v>9982</v>
      </c>
      <c r="H3824" s="8" t="s">
        <v>9983</v>
      </c>
      <c r="I3824" s="8" t="s">
        <v>11755</v>
      </c>
      <c r="J3824" s="8" t="s">
        <v>11756</v>
      </c>
    </row>
    <row r="3825">
      <c r="A3825" s="7">
        <v>2.0063941E7</v>
      </c>
      <c r="B3825" s="8" t="s">
        <v>4599</v>
      </c>
      <c r="C3825" s="8" t="s">
        <v>11757</v>
      </c>
      <c r="D3825" s="8" t="s">
        <v>16</v>
      </c>
      <c r="E3825" s="8" t="s">
        <v>17</v>
      </c>
      <c r="F3825" s="9">
        <v>46182.0</v>
      </c>
      <c r="G3825" s="8" t="s">
        <v>1085</v>
      </c>
      <c r="H3825" s="8" t="s">
        <v>1086</v>
      </c>
      <c r="I3825" s="8" t="s">
        <v>11758</v>
      </c>
      <c r="J3825" s="8" t="s">
        <v>11759</v>
      </c>
    </row>
    <row r="3826">
      <c r="A3826" s="7">
        <v>2.0061192E7</v>
      </c>
      <c r="B3826" s="8" t="s">
        <v>4599</v>
      </c>
      <c r="C3826" s="8" t="s">
        <v>11760</v>
      </c>
      <c r="D3826" s="8" t="s">
        <v>16</v>
      </c>
      <c r="E3826" s="8" t="s">
        <v>17</v>
      </c>
      <c r="F3826" s="9">
        <v>46145.0</v>
      </c>
      <c r="G3826" s="8" t="s">
        <v>3255</v>
      </c>
      <c r="H3826" s="8" t="s">
        <v>3256</v>
      </c>
      <c r="I3826" s="8" t="s">
        <v>11761</v>
      </c>
      <c r="J3826" s="8" t="s">
        <v>11762</v>
      </c>
    </row>
    <row r="3827">
      <c r="A3827" s="7">
        <v>2.0060621E7</v>
      </c>
      <c r="B3827" s="8" t="s">
        <v>4599</v>
      </c>
      <c r="C3827" s="8" t="s">
        <v>11763</v>
      </c>
      <c r="D3827" s="8" t="s">
        <v>16</v>
      </c>
      <c r="E3827" s="8" t="s">
        <v>17</v>
      </c>
      <c r="F3827" s="9">
        <v>46143.0</v>
      </c>
      <c r="G3827" s="8" t="s">
        <v>153</v>
      </c>
      <c r="H3827" s="8" t="s">
        <v>154</v>
      </c>
      <c r="I3827" s="8" t="s">
        <v>11764</v>
      </c>
      <c r="J3827" s="8" t="s">
        <v>11765</v>
      </c>
    </row>
    <row r="3828">
      <c r="A3828" s="7">
        <v>2.0059218E7</v>
      </c>
      <c r="B3828" s="8" t="s">
        <v>4599</v>
      </c>
      <c r="C3828" s="8" t="s">
        <v>11766</v>
      </c>
      <c r="D3828" s="8" t="s">
        <v>16</v>
      </c>
      <c r="E3828" s="8" t="s">
        <v>17</v>
      </c>
      <c r="F3828" s="9">
        <v>46183.0</v>
      </c>
      <c r="G3828" s="8" t="s">
        <v>297</v>
      </c>
      <c r="H3828" s="8" t="s">
        <v>298</v>
      </c>
      <c r="I3828" s="8" t="s">
        <v>11767</v>
      </c>
      <c r="J3828" s="8" t="s">
        <v>11768</v>
      </c>
    </row>
    <row r="3829">
      <c r="A3829" s="7">
        <v>2.0059987E7</v>
      </c>
      <c r="B3829" s="8" t="s">
        <v>4599</v>
      </c>
      <c r="C3829" s="8" t="s">
        <v>11769</v>
      </c>
      <c r="D3829" s="8" t="s">
        <v>16</v>
      </c>
      <c r="E3829" s="8" t="s">
        <v>17</v>
      </c>
      <c r="F3829" s="9">
        <v>46140.0</v>
      </c>
      <c r="G3829" s="8" t="s">
        <v>339</v>
      </c>
      <c r="H3829" s="8" t="s">
        <v>340</v>
      </c>
      <c r="I3829" s="8" t="s">
        <v>11770</v>
      </c>
      <c r="J3829" s="8" t="s">
        <v>11771</v>
      </c>
    </row>
    <row r="3830">
      <c r="A3830" s="7">
        <v>2.0059051E7</v>
      </c>
      <c r="B3830" s="8" t="s">
        <v>4599</v>
      </c>
      <c r="C3830" s="8" t="s">
        <v>11772</v>
      </c>
      <c r="D3830" s="8" t="s">
        <v>16</v>
      </c>
      <c r="E3830" s="8" t="s">
        <v>17</v>
      </c>
      <c r="F3830" s="9">
        <v>46178.0</v>
      </c>
      <c r="G3830" s="8" t="s">
        <v>1754</v>
      </c>
      <c r="H3830" s="8" t="s">
        <v>1755</v>
      </c>
      <c r="I3830" s="8" t="s">
        <v>11773</v>
      </c>
      <c r="J3830" s="8" t="s">
        <v>11774</v>
      </c>
    </row>
    <row r="3831">
      <c r="A3831" s="7">
        <v>2.0058485E7</v>
      </c>
      <c r="B3831" s="8" t="s">
        <v>4599</v>
      </c>
      <c r="C3831" s="8" t="s">
        <v>11775</v>
      </c>
      <c r="D3831" s="8" t="s">
        <v>16</v>
      </c>
      <c r="E3831" s="8" t="s">
        <v>17</v>
      </c>
      <c r="F3831" s="9">
        <v>46134.0</v>
      </c>
      <c r="G3831" s="8" t="s">
        <v>339</v>
      </c>
      <c r="H3831" s="8" t="s">
        <v>340</v>
      </c>
      <c r="I3831" s="8" t="s">
        <v>11776</v>
      </c>
      <c r="J3831" s="8" t="s">
        <v>11777</v>
      </c>
    </row>
    <row r="3832">
      <c r="A3832" s="7">
        <v>2.00564E7</v>
      </c>
      <c r="B3832" s="8" t="s">
        <v>4599</v>
      </c>
      <c r="C3832" s="8" t="s">
        <v>11778</v>
      </c>
      <c r="D3832" s="8" t="s">
        <v>16</v>
      </c>
      <c r="E3832" s="8" t="s">
        <v>17</v>
      </c>
      <c r="F3832" s="9">
        <v>46127.0</v>
      </c>
      <c r="G3832" s="8" t="s">
        <v>365</v>
      </c>
      <c r="H3832" s="8" t="s">
        <v>366</v>
      </c>
      <c r="I3832" s="8" t="s">
        <v>11779</v>
      </c>
      <c r="J3832" s="8" t="s">
        <v>11780</v>
      </c>
    </row>
    <row r="3833">
      <c r="A3833" s="7">
        <v>2.005469E7</v>
      </c>
      <c r="B3833" s="8" t="s">
        <v>4599</v>
      </c>
      <c r="C3833" s="8" t="s">
        <v>11781</v>
      </c>
      <c r="D3833" s="8" t="s">
        <v>16</v>
      </c>
      <c r="E3833" s="8" t="s">
        <v>17</v>
      </c>
      <c r="F3833" s="9">
        <v>46140.0</v>
      </c>
      <c r="G3833" s="8" t="s">
        <v>25</v>
      </c>
      <c r="H3833" s="8" t="s">
        <v>26</v>
      </c>
      <c r="I3833" s="8" t="s">
        <v>11782</v>
      </c>
      <c r="J3833" s="8"/>
    </row>
    <row r="3834">
      <c r="A3834" s="7">
        <v>2.0051232E7</v>
      </c>
      <c r="B3834" s="8" t="s">
        <v>4599</v>
      </c>
      <c r="C3834" s="8" t="s">
        <v>11783</v>
      </c>
      <c r="D3834" s="8" t="s">
        <v>16</v>
      </c>
      <c r="E3834" s="8" t="s">
        <v>17</v>
      </c>
      <c r="F3834" s="9">
        <v>46111.0</v>
      </c>
      <c r="G3834" s="8" t="s">
        <v>826</v>
      </c>
      <c r="H3834" s="8" t="s">
        <v>827</v>
      </c>
      <c r="I3834" s="8" t="s">
        <v>11784</v>
      </c>
      <c r="J3834" s="8" t="s">
        <v>11785</v>
      </c>
    </row>
    <row r="3835">
      <c r="A3835" s="7">
        <v>2.0050167E7</v>
      </c>
      <c r="B3835" s="8" t="s">
        <v>4599</v>
      </c>
      <c r="C3835" s="8" t="s">
        <v>11786</v>
      </c>
      <c r="D3835" s="8" t="s">
        <v>16</v>
      </c>
      <c r="E3835" s="8" t="s">
        <v>17</v>
      </c>
      <c r="F3835" s="9">
        <v>46101.0</v>
      </c>
      <c r="G3835" s="8" t="s">
        <v>34</v>
      </c>
      <c r="H3835" s="8" t="s">
        <v>35</v>
      </c>
      <c r="I3835" s="8" t="s">
        <v>11787</v>
      </c>
      <c r="J3835" s="8" t="s">
        <v>11788</v>
      </c>
    </row>
    <row r="3836">
      <c r="A3836" s="7">
        <v>2.0049912E7</v>
      </c>
      <c r="B3836" s="8" t="s">
        <v>4599</v>
      </c>
      <c r="C3836" s="8" t="s">
        <v>11789</v>
      </c>
      <c r="D3836" s="8" t="s">
        <v>16</v>
      </c>
      <c r="E3836" s="8" t="s">
        <v>17</v>
      </c>
      <c r="F3836" s="9">
        <v>46097.0</v>
      </c>
      <c r="G3836" s="8" t="s">
        <v>247</v>
      </c>
      <c r="H3836" s="8" t="s">
        <v>248</v>
      </c>
      <c r="I3836" s="8" t="s">
        <v>11790</v>
      </c>
      <c r="J3836" s="8" t="s">
        <v>11791</v>
      </c>
    </row>
    <row r="3837">
      <c r="A3837" s="7">
        <v>2.004885E7</v>
      </c>
      <c r="B3837" s="8" t="s">
        <v>4599</v>
      </c>
      <c r="C3837" s="8" t="s">
        <v>11792</v>
      </c>
      <c r="D3837" s="8" t="s">
        <v>16</v>
      </c>
      <c r="E3837" s="8" t="s">
        <v>17</v>
      </c>
      <c r="F3837" s="9">
        <v>46100.0</v>
      </c>
      <c r="G3837" s="8" t="s">
        <v>59</v>
      </c>
      <c r="H3837" s="8" t="s">
        <v>60</v>
      </c>
      <c r="I3837" s="8" t="s">
        <v>11793</v>
      </c>
      <c r="J3837" s="8" t="s">
        <v>11794</v>
      </c>
    </row>
    <row r="3838">
      <c r="A3838" s="7">
        <v>2.0048421E7</v>
      </c>
      <c r="B3838" s="8" t="s">
        <v>4599</v>
      </c>
      <c r="C3838" s="8" t="s">
        <v>11795</v>
      </c>
      <c r="D3838" s="8" t="s">
        <v>16</v>
      </c>
      <c r="E3838" s="8" t="s">
        <v>17</v>
      </c>
      <c r="F3838" s="9">
        <v>46097.0</v>
      </c>
      <c r="G3838" s="8" t="s">
        <v>826</v>
      </c>
      <c r="H3838" s="8" t="s">
        <v>827</v>
      </c>
      <c r="I3838" s="8" t="s">
        <v>11796</v>
      </c>
      <c r="J3838" s="8" t="s">
        <v>11797</v>
      </c>
    </row>
    <row r="3839">
      <c r="A3839" s="7">
        <v>2.0047903E7</v>
      </c>
      <c r="B3839" s="8" t="s">
        <v>4599</v>
      </c>
      <c r="C3839" s="8" t="s">
        <v>11798</v>
      </c>
      <c r="D3839" s="8" t="s">
        <v>16</v>
      </c>
      <c r="E3839" s="8" t="s">
        <v>17</v>
      </c>
      <c r="F3839" s="9">
        <v>46088.0</v>
      </c>
      <c r="G3839" s="8" t="s">
        <v>339</v>
      </c>
      <c r="H3839" s="8" t="s">
        <v>340</v>
      </c>
      <c r="I3839" s="8" t="s">
        <v>11799</v>
      </c>
      <c r="J3839" s="8" t="s">
        <v>11800</v>
      </c>
    </row>
    <row r="3840">
      <c r="A3840" s="7">
        <v>2.0045247E7</v>
      </c>
      <c r="B3840" s="8" t="s">
        <v>4599</v>
      </c>
      <c r="C3840" s="8" t="s">
        <v>11801</v>
      </c>
      <c r="D3840" s="8" t="s">
        <v>16</v>
      </c>
      <c r="E3840" s="8" t="s">
        <v>17</v>
      </c>
      <c r="F3840" s="9">
        <v>46083.0</v>
      </c>
      <c r="G3840" s="8" t="s">
        <v>153</v>
      </c>
      <c r="H3840" s="8" t="s">
        <v>154</v>
      </c>
      <c r="I3840" s="8" t="s">
        <v>11802</v>
      </c>
      <c r="J3840" s="8" t="s">
        <v>11803</v>
      </c>
    </row>
    <row r="3841">
      <c r="A3841" s="7">
        <v>2.0040644E7</v>
      </c>
      <c r="B3841" s="8" t="s">
        <v>4599</v>
      </c>
      <c r="C3841" s="8" t="s">
        <v>11804</v>
      </c>
      <c r="D3841" s="8" t="s">
        <v>16</v>
      </c>
      <c r="E3841" s="8" t="s">
        <v>17</v>
      </c>
      <c r="F3841" s="9">
        <v>46102.0</v>
      </c>
      <c r="G3841" s="8" t="s">
        <v>7945</v>
      </c>
      <c r="H3841" s="8" t="s">
        <v>7946</v>
      </c>
      <c r="I3841" s="8" t="s">
        <v>11805</v>
      </c>
      <c r="J3841" s="8" t="s">
        <v>11806</v>
      </c>
    </row>
    <row r="3842">
      <c r="A3842" s="7">
        <v>2.0045565E7</v>
      </c>
      <c r="B3842" s="8" t="s">
        <v>4599</v>
      </c>
      <c r="C3842" s="8" t="s">
        <v>11807</v>
      </c>
      <c r="D3842" s="8" t="s">
        <v>16</v>
      </c>
      <c r="E3842" s="8" t="s">
        <v>17</v>
      </c>
      <c r="F3842" s="9">
        <v>46079.0</v>
      </c>
      <c r="G3842" s="8" t="s">
        <v>247</v>
      </c>
      <c r="H3842" s="8" t="s">
        <v>248</v>
      </c>
      <c r="I3842" s="8" t="s">
        <v>11808</v>
      </c>
      <c r="J3842" s="8" t="s">
        <v>11809</v>
      </c>
    </row>
    <row r="3843">
      <c r="A3843" s="7">
        <v>2.0043441E7</v>
      </c>
      <c r="B3843" s="8" t="s">
        <v>4599</v>
      </c>
      <c r="C3843" s="8" t="s">
        <v>11810</v>
      </c>
      <c r="D3843" s="8" t="s">
        <v>16</v>
      </c>
      <c r="E3843" s="8" t="s">
        <v>17</v>
      </c>
      <c r="F3843" s="9">
        <v>46071.0</v>
      </c>
      <c r="G3843" s="8" t="s">
        <v>339</v>
      </c>
      <c r="H3843" s="8" t="s">
        <v>340</v>
      </c>
      <c r="I3843" s="8" t="s">
        <v>11811</v>
      </c>
      <c r="J3843" s="8" t="s">
        <v>11812</v>
      </c>
    </row>
    <row r="3844">
      <c r="A3844" s="7">
        <v>2.0042664E7</v>
      </c>
      <c r="B3844" s="8" t="s">
        <v>4599</v>
      </c>
      <c r="C3844" s="8" t="s">
        <v>11813</v>
      </c>
      <c r="D3844" s="8" t="s">
        <v>16</v>
      </c>
      <c r="E3844" s="8" t="s">
        <v>17</v>
      </c>
      <c r="F3844" s="9">
        <v>46069.0</v>
      </c>
      <c r="G3844" s="8" t="s">
        <v>29</v>
      </c>
      <c r="H3844" s="8" t="s">
        <v>30</v>
      </c>
      <c r="I3844" s="8" t="s">
        <v>11814</v>
      </c>
      <c r="J3844" s="8" t="s">
        <v>11815</v>
      </c>
    </row>
    <row r="3845">
      <c r="A3845" s="7">
        <v>2.0040942E7</v>
      </c>
      <c r="B3845" s="8" t="s">
        <v>4599</v>
      </c>
      <c r="C3845" s="8" t="s">
        <v>11816</v>
      </c>
      <c r="D3845" s="8" t="s">
        <v>16</v>
      </c>
      <c r="E3845" s="8" t="s">
        <v>17</v>
      </c>
      <c r="F3845" s="9">
        <v>46078.0</v>
      </c>
      <c r="G3845" s="8" t="s">
        <v>822</v>
      </c>
      <c r="H3845" s="8" t="s">
        <v>120</v>
      </c>
      <c r="I3845" s="8" t="s">
        <v>11817</v>
      </c>
      <c r="J3845" s="8" t="s">
        <v>11818</v>
      </c>
    </row>
    <row r="3846">
      <c r="A3846" s="7">
        <v>2.0040942E7</v>
      </c>
      <c r="B3846" s="8" t="s">
        <v>4599</v>
      </c>
      <c r="C3846" s="8" t="s">
        <v>11816</v>
      </c>
      <c r="D3846" s="8" t="s">
        <v>16</v>
      </c>
      <c r="E3846" s="8" t="s">
        <v>17</v>
      </c>
      <c r="F3846" s="9">
        <v>46078.0</v>
      </c>
      <c r="G3846" s="8" t="s">
        <v>3093</v>
      </c>
      <c r="H3846" s="8" t="s">
        <v>3094</v>
      </c>
      <c r="I3846" s="8" t="s">
        <v>11819</v>
      </c>
      <c r="J3846" s="8" t="s">
        <v>11820</v>
      </c>
    </row>
    <row r="3847">
      <c r="A3847" s="7">
        <v>2.003786E7</v>
      </c>
      <c r="B3847" s="8" t="s">
        <v>4599</v>
      </c>
      <c r="C3847" s="8" t="s">
        <v>11821</v>
      </c>
      <c r="D3847" s="8" t="s">
        <v>16</v>
      </c>
      <c r="E3847" s="8" t="s">
        <v>17</v>
      </c>
      <c r="F3847" s="9">
        <v>46053.0</v>
      </c>
      <c r="G3847" s="8" t="s">
        <v>846</v>
      </c>
      <c r="H3847" s="8" t="s">
        <v>847</v>
      </c>
      <c r="I3847" s="8" t="s">
        <v>11822</v>
      </c>
      <c r="J3847" s="8" t="s">
        <v>11823</v>
      </c>
    </row>
    <row r="3848">
      <c r="A3848" s="7">
        <v>2.0036997E7</v>
      </c>
      <c r="B3848" s="8" t="s">
        <v>4599</v>
      </c>
      <c r="C3848" s="8" t="s">
        <v>11824</v>
      </c>
      <c r="D3848" s="8" t="s">
        <v>16</v>
      </c>
      <c r="E3848" s="8" t="s">
        <v>17</v>
      </c>
      <c r="F3848" s="9">
        <v>46062.0</v>
      </c>
      <c r="G3848" s="8" t="s">
        <v>994</v>
      </c>
      <c r="H3848" s="8" t="s">
        <v>995</v>
      </c>
      <c r="I3848" s="8" t="s">
        <v>11825</v>
      </c>
      <c r="J3848" s="8" t="s">
        <v>11826</v>
      </c>
    </row>
    <row r="3849">
      <c r="A3849" s="7">
        <v>2.0037347E7</v>
      </c>
      <c r="B3849" s="8" t="s">
        <v>4599</v>
      </c>
      <c r="C3849" s="8" t="s">
        <v>11827</v>
      </c>
      <c r="D3849" s="8" t="s">
        <v>16</v>
      </c>
      <c r="E3849" s="8" t="s">
        <v>17</v>
      </c>
      <c r="F3849" s="9">
        <v>46068.0</v>
      </c>
      <c r="G3849" s="8" t="s">
        <v>290</v>
      </c>
      <c r="H3849" s="8" t="s">
        <v>291</v>
      </c>
      <c r="I3849" s="8" t="s">
        <v>11828</v>
      </c>
      <c r="J3849" s="8"/>
    </row>
    <row r="3850">
      <c r="A3850" s="7">
        <v>2.0033281E7</v>
      </c>
      <c r="B3850" s="8" t="s">
        <v>4599</v>
      </c>
      <c r="C3850" s="8" t="s">
        <v>11829</v>
      </c>
      <c r="D3850" s="8" t="s">
        <v>16</v>
      </c>
      <c r="E3850" s="8" t="s">
        <v>17</v>
      </c>
      <c r="F3850" s="9">
        <v>46057.0</v>
      </c>
      <c r="G3850" s="8" t="s">
        <v>374</v>
      </c>
      <c r="H3850" s="8" t="s">
        <v>375</v>
      </c>
      <c r="I3850" s="8" t="s">
        <v>11830</v>
      </c>
      <c r="J3850" s="8" t="s">
        <v>11831</v>
      </c>
    </row>
    <row r="3851">
      <c r="A3851" s="7">
        <v>2.0033396E7</v>
      </c>
      <c r="B3851" s="8" t="s">
        <v>4599</v>
      </c>
      <c r="C3851" s="8" t="s">
        <v>11832</v>
      </c>
      <c r="D3851" s="8" t="s">
        <v>16</v>
      </c>
      <c r="E3851" s="8" t="s">
        <v>17</v>
      </c>
      <c r="F3851" s="9">
        <v>46042.0</v>
      </c>
      <c r="G3851" s="8" t="s">
        <v>75</v>
      </c>
      <c r="H3851" s="8" t="s">
        <v>76</v>
      </c>
      <c r="I3851" s="8" t="s">
        <v>11833</v>
      </c>
      <c r="J3851" s="8" t="s">
        <v>11834</v>
      </c>
    </row>
    <row r="3852">
      <c r="A3852" s="7">
        <v>2.0072812E7</v>
      </c>
      <c r="B3852" s="8" t="s">
        <v>4599</v>
      </c>
      <c r="C3852" s="8" t="s">
        <v>11835</v>
      </c>
      <c r="D3852" s="8" t="s">
        <v>2136</v>
      </c>
      <c r="E3852" s="8" t="s">
        <v>17</v>
      </c>
      <c r="F3852" s="9">
        <v>46192.0</v>
      </c>
      <c r="G3852" s="8" t="s">
        <v>59</v>
      </c>
      <c r="H3852" s="8" t="s">
        <v>60</v>
      </c>
      <c r="I3852" s="8" t="s">
        <v>11836</v>
      </c>
      <c r="J3852" s="8" t="s">
        <v>11837</v>
      </c>
    </row>
    <row r="3853">
      <c r="A3853" s="7">
        <v>2.0066277E7</v>
      </c>
      <c r="B3853" s="8" t="s">
        <v>4599</v>
      </c>
      <c r="C3853" s="8" t="s">
        <v>11838</v>
      </c>
      <c r="D3853" s="8" t="s">
        <v>16</v>
      </c>
      <c r="E3853" s="8" t="s">
        <v>17</v>
      </c>
      <c r="F3853" s="9">
        <v>46191.0</v>
      </c>
      <c r="G3853" s="8" t="s">
        <v>11839</v>
      </c>
      <c r="H3853" s="8" t="s">
        <v>11840</v>
      </c>
      <c r="I3853" s="8" t="s">
        <v>11841</v>
      </c>
      <c r="J3853" s="8" t="s">
        <v>11842</v>
      </c>
    </row>
    <row r="3854">
      <c r="A3854" s="7">
        <v>2.0063639E7</v>
      </c>
      <c r="B3854" s="8" t="s">
        <v>4599</v>
      </c>
      <c r="C3854" s="8" t="s">
        <v>11843</v>
      </c>
      <c r="D3854" s="8" t="s">
        <v>16</v>
      </c>
      <c r="E3854" s="8" t="s">
        <v>17</v>
      </c>
      <c r="F3854" s="9">
        <v>46182.0</v>
      </c>
      <c r="G3854" s="8" t="s">
        <v>11844</v>
      </c>
      <c r="H3854" s="8" t="s">
        <v>11845</v>
      </c>
      <c r="I3854" s="8" t="s">
        <v>11846</v>
      </c>
      <c r="J3854" s="8"/>
    </row>
    <row r="3855">
      <c r="A3855" s="7">
        <v>2.0062399E7</v>
      </c>
      <c r="B3855" s="8" t="s">
        <v>4599</v>
      </c>
      <c r="C3855" s="8" t="s">
        <v>11847</v>
      </c>
      <c r="D3855" s="8" t="s">
        <v>2136</v>
      </c>
      <c r="E3855" s="8" t="s">
        <v>17</v>
      </c>
      <c r="F3855" s="9">
        <v>46150.0</v>
      </c>
      <c r="G3855" s="8" t="s">
        <v>59</v>
      </c>
      <c r="H3855" s="8" t="s">
        <v>60</v>
      </c>
      <c r="I3855" s="8" t="s">
        <v>11848</v>
      </c>
      <c r="J3855" s="8" t="s">
        <v>11849</v>
      </c>
    </row>
    <row r="3856">
      <c r="A3856" s="7">
        <v>2.0060164E7</v>
      </c>
      <c r="B3856" s="8" t="s">
        <v>4599</v>
      </c>
      <c r="C3856" s="8" t="s">
        <v>11850</v>
      </c>
      <c r="D3856" s="8" t="s">
        <v>16</v>
      </c>
      <c r="E3856" s="8" t="s">
        <v>17</v>
      </c>
      <c r="F3856" s="9">
        <v>46153.0</v>
      </c>
      <c r="G3856" s="8" t="s">
        <v>5046</v>
      </c>
      <c r="H3856" s="8" t="s">
        <v>5047</v>
      </c>
      <c r="I3856" s="8" t="s">
        <v>11851</v>
      </c>
      <c r="J3856" s="8" t="s">
        <v>11852</v>
      </c>
    </row>
    <row r="3857">
      <c r="A3857" s="7">
        <v>2.0060164E7</v>
      </c>
      <c r="B3857" s="8" t="s">
        <v>4599</v>
      </c>
      <c r="C3857" s="8" t="s">
        <v>11850</v>
      </c>
      <c r="D3857" s="8" t="s">
        <v>16</v>
      </c>
      <c r="E3857" s="8" t="s">
        <v>17</v>
      </c>
      <c r="F3857" s="9">
        <v>46153.0</v>
      </c>
      <c r="G3857" s="8" t="s">
        <v>34</v>
      </c>
      <c r="H3857" s="8" t="s">
        <v>35</v>
      </c>
      <c r="I3857" s="8" t="s">
        <v>11853</v>
      </c>
      <c r="J3857" s="8" t="s">
        <v>11854</v>
      </c>
    </row>
    <row r="3858">
      <c r="A3858" s="7">
        <v>2.0061261E7</v>
      </c>
      <c r="B3858" s="8" t="s">
        <v>4599</v>
      </c>
      <c r="C3858" s="8" t="s">
        <v>11855</v>
      </c>
      <c r="D3858" s="8" t="s">
        <v>16</v>
      </c>
      <c r="E3858" s="8" t="s">
        <v>17</v>
      </c>
      <c r="F3858" s="9">
        <v>46149.0</v>
      </c>
      <c r="G3858" s="8" t="s">
        <v>59</v>
      </c>
      <c r="H3858" s="8" t="s">
        <v>60</v>
      </c>
      <c r="I3858" s="8" t="s">
        <v>11856</v>
      </c>
      <c r="J3858" s="8" t="s">
        <v>11857</v>
      </c>
    </row>
    <row r="3859">
      <c r="A3859" s="7">
        <v>2.0059436E7</v>
      </c>
      <c r="B3859" s="8" t="s">
        <v>4599</v>
      </c>
      <c r="C3859" s="8" t="s">
        <v>11858</v>
      </c>
      <c r="D3859" s="8" t="s">
        <v>16</v>
      </c>
      <c r="E3859" s="8" t="s">
        <v>17</v>
      </c>
      <c r="F3859" s="9">
        <v>46143.0</v>
      </c>
      <c r="G3859" s="8" t="s">
        <v>59</v>
      </c>
      <c r="H3859" s="8" t="s">
        <v>60</v>
      </c>
      <c r="I3859" s="8" t="s">
        <v>11859</v>
      </c>
      <c r="J3859" s="8" t="s">
        <v>11860</v>
      </c>
    </row>
    <row r="3860">
      <c r="A3860" s="7">
        <v>2.0053491E7</v>
      </c>
      <c r="B3860" s="8" t="s">
        <v>4599</v>
      </c>
      <c r="C3860" s="8" t="s">
        <v>11861</v>
      </c>
      <c r="D3860" s="8" t="s">
        <v>16</v>
      </c>
      <c r="E3860" s="8" t="s">
        <v>17</v>
      </c>
      <c r="F3860" s="9">
        <v>46132.0</v>
      </c>
      <c r="G3860" s="8" t="s">
        <v>314</v>
      </c>
      <c r="H3860" s="8" t="s">
        <v>315</v>
      </c>
      <c r="I3860" s="8" t="s">
        <v>447</v>
      </c>
      <c r="J3860" s="8" t="s">
        <v>11862</v>
      </c>
    </row>
    <row r="3861">
      <c r="A3861" s="7">
        <v>2.0053059E7</v>
      </c>
      <c r="B3861" s="8" t="s">
        <v>4599</v>
      </c>
      <c r="C3861" s="8" t="s">
        <v>11863</v>
      </c>
      <c r="D3861" s="8" t="s">
        <v>16</v>
      </c>
      <c r="E3861" s="8" t="s">
        <v>17</v>
      </c>
      <c r="F3861" s="9">
        <v>46112.0</v>
      </c>
      <c r="G3861" s="8" t="s">
        <v>59</v>
      </c>
      <c r="H3861" s="8" t="s">
        <v>60</v>
      </c>
      <c r="I3861" s="8" t="s">
        <v>11864</v>
      </c>
      <c r="J3861" s="8" t="s">
        <v>11865</v>
      </c>
    </row>
    <row r="3862">
      <c r="A3862" s="7">
        <v>2.0052381E7</v>
      </c>
      <c r="B3862" s="8" t="s">
        <v>4599</v>
      </c>
      <c r="C3862" s="8" t="s">
        <v>11866</v>
      </c>
      <c r="D3862" s="8" t="s">
        <v>16</v>
      </c>
      <c r="E3862" s="8" t="s">
        <v>17</v>
      </c>
      <c r="F3862" s="9">
        <v>46107.0</v>
      </c>
      <c r="G3862" s="8" t="s">
        <v>59</v>
      </c>
      <c r="H3862" s="8" t="s">
        <v>60</v>
      </c>
      <c r="I3862" s="8" t="s">
        <v>11867</v>
      </c>
      <c r="J3862" s="8" t="s">
        <v>11868</v>
      </c>
    </row>
    <row r="3863">
      <c r="A3863" s="7">
        <v>2.0049501E7</v>
      </c>
      <c r="B3863" s="8" t="s">
        <v>4599</v>
      </c>
      <c r="C3863" s="8" t="s">
        <v>11869</v>
      </c>
      <c r="D3863" s="8" t="s">
        <v>16</v>
      </c>
      <c r="E3863" s="8" t="s">
        <v>17</v>
      </c>
      <c r="F3863" s="9">
        <v>46094.0</v>
      </c>
      <c r="G3863" s="8" t="s">
        <v>29</v>
      </c>
      <c r="H3863" s="8" t="s">
        <v>30</v>
      </c>
      <c r="I3863" s="8" t="s">
        <v>11870</v>
      </c>
      <c r="J3863" s="8" t="s">
        <v>11871</v>
      </c>
    </row>
    <row r="3864">
      <c r="A3864" s="7">
        <v>2.0047104E7</v>
      </c>
      <c r="B3864" s="8" t="s">
        <v>4599</v>
      </c>
      <c r="C3864" s="8" t="s">
        <v>11872</v>
      </c>
      <c r="D3864" s="8" t="s">
        <v>16</v>
      </c>
      <c r="E3864" s="8" t="s">
        <v>17</v>
      </c>
      <c r="F3864" s="9">
        <v>46124.0</v>
      </c>
      <c r="G3864" s="8" t="s">
        <v>11873</v>
      </c>
      <c r="H3864" s="8" t="s">
        <v>11874</v>
      </c>
      <c r="I3864" s="8" t="s">
        <v>11875</v>
      </c>
      <c r="J3864" s="8" t="s">
        <v>11876</v>
      </c>
    </row>
    <row r="3865">
      <c r="A3865" s="7">
        <v>2.0047104E7</v>
      </c>
      <c r="B3865" s="8" t="s">
        <v>4599</v>
      </c>
      <c r="C3865" s="8" t="s">
        <v>11872</v>
      </c>
      <c r="D3865" s="8" t="s">
        <v>16</v>
      </c>
      <c r="E3865" s="8" t="s">
        <v>17</v>
      </c>
      <c r="F3865" s="9">
        <v>46124.0</v>
      </c>
      <c r="G3865" s="8" t="s">
        <v>11877</v>
      </c>
      <c r="H3865" s="8" t="s">
        <v>11878</v>
      </c>
      <c r="I3865" s="8" t="s">
        <v>11879</v>
      </c>
      <c r="J3865" s="8" t="s">
        <v>11880</v>
      </c>
    </row>
    <row r="3866">
      <c r="A3866" s="7">
        <v>2.0048094E7</v>
      </c>
      <c r="B3866" s="8" t="s">
        <v>4599</v>
      </c>
      <c r="C3866" s="8" t="s">
        <v>11881</v>
      </c>
      <c r="D3866" s="8" t="s">
        <v>16</v>
      </c>
      <c r="E3866" s="8" t="s">
        <v>17</v>
      </c>
      <c r="F3866" s="9">
        <v>46089.0</v>
      </c>
      <c r="G3866" s="8" t="s">
        <v>846</v>
      </c>
      <c r="H3866" s="8" t="s">
        <v>847</v>
      </c>
      <c r="I3866" s="8" t="s">
        <v>11882</v>
      </c>
      <c r="J3866" s="8" t="s">
        <v>11883</v>
      </c>
    </row>
    <row r="3867">
      <c r="A3867" s="7">
        <v>2.0044679E7</v>
      </c>
      <c r="B3867" s="8" t="s">
        <v>4599</v>
      </c>
      <c r="C3867" s="8" t="s">
        <v>11884</v>
      </c>
      <c r="D3867" s="8" t="s">
        <v>16</v>
      </c>
      <c r="E3867" s="8" t="s">
        <v>17</v>
      </c>
      <c r="F3867" s="9">
        <v>46096.0</v>
      </c>
      <c r="G3867" s="8" t="s">
        <v>64</v>
      </c>
      <c r="H3867" s="8" t="s">
        <v>65</v>
      </c>
      <c r="I3867" s="8" t="s">
        <v>11885</v>
      </c>
      <c r="J3867" s="8"/>
    </row>
    <row r="3868">
      <c r="A3868" s="7">
        <v>2.0039567E7</v>
      </c>
      <c r="B3868" s="8" t="s">
        <v>4599</v>
      </c>
      <c r="C3868" s="8" t="s">
        <v>11886</v>
      </c>
      <c r="D3868" s="8" t="s">
        <v>16</v>
      </c>
      <c r="E3868" s="8" t="s">
        <v>17</v>
      </c>
      <c r="F3868" s="9">
        <v>46084.0</v>
      </c>
      <c r="G3868" s="8" t="s">
        <v>2910</v>
      </c>
      <c r="H3868" s="8" t="s">
        <v>2911</v>
      </c>
      <c r="I3868" s="8" t="s">
        <v>11887</v>
      </c>
      <c r="J3868" s="8" t="s">
        <v>11888</v>
      </c>
    </row>
    <row r="3869">
      <c r="A3869" s="7">
        <v>2.0036392E7</v>
      </c>
      <c r="B3869" s="8" t="s">
        <v>4599</v>
      </c>
      <c r="C3869" s="8" t="s">
        <v>11889</v>
      </c>
      <c r="D3869" s="8" t="s">
        <v>16</v>
      </c>
      <c r="E3869" s="8" t="s">
        <v>17</v>
      </c>
      <c r="F3869" s="9">
        <v>46066.0</v>
      </c>
      <c r="G3869" s="8" t="s">
        <v>1911</v>
      </c>
      <c r="H3869" s="8" t="s">
        <v>1912</v>
      </c>
      <c r="I3869" s="8" t="s">
        <v>11890</v>
      </c>
      <c r="J3869" s="8" t="s">
        <v>11891</v>
      </c>
    </row>
    <row r="3870">
      <c r="A3870" s="7">
        <v>2.0035921E7</v>
      </c>
      <c r="B3870" s="8" t="s">
        <v>4599</v>
      </c>
      <c r="C3870" s="8" t="s">
        <v>11892</v>
      </c>
      <c r="D3870" s="8" t="s">
        <v>16</v>
      </c>
      <c r="E3870" s="8" t="s">
        <v>17</v>
      </c>
      <c r="F3870" s="9">
        <v>46049.0</v>
      </c>
      <c r="G3870" s="8" t="s">
        <v>4910</v>
      </c>
      <c r="H3870" s="8" t="s">
        <v>4911</v>
      </c>
      <c r="I3870" s="8" t="s">
        <v>11893</v>
      </c>
      <c r="J3870" s="8" t="s">
        <v>11894</v>
      </c>
    </row>
    <row r="3871">
      <c r="A3871" s="7">
        <v>2.0035921E7</v>
      </c>
      <c r="B3871" s="8" t="s">
        <v>4599</v>
      </c>
      <c r="C3871" s="8" t="s">
        <v>11892</v>
      </c>
      <c r="D3871" s="8" t="s">
        <v>16</v>
      </c>
      <c r="E3871" s="8" t="s">
        <v>17</v>
      </c>
      <c r="F3871" s="9">
        <v>46049.0</v>
      </c>
      <c r="G3871" s="8" t="s">
        <v>153</v>
      </c>
      <c r="H3871" s="8" t="s">
        <v>154</v>
      </c>
      <c r="I3871" s="8" t="s">
        <v>11895</v>
      </c>
      <c r="J3871" s="8" t="s">
        <v>11896</v>
      </c>
    </row>
    <row r="3872">
      <c r="A3872" s="7">
        <v>2.0034839E7</v>
      </c>
      <c r="B3872" s="8" t="s">
        <v>4599</v>
      </c>
      <c r="C3872" s="8" t="s">
        <v>11897</v>
      </c>
      <c r="D3872" s="8" t="s">
        <v>16</v>
      </c>
      <c r="E3872" s="8" t="s">
        <v>17</v>
      </c>
      <c r="F3872" s="9">
        <v>46039.0</v>
      </c>
      <c r="G3872" s="8" t="s">
        <v>109</v>
      </c>
      <c r="H3872" s="8" t="s">
        <v>110</v>
      </c>
      <c r="I3872" s="8" t="s">
        <v>11898</v>
      </c>
      <c r="J3872" s="8" t="s">
        <v>11899</v>
      </c>
    </row>
    <row r="3873">
      <c r="A3873" s="7">
        <v>2.0035106E7</v>
      </c>
      <c r="B3873" s="8" t="s">
        <v>4599</v>
      </c>
      <c r="C3873" s="8" t="s">
        <v>11900</v>
      </c>
      <c r="D3873" s="8" t="s">
        <v>16</v>
      </c>
      <c r="E3873" s="8" t="s">
        <v>17</v>
      </c>
      <c r="F3873" s="9">
        <v>46043.0</v>
      </c>
      <c r="G3873" s="8" t="s">
        <v>3572</v>
      </c>
      <c r="H3873" s="8" t="s">
        <v>3573</v>
      </c>
      <c r="I3873" s="8" t="s">
        <v>11901</v>
      </c>
      <c r="J3873" s="8" t="s">
        <v>11902</v>
      </c>
    </row>
    <row r="3874">
      <c r="A3874" s="7">
        <v>2.0035011E7</v>
      </c>
      <c r="B3874" s="8" t="s">
        <v>4599</v>
      </c>
      <c r="C3874" s="8" t="s">
        <v>11903</v>
      </c>
      <c r="D3874" s="8" t="s">
        <v>16</v>
      </c>
      <c r="E3874" s="8" t="s">
        <v>17</v>
      </c>
      <c r="F3874" s="9">
        <v>46057.0</v>
      </c>
      <c r="G3874" s="8" t="s">
        <v>688</v>
      </c>
      <c r="H3874" s="8" t="s">
        <v>689</v>
      </c>
      <c r="I3874" s="8" t="s">
        <v>11904</v>
      </c>
      <c r="J3874" s="8" t="s">
        <v>11905</v>
      </c>
    </row>
    <row r="3875">
      <c r="A3875" s="7">
        <v>2.0034844E7</v>
      </c>
      <c r="B3875" s="8" t="s">
        <v>4599</v>
      </c>
      <c r="C3875" s="8" t="s">
        <v>11906</v>
      </c>
      <c r="D3875" s="8" t="s">
        <v>16</v>
      </c>
      <c r="E3875" s="8" t="s">
        <v>48</v>
      </c>
      <c r="F3875" s="9">
        <v>46052.0</v>
      </c>
      <c r="G3875" s="8" t="s">
        <v>171</v>
      </c>
      <c r="H3875" s="8" t="s">
        <v>172</v>
      </c>
      <c r="I3875" s="8" t="s">
        <v>11907</v>
      </c>
      <c r="J3875" s="8"/>
    </row>
    <row r="3876">
      <c r="A3876" s="7">
        <v>2.0072294E7</v>
      </c>
      <c r="B3876" s="8" t="s">
        <v>4599</v>
      </c>
      <c r="C3876" s="8" t="s">
        <v>11908</v>
      </c>
      <c r="D3876" s="8" t="s">
        <v>16</v>
      </c>
      <c r="E3876" s="8" t="s">
        <v>17</v>
      </c>
      <c r="F3876" s="9">
        <v>46190.0</v>
      </c>
      <c r="G3876" s="8" t="s">
        <v>59</v>
      </c>
      <c r="H3876" s="8" t="s">
        <v>60</v>
      </c>
      <c r="I3876" s="8" t="s">
        <v>11909</v>
      </c>
      <c r="J3876" s="8" t="s">
        <v>11910</v>
      </c>
    </row>
    <row r="3877">
      <c r="A3877" s="7">
        <v>2.0069352E7</v>
      </c>
      <c r="B3877" s="8" t="s">
        <v>4599</v>
      </c>
      <c r="C3877" s="8" t="s">
        <v>11911</v>
      </c>
      <c r="D3877" s="8" t="s">
        <v>16</v>
      </c>
      <c r="E3877" s="8" t="s">
        <v>17</v>
      </c>
      <c r="F3877" s="9">
        <v>46190.0</v>
      </c>
      <c r="G3877" s="8" t="s">
        <v>908</v>
      </c>
      <c r="H3877" s="8" t="s">
        <v>909</v>
      </c>
      <c r="I3877" s="8" t="s">
        <v>11912</v>
      </c>
      <c r="J3877" s="8" t="s">
        <v>11913</v>
      </c>
    </row>
    <row r="3878">
      <c r="A3878" s="7">
        <v>2.0068317E7</v>
      </c>
      <c r="B3878" s="8" t="s">
        <v>4599</v>
      </c>
      <c r="C3878" s="8" t="s">
        <v>11914</v>
      </c>
      <c r="D3878" s="8" t="s">
        <v>16</v>
      </c>
      <c r="E3878" s="8" t="s">
        <v>17</v>
      </c>
      <c r="F3878" s="9">
        <v>46174.0</v>
      </c>
      <c r="G3878" s="8" t="s">
        <v>1888</v>
      </c>
      <c r="H3878" s="8" t="s">
        <v>1889</v>
      </c>
      <c r="I3878" s="8" t="s">
        <v>11915</v>
      </c>
      <c r="J3878" s="8" t="s">
        <v>11916</v>
      </c>
    </row>
    <row r="3879">
      <c r="A3879" s="7">
        <v>2.0066538E7</v>
      </c>
      <c r="B3879" s="8" t="s">
        <v>4599</v>
      </c>
      <c r="C3879" s="8" t="s">
        <v>11917</v>
      </c>
      <c r="D3879" s="8" t="s">
        <v>16</v>
      </c>
      <c r="E3879" s="8" t="s">
        <v>17</v>
      </c>
      <c r="F3879" s="9">
        <v>46179.0</v>
      </c>
      <c r="G3879" s="8" t="s">
        <v>1800</v>
      </c>
      <c r="H3879" s="8" t="s">
        <v>1801</v>
      </c>
      <c r="I3879" s="8" t="s">
        <v>11918</v>
      </c>
      <c r="J3879" s="8"/>
    </row>
    <row r="3880">
      <c r="A3880" s="7">
        <v>2.0064502E7</v>
      </c>
      <c r="B3880" s="8" t="s">
        <v>4599</v>
      </c>
      <c r="C3880" s="8" t="s">
        <v>11919</v>
      </c>
      <c r="D3880" s="8" t="s">
        <v>16</v>
      </c>
      <c r="E3880" s="8" t="s">
        <v>17</v>
      </c>
      <c r="F3880" s="9">
        <v>46164.0</v>
      </c>
      <c r="G3880" s="8" t="s">
        <v>247</v>
      </c>
      <c r="H3880" s="8" t="s">
        <v>248</v>
      </c>
      <c r="I3880" s="8" t="s">
        <v>11920</v>
      </c>
      <c r="J3880" s="8" t="s">
        <v>11921</v>
      </c>
    </row>
    <row r="3881">
      <c r="A3881" s="7">
        <v>2.0063442E7</v>
      </c>
      <c r="B3881" s="8" t="s">
        <v>4599</v>
      </c>
      <c r="C3881" s="8" t="s">
        <v>11922</v>
      </c>
      <c r="D3881" s="8" t="s">
        <v>16</v>
      </c>
      <c r="E3881" s="8" t="s">
        <v>17</v>
      </c>
      <c r="F3881" s="9">
        <v>46185.0</v>
      </c>
      <c r="G3881" s="8" t="s">
        <v>3602</v>
      </c>
      <c r="H3881" s="8" t="s">
        <v>3603</v>
      </c>
      <c r="I3881" s="8" t="s">
        <v>11923</v>
      </c>
      <c r="J3881" s="8" t="s">
        <v>11924</v>
      </c>
    </row>
    <row r="3882">
      <c r="A3882" s="7">
        <v>2.0061728E7</v>
      </c>
      <c r="B3882" s="8" t="s">
        <v>4599</v>
      </c>
      <c r="C3882" s="8" t="s">
        <v>11925</v>
      </c>
      <c r="D3882" s="8" t="s">
        <v>2136</v>
      </c>
      <c r="E3882" s="8" t="s">
        <v>17</v>
      </c>
      <c r="F3882" s="9">
        <v>46147.0</v>
      </c>
      <c r="G3882" s="8" t="s">
        <v>1007</v>
      </c>
      <c r="H3882" s="8" t="s">
        <v>1008</v>
      </c>
      <c r="I3882" s="8" t="s">
        <v>11926</v>
      </c>
      <c r="J3882" s="8" t="s">
        <v>11927</v>
      </c>
    </row>
    <row r="3883">
      <c r="A3883" s="7">
        <v>2.005933E7</v>
      </c>
      <c r="B3883" s="8" t="s">
        <v>4599</v>
      </c>
      <c r="C3883" s="8" t="s">
        <v>11928</v>
      </c>
      <c r="D3883" s="8" t="s">
        <v>16</v>
      </c>
      <c r="E3883" s="8" t="s">
        <v>17</v>
      </c>
      <c r="F3883" s="9">
        <v>46144.0</v>
      </c>
      <c r="G3883" s="8" t="s">
        <v>805</v>
      </c>
      <c r="H3883" s="8" t="s">
        <v>806</v>
      </c>
      <c r="I3883" s="8" t="s">
        <v>11929</v>
      </c>
      <c r="J3883" s="8" t="s">
        <v>11930</v>
      </c>
    </row>
    <row r="3884">
      <c r="A3884" s="7">
        <v>2.0059465E7</v>
      </c>
      <c r="B3884" s="8" t="s">
        <v>4599</v>
      </c>
      <c r="C3884" s="8" t="s">
        <v>11931</v>
      </c>
      <c r="D3884" s="8" t="s">
        <v>16</v>
      </c>
      <c r="E3884" s="8" t="s">
        <v>17</v>
      </c>
      <c r="F3884" s="9">
        <v>46138.0</v>
      </c>
      <c r="G3884" s="8" t="s">
        <v>59</v>
      </c>
      <c r="H3884" s="8" t="s">
        <v>60</v>
      </c>
      <c r="I3884" s="8" t="s">
        <v>11932</v>
      </c>
      <c r="J3884" s="8" t="s">
        <v>11933</v>
      </c>
    </row>
    <row r="3885">
      <c r="A3885" s="7">
        <v>2.0058126E7</v>
      </c>
      <c r="B3885" s="8" t="s">
        <v>4599</v>
      </c>
      <c r="C3885" s="8" t="s">
        <v>11934</v>
      </c>
      <c r="D3885" s="8" t="s">
        <v>16</v>
      </c>
      <c r="E3885" s="8" t="s">
        <v>17</v>
      </c>
      <c r="F3885" s="9">
        <v>46133.0</v>
      </c>
      <c r="G3885" s="8" t="s">
        <v>1169</v>
      </c>
      <c r="H3885" s="8" t="s">
        <v>1170</v>
      </c>
      <c r="I3885" s="8" t="s">
        <v>11935</v>
      </c>
      <c r="J3885" s="8" t="s">
        <v>11936</v>
      </c>
    </row>
    <row r="3886">
      <c r="A3886" s="7">
        <v>2.005664E7</v>
      </c>
      <c r="B3886" s="8" t="s">
        <v>4599</v>
      </c>
      <c r="C3886" s="8" t="s">
        <v>11937</v>
      </c>
      <c r="D3886" s="8" t="s">
        <v>16</v>
      </c>
      <c r="E3886" s="8" t="s">
        <v>17</v>
      </c>
      <c r="F3886" s="9">
        <v>46126.0</v>
      </c>
      <c r="G3886" s="8" t="s">
        <v>29</v>
      </c>
      <c r="H3886" s="8" t="s">
        <v>30</v>
      </c>
      <c r="I3886" s="8" t="s">
        <v>11938</v>
      </c>
      <c r="J3886" s="8" t="s">
        <v>11939</v>
      </c>
    </row>
    <row r="3887">
      <c r="A3887" s="7">
        <v>2.0055105E7</v>
      </c>
      <c r="B3887" s="8" t="s">
        <v>4599</v>
      </c>
      <c r="C3887" s="8" t="s">
        <v>11940</v>
      </c>
      <c r="D3887" s="8" t="s">
        <v>16</v>
      </c>
      <c r="E3887" s="8" t="s">
        <v>17</v>
      </c>
      <c r="F3887" s="9">
        <v>46135.0</v>
      </c>
      <c r="G3887" s="8" t="s">
        <v>688</v>
      </c>
      <c r="H3887" s="8" t="s">
        <v>689</v>
      </c>
      <c r="I3887" s="8" t="s">
        <v>11941</v>
      </c>
      <c r="J3887" s="8"/>
    </row>
    <row r="3888">
      <c r="A3888" s="7">
        <v>2.0054909E7</v>
      </c>
      <c r="B3888" s="8" t="s">
        <v>4599</v>
      </c>
      <c r="C3888" s="8" t="s">
        <v>11942</v>
      </c>
      <c r="D3888" s="8" t="s">
        <v>16</v>
      </c>
      <c r="E3888" s="8" t="s">
        <v>17</v>
      </c>
      <c r="F3888" s="9">
        <v>46119.0</v>
      </c>
      <c r="G3888" s="8" t="s">
        <v>29</v>
      </c>
      <c r="H3888" s="8" t="s">
        <v>30</v>
      </c>
      <c r="I3888" s="8" t="s">
        <v>11943</v>
      </c>
      <c r="J3888" s="8" t="s">
        <v>11944</v>
      </c>
    </row>
    <row r="3889">
      <c r="A3889" s="7">
        <v>2.0054752E7</v>
      </c>
      <c r="B3889" s="8" t="s">
        <v>4599</v>
      </c>
      <c r="C3889" s="8" t="s">
        <v>11945</v>
      </c>
      <c r="D3889" s="8" t="s">
        <v>16</v>
      </c>
      <c r="E3889" s="8" t="s">
        <v>17</v>
      </c>
      <c r="F3889" s="9">
        <v>46142.0</v>
      </c>
      <c r="G3889" s="8" t="s">
        <v>732</v>
      </c>
      <c r="H3889" s="8" t="s">
        <v>733</v>
      </c>
      <c r="I3889" s="8" t="s">
        <v>11946</v>
      </c>
      <c r="J3889" s="8" t="s">
        <v>11947</v>
      </c>
    </row>
    <row r="3890">
      <c r="A3890" s="7">
        <v>2.0053809E7</v>
      </c>
      <c r="B3890" s="8" t="s">
        <v>4599</v>
      </c>
      <c r="C3890" s="8" t="s">
        <v>11948</v>
      </c>
      <c r="D3890" s="8" t="s">
        <v>16</v>
      </c>
      <c r="E3890" s="8" t="s">
        <v>17</v>
      </c>
      <c r="F3890" s="9">
        <v>46113.0</v>
      </c>
      <c r="G3890" s="8" t="s">
        <v>247</v>
      </c>
      <c r="H3890" s="8" t="s">
        <v>248</v>
      </c>
      <c r="I3890" s="8" t="s">
        <v>11949</v>
      </c>
      <c r="J3890" s="8" t="s">
        <v>11950</v>
      </c>
    </row>
    <row r="3891">
      <c r="A3891" s="7">
        <v>2.0053069E7</v>
      </c>
      <c r="B3891" s="8" t="s">
        <v>4599</v>
      </c>
      <c r="C3891" s="8" t="s">
        <v>11951</v>
      </c>
      <c r="D3891" s="8" t="s">
        <v>16</v>
      </c>
      <c r="E3891" s="8" t="s">
        <v>17</v>
      </c>
      <c r="F3891" s="9">
        <v>46126.0</v>
      </c>
      <c r="G3891" s="8" t="s">
        <v>410</v>
      </c>
      <c r="H3891" s="8" t="s">
        <v>411</v>
      </c>
      <c r="I3891" s="8" t="s">
        <v>11952</v>
      </c>
      <c r="J3891" s="8"/>
    </row>
    <row r="3892">
      <c r="A3892" s="7">
        <v>2.0052403E7</v>
      </c>
      <c r="B3892" s="8" t="s">
        <v>4599</v>
      </c>
      <c r="C3892" s="8" t="s">
        <v>11953</v>
      </c>
      <c r="D3892" s="8" t="s">
        <v>16</v>
      </c>
      <c r="E3892" s="8" t="s">
        <v>17</v>
      </c>
      <c r="F3892" s="9">
        <v>46107.0</v>
      </c>
      <c r="G3892" s="8" t="s">
        <v>59</v>
      </c>
      <c r="H3892" s="8" t="s">
        <v>60</v>
      </c>
      <c r="I3892" s="8" t="s">
        <v>11954</v>
      </c>
      <c r="J3892" s="8" t="s">
        <v>11955</v>
      </c>
    </row>
    <row r="3893">
      <c r="A3893" s="7">
        <v>2.0051626E7</v>
      </c>
      <c r="B3893" s="8" t="s">
        <v>4599</v>
      </c>
      <c r="C3893" s="8" t="s">
        <v>11956</v>
      </c>
      <c r="D3893" s="8" t="s">
        <v>16</v>
      </c>
      <c r="E3893" s="8" t="s">
        <v>17</v>
      </c>
      <c r="F3893" s="9">
        <v>46104.0</v>
      </c>
      <c r="G3893" s="8" t="s">
        <v>220</v>
      </c>
      <c r="H3893" s="8" t="s">
        <v>221</v>
      </c>
      <c r="I3893" s="8" t="s">
        <v>11957</v>
      </c>
      <c r="J3893" s="8" t="s">
        <v>11958</v>
      </c>
    </row>
    <row r="3894">
      <c r="A3894" s="7">
        <v>2.0050549E7</v>
      </c>
      <c r="B3894" s="8" t="s">
        <v>4599</v>
      </c>
      <c r="C3894" s="8" t="s">
        <v>11959</v>
      </c>
      <c r="D3894" s="8" t="s">
        <v>16</v>
      </c>
      <c r="E3894" s="8" t="s">
        <v>17</v>
      </c>
      <c r="F3894" s="9">
        <v>46105.0</v>
      </c>
      <c r="G3894" s="8" t="s">
        <v>109</v>
      </c>
      <c r="H3894" s="8" t="s">
        <v>110</v>
      </c>
      <c r="I3894" s="8" t="s">
        <v>11960</v>
      </c>
      <c r="J3894" s="8" t="s">
        <v>11961</v>
      </c>
    </row>
    <row r="3895">
      <c r="A3895" s="7">
        <v>2.0050395E7</v>
      </c>
      <c r="B3895" s="8" t="s">
        <v>4599</v>
      </c>
      <c r="C3895" s="8" t="s">
        <v>11962</v>
      </c>
      <c r="D3895" s="8" t="s">
        <v>16</v>
      </c>
      <c r="E3895" s="8" t="s">
        <v>17</v>
      </c>
      <c r="F3895" s="9">
        <v>46098.0</v>
      </c>
      <c r="G3895" s="8" t="s">
        <v>805</v>
      </c>
      <c r="H3895" s="8" t="s">
        <v>806</v>
      </c>
      <c r="I3895" s="8" t="s">
        <v>11963</v>
      </c>
      <c r="J3895" s="8" t="s">
        <v>11964</v>
      </c>
    </row>
    <row r="3896">
      <c r="A3896" s="7">
        <v>2.004865E7</v>
      </c>
      <c r="B3896" s="8" t="s">
        <v>4599</v>
      </c>
      <c r="C3896" s="8" t="s">
        <v>11965</v>
      </c>
      <c r="D3896" s="8" t="s">
        <v>16</v>
      </c>
      <c r="E3896" s="8" t="s">
        <v>17</v>
      </c>
      <c r="F3896" s="9">
        <v>46091.0</v>
      </c>
      <c r="G3896" s="8" t="s">
        <v>805</v>
      </c>
      <c r="H3896" s="8" t="s">
        <v>806</v>
      </c>
      <c r="I3896" s="8" t="s">
        <v>11966</v>
      </c>
      <c r="J3896" s="8" t="s">
        <v>11967</v>
      </c>
    </row>
    <row r="3897">
      <c r="A3897" s="7">
        <v>2.0046172E7</v>
      </c>
      <c r="B3897" s="8" t="s">
        <v>4599</v>
      </c>
      <c r="C3897" s="8" t="s">
        <v>11968</v>
      </c>
      <c r="D3897" s="8" t="s">
        <v>16</v>
      </c>
      <c r="E3897" s="8" t="s">
        <v>17</v>
      </c>
      <c r="F3897" s="9">
        <v>46085.0</v>
      </c>
      <c r="G3897" s="8" t="s">
        <v>220</v>
      </c>
      <c r="H3897" s="8" t="s">
        <v>221</v>
      </c>
      <c r="I3897" s="8" t="s">
        <v>11969</v>
      </c>
      <c r="J3897" s="8" t="s">
        <v>11970</v>
      </c>
    </row>
    <row r="3898">
      <c r="A3898" s="7">
        <v>2.004312E7</v>
      </c>
      <c r="B3898" s="8" t="s">
        <v>4599</v>
      </c>
      <c r="C3898" s="8" t="s">
        <v>11971</v>
      </c>
      <c r="D3898" s="8" t="s">
        <v>16</v>
      </c>
      <c r="E3898" s="8" t="s">
        <v>17</v>
      </c>
      <c r="F3898" s="9">
        <v>46101.0</v>
      </c>
      <c r="G3898" s="8" t="s">
        <v>11972</v>
      </c>
      <c r="H3898" s="8" t="s">
        <v>11973</v>
      </c>
      <c r="I3898" s="8" t="s">
        <v>11974</v>
      </c>
      <c r="J3898" s="8" t="s">
        <v>11975</v>
      </c>
    </row>
    <row r="3899">
      <c r="A3899" s="7">
        <v>2.0045654E7</v>
      </c>
      <c r="B3899" s="8" t="s">
        <v>4599</v>
      </c>
      <c r="C3899" s="8" t="s">
        <v>11976</v>
      </c>
      <c r="D3899" s="8" t="s">
        <v>16</v>
      </c>
      <c r="E3899" s="8" t="s">
        <v>17</v>
      </c>
      <c r="F3899" s="9">
        <v>46081.0</v>
      </c>
      <c r="G3899" s="8" t="s">
        <v>882</v>
      </c>
      <c r="H3899" s="8" t="s">
        <v>883</v>
      </c>
      <c r="I3899" s="8" t="s">
        <v>11977</v>
      </c>
      <c r="J3899" s="8" t="s">
        <v>11978</v>
      </c>
    </row>
    <row r="3900">
      <c r="A3900" s="7">
        <v>2.0045588E7</v>
      </c>
      <c r="B3900" s="8" t="s">
        <v>4599</v>
      </c>
      <c r="C3900" s="8" t="s">
        <v>11979</v>
      </c>
      <c r="D3900" s="8" t="s">
        <v>16</v>
      </c>
      <c r="E3900" s="8" t="s">
        <v>17</v>
      </c>
      <c r="F3900" s="9">
        <v>46100.0</v>
      </c>
      <c r="G3900" s="8" t="s">
        <v>601</v>
      </c>
      <c r="H3900" s="8" t="s">
        <v>602</v>
      </c>
      <c r="I3900" s="8" t="s">
        <v>11980</v>
      </c>
      <c r="J3900" s="8" t="s">
        <v>11981</v>
      </c>
    </row>
    <row r="3901">
      <c r="A3901" s="7">
        <v>2.0041337E7</v>
      </c>
      <c r="B3901" s="8" t="s">
        <v>4599</v>
      </c>
      <c r="C3901" s="8" t="s">
        <v>11982</v>
      </c>
      <c r="D3901" s="8" t="s">
        <v>16</v>
      </c>
      <c r="E3901" s="8" t="s">
        <v>17</v>
      </c>
      <c r="F3901" s="9">
        <v>46078.0</v>
      </c>
      <c r="G3901" s="8" t="s">
        <v>759</v>
      </c>
      <c r="H3901" s="8" t="s">
        <v>760</v>
      </c>
      <c r="I3901" s="8" t="s">
        <v>11983</v>
      </c>
      <c r="J3901" s="8" t="s">
        <v>11984</v>
      </c>
    </row>
    <row r="3902">
      <c r="A3902" s="7">
        <v>2.0043431E7</v>
      </c>
      <c r="B3902" s="8" t="s">
        <v>4599</v>
      </c>
      <c r="C3902" s="8" t="s">
        <v>11985</v>
      </c>
      <c r="D3902" s="8" t="s">
        <v>16</v>
      </c>
      <c r="E3902" s="8" t="s">
        <v>17</v>
      </c>
      <c r="F3902" s="9">
        <v>46086.0</v>
      </c>
      <c r="G3902" s="8" t="s">
        <v>1085</v>
      </c>
      <c r="H3902" s="8" t="s">
        <v>1086</v>
      </c>
      <c r="I3902" s="8" t="s">
        <v>11986</v>
      </c>
      <c r="J3902" s="8"/>
    </row>
    <row r="3903">
      <c r="A3903" s="7">
        <v>2.0043284E7</v>
      </c>
      <c r="B3903" s="8" t="s">
        <v>4599</v>
      </c>
      <c r="C3903" s="8" t="s">
        <v>11987</v>
      </c>
      <c r="D3903" s="8" t="s">
        <v>16</v>
      </c>
      <c r="E3903" s="8" t="s">
        <v>17</v>
      </c>
      <c r="F3903" s="9">
        <v>46078.0</v>
      </c>
      <c r="G3903" s="8" t="s">
        <v>247</v>
      </c>
      <c r="H3903" s="8" t="s">
        <v>248</v>
      </c>
      <c r="I3903" s="8" t="s">
        <v>11988</v>
      </c>
      <c r="J3903" s="8" t="s">
        <v>11989</v>
      </c>
    </row>
    <row r="3904">
      <c r="A3904" s="7">
        <v>2.0039495E7</v>
      </c>
      <c r="B3904" s="8" t="s">
        <v>4599</v>
      </c>
      <c r="C3904" s="8" t="s">
        <v>11990</v>
      </c>
      <c r="D3904" s="8" t="s">
        <v>16</v>
      </c>
      <c r="E3904" s="8" t="s">
        <v>17</v>
      </c>
      <c r="F3904" s="9">
        <v>46086.0</v>
      </c>
      <c r="G3904" s="8" t="s">
        <v>124</v>
      </c>
      <c r="H3904" s="8" t="s">
        <v>125</v>
      </c>
      <c r="I3904" s="8" t="s">
        <v>11991</v>
      </c>
      <c r="J3904" s="8"/>
    </row>
    <row r="3905">
      <c r="A3905" s="7">
        <v>2.0068046E7</v>
      </c>
      <c r="B3905" s="8" t="s">
        <v>4599</v>
      </c>
      <c r="C3905" s="8" t="s">
        <v>11992</v>
      </c>
      <c r="D3905" s="8" t="s">
        <v>16</v>
      </c>
      <c r="E3905" s="8" t="s">
        <v>17</v>
      </c>
      <c r="F3905" s="9">
        <v>46173.0</v>
      </c>
      <c r="G3905" s="8" t="s">
        <v>34</v>
      </c>
      <c r="H3905" s="8" t="s">
        <v>35</v>
      </c>
      <c r="I3905" s="8" t="s">
        <v>11993</v>
      </c>
      <c r="J3905" s="8" t="s">
        <v>11994</v>
      </c>
    </row>
    <row r="3906">
      <c r="A3906" s="7">
        <v>2.0066503E7</v>
      </c>
      <c r="B3906" s="8" t="s">
        <v>4599</v>
      </c>
      <c r="C3906" s="8" t="s">
        <v>11995</v>
      </c>
      <c r="D3906" s="8" t="s">
        <v>16</v>
      </c>
      <c r="E3906" s="8" t="s">
        <v>17</v>
      </c>
      <c r="F3906" s="9">
        <v>46176.0</v>
      </c>
      <c r="G3906" s="8" t="s">
        <v>59</v>
      </c>
      <c r="H3906" s="8" t="s">
        <v>60</v>
      </c>
      <c r="I3906" s="8" t="s">
        <v>11996</v>
      </c>
      <c r="J3906" s="8" t="s">
        <v>11997</v>
      </c>
    </row>
    <row r="3907">
      <c r="A3907" s="7">
        <v>2.0065992E7</v>
      </c>
      <c r="B3907" s="8" t="s">
        <v>4599</v>
      </c>
      <c r="C3907" s="8" t="s">
        <v>11998</v>
      </c>
      <c r="D3907" s="8" t="s">
        <v>16</v>
      </c>
      <c r="E3907" s="8" t="s">
        <v>17</v>
      </c>
      <c r="F3907" s="9">
        <v>46191.0</v>
      </c>
      <c r="G3907" s="8" t="s">
        <v>688</v>
      </c>
      <c r="H3907" s="8" t="s">
        <v>689</v>
      </c>
      <c r="I3907" s="8" t="s">
        <v>11999</v>
      </c>
      <c r="J3907" s="8" t="s">
        <v>12000</v>
      </c>
    </row>
    <row r="3908">
      <c r="A3908" s="7">
        <v>2.0064668E7</v>
      </c>
      <c r="B3908" s="8" t="s">
        <v>4599</v>
      </c>
      <c r="C3908" s="8" t="s">
        <v>12001</v>
      </c>
      <c r="D3908" s="8" t="s">
        <v>16</v>
      </c>
      <c r="E3908" s="8" t="s">
        <v>17</v>
      </c>
      <c r="F3908" s="9">
        <v>46187.0</v>
      </c>
      <c r="G3908" s="8" t="s">
        <v>10073</v>
      </c>
      <c r="H3908" s="8" t="s">
        <v>10074</v>
      </c>
      <c r="I3908" s="8" t="s">
        <v>12002</v>
      </c>
      <c r="J3908" s="8" t="s">
        <v>12003</v>
      </c>
    </row>
    <row r="3909">
      <c r="A3909" s="7">
        <v>2.0060494E7</v>
      </c>
      <c r="B3909" s="8" t="s">
        <v>4599</v>
      </c>
      <c r="C3909" s="8" t="s">
        <v>12004</v>
      </c>
      <c r="D3909" s="8" t="s">
        <v>16</v>
      </c>
      <c r="E3909" s="8" t="s">
        <v>17</v>
      </c>
      <c r="F3909" s="9">
        <v>46142.0</v>
      </c>
      <c r="G3909" s="8" t="s">
        <v>59</v>
      </c>
      <c r="H3909" s="8" t="s">
        <v>60</v>
      </c>
      <c r="I3909" s="8" t="s">
        <v>12005</v>
      </c>
      <c r="J3909" s="8" t="s">
        <v>12006</v>
      </c>
    </row>
    <row r="3910">
      <c r="A3910" s="7">
        <v>2.0058301E7</v>
      </c>
      <c r="B3910" s="8" t="s">
        <v>4599</v>
      </c>
      <c r="C3910" s="8" t="s">
        <v>12007</v>
      </c>
      <c r="D3910" s="8" t="s">
        <v>16</v>
      </c>
      <c r="E3910" s="8" t="s">
        <v>17</v>
      </c>
      <c r="F3910" s="9">
        <v>46181.0</v>
      </c>
      <c r="G3910" s="8" t="s">
        <v>3709</v>
      </c>
      <c r="H3910" s="8" t="s">
        <v>3710</v>
      </c>
      <c r="I3910" s="8" t="s">
        <v>12008</v>
      </c>
      <c r="J3910" s="8" t="s">
        <v>12009</v>
      </c>
    </row>
    <row r="3911">
      <c r="A3911" s="7">
        <v>2.0056143E7</v>
      </c>
      <c r="B3911" s="8" t="s">
        <v>4599</v>
      </c>
      <c r="C3911" s="8" t="s">
        <v>12010</v>
      </c>
      <c r="D3911" s="8" t="s">
        <v>16</v>
      </c>
      <c r="E3911" s="8" t="s">
        <v>17</v>
      </c>
      <c r="F3911" s="9">
        <v>46144.0</v>
      </c>
      <c r="G3911" s="8" t="s">
        <v>158</v>
      </c>
      <c r="H3911" s="8" t="s">
        <v>159</v>
      </c>
      <c r="I3911" s="8" t="s">
        <v>12011</v>
      </c>
      <c r="J3911" s="8"/>
    </row>
    <row r="3912">
      <c r="A3912" s="7">
        <v>2.0055312E7</v>
      </c>
      <c r="B3912" s="8" t="s">
        <v>4599</v>
      </c>
      <c r="C3912" s="8" t="s">
        <v>12012</v>
      </c>
      <c r="D3912" s="8" t="s">
        <v>16</v>
      </c>
      <c r="E3912" s="8" t="s">
        <v>17</v>
      </c>
      <c r="F3912" s="9">
        <v>46144.0</v>
      </c>
      <c r="G3912" s="8" t="s">
        <v>171</v>
      </c>
      <c r="H3912" s="8" t="s">
        <v>172</v>
      </c>
      <c r="I3912" s="8" t="s">
        <v>12013</v>
      </c>
      <c r="J3912" s="8" t="s">
        <v>12014</v>
      </c>
    </row>
    <row r="3913">
      <c r="A3913" s="7">
        <v>2.005429E7</v>
      </c>
      <c r="B3913" s="8" t="s">
        <v>4599</v>
      </c>
      <c r="C3913" s="8" t="s">
        <v>12015</v>
      </c>
      <c r="D3913" s="8" t="s">
        <v>16</v>
      </c>
      <c r="E3913" s="8" t="s">
        <v>17</v>
      </c>
      <c r="F3913" s="9">
        <v>46130.0</v>
      </c>
      <c r="G3913" s="8" t="s">
        <v>59</v>
      </c>
      <c r="H3913" s="8" t="s">
        <v>60</v>
      </c>
      <c r="I3913" s="8" t="s">
        <v>12016</v>
      </c>
      <c r="J3913" s="8" t="s">
        <v>12017</v>
      </c>
    </row>
    <row r="3914">
      <c r="A3914" s="7">
        <v>2.0053485E7</v>
      </c>
      <c r="B3914" s="8" t="s">
        <v>4599</v>
      </c>
      <c r="C3914" s="8" t="s">
        <v>12018</v>
      </c>
      <c r="D3914" s="8" t="s">
        <v>16</v>
      </c>
      <c r="E3914" s="8" t="s">
        <v>17</v>
      </c>
      <c r="F3914" s="9">
        <v>46127.0</v>
      </c>
      <c r="G3914" s="8" t="s">
        <v>822</v>
      </c>
      <c r="H3914" s="8" t="s">
        <v>120</v>
      </c>
      <c r="I3914" s="8" t="s">
        <v>12019</v>
      </c>
      <c r="J3914" s="8" t="s">
        <v>12020</v>
      </c>
    </row>
    <row r="3915">
      <c r="A3915" s="7">
        <v>2.0053007E7</v>
      </c>
      <c r="B3915" s="8" t="s">
        <v>4599</v>
      </c>
      <c r="C3915" s="8" t="s">
        <v>12021</v>
      </c>
      <c r="D3915" s="8" t="s">
        <v>16</v>
      </c>
      <c r="E3915" s="8" t="s">
        <v>17</v>
      </c>
      <c r="F3915" s="9">
        <v>46116.0</v>
      </c>
      <c r="G3915" s="8" t="s">
        <v>2486</v>
      </c>
      <c r="H3915" s="8" t="s">
        <v>44</v>
      </c>
      <c r="I3915" s="8" t="s">
        <v>12022</v>
      </c>
      <c r="J3915" s="8" t="s">
        <v>12023</v>
      </c>
    </row>
    <row r="3916">
      <c r="A3916" s="7">
        <v>2.0052598E7</v>
      </c>
      <c r="B3916" s="8" t="s">
        <v>4599</v>
      </c>
      <c r="C3916" s="8" t="s">
        <v>12024</v>
      </c>
      <c r="D3916" s="8" t="s">
        <v>16</v>
      </c>
      <c r="E3916" s="8" t="s">
        <v>17</v>
      </c>
      <c r="F3916" s="9">
        <v>46107.0</v>
      </c>
      <c r="G3916" s="8" t="s">
        <v>846</v>
      </c>
      <c r="H3916" s="8" t="s">
        <v>847</v>
      </c>
      <c r="I3916" s="8" t="s">
        <v>12025</v>
      </c>
      <c r="J3916" s="8" t="s">
        <v>12026</v>
      </c>
    </row>
    <row r="3917">
      <c r="A3917" s="7">
        <v>2.005103E7</v>
      </c>
      <c r="B3917" s="8" t="s">
        <v>4599</v>
      </c>
      <c r="C3917" s="8" t="s">
        <v>12027</v>
      </c>
      <c r="D3917" s="8" t="s">
        <v>16</v>
      </c>
      <c r="E3917" s="8" t="s">
        <v>17</v>
      </c>
      <c r="F3917" s="9">
        <v>46112.0</v>
      </c>
      <c r="G3917" s="8" t="s">
        <v>195</v>
      </c>
      <c r="H3917" s="8" t="s">
        <v>196</v>
      </c>
      <c r="I3917" s="8" t="s">
        <v>12028</v>
      </c>
      <c r="J3917" s="8" t="s">
        <v>12029</v>
      </c>
    </row>
    <row r="3918">
      <c r="A3918" s="7">
        <v>2.0051458E7</v>
      </c>
      <c r="B3918" s="8" t="s">
        <v>4599</v>
      </c>
      <c r="C3918" s="8" t="s">
        <v>12030</v>
      </c>
      <c r="D3918" s="8" t="s">
        <v>16</v>
      </c>
      <c r="E3918" s="8" t="s">
        <v>17</v>
      </c>
      <c r="F3918" s="9">
        <v>46120.0</v>
      </c>
      <c r="G3918" s="8" t="s">
        <v>2666</v>
      </c>
      <c r="H3918" s="8" t="s">
        <v>2667</v>
      </c>
      <c r="I3918" s="8" t="s">
        <v>12031</v>
      </c>
      <c r="J3918" s="8" t="s">
        <v>12032</v>
      </c>
    </row>
    <row r="3919">
      <c r="A3919" s="7">
        <v>2.0050841E7</v>
      </c>
      <c r="B3919" s="8" t="s">
        <v>4599</v>
      </c>
      <c r="C3919" s="8" t="s">
        <v>12033</v>
      </c>
      <c r="D3919" s="8" t="s">
        <v>16</v>
      </c>
      <c r="E3919" s="8" t="s">
        <v>17</v>
      </c>
      <c r="F3919" s="9">
        <v>46110.0</v>
      </c>
      <c r="G3919" s="8" t="s">
        <v>49</v>
      </c>
      <c r="H3919" s="8" t="s">
        <v>50</v>
      </c>
      <c r="I3919" s="8" t="s">
        <v>12034</v>
      </c>
      <c r="J3919" s="8" t="s">
        <v>12035</v>
      </c>
    </row>
    <row r="3920">
      <c r="A3920" s="7">
        <v>2.0050091E7</v>
      </c>
      <c r="B3920" s="8" t="s">
        <v>4599</v>
      </c>
      <c r="C3920" s="8" t="s">
        <v>12036</v>
      </c>
      <c r="D3920" s="8" t="s">
        <v>16</v>
      </c>
      <c r="E3920" s="8" t="s">
        <v>17</v>
      </c>
      <c r="F3920" s="9">
        <v>46097.0</v>
      </c>
      <c r="G3920" s="8" t="s">
        <v>868</v>
      </c>
      <c r="H3920" s="8" t="s">
        <v>869</v>
      </c>
      <c r="I3920" s="8" t="s">
        <v>12037</v>
      </c>
      <c r="J3920" s="8" t="s">
        <v>12038</v>
      </c>
    </row>
    <row r="3921">
      <c r="A3921" s="7">
        <v>2.0042649E7</v>
      </c>
      <c r="B3921" s="8" t="s">
        <v>4599</v>
      </c>
      <c r="C3921" s="8" t="s">
        <v>12039</v>
      </c>
      <c r="D3921" s="8" t="s">
        <v>16</v>
      </c>
      <c r="E3921" s="8" t="s">
        <v>17</v>
      </c>
      <c r="F3921" s="9">
        <v>46091.0</v>
      </c>
      <c r="G3921" s="8" t="s">
        <v>1012</v>
      </c>
      <c r="H3921" s="8" t="s">
        <v>1013</v>
      </c>
      <c r="I3921" s="8" t="s">
        <v>12040</v>
      </c>
      <c r="J3921" s="8" t="s">
        <v>12041</v>
      </c>
    </row>
    <row r="3922">
      <c r="A3922" s="7">
        <v>2.0041982E7</v>
      </c>
      <c r="B3922" s="8" t="s">
        <v>4599</v>
      </c>
      <c r="C3922" s="8" t="s">
        <v>12042</v>
      </c>
      <c r="D3922" s="8" t="s">
        <v>16</v>
      </c>
      <c r="E3922" s="8" t="s">
        <v>17</v>
      </c>
      <c r="F3922" s="9">
        <v>46076.0</v>
      </c>
      <c r="G3922" s="8" t="s">
        <v>923</v>
      </c>
      <c r="H3922" s="8" t="s">
        <v>71</v>
      </c>
      <c r="I3922" s="8" t="s">
        <v>12043</v>
      </c>
      <c r="J3922" s="8" t="s">
        <v>12044</v>
      </c>
    </row>
    <row r="3923">
      <c r="A3923" s="7">
        <v>2.0038096E7</v>
      </c>
      <c r="B3923" s="8" t="s">
        <v>4599</v>
      </c>
      <c r="C3923" s="8" t="s">
        <v>12045</v>
      </c>
      <c r="D3923" s="8" t="s">
        <v>16</v>
      </c>
      <c r="E3923" s="8" t="s">
        <v>17</v>
      </c>
      <c r="F3923" s="9">
        <v>46074.0</v>
      </c>
      <c r="G3923" s="8" t="s">
        <v>64</v>
      </c>
      <c r="H3923" s="8" t="s">
        <v>65</v>
      </c>
      <c r="I3923" s="8" t="s">
        <v>12046</v>
      </c>
      <c r="J3923" s="8" t="s">
        <v>12047</v>
      </c>
    </row>
    <row r="3924">
      <c r="A3924" s="7">
        <v>2.0039654E7</v>
      </c>
      <c r="B3924" s="8" t="s">
        <v>4599</v>
      </c>
      <c r="C3924" s="8" t="s">
        <v>12048</v>
      </c>
      <c r="D3924" s="8" t="s">
        <v>16</v>
      </c>
      <c r="E3924" s="8" t="s">
        <v>48</v>
      </c>
      <c r="F3924" s="9">
        <v>46069.0</v>
      </c>
      <c r="G3924" s="8" t="s">
        <v>7416</v>
      </c>
      <c r="H3924" s="8" t="s">
        <v>7417</v>
      </c>
      <c r="I3924" s="8" t="s">
        <v>12049</v>
      </c>
      <c r="J3924" s="8"/>
    </row>
    <row r="3925">
      <c r="A3925" s="7">
        <v>2.0072298E7</v>
      </c>
      <c r="B3925" s="8" t="s">
        <v>4599</v>
      </c>
      <c r="C3925" s="8" t="s">
        <v>12050</v>
      </c>
      <c r="D3925" s="8" t="s">
        <v>2136</v>
      </c>
      <c r="E3925" s="8" t="s">
        <v>17</v>
      </c>
      <c r="F3925" s="9">
        <v>46190.0</v>
      </c>
      <c r="G3925" s="8" t="s">
        <v>846</v>
      </c>
      <c r="H3925" s="8" t="s">
        <v>847</v>
      </c>
      <c r="I3925" s="8" t="s">
        <v>12051</v>
      </c>
      <c r="J3925" s="8" t="s">
        <v>12052</v>
      </c>
    </row>
    <row r="3926">
      <c r="A3926" s="7">
        <v>2.0062002E7</v>
      </c>
      <c r="B3926" s="8" t="s">
        <v>4599</v>
      </c>
      <c r="C3926" s="8" t="s">
        <v>12053</v>
      </c>
      <c r="D3926" s="8" t="s">
        <v>16</v>
      </c>
      <c r="E3926" s="8" t="s">
        <v>17</v>
      </c>
      <c r="F3926" s="9">
        <v>46154.0</v>
      </c>
      <c r="G3926" s="8" t="s">
        <v>826</v>
      </c>
      <c r="H3926" s="8" t="s">
        <v>7633</v>
      </c>
      <c r="I3926" s="8" t="s">
        <v>12054</v>
      </c>
      <c r="J3926" s="8" t="s">
        <v>12055</v>
      </c>
    </row>
    <row r="3927">
      <c r="A3927" s="7">
        <v>2.0057237E7</v>
      </c>
      <c r="B3927" s="8" t="s">
        <v>4599</v>
      </c>
      <c r="C3927" s="8" t="s">
        <v>12056</v>
      </c>
      <c r="D3927" s="8" t="s">
        <v>16</v>
      </c>
      <c r="E3927" s="8" t="s">
        <v>17</v>
      </c>
      <c r="F3927" s="9">
        <v>46129.0</v>
      </c>
      <c r="G3927" s="8" t="s">
        <v>59</v>
      </c>
      <c r="H3927" s="8" t="s">
        <v>60</v>
      </c>
      <c r="I3927" s="8" t="s">
        <v>12057</v>
      </c>
      <c r="J3927" s="8" t="s">
        <v>12058</v>
      </c>
    </row>
    <row r="3928">
      <c r="A3928" s="7">
        <v>2.0055705E7</v>
      </c>
      <c r="B3928" s="8" t="s">
        <v>4599</v>
      </c>
      <c r="C3928" s="8" t="s">
        <v>12059</v>
      </c>
      <c r="D3928" s="8" t="s">
        <v>16</v>
      </c>
      <c r="E3928" s="8" t="s">
        <v>17</v>
      </c>
      <c r="F3928" s="9">
        <v>46127.0</v>
      </c>
      <c r="G3928" s="8" t="s">
        <v>59</v>
      </c>
      <c r="H3928" s="8" t="s">
        <v>60</v>
      </c>
      <c r="I3928" s="8" t="s">
        <v>12060</v>
      </c>
      <c r="J3928" s="8" t="s">
        <v>12061</v>
      </c>
    </row>
    <row r="3929">
      <c r="A3929" s="7">
        <v>2.0055865E7</v>
      </c>
      <c r="B3929" s="8" t="s">
        <v>4599</v>
      </c>
      <c r="C3929" s="8" t="s">
        <v>12062</v>
      </c>
      <c r="D3929" s="8" t="s">
        <v>16</v>
      </c>
      <c r="E3929" s="8" t="s">
        <v>17</v>
      </c>
      <c r="F3929" s="9">
        <v>46142.0</v>
      </c>
      <c r="G3929" s="8" t="s">
        <v>3396</v>
      </c>
      <c r="H3929" s="8" t="s">
        <v>3397</v>
      </c>
      <c r="I3929" s="8" t="s">
        <v>12063</v>
      </c>
      <c r="J3929" s="8" t="s">
        <v>12064</v>
      </c>
    </row>
    <row r="3930">
      <c r="A3930" s="7">
        <v>2.0053644E7</v>
      </c>
      <c r="B3930" s="8" t="s">
        <v>4599</v>
      </c>
      <c r="C3930" s="8" t="s">
        <v>12065</v>
      </c>
      <c r="D3930" s="8" t="s">
        <v>16</v>
      </c>
      <c r="E3930" s="8" t="s">
        <v>17</v>
      </c>
      <c r="F3930" s="9">
        <v>46112.0</v>
      </c>
      <c r="G3930" s="8" t="s">
        <v>59</v>
      </c>
      <c r="H3930" s="8" t="s">
        <v>60</v>
      </c>
      <c r="I3930" s="8" t="s">
        <v>12066</v>
      </c>
      <c r="J3930" s="8" t="s">
        <v>12067</v>
      </c>
    </row>
    <row r="3931">
      <c r="A3931" s="7">
        <v>2.0046864E7</v>
      </c>
      <c r="B3931" s="8" t="s">
        <v>4599</v>
      </c>
      <c r="C3931" s="8" t="s">
        <v>12068</v>
      </c>
      <c r="D3931" s="8" t="s">
        <v>16</v>
      </c>
      <c r="E3931" s="8" t="s">
        <v>17</v>
      </c>
      <c r="F3931" s="9">
        <v>46092.0</v>
      </c>
      <c r="G3931" s="8" t="s">
        <v>12069</v>
      </c>
      <c r="H3931" s="8" t="s">
        <v>12070</v>
      </c>
      <c r="I3931" s="8" t="s">
        <v>12071</v>
      </c>
      <c r="J3931" s="8"/>
    </row>
    <row r="3932">
      <c r="A3932" s="7">
        <v>2.0046199E7</v>
      </c>
      <c r="B3932" s="8" t="s">
        <v>4599</v>
      </c>
      <c r="C3932" s="8" t="s">
        <v>12072</v>
      </c>
      <c r="D3932" s="8" t="s">
        <v>16</v>
      </c>
      <c r="E3932" s="8" t="s">
        <v>17</v>
      </c>
      <c r="F3932" s="9">
        <v>46092.0</v>
      </c>
      <c r="G3932" s="8" t="s">
        <v>12073</v>
      </c>
      <c r="H3932" s="8" t="s">
        <v>12074</v>
      </c>
      <c r="I3932" s="8" t="s">
        <v>12075</v>
      </c>
      <c r="J3932" s="8" t="s">
        <v>12076</v>
      </c>
    </row>
    <row r="3933">
      <c r="A3933" s="7">
        <v>2.0043682E7</v>
      </c>
      <c r="B3933" s="8" t="s">
        <v>4599</v>
      </c>
      <c r="C3933" s="8" t="s">
        <v>12077</v>
      </c>
      <c r="D3933" s="8" t="s">
        <v>16</v>
      </c>
      <c r="E3933" s="8" t="s">
        <v>17</v>
      </c>
      <c r="F3933" s="9">
        <v>46092.0</v>
      </c>
      <c r="G3933" s="8" t="s">
        <v>630</v>
      </c>
      <c r="H3933" s="8" t="s">
        <v>631</v>
      </c>
      <c r="I3933" s="8" t="s">
        <v>12078</v>
      </c>
      <c r="J3933" s="8"/>
    </row>
    <row r="3934">
      <c r="A3934" s="7">
        <v>2.0038308E7</v>
      </c>
      <c r="B3934" s="8" t="s">
        <v>4599</v>
      </c>
      <c r="C3934" s="8" t="s">
        <v>12079</v>
      </c>
      <c r="D3934" s="8" t="s">
        <v>16</v>
      </c>
      <c r="E3934" s="8" t="s">
        <v>17</v>
      </c>
      <c r="F3934" s="9">
        <v>46060.0</v>
      </c>
      <c r="G3934" s="8" t="s">
        <v>247</v>
      </c>
      <c r="H3934" s="8" t="s">
        <v>248</v>
      </c>
      <c r="I3934" s="8" t="s">
        <v>12080</v>
      </c>
      <c r="J3934" s="8" t="s">
        <v>12081</v>
      </c>
    </row>
    <row r="3935">
      <c r="A3935" s="7">
        <v>2.003852E7</v>
      </c>
      <c r="B3935" s="8" t="s">
        <v>4599</v>
      </c>
      <c r="C3935" s="8" t="s">
        <v>12082</v>
      </c>
      <c r="D3935" s="8" t="s">
        <v>16</v>
      </c>
      <c r="E3935" s="8" t="s">
        <v>17</v>
      </c>
      <c r="F3935" s="9">
        <v>46064.0</v>
      </c>
      <c r="G3935" s="8" t="s">
        <v>826</v>
      </c>
      <c r="H3935" s="8" t="s">
        <v>827</v>
      </c>
      <c r="I3935" s="8" t="s">
        <v>12083</v>
      </c>
      <c r="J3935" s="8" t="s">
        <v>12084</v>
      </c>
    </row>
    <row r="3936">
      <c r="A3936" s="7">
        <v>2.0037718E7</v>
      </c>
      <c r="B3936" s="8" t="s">
        <v>4599</v>
      </c>
      <c r="C3936" s="8" t="s">
        <v>12085</v>
      </c>
      <c r="D3936" s="8" t="s">
        <v>16</v>
      </c>
      <c r="E3936" s="8" t="s">
        <v>17</v>
      </c>
      <c r="F3936" s="9">
        <v>46051.0</v>
      </c>
      <c r="G3936" s="8" t="s">
        <v>517</v>
      </c>
      <c r="H3936" s="8" t="s">
        <v>518</v>
      </c>
      <c r="I3936" s="8" t="s">
        <v>12086</v>
      </c>
      <c r="J3936" s="8" t="s">
        <v>12087</v>
      </c>
    </row>
    <row r="3937">
      <c r="A3937" s="7">
        <v>2.0072088E7</v>
      </c>
      <c r="B3937" s="8" t="s">
        <v>4599</v>
      </c>
      <c r="C3937" s="8" t="s">
        <v>12088</v>
      </c>
      <c r="D3937" s="8" t="s">
        <v>2136</v>
      </c>
      <c r="E3937" s="8" t="s">
        <v>17</v>
      </c>
      <c r="F3937" s="9">
        <v>46190.0</v>
      </c>
      <c r="G3937" s="8" t="s">
        <v>59</v>
      </c>
      <c r="H3937" s="8" t="s">
        <v>60</v>
      </c>
      <c r="I3937" s="8" t="s">
        <v>12089</v>
      </c>
      <c r="J3937" s="8" t="s">
        <v>12090</v>
      </c>
    </row>
    <row r="3938">
      <c r="A3938" s="7">
        <v>2.0071694E7</v>
      </c>
      <c r="B3938" s="8" t="s">
        <v>4599</v>
      </c>
      <c r="C3938" s="8" t="s">
        <v>12091</v>
      </c>
      <c r="D3938" s="8" t="s">
        <v>16</v>
      </c>
      <c r="E3938" s="8" t="s">
        <v>17</v>
      </c>
      <c r="F3938" s="9">
        <v>46191.0</v>
      </c>
      <c r="G3938" s="8" t="s">
        <v>34</v>
      </c>
      <c r="H3938" s="8" t="s">
        <v>35</v>
      </c>
      <c r="I3938" s="8" t="s">
        <v>12092</v>
      </c>
      <c r="J3938" s="8" t="s">
        <v>12093</v>
      </c>
    </row>
    <row r="3939">
      <c r="A3939" s="7">
        <v>2.006927E7</v>
      </c>
      <c r="B3939" s="8" t="s">
        <v>4599</v>
      </c>
      <c r="C3939" s="8" t="s">
        <v>12094</v>
      </c>
      <c r="D3939" s="8" t="s">
        <v>16</v>
      </c>
      <c r="E3939" s="8" t="s">
        <v>17</v>
      </c>
      <c r="F3939" s="9">
        <v>46185.0</v>
      </c>
      <c r="G3939" s="8" t="s">
        <v>59</v>
      </c>
      <c r="H3939" s="8" t="s">
        <v>60</v>
      </c>
      <c r="I3939" s="8" t="s">
        <v>12095</v>
      </c>
      <c r="J3939" s="8" t="s">
        <v>12096</v>
      </c>
    </row>
    <row r="3940">
      <c r="A3940" s="7">
        <v>2.0067061E7</v>
      </c>
      <c r="B3940" s="8" t="s">
        <v>4599</v>
      </c>
      <c r="C3940" s="8" t="s">
        <v>12097</v>
      </c>
      <c r="D3940" s="8" t="s">
        <v>16</v>
      </c>
      <c r="E3940" s="8" t="s">
        <v>17</v>
      </c>
      <c r="F3940" s="9">
        <v>46180.0</v>
      </c>
      <c r="G3940" s="8" t="s">
        <v>75</v>
      </c>
      <c r="H3940" s="8" t="s">
        <v>76</v>
      </c>
      <c r="I3940" s="8" t="s">
        <v>12098</v>
      </c>
      <c r="J3940" s="8" t="s">
        <v>12099</v>
      </c>
    </row>
    <row r="3941">
      <c r="A3941" s="7">
        <v>2.0068185E7</v>
      </c>
      <c r="B3941" s="8" t="s">
        <v>4599</v>
      </c>
      <c r="C3941" s="8" t="s">
        <v>12100</v>
      </c>
      <c r="D3941" s="8" t="s">
        <v>16</v>
      </c>
      <c r="E3941" s="8" t="s">
        <v>17</v>
      </c>
      <c r="F3941" s="9">
        <v>46174.0</v>
      </c>
      <c r="G3941" s="8" t="s">
        <v>91</v>
      </c>
      <c r="H3941" s="8" t="s">
        <v>92</v>
      </c>
      <c r="I3941" s="8" t="s">
        <v>12101</v>
      </c>
      <c r="J3941" s="8" t="s">
        <v>12102</v>
      </c>
    </row>
    <row r="3942">
      <c r="A3942" s="7">
        <v>2.0064679E7</v>
      </c>
      <c r="B3942" s="8" t="s">
        <v>4599</v>
      </c>
      <c r="C3942" s="8" t="s">
        <v>12103</v>
      </c>
      <c r="D3942" s="8" t="s">
        <v>16</v>
      </c>
      <c r="E3942" s="8" t="s">
        <v>17</v>
      </c>
      <c r="F3942" s="9">
        <v>46164.0</v>
      </c>
      <c r="G3942" s="8" t="s">
        <v>109</v>
      </c>
      <c r="H3942" s="8" t="s">
        <v>110</v>
      </c>
      <c r="I3942" s="8" t="s">
        <v>12104</v>
      </c>
      <c r="J3942" s="8" t="s">
        <v>12105</v>
      </c>
    </row>
    <row r="3943">
      <c r="A3943" s="7">
        <v>2.0063562E7</v>
      </c>
      <c r="B3943" s="8" t="s">
        <v>4599</v>
      </c>
      <c r="C3943" s="8" t="s">
        <v>12106</v>
      </c>
      <c r="D3943" s="8" t="s">
        <v>2136</v>
      </c>
      <c r="E3943" s="8" t="s">
        <v>17</v>
      </c>
      <c r="F3943" s="9">
        <v>46155.0</v>
      </c>
      <c r="G3943" s="8" t="s">
        <v>868</v>
      </c>
      <c r="H3943" s="8" t="s">
        <v>869</v>
      </c>
      <c r="I3943" s="8" t="s">
        <v>12107</v>
      </c>
      <c r="J3943" s="8" t="s">
        <v>12108</v>
      </c>
    </row>
    <row r="3944">
      <c r="A3944" s="7">
        <v>2.0053855E7</v>
      </c>
      <c r="B3944" s="8" t="s">
        <v>4599</v>
      </c>
      <c r="C3944" s="8" t="s">
        <v>12109</v>
      </c>
      <c r="D3944" s="8" t="s">
        <v>16</v>
      </c>
      <c r="E3944" s="8" t="s">
        <v>17</v>
      </c>
      <c r="F3944" s="9">
        <v>46136.0</v>
      </c>
      <c r="G3944" s="8" t="s">
        <v>158</v>
      </c>
      <c r="H3944" s="8" t="s">
        <v>159</v>
      </c>
      <c r="I3944" s="8" t="s">
        <v>12110</v>
      </c>
      <c r="J3944" s="8" t="s">
        <v>12111</v>
      </c>
    </row>
    <row r="3945">
      <c r="A3945" s="7">
        <v>2.005316E7</v>
      </c>
      <c r="B3945" s="8" t="s">
        <v>4599</v>
      </c>
      <c r="C3945" s="8" t="s">
        <v>12112</v>
      </c>
      <c r="D3945" s="8" t="s">
        <v>16</v>
      </c>
      <c r="E3945" s="8" t="s">
        <v>17</v>
      </c>
      <c r="F3945" s="9">
        <v>46110.0</v>
      </c>
      <c r="G3945" s="8" t="s">
        <v>153</v>
      </c>
      <c r="H3945" s="8" t="s">
        <v>154</v>
      </c>
      <c r="I3945" s="8" t="s">
        <v>12113</v>
      </c>
      <c r="J3945" s="8" t="s">
        <v>12114</v>
      </c>
    </row>
    <row r="3946">
      <c r="A3946" s="7">
        <v>2.0050684E7</v>
      </c>
      <c r="B3946" s="8" t="s">
        <v>4599</v>
      </c>
      <c r="C3946" s="8" t="s">
        <v>12115</v>
      </c>
      <c r="D3946" s="8" t="s">
        <v>16</v>
      </c>
      <c r="E3946" s="8" t="s">
        <v>17</v>
      </c>
      <c r="F3946" s="9">
        <v>46101.0</v>
      </c>
      <c r="G3946" s="8" t="s">
        <v>365</v>
      </c>
      <c r="H3946" s="8" t="s">
        <v>366</v>
      </c>
      <c r="I3946" s="8" t="s">
        <v>12116</v>
      </c>
      <c r="J3946" s="8" t="s">
        <v>12117</v>
      </c>
    </row>
    <row r="3947">
      <c r="A3947" s="7">
        <v>2.005057E7</v>
      </c>
      <c r="B3947" s="8" t="s">
        <v>4599</v>
      </c>
      <c r="C3947" s="8" t="s">
        <v>12118</v>
      </c>
      <c r="D3947" s="8" t="s">
        <v>16</v>
      </c>
      <c r="E3947" s="8" t="s">
        <v>17</v>
      </c>
      <c r="F3947" s="9">
        <v>46105.0</v>
      </c>
      <c r="G3947" s="8" t="s">
        <v>365</v>
      </c>
      <c r="H3947" s="8" t="s">
        <v>366</v>
      </c>
      <c r="I3947" s="8" t="s">
        <v>12119</v>
      </c>
      <c r="J3947" s="8" t="s">
        <v>12120</v>
      </c>
    </row>
    <row r="3948">
      <c r="A3948" s="7">
        <v>2.0048679E7</v>
      </c>
      <c r="B3948" s="8" t="s">
        <v>4599</v>
      </c>
      <c r="C3948" s="8" t="s">
        <v>12121</v>
      </c>
      <c r="D3948" s="8" t="s">
        <v>16</v>
      </c>
      <c r="E3948" s="8" t="s">
        <v>17</v>
      </c>
      <c r="F3948" s="9">
        <v>46091.0</v>
      </c>
      <c r="G3948" s="8" t="s">
        <v>59</v>
      </c>
      <c r="H3948" s="8" t="s">
        <v>60</v>
      </c>
      <c r="I3948" s="8" t="s">
        <v>12122</v>
      </c>
      <c r="J3948" s="8" t="s">
        <v>12123</v>
      </c>
    </row>
    <row r="3949">
      <c r="A3949" s="7">
        <v>2.0047664E7</v>
      </c>
      <c r="B3949" s="8" t="s">
        <v>4599</v>
      </c>
      <c r="C3949" s="8" t="s">
        <v>12124</v>
      </c>
      <c r="D3949" s="8" t="s">
        <v>16</v>
      </c>
      <c r="E3949" s="8" t="s">
        <v>17</v>
      </c>
      <c r="F3949" s="9">
        <v>46099.0</v>
      </c>
      <c r="G3949" s="8" t="s">
        <v>109</v>
      </c>
      <c r="H3949" s="8" t="s">
        <v>110</v>
      </c>
      <c r="I3949" s="8" t="s">
        <v>12125</v>
      </c>
      <c r="J3949" s="8" t="s">
        <v>12126</v>
      </c>
    </row>
    <row r="3950">
      <c r="A3950" s="7">
        <v>2.0048007E7</v>
      </c>
      <c r="B3950" s="8" t="s">
        <v>4599</v>
      </c>
      <c r="C3950" s="8" t="s">
        <v>12127</v>
      </c>
      <c r="D3950" s="8" t="s">
        <v>16</v>
      </c>
      <c r="E3950" s="8" t="s">
        <v>17</v>
      </c>
      <c r="F3950" s="9">
        <v>46095.0</v>
      </c>
      <c r="G3950" s="8" t="s">
        <v>1431</v>
      </c>
      <c r="H3950" s="8" t="s">
        <v>1432</v>
      </c>
      <c r="I3950" s="8" t="s">
        <v>12128</v>
      </c>
      <c r="J3950" s="8" t="s">
        <v>12129</v>
      </c>
    </row>
    <row r="3951">
      <c r="A3951" s="7">
        <v>2.0046372E7</v>
      </c>
      <c r="B3951" s="8" t="s">
        <v>4599</v>
      </c>
      <c r="C3951" s="8" t="s">
        <v>12130</v>
      </c>
      <c r="D3951" s="8" t="s">
        <v>16</v>
      </c>
      <c r="E3951" s="8" t="s">
        <v>17</v>
      </c>
      <c r="F3951" s="9">
        <v>46109.0</v>
      </c>
      <c r="G3951" s="8" t="s">
        <v>374</v>
      </c>
      <c r="H3951" s="8" t="s">
        <v>375</v>
      </c>
      <c r="I3951" s="8" t="s">
        <v>12131</v>
      </c>
      <c r="J3951" s="8"/>
    </row>
    <row r="3952">
      <c r="A3952" s="7">
        <v>2.00377E7</v>
      </c>
      <c r="B3952" s="8" t="s">
        <v>4599</v>
      </c>
      <c r="C3952" s="8" t="s">
        <v>12132</v>
      </c>
      <c r="D3952" s="8" t="s">
        <v>2136</v>
      </c>
      <c r="E3952" s="8" t="s">
        <v>17</v>
      </c>
      <c r="F3952" s="9">
        <v>46059.0</v>
      </c>
      <c r="G3952" s="8" t="s">
        <v>109</v>
      </c>
      <c r="H3952" s="8" t="s">
        <v>110</v>
      </c>
      <c r="I3952" s="8" t="s">
        <v>12133</v>
      </c>
      <c r="J3952" s="8" t="s">
        <v>12134</v>
      </c>
    </row>
    <row r="3953">
      <c r="A3953" s="7">
        <v>2.0036404E7</v>
      </c>
      <c r="B3953" s="8" t="s">
        <v>4599</v>
      </c>
      <c r="C3953" s="8" t="s">
        <v>12135</v>
      </c>
      <c r="D3953" s="8" t="s">
        <v>16</v>
      </c>
      <c r="E3953" s="8" t="s">
        <v>17</v>
      </c>
      <c r="F3953" s="9">
        <v>46049.0</v>
      </c>
      <c r="G3953" s="8" t="s">
        <v>923</v>
      </c>
      <c r="H3953" s="8" t="s">
        <v>71</v>
      </c>
      <c r="I3953" s="8" t="s">
        <v>12136</v>
      </c>
      <c r="J3953" s="8" t="s">
        <v>12137</v>
      </c>
    </row>
    <row r="3954">
      <c r="A3954" s="7">
        <v>2.0035055E7</v>
      </c>
      <c r="B3954" s="8" t="s">
        <v>4599</v>
      </c>
      <c r="C3954" s="8" t="s">
        <v>12138</v>
      </c>
      <c r="D3954" s="8" t="s">
        <v>16</v>
      </c>
      <c r="E3954" s="8" t="s">
        <v>17</v>
      </c>
      <c r="F3954" s="9">
        <v>46039.0</v>
      </c>
      <c r="G3954" s="8" t="s">
        <v>873</v>
      </c>
      <c r="H3954" s="8" t="s">
        <v>874</v>
      </c>
      <c r="I3954" s="8" t="s">
        <v>12139</v>
      </c>
      <c r="J3954" s="8" t="s">
        <v>12140</v>
      </c>
    </row>
    <row r="3955">
      <c r="A3955" s="7">
        <v>2.0034593E7</v>
      </c>
      <c r="B3955" s="8" t="s">
        <v>4599</v>
      </c>
      <c r="C3955" s="8" t="s">
        <v>12141</v>
      </c>
      <c r="D3955" s="8" t="s">
        <v>16</v>
      </c>
      <c r="E3955" s="8" t="s">
        <v>17</v>
      </c>
      <c r="F3955" s="9">
        <v>46039.0</v>
      </c>
      <c r="G3955" s="8" t="s">
        <v>852</v>
      </c>
      <c r="H3955" s="8" t="s">
        <v>853</v>
      </c>
      <c r="I3955" s="8" t="s">
        <v>12142</v>
      </c>
      <c r="J3955" s="8" t="s">
        <v>12143</v>
      </c>
    </row>
    <row r="3956">
      <c r="A3956" s="7">
        <v>2.0033312E7</v>
      </c>
      <c r="B3956" s="8" t="s">
        <v>4599</v>
      </c>
      <c r="C3956" s="8" t="s">
        <v>12144</v>
      </c>
      <c r="D3956" s="8" t="s">
        <v>16</v>
      </c>
      <c r="E3956" s="8" t="s">
        <v>17</v>
      </c>
      <c r="F3956" s="9">
        <v>46054.0</v>
      </c>
      <c r="G3956" s="8" t="s">
        <v>12145</v>
      </c>
      <c r="H3956" s="8" t="s">
        <v>12146</v>
      </c>
      <c r="I3956" s="8"/>
      <c r="J3956" s="8" t="s">
        <v>12147</v>
      </c>
    </row>
    <row r="3957">
      <c r="A3957" s="7">
        <v>2.0073096E7</v>
      </c>
      <c r="B3957" s="8" t="s">
        <v>4599</v>
      </c>
      <c r="C3957" s="8" t="s">
        <v>12148</v>
      </c>
      <c r="D3957" s="8" t="s">
        <v>2136</v>
      </c>
      <c r="E3957" s="8" t="s">
        <v>17</v>
      </c>
      <c r="F3957" s="9">
        <v>46193.0</v>
      </c>
      <c r="G3957" s="8" t="s">
        <v>247</v>
      </c>
      <c r="H3957" s="8" t="s">
        <v>248</v>
      </c>
      <c r="I3957" s="8" t="s">
        <v>12149</v>
      </c>
      <c r="J3957" s="8" t="s">
        <v>12150</v>
      </c>
    </row>
    <row r="3958">
      <c r="A3958" s="7">
        <v>2.0070285E7</v>
      </c>
      <c r="B3958" s="8" t="s">
        <v>4599</v>
      </c>
      <c r="C3958" s="8" t="s">
        <v>12151</v>
      </c>
      <c r="D3958" s="8" t="s">
        <v>2136</v>
      </c>
      <c r="E3958" s="8" t="s">
        <v>17</v>
      </c>
      <c r="F3958" s="9">
        <v>46189.0</v>
      </c>
      <c r="G3958" s="8" t="s">
        <v>234</v>
      </c>
      <c r="H3958" s="8" t="s">
        <v>235</v>
      </c>
      <c r="I3958" s="8" t="s">
        <v>12152</v>
      </c>
      <c r="J3958" s="8" t="s">
        <v>12153</v>
      </c>
    </row>
    <row r="3959">
      <c r="A3959" s="7">
        <v>2.0064943E7</v>
      </c>
      <c r="B3959" s="8" t="s">
        <v>4599</v>
      </c>
      <c r="C3959" s="8" t="s">
        <v>12154</v>
      </c>
      <c r="D3959" s="8" t="s">
        <v>16</v>
      </c>
      <c r="E3959" s="8" t="s">
        <v>17</v>
      </c>
      <c r="F3959" s="9">
        <v>46172.0</v>
      </c>
      <c r="G3959" s="8" t="s">
        <v>54</v>
      </c>
      <c r="H3959" s="8" t="s">
        <v>6010</v>
      </c>
      <c r="I3959" s="8" t="s">
        <v>12155</v>
      </c>
      <c r="J3959" s="8" t="s">
        <v>12156</v>
      </c>
    </row>
    <row r="3960">
      <c r="A3960" s="7">
        <v>2.0063535E7</v>
      </c>
      <c r="B3960" s="8" t="s">
        <v>4599</v>
      </c>
      <c r="C3960" s="8" t="s">
        <v>12157</v>
      </c>
      <c r="D3960" s="8" t="s">
        <v>16</v>
      </c>
      <c r="E3960" s="8" t="s">
        <v>17</v>
      </c>
      <c r="F3960" s="9">
        <v>46176.0</v>
      </c>
      <c r="G3960" s="8" t="s">
        <v>923</v>
      </c>
      <c r="H3960" s="8" t="s">
        <v>7274</v>
      </c>
      <c r="I3960" s="8" t="s">
        <v>12158</v>
      </c>
      <c r="J3960" s="8" t="s">
        <v>12159</v>
      </c>
    </row>
    <row r="3961">
      <c r="A3961" s="7">
        <v>2.0060814E7</v>
      </c>
      <c r="B3961" s="8" t="s">
        <v>4599</v>
      </c>
      <c r="C3961" s="8" t="s">
        <v>12160</v>
      </c>
      <c r="D3961" s="8" t="s">
        <v>16</v>
      </c>
      <c r="E3961" s="8" t="s">
        <v>17</v>
      </c>
      <c r="F3961" s="9">
        <v>46152.0</v>
      </c>
      <c r="G3961" s="8" t="s">
        <v>59</v>
      </c>
      <c r="H3961" s="8" t="s">
        <v>60</v>
      </c>
      <c r="I3961" s="8" t="s">
        <v>12161</v>
      </c>
      <c r="J3961" s="8" t="s">
        <v>12162</v>
      </c>
    </row>
    <row r="3962">
      <c r="A3962" s="7">
        <v>2.0059441E7</v>
      </c>
      <c r="B3962" s="8" t="s">
        <v>4599</v>
      </c>
      <c r="C3962" s="8" t="s">
        <v>12163</v>
      </c>
      <c r="D3962" s="8" t="s">
        <v>16</v>
      </c>
      <c r="E3962" s="8" t="s">
        <v>17</v>
      </c>
      <c r="F3962" s="9">
        <v>46138.0</v>
      </c>
      <c r="G3962" s="8" t="s">
        <v>59</v>
      </c>
      <c r="H3962" s="8" t="s">
        <v>60</v>
      </c>
      <c r="I3962" s="8" t="s">
        <v>12164</v>
      </c>
      <c r="J3962" s="8" t="s">
        <v>12165</v>
      </c>
    </row>
    <row r="3963">
      <c r="A3963" s="7">
        <v>2.0059201E7</v>
      </c>
      <c r="B3963" s="8" t="s">
        <v>4599</v>
      </c>
      <c r="C3963" s="8" t="s">
        <v>12166</v>
      </c>
      <c r="D3963" s="8" t="s">
        <v>16</v>
      </c>
      <c r="E3963" s="8" t="s">
        <v>17</v>
      </c>
      <c r="F3963" s="9">
        <v>46137.0</v>
      </c>
      <c r="G3963" s="8" t="s">
        <v>868</v>
      </c>
      <c r="H3963" s="8" t="s">
        <v>869</v>
      </c>
      <c r="I3963" s="8" t="s">
        <v>12167</v>
      </c>
      <c r="J3963" s="8" t="s">
        <v>12168</v>
      </c>
    </row>
    <row r="3964">
      <c r="A3964" s="7">
        <v>2.0059043E7</v>
      </c>
      <c r="B3964" s="8" t="s">
        <v>4599</v>
      </c>
      <c r="C3964" s="8" t="s">
        <v>12169</v>
      </c>
      <c r="D3964" s="8" t="s">
        <v>16</v>
      </c>
      <c r="E3964" s="8" t="s">
        <v>17</v>
      </c>
      <c r="F3964" s="9">
        <v>46183.0</v>
      </c>
      <c r="G3964" s="8" t="s">
        <v>1537</v>
      </c>
      <c r="H3964" s="8" t="s">
        <v>1538</v>
      </c>
      <c r="I3964" s="8" t="s">
        <v>12170</v>
      </c>
      <c r="J3964" s="8" t="s">
        <v>12171</v>
      </c>
    </row>
    <row r="3965">
      <c r="A3965" s="7">
        <v>2.0057368E7</v>
      </c>
      <c r="B3965" s="8" t="s">
        <v>4599</v>
      </c>
      <c r="C3965" s="8" t="s">
        <v>12172</v>
      </c>
      <c r="D3965" s="8" t="s">
        <v>16</v>
      </c>
      <c r="E3965" s="8" t="s">
        <v>17</v>
      </c>
      <c r="F3965" s="9">
        <v>46134.0</v>
      </c>
      <c r="G3965" s="8" t="s">
        <v>400</v>
      </c>
      <c r="H3965" s="8" t="s">
        <v>2144</v>
      </c>
      <c r="I3965" s="8" t="s">
        <v>12173</v>
      </c>
      <c r="J3965" s="8" t="s">
        <v>12174</v>
      </c>
    </row>
    <row r="3966">
      <c r="A3966" s="7">
        <v>2.005751E7</v>
      </c>
      <c r="B3966" s="8" t="s">
        <v>4599</v>
      </c>
      <c r="C3966" s="8" t="s">
        <v>12175</v>
      </c>
      <c r="D3966" s="8" t="s">
        <v>16</v>
      </c>
      <c r="E3966" s="8" t="s">
        <v>17</v>
      </c>
      <c r="F3966" s="9">
        <v>46130.0</v>
      </c>
      <c r="G3966" s="8" t="s">
        <v>846</v>
      </c>
      <c r="H3966" s="8" t="s">
        <v>847</v>
      </c>
      <c r="I3966" s="8" t="s">
        <v>12176</v>
      </c>
      <c r="J3966" s="8" t="s">
        <v>12177</v>
      </c>
    </row>
    <row r="3967">
      <c r="A3967" s="7">
        <v>2.0055526E7</v>
      </c>
      <c r="B3967" s="8" t="s">
        <v>4599</v>
      </c>
      <c r="C3967" s="8" t="s">
        <v>12178</v>
      </c>
      <c r="D3967" s="8" t="s">
        <v>16</v>
      </c>
      <c r="E3967" s="8" t="s">
        <v>17</v>
      </c>
      <c r="F3967" s="9">
        <v>46140.0</v>
      </c>
      <c r="G3967" s="8" t="s">
        <v>601</v>
      </c>
      <c r="H3967" s="8" t="s">
        <v>602</v>
      </c>
      <c r="I3967" s="8" t="s">
        <v>12179</v>
      </c>
      <c r="J3967" s="8" t="s">
        <v>12180</v>
      </c>
    </row>
    <row r="3968">
      <c r="A3968" s="7">
        <v>2.0053359E7</v>
      </c>
      <c r="B3968" s="8" t="s">
        <v>4599</v>
      </c>
      <c r="C3968" s="8" t="s">
        <v>12181</v>
      </c>
      <c r="D3968" s="8" t="s">
        <v>16</v>
      </c>
      <c r="E3968" s="8" t="s">
        <v>17</v>
      </c>
      <c r="F3968" s="9">
        <v>46126.0</v>
      </c>
      <c r="G3968" s="8" t="s">
        <v>1998</v>
      </c>
      <c r="H3968" s="8" t="s">
        <v>1999</v>
      </c>
      <c r="I3968" s="8" t="s">
        <v>12182</v>
      </c>
      <c r="J3968" s="8" t="s">
        <v>12183</v>
      </c>
    </row>
    <row r="3969">
      <c r="A3969" s="7">
        <v>2.004856E7</v>
      </c>
      <c r="B3969" s="8" t="s">
        <v>4599</v>
      </c>
      <c r="C3969" s="8" t="s">
        <v>12184</v>
      </c>
      <c r="D3969" s="8" t="s">
        <v>16</v>
      </c>
      <c r="E3969" s="8" t="s">
        <v>17</v>
      </c>
      <c r="F3969" s="9">
        <v>46093.0</v>
      </c>
      <c r="G3969" s="8" t="s">
        <v>59</v>
      </c>
      <c r="H3969" s="8" t="s">
        <v>60</v>
      </c>
      <c r="I3969" s="8" t="s">
        <v>12185</v>
      </c>
      <c r="J3969" s="8" t="s">
        <v>12186</v>
      </c>
    </row>
    <row r="3970">
      <c r="A3970" s="7">
        <v>2.0047679E7</v>
      </c>
      <c r="B3970" s="8" t="s">
        <v>4599</v>
      </c>
      <c r="C3970" s="8" t="s">
        <v>12187</v>
      </c>
      <c r="D3970" s="8" t="s">
        <v>16</v>
      </c>
      <c r="E3970" s="8" t="s">
        <v>17</v>
      </c>
      <c r="F3970" s="9">
        <v>46110.0</v>
      </c>
      <c r="G3970" s="8" t="s">
        <v>158</v>
      </c>
      <c r="H3970" s="8" t="s">
        <v>159</v>
      </c>
      <c r="I3970" s="8" t="s">
        <v>12188</v>
      </c>
      <c r="J3970" s="8" t="s">
        <v>12189</v>
      </c>
    </row>
    <row r="3971">
      <c r="A3971" s="7">
        <v>2.00462E7</v>
      </c>
      <c r="B3971" s="8" t="s">
        <v>4599</v>
      </c>
      <c r="C3971" s="8" t="s">
        <v>12190</v>
      </c>
      <c r="D3971" s="8" t="s">
        <v>16</v>
      </c>
      <c r="E3971" s="8" t="s">
        <v>17</v>
      </c>
      <c r="F3971" s="9">
        <v>46083.0</v>
      </c>
      <c r="G3971" s="8" t="s">
        <v>868</v>
      </c>
      <c r="H3971" s="8" t="s">
        <v>869</v>
      </c>
      <c r="I3971" s="8" t="s">
        <v>12191</v>
      </c>
      <c r="J3971" s="8" t="s">
        <v>12192</v>
      </c>
    </row>
    <row r="3972">
      <c r="A3972" s="7">
        <v>2.0043513E7</v>
      </c>
      <c r="B3972" s="8" t="s">
        <v>4599</v>
      </c>
      <c r="C3972" s="8" t="s">
        <v>12193</v>
      </c>
      <c r="D3972" s="8" t="s">
        <v>16</v>
      </c>
      <c r="E3972" s="8" t="s">
        <v>17</v>
      </c>
      <c r="F3972" s="9">
        <v>46072.0</v>
      </c>
      <c r="G3972" s="8" t="s">
        <v>91</v>
      </c>
      <c r="H3972" s="8" t="s">
        <v>92</v>
      </c>
      <c r="I3972" s="8" t="s">
        <v>12194</v>
      </c>
      <c r="J3972" s="8" t="s">
        <v>12195</v>
      </c>
    </row>
    <row r="3973">
      <c r="A3973" s="7">
        <v>2.0043265E7</v>
      </c>
      <c r="B3973" s="8" t="s">
        <v>4599</v>
      </c>
      <c r="C3973" s="8" t="s">
        <v>12196</v>
      </c>
      <c r="D3973" s="8" t="s">
        <v>16</v>
      </c>
      <c r="E3973" s="8" t="s">
        <v>17</v>
      </c>
      <c r="F3973" s="9">
        <v>46075.0</v>
      </c>
      <c r="G3973" s="8" t="s">
        <v>1949</v>
      </c>
      <c r="H3973" s="8" t="s">
        <v>1950</v>
      </c>
      <c r="I3973" s="8" t="s">
        <v>12197</v>
      </c>
      <c r="J3973" s="8" t="s">
        <v>12198</v>
      </c>
    </row>
    <row r="3974">
      <c r="A3974" s="7">
        <v>2.004218E7</v>
      </c>
      <c r="B3974" s="8" t="s">
        <v>4599</v>
      </c>
      <c r="C3974" s="8" t="s">
        <v>12199</v>
      </c>
      <c r="D3974" s="8" t="s">
        <v>16</v>
      </c>
      <c r="E3974" s="8" t="s">
        <v>17</v>
      </c>
      <c r="F3974" s="9">
        <v>46086.0</v>
      </c>
      <c r="G3974" s="8" t="s">
        <v>2666</v>
      </c>
      <c r="H3974" s="8" t="s">
        <v>2667</v>
      </c>
      <c r="I3974" s="8" t="s">
        <v>12200</v>
      </c>
      <c r="J3974" s="8"/>
    </row>
    <row r="3975">
      <c r="A3975" s="7">
        <v>2.0040532E7</v>
      </c>
      <c r="B3975" s="8" t="s">
        <v>4599</v>
      </c>
      <c r="C3975" s="8" t="s">
        <v>12201</v>
      </c>
      <c r="D3975" s="8" t="s">
        <v>16</v>
      </c>
      <c r="E3975" s="8" t="s">
        <v>17</v>
      </c>
      <c r="F3975" s="9">
        <v>46068.0</v>
      </c>
      <c r="G3975" s="8" t="s">
        <v>805</v>
      </c>
      <c r="H3975" s="8" t="s">
        <v>806</v>
      </c>
      <c r="I3975" s="8" t="s">
        <v>12202</v>
      </c>
      <c r="J3975" s="8" t="s">
        <v>12203</v>
      </c>
    </row>
    <row r="3976">
      <c r="A3976" s="7">
        <v>2.003527E7</v>
      </c>
      <c r="B3976" s="8" t="s">
        <v>4599</v>
      </c>
      <c r="C3976" s="8" t="s">
        <v>12204</v>
      </c>
      <c r="D3976" s="8" t="s">
        <v>16</v>
      </c>
      <c r="E3976" s="8" t="s">
        <v>17</v>
      </c>
      <c r="F3976" s="9">
        <v>46076.0</v>
      </c>
      <c r="G3976" s="8" t="s">
        <v>7444</v>
      </c>
      <c r="H3976" s="8" t="s">
        <v>7445</v>
      </c>
      <c r="I3976" s="8" t="s">
        <v>12205</v>
      </c>
      <c r="J3976" s="8" t="s">
        <v>12206</v>
      </c>
    </row>
    <row r="3977">
      <c r="A3977" s="7">
        <v>2.003521E7</v>
      </c>
      <c r="B3977" s="8" t="s">
        <v>4599</v>
      </c>
      <c r="C3977" s="8" t="s">
        <v>12207</v>
      </c>
      <c r="D3977" s="8" t="s">
        <v>16</v>
      </c>
      <c r="E3977" s="8" t="s">
        <v>17</v>
      </c>
      <c r="F3977" s="9">
        <v>46050.0</v>
      </c>
      <c r="G3977" s="8" t="s">
        <v>908</v>
      </c>
      <c r="H3977" s="8" t="s">
        <v>909</v>
      </c>
      <c r="I3977" s="8" t="s">
        <v>12208</v>
      </c>
      <c r="J3977" s="8" t="s">
        <v>12209</v>
      </c>
    </row>
    <row r="3978">
      <c r="A3978" s="7">
        <v>2.003538E7</v>
      </c>
      <c r="B3978" s="8" t="s">
        <v>4599</v>
      </c>
      <c r="C3978" s="8" t="s">
        <v>12210</v>
      </c>
      <c r="D3978" s="8" t="s">
        <v>16</v>
      </c>
      <c r="E3978" s="8" t="s">
        <v>17</v>
      </c>
      <c r="F3978" s="9">
        <v>46046.0</v>
      </c>
      <c r="G3978" s="8" t="s">
        <v>75</v>
      </c>
      <c r="H3978" s="8" t="s">
        <v>76</v>
      </c>
      <c r="I3978" s="8" t="s">
        <v>12211</v>
      </c>
      <c r="J3978" s="8" t="s">
        <v>12212</v>
      </c>
    </row>
    <row r="3979">
      <c r="A3979" s="7">
        <v>2.0036204E7</v>
      </c>
      <c r="B3979" s="8" t="s">
        <v>4599</v>
      </c>
      <c r="C3979" s="8" t="s">
        <v>12213</v>
      </c>
      <c r="D3979" s="8" t="s">
        <v>16</v>
      </c>
      <c r="E3979" s="8" t="s">
        <v>17</v>
      </c>
      <c r="F3979" s="9">
        <v>46048.0</v>
      </c>
      <c r="G3979" s="8" t="s">
        <v>385</v>
      </c>
      <c r="H3979" s="8" t="s">
        <v>386</v>
      </c>
      <c r="I3979" s="8" t="s">
        <v>12214</v>
      </c>
      <c r="J3979" s="8" t="s">
        <v>12215</v>
      </c>
    </row>
    <row r="3980">
      <c r="A3980" s="7">
        <v>2.0070826E7</v>
      </c>
      <c r="B3980" s="8" t="s">
        <v>4599</v>
      </c>
      <c r="C3980" s="8" t="s">
        <v>12216</v>
      </c>
      <c r="D3980" s="8" t="s">
        <v>16</v>
      </c>
      <c r="E3980" s="8" t="s">
        <v>17</v>
      </c>
      <c r="F3980" s="9">
        <v>46187.0</v>
      </c>
      <c r="G3980" s="8" t="s">
        <v>59</v>
      </c>
      <c r="H3980" s="8" t="s">
        <v>60</v>
      </c>
      <c r="I3980" s="8" t="s">
        <v>12217</v>
      </c>
      <c r="J3980" s="8" t="s">
        <v>12218</v>
      </c>
    </row>
    <row r="3981">
      <c r="A3981" s="7">
        <v>2.0067862E7</v>
      </c>
      <c r="B3981" s="8" t="s">
        <v>4599</v>
      </c>
      <c r="C3981" s="8" t="s">
        <v>12219</v>
      </c>
      <c r="D3981" s="8" t="s">
        <v>16</v>
      </c>
      <c r="E3981" s="8" t="s">
        <v>17</v>
      </c>
      <c r="F3981" s="9">
        <v>46186.0</v>
      </c>
      <c r="G3981" s="8" t="s">
        <v>12220</v>
      </c>
      <c r="H3981" s="8" t="s">
        <v>12221</v>
      </c>
      <c r="I3981" s="8" t="s">
        <v>12222</v>
      </c>
      <c r="J3981" s="8" t="s">
        <v>12223</v>
      </c>
    </row>
    <row r="3982">
      <c r="A3982" s="7">
        <v>2.0067846E7</v>
      </c>
      <c r="B3982" s="8" t="s">
        <v>4599</v>
      </c>
      <c r="C3982" s="8" t="s">
        <v>12224</v>
      </c>
      <c r="D3982" s="8" t="s">
        <v>16</v>
      </c>
      <c r="E3982" s="8" t="s">
        <v>17</v>
      </c>
      <c r="F3982" s="9">
        <v>46173.0</v>
      </c>
      <c r="G3982" s="8" t="s">
        <v>91</v>
      </c>
      <c r="H3982" s="8" t="s">
        <v>92</v>
      </c>
      <c r="I3982" s="8" t="s">
        <v>12225</v>
      </c>
      <c r="J3982" s="8" t="s">
        <v>12226</v>
      </c>
    </row>
    <row r="3983">
      <c r="A3983" s="7">
        <v>2.0062674E7</v>
      </c>
      <c r="B3983" s="8" t="s">
        <v>4599</v>
      </c>
      <c r="C3983" s="8" t="s">
        <v>12227</v>
      </c>
      <c r="D3983" s="8" t="s">
        <v>2136</v>
      </c>
      <c r="E3983" s="8" t="s">
        <v>17</v>
      </c>
      <c r="F3983" s="9">
        <v>46151.0</v>
      </c>
      <c r="G3983" s="8" t="s">
        <v>59</v>
      </c>
      <c r="H3983" s="8" t="s">
        <v>60</v>
      </c>
      <c r="I3983" s="8" t="s">
        <v>12228</v>
      </c>
      <c r="J3983" s="8" t="s">
        <v>12229</v>
      </c>
    </row>
    <row r="3984">
      <c r="A3984" s="7">
        <v>2.0060573E7</v>
      </c>
      <c r="B3984" s="8" t="s">
        <v>4599</v>
      </c>
      <c r="C3984" s="8" t="s">
        <v>12230</v>
      </c>
      <c r="D3984" s="8" t="s">
        <v>16</v>
      </c>
      <c r="E3984" s="8" t="s">
        <v>17</v>
      </c>
      <c r="F3984" s="9">
        <v>46151.0</v>
      </c>
      <c r="G3984" s="8" t="s">
        <v>2098</v>
      </c>
      <c r="H3984" s="8" t="s">
        <v>2099</v>
      </c>
      <c r="I3984" s="8" t="s">
        <v>12231</v>
      </c>
      <c r="J3984" s="8" t="s">
        <v>12232</v>
      </c>
    </row>
    <row r="3985">
      <c r="A3985" s="7">
        <v>2.0060573E7</v>
      </c>
      <c r="B3985" s="8" t="s">
        <v>4599</v>
      </c>
      <c r="C3985" s="8" t="s">
        <v>12230</v>
      </c>
      <c r="D3985" s="8" t="s">
        <v>16</v>
      </c>
      <c r="E3985" s="8" t="s">
        <v>17</v>
      </c>
      <c r="F3985" s="9">
        <v>46151.0</v>
      </c>
      <c r="G3985" s="8" t="s">
        <v>195</v>
      </c>
      <c r="H3985" s="8" t="s">
        <v>196</v>
      </c>
      <c r="I3985" s="8" t="s">
        <v>12233</v>
      </c>
      <c r="J3985" s="8" t="s">
        <v>12234</v>
      </c>
    </row>
    <row r="3986">
      <c r="A3986" s="7">
        <v>2.005946E7</v>
      </c>
      <c r="B3986" s="8" t="s">
        <v>4599</v>
      </c>
      <c r="C3986" s="8" t="s">
        <v>12235</v>
      </c>
      <c r="D3986" s="8" t="s">
        <v>16</v>
      </c>
      <c r="E3986" s="8" t="s">
        <v>17</v>
      </c>
      <c r="F3986" s="9">
        <v>46145.0</v>
      </c>
      <c r="G3986" s="8" t="s">
        <v>3088</v>
      </c>
      <c r="H3986" s="8" t="s">
        <v>3089</v>
      </c>
      <c r="I3986" s="8" t="s">
        <v>12236</v>
      </c>
      <c r="J3986" s="8" t="s">
        <v>12237</v>
      </c>
    </row>
    <row r="3987">
      <c r="A3987" s="7">
        <v>2.0058686E7</v>
      </c>
      <c r="B3987" s="8" t="s">
        <v>4599</v>
      </c>
      <c r="C3987" s="8" t="s">
        <v>12238</v>
      </c>
      <c r="D3987" s="8" t="s">
        <v>16</v>
      </c>
      <c r="E3987" s="8" t="s">
        <v>48</v>
      </c>
      <c r="F3987" s="9">
        <v>46135.0</v>
      </c>
      <c r="G3987" s="8" t="s">
        <v>365</v>
      </c>
      <c r="H3987" s="8" t="s">
        <v>366</v>
      </c>
      <c r="I3987" s="8" t="s">
        <v>12239</v>
      </c>
      <c r="J3987" s="8" t="s">
        <v>12240</v>
      </c>
    </row>
    <row r="3988">
      <c r="A3988" s="7">
        <v>2.0058686E7</v>
      </c>
      <c r="B3988" s="8" t="s">
        <v>4599</v>
      </c>
      <c r="C3988" s="8" t="s">
        <v>12238</v>
      </c>
      <c r="D3988" s="8" t="s">
        <v>16</v>
      </c>
      <c r="E3988" s="8" t="s">
        <v>48</v>
      </c>
      <c r="F3988" s="9">
        <v>46135.0</v>
      </c>
      <c r="G3988" s="8" t="s">
        <v>59</v>
      </c>
      <c r="H3988" s="8" t="s">
        <v>60</v>
      </c>
      <c r="I3988" s="8" t="s">
        <v>12241</v>
      </c>
      <c r="J3988" s="8" t="s">
        <v>12242</v>
      </c>
    </row>
    <row r="3989">
      <c r="A3989" s="7">
        <v>2.0056896E7</v>
      </c>
      <c r="B3989" s="8" t="s">
        <v>4599</v>
      </c>
      <c r="C3989" s="8" t="s">
        <v>12243</v>
      </c>
      <c r="D3989" s="8" t="s">
        <v>16</v>
      </c>
      <c r="E3989" s="8" t="s">
        <v>17</v>
      </c>
      <c r="F3989" s="9">
        <v>46130.0</v>
      </c>
      <c r="G3989" s="8" t="s">
        <v>34</v>
      </c>
      <c r="H3989" s="8" t="s">
        <v>35</v>
      </c>
      <c r="I3989" s="8" t="s">
        <v>12244</v>
      </c>
      <c r="J3989" s="8" t="s">
        <v>12245</v>
      </c>
    </row>
    <row r="3990">
      <c r="A3990" s="7">
        <v>2.0054731E7</v>
      </c>
      <c r="B3990" s="8" t="s">
        <v>4599</v>
      </c>
      <c r="C3990" s="8" t="s">
        <v>12246</v>
      </c>
      <c r="D3990" s="8" t="s">
        <v>16</v>
      </c>
      <c r="E3990" s="8" t="s">
        <v>17</v>
      </c>
      <c r="F3990" s="9">
        <v>46124.0</v>
      </c>
      <c r="G3990" s="8" t="s">
        <v>2511</v>
      </c>
      <c r="H3990" s="8" t="s">
        <v>2512</v>
      </c>
      <c r="I3990" s="8" t="s">
        <v>12247</v>
      </c>
      <c r="J3990" s="8" t="s">
        <v>12248</v>
      </c>
    </row>
    <row r="3991">
      <c r="A3991" s="7">
        <v>2.0054906E7</v>
      </c>
      <c r="B3991" s="8" t="s">
        <v>4599</v>
      </c>
      <c r="C3991" s="8" t="s">
        <v>12249</v>
      </c>
      <c r="D3991" s="8" t="s">
        <v>16</v>
      </c>
      <c r="E3991" s="8" t="s">
        <v>17</v>
      </c>
      <c r="F3991" s="9">
        <v>46120.0</v>
      </c>
      <c r="G3991" s="8" t="s">
        <v>91</v>
      </c>
      <c r="H3991" s="8" t="s">
        <v>92</v>
      </c>
      <c r="I3991" s="8" t="s">
        <v>12250</v>
      </c>
      <c r="J3991" s="8" t="s">
        <v>12251</v>
      </c>
    </row>
    <row r="3992">
      <c r="A3992" s="7">
        <v>2.0050487E7</v>
      </c>
      <c r="B3992" s="8" t="s">
        <v>4599</v>
      </c>
      <c r="C3992" s="8" t="s">
        <v>12252</v>
      </c>
      <c r="D3992" s="8" t="s">
        <v>16</v>
      </c>
      <c r="E3992" s="8" t="s">
        <v>17</v>
      </c>
      <c r="F3992" s="9">
        <v>46101.0</v>
      </c>
      <c r="G3992" s="8" t="s">
        <v>339</v>
      </c>
      <c r="H3992" s="8" t="s">
        <v>340</v>
      </c>
      <c r="I3992" s="8" t="s">
        <v>12253</v>
      </c>
      <c r="J3992" s="8" t="s">
        <v>12254</v>
      </c>
    </row>
    <row r="3993">
      <c r="A3993" s="7">
        <v>2.0051063E7</v>
      </c>
      <c r="B3993" s="8" t="s">
        <v>4599</v>
      </c>
      <c r="C3993" s="8" t="s">
        <v>12255</v>
      </c>
      <c r="D3993" s="8" t="s">
        <v>16</v>
      </c>
      <c r="E3993" s="8" t="s">
        <v>17</v>
      </c>
      <c r="F3993" s="9">
        <v>46101.0</v>
      </c>
      <c r="G3993" s="8" t="s">
        <v>29</v>
      </c>
      <c r="H3993" s="8" t="s">
        <v>30</v>
      </c>
      <c r="I3993" s="8" t="s">
        <v>12256</v>
      </c>
      <c r="J3993" s="8" t="s">
        <v>12257</v>
      </c>
    </row>
    <row r="3994">
      <c r="A3994" s="7">
        <v>2.0048885E7</v>
      </c>
      <c r="B3994" s="8" t="s">
        <v>4599</v>
      </c>
      <c r="C3994" s="8" t="s">
        <v>12258</v>
      </c>
      <c r="D3994" s="8" t="s">
        <v>16</v>
      </c>
      <c r="E3994" s="8" t="s">
        <v>17</v>
      </c>
      <c r="F3994" s="9">
        <v>46110.0</v>
      </c>
      <c r="G3994" s="8" t="s">
        <v>822</v>
      </c>
      <c r="H3994" s="8" t="s">
        <v>120</v>
      </c>
      <c r="I3994" s="8" t="s">
        <v>12259</v>
      </c>
      <c r="J3994" s="8" t="s">
        <v>12260</v>
      </c>
    </row>
    <row r="3995">
      <c r="A3995" s="7">
        <v>2.0043295E7</v>
      </c>
      <c r="B3995" s="8" t="s">
        <v>4599</v>
      </c>
      <c r="C3995" s="8" t="s">
        <v>12261</v>
      </c>
      <c r="D3995" s="8" t="s">
        <v>16</v>
      </c>
      <c r="E3995" s="8" t="s">
        <v>17</v>
      </c>
      <c r="F3995" s="9">
        <v>46072.0</v>
      </c>
      <c r="G3995" s="8" t="s">
        <v>75</v>
      </c>
      <c r="H3995" s="8" t="s">
        <v>76</v>
      </c>
      <c r="I3995" s="8" t="s">
        <v>12262</v>
      </c>
      <c r="J3995" s="8" t="s">
        <v>12263</v>
      </c>
    </row>
    <row r="3996">
      <c r="A3996" s="7">
        <v>2.0036551E7</v>
      </c>
      <c r="B3996" s="8" t="s">
        <v>4599</v>
      </c>
      <c r="C3996" s="8" t="s">
        <v>12264</v>
      </c>
      <c r="D3996" s="8" t="s">
        <v>16</v>
      </c>
      <c r="E3996" s="8" t="s">
        <v>17</v>
      </c>
      <c r="F3996" s="9">
        <v>46053.0</v>
      </c>
      <c r="G3996" s="8" t="s">
        <v>234</v>
      </c>
      <c r="H3996" s="8" t="s">
        <v>235</v>
      </c>
      <c r="I3996" s="8" t="s">
        <v>12265</v>
      </c>
      <c r="J3996" s="8" t="s">
        <v>12266</v>
      </c>
    </row>
    <row r="3997">
      <c r="A3997" s="7">
        <v>2.0036894E7</v>
      </c>
      <c r="B3997" s="8" t="s">
        <v>4599</v>
      </c>
      <c r="C3997" s="8" t="s">
        <v>12267</v>
      </c>
      <c r="D3997" s="8" t="s">
        <v>16</v>
      </c>
      <c r="E3997" s="8" t="s">
        <v>17</v>
      </c>
      <c r="F3997" s="9">
        <v>46065.0</v>
      </c>
      <c r="G3997" s="8" t="s">
        <v>688</v>
      </c>
      <c r="H3997" s="8" t="s">
        <v>689</v>
      </c>
      <c r="I3997" s="8" t="s">
        <v>12268</v>
      </c>
      <c r="J3997" s="8" t="s">
        <v>12269</v>
      </c>
    </row>
    <row r="3998">
      <c r="A3998" s="7">
        <v>2.0036654E7</v>
      </c>
      <c r="B3998" s="8" t="s">
        <v>4599</v>
      </c>
      <c r="C3998" s="8" t="s">
        <v>12270</v>
      </c>
      <c r="D3998" s="8" t="s">
        <v>16</v>
      </c>
      <c r="E3998" s="8" t="s">
        <v>17</v>
      </c>
      <c r="F3998" s="9">
        <v>46049.0</v>
      </c>
      <c r="G3998" s="8" t="s">
        <v>34</v>
      </c>
      <c r="H3998" s="8" t="s">
        <v>35</v>
      </c>
      <c r="I3998" s="8" t="s">
        <v>12271</v>
      </c>
      <c r="J3998" s="8" t="s">
        <v>12272</v>
      </c>
    </row>
    <row r="3999">
      <c r="A3999" s="7">
        <v>2.0034141E7</v>
      </c>
      <c r="B3999" s="8" t="s">
        <v>4599</v>
      </c>
      <c r="C3999" s="8" t="s">
        <v>12273</v>
      </c>
      <c r="D3999" s="8" t="s">
        <v>16</v>
      </c>
      <c r="E3999" s="8" t="s">
        <v>17</v>
      </c>
      <c r="F3999" s="9">
        <v>46047.0</v>
      </c>
      <c r="G3999" s="8" t="s">
        <v>1045</v>
      </c>
      <c r="H3999" s="8" t="s">
        <v>909</v>
      </c>
      <c r="I3999" s="8" t="s">
        <v>12274</v>
      </c>
      <c r="J3999" s="8" t="s">
        <v>12275</v>
      </c>
    </row>
    <row r="4000">
      <c r="A4000" s="7">
        <v>2.0034749E7</v>
      </c>
      <c r="B4000" s="8" t="s">
        <v>4599</v>
      </c>
      <c r="C4000" s="8" t="s">
        <v>12276</v>
      </c>
      <c r="D4000" s="8" t="s">
        <v>16</v>
      </c>
      <c r="E4000" s="8" t="s">
        <v>17</v>
      </c>
      <c r="F4000" s="9">
        <v>46040.0</v>
      </c>
      <c r="G4000" s="8" t="s">
        <v>385</v>
      </c>
      <c r="H4000" s="8" t="s">
        <v>386</v>
      </c>
      <c r="I4000" s="8" t="s">
        <v>12277</v>
      </c>
      <c r="J4000" s="8" t="s">
        <v>12278</v>
      </c>
    </row>
    <row r="4001">
      <c r="A4001" s="7">
        <v>2.0067871E7</v>
      </c>
      <c r="B4001" s="8" t="s">
        <v>4481</v>
      </c>
      <c r="C4001" s="8" t="s">
        <v>12279</v>
      </c>
      <c r="D4001" s="8" t="s">
        <v>16</v>
      </c>
      <c r="E4001" s="8" t="s">
        <v>17</v>
      </c>
      <c r="F4001" s="9">
        <v>46178.0</v>
      </c>
      <c r="G4001" s="8" t="s">
        <v>365</v>
      </c>
      <c r="H4001" s="8" t="s">
        <v>366</v>
      </c>
      <c r="I4001" s="8" t="s">
        <v>12280</v>
      </c>
      <c r="J4001" s="8" t="s">
        <v>12281</v>
      </c>
    </row>
    <row r="4002">
      <c r="A4002" s="7">
        <v>2.0053105E7</v>
      </c>
      <c r="B4002" s="8" t="s">
        <v>4481</v>
      </c>
      <c r="C4002" s="8" t="s">
        <v>12282</v>
      </c>
      <c r="D4002" s="8" t="s">
        <v>16</v>
      </c>
      <c r="E4002" s="8" t="s">
        <v>17</v>
      </c>
      <c r="F4002" s="9">
        <v>46163.0</v>
      </c>
      <c r="G4002" s="8" t="s">
        <v>3133</v>
      </c>
      <c r="H4002" s="8" t="s">
        <v>3134</v>
      </c>
      <c r="I4002" s="8" t="s">
        <v>12283</v>
      </c>
      <c r="J4002" s="8"/>
    </row>
    <row r="4003">
      <c r="A4003" s="7">
        <v>2.0034985E7</v>
      </c>
      <c r="B4003" s="8" t="s">
        <v>4481</v>
      </c>
      <c r="C4003" s="8" t="s">
        <v>12284</v>
      </c>
      <c r="D4003" s="8" t="s">
        <v>16</v>
      </c>
      <c r="E4003" s="8" t="s">
        <v>17</v>
      </c>
      <c r="F4003" s="9">
        <v>46065.0</v>
      </c>
      <c r="G4003" s="8" t="s">
        <v>390</v>
      </c>
      <c r="H4003" s="8" t="s">
        <v>391</v>
      </c>
      <c r="I4003" s="8" t="s">
        <v>12285</v>
      </c>
      <c r="J4003" s="8" t="s">
        <v>12286</v>
      </c>
    </row>
    <row r="4004">
      <c r="A4004" s="7">
        <v>2.0034985E7</v>
      </c>
      <c r="B4004" s="8" t="s">
        <v>4481</v>
      </c>
      <c r="C4004" s="8" t="s">
        <v>12284</v>
      </c>
      <c r="D4004" s="8" t="s">
        <v>16</v>
      </c>
      <c r="E4004" s="8" t="s">
        <v>17</v>
      </c>
      <c r="F4004" s="9">
        <v>46065.0</v>
      </c>
      <c r="G4004" s="8" t="s">
        <v>365</v>
      </c>
      <c r="H4004" s="8" t="s">
        <v>366</v>
      </c>
      <c r="I4004" s="8" t="s">
        <v>12287</v>
      </c>
      <c r="J4004" s="8" t="s">
        <v>12288</v>
      </c>
    </row>
    <row r="4005">
      <c r="A4005" s="7">
        <v>2.0050279E7</v>
      </c>
      <c r="B4005" s="8" t="s">
        <v>4481</v>
      </c>
      <c r="C4005" s="8" t="s">
        <v>12290</v>
      </c>
      <c r="D4005" s="8" t="s">
        <v>16</v>
      </c>
      <c r="E4005" s="8" t="s">
        <v>17</v>
      </c>
      <c r="F4005" s="9">
        <v>46136.0</v>
      </c>
      <c r="G4005" s="8" t="s">
        <v>3133</v>
      </c>
      <c r="H4005" s="8" t="s">
        <v>3134</v>
      </c>
      <c r="I4005" s="8" t="s">
        <v>12291</v>
      </c>
      <c r="J4005" s="8"/>
    </row>
    <row r="4006">
      <c r="A4006" s="7">
        <v>2.0045761E7</v>
      </c>
      <c r="B4006" s="8" t="s">
        <v>4481</v>
      </c>
      <c r="C4006" s="8" t="s">
        <v>12292</v>
      </c>
      <c r="D4006" s="8" t="s">
        <v>16</v>
      </c>
      <c r="E4006" s="8" t="s">
        <v>17</v>
      </c>
      <c r="F4006" s="9">
        <v>46112.0</v>
      </c>
      <c r="G4006" s="8" t="s">
        <v>543</v>
      </c>
      <c r="H4006" s="8" t="s">
        <v>544</v>
      </c>
      <c r="I4006" s="8" t="s">
        <v>12293</v>
      </c>
      <c r="J4006" s="8"/>
    </row>
    <row r="4007">
      <c r="A4007" s="7">
        <v>2.0043874E7</v>
      </c>
      <c r="B4007" s="8" t="s">
        <v>4481</v>
      </c>
      <c r="C4007" s="8" t="s">
        <v>12294</v>
      </c>
      <c r="D4007" s="8" t="s">
        <v>16</v>
      </c>
      <c r="E4007" s="8" t="s">
        <v>17</v>
      </c>
      <c r="F4007" s="9">
        <v>46094.0</v>
      </c>
      <c r="G4007" s="8" t="s">
        <v>12295</v>
      </c>
      <c r="H4007" s="8" t="s">
        <v>12296</v>
      </c>
      <c r="I4007" s="8" t="s">
        <v>12297</v>
      </c>
      <c r="J4007" s="8" t="s">
        <v>12298</v>
      </c>
    </row>
    <row r="4008">
      <c r="A4008" s="7">
        <v>2.0039879E7</v>
      </c>
      <c r="B4008" s="8" t="s">
        <v>4481</v>
      </c>
      <c r="C4008" s="8" t="s">
        <v>12300</v>
      </c>
      <c r="D4008" s="8" t="s">
        <v>16</v>
      </c>
      <c r="E4008" s="8" t="s">
        <v>17</v>
      </c>
      <c r="F4008" s="9">
        <v>46068.0</v>
      </c>
      <c r="G4008" s="8" t="s">
        <v>826</v>
      </c>
      <c r="H4008" s="8" t="s">
        <v>827</v>
      </c>
      <c r="I4008" s="8" t="s">
        <v>12301</v>
      </c>
      <c r="J4008" s="8" t="s">
        <v>12302</v>
      </c>
    </row>
    <row r="4009">
      <c r="A4009" s="7">
        <v>2.0033893E7</v>
      </c>
      <c r="B4009" s="8" t="s">
        <v>4481</v>
      </c>
      <c r="C4009" s="8" t="s">
        <v>12304</v>
      </c>
      <c r="D4009" s="8" t="s">
        <v>16</v>
      </c>
      <c r="E4009" s="8" t="s">
        <v>17</v>
      </c>
      <c r="F4009" s="9">
        <v>46065.0</v>
      </c>
      <c r="G4009" s="8" t="s">
        <v>12305</v>
      </c>
      <c r="H4009" s="8" t="s">
        <v>12306</v>
      </c>
      <c r="I4009" s="8" t="s">
        <v>12307</v>
      </c>
      <c r="J4009" s="8" t="s">
        <v>12308</v>
      </c>
    </row>
    <row r="4010">
      <c r="A4010" s="7">
        <v>2.0033893E7</v>
      </c>
      <c r="B4010" s="8" t="s">
        <v>4481</v>
      </c>
      <c r="C4010" s="8" t="s">
        <v>12304</v>
      </c>
      <c r="D4010" s="8" t="s">
        <v>16</v>
      </c>
      <c r="E4010" s="8" t="s">
        <v>17</v>
      </c>
      <c r="F4010" s="9">
        <v>46065.0</v>
      </c>
      <c r="G4010" s="8" t="s">
        <v>3088</v>
      </c>
      <c r="H4010" s="8" t="s">
        <v>3089</v>
      </c>
      <c r="I4010" s="8" t="s">
        <v>12309</v>
      </c>
      <c r="J4010" s="8" t="s">
        <v>12310</v>
      </c>
    </row>
    <row r="4011">
      <c r="A4011" s="7">
        <v>2.0062646E7</v>
      </c>
      <c r="B4011" s="8" t="s">
        <v>4481</v>
      </c>
      <c r="C4011" s="8" t="s">
        <v>12312</v>
      </c>
      <c r="D4011" s="8" t="s">
        <v>16</v>
      </c>
      <c r="E4011" s="8" t="s">
        <v>17</v>
      </c>
      <c r="F4011" s="9">
        <v>46186.0</v>
      </c>
      <c r="G4011" s="8" t="s">
        <v>626</v>
      </c>
      <c r="H4011" s="8" t="s">
        <v>627</v>
      </c>
      <c r="I4011" s="8" t="s">
        <v>12313</v>
      </c>
      <c r="J4011" s="8"/>
    </row>
    <row r="4012">
      <c r="A4012" s="7">
        <v>2.0053184E7</v>
      </c>
      <c r="B4012" s="8" t="s">
        <v>4481</v>
      </c>
      <c r="C4012" s="8" t="s">
        <v>12314</v>
      </c>
      <c r="D4012" s="8" t="s">
        <v>16</v>
      </c>
      <c r="E4012" s="8" t="s">
        <v>17</v>
      </c>
      <c r="F4012" s="9">
        <v>46130.0</v>
      </c>
      <c r="G4012" s="8" t="s">
        <v>247</v>
      </c>
      <c r="H4012" s="8" t="s">
        <v>248</v>
      </c>
      <c r="I4012" s="8" t="s">
        <v>12315</v>
      </c>
      <c r="J4012" s="8" t="s">
        <v>12316</v>
      </c>
    </row>
    <row r="4013">
      <c r="A4013" s="7">
        <v>2.0063122E7</v>
      </c>
      <c r="B4013" s="8" t="s">
        <v>4481</v>
      </c>
      <c r="C4013" s="8" t="s">
        <v>12317</v>
      </c>
      <c r="D4013" s="8" t="s">
        <v>16</v>
      </c>
      <c r="E4013" s="8" t="s">
        <v>17</v>
      </c>
      <c r="F4013" s="9">
        <v>46192.0</v>
      </c>
      <c r="G4013" s="8" t="s">
        <v>12318</v>
      </c>
      <c r="H4013" s="8" t="s">
        <v>12319</v>
      </c>
      <c r="I4013" s="8" t="s">
        <v>12320</v>
      </c>
      <c r="J4013" s="8"/>
    </row>
    <row r="4014">
      <c r="A4014" s="7">
        <v>2.0054115E7</v>
      </c>
      <c r="B4014" s="8" t="s">
        <v>4481</v>
      </c>
      <c r="C4014" s="8" t="s">
        <v>12321</v>
      </c>
      <c r="D4014" s="8" t="s">
        <v>16</v>
      </c>
      <c r="E4014" s="8" t="s">
        <v>17</v>
      </c>
      <c r="F4014" s="9">
        <v>46170.0</v>
      </c>
      <c r="G4014" s="8" t="s">
        <v>385</v>
      </c>
      <c r="H4014" s="8" t="s">
        <v>386</v>
      </c>
      <c r="I4014" s="8" t="s">
        <v>12322</v>
      </c>
      <c r="J4014" s="8"/>
    </row>
    <row r="4015">
      <c r="A4015" s="7">
        <v>2.0054115E7</v>
      </c>
      <c r="B4015" s="8" t="s">
        <v>4481</v>
      </c>
      <c r="C4015" s="8" t="s">
        <v>12321</v>
      </c>
      <c r="D4015" s="8" t="s">
        <v>16</v>
      </c>
      <c r="E4015" s="8" t="s">
        <v>17</v>
      </c>
      <c r="F4015" s="9">
        <v>46170.0</v>
      </c>
      <c r="G4015" s="8" t="s">
        <v>385</v>
      </c>
      <c r="H4015" s="8" t="s">
        <v>386</v>
      </c>
      <c r="I4015" s="8" t="s">
        <v>12323</v>
      </c>
      <c r="J4015" s="8"/>
    </row>
    <row r="4016">
      <c r="A4016" s="7">
        <v>2.0044561E7</v>
      </c>
      <c r="B4016" s="8" t="s">
        <v>4481</v>
      </c>
      <c r="C4016" s="8" t="s">
        <v>12325</v>
      </c>
      <c r="D4016" s="8" t="s">
        <v>16</v>
      </c>
      <c r="E4016" s="8" t="s">
        <v>17</v>
      </c>
      <c r="F4016" s="9">
        <v>46101.0</v>
      </c>
      <c r="G4016" s="8" t="s">
        <v>486</v>
      </c>
      <c r="H4016" s="8" t="s">
        <v>487</v>
      </c>
      <c r="I4016" s="8" t="s">
        <v>12326</v>
      </c>
      <c r="J4016" s="8" t="s">
        <v>12327</v>
      </c>
    </row>
    <row r="4017">
      <c r="A4017" s="7">
        <v>2.0055097E7</v>
      </c>
      <c r="B4017" s="8" t="s">
        <v>4481</v>
      </c>
      <c r="C4017" s="8" t="s">
        <v>12328</v>
      </c>
      <c r="D4017" s="8" t="s">
        <v>16</v>
      </c>
      <c r="E4017" s="8" t="s">
        <v>17</v>
      </c>
      <c r="F4017" s="9">
        <v>46135.0</v>
      </c>
      <c r="G4017" s="8" t="s">
        <v>12329</v>
      </c>
      <c r="H4017" s="8" t="s">
        <v>12331</v>
      </c>
      <c r="I4017" s="8" t="s">
        <v>12332</v>
      </c>
      <c r="J4017" s="8"/>
    </row>
    <row r="4018">
      <c r="A4018" s="7">
        <v>2.004835E7</v>
      </c>
      <c r="B4018" s="8" t="s">
        <v>4481</v>
      </c>
      <c r="C4018" s="8" t="s">
        <v>12333</v>
      </c>
      <c r="D4018" s="8" t="s">
        <v>16</v>
      </c>
      <c r="E4018" s="8" t="s">
        <v>17</v>
      </c>
      <c r="F4018" s="9">
        <v>46142.0</v>
      </c>
      <c r="G4018" s="8" t="s">
        <v>1557</v>
      </c>
      <c r="H4018" s="8" t="s">
        <v>1558</v>
      </c>
      <c r="I4018" s="8" t="s">
        <v>12334</v>
      </c>
      <c r="J4018" s="8"/>
    </row>
    <row r="4019">
      <c r="A4019" s="7">
        <v>2.0052344E7</v>
      </c>
      <c r="B4019" s="8" t="s">
        <v>4481</v>
      </c>
      <c r="C4019" s="8" t="s">
        <v>12336</v>
      </c>
      <c r="D4019" s="8" t="s">
        <v>16</v>
      </c>
      <c r="E4019" s="8" t="s">
        <v>17</v>
      </c>
      <c r="F4019" s="9">
        <v>46128.0</v>
      </c>
      <c r="G4019" s="8" t="s">
        <v>64</v>
      </c>
      <c r="H4019" s="8" t="s">
        <v>65</v>
      </c>
      <c r="I4019" s="8" t="s">
        <v>12338</v>
      </c>
      <c r="J4019" s="8"/>
    </row>
    <row r="4020">
      <c r="A4020" s="7">
        <v>2.0037717E7</v>
      </c>
      <c r="B4020" s="8" t="s">
        <v>4481</v>
      </c>
      <c r="C4020" s="8" t="s">
        <v>12339</v>
      </c>
      <c r="D4020" s="8" t="s">
        <v>16</v>
      </c>
      <c r="E4020" s="8" t="s">
        <v>17</v>
      </c>
      <c r="F4020" s="9">
        <v>46057.0</v>
      </c>
      <c r="G4020" s="8" t="s">
        <v>220</v>
      </c>
      <c r="H4020" s="8" t="s">
        <v>221</v>
      </c>
      <c r="I4020" s="8" t="s">
        <v>12340</v>
      </c>
      <c r="J4020" s="8" t="s">
        <v>12341</v>
      </c>
    </row>
    <row r="4021">
      <c r="A4021" s="7">
        <v>2.0058575E7</v>
      </c>
      <c r="B4021" s="8" t="s">
        <v>4481</v>
      </c>
      <c r="C4021" s="8" t="s">
        <v>12342</v>
      </c>
      <c r="D4021" s="8" t="s">
        <v>16</v>
      </c>
      <c r="E4021" s="8" t="s">
        <v>17</v>
      </c>
      <c r="F4021" s="9">
        <v>46193.0</v>
      </c>
      <c r="G4021" s="8" t="s">
        <v>543</v>
      </c>
      <c r="H4021" s="8" t="s">
        <v>544</v>
      </c>
      <c r="I4021" s="8" t="s">
        <v>12344</v>
      </c>
      <c r="J4021" s="8" t="s">
        <v>12345</v>
      </c>
    </row>
    <row r="4022">
      <c r="A4022" s="7">
        <v>2.0059306E7</v>
      </c>
      <c r="B4022" s="8" t="s">
        <v>4481</v>
      </c>
      <c r="C4022" s="8" t="s">
        <v>12346</v>
      </c>
      <c r="D4022" s="8" t="s">
        <v>16</v>
      </c>
      <c r="E4022" s="8" t="s">
        <v>17</v>
      </c>
      <c r="F4022" s="9">
        <v>46190.0</v>
      </c>
      <c r="G4022" s="8" t="s">
        <v>357</v>
      </c>
      <c r="H4022" s="8" t="s">
        <v>358</v>
      </c>
      <c r="I4022" s="8" t="s">
        <v>12347</v>
      </c>
      <c r="J4022" s="8"/>
    </row>
    <row r="4023">
      <c r="A4023" s="7">
        <v>2.0055361E7</v>
      </c>
      <c r="B4023" s="8" t="s">
        <v>4481</v>
      </c>
      <c r="C4023" s="8" t="s">
        <v>12348</v>
      </c>
      <c r="D4023" s="8" t="s">
        <v>16</v>
      </c>
      <c r="E4023" s="8" t="s">
        <v>17</v>
      </c>
      <c r="F4023" s="9">
        <v>46136.0</v>
      </c>
      <c r="G4023" s="8" t="s">
        <v>517</v>
      </c>
      <c r="H4023" s="8" t="s">
        <v>518</v>
      </c>
      <c r="I4023" s="8" t="s">
        <v>12349</v>
      </c>
      <c r="J4023" s="8"/>
    </row>
    <row r="4024">
      <c r="A4024" s="7">
        <v>2.0055361E7</v>
      </c>
      <c r="B4024" s="8" t="s">
        <v>4481</v>
      </c>
      <c r="C4024" s="8" t="s">
        <v>12348</v>
      </c>
      <c r="D4024" s="8" t="s">
        <v>16</v>
      </c>
      <c r="E4024" s="8" t="s">
        <v>17</v>
      </c>
      <c r="F4024" s="9">
        <v>46136.0</v>
      </c>
      <c r="G4024" s="8" t="s">
        <v>517</v>
      </c>
      <c r="H4024" s="8" t="s">
        <v>518</v>
      </c>
      <c r="I4024" s="8" t="s">
        <v>12350</v>
      </c>
      <c r="J4024" s="8" t="s">
        <v>12351</v>
      </c>
    </row>
    <row r="4025">
      <c r="A4025" s="7">
        <v>2.0037881E7</v>
      </c>
      <c r="B4025" s="8" t="s">
        <v>4481</v>
      </c>
      <c r="C4025" s="8" t="s">
        <v>12352</v>
      </c>
      <c r="D4025" s="8" t="s">
        <v>16</v>
      </c>
      <c r="E4025" s="8" t="s">
        <v>17</v>
      </c>
      <c r="F4025" s="9">
        <v>46060.0</v>
      </c>
      <c r="G4025" s="8" t="s">
        <v>3012</v>
      </c>
      <c r="H4025" s="8" t="s">
        <v>3013</v>
      </c>
      <c r="I4025" s="8" t="s">
        <v>12353</v>
      </c>
      <c r="J4025" s="8" t="s">
        <v>12354</v>
      </c>
    </row>
    <row r="4026">
      <c r="A4026" s="7">
        <v>2.0056569E7</v>
      </c>
      <c r="B4026" s="8" t="s">
        <v>4481</v>
      </c>
      <c r="C4026" s="8" t="s">
        <v>12355</v>
      </c>
      <c r="D4026" s="8" t="s">
        <v>16</v>
      </c>
      <c r="E4026" s="8" t="s">
        <v>17</v>
      </c>
      <c r="F4026" s="9">
        <v>46147.0</v>
      </c>
      <c r="G4026" s="8" t="s">
        <v>158</v>
      </c>
      <c r="H4026" s="8" t="s">
        <v>159</v>
      </c>
      <c r="I4026" s="8" t="s">
        <v>12356</v>
      </c>
      <c r="J4026" s="8"/>
    </row>
    <row r="4027">
      <c r="A4027" s="7">
        <v>2.0055408E7</v>
      </c>
      <c r="B4027" s="8" t="s">
        <v>4481</v>
      </c>
      <c r="C4027" s="8" t="s">
        <v>12357</v>
      </c>
      <c r="D4027" s="8" t="s">
        <v>16</v>
      </c>
      <c r="E4027" s="8" t="s">
        <v>17</v>
      </c>
      <c r="F4027" s="9">
        <v>46142.0</v>
      </c>
      <c r="G4027" s="8" t="s">
        <v>688</v>
      </c>
      <c r="H4027" s="8" t="s">
        <v>689</v>
      </c>
      <c r="I4027" s="8" t="s">
        <v>12358</v>
      </c>
      <c r="J4027" s="8"/>
    </row>
    <row r="4028">
      <c r="A4028" s="7">
        <v>2.005532E7</v>
      </c>
      <c r="B4028" s="8" t="s">
        <v>4481</v>
      </c>
      <c r="C4028" s="8" t="s">
        <v>12359</v>
      </c>
      <c r="D4028" s="8" t="s">
        <v>16</v>
      </c>
      <c r="E4028" s="8" t="s">
        <v>17</v>
      </c>
      <c r="F4028" s="9">
        <v>46128.0</v>
      </c>
      <c r="G4028" s="8" t="s">
        <v>385</v>
      </c>
      <c r="H4028" s="8" t="s">
        <v>386</v>
      </c>
      <c r="I4028" s="8" t="s">
        <v>12360</v>
      </c>
      <c r="J4028" s="8" t="s">
        <v>12361</v>
      </c>
    </row>
    <row r="4029">
      <c r="A4029" s="7">
        <v>2.0028947E7</v>
      </c>
      <c r="B4029" s="8" t="s">
        <v>4481</v>
      </c>
      <c r="C4029" s="8" t="s">
        <v>12362</v>
      </c>
      <c r="D4029" s="8" t="s">
        <v>16</v>
      </c>
      <c r="E4029" s="8" t="s">
        <v>17</v>
      </c>
      <c r="F4029" s="9">
        <v>46051.0</v>
      </c>
      <c r="G4029" s="8" t="s">
        <v>54</v>
      </c>
      <c r="H4029" s="8" t="s">
        <v>55</v>
      </c>
      <c r="I4029" s="8" t="s">
        <v>12363</v>
      </c>
      <c r="J4029" s="8" t="s">
        <v>12364</v>
      </c>
    </row>
    <row r="4030">
      <c r="A4030" s="7">
        <v>2.0045088E7</v>
      </c>
      <c r="B4030" s="8" t="s">
        <v>4481</v>
      </c>
      <c r="C4030" s="8" t="s">
        <v>12365</v>
      </c>
      <c r="D4030" s="8" t="s">
        <v>16</v>
      </c>
      <c r="E4030" s="8" t="s">
        <v>17</v>
      </c>
      <c r="F4030" s="9">
        <v>46097.0</v>
      </c>
      <c r="G4030" s="8" t="s">
        <v>385</v>
      </c>
      <c r="H4030" s="8" t="s">
        <v>386</v>
      </c>
      <c r="I4030" s="8" t="s">
        <v>12366</v>
      </c>
      <c r="J4030" s="8" t="s">
        <v>12367</v>
      </c>
    </row>
    <row r="4031">
      <c r="A4031" s="7">
        <v>2.0044226E7</v>
      </c>
      <c r="B4031" s="8" t="s">
        <v>4481</v>
      </c>
      <c r="C4031" s="8" t="s">
        <v>12368</v>
      </c>
      <c r="D4031" s="8" t="s">
        <v>16</v>
      </c>
      <c r="E4031" s="8" t="s">
        <v>17</v>
      </c>
      <c r="F4031" s="9">
        <v>46102.0</v>
      </c>
      <c r="G4031" s="8" t="s">
        <v>1280</v>
      </c>
      <c r="H4031" s="8" t="s">
        <v>1281</v>
      </c>
      <c r="I4031" s="8" t="s">
        <v>12369</v>
      </c>
      <c r="J4031" s="8"/>
    </row>
    <row r="4032">
      <c r="A4032" s="7">
        <v>2.0040663E7</v>
      </c>
      <c r="B4032" s="8" t="s">
        <v>4481</v>
      </c>
      <c r="C4032" s="8" t="s">
        <v>12370</v>
      </c>
      <c r="D4032" s="8" t="s">
        <v>16</v>
      </c>
      <c r="E4032" s="8" t="s">
        <v>48</v>
      </c>
      <c r="F4032" s="9">
        <v>46066.0</v>
      </c>
      <c r="G4032" s="8" t="s">
        <v>282</v>
      </c>
      <c r="H4032" s="8" t="s">
        <v>71</v>
      </c>
      <c r="I4032" s="8" t="s">
        <v>12371</v>
      </c>
      <c r="J4032" s="8"/>
    </row>
    <row r="4033">
      <c r="A4033" s="7">
        <v>2.0037871E7</v>
      </c>
      <c r="B4033" s="8" t="s">
        <v>4481</v>
      </c>
      <c r="C4033" s="8" t="s">
        <v>12372</v>
      </c>
      <c r="D4033" s="8" t="s">
        <v>16</v>
      </c>
      <c r="E4033" s="8" t="s">
        <v>17</v>
      </c>
      <c r="F4033" s="9">
        <v>46063.0</v>
      </c>
      <c r="G4033" s="8" t="s">
        <v>9596</v>
      </c>
      <c r="H4033" s="8" t="s">
        <v>9597</v>
      </c>
      <c r="I4033" s="8" t="s">
        <v>12373</v>
      </c>
      <c r="J4033" s="8" t="s">
        <v>12374</v>
      </c>
    </row>
    <row r="4034">
      <c r="A4034" s="7">
        <v>2.0036319E7</v>
      </c>
      <c r="B4034" s="8" t="s">
        <v>4481</v>
      </c>
      <c r="C4034" s="8" t="s">
        <v>12376</v>
      </c>
      <c r="D4034" s="8" t="s">
        <v>16</v>
      </c>
      <c r="E4034" s="8" t="s">
        <v>17</v>
      </c>
      <c r="F4034" s="9">
        <v>46064.0</v>
      </c>
      <c r="G4034" s="8" t="s">
        <v>158</v>
      </c>
      <c r="H4034" s="8" t="s">
        <v>159</v>
      </c>
      <c r="I4034" s="8" t="s">
        <v>12377</v>
      </c>
      <c r="J4034" s="8"/>
    </row>
    <row r="4035">
      <c r="A4035" s="7">
        <v>2.0034357E7</v>
      </c>
      <c r="B4035" s="8" t="s">
        <v>4481</v>
      </c>
      <c r="C4035" s="8" t="s">
        <v>12378</v>
      </c>
      <c r="D4035" s="8" t="s">
        <v>16</v>
      </c>
      <c r="E4035" s="8" t="s">
        <v>48</v>
      </c>
      <c r="F4035" s="9">
        <v>46045.0</v>
      </c>
      <c r="G4035" s="8" t="s">
        <v>12379</v>
      </c>
      <c r="H4035" s="8" t="s">
        <v>12380</v>
      </c>
      <c r="I4035" s="8" t="s">
        <v>12381</v>
      </c>
      <c r="J4035" s="8" t="s">
        <v>12382</v>
      </c>
    </row>
    <row r="4036">
      <c r="A4036" s="7">
        <v>2.0034357E7</v>
      </c>
      <c r="B4036" s="8" t="s">
        <v>4481</v>
      </c>
      <c r="C4036" s="8" t="s">
        <v>12378</v>
      </c>
      <c r="D4036" s="8" t="s">
        <v>16</v>
      </c>
      <c r="E4036" s="8" t="s">
        <v>48</v>
      </c>
      <c r="F4036" s="9">
        <v>46045.0</v>
      </c>
      <c r="G4036" s="8" t="s">
        <v>12379</v>
      </c>
      <c r="H4036" s="8" t="s">
        <v>12380</v>
      </c>
      <c r="I4036" s="8" t="s">
        <v>12383</v>
      </c>
      <c r="J4036" s="8" t="s">
        <v>12382</v>
      </c>
    </row>
    <row r="4037">
      <c r="A4037" s="7">
        <v>2.0070365E7</v>
      </c>
      <c r="B4037" s="8" t="s">
        <v>4481</v>
      </c>
      <c r="C4037" s="8" t="s">
        <v>12384</v>
      </c>
      <c r="D4037" s="8" t="s">
        <v>16</v>
      </c>
      <c r="E4037" s="8" t="s">
        <v>17</v>
      </c>
      <c r="F4037" s="9">
        <v>46193.0</v>
      </c>
      <c r="G4037" s="8" t="s">
        <v>59</v>
      </c>
      <c r="H4037" s="8" t="s">
        <v>60</v>
      </c>
      <c r="I4037" s="8" t="s">
        <v>12385</v>
      </c>
      <c r="J4037" s="8"/>
    </row>
    <row r="4038">
      <c r="A4038" s="7">
        <v>2.0062751E7</v>
      </c>
      <c r="B4038" s="8" t="s">
        <v>4481</v>
      </c>
      <c r="C4038" s="8" t="s">
        <v>12386</v>
      </c>
      <c r="D4038" s="8" t="s">
        <v>16</v>
      </c>
      <c r="E4038" s="8" t="s">
        <v>17</v>
      </c>
      <c r="F4038" s="9">
        <v>46184.0</v>
      </c>
      <c r="G4038" s="8" t="s">
        <v>561</v>
      </c>
      <c r="H4038" s="8" t="s">
        <v>562</v>
      </c>
      <c r="I4038" s="8" t="s">
        <v>12387</v>
      </c>
      <c r="J4038" s="8"/>
    </row>
    <row r="4039">
      <c r="A4039" s="7">
        <v>2.0056356E7</v>
      </c>
      <c r="B4039" s="8" t="s">
        <v>4481</v>
      </c>
      <c r="C4039" s="8" t="s">
        <v>12388</v>
      </c>
      <c r="D4039" s="8" t="s">
        <v>16</v>
      </c>
      <c r="E4039" s="8" t="s">
        <v>17</v>
      </c>
      <c r="F4039" s="9">
        <v>46192.0</v>
      </c>
      <c r="G4039" s="8" t="s">
        <v>2666</v>
      </c>
      <c r="H4039" s="8" t="s">
        <v>2667</v>
      </c>
      <c r="I4039" s="8" t="s">
        <v>12389</v>
      </c>
      <c r="J4039" s="8"/>
    </row>
    <row r="4040">
      <c r="A4040" s="7">
        <v>2.0056356E7</v>
      </c>
      <c r="B4040" s="8" t="s">
        <v>4481</v>
      </c>
      <c r="C4040" s="8" t="s">
        <v>12388</v>
      </c>
      <c r="D4040" s="8" t="s">
        <v>16</v>
      </c>
      <c r="E4040" s="8" t="s">
        <v>17</v>
      </c>
      <c r="F4040" s="9">
        <v>46192.0</v>
      </c>
      <c r="G4040" s="8" t="s">
        <v>12390</v>
      </c>
      <c r="H4040" s="8" t="s">
        <v>12391</v>
      </c>
      <c r="I4040" s="8" t="s">
        <v>12392</v>
      </c>
      <c r="J4040" s="8" t="s">
        <v>12393</v>
      </c>
    </row>
    <row r="4041">
      <c r="A4041" s="7">
        <v>2.0045725E7</v>
      </c>
      <c r="B4041" s="8" t="s">
        <v>4481</v>
      </c>
      <c r="C4041" s="8" t="s">
        <v>12394</v>
      </c>
      <c r="D4041" s="8" t="s">
        <v>16</v>
      </c>
      <c r="E4041" s="8" t="s">
        <v>17</v>
      </c>
      <c r="F4041" s="9">
        <v>46123.0</v>
      </c>
      <c r="G4041" s="8" t="s">
        <v>12395</v>
      </c>
      <c r="H4041" s="8" t="s">
        <v>12396</v>
      </c>
      <c r="I4041" s="8" t="s">
        <v>12397</v>
      </c>
      <c r="J4041" s="8"/>
    </row>
    <row r="4042">
      <c r="A4042" s="7">
        <v>2.0050001E7</v>
      </c>
      <c r="B4042" s="8" t="s">
        <v>4481</v>
      </c>
      <c r="C4042" s="8" t="s">
        <v>12398</v>
      </c>
      <c r="D4042" s="8" t="s">
        <v>16</v>
      </c>
      <c r="E4042" s="8" t="s">
        <v>17</v>
      </c>
      <c r="F4042" s="9">
        <v>46101.0</v>
      </c>
      <c r="G4042" s="8" t="s">
        <v>3012</v>
      </c>
      <c r="H4042" s="8" t="s">
        <v>3013</v>
      </c>
      <c r="I4042" s="8" t="s">
        <v>12399</v>
      </c>
      <c r="J4042" s="8"/>
    </row>
    <row r="4043">
      <c r="A4043" s="7">
        <v>2.0048694E7</v>
      </c>
      <c r="B4043" s="8" t="s">
        <v>4481</v>
      </c>
      <c r="C4043" s="8" t="s">
        <v>12400</v>
      </c>
      <c r="D4043" s="8" t="s">
        <v>16</v>
      </c>
      <c r="E4043" s="8" t="s">
        <v>17</v>
      </c>
      <c r="F4043" s="9">
        <v>46104.0</v>
      </c>
      <c r="G4043" s="8" t="s">
        <v>220</v>
      </c>
      <c r="H4043" s="8" t="s">
        <v>221</v>
      </c>
      <c r="I4043" s="8" t="s">
        <v>12401</v>
      </c>
      <c r="J4043" s="8" t="s">
        <v>12402</v>
      </c>
    </row>
    <row r="4044">
      <c r="A4044" s="7">
        <v>2.0038071E7</v>
      </c>
      <c r="B4044" s="8" t="s">
        <v>4481</v>
      </c>
      <c r="C4044" s="8" t="s">
        <v>12403</v>
      </c>
      <c r="D4044" s="8" t="s">
        <v>16</v>
      </c>
      <c r="E4044" s="8" t="s">
        <v>17</v>
      </c>
      <c r="F4044" s="9">
        <v>46070.0</v>
      </c>
      <c r="G4044" s="8" t="s">
        <v>12404</v>
      </c>
      <c r="H4044" s="8" t="s">
        <v>12405</v>
      </c>
      <c r="I4044" s="8" t="s">
        <v>12406</v>
      </c>
      <c r="J4044" s="8" t="s">
        <v>12407</v>
      </c>
    </row>
    <row r="4045">
      <c r="A4045" s="7">
        <v>2.0035933E7</v>
      </c>
      <c r="B4045" s="8" t="s">
        <v>4481</v>
      </c>
      <c r="C4045" s="8" t="s">
        <v>12408</v>
      </c>
      <c r="D4045" s="8" t="s">
        <v>16</v>
      </c>
      <c r="E4045" s="8" t="s">
        <v>17</v>
      </c>
      <c r="F4045" s="9">
        <v>46047.0</v>
      </c>
      <c r="G4045" s="8" t="s">
        <v>385</v>
      </c>
      <c r="H4045" s="8" t="s">
        <v>386</v>
      </c>
      <c r="I4045" s="8" t="s">
        <v>12409</v>
      </c>
      <c r="J4045" s="8" t="s">
        <v>12410</v>
      </c>
    </row>
    <row r="4046">
      <c r="A4046" s="7">
        <v>2.0057365E7</v>
      </c>
      <c r="B4046" s="8" t="s">
        <v>4481</v>
      </c>
      <c r="C4046" s="8" t="s">
        <v>12411</v>
      </c>
      <c r="D4046" s="8" t="s">
        <v>16</v>
      </c>
      <c r="E4046" s="8" t="s">
        <v>17</v>
      </c>
      <c r="F4046" s="9">
        <v>46162.0</v>
      </c>
      <c r="G4046" s="8" t="s">
        <v>3965</v>
      </c>
      <c r="H4046" s="8" t="s">
        <v>3966</v>
      </c>
      <c r="I4046" s="8" t="s">
        <v>12412</v>
      </c>
      <c r="J4046" s="8"/>
    </row>
    <row r="4047">
      <c r="A4047" s="7">
        <v>2.0053884E7</v>
      </c>
      <c r="B4047" s="8" t="s">
        <v>4481</v>
      </c>
      <c r="C4047" s="8" t="s">
        <v>12413</v>
      </c>
      <c r="D4047" s="8" t="s">
        <v>16</v>
      </c>
      <c r="E4047" s="8" t="s">
        <v>17</v>
      </c>
      <c r="F4047" s="9">
        <v>46131.0</v>
      </c>
      <c r="G4047" s="8" t="s">
        <v>282</v>
      </c>
      <c r="H4047" s="8" t="s">
        <v>3005</v>
      </c>
      <c r="I4047" s="8" t="s">
        <v>12414</v>
      </c>
      <c r="J4047" s="8" t="s">
        <v>12415</v>
      </c>
    </row>
    <row r="4048">
      <c r="A4048" s="7">
        <v>2.0050451E7</v>
      </c>
      <c r="B4048" s="8" t="s">
        <v>4481</v>
      </c>
      <c r="C4048" s="8" t="s">
        <v>12416</v>
      </c>
      <c r="D4048" s="8" t="s">
        <v>16</v>
      </c>
      <c r="E4048" s="8" t="s">
        <v>17</v>
      </c>
      <c r="F4048" s="9">
        <v>46121.0</v>
      </c>
      <c r="G4048" s="8" t="s">
        <v>7894</v>
      </c>
      <c r="H4048" s="8" t="s">
        <v>7895</v>
      </c>
      <c r="I4048" s="8" t="s">
        <v>12417</v>
      </c>
      <c r="J4048" s="8"/>
    </row>
    <row r="4049">
      <c r="A4049" s="7">
        <v>2.0033556E7</v>
      </c>
      <c r="B4049" s="8" t="s">
        <v>4481</v>
      </c>
      <c r="C4049" s="8" t="s">
        <v>12418</v>
      </c>
      <c r="D4049" s="8" t="s">
        <v>16</v>
      </c>
      <c r="E4049" s="8" t="s">
        <v>17</v>
      </c>
      <c r="F4049" s="9">
        <v>46064.0</v>
      </c>
      <c r="G4049" s="8" t="s">
        <v>12419</v>
      </c>
      <c r="H4049" s="8" t="s">
        <v>12420</v>
      </c>
      <c r="I4049" s="8" t="s">
        <v>12421</v>
      </c>
      <c r="J4049" s="8" t="s">
        <v>12422</v>
      </c>
    </row>
    <row r="4050">
      <c r="A4050" s="7">
        <v>2.0054215E7</v>
      </c>
      <c r="B4050" s="8" t="s">
        <v>4481</v>
      </c>
      <c r="C4050" s="8" t="s">
        <v>12423</v>
      </c>
      <c r="D4050" s="8" t="s">
        <v>16</v>
      </c>
      <c r="E4050" s="8" t="s">
        <v>17</v>
      </c>
      <c r="F4050" s="9">
        <v>46139.0</v>
      </c>
      <c r="G4050" s="8" t="s">
        <v>2400</v>
      </c>
      <c r="H4050" s="8" t="s">
        <v>2401</v>
      </c>
      <c r="I4050" s="8" t="s">
        <v>12424</v>
      </c>
      <c r="J4050" s="8"/>
    </row>
    <row r="4051">
      <c r="A4051" s="7">
        <v>2.0036684E7</v>
      </c>
      <c r="B4051" s="8" t="s">
        <v>4481</v>
      </c>
      <c r="C4051" s="8" t="s">
        <v>12425</v>
      </c>
      <c r="D4051" s="8" t="s">
        <v>16</v>
      </c>
      <c r="E4051" s="8" t="s">
        <v>17</v>
      </c>
      <c r="F4051" s="9">
        <v>46080.0</v>
      </c>
      <c r="G4051" s="8" t="s">
        <v>70</v>
      </c>
      <c r="H4051" s="8" t="s">
        <v>71</v>
      </c>
      <c r="I4051" s="8" t="s">
        <v>12426</v>
      </c>
      <c r="J4051" s="8" t="s">
        <v>12427</v>
      </c>
    </row>
    <row r="4052">
      <c r="A4052" s="7">
        <v>2.0041186E7</v>
      </c>
      <c r="B4052" s="8" t="s">
        <v>4481</v>
      </c>
      <c r="C4052" s="8" t="s">
        <v>12428</v>
      </c>
      <c r="D4052" s="8" t="s">
        <v>16</v>
      </c>
      <c r="E4052" s="8" t="s">
        <v>17</v>
      </c>
      <c r="F4052" s="9">
        <v>46082.0</v>
      </c>
      <c r="G4052" s="8" t="s">
        <v>1431</v>
      </c>
      <c r="H4052" s="8" t="s">
        <v>1432</v>
      </c>
      <c r="I4052" s="8" t="s">
        <v>12429</v>
      </c>
      <c r="J4052" s="8" t="s">
        <v>12430</v>
      </c>
    </row>
    <row r="4053">
      <c r="A4053" s="7">
        <v>2.0042251E7</v>
      </c>
      <c r="B4053" s="8" t="s">
        <v>4481</v>
      </c>
      <c r="C4053" s="8" t="s">
        <v>12431</v>
      </c>
      <c r="D4053" s="8" t="s">
        <v>16</v>
      </c>
      <c r="E4053" s="8" t="s">
        <v>17</v>
      </c>
      <c r="F4053" s="9">
        <v>46090.0</v>
      </c>
      <c r="G4053" s="8" t="s">
        <v>390</v>
      </c>
      <c r="H4053" s="8" t="s">
        <v>391</v>
      </c>
      <c r="I4053" s="8" t="s">
        <v>12432</v>
      </c>
      <c r="J4053" s="8"/>
    </row>
    <row r="4054">
      <c r="A4054" s="7">
        <v>2.0034817E7</v>
      </c>
      <c r="B4054" s="8" t="s">
        <v>4481</v>
      </c>
      <c r="C4054" s="8" t="s">
        <v>12433</v>
      </c>
      <c r="D4054" s="8" t="s">
        <v>16</v>
      </c>
      <c r="E4054" s="8" t="s">
        <v>17</v>
      </c>
      <c r="F4054" s="9">
        <v>46050.0</v>
      </c>
      <c r="G4054" s="8" t="s">
        <v>1537</v>
      </c>
      <c r="H4054" s="8" t="s">
        <v>1538</v>
      </c>
      <c r="I4054" s="8" t="s">
        <v>12434</v>
      </c>
      <c r="J4054" s="8"/>
    </row>
    <row r="4055">
      <c r="A4055" s="7">
        <v>2.0065408E7</v>
      </c>
      <c r="B4055" s="8" t="s">
        <v>4481</v>
      </c>
      <c r="C4055" s="8" t="s">
        <v>12435</v>
      </c>
      <c r="D4055" s="8" t="s">
        <v>16</v>
      </c>
      <c r="E4055" s="8" t="s">
        <v>17</v>
      </c>
      <c r="F4055" s="9">
        <v>46193.0</v>
      </c>
      <c r="G4055" s="8" t="s">
        <v>314</v>
      </c>
      <c r="H4055" s="8" t="s">
        <v>315</v>
      </c>
      <c r="I4055" s="8" t="s">
        <v>4954</v>
      </c>
      <c r="J4055" s="8" t="s">
        <v>12436</v>
      </c>
    </row>
    <row r="4056">
      <c r="A4056" s="7">
        <v>2.0055511E7</v>
      </c>
      <c r="B4056" s="8" t="s">
        <v>4481</v>
      </c>
      <c r="C4056" s="8" t="s">
        <v>12437</v>
      </c>
      <c r="D4056" s="8" t="s">
        <v>16</v>
      </c>
      <c r="E4056" s="8" t="s">
        <v>17</v>
      </c>
      <c r="F4056" s="9">
        <v>46151.0</v>
      </c>
      <c r="G4056" s="8" t="s">
        <v>543</v>
      </c>
      <c r="H4056" s="8" t="s">
        <v>544</v>
      </c>
      <c r="I4056" s="8" t="s">
        <v>12438</v>
      </c>
      <c r="J4056" s="8" t="s">
        <v>12439</v>
      </c>
    </row>
    <row r="4057">
      <c r="A4057" s="7">
        <v>2.0047531E7</v>
      </c>
      <c r="B4057" s="8" t="s">
        <v>4481</v>
      </c>
      <c r="C4057" s="8" t="s">
        <v>12440</v>
      </c>
      <c r="D4057" s="8" t="s">
        <v>16</v>
      </c>
      <c r="E4057" s="8" t="s">
        <v>17</v>
      </c>
      <c r="F4057" s="9">
        <v>46094.0</v>
      </c>
      <c r="G4057" s="8" t="s">
        <v>504</v>
      </c>
      <c r="H4057" s="8" t="s">
        <v>505</v>
      </c>
      <c r="I4057" s="8" t="s">
        <v>12441</v>
      </c>
      <c r="J4057" s="8" t="s">
        <v>12442</v>
      </c>
    </row>
    <row r="4058">
      <c r="A4058" s="7">
        <v>2.004711E7</v>
      </c>
      <c r="B4058" s="8" t="s">
        <v>4481</v>
      </c>
      <c r="C4058" s="8" t="s">
        <v>12443</v>
      </c>
      <c r="D4058" s="8" t="s">
        <v>16</v>
      </c>
      <c r="E4058" s="8" t="s">
        <v>17</v>
      </c>
      <c r="F4058" s="9">
        <v>46108.0</v>
      </c>
      <c r="G4058" s="8" t="s">
        <v>314</v>
      </c>
      <c r="H4058" s="8" t="s">
        <v>315</v>
      </c>
      <c r="I4058" s="8" t="s">
        <v>12444</v>
      </c>
      <c r="J4058" s="8" t="s">
        <v>12445</v>
      </c>
    </row>
    <row r="4059">
      <c r="A4059" s="7">
        <v>2.0047051E7</v>
      </c>
      <c r="B4059" s="8" t="s">
        <v>4481</v>
      </c>
      <c r="C4059" s="8" t="s">
        <v>12446</v>
      </c>
      <c r="D4059" s="8" t="s">
        <v>16</v>
      </c>
      <c r="E4059" s="8" t="s">
        <v>17</v>
      </c>
      <c r="F4059" s="9">
        <v>46116.0</v>
      </c>
      <c r="G4059" s="8" t="s">
        <v>390</v>
      </c>
      <c r="H4059" s="8" t="s">
        <v>391</v>
      </c>
      <c r="I4059" s="8" t="s">
        <v>12447</v>
      </c>
      <c r="J4059" s="8" t="s">
        <v>12448</v>
      </c>
    </row>
    <row r="4060">
      <c r="A4060" s="7">
        <v>2.004377E7</v>
      </c>
      <c r="B4060" s="8" t="s">
        <v>4481</v>
      </c>
      <c r="C4060" s="8" t="s">
        <v>12449</v>
      </c>
      <c r="D4060" s="8" t="s">
        <v>16</v>
      </c>
      <c r="E4060" s="8" t="s">
        <v>17</v>
      </c>
      <c r="F4060" s="9">
        <v>46138.0</v>
      </c>
      <c r="G4060" s="8" t="s">
        <v>12450</v>
      </c>
      <c r="H4060" s="8" t="s">
        <v>12451</v>
      </c>
      <c r="I4060" s="8" t="s">
        <v>12452</v>
      </c>
      <c r="J4060" s="8" t="s">
        <v>12453</v>
      </c>
    </row>
    <row r="4061">
      <c r="A4061" s="7">
        <v>2.004377E7</v>
      </c>
      <c r="B4061" s="8" t="s">
        <v>4481</v>
      </c>
      <c r="C4061" s="8" t="s">
        <v>12449</v>
      </c>
      <c r="D4061" s="8" t="s">
        <v>16</v>
      </c>
      <c r="E4061" s="8" t="s">
        <v>17</v>
      </c>
      <c r="F4061" s="9">
        <v>46138.0</v>
      </c>
      <c r="G4061" s="8" t="s">
        <v>12450</v>
      </c>
      <c r="H4061" s="8" t="s">
        <v>12451</v>
      </c>
      <c r="I4061" s="8" t="s">
        <v>12454</v>
      </c>
      <c r="J4061" s="8" t="s">
        <v>12453</v>
      </c>
    </row>
    <row r="4062">
      <c r="A4062" s="7">
        <v>2.004377E7</v>
      </c>
      <c r="B4062" s="8" t="s">
        <v>4481</v>
      </c>
      <c r="C4062" s="8" t="s">
        <v>12449</v>
      </c>
      <c r="D4062" s="8" t="s">
        <v>16</v>
      </c>
      <c r="E4062" s="8" t="s">
        <v>17</v>
      </c>
      <c r="F4062" s="9">
        <v>46138.0</v>
      </c>
      <c r="G4062" s="8" t="s">
        <v>5916</v>
      </c>
      <c r="H4062" s="8" t="s">
        <v>6548</v>
      </c>
      <c r="I4062" s="8" t="s">
        <v>12455</v>
      </c>
      <c r="J4062" s="8" t="s">
        <v>12456</v>
      </c>
    </row>
    <row r="4063">
      <c r="A4063" s="7">
        <v>2.0042074E7</v>
      </c>
      <c r="B4063" s="8" t="s">
        <v>4481</v>
      </c>
      <c r="C4063" s="8" t="s">
        <v>12457</v>
      </c>
      <c r="D4063" s="8" t="s">
        <v>16</v>
      </c>
      <c r="E4063" s="8" t="s">
        <v>17</v>
      </c>
      <c r="F4063" s="9">
        <v>46091.0</v>
      </c>
      <c r="G4063" s="8" t="s">
        <v>390</v>
      </c>
      <c r="H4063" s="8" t="s">
        <v>391</v>
      </c>
      <c r="I4063" s="8" t="s">
        <v>12458</v>
      </c>
      <c r="J4063" s="8" t="s">
        <v>12459</v>
      </c>
    </row>
    <row r="4064">
      <c r="A4064" s="7">
        <v>2.0036076E7</v>
      </c>
      <c r="B4064" s="8" t="s">
        <v>4481</v>
      </c>
      <c r="C4064" s="8" t="s">
        <v>12460</v>
      </c>
      <c r="D4064" s="8" t="s">
        <v>16</v>
      </c>
      <c r="E4064" s="8" t="s">
        <v>17</v>
      </c>
      <c r="F4064" s="9">
        <v>46055.0</v>
      </c>
      <c r="G4064" s="8" t="s">
        <v>54</v>
      </c>
      <c r="H4064" s="8" t="s">
        <v>55</v>
      </c>
      <c r="I4064" s="8" t="s">
        <v>12461</v>
      </c>
      <c r="J4064" s="8" t="s">
        <v>12462</v>
      </c>
    </row>
    <row r="4065">
      <c r="A4065" s="7">
        <v>2.0055129E7</v>
      </c>
      <c r="B4065" s="8" t="s">
        <v>4481</v>
      </c>
      <c r="C4065" s="8" t="s">
        <v>12463</v>
      </c>
      <c r="D4065" s="8" t="s">
        <v>16</v>
      </c>
      <c r="E4065" s="8" t="s">
        <v>17</v>
      </c>
      <c r="F4065" s="9">
        <v>46137.0</v>
      </c>
      <c r="G4065" s="8" t="s">
        <v>1427</v>
      </c>
      <c r="H4065" s="8" t="s">
        <v>1428</v>
      </c>
      <c r="I4065" s="8" t="s">
        <v>12464</v>
      </c>
      <c r="J4065" s="8"/>
    </row>
    <row r="4066">
      <c r="A4066" s="7">
        <v>2.0052362E7</v>
      </c>
      <c r="B4066" s="8" t="s">
        <v>4481</v>
      </c>
      <c r="C4066" s="8" t="s">
        <v>12465</v>
      </c>
      <c r="D4066" s="8" t="s">
        <v>16</v>
      </c>
      <c r="E4066" s="8" t="s">
        <v>17</v>
      </c>
      <c r="F4066" s="9">
        <v>46131.0</v>
      </c>
      <c r="G4066" s="8" t="s">
        <v>721</v>
      </c>
      <c r="H4066" s="8" t="s">
        <v>722</v>
      </c>
      <c r="I4066" s="8" t="s">
        <v>12466</v>
      </c>
      <c r="J4066" s="8"/>
    </row>
    <row r="4067">
      <c r="A4067" s="7">
        <v>2.0037531E7</v>
      </c>
      <c r="B4067" s="8" t="s">
        <v>4481</v>
      </c>
      <c r="C4067" s="8" t="s">
        <v>12467</v>
      </c>
      <c r="D4067" s="8" t="s">
        <v>16</v>
      </c>
      <c r="E4067" s="8" t="s">
        <v>17</v>
      </c>
      <c r="F4067" s="9">
        <v>46070.0</v>
      </c>
      <c r="G4067" s="8" t="s">
        <v>626</v>
      </c>
      <c r="H4067" s="8" t="s">
        <v>627</v>
      </c>
      <c r="I4067" s="8" t="s">
        <v>12468</v>
      </c>
      <c r="J4067" s="8"/>
    </row>
    <row r="4068">
      <c r="A4068" s="7">
        <v>2.0038303E7</v>
      </c>
      <c r="B4068" s="8" t="s">
        <v>4481</v>
      </c>
      <c r="C4068" s="8" t="s">
        <v>12469</v>
      </c>
      <c r="D4068" s="8" t="s">
        <v>16</v>
      </c>
      <c r="E4068" s="8" t="s">
        <v>17</v>
      </c>
      <c r="F4068" s="9">
        <v>46052.0</v>
      </c>
      <c r="G4068" s="8" t="s">
        <v>91</v>
      </c>
      <c r="H4068" s="8" t="s">
        <v>92</v>
      </c>
      <c r="I4068" s="8" t="s">
        <v>12470</v>
      </c>
      <c r="J4068" s="8" t="s">
        <v>12471</v>
      </c>
    </row>
    <row r="4069">
      <c r="A4069" s="7">
        <v>2.0037416E7</v>
      </c>
      <c r="B4069" s="8" t="s">
        <v>4481</v>
      </c>
      <c r="C4069" s="8" t="s">
        <v>12472</v>
      </c>
      <c r="D4069" s="8" t="s">
        <v>16</v>
      </c>
      <c r="E4069" s="8" t="s">
        <v>17</v>
      </c>
      <c r="F4069" s="9">
        <v>46066.0</v>
      </c>
      <c r="G4069" s="8" t="s">
        <v>1049</v>
      </c>
      <c r="H4069" s="8" t="s">
        <v>1050</v>
      </c>
      <c r="I4069" s="8" t="s">
        <v>12473</v>
      </c>
      <c r="J4069" s="8"/>
    </row>
    <row r="4070">
      <c r="A4070" s="7">
        <v>2.0034872E7</v>
      </c>
      <c r="B4070" s="8" t="s">
        <v>4481</v>
      </c>
      <c r="C4070" s="8" t="s">
        <v>12474</v>
      </c>
      <c r="D4070" s="8" t="s">
        <v>16</v>
      </c>
      <c r="E4070" s="8" t="s">
        <v>17</v>
      </c>
      <c r="F4070" s="9">
        <v>46050.0</v>
      </c>
      <c r="G4070" s="8" t="s">
        <v>390</v>
      </c>
      <c r="H4070" s="8" t="s">
        <v>391</v>
      </c>
      <c r="I4070" s="8" t="s">
        <v>12475</v>
      </c>
      <c r="J4070" s="8"/>
    </row>
    <row r="4071">
      <c r="A4071" s="7">
        <v>2.005369E7</v>
      </c>
      <c r="B4071" s="8" t="s">
        <v>4481</v>
      </c>
      <c r="C4071" s="8" t="s">
        <v>12476</v>
      </c>
      <c r="D4071" s="8" t="s">
        <v>16</v>
      </c>
      <c r="E4071" s="8" t="s">
        <v>17</v>
      </c>
      <c r="F4071" s="9">
        <v>46141.0</v>
      </c>
      <c r="G4071" s="8" t="s">
        <v>2910</v>
      </c>
      <c r="H4071" s="8" t="s">
        <v>2911</v>
      </c>
      <c r="I4071" s="8" t="s">
        <v>12477</v>
      </c>
      <c r="J4071" s="8"/>
    </row>
    <row r="4072">
      <c r="A4072" s="7">
        <v>2.0053306E7</v>
      </c>
      <c r="B4072" s="8" t="s">
        <v>4481</v>
      </c>
      <c r="C4072" s="8" t="s">
        <v>12478</v>
      </c>
      <c r="D4072" s="8" t="s">
        <v>16</v>
      </c>
      <c r="E4072" s="8" t="s">
        <v>17</v>
      </c>
      <c r="F4072" s="9">
        <v>46128.0</v>
      </c>
      <c r="G4072" s="8" t="s">
        <v>357</v>
      </c>
      <c r="H4072" s="8" t="s">
        <v>358</v>
      </c>
      <c r="I4072" s="8" t="s">
        <v>12479</v>
      </c>
      <c r="J4072" s="8" t="s">
        <v>12480</v>
      </c>
    </row>
    <row r="4073">
      <c r="A4073" s="7">
        <v>2.0046669E7</v>
      </c>
      <c r="B4073" s="8" t="s">
        <v>4481</v>
      </c>
      <c r="C4073" s="8" t="s">
        <v>12481</v>
      </c>
      <c r="D4073" s="8" t="s">
        <v>16</v>
      </c>
      <c r="E4073" s="8" t="s">
        <v>17</v>
      </c>
      <c r="F4073" s="9">
        <v>46116.0</v>
      </c>
      <c r="G4073" s="8" t="s">
        <v>12482</v>
      </c>
      <c r="H4073" s="8" t="s">
        <v>12483</v>
      </c>
      <c r="I4073" s="8" t="s">
        <v>12484</v>
      </c>
      <c r="J4073" s="8"/>
    </row>
    <row r="4074">
      <c r="A4074" s="7">
        <v>2.0061887E7</v>
      </c>
      <c r="B4074" s="8" t="s">
        <v>4481</v>
      </c>
      <c r="C4074" s="8" t="s">
        <v>12485</v>
      </c>
      <c r="D4074" s="8" t="s">
        <v>16</v>
      </c>
      <c r="E4074" s="8" t="s">
        <v>17</v>
      </c>
      <c r="F4074" s="9">
        <v>46187.0</v>
      </c>
      <c r="G4074" s="8" t="s">
        <v>12295</v>
      </c>
      <c r="H4074" s="8" t="s">
        <v>12296</v>
      </c>
      <c r="I4074" s="8" t="s">
        <v>12486</v>
      </c>
      <c r="J4074" s="8" t="s">
        <v>12487</v>
      </c>
    </row>
    <row r="4075">
      <c r="A4075" s="7">
        <v>2.005887E7</v>
      </c>
      <c r="B4075" s="8" t="s">
        <v>4481</v>
      </c>
      <c r="C4075" s="8" t="s">
        <v>12488</v>
      </c>
      <c r="D4075" s="8" t="s">
        <v>16</v>
      </c>
      <c r="E4075" s="8" t="s">
        <v>17</v>
      </c>
      <c r="F4075" s="9">
        <v>46188.0</v>
      </c>
      <c r="G4075" s="8" t="s">
        <v>1085</v>
      </c>
      <c r="H4075" s="8" t="s">
        <v>1086</v>
      </c>
      <c r="I4075" s="8" t="s">
        <v>12489</v>
      </c>
      <c r="J4075" s="8" t="s">
        <v>12490</v>
      </c>
    </row>
    <row r="4076">
      <c r="A4076" s="7">
        <v>2.0037554E7</v>
      </c>
      <c r="B4076" s="8" t="s">
        <v>4481</v>
      </c>
      <c r="C4076" s="8" t="s">
        <v>12491</v>
      </c>
      <c r="D4076" s="8" t="s">
        <v>16</v>
      </c>
      <c r="E4076" s="8" t="s">
        <v>17</v>
      </c>
      <c r="F4076" s="9">
        <v>46065.0</v>
      </c>
      <c r="G4076" s="8" t="s">
        <v>543</v>
      </c>
      <c r="H4076" s="8" t="s">
        <v>544</v>
      </c>
      <c r="I4076" s="8" t="s">
        <v>12492</v>
      </c>
      <c r="J4076" s="8"/>
    </row>
    <row r="4077">
      <c r="A4077" s="7">
        <v>2.0056618E7</v>
      </c>
      <c r="B4077" s="8" t="s">
        <v>4481</v>
      </c>
      <c r="C4077" s="8" t="s">
        <v>12493</v>
      </c>
      <c r="D4077" s="8" t="s">
        <v>16</v>
      </c>
      <c r="E4077" s="8" t="s">
        <v>17</v>
      </c>
      <c r="F4077" s="9">
        <v>46143.0</v>
      </c>
      <c r="G4077" s="8" t="s">
        <v>385</v>
      </c>
      <c r="H4077" s="8" t="s">
        <v>386</v>
      </c>
      <c r="I4077" s="8" t="s">
        <v>12494</v>
      </c>
      <c r="J4077" s="8" t="s">
        <v>12495</v>
      </c>
    </row>
    <row r="4078">
      <c r="A4078" s="7">
        <v>2.0051696E7</v>
      </c>
      <c r="B4078" s="8" t="s">
        <v>4481</v>
      </c>
      <c r="C4078" s="8" t="s">
        <v>12496</v>
      </c>
      <c r="D4078" s="8" t="s">
        <v>16</v>
      </c>
      <c r="E4078" s="8" t="s">
        <v>17</v>
      </c>
      <c r="F4078" s="9">
        <v>46132.0</v>
      </c>
      <c r="G4078" s="8" t="s">
        <v>158</v>
      </c>
      <c r="H4078" s="8" t="s">
        <v>159</v>
      </c>
      <c r="I4078" s="8" t="s">
        <v>12497</v>
      </c>
      <c r="J4078" s="8"/>
    </row>
    <row r="4079">
      <c r="A4079" s="7">
        <v>2.0030756E7</v>
      </c>
      <c r="B4079" s="8" t="s">
        <v>4481</v>
      </c>
      <c r="C4079" s="8" t="s">
        <v>12498</v>
      </c>
      <c r="D4079" s="8" t="s">
        <v>16</v>
      </c>
      <c r="E4079" s="8" t="s">
        <v>17</v>
      </c>
      <c r="F4079" s="9">
        <v>46101.0</v>
      </c>
      <c r="G4079" s="8" t="s">
        <v>594</v>
      </c>
      <c r="H4079" s="8" t="s">
        <v>595</v>
      </c>
      <c r="I4079" s="8" t="s">
        <v>12499</v>
      </c>
      <c r="J4079" s="8"/>
    </row>
    <row r="4080">
      <c r="A4080" s="7">
        <v>2.0041781E7</v>
      </c>
      <c r="B4080" s="8" t="s">
        <v>4481</v>
      </c>
      <c r="C4080" s="8" t="s">
        <v>12500</v>
      </c>
      <c r="D4080" s="8" t="s">
        <v>16</v>
      </c>
      <c r="E4080" s="8" t="s">
        <v>17</v>
      </c>
      <c r="F4080" s="9">
        <v>46080.0</v>
      </c>
      <c r="G4080" s="8" t="s">
        <v>137</v>
      </c>
      <c r="H4080" s="8" t="s">
        <v>138</v>
      </c>
      <c r="I4080" s="8" t="s">
        <v>12501</v>
      </c>
      <c r="J4080" s="8" t="s">
        <v>12286</v>
      </c>
    </row>
    <row r="4081">
      <c r="A4081" s="7">
        <v>2.0058955E7</v>
      </c>
      <c r="B4081" s="8" t="s">
        <v>4481</v>
      </c>
      <c r="C4081" s="8" t="s">
        <v>12502</v>
      </c>
      <c r="D4081" s="8" t="s">
        <v>16</v>
      </c>
      <c r="E4081" s="8" t="s">
        <v>17</v>
      </c>
      <c r="F4081" s="9">
        <v>46187.0</v>
      </c>
      <c r="G4081" s="8" t="s">
        <v>12404</v>
      </c>
      <c r="H4081" s="8" t="s">
        <v>12405</v>
      </c>
      <c r="I4081" s="8" t="s">
        <v>12503</v>
      </c>
      <c r="J4081" s="8" t="s">
        <v>12504</v>
      </c>
    </row>
    <row r="4082">
      <c r="A4082" s="7">
        <v>2.0054569E7</v>
      </c>
      <c r="B4082" s="8" t="s">
        <v>4481</v>
      </c>
      <c r="C4082" s="8" t="s">
        <v>12505</v>
      </c>
      <c r="D4082" s="8" t="s">
        <v>16</v>
      </c>
      <c r="E4082" s="8" t="s">
        <v>17</v>
      </c>
      <c r="F4082" s="9">
        <v>46124.0</v>
      </c>
      <c r="G4082" s="8" t="s">
        <v>365</v>
      </c>
      <c r="H4082" s="8" t="s">
        <v>366</v>
      </c>
      <c r="I4082" s="8" t="s">
        <v>12506</v>
      </c>
      <c r="J4082" s="8" t="s">
        <v>12507</v>
      </c>
    </row>
    <row r="4083">
      <c r="A4083" s="7">
        <v>2.0046049E7</v>
      </c>
      <c r="B4083" s="8" t="s">
        <v>4481</v>
      </c>
      <c r="C4083" s="8" t="s">
        <v>12508</v>
      </c>
      <c r="D4083" s="8" t="s">
        <v>16</v>
      </c>
      <c r="E4083" s="8" t="s">
        <v>17</v>
      </c>
      <c r="F4083" s="9">
        <v>46097.0</v>
      </c>
      <c r="G4083" s="8" t="s">
        <v>826</v>
      </c>
      <c r="H4083" s="8" t="s">
        <v>827</v>
      </c>
      <c r="I4083" s="8" t="s">
        <v>12509</v>
      </c>
      <c r="J4083" s="8" t="s">
        <v>12510</v>
      </c>
    </row>
    <row r="4084">
      <c r="A4084" s="7">
        <v>2.0046176E7</v>
      </c>
      <c r="B4084" s="8" t="s">
        <v>4481</v>
      </c>
      <c r="C4084" s="8" t="s">
        <v>12511</v>
      </c>
      <c r="D4084" s="8" t="s">
        <v>16</v>
      </c>
      <c r="E4084" s="8" t="s">
        <v>17</v>
      </c>
      <c r="F4084" s="9">
        <v>46110.0</v>
      </c>
      <c r="G4084" s="8" t="s">
        <v>12512</v>
      </c>
      <c r="H4084" s="8" t="s">
        <v>12513</v>
      </c>
      <c r="I4084" s="8" t="s">
        <v>12514</v>
      </c>
      <c r="J4084" s="8" t="s">
        <v>12515</v>
      </c>
    </row>
    <row r="4085">
      <c r="A4085" s="7">
        <v>2.0037568E7</v>
      </c>
      <c r="B4085" s="8" t="s">
        <v>4481</v>
      </c>
      <c r="C4085" s="8" t="s">
        <v>12516</v>
      </c>
      <c r="D4085" s="8" t="s">
        <v>16</v>
      </c>
      <c r="E4085" s="8" t="s">
        <v>17</v>
      </c>
      <c r="F4085" s="9">
        <v>46070.0</v>
      </c>
      <c r="G4085" s="8" t="s">
        <v>826</v>
      </c>
      <c r="H4085" s="8" t="s">
        <v>827</v>
      </c>
      <c r="I4085" s="8" t="s">
        <v>12517</v>
      </c>
      <c r="J4085" s="8" t="s">
        <v>12518</v>
      </c>
    </row>
    <row r="4086">
      <c r="A4086" s="7">
        <v>2.0034809E7</v>
      </c>
      <c r="B4086" s="8" t="s">
        <v>4481</v>
      </c>
      <c r="C4086" s="8" t="s">
        <v>12519</v>
      </c>
      <c r="D4086" s="8" t="s">
        <v>16</v>
      </c>
      <c r="E4086" s="8" t="s">
        <v>17</v>
      </c>
      <c r="F4086" s="9">
        <v>46049.0</v>
      </c>
      <c r="G4086" s="8" t="s">
        <v>385</v>
      </c>
      <c r="H4086" s="8" t="s">
        <v>386</v>
      </c>
      <c r="I4086" s="8" t="s">
        <v>12520</v>
      </c>
      <c r="J4086" s="8"/>
    </row>
    <row r="4087">
      <c r="A4087" s="7">
        <v>2.0034809E7</v>
      </c>
      <c r="B4087" s="8" t="s">
        <v>4481</v>
      </c>
      <c r="C4087" s="8" t="s">
        <v>12519</v>
      </c>
      <c r="D4087" s="8" t="s">
        <v>16</v>
      </c>
      <c r="E4087" s="8" t="s">
        <v>17</v>
      </c>
      <c r="F4087" s="9">
        <v>46049.0</v>
      </c>
      <c r="G4087" s="8" t="s">
        <v>385</v>
      </c>
      <c r="H4087" s="8" t="s">
        <v>386</v>
      </c>
      <c r="I4087" s="8" t="s">
        <v>12521</v>
      </c>
      <c r="J4087" s="8" t="s">
        <v>12522</v>
      </c>
    </row>
    <row r="4088">
      <c r="A4088" s="7">
        <v>2.0028083E7</v>
      </c>
      <c r="B4088" s="8" t="s">
        <v>4481</v>
      </c>
      <c r="C4088" s="8" t="s">
        <v>12523</v>
      </c>
      <c r="D4088" s="8" t="s">
        <v>16</v>
      </c>
      <c r="E4088" s="8" t="s">
        <v>17</v>
      </c>
      <c r="F4088" s="9">
        <v>46046.0</v>
      </c>
      <c r="G4088" s="8" t="s">
        <v>385</v>
      </c>
      <c r="H4088" s="8" t="s">
        <v>386</v>
      </c>
      <c r="I4088" s="8" t="s">
        <v>12524</v>
      </c>
      <c r="J4088" s="8" t="s">
        <v>12525</v>
      </c>
    </row>
    <row r="4089">
      <c r="A4089" s="7">
        <v>2.0024844E7</v>
      </c>
      <c r="B4089" s="8" t="s">
        <v>4481</v>
      </c>
      <c r="C4089" s="8" t="s">
        <v>12526</v>
      </c>
      <c r="D4089" s="8" t="s">
        <v>16</v>
      </c>
      <c r="E4089" s="8" t="s">
        <v>17</v>
      </c>
      <c r="F4089" s="9">
        <v>46147.0</v>
      </c>
      <c r="G4089" s="8" t="s">
        <v>2068</v>
      </c>
      <c r="H4089" s="8" t="s">
        <v>2069</v>
      </c>
      <c r="I4089" s="8" t="s">
        <v>12527</v>
      </c>
      <c r="J4089" s="8"/>
    </row>
    <row r="4090">
      <c r="A4090" s="7">
        <v>2.0059421E7</v>
      </c>
      <c r="B4090" s="8" t="s">
        <v>4481</v>
      </c>
      <c r="C4090" s="8" t="s">
        <v>12528</v>
      </c>
      <c r="D4090" s="8" t="s">
        <v>16</v>
      </c>
      <c r="E4090" s="8" t="s">
        <v>17</v>
      </c>
      <c r="F4090" s="9">
        <v>46143.0</v>
      </c>
      <c r="G4090" s="8" t="s">
        <v>91</v>
      </c>
      <c r="H4090" s="8" t="s">
        <v>92</v>
      </c>
      <c r="I4090" s="8" t="s">
        <v>12529</v>
      </c>
      <c r="J4090" s="8"/>
    </row>
    <row r="4091">
      <c r="A4091" s="7">
        <v>2.0056084E7</v>
      </c>
      <c r="B4091" s="8" t="s">
        <v>4481</v>
      </c>
      <c r="C4091" s="8" t="s">
        <v>12530</v>
      </c>
      <c r="D4091" s="8" t="s">
        <v>16</v>
      </c>
      <c r="E4091" s="8" t="s">
        <v>17</v>
      </c>
      <c r="F4091" s="9">
        <v>46154.0</v>
      </c>
      <c r="G4091" s="8" t="s">
        <v>658</v>
      </c>
      <c r="H4091" s="8" t="s">
        <v>659</v>
      </c>
      <c r="I4091" s="8" t="s">
        <v>12531</v>
      </c>
      <c r="J4091" s="8"/>
    </row>
    <row r="4092">
      <c r="A4092" s="7">
        <v>2.0048736E7</v>
      </c>
      <c r="B4092" s="8" t="s">
        <v>4481</v>
      </c>
      <c r="C4092" s="8" t="s">
        <v>12532</v>
      </c>
      <c r="D4092" s="8" t="s">
        <v>16</v>
      </c>
      <c r="E4092" s="8" t="s">
        <v>17</v>
      </c>
      <c r="F4092" s="9">
        <v>46117.0</v>
      </c>
      <c r="G4092" s="8" t="s">
        <v>436</v>
      </c>
      <c r="H4092" s="8" t="s">
        <v>437</v>
      </c>
      <c r="I4092" s="8" t="s">
        <v>12534</v>
      </c>
      <c r="J4092" s="8"/>
    </row>
    <row r="4093">
      <c r="A4093" s="7">
        <v>2.0046488E7</v>
      </c>
      <c r="B4093" s="8" t="s">
        <v>4481</v>
      </c>
      <c r="C4093" s="8" t="s">
        <v>12535</v>
      </c>
      <c r="D4093" s="8" t="s">
        <v>16</v>
      </c>
      <c r="E4093" s="8" t="s">
        <v>17</v>
      </c>
      <c r="F4093" s="9">
        <v>46112.0</v>
      </c>
      <c r="G4093" s="8" t="s">
        <v>12537</v>
      </c>
      <c r="H4093" s="8" t="s">
        <v>12538</v>
      </c>
      <c r="I4093" s="8" t="s">
        <v>12539</v>
      </c>
      <c r="J4093" s="8"/>
    </row>
    <row r="4094">
      <c r="A4094" s="7">
        <v>2.0046109E7</v>
      </c>
      <c r="B4094" s="8" t="s">
        <v>4481</v>
      </c>
      <c r="C4094" s="8" t="s">
        <v>12541</v>
      </c>
      <c r="D4094" s="8" t="s">
        <v>16</v>
      </c>
      <c r="E4094" s="8" t="s">
        <v>17</v>
      </c>
      <c r="F4094" s="9">
        <v>46106.0</v>
      </c>
      <c r="G4094" s="8" t="s">
        <v>410</v>
      </c>
      <c r="H4094" s="8" t="s">
        <v>411</v>
      </c>
      <c r="I4094" s="8" t="s">
        <v>12542</v>
      </c>
      <c r="J4094" s="8"/>
    </row>
    <row r="4095">
      <c r="A4095" s="7">
        <v>2.0046024E7</v>
      </c>
      <c r="B4095" s="8" t="s">
        <v>4481</v>
      </c>
      <c r="C4095" s="8" t="s">
        <v>12543</v>
      </c>
      <c r="D4095" s="8" t="s">
        <v>16</v>
      </c>
      <c r="E4095" s="8" t="s">
        <v>17</v>
      </c>
      <c r="F4095" s="9">
        <v>46114.0</v>
      </c>
      <c r="G4095" s="8" t="s">
        <v>158</v>
      </c>
      <c r="H4095" s="8" t="s">
        <v>159</v>
      </c>
      <c r="I4095" s="8" t="s">
        <v>12544</v>
      </c>
      <c r="J4095" s="8"/>
    </row>
    <row r="4096">
      <c r="A4096" s="7">
        <v>2.0044934E7</v>
      </c>
      <c r="B4096" s="8" t="s">
        <v>4481</v>
      </c>
      <c r="C4096" s="8" t="s">
        <v>12545</v>
      </c>
      <c r="D4096" s="8" t="s">
        <v>16</v>
      </c>
      <c r="E4096" s="8" t="s">
        <v>17</v>
      </c>
      <c r="F4096" s="9">
        <v>46100.0</v>
      </c>
      <c r="G4096" s="8" t="s">
        <v>171</v>
      </c>
      <c r="H4096" s="8" t="s">
        <v>172</v>
      </c>
      <c r="I4096" s="8" t="s">
        <v>12549</v>
      </c>
      <c r="J4096" s="8" t="s">
        <v>12551</v>
      </c>
    </row>
    <row r="4097">
      <c r="A4097" s="7">
        <v>2.0031117E7</v>
      </c>
      <c r="B4097" s="8" t="s">
        <v>4481</v>
      </c>
      <c r="C4097" s="8" t="s">
        <v>12553</v>
      </c>
      <c r="D4097" s="8" t="s">
        <v>16</v>
      </c>
      <c r="E4097" s="8" t="s">
        <v>17</v>
      </c>
      <c r="F4097" s="9">
        <v>46090.0</v>
      </c>
      <c r="G4097" s="8" t="s">
        <v>11839</v>
      </c>
      <c r="H4097" s="8" t="s">
        <v>11840</v>
      </c>
      <c r="I4097" s="8" t="s">
        <v>12554</v>
      </c>
      <c r="J4097" s="8"/>
    </row>
    <row r="4098">
      <c r="A4098" s="7">
        <v>2.0034428E7</v>
      </c>
      <c r="B4098" s="8" t="s">
        <v>4481</v>
      </c>
      <c r="C4098" s="8" t="s">
        <v>12555</v>
      </c>
      <c r="D4098" s="8" t="s">
        <v>16</v>
      </c>
      <c r="E4098" s="8" t="s">
        <v>17</v>
      </c>
      <c r="F4098" s="9">
        <v>46057.0</v>
      </c>
      <c r="G4098" s="8" t="s">
        <v>171</v>
      </c>
      <c r="H4098" s="8" t="s">
        <v>172</v>
      </c>
      <c r="I4098" s="8" t="s">
        <v>12556</v>
      </c>
      <c r="J4098" s="8"/>
    </row>
    <row r="4099">
      <c r="A4099" s="7">
        <v>2.0062207E7</v>
      </c>
      <c r="B4099" s="8" t="s">
        <v>4481</v>
      </c>
      <c r="C4099" s="8" t="s">
        <v>12557</v>
      </c>
      <c r="D4099" s="8" t="s">
        <v>16</v>
      </c>
      <c r="E4099" s="8" t="s">
        <v>17</v>
      </c>
      <c r="F4099" s="9">
        <v>46191.0</v>
      </c>
      <c r="G4099" s="8" t="s">
        <v>158</v>
      </c>
      <c r="H4099" s="8" t="s">
        <v>159</v>
      </c>
      <c r="I4099" s="8" t="s">
        <v>12558</v>
      </c>
      <c r="J4099" s="8"/>
    </row>
    <row r="4100">
      <c r="A4100" s="7">
        <v>2.0052014E7</v>
      </c>
      <c r="B4100" s="8" t="s">
        <v>4481</v>
      </c>
      <c r="C4100" s="8" t="s">
        <v>12559</v>
      </c>
      <c r="D4100" s="8" t="s">
        <v>16</v>
      </c>
      <c r="E4100" s="8" t="s">
        <v>17</v>
      </c>
      <c r="F4100" s="9">
        <v>46160.0</v>
      </c>
      <c r="G4100" s="8" t="s">
        <v>12560</v>
      </c>
      <c r="H4100" s="8" t="s">
        <v>12561</v>
      </c>
      <c r="I4100" s="8" t="s">
        <v>12562</v>
      </c>
      <c r="J4100" s="8"/>
    </row>
    <row r="4101">
      <c r="A4101" s="7">
        <v>2.0047582E7</v>
      </c>
      <c r="B4101" s="8" t="s">
        <v>4481</v>
      </c>
      <c r="C4101" s="8" t="s">
        <v>12563</v>
      </c>
      <c r="D4101" s="8" t="s">
        <v>16</v>
      </c>
      <c r="E4101" s="8" t="s">
        <v>17</v>
      </c>
      <c r="F4101" s="9">
        <v>46112.0</v>
      </c>
      <c r="G4101" s="8" t="s">
        <v>11113</v>
      </c>
      <c r="H4101" s="8" t="s">
        <v>11114</v>
      </c>
      <c r="I4101" s="8" t="s">
        <v>12564</v>
      </c>
      <c r="J4101" s="8" t="s">
        <v>12565</v>
      </c>
    </row>
    <row r="4102">
      <c r="A4102" s="7">
        <v>2.0047582E7</v>
      </c>
      <c r="B4102" s="8" t="s">
        <v>4481</v>
      </c>
      <c r="C4102" s="8" t="s">
        <v>12563</v>
      </c>
      <c r="D4102" s="8" t="s">
        <v>16</v>
      </c>
      <c r="E4102" s="8" t="s">
        <v>17</v>
      </c>
      <c r="F4102" s="9">
        <v>46112.0</v>
      </c>
      <c r="G4102" s="8" t="s">
        <v>12566</v>
      </c>
      <c r="H4102" s="8" t="s">
        <v>12567</v>
      </c>
      <c r="I4102" s="8" t="s">
        <v>12568</v>
      </c>
      <c r="J4102" s="8" t="s">
        <v>12569</v>
      </c>
    </row>
    <row r="4103">
      <c r="A4103" s="7">
        <v>2.0049673E7</v>
      </c>
      <c r="B4103" s="8" t="s">
        <v>4481</v>
      </c>
      <c r="C4103" s="8" t="s">
        <v>12570</v>
      </c>
      <c r="D4103" s="8" t="s">
        <v>16</v>
      </c>
      <c r="E4103" s="8" t="s">
        <v>17</v>
      </c>
      <c r="F4103" s="9">
        <v>46112.0</v>
      </c>
      <c r="G4103" s="8" t="s">
        <v>1280</v>
      </c>
      <c r="H4103" s="8" t="s">
        <v>1281</v>
      </c>
      <c r="I4103" s="8" t="s">
        <v>12571</v>
      </c>
      <c r="J4103" s="8"/>
    </row>
    <row r="4104">
      <c r="A4104" s="7">
        <v>2.0048629E7</v>
      </c>
      <c r="B4104" s="8" t="s">
        <v>4481</v>
      </c>
      <c r="C4104" s="8" t="s">
        <v>12572</v>
      </c>
      <c r="D4104" s="8" t="s">
        <v>16</v>
      </c>
      <c r="E4104" s="8" t="s">
        <v>17</v>
      </c>
      <c r="F4104" s="9">
        <v>46118.0</v>
      </c>
      <c r="G4104" s="8" t="s">
        <v>361</v>
      </c>
      <c r="H4104" s="8" t="s">
        <v>362</v>
      </c>
      <c r="I4104" s="8" t="s">
        <v>12573</v>
      </c>
      <c r="J4104" s="8"/>
    </row>
    <row r="4105">
      <c r="A4105" s="7">
        <v>2.0047964E7</v>
      </c>
      <c r="B4105" s="8" t="s">
        <v>4481</v>
      </c>
      <c r="C4105" s="8" t="s">
        <v>12574</v>
      </c>
      <c r="D4105" s="8" t="s">
        <v>16</v>
      </c>
      <c r="E4105" s="8" t="s">
        <v>17</v>
      </c>
      <c r="F4105" s="9">
        <v>46095.0</v>
      </c>
      <c r="G4105" s="8" t="s">
        <v>3812</v>
      </c>
      <c r="H4105" s="8" t="s">
        <v>3813</v>
      </c>
      <c r="I4105" s="8" t="s">
        <v>12575</v>
      </c>
      <c r="J4105" s="8" t="s">
        <v>12576</v>
      </c>
    </row>
    <row r="4106">
      <c r="A4106" s="7">
        <v>2.0042362E7</v>
      </c>
      <c r="B4106" s="8" t="s">
        <v>4481</v>
      </c>
      <c r="C4106" s="8" t="s">
        <v>12577</v>
      </c>
      <c r="D4106" s="8" t="s">
        <v>16</v>
      </c>
      <c r="E4106" s="8" t="s">
        <v>17</v>
      </c>
      <c r="F4106" s="9">
        <v>46078.0</v>
      </c>
      <c r="G4106" s="8" t="s">
        <v>2511</v>
      </c>
      <c r="H4106" s="8" t="s">
        <v>2512</v>
      </c>
      <c r="I4106" s="8" t="s">
        <v>12578</v>
      </c>
      <c r="J4106" s="8" t="s">
        <v>12579</v>
      </c>
    </row>
    <row r="4107">
      <c r="A4107" s="7">
        <v>2.0032514E7</v>
      </c>
      <c r="B4107" s="8" t="s">
        <v>4481</v>
      </c>
      <c r="C4107" s="8" t="s">
        <v>12580</v>
      </c>
      <c r="D4107" s="8" t="s">
        <v>16</v>
      </c>
      <c r="E4107" s="8" t="s">
        <v>17</v>
      </c>
      <c r="F4107" s="9">
        <v>46052.0</v>
      </c>
      <c r="G4107" s="8" t="s">
        <v>3088</v>
      </c>
      <c r="H4107" s="8" t="s">
        <v>3089</v>
      </c>
      <c r="I4107" s="8" t="s">
        <v>12581</v>
      </c>
      <c r="J4107" s="8" t="s">
        <v>12582</v>
      </c>
    </row>
    <row r="4108">
      <c r="A4108" s="7">
        <v>2.0027022E7</v>
      </c>
      <c r="B4108" s="8" t="s">
        <v>4481</v>
      </c>
      <c r="C4108" s="8" t="s">
        <v>12583</v>
      </c>
      <c r="D4108" s="8" t="s">
        <v>16</v>
      </c>
      <c r="E4108" s="8" t="s">
        <v>17</v>
      </c>
      <c r="F4108" s="9">
        <v>46111.0</v>
      </c>
      <c r="G4108" s="8" t="s">
        <v>18</v>
      </c>
      <c r="H4108" s="8" t="s">
        <v>19</v>
      </c>
      <c r="I4108" s="8" t="s">
        <v>12584</v>
      </c>
      <c r="J4108" s="8"/>
    </row>
    <row r="4109">
      <c r="A4109" s="7">
        <v>2.00421E7</v>
      </c>
      <c r="B4109" s="8" t="s">
        <v>4481</v>
      </c>
      <c r="C4109" s="8" t="s">
        <v>12585</v>
      </c>
      <c r="D4109" s="8" t="s">
        <v>16</v>
      </c>
      <c r="E4109" s="8" t="s">
        <v>48</v>
      </c>
      <c r="F4109" s="9">
        <v>46083.0</v>
      </c>
      <c r="G4109" s="8" t="s">
        <v>91</v>
      </c>
      <c r="H4109" s="8" t="s">
        <v>92</v>
      </c>
      <c r="I4109" s="8" t="s">
        <v>12586</v>
      </c>
      <c r="J4109" s="8"/>
    </row>
    <row r="4110">
      <c r="A4110" s="7">
        <v>2.00421E7</v>
      </c>
      <c r="B4110" s="8" t="s">
        <v>4481</v>
      </c>
      <c r="C4110" s="8" t="s">
        <v>12585</v>
      </c>
      <c r="D4110" s="8" t="s">
        <v>16</v>
      </c>
      <c r="E4110" s="8" t="s">
        <v>48</v>
      </c>
      <c r="F4110" s="9">
        <v>46083.0</v>
      </c>
      <c r="G4110" s="8" t="s">
        <v>91</v>
      </c>
      <c r="H4110" s="8" t="s">
        <v>92</v>
      </c>
      <c r="I4110" s="8" t="s">
        <v>12587</v>
      </c>
      <c r="J4110" s="8" t="s">
        <v>12588</v>
      </c>
    </row>
    <row r="4111">
      <c r="A4111" s="7">
        <v>2.0042545E7</v>
      </c>
      <c r="B4111" s="8" t="s">
        <v>4481</v>
      </c>
      <c r="C4111" s="8" t="s">
        <v>12589</v>
      </c>
      <c r="D4111" s="8" t="s">
        <v>16</v>
      </c>
      <c r="E4111" s="8" t="s">
        <v>17</v>
      </c>
      <c r="F4111" s="9">
        <v>46094.0</v>
      </c>
      <c r="G4111" s="8" t="s">
        <v>2339</v>
      </c>
      <c r="H4111" s="8" t="s">
        <v>2340</v>
      </c>
      <c r="I4111" s="8" t="s">
        <v>12590</v>
      </c>
      <c r="J4111" s="8" t="s">
        <v>12591</v>
      </c>
    </row>
    <row r="4112">
      <c r="A4112" s="7">
        <v>2.0039251E7</v>
      </c>
      <c r="B4112" s="8" t="s">
        <v>4481</v>
      </c>
      <c r="C4112" s="8" t="s">
        <v>12592</v>
      </c>
      <c r="D4112" s="8" t="s">
        <v>16</v>
      </c>
      <c r="E4112" s="8" t="s">
        <v>17</v>
      </c>
      <c r="F4112" s="9">
        <v>46077.0</v>
      </c>
      <c r="G4112" s="8" t="s">
        <v>486</v>
      </c>
      <c r="H4112" s="8" t="s">
        <v>487</v>
      </c>
      <c r="I4112" s="8" t="s">
        <v>12593</v>
      </c>
      <c r="J4112" s="8"/>
    </row>
    <row r="4113">
      <c r="A4113" s="7">
        <v>2.0034842E7</v>
      </c>
      <c r="B4113" s="8" t="s">
        <v>4481</v>
      </c>
      <c r="C4113" s="8" t="s">
        <v>12594</v>
      </c>
      <c r="D4113" s="8" t="s">
        <v>16</v>
      </c>
      <c r="E4113" s="8" t="s">
        <v>17</v>
      </c>
      <c r="F4113" s="9">
        <v>46049.0</v>
      </c>
      <c r="G4113" s="8" t="s">
        <v>282</v>
      </c>
      <c r="H4113" s="8" t="s">
        <v>71</v>
      </c>
      <c r="I4113" s="8" t="s">
        <v>12595</v>
      </c>
      <c r="J4113" s="8" t="s">
        <v>12596</v>
      </c>
    </row>
    <row r="4114">
      <c r="A4114" s="7">
        <v>2.0054257E7</v>
      </c>
      <c r="B4114" s="8" t="s">
        <v>4481</v>
      </c>
      <c r="C4114" s="8" t="s">
        <v>12597</v>
      </c>
      <c r="D4114" s="8" t="s">
        <v>16</v>
      </c>
      <c r="E4114" s="8" t="s">
        <v>17</v>
      </c>
      <c r="F4114" s="9">
        <v>46138.0</v>
      </c>
      <c r="G4114" s="8" t="s">
        <v>361</v>
      </c>
      <c r="H4114" s="8" t="s">
        <v>362</v>
      </c>
      <c r="I4114" s="8" t="s">
        <v>12598</v>
      </c>
      <c r="J4114" s="8"/>
    </row>
    <row r="4115">
      <c r="A4115" s="7">
        <v>2.0050033E7</v>
      </c>
      <c r="B4115" s="8" t="s">
        <v>4481</v>
      </c>
      <c r="C4115" s="8" t="s">
        <v>12599</v>
      </c>
      <c r="D4115" s="8" t="s">
        <v>16</v>
      </c>
      <c r="E4115" s="8" t="s">
        <v>17</v>
      </c>
      <c r="F4115" s="9">
        <v>46122.0</v>
      </c>
      <c r="G4115" s="8" t="s">
        <v>12600</v>
      </c>
      <c r="H4115" s="8" t="s">
        <v>12601</v>
      </c>
      <c r="I4115" s="8" t="s">
        <v>12602</v>
      </c>
      <c r="J4115" s="8"/>
    </row>
    <row r="4116">
      <c r="A4116" s="7">
        <v>2.0049784E7</v>
      </c>
      <c r="B4116" s="8" t="s">
        <v>4481</v>
      </c>
      <c r="C4116" s="8" t="s">
        <v>12603</v>
      </c>
      <c r="D4116" s="8" t="s">
        <v>16</v>
      </c>
      <c r="E4116" s="8" t="s">
        <v>17</v>
      </c>
      <c r="F4116" s="9">
        <v>46119.0</v>
      </c>
      <c r="G4116" s="8" t="s">
        <v>1045</v>
      </c>
      <c r="H4116" s="8" t="s">
        <v>909</v>
      </c>
      <c r="I4116" s="8" t="s">
        <v>12604</v>
      </c>
      <c r="J4116" s="8"/>
    </row>
    <row r="4117">
      <c r="A4117" s="7">
        <v>2.0034976E7</v>
      </c>
      <c r="B4117" s="8" t="s">
        <v>4481</v>
      </c>
      <c r="C4117" s="8" t="s">
        <v>12605</v>
      </c>
      <c r="D4117" s="8" t="s">
        <v>16</v>
      </c>
      <c r="E4117" s="8" t="s">
        <v>17</v>
      </c>
      <c r="F4117" s="9">
        <v>46049.0</v>
      </c>
      <c r="G4117" s="8" t="s">
        <v>124</v>
      </c>
      <c r="H4117" s="8" t="s">
        <v>125</v>
      </c>
      <c r="I4117" s="8" t="s">
        <v>12606</v>
      </c>
      <c r="J4117" s="8"/>
    </row>
    <row r="4118">
      <c r="A4118" s="7">
        <v>2.003259E7</v>
      </c>
      <c r="B4118" s="8" t="s">
        <v>4481</v>
      </c>
      <c r="C4118" s="8" t="s">
        <v>12607</v>
      </c>
      <c r="D4118" s="8" t="s">
        <v>16</v>
      </c>
      <c r="E4118" s="8" t="s">
        <v>17</v>
      </c>
      <c r="F4118" s="9">
        <v>46042.0</v>
      </c>
      <c r="G4118" s="8" t="s">
        <v>826</v>
      </c>
      <c r="H4118" s="8" t="s">
        <v>827</v>
      </c>
      <c r="I4118" s="8" t="s">
        <v>12608</v>
      </c>
      <c r="J4118" s="8" t="s">
        <v>12609</v>
      </c>
    </row>
    <row r="4119">
      <c r="A4119" s="7">
        <v>2.0056913E7</v>
      </c>
      <c r="B4119" s="8" t="s">
        <v>4481</v>
      </c>
      <c r="C4119" s="8" t="s">
        <v>12610</v>
      </c>
      <c r="D4119" s="8" t="s">
        <v>16</v>
      </c>
      <c r="E4119" s="8" t="s">
        <v>17</v>
      </c>
      <c r="F4119" s="9">
        <v>46161.0</v>
      </c>
      <c r="G4119" s="8" t="s">
        <v>4523</v>
      </c>
      <c r="H4119" s="8" t="s">
        <v>4524</v>
      </c>
      <c r="I4119" s="8" t="s">
        <v>12611</v>
      </c>
      <c r="J4119" s="8"/>
    </row>
    <row r="4120">
      <c r="A4120" s="7">
        <v>2.0050647E7</v>
      </c>
      <c r="B4120" s="8" t="s">
        <v>4481</v>
      </c>
      <c r="C4120" s="8" t="s">
        <v>12612</v>
      </c>
      <c r="D4120" s="8" t="s">
        <v>16</v>
      </c>
      <c r="E4120" s="8" t="s">
        <v>17</v>
      </c>
      <c r="F4120" s="9">
        <v>46126.0</v>
      </c>
      <c r="G4120" s="8" t="s">
        <v>12613</v>
      </c>
      <c r="H4120" s="8" t="s">
        <v>3431</v>
      </c>
      <c r="I4120" s="8" t="s">
        <v>12614</v>
      </c>
      <c r="J4120" s="8" t="s">
        <v>12615</v>
      </c>
    </row>
    <row r="4121">
      <c r="A4121" s="7">
        <v>2.0051334E7</v>
      </c>
      <c r="B4121" s="8" t="s">
        <v>4481</v>
      </c>
      <c r="C4121" s="8" t="s">
        <v>12616</v>
      </c>
      <c r="D4121" s="8" t="s">
        <v>16</v>
      </c>
      <c r="E4121" s="8" t="s">
        <v>17</v>
      </c>
      <c r="F4121" s="9">
        <v>46131.0</v>
      </c>
      <c r="G4121" s="8" t="s">
        <v>4472</v>
      </c>
      <c r="H4121" s="8" t="s">
        <v>4473</v>
      </c>
      <c r="I4121" s="8" t="s">
        <v>12617</v>
      </c>
      <c r="J4121" s="8" t="s">
        <v>12618</v>
      </c>
    </row>
    <row r="4122">
      <c r="A4122" s="7">
        <v>2.0037309E7</v>
      </c>
      <c r="B4122" s="8" t="s">
        <v>4481</v>
      </c>
      <c r="C4122" s="8" t="s">
        <v>12619</v>
      </c>
      <c r="D4122" s="8" t="s">
        <v>16</v>
      </c>
      <c r="E4122" s="8" t="s">
        <v>17</v>
      </c>
      <c r="F4122" s="9">
        <v>46084.0</v>
      </c>
      <c r="G4122" s="8" t="s">
        <v>7894</v>
      </c>
      <c r="H4122" s="8" t="s">
        <v>7895</v>
      </c>
      <c r="I4122" s="8" t="s">
        <v>12620</v>
      </c>
      <c r="J4122" s="8"/>
    </row>
    <row r="4123">
      <c r="A4123" s="7">
        <v>2.0036317E7</v>
      </c>
      <c r="B4123" s="8" t="s">
        <v>4481</v>
      </c>
      <c r="C4123" s="8" t="s">
        <v>12621</v>
      </c>
      <c r="D4123" s="8" t="s">
        <v>16</v>
      </c>
      <c r="E4123" s="8" t="s">
        <v>17</v>
      </c>
      <c r="F4123" s="9">
        <v>46085.0</v>
      </c>
      <c r="G4123" s="8" t="s">
        <v>7894</v>
      </c>
      <c r="H4123" s="8" t="s">
        <v>7895</v>
      </c>
      <c r="I4123" s="8" t="s">
        <v>12622</v>
      </c>
      <c r="J4123" s="8" t="s">
        <v>12623</v>
      </c>
    </row>
    <row r="4124">
      <c r="A4124" s="7">
        <v>2.0036312E7</v>
      </c>
      <c r="B4124" s="8" t="s">
        <v>4481</v>
      </c>
      <c r="C4124" s="8" t="s">
        <v>12624</v>
      </c>
      <c r="D4124" s="8" t="s">
        <v>16</v>
      </c>
      <c r="E4124" s="8" t="s">
        <v>17</v>
      </c>
      <c r="F4124" s="9">
        <v>46076.0</v>
      </c>
      <c r="G4124" s="8" t="s">
        <v>7894</v>
      </c>
      <c r="H4124" s="8" t="s">
        <v>7895</v>
      </c>
      <c r="I4124" s="8" t="s">
        <v>12625</v>
      </c>
      <c r="J4124" s="8" t="s">
        <v>12626</v>
      </c>
    </row>
    <row r="4125">
      <c r="A4125" s="7">
        <v>2.0061513E7</v>
      </c>
      <c r="B4125" s="8" t="s">
        <v>4481</v>
      </c>
      <c r="C4125" s="8" t="s">
        <v>12627</v>
      </c>
      <c r="D4125" s="8" t="s">
        <v>16</v>
      </c>
      <c r="E4125" s="8" t="s">
        <v>17</v>
      </c>
      <c r="F4125" s="9">
        <v>46157.0</v>
      </c>
      <c r="G4125" s="8" t="s">
        <v>504</v>
      </c>
      <c r="H4125" s="8" t="s">
        <v>505</v>
      </c>
      <c r="I4125" s="8" t="s">
        <v>12628</v>
      </c>
      <c r="J4125" s="8" t="s">
        <v>12629</v>
      </c>
    </row>
    <row r="4126">
      <c r="A4126" s="7">
        <v>2.0060392E7</v>
      </c>
      <c r="B4126" s="8" t="s">
        <v>4481</v>
      </c>
      <c r="C4126" s="8" t="s">
        <v>12630</v>
      </c>
      <c r="D4126" s="8" t="s">
        <v>16</v>
      </c>
      <c r="E4126" s="8" t="s">
        <v>17</v>
      </c>
      <c r="F4126" s="9">
        <v>46191.0</v>
      </c>
      <c r="G4126" s="8" t="s">
        <v>436</v>
      </c>
      <c r="H4126" s="8" t="s">
        <v>437</v>
      </c>
      <c r="I4126" s="8" t="s">
        <v>12631</v>
      </c>
      <c r="J4126" s="8"/>
    </row>
    <row r="4127">
      <c r="A4127" s="7">
        <v>2.0042771E7</v>
      </c>
      <c r="B4127" s="8" t="s">
        <v>4481</v>
      </c>
      <c r="C4127" s="8" t="s">
        <v>12632</v>
      </c>
      <c r="D4127" s="8" t="s">
        <v>16</v>
      </c>
      <c r="E4127" s="8" t="s">
        <v>17</v>
      </c>
      <c r="F4127" s="9">
        <v>46095.0</v>
      </c>
      <c r="G4127" s="8" t="s">
        <v>12633</v>
      </c>
      <c r="H4127" s="8" t="s">
        <v>12634</v>
      </c>
      <c r="I4127" s="8" t="s">
        <v>12635</v>
      </c>
      <c r="J4127" s="8"/>
    </row>
    <row r="4128">
      <c r="A4128" s="7">
        <v>2.0032782E7</v>
      </c>
      <c r="B4128" s="8" t="s">
        <v>4481</v>
      </c>
      <c r="C4128" s="8" t="s">
        <v>12636</v>
      </c>
      <c r="D4128" s="8" t="s">
        <v>16</v>
      </c>
      <c r="E4128" s="8" t="s">
        <v>17</v>
      </c>
      <c r="F4128" s="9">
        <v>46068.0</v>
      </c>
      <c r="G4128" s="8" t="s">
        <v>436</v>
      </c>
      <c r="H4128" s="8" t="s">
        <v>437</v>
      </c>
      <c r="I4128" s="8" t="s">
        <v>12637</v>
      </c>
      <c r="J4128" s="8" t="s">
        <v>12638</v>
      </c>
    </row>
    <row r="4129">
      <c r="A4129" s="7">
        <v>2.0035668E7</v>
      </c>
      <c r="B4129" s="8" t="s">
        <v>4481</v>
      </c>
      <c r="C4129" s="8" t="s">
        <v>12639</v>
      </c>
      <c r="D4129" s="8" t="s">
        <v>16</v>
      </c>
      <c r="E4129" s="8" t="s">
        <v>17</v>
      </c>
      <c r="F4129" s="9">
        <v>46060.0</v>
      </c>
      <c r="G4129" s="8" t="s">
        <v>4382</v>
      </c>
      <c r="H4129" s="8" t="s">
        <v>4383</v>
      </c>
      <c r="I4129" s="8" t="s">
        <v>12640</v>
      </c>
      <c r="J4129" s="8"/>
    </row>
    <row r="4130">
      <c r="A4130" s="7">
        <v>2.0059268E7</v>
      </c>
      <c r="B4130" s="8" t="s">
        <v>4481</v>
      </c>
      <c r="C4130" s="8" t="s">
        <v>12641</v>
      </c>
      <c r="D4130" s="8" t="s">
        <v>16</v>
      </c>
      <c r="E4130" s="8" t="s">
        <v>17</v>
      </c>
      <c r="F4130" s="9">
        <v>46171.0</v>
      </c>
      <c r="G4130" s="8" t="s">
        <v>1045</v>
      </c>
      <c r="H4130" s="8" t="s">
        <v>909</v>
      </c>
      <c r="I4130" s="8" t="s">
        <v>12642</v>
      </c>
      <c r="J4130" s="8" t="s">
        <v>12643</v>
      </c>
    </row>
    <row r="4131">
      <c r="A4131" s="7">
        <v>2.0050908E7</v>
      </c>
      <c r="B4131" s="8" t="s">
        <v>4481</v>
      </c>
      <c r="C4131" s="8" t="s">
        <v>12644</v>
      </c>
      <c r="D4131" s="8" t="s">
        <v>16</v>
      </c>
      <c r="E4131" s="8" t="s">
        <v>17</v>
      </c>
      <c r="F4131" s="9">
        <v>46123.0</v>
      </c>
      <c r="G4131" s="8" t="s">
        <v>64</v>
      </c>
      <c r="H4131" s="8" t="s">
        <v>65</v>
      </c>
      <c r="I4131" s="8" t="s">
        <v>12645</v>
      </c>
      <c r="J4131" s="8" t="s">
        <v>12646</v>
      </c>
    </row>
    <row r="4132">
      <c r="A4132" s="7">
        <v>2.0044867E7</v>
      </c>
      <c r="B4132" s="8" t="s">
        <v>4481</v>
      </c>
      <c r="C4132" s="8" t="s">
        <v>12647</v>
      </c>
      <c r="D4132" s="8" t="s">
        <v>16</v>
      </c>
      <c r="E4132" s="8" t="s">
        <v>17</v>
      </c>
      <c r="F4132" s="9">
        <v>46101.0</v>
      </c>
      <c r="G4132" s="8" t="s">
        <v>390</v>
      </c>
      <c r="H4132" s="8" t="s">
        <v>391</v>
      </c>
      <c r="I4132" s="8" t="s">
        <v>12648</v>
      </c>
      <c r="J4132" s="8"/>
    </row>
    <row r="4133">
      <c r="A4133" s="7">
        <v>2.0042323E7</v>
      </c>
      <c r="B4133" s="8" t="s">
        <v>4481</v>
      </c>
      <c r="C4133" s="8" t="s">
        <v>12649</v>
      </c>
      <c r="D4133" s="8" t="s">
        <v>16</v>
      </c>
      <c r="E4133" s="8" t="s">
        <v>17</v>
      </c>
      <c r="F4133" s="9">
        <v>46091.0</v>
      </c>
      <c r="G4133" s="8" t="s">
        <v>543</v>
      </c>
      <c r="H4133" s="8" t="s">
        <v>544</v>
      </c>
      <c r="I4133" s="8" t="s">
        <v>12650</v>
      </c>
      <c r="J4133" s="8"/>
    </row>
    <row r="4134">
      <c r="A4134" s="7">
        <v>2.003715E7</v>
      </c>
      <c r="B4134" s="8" t="s">
        <v>4481</v>
      </c>
      <c r="C4134" s="8" t="s">
        <v>12651</v>
      </c>
      <c r="D4134" s="8" t="s">
        <v>16</v>
      </c>
      <c r="E4134" s="8" t="s">
        <v>17</v>
      </c>
      <c r="F4134" s="9">
        <v>46065.0</v>
      </c>
      <c r="G4134" s="8" t="s">
        <v>1155</v>
      </c>
      <c r="H4134" s="8" t="s">
        <v>1156</v>
      </c>
      <c r="I4134" s="8" t="s">
        <v>12652</v>
      </c>
      <c r="J4134" s="8" t="s">
        <v>12653</v>
      </c>
    </row>
    <row r="4135">
      <c r="A4135" s="7">
        <v>2.0063985E7</v>
      </c>
      <c r="B4135" s="8" t="s">
        <v>4481</v>
      </c>
      <c r="C4135" s="8" t="s">
        <v>12654</v>
      </c>
      <c r="D4135" s="8" t="s">
        <v>16</v>
      </c>
      <c r="E4135" s="8" t="s">
        <v>17</v>
      </c>
      <c r="F4135" s="9">
        <v>46165.0</v>
      </c>
      <c r="G4135" s="8" t="s">
        <v>3572</v>
      </c>
      <c r="H4135" s="8" t="s">
        <v>3573</v>
      </c>
      <c r="I4135" s="8" t="s">
        <v>12655</v>
      </c>
      <c r="J4135" s="8"/>
    </row>
    <row r="4136">
      <c r="A4136" s="7">
        <v>2.005549E7</v>
      </c>
      <c r="B4136" s="8" t="s">
        <v>4481</v>
      </c>
      <c r="C4136" s="8" t="s">
        <v>12656</v>
      </c>
      <c r="D4136" s="8" t="s">
        <v>16</v>
      </c>
      <c r="E4136" s="8" t="s">
        <v>17</v>
      </c>
      <c r="F4136" s="9">
        <v>46141.0</v>
      </c>
      <c r="G4136" s="8" t="s">
        <v>543</v>
      </c>
      <c r="H4136" s="8" t="s">
        <v>544</v>
      </c>
      <c r="I4136" s="8" t="s">
        <v>12657</v>
      </c>
      <c r="J4136" s="8"/>
    </row>
    <row r="4137">
      <c r="A4137" s="7">
        <v>2.0054861E7</v>
      </c>
      <c r="B4137" s="8" t="s">
        <v>4481</v>
      </c>
      <c r="C4137" s="8" t="s">
        <v>12658</v>
      </c>
      <c r="D4137" s="8" t="s">
        <v>16</v>
      </c>
      <c r="E4137" s="8" t="s">
        <v>17</v>
      </c>
      <c r="F4137" s="9">
        <v>46140.0</v>
      </c>
      <c r="G4137" s="8" t="s">
        <v>410</v>
      </c>
      <c r="H4137" s="8" t="s">
        <v>411</v>
      </c>
      <c r="I4137" s="8" t="s">
        <v>12659</v>
      </c>
      <c r="J4137" s="8"/>
    </row>
    <row r="4138">
      <c r="A4138" s="7">
        <v>2.0048579E7</v>
      </c>
      <c r="B4138" s="8" t="s">
        <v>4481</v>
      </c>
      <c r="C4138" s="8" t="s">
        <v>12660</v>
      </c>
      <c r="D4138" s="8" t="s">
        <v>16</v>
      </c>
      <c r="E4138" s="8" t="s">
        <v>17</v>
      </c>
      <c r="F4138" s="9">
        <v>46111.0</v>
      </c>
      <c r="G4138" s="8" t="s">
        <v>59</v>
      </c>
      <c r="H4138" s="8" t="s">
        <v>60</v>
      </c>
      <c r="I4138" s="8" t="s">
        <v>12661</v>
      </c>
      <c r="J4138" s="8" t="s">
        <v>12662</v>
      </c>
    </row>
    <row r="4139">
      <c r="A4139" s="7">
        <v>2.0049044E7</v>
      </c>
      <c r="B4139" s="8" t="s">
        <v>4481</v>
      </c>
      <c r="C4139" s="8" t="s">
        <v>12663</v>
      </c>
      <c r="D4139" s="8" t="s">
        <v>16</v>
      </c>
      <c r="E4139" s="8" t="s">
        <v>17</v>
      </c>
      <c r="F4139" s="9">
        <v>46119.0</v>
      </c>
      <c r="G4139" s="8" t="s">
        <v>543</v>
      </c>
      <c r="H4139" s="8" t="s">
        <v>544</v>
      </c>
      <c r="I4139" s="8" t="s">
        <v>12664</v>
      </c>
      <c r="J4139" s="8"/>
    </row>
    <row r="4140">
      <c r="A4140" s="7">
        <v>2.0040764E7</v>
      </c>
      <c r="B4140" s="8" t="s">
        <v>4481</v>
      </c>
      <c r="C4140" s="8" t="s">
        <v>12665</v>
      </c>
      <c r="D4140" s="8" t="s">
        <v>16</v>
      </c>
      <c r="E4140" s="8" t="s">
        <v>17</v>
      </c>
      <c r="F4140" s="9">
        <v>46078.0</v>
      </c>
      <c r="G4140" s="8" t="s">
        <v>410</v>
      </c>
      <c r="H4140" s="8" t="s">
        <v>411</v>
      </c>
      <c r="I4140" s="8" t="s">
        <v>12666</v>
      </c>
      <c r="J4140" s="8"/>
    </row>
    <row r="4141">
      <c r="A4141" s="7">
        <v>2.0038231E7</v>
      </c>
      <c r="B4141" s="8" t="s">
        <v>4481</v>
      </c>
      <c r="C4141" s="8" t="s">
        <v>12667</v>
      </c>
      <c r="D4141" s="8" t="s">
        <v>16</v>
      </c>
      <c r="E4141" s="8" t="s">
        <v>17</v>
      </c>
      <c r="F4141" s="9">
        <v>46065.0</v>
      </c>
      <c r="G4141" s="8" t="s">
        <v>3585</v>
      </c>
      <c r="H4141" s="8" t="s">
        <v>3586</v>
      </c>
      <c r="I4141" s="8" t="s">
        <v>12668</v>
      </c>
      <c r="J4141" s="8" t="s">
        <v>12669</v>
      </c>
    </row>
    <row r="4142">
      <c r="A4142" s="7">
        <v>2.003534E7</v>
      </c>
      <c r="B4142" s="8" t="s">
        <v>4481</v>
      </c>
      <c r="C4142" s="8" t="s">
        <v>12670</v>
      </c>
      <c r="D4142" s="8" t="s">
        <v>16</v>
      </c>
      <c r="E4142" s="8" t="s">
        <v>17</v>
      </c>
      <c r="F4142" s="9">
        <v>46061.0</v>
      </c>
      <c r="G4142" s="8" t="s">
        <v>721</v>
      </c>
      <c r="H4142" s="8" t="s">
        <v>722</v>
      </c>
      <c r="I4142" s="8" t="s">
        <v>12671</v>
      </c>
      <c r="J4142" s="8" t="s">
        <v>12672</v>
      </c>
    </row>
    <row r="4143">
      <c r="A4143" s="7">
        <v>2.0046683E7</v>
      </c>
      <c r="B4143" s="8" t="s">
        <v>4481</v>
      </c>
      <c r="C4143" s="8" t="s">
        <v>12673</v>
      </c>
      <c r="D4143" s="8" t="s">
        <v>16</v>
      </c>
      <c r="E4143" s="8" t="s">
        <v>17</v>
      </c>
      <c r="F4143" s="9">
        <v>46107.0</v>
      </c>
      <c r="G4143" s="8" t="s">
        <v>1085</v>
      </c>
      <c r="H4143" s="8" t="s">
        <v>1086</v>
      </c>
      <c r="I4143" s="8" t="s">
        <v>12674</v>
      </c>
      <c r="J4143" s="8"/>
    </row>
    <row r="4144">
      <c r="A4144" s="7">
        <v>2.0041206E7</v>
      </c>
      <c r="B4144" s="8" t="s">
        <v>4481</v>
      </c>
      <c r="C4144" s="8" t="s">
        <v>12675</v>
      </c>
      <c r="D4144" s="8" t="s">
        <v>16</v>
      </c>
      <c r="E4144" s="8" t="s">
        <v>17</v>
      </c>
      <c r="F4144" s="9">
        <v>46077.0</v>
      </c>
      <c r="G4144" s="8" t="s">
        <v>171</v>
      </c>
      <c r="H4144" s="8" t="s">
        <v>172</v>
      </c>
      <c r="I4144" s="8" t="s">
        <v>12676</v>
      </c>
      <c r="J4144" s="8" t="s">
        <v>12677</v>
      </c>
    </row>
    <row r="4145">
      <c r="A4145" s="7">
        <v>2.0040579E7</v>
      </c>
      <c r="B4145" s="8" t="s">
        <v>4481</v>
      </c>
      <c r="C4145" s="8" t="s">
        <v>12678</v>
      </c>
      <c r="D4145" s="8" t="s">
        <v>16</v>
      </c>
      <c r="E4145" s="8" t="s">
        <v>17</v>
      </c>
      <c r="F4145" s="9">
        <v>46084.0</v>
      </c>
      <c r="G4145" s="8" t="s">
        <v>2181</v>
      </c>
      <c r="H4145" s="8" t="s">
        <v>2182</v>
      </c>
      <c r="I4145" s="8" t="s">
        <v>12679</v>
      </c>
      <c r="J4145" s="8"/>
    </row>
    <row r="4146">
      <c r="A4146" s="7">
        <v>2.003567E7</v>
      </c>
      <c r="B4146" s="8" t="s">
        <v>4481</v>
      </c>
      <c r="C4146" s="8" t="s">
        <v>12680</v>
      </c>
      <c r="D4146" s="8" t="s">
        <v>16</v>
      </c>
      <c r="E4146" s="8" t="s">
        <v>17</v>
      </c>
      <c r="F4146" s="9">
        <v>46076.0</v>
      </c>
      <c r="G4146" s="8" t="s">
        <v>319</v>
      </c>
      <c r="H4146" s="8" t="s">
        <v>320</v>
      </c>
      <c r="I4146" s="8" t="s">
        <v>12681</v>
      </c>
      <c r="J4146" s="8"/>
    </row>
    <row r="4147">
      <c r="A4147" s="7">
        <v>2.0034057E7</v>
      </c>
      <c r="B4147" s="8" t="s">
        <v>4481</v>
      </c>
      <c r="C4147" s="8" t="s">
        <v>12682</v>
      </c>
      <c r="D4147" s="8" t="s">
        <v>16</v>
      </c>
      <c r="E4147" s="8" t="s">
        <v>17</v>
      </c>
      <c r="F4147" s="9">
        <v>46053.0</v>
      </c>
      <c r="G4147" s="8" t="s">
        <v>3027</v>
      </c>
      <c r="H4147" s="8" t="s">
        <v>909</v>
      </c>
      <c r="I4147" s="8" t="s">
        <v>12683</v>
      </c>
      <c r="J4147" s="8" t="s">
        <v>12684</v>
      </c>
    </row>
    <row r="4148">
      <c r="A4148" s="7">
        <v>2.0053838E7</v>
      </c>
      <c r="B4148" s="8" t="s">
        <v>4481</v>
      </c>
      <c r="C4148" s="8" t="s">
        <v>12685</v>
      </c>
      <c r="D4148" s="8" t="s">
        <v>16</v>
      </c>
      <c r="E4148" s="8" t="s">
        <v>17</v>
      </c>
      <c r="F4148" s="9">
        <v>46133.0</v>
      </c>
      <c r="G4148" s="8" t="s">
        <v>282</v>
      </c>
      <c r="H4148" s="8" t="s">
        <v>3005</v>
      </c>
      <c r="I4148" s="8" t="s">
        <v>12686</v>
      </c>
      <c r="J4148" s="8" t="s">
        <v>12687</v>
      </c>
    </row>
    <row r="4149">
      <c r="A4149" s="7">
        <v>2.0035332E7</v>
      </c>
      <c r="B4149" s="8" t="s">
        <v>4481</v>
      </c>
      <c r="C4149" s="8" t="s">
        <v>12688</v>
      </c>
      <c r="D4149" s="8" t="s">
        <v>16</v>
      </c>
      <c r="E4149" s="8" t="s">
        <v>17</v>
      </c>
      <c r="F4149" s="9">
        <v>46103.0</v>
      </c>
      <c r="G4149" s="8" t="s">
        <v>2625</v>
      </c>
      <c r="H4149" s="8" t="s">
        <v>827</v>
      </c>
      <c r="I4149" s="8" t="s">
        <v>12689</v>
      </c>
      <c r="J4149" s="8" t="s">
        <v>12690</v>
      </c>
    </row>
    <row r="4150">
      <c r="A4150" s="7">
        <v>2.0047484E7</v>
      </c>
      <c r="B4150" s="8" t="s">
        <v>4481</v>
      </c>
      <c r="C4150" s="8" t="s">
        <v>12691</v>
      </c>
      <c r="D4150" s="8" t="s">
        <v>16</v>
      </c>
      <c r="E4150" s="8" t="s">
        <v>17</v>
      </c>
      <c r="F4150" s="9">
        <v>46100.0</v>
      </c>
      <c r="G4150" s="8" t="s">
        <v>1319</v>
      </c>
      <c r="H4150" s="8" t="s">
        <v>1320</v>
      </c>
      <c r="I4150" s="8" t="s">
        <v>12692</v>
      </c>
      <c r="J4150" s="8" t="s">
        <v>12693</v>
      </c>
    </row>
    <row r="4151">
      <c r="A4151" s="7">
        <v>2.0047484E7</v>
      </c>
      <c r="B4151" s="8" t="s">
        <v>4481</v>
      </c>
      <c r="C4151" s="8" t="s">
        <v>12691</v>
      </c>
      <c r="D4151" s="8" t="s">
        <v>16</v>
      </c>
      <c r="E4151" s="8" t="s">
        <v>17</v>
      </c>
      <c r="F4151" s="9">
        <v>46100.0</v>
      </c>
      <c r="G4151" s="8" t="s">
        <v>1319</v>
      </c>
      <c r="H4151" s="8" t="s">
        <v>1320</v>
      </c>
      <c r="I4151" s="8" t="s">
        <v>12694</v>
      </c>
      <c r="J4151" s="8"/>
    </row>
    <row r="4152">
      <c r="A4152" s="7">
        <v>2.0047484E7</v>
      </c>
      <c r="B4152" s="8" t="s">
        <v>4481</v>
      </c>
      <c r="C4152" s="8" t="s">
        <v>12691</v>
      </c>
      <c r="D4152" s="8" t="s">
        <v>16</v>
      </c>
      <c r="E4152" s="8" t="s">
        <v>17</v>
      </c>
      <c r="F4152" s="9">
        <v>46100.0</v>
      </c>
      <c r="G4152" s="8" t="s">
        <v>1319</v>
      </c>
      <c r="H4152" s="8" t="s">
        <v>1320</v>
      </c>
      <c r="I4152" s="8" t="s">
        <v>12695</v>
      </c>
      <c r="J4152" s="8" t="s">
        <v>12693</v>
      </c>
    </row>
    <row r="4153">
      <c r="A4153" s="7">
        <v>2.0046299E7</v>
      </c>
      <c r="B4153" s="8" t="s">
        <v>4481</v>
      </c>
      <c r="C4153" s="8" t="s">
        <v>12696</v>
      </c>
      <c r="D4153" s="8" t="s">
        <v>16</v>
      </c>
      <c r="E4153" s="8" t="s">
        <v>17</v>
      </c>
      <c r="F4153" s="9">
        <v>46082.0</v>
      </c>
      <c r="G4153" s="8" t="s">
        <v>365</v>
      </c>
      <c r="H4153" s="8" t="s">
        <v>366</v>
      </c>
      <c r="I4153" s="8" t="s">
        <v>12697</v>
      </c>
      <c r="J4153" s="8" t="s">
        <v>12698</v>
      </c>
    </row>
    <row r="4154">
      <c r="A4154" s="7">
        <v>2.0033855E7</v>
      </c>
      <c r="B4154" s="8" t="s">
        <v>4481</v>
      </c>
      <c r="C4154" s="8" t="s">
        <v>12699</v>
      </c>
      <c r="D4154" s="8" t="s">
        <v>16</v>
      </c>
      <c r="E4154" s="8" t="s">
        <v>17</v>
      </c>
      <c r="F4154" s="9">
        <v>46052.0</v>
      </c>
      <c r="G4154" s="8" t="s">
        <v>1085</v>
      </c>
      <c r="H4154" s="8" t="s">
        <v>1086</v>
      </c>
      <c r="I4154" s="8" t="s">
        <v>12700</v>
      </c>
      <c r="J4154" s="8" t="s">
        <v>12701</v>
      </c>
    </row>
    <row r="4155">
      <c r="A4155" s="7">
        <v>2.0033855E7</v>
      </c>
      <c r="B4155" s="8" t="s">
        <v>4481</v>
      </c>
      <c r="C4155" s="8" t="s">
        <v>12699</v>
      </c>
      <c r="D4155" s="8" t="s">
        <v>16</v>
      </c>
      <c r="E4155" s="8" t="s">
        <v>17</v>
      </c>
      <c r="F4155" s="9">
        <v>46052.0</v>
      </c>
      <c r="G4155" s="8" t="s">
        <v>34</v>
      </c>
      <c r="H4155" s="8" t="s">
        <v>35</v>
      </c>
      <c r="I4155" s="8" t="s">
        <v>12702</v>
      </c>
      <c r="J4155" s="8" t="s">
        <v>12703</v>
      </c>
    </row>
    <row r="4156">
      <c r="A4156" s="7">
        <v>2.006629E7</v>
      </c>
      <c r="B4156" s="8" t="s">
        <v>4481</v>
      </c>
      <c r="C4156" s="8" t="s">
        <v>12704</v>
      </c>
      <c r="D4156" s="8" t="s">
        <v>16</v>
      </c>
      <c r="E4156" s="8" t="s">
        <v>17</v>
      </c>
      <c r="F4156" s="9">
        <v>46191.0</v>
      </c>
      <c r="G4156" s="8" t="s">
        <v>1431</v>
      </c>
      <c r="H4156" s="8" t="s">
        <v>1432</v>
      </c>
      <c r="I4156" s="8" t="s">
        <v>12705</v>
      </c>
      <c r="J4156" s="8" t="s">
        <v>12706</v>
      </c>
    </row>
    <row r="4157">
      <c r="A4157" s="7">
        <v>2.0059814E7</v>
      </c>
      <c r="B4157" s="8" t="s">
        <v>4481</v>
      </c>
      <c r="C4157" s="8" t="s">
        <v>12707</v>
      </c>
      <c r="D4157" s="8" t="s">
        <v>16</v>
      </c>
      <c r="E4157" s="8" t="s">
        <v>17</v>
      </c>
      <c r="F4157" s="9">
        <v>46151.0</v>
      </c>
      <c r="G4157" s="8" t="s">
        <v>2625</v>
      </c>
      <c r="H4157" s="8" t="s">
        <v>3001</v>
      </c>
      <c r="I4157" s="8" t="s">
        <v>12708</v>
      </c>
      <c r="J4157" s="8" t="s">
        <v>12709</v>
      </c>
    </row>
    <row r="4158">
      <c r="A4158" s="7">
        <v>2.0055649E7</v>
      </c>
      <c r="B4158" s="8" t="s">
        <v>4481</v>
      </c>
      <c r="C4158" s="8" t="s">
        <v>12710</v>
      </c>
      <c r="D4158" s="8" t="s">
        <v>16</v>
      </c>
      <c r="E4158" s="8" t="s">
        <v>17</v>
      </c>
      <c r="F4158" s="9">
        <v>46147.0</v>
      </c>
      <c r="G4158" s="8" t="s">
        <v>3133</v>
      </c>
      <c r="H4158" s="8" t="s">
        <v>3134</v>
      </c>
      <c r="I4158" s="8" t="s">
        <v>12711</v>
      </c>
      <c r="J4158" s="8"/>
    </row>
    <row r="4159">
      <c r="A4159" s="7">
        <v>2.0058128E7</v>
      </c>
      <c r="B4159" s="8" t="s">
        <v>4481</v>
      </c>
      <c r="C4159" s="8" t="s">
        <v>12712</v>
      </c>
      <c r="D4159" s="8" t="s">
        <v>16</v>
      </c>
      <c r="E4159" s="8" t="s">
        <v>17</v>
      </c>
      <c r="F4159" s="9">
        <v>46157.0</v>
      </c>
      <c r="G4159" s="8" t="s">
        <v>3136</v>
      </c>
      <c r="H4159" s="8" t="s">
        <v>3137</v>
      </c>
      <c r="I4159" s="8" t="s">
        <v>12713</v>
      </c>
      <c r="J4159" s="8"/>
    </row>
    <row r="4160">
      <c r="A4160" s="7">
        <v>2.0053539E7</v>
      </c>
      <c r="B4160" s="8" t="s">
        <v>4481</v>
      </c>
      <c r="C4160" s="8" t="s">
        <v>12714</v>
      </c>
      <c r="D4160" s="8" t="s">
        <v>16</v>
      </c>
      <c r="E4160" s="8" t="s">
        <v>17</v>
      </c>
      <c r="F4160" s="9">
        <v>46136.0</v>
      </c>
      <c r="G4160" s="8" t="s">
        <v>1472</v>
      </c>
      <c r="H4160" s="8" t="s">
        <v>1473</v>
      </c>
      <c r="I4160" s="8" t="s">
        <v>12715</v>
      </c>
      <c r="J4160" s="8"/>
    </row>
    <row r="4161">
      <c r="A4161" s="7">
        <v>2.0047183E7</v>
      </c>
      <c r="B4161" s="8" t="s">
        <v>4481</v>
      </c>
      <c r="C4161" s="8" t="s">
        <v>12716</v>
      </c>
      <c r="D4161" s="8" t="s">
        <v>16</v>
      </c>
      <c r="E4161" s="8" t="s">
        <v>17</v>
      </c>
      <c r="F4161" s="9">
        <v>46130.0</v>
      </c>
      <c r="G4161" s="8" t="s">
        <v>1049</v>
      </c>
      <c r="H4161" s="8" t="s">
        <v>1050</v>
      </c>
      <c r="I4161" s="8" t="s">
        <v>12717</v>
      </c>
      <c r="J4161" s="8"/>
    </row>
    <row r="4162">
      <c r="A4162" s="7">
        <v>2.0045659E7</v>
      </c>
      <c r="B4162" s="8" t="s">
        <v>4481</v>
      </c>
      <c r="C4162" s="8" t="s">
        <v>12718</v>
      </c>
      <c r="D4162" s="8" t="s">
        <v>16</v>
      </c>
      <c r="E4162" s="8" t="s">
        <v>17</v>
      </c>
      <c r="F4162" s="9">
        <v>46108.0</v>
      </c>
      <c r="G4162" s="8" t="s">
        <v>9982</v>
      </c>
      <c r="H4162" s="8" t="s">
        <v>9983</v>
      </c>
      <c r="I4162" s="8" t="s">
        <v>12719</v>
      </c>
      <c r="J4162" s="8"/>
    </row>
    <row r="4163">
      <c r="A4163" s="7">
        <v>2.0035297E7</v>
      </c>
      <c r="B4163" s="8" t="s">
        <v>4481</v>
      </c>
      <c r="C4163" s="8" t="s">
        <v>12720</v>
      </c>
      <c r="D4163" s="8" t="s">
        <v>16</v>
      </c>
      <c r="E4163" s="8" t="s">
        <v>17</v>
      </c>
      <c r="F4163" s="9">
        <v>46061.0</v>
      </c>
      <c r="G4163" s="8" t="s">
        <v>171</v>
      </c>
      <c r="H4163" s="8" t="s">
        <v>172</v>
      </c>
      <c r="I4163" s="8" t="s">
        <v>12721</v>
      </c>
      <c r="J4163" s="8" t="s">
        <v>12722</v>
      </c>
    </row>
    <row r="4164">
      <c r="A4164" s="7">
        <v>2.0067139E7</v>
      </c>
      <c r="B4164" s="8" t="s">
        <v>2987</v>
      </c>
      <c r="C4164" s="8" t="s">
        <v>12723</v>
      </c>
      <c r="D4164" s="8" t="s">
        <v>16</v>
      </c>
      <c r="E4164" s="8" t="s">
        <v>17</v>
      </c>
      <c r="F4164" s="9">
        <v>46176.0</v>
      </c>
      <c r="G4164" s="8" t="s">
        <v>2497</v>
      </c>
      <c r="H4164" s="8" t="s">
        <v>2498</v>
      </c>
      <c r="I4164" s="8" t="s">
        <v>12724</v>
      </c>
      <c r="J4164" s="8" t="s">
        <v>12725</v>
      </c>
    </row>
    <row r="4165">
      <c r="A4165" s="7">
        <v>2.0063131E7</v>
      </c>
      <c r="B4165" s="8" t="s">
        <v>2987</v>
      </c>
      <c r="C4165" s="8" t="s">
        <v>12726</v>
      </c>
      <c r="D4165" s="8" t="s">
        <v>2136</v>
      </c>
      <c r="E4165" s="8" t="s">
        <v>17</v>
      </c>
      <c r="F4165" s="9">
        <v>46153.0</v>
      </c>
      <c r="G4165" s="8" t="s">
        <v>1969</v>
      </c>
      <c r="H4165" s="8" t="s">
        <v>1970</v>
      </c>
      <c r="I4165" s="8" t="s">
        <v>12727</v>
      </c>
      <c r="J4165" s="8" t="s">
        <v>12728</v>
      </c>
    </row>
    <row r="4166">
      <c r="A4166" s="7">
        <v>2.0063106E7</v>
      </c>
      <c r="B4166" s="8" t="s">
        <v>2987</v>
      </c>
      <c r="C4166" s="8" t="s">
        <v>12729</v>
      </c>
      <c r="D4166" s="8" t="s">
        <v>16</v>
      </c>
      <c r="E4166" s="8" t="s">
        <v>17</v>
      </c>
      <c r="F4166" s="9">
        <v>46164.0</v>
      </c>
      <c r="G4166" s="8" t="s">
        <v>34</v>
      </c>
      <c r="H4166" s="8" t="s">
        <v>35</v>
      </c>
      <c r="I4166" s="8" t="s">
        <v>12730</v>
      </c>
      <c r="J4166" s="8" t="s">
        <v>12731</v>
      </c>
    </row>
    <row r="4167">
      <c r="A4167" s="7">
        <v>2.0063106E7</v>
      </c>
      <c r="B4167" s="8" t="s">
        <v>2987</v>
      </c>
      <c r="C4167" s="8" t="s">
        <v>12729</v>
      </c>
      <c r="D4167" s="8" t="s">
        <v>16</v>
      </c>
      <c r="E4167" s="8" t="s">
        <v>17</v>
      </c>
      <c r="F4167" s="9">
        <v>46164.0</v>
      </c>
      <c r="G4167" s="8" t="s">
        <v>34</v>
      </c>
      <c r="H4167" s="8" t="s">
        <v>35</v>
      </c>
      <c r="I4167" s="8" t="s">
        <v>12732</v>
      </c>
      <c r="J4167" s="8" t="s">
        <v>12731</v>
      </c>
    </row>
    <row r="4168">
      <c r="A4168" s="7">
        <v>2.0056182E7</v>
      </c>
      <c r="B4168" s="8" t="s">
        <v>2987</v>
      </c>
      <c r="C4168" s="8" t="s">
        <v>12733</v>
      </c>
      <c r="D4168" s="8" t="s">
        <v>16</v>
      </c>
      <c r="E4168" s="8" t="s">
        <v>17</v>
      </c>
      <c r="F4168" s="9">
        <v>46152.0</v>
      </c>
      <c r="G4168" s="8" t="s">
        <v>247</v>
      </c>
      <c r="H4168" s="8" t="s">
        <v>248</v>
      </c>
      <c r="I4168" s="8" t="s">
        <v>12734</v>
      </c>
      <c r="J4168" s="8" t="s">
        <v>12735</v>
      </c>
    </row>
    <row r="4169">
      <c r="A4169" s="7">
        <v>2.0059127E7</v>
      </c>
      <c r="B4169" s="8" t="s">
        <v>2987</v>
      </c>
      <c r="C4169" s="8" t="s">
        <v>12736</v>
      </c>
      <c r="D4169" s="8" t="s">
        <v>16</v>
      </c>
      <c r="E4169" s="8" t="s">
        <v>17</v>
      </c>
      <c r="F4169" s="9">
        <v>46158.0</v>
      </c>
      <c r="G4169" s="8" t="s">
        <v>1841</v>
      </c>
      <c r="H4169" s="8" t="s">
        <v>1842</v>
      </c>
      <c r="I4169" s="8" t="s">
        <v>12737</v>
      </c>
      <c r="J4169" s="8"/>
    </row>
    <row r="4170">
      <c r="A4170" s="7">
        <v>2.0057834E7</v>
      </c>
      <c r="B4170" s="8" t="s">
        <v>2987</v>
      </c>
      <c r="C4170" s="8" t="s">
        <v>12738</v>
      </c>
      <c r="D4170" s="8" t="s">
        <v>16</v>
      </c>
      <c r="E4170" s="8" t="s">
        <v>17</v>
      </c>
      <c r="F4170" s="9">
        <v>46191.0</v>
      </c>
      <c r="G4170" s="8" t="s">
        <v>613</v>
      </c>
      <c r="H4170" s="8" t="s">
        <v>614</v>
      </c>
      <c r="I4170" s="8" t="s">
        <v>12739</v>
      </c>
      <c r="J4170" s="8" t="s">
        <v>12740</v>
      </c>
    </row>
    <row r="4171">
      <c r="A4171" s="7">
        <v>2.0057834E7</v>
      </c>
      <c r="B4171" s="8" t="s">
        <v>2987</v>
      </c>
      <c r="C4171" s="8" t="s">
        <v>12738</v>
      </c>
      <c r="D4171" s="8" t="s">
        <v>16</v>
      </c>
      <c r="E4171" s="8" t="s">
        <v>17</v>
      </c>
      <c r="F4171" s="9">
        <v>46191.0</v>
      </c>
      <c r="G4171" s="8" t="s">
        <v>12741</v>
      </c>
      <c r="H4171" s="8" t="s">
        <v>12742</v>
      </c>
      <c r="I4171" s="8" t="s">
        <v>12743</v>
      </c>
      <c r="J4171" s="8"/>
    </row>
    <row r="4172">
      <c r="A4172" s="7">
        <v>2.0054227E7</v>
      </c>
      <c r="B4172" s="8" t="s">
        <v>2987</v>
      </c>
      <c r="C4172" s="8" t="s">
        <v>12744</v>
      </c>
      <c r="D4172" s="8" t="s">
        <v>16</v>
      </c>
      <c r="E4172" s="8" t="s">
        <v>17</v>
      </c>
      <c r="F4172" s="9">
        <v>46131.0</v>
      </c>
      <c r="G4172" s="8" t="s">
        <v>59</v>
      </c>
      <c r="H4172" s="8" t="s">
        <v>60</v>
      </c>
      <c r="I4172" s="8" t="s">
        <v>12745</v>
      </c>
      <c r="J4172" s="8" t="s">
        <v>12746</v>
      </c>
    </row>
    <row r="4173">
      <c r="A4173" s="7">
        <v>2.0054288E7</v>
      </c>
      <c r="B4173" s="8" t="s">
        <v>2987</v>
      </c>
      <c r="C4173" s="8" t="s">
        <v>12747</v>
      </c>
      <c r="D4173" s="8" t="s">
        <v>16</v>
      </c>
      <c r="E4173" s="8" t="s">
        <v>17</v>
      </c>
      <c r="F4173" s="9">
        <v>46127.0</v>
      </c>
      <c r="G4173" s="8" t="s">
        <v>385</v>
      </c>
      <c r="H4173" s="8" t="s">
        <v>386</v>
      </c>
      <c r="I4173" s="8" t="s">
        <v>12748</v>
      </c>
      <c r="J4173" s="8" t="s">
        <v>12749</v>
      </c>
    </row>
    <row r="4174">
      <c r="A4174" s="7">
        <v>2.0054976E7</v>
      </c>
      <c r="B4174" s="8" t="s">
        <v>2987</v>
      </c>
      <c r="C4174" s="8" t="s">
        <v>12750</v>
      </c>
      <c r="D4174" s="8" t="s">
        <v>16</v>
      </c>
      <c r="E4174" s="8" t="s">
        <v>17</v>
      </c>
      <c r="F4174" s="9">
        <v>46137.0</v>
      </c>
      <c r="G4174" s="8" t="s">
        <v>158</v>
      </c>
      <c r="H4174" s="8" t="s">
        <v>159</v>
      </c>
      <c r="I4174" s="8" t="s">
        <v>12751</v>
      </c>
      <c r="J4174" s="8" t="s">
        <v>12752</v>
      </c>
    </row>
    <row r="4175">
      <c r="A4175" s="7">
        <v>2.0053565E7</v>
      </c>
      <c r="B4175" s="8" t="s">
        <v>2987</v>
      </c>
      <c r="C4175" s="8" t="s">
        <v>12753</v>
      </c>
      <c r="D4175" s="8" t="s">
        <v>16</v>
      </c>
      <c r="E4175" s="8" t="s">
        <v>17</v>
      </c>
      <c r="F4175" s="9">
        <v>46124.0</v>
      </c>
      <c r="G4175" s="8" t="s">
        <v>6638</v>
      </c>
      <c r="H4175" s="8" t="s">
        <v>6639</v>
      </c>
      <c r="I4175" s="8" t="s">
        <v>12754</v>
      </c>
      <c r="J4175" s="8"/>
    </row>
    <row r="4176">
      <c r="A4176" s="7">
        <v>2.0051348E7</v>
      </c>
      <c r="B4176" s="8" t="s">
        <v>2987</v>
      </c>
      <c r="C4176" s="8" t="s">
        <v>12755</v>
      </c>
      <c r="D4176" s="8" t="s">
        <v>16</v>
      </c>
      <c r="E4176" s="8" t="s">
        <v>17</v>
      </c>
      <c r="F4176" s="9">
        <v>46120.0</v>
      </c>
      <c r="G4176" s="8" t="s">
        <v>978</v>
      </c>
      <c r="H4176" s="8" t="s">
        <v>979</v>
      </c>
      <c r="I4176" s="8" t="s">
        <v>12756</v>
      </c>
      <c r="J4176" s="8" t="s">
        <v>12757</v>
      </c>
    </row>
    <row r="4177">
      <c r="A4177" s="7">
        <v>2.0046061E7</v>
      </c>
      <c r="B4177" s="8" t="s">
        <v>2987</v>
      </c>
      <c r="C4177" s="8" t="s">
        <v>12758</v>
      </c>
      <c r="D4177" s="8" t="s">
        <v>16</v>
      </c>
      <c r="E4177" s="8" t="s">
        <v>17</v>
      </c>
      <c r="F4177" s="9">
        <v>46145.0</v>
      </c>
      <c r="G4177" s="8" t="s">
        <v>12759</v>
      </c>
      <c r="H4177" s="8" t="s">
        <v>3271</v>
      </c>
      <c r="I4177" s="8" t="s">
        <v>12760</v>
      </c>
      <c r="J4177" s="8" t="s">
        <v>12761</v>
      </c>
    </row>
    <row r="4178">
      <c r="A4178" s="7">
        <v>2.0045014E7</v>
      </c>
      <c r="B4178" s="8" t="s">
        <v>2987</v>
      </c>
      <c r="C4178" s="8" t="s">
        <v>12762</v>
      </c>
      <c r="D4178" s="8" t="s">
        <v>16</v>
      </c>
      <c r="E4178" s="8" t="s">
        <v>48</v>
      </c>
      <c r="F4178" s="9">
        <v>46102.0</v>
      </c>
      <c r="G4178" s="8" t="s">
        <v>3700</v>
      </c>
      <c r="H4178" s="8" t="s">
        <v>3094</v>
      </c>
      <c r="I4178" s="8" t="s">
        <v>12763</v>
      </c>
      <c r="J4178" s="8" t="s">
        <v>12764</v>
      </c>
    </row>
    <row r="4179">
      <c r="A4179" s="7">
        <v>2.0044317E7</v>
      </c>
      <c r="B4179" s="8" t="s">
        <v>2987</v>
      </c>
      <c r="C4179" s="8" t="s">
        <v>12765</v>
      </c>
      <c r="D4179" s="8" t="s">
        <v>16</v>
      </c>
      <c r="E4179" s="8" t="s">
        <v>17</v>
      </c>
      <c r="F4179" s="9">
        <v>46099.0</v>
      </c>
      <c r="G4179" s="8" t="s">
        <v>791</v>
      </c>
      <c r="H4179" s="8" t="s">
        <v>792</v>
      </c>
      <c r="I4179" s="8" t="s">
        <v>12766</v>
      </c>
      <c r="J4179" s="8"/>
    </row>
    <row r="4180">
      <c r="A4180" s="7">
        <v>2.0044317E7</v>
      </c>
      <c r="B4180" s="8" t="s">
        <v>2987</v>
      </c>
      <c r="C4180" s="8" t="s">
        <v>12765</v>
      </c>
      <c r="D4180" s="8" t="s">
        <v>16</v>
      </c>
      <c r="E4180" s="8" t="s">
        <v>17</v>
      </c>
      <c r="F4180" s="9">
        <v>46099.0</v>
      </c>
      <c r="G4180" s="8" t="s">
        <v>1841</v>
      </c>
      <c r="H4180" s="8" t="s">
        <v>1842</v>
      </c>
      <c r="I4180" s="8" t="s">
        <v>12767</v>
      </c>
      <c r="J4180" s="8"/>
    </row>
    <row r="4181">
      <c r="A4181" s="7">
        <v>2.0039722E7</v>
      </c>
      <c r="B4181" s="8" t="s">
        <v>2987</v>
      </c>
      <c r="C4181" s="8" t="s">
        <v>12768</v>
      </c>
      <c r="D4181" s="8" t="s">
        <v>16</v>
      </c>
      <c r="E4181" s="8" t="s">
        <v>17</v>
      </c>
      <c r="F4181" s="9">
        <v>46072.0</v>
      </c>
      <c r="G4181" s="8" t="s">
        <v>34</v>
      </c>
      <c r="H4181" s="8" t="s">
        <v>35</v>
      </c>
      <c r="I4181" s="8" t="s">
        <v>12769</v>
      </c>
      <c r="J4181" s="8" t="s">
        <v>12770</v>
      </c>
    </row>
    <row r="4182">
      <c r="A4182" s="7">
        <v>2.0040607E7</v>
      </c>
      <c r="B4182" s="8" t="s">
        <v>2987</v>
      </c>
      <c r="C4182" s="8" t="s">
        <v>12771</v>
      </c>
      <c r="D4182" s="8" t="s">
        <v>16</v>
      </c>
      <c r="E4182" s="8" t="s">
        <v>17</v>
      </c>
      <c r="F4182" s="9">
        <v>46106.0</v>
      </c>
      <c r="G4182" s="8" t="s">
        <v>64</v>
      </c>
      <c r="H4182" s="8" t="s">
        <v>65</v>
      </c>
      <c r="I4182" s="8" t="s">
        <v>12772</v>
      </c>
      <c r="J4182" s="8" t="s">
        <v>12773</v>
      </c>
    </row>
    <row r="4183">
      <c r="A4183" s="7">
        <v>2.0038564E7</v>
      </c>
      <c r="B4183" s="8" t="s">
        <v>2987</v>
      </c>
      <c r="C4183" s="8" t="s">
        <v>12774</v>
      </c>
      <c r="D4183" s="8" t="s">
        <v>16</v>
      </c>
      <c r="E4183" s="8" t="s">
        <v>17</v>
      </c>
      <c r="F4183" s="9">
        <v>46072.0</v>
      </c>
      <c r="G4183" s="8" t="s">
        <v>12775</v>
      </c>
      <c r="H4183" s="8" t="s">
        <v>12776</v>
      </c>
      <c r="I4183" s="8" t="s">
        <v>12777</v>
      </c>
      <c r="J4183" s="8" t="s">
        <v>12778</v>
      </c>
    </row>
    <row r="4184">
      <c r="A4184" s="7">
        <v>2.0033012E7</v>
      </c>
      <c r="B4184" s="8" t="s">
        <v>2987</v>
      </c>
      <c r="C4184" s="8" t="s">
        <v>12779</v>
      </c>
      <c r="D4184" s="8" t="s">
        <v>16</v>
      </c>
      <c r="E4184" s="8" t="s">
        <v>17</v>
      </c>
      <c r="F4184" s="9">
        <v>46062.0</v>
      </c>
      <c r="G4184" s="8" t="s">
        <v>3291</v>
      </c>
      <c r="H4184" s="8" t="s">
        <v>3292</v>
      </c>
      <c r="I4184" s="8" t="s">
        <v>12780</v>
      </c>
      <c r="J4184" s="8" t="s">
        <v>12781</v>
      </c>
    </row>
    <row r="4185">
      <c r="A4185" s="7">
        <v>2.0033012E7</v>
      </c>
      <c r="B4185" s="8" t="s">
        <v>2987</v>
      </c>
      <c r="C4185" s="8" t="s">
        <v>12779</v>
      </c>
      <c r="D4185" s="8" t="s">
        <v>16</v>
      </c>
      <c r="E4185" s="8" t="s">
        <v>17</v>
      </c>
      <c r="F4185" s="9">
        <v>46062.0</v>
      </c>
      <c r="G4185" s="8" t="s">
        <v>12782</v>
      </c>
      <c r="H4185" s="8" t="s">
        <v>12783</v>
      </c>
      <c r="I4185" s="8" t="s">
        <v>12784</v>
      </c>
      <c r="J4185" s="8"/>
    </row>
    <row r="4186">
      <c r="A4186" s="7">
        <v>2.0033896E7</v>
      </c>
      <c r="B4186" s="8" t="s">
        <v>2987</v>
      </c>
      <c r="C4186" s="8" t="s">
        <v>12785</v>
      </c>
      <c r="D4186" s="8" t="s">
        <v>16</v>
      </c>
      <c r="E4186" s="8" t="s">
        <v>17</v>
      </c>
      <c r="F4186" s="9">
        <v>46106.0</v>
      </c>
      <c r="G4186" s="8" t="s">
        <v>158</v>
      </c>
      <c r="H4186" s="8" t="s">
        <v>159</v>
      </c>
      <c r="I4186" s="8"/>
      <c r="J4186" s="8" t="s">
        <v>12786</v>
      </c>
    </row>
    <row r="4187">
      <c r="A4187" s="7">
        <v>2.0030827E7</v>
      </c>
      <c r="B4187" s="8" t="s">
        <v>2987</v>
      </c>
      <c r="C4187" s="8" t="s">
        <v>12787</v>
      </c>
      <c r="D4187" s="8" t="s">
        <v>16</v>
      </c>
      <c r="E4187" s="8" t="s">
        <v>17</v>
      </c>
      <c r="F4187" s="9">
        <v>46048.0</v>
      </c>
      <c r="G4187" s="8" t="s">
        <v>613</v>
      </c>
      <c r="H4187" s="8" t="s">
        <v>614</v>
      </c>
      <c r="I4187" s="8" t="s">
        <v>12788</v>
      </c>
      <c r="J4187" s="8" t="s">
        <v>12789</v>
      </c>
    </row>
    <row r="4188">
      <c r="A4188" s="7">
        <v>2.0030827E7</v>
      </c>
      <c r="B4188" s="8" t="s">
        <v>2987</v>
      </c>
      <c r="C4188" s="8" t="s">
        <v>12787</v>
      </c>
      <c r="D4188" s="8" t="s">
        <v>16</v>
      </c>
      <c r="E4188" s="8" t="s">
        <v>17</v>
      </c>
      <c r="F4188" s="9">
        <v>46048.0</v>
      </c>
      <c r="G4188" s="8" t="s">
        <v>12741</v>
      </c>
      <c r="H4188" s="8" t="s">
        <v>12742</v>
      </c>
      <c r="I4188" s="8" t="s">
        <v>12790</v>
      </c>
      <c r="J4188" s="8"/>
    </row>
    <row r="4189">
      <c r="A4189" s="7">
        <v>2.0060318E7</v>
      </c>
      <c r="B4189" s="8" t="s">
        <v>2987</v>
      </c>
      <c r="C4189" s="8" t="s">
        <v>12791</v>
      </c>
      <c r="D4189" s="8" t="s">
        <v>16</v>
      </c>
      <c r="E4189" s="8" t="s">
        <v>17</v>
      </c>
      <c r="F4189" s="9">
        <v>46193.0</v>
      </c>
      <c r="G4189" s="8" t="s">
        <v>846</v>
      </c>
      <c r="H4189" s="8" t="s">
        <v>847</v>
      </c>
      <c r="I4189" s="8" t="s">
        <v>12792</v>
      </c>
      <c r="J4189" s="8" t="s">
        <v>12793</v>
      </c>
    </row>
    <row r="4190">
      <c r="A4190" s="7">
        <v>2.0060318E7</v>
      </c>
      <c r="B4190" s="8" t="s">
        <v>2987</v>
      </c>
      <c r="C4190" s="8" t="s">
        <v>12791</v>
      </c>
      <c r="D4190" s="8" t="s">
        <v>16</v>
      </c>
      <c r="E4190" s="8" t="s">
        <v>17</v>
      </c>
      <c r="F4190" s="9">
        <v>46193.0</v>
      </c>
      <c r="G4190" s="8" t="s">
        <v>12794</v>
      </c>
      <c r="H4190" s="8" t="s">
        <v>12795</v>
      </c>
      <c r="I4190" s="8" t="s">
        <v>12796</v>
      </c>
      <c r="J4190" s="8" t="s">
        <v>12797</v>
      </c>
    </row>
    <row r="4191">
      <c r="A4191" s="7">
        <v>2.006553E7</v>
      </c>
      <c r="B4191" s="8" t="s">
        <v>2987</v>
      </c>
      <c r="C4191" s="8" t="s">
        <v>12798</v>
      </c>
      <c r="D4191" s="8" t="s">
        <v>16</v>
      </c>
      <c r="E4191" s="8" t="s">
        <v>17</v>
      </c>
      <c r="F4191" s="9">
        <v>46169.0</v>
      </c>
      <c r="G4191" s="8" t="s">
        <v>234</v>
      </c>
      <c r="H4191" s="8" t="s">
        <v>235</v>
      </c>
      <c r="I4191" s="8" t="s">
        <v>12799</v>
      </c>
      <c r="J4191" s="8" t="s">
        <v>12800</v>
      </c>
    </row>
    <row r="4192">
      <c r="A4192" s="7">
        <v>2.006553E7</v>
      </c>
      <c r="B4192" s="8" t="s">
        <v>2987</v>
      </c>
      <c r="C4192" s="8" t="s">
        <v>12798</v>
      </c>
      <c r="D4192" s="8" t="s">
        <v>16</v>
      </c>
      <c r="E4192" s="8" t="s">
        <v>17</v>
      </c>
      <c r="F4192" s="9">
        <v>46169.0</v>
      </c>
      <c r="G4192" s="8" t="s">
        <v>3255</v>
      </c>
      <c r="H4192" s="8" t="s">
        <v>3256</v>
      </c>
      <c r="I4192" s="8" t="s">
        <v>12801</v>
      </c>
      <c r="J4192" s="8" t="s">
        <v>12802</v>
      </c>
    </row>
    <row r="4193">
      <c r="A4193" s="7">
        <v>2.0063997E7</v>
      </c>
      <c r="B4193" s="8" t="s">
        <v>2987</v>
      </c>
      <c r="C4193" s="8" t="s">
        <v>12803</v>
      </c>
      <c r="D4193" s="8" t="s">
        <v>16</v>
      </c>
      <c r="E4193" s="8" t="s">
        <v>17</v>
      </c>
      <c r="F4193" s="9">
        <v>46167.0</v>
      </c>
      <c r="G4193" s="8" t="s">
        <v>195</v>
      </c>
      <c r="H4193" s="8" t="s">
        <v>196</v>
      </c>
      <c r="I4193" s="8" t="s">
        <v>12804</v>
      </c>
      <c r="J4193" s="8" t="s">
        <v>12805</v>
      </c>
    </row>
    <row r="4194">
      <c r="A4194" s="7">
        <v>2.0063787E7</v>
      </c>
      <c r="B4194" s="8" t="s">
        <v>2987</v>
      </c>
      <c r="C4194" s="8" t="s">
        <v>12806</v>
      </c>
      <c r="D4194" s="8" t="s">
        <v>16</v>
      </c>
      <c r="E4194" s="8" t="s">
        <v>17</v>
      </c>
      <c r="F4194" s="9">
        <v>46166.0</v>
      </c>
      <c r="G4194" s="8" t="s">
        <v>34</v>
      </c>
      <c r="H4194" s="8" t="s">
        <v>35</v>
      </c>
      <c r="I4194" s="8" t="s">
        <v>12807</v>
      </c>
      <c r="J4194" s="8" t="s">
        <v>12808</v>
      </c>
    </row>
    <row r="4195">
      <c r="A4195" s="7">
        <v>2.006361E7</v>
      </c>
      <c r="B4195" s="8" t="s">
        <v>2987</v>
      </c>
      <c r="C4195" s="8" t="s">
        <v>12809</v>
      </c>
      <c r="D4195" s="8" t="s">
        <v>16</v>
      </c>
      <c r="E4195" s="8" t="s">
        <v>17</v>
      </c>
      <c r="F4195" s="9">
        <v>46193.0</v>
      </c>
      <c r="G4195" s="8" t="s">
        <v>1936</v>
      </c>
      <c r="H4195" s="8" t="s">
        <v>1937</v>
      </c>
      <c r="I4195" s="8" t="s">
        <v>12810</v>
      </c>
      <c r="J4195" s="8" t="s">
        <v>12811</v>
      </c>
    </row>
    <row r="4196">
      <c r="A4196" s="7">
        <v>2.0061649E7</v>
      </c>
      <c r="B4196" s="8" t="s">
        <v>2987</v>
      </c>
      <c r="C4196" s="8" t="s">
        <v>12812</v>
      </c>
      <c r="D4196" s="8" t="s">
        <v>16</v>
      </c>
      <c r="E4196" s="8" t="s">
        <v>17</v>
      </c>
      <c r="F4196" s="9">
        <v>46188.0</v>
      </c>
      <c r="G4196" s="8" t="s">
        <v>314</v>
      </c>
      <c r="H4196" s="8" t="s">
        <v>315</v>
      </c>
      <c r="I4196" s="8" t="s">
        <v>12813</v>
      </c>
      <c r="J4196" s="8" t="s">
        <v>12814</v>
      </c>
    </row>
    <row r="4197">
      <c r="A4197" s="7">
        <v>2.0059825E7</v>
      </c>
      <c r="B4197" s="8" t="s">
        <v>2987</v>
      </c>
      <c r="C4197" s="8" t="s">
        <v>12815</v>
      </c>
      <c r="D4197" s="8" t="s">
        <v>16</v>
      </c>
      <c r="E4197" s="8" t="s">
        <v>17</v>
      </c>
      <c r="F4197" s="9">
        <v>46149.0</v>
      </c>
      <c r="G4197" s="8" t="s">
        <v>6577</v>
      </c>
      <c r="H4197" s="8" t="s">
        <v>6578</v>
      </c>
      <c r="I4197" s="8" t="s">
        <v>12816</v>
      </c>
      <c r="J4197" s="8"/>
    </row>
    <row r="4198">
      <c r="A4198" s="7">
        <v>2.0058009E7</v>
      </c>
      <c r="B4198" s="8" t="s">
        <v>2987</v>
      </c>
      <c r="C4198" s="8" t="s">
        <v>12817</v>
      </c>
      <c r="D4198" s="8" t="s">
        <v>16</v>
      </c>
      <c r="E4198" s="8" t="s">
        <v>17</v>
      </c>
      <c r="F4198" s="9">
        <v>46135.0</v>
      </c>
      <c r="G4198" s="8" t="s">
        <v>846</v>
      </c>
      <c r="H4198" s="8" t="s">
        <v>847</v>
      </c>
      <c r="I4198" s="8" t="s">
        <v>12818</v>
      </c>
      <c r="J4198" s="8" t="s">
        <v>12819</v>
      </c>
    </row>
    <row r="4199">
      <c r="A4199" s="7">
        <v>2.0054532E7</v>
      </c>
      <c r="B4199" s="8" t="s">
        <v>2987</v>
      </c>
      <c r="C4199" s="8" t="s">
        <v>12820</v>
      </c>
      <c r="D4199" s="8" t="s">
        <v>16</v>
      </c>
      <c r="E4199" s="8" t="s">
        <v>17</v>
      </c>
      <c r="F4199" s="9">
        <v>46135.0</v>
      </c>
      <c r="G4199" s="8" t="s">
        <v>791</v>
      </c>
      <c r="H4199" s="8" t="s">
        <v>792</v>
      </c>
      <c r="I4199" s="8" t="s">
        <v>12821</v>
      </c>
      <c r="J4199" s="8"/>
    </row>
    <row r="4200">
      <c r="A4200" s="7">
        <v>2.0050369E7</v>
      </c>
      <c r="B4200" s="8" t="s">
        <v>2987</v>
      </c>
      <c r="C4200" s="8" t="s">
        <v>12822</v>
      </c>
      <c r="D4200" s="8" t="s">
        <v>16</v>
      </c>
      <c r="E4200" s="8" t="s">
        <v>17</v>
      </c>
      <c r="F4200" s="9">
        <v>46122.0</v>
      </c>
      <c r="G4200" s="8" t="s">
        <v>6467</v>
      </c>
      <c r="H4200" s="8" t="s">
        <v>6468</v>
      </c>
      <c r="I4200" s="8" t="s">
        <v>12823</v>
      </c>
      <c r="J4200" s="8" t="s">
        <v>12824</v>
      </c>
    </row>
    <row r="4201">
      <c r="A4201" s="7">
        <v>2.0047534E7</v>
      </c>
      <c r="B4201" s="8" t="s">
        <v>2987</v>
      </c>
      <c r="C4201" s="8" t="s">
        <v>12825</v>
      </c>
      <c r="D4201" s="8" t="s">
        <v>16</v>
      </c>
      <c r="E4201" s="8" t="s">
        <v>17</v>
      </c>
      <c r="F4201" s="9">
        <v>46101.0</v>
      </c>
      <c r="G4201" s="8" t="s">
        <v>220</v>
      </c>
      <c r="H4201" s="8" t="s">
        <v>221</v>
      </c>
      <c r="I4201" s="8" t="s">
        <v>12826</v>
      </c>
      <c r="J4201" s="8" t="s">
        <v>12827</v>
      </c>
    </row>
    <row r="4202">
      <c r="A4202" s="7">
        <v>2.0047729E7</v>
      </c>
      <c r="B4202" s="8" t="s">
        <v>2987</v>
      </c>
      <c r="C4202" s="8" t="s">
        <v>12828</v>
      </c>
      <c r="D4202" s="8" t="s">
        <v>16</v>
      </c>
      <c r="E4202" s="8" t="s">
        <v>17</v>
      </c>
      <c r="F4202" s="9">
        <v>46101.0</v>
      </c>
      <c r="G4202" s="8" t="s">
        <v>12829</v>
      </c>
      <c r="H4202" s="8" t="s">
        <v>12830</v>
      </c>
      <c r="I4202" s="8" t="s">
        <v>12831</v>
      </c>
      <c r="J4202" s="8"/>
    </row>
    <row r="4203">
      <c r="A4203" s="7">
        <v>2.0041749E7</v>
      </c>
      <c r="B4203" s="8" t="s">
        <v>2987</v>
      </c>
      <c r="C4203" s="8" t="s">
        <v>12832</v>
      </c>
      <c r="D4203" s="8" t="s">
        <v>16</v>
      </c>
      <c r="E4203" s="8" t="s">
        <v>17</v>
      </c>
      <c r="F4203" s="9">
        <v>46087.0</v>
      </c>
      <c r="G4203" s="8" t="s">
        <v>75</v>
      </c>
      <c r="H4203" s="8" t="s">
        <v>76</v>
      </c>
      <c r="I4203" s="8" t="s">
        <v>12833</v>
      </c>
      <c r="J4203" s="8" t="s">
        <v>12834</v>
      </c>
    </row>
    <row r="4204">
      <c r="A4204" s="7">
        <v>2.0041749E7</v>
      </c>
      <c r="B4204" s="8" t="s">
        <v>2987</v>
      </c>
      <c r="C4204" s="8" t="s">
        <v>12832</v>
      </c>
      <c r="D4204" s="8" t="s">
        <v>16</v>
      </c>
      <c r="E4204" s="8" t="s">
        <v>17</v>
      </c>
      <c r="F4204" s="9">
        <v>46087.0</v>
      </c>
      <c r="G4204" s="8" t="s">
        <v>12835</v>
      </c>
      <c r="H4204" s="8" t="s">
        <v>12836</v>
      </c>
      <c r="I4204" s="8" t="s">
        <v>12837</v>
      </c>
      <c r="J4204" s="8"/>
    </row>
    <row r="4205">
      <c r="A4205" s="7">
        <v>2.0041749E7</v>
      </c>
      <c r="B4205" s="8" t="s">
        <v>2987</v>
      </c>
      <c r="C4205" s="8" t="s">
        <v>12832</v>
      </c>
      <c r="D4205" s="8" t="s">
        <v>16</v>
      </c>
      <c r="E4205" s="8" t="s">
        <v>17</v>
      </c>
      <c r="F4205" s="9">
        <v>46087.0</v>
      </c>
      <c r="G4205" s="8" t="s">
        <v>12835</v>
      </c>
      <c r="H4205" s="8" t="s">
        <v>12836</v>
      </c>
      <c r="I4205" s="8" t="s">
        <v>12838</v>
      </c>
      <c r="J4205" s="8" t="s">
        <v>12839</v>
      </c>
    </row>
    <row r="4206">
      <c r="A4206" s="7">
        <v>2.0042793E7</v>
      </c>
      <c r="B4206" s="8" t="s">
        <v>2987</v>
      </c>
      <c r="C4206" s="8" t="s">
        <v>12840</v>
      </c>
      <c r="D4206" s="8" t="s">
        <v>16</v>
      </c>
      <c r="E4206" s="8" t="s">
        <v>17</v>
      </c>
      <c r="F4206" s="9">
        <v>46087.0</v>
      </c>
      <c r="G4206" s="8" t="s">
        <v>365</v>
      </c>
      <c r="H4206" s="8" t="s">
        <v>366</v>
      </c>
      <c r="I4206" s="8" t="s">
        <v>12841</v>
      </c>
      <c r="J4206" s="8" t="s">
        <v>12842</v>
      </c>
    </row>
    <row r="4207">
      <c r="A4207" s="7">
        <v>2.0043395E7</v>
      </c>
      <c r="B4207" s="8" t="s">
        <v>2987</v>
      </c>
      <c r="C4207" s="8" t="s">
        <v>12843</v>
      </c>
      <c r="D4207" s="8" t="s">
        <v>16</v>
      </c>
      <c r="E4207" s="8" t="s">
        <v>17</v>
      </c>
      <c r="F4207" s="9">
        <v>46071.0</v>
      </c>
      <c r="G4207" s="8" t="s">
        <v>247</v>
      </c>
      <c r="H4207" s="8" t="s">
        <v>248</v>
      </c>
      <c r="I4207" s="8" t="s">
        <v>12844</v>
      </c>
      <c r="J4207" s="8" t="s">
        <v>12845</v>
      </c>
    </row>
    <row r="4208">
      <c r="A4208" s="7">
        <v>2.0039914E7</v>
      </c>
      <c r="B4208" s="8" t="s">
        <v>2987</v>
      </c>
      <c r="C4208" s="8" t="s">
        <v>12846</v>
      </c>
      <c r="D4208" s="8" t="s">
        <v>16</v>
      </c>
      <c r="E4208" s="8" t="s">
        <v>17</v>
      </c>
      <c r="F4208" s="9">
        <v>46067.0</v>
      </c>
      <c r="G4208" s="8" t="s">
        <v>91</v>
      </c>
      <c r="H4208" s="8" t="s">
        <v>92</v>
      </c>
      <c r="I4208" s="8" t="s">
        <v>12847</v>
      </c>
      <c r="J4208" s="8" t="s">
        <v>12848</v>
      </c>
    </row>
    <row r="4209">
      <c r="A4209" s="7">
        <v>2.0038064E7</v>
      </c>
      <c r="B4209" s="8" t="s">
        <v>2987</v>
      </c>
      <c r="C4209" s="8" t="s">
        <v>12849</v>
      </c>
      <c r="D4209" s="8" t="s">
        <v>16</v>
      </c>
      <c r="E4209" s="8" t="s">
        <v>17</v>
      </c>
      <c r="F4209" s="9">
        <v>46080.0</v>
      </c>
      <c r="G4209" s="8" t="s">
        <v>3084</v>
      </c>
      <c r="H4209" s="8" t="s">
        <v>3085</v>
      </c>
      <c r="I4209" s="8" t="s">
        <v>12850</v>
      </c>
      <c r="J4209" s="8"/>
    </row>
    <row r="4210">
      <c r="A4210" s="7">
        <v>2.0038064E7</v>
      </c>
      <c r="B4210" s="8" t="s">
        <v>2987</v>
      </c>
      <c r="C4210" s="8" t="s">
        <v>12849</v>
      </c>
      <c r="D4210" s="8" t="s">
        <v>16</v>
      </c>
      <c r="E4210" s="8" t="s">
        <v>17</v>
      </c>
      <c r="F4210" s="9">
        <v>46080.0</v>
      </c>
      <c r="G4210" s="8" t="s">
        <v>1045</v>
      </c>
      <c r="H4210" s="8" t="s">
        <v>909</v>
      </c>
      <c r="I4210" s="8" t="s">
        <v>12851</v>
      </c>
      <c r="J4210" s="8" t="s">
        <v>12852</v>
      </c>
    </row>
    <row r="4211">
      <c r="A4211" s="7">
        <v>2.0035812E7</v>
      </c>
      <c r="B4211" s="8" t="s">
        <v>2987</v>
      </c>
      <c r="C4211" s="8" t="s">
        <v>12853</v>
      </c>
      <c r="D4211" s="8" t="s">
        <v>16</v>
      </c>
      <c r="E4211" s="8" t="s">
        <v>17</v>
      </c>
      <c r="F4211" s="9">
        <v>46063.0</v>
      </c>
      <c r="G4211" s="8" t="s">
        <v>59</v>
      </c>
      <c r="H4211" s="8" t="s">
        <v>60</v>
      </c>
      <c r="I4211" s="8" t="s">
        <v>12854</v>
      </c>
      <c r="J4211" s="8" t="s">
        <v>12855</v>
      </c>
    </row>
    <row r="4212">
      <c r="A4212" s="7">
        <v>2.0036737E7</v>
      </c>
      <c r="B4212" s="8" t="s">
        <v>2987</v>
      </c>
      <c r="C4212" s="8" t="s">
        <v>12856</v>
      </c>
      <c r="D4212" s="8" t="s">
        <v>16</v>
      </c>
      <c r="E4212" s="8" t="s">
        <v>17</v>
      </c>
      <c r="F4212" s="9">
        <v>46065.0</v>
      </c>
      <c r="G4212" s="8" t="s">
        <v>410</v>
      </c>
      <c r="H4212" s="8" t="s">
        <v>411</v>
      </c>
      <c r="I4212" s="8" t="s">
        <v>12857</v>
      </c>
      <c r="J4212" s="8" t="s">
        <v>12858</v>
      </c>
    </row>
    <row r="4213">
      <c r="A4213" s="7">
        <v>2.0036294E7</v>
      </c>
      <c r="B4213" s="8" t="s">
        <v>2987</v>
      </c>
      <c r="C4213" s="8" t="s">
        <v>12859</v>
      </c>
      <c r="D4213" s="8" t="s">
        <v>16</v>
      </c>
      <c r="E4213" s="8" t="s">
        <v>17</v>
      </c>
      <c r="F4213" s="9">
        <v>46060.0</v>
      </c>
      <c r="G4213" s="8" t="s">
        <v>314</v>
      </c>
      <c r="H4213" s="8" t="s">
        <v>315</v>
      </c>
      <c r="I4213" s="8" t="s">
        <v>12860</v>
      </c>
      <c r="J4213" s="8" t="s">
        <v>12861</v>
      </c>
    </row>
    <row r="4214">
      <c r="A4214" s="7">
        <v>2.0034626E7</v>
      </c>
      <c r="B4214" s="8" t="s">
        <v>2987</v>
      </c>
      <c r="C4214" s="8" t="s">
        <v>12862</v>
      </c>
      <c r="D4214" s="8" t="s">
        <v>16</v>
      </c>
      <c r="E4214" s="8" t="s">
        <v>17</v>
      </c>
      <c r="F4214" s="9">
        <v>46049.0</v>
      </c>
      <c r="G4214" s="8" t="s">
        <v>3364</v>
      </c>
      <c r="H4214" s="8" t="s">
        <v>3365</v>
      </c>
      <c r="I4214" s="8" t="s">
        <v>12863</v>
      </c>
      <c r="J4214" s="8"/>
    </row>
    <row r="4215">
      <c r="A4215" s="7">
        <v>2.0068353E7</v>
      </c>
      <c r="B4215" s="8" t="s">
        <v>2987</v>
      </c>
      <c r="C4215" s="8" t="s">
        <v>12864</v>
      </c>
      <c r="D4215" s="8" t="s">
        <v>16</v>
      </c>
      <c r="E4215" s="8" t="s">
        <v>17</v>
      </c>
      <c r="F4215" s="9">
        <v>46191.0</v>
      </c>
      <c r="G4215" s="8" t="s">
        <v>1813</v>
      </c>
      <c r="H4215" s="8" t="s">
        <v>1814</v>
      </c>
      <c r="I4215" s="8" t="s">
        <v>12865</v>
      </c>
      <c r="J4215" s="8" t="s">
        <v>12866</v>
      </c>
    </row>
    <row r="4216">
      <c r="A4216" s="7">
        <v>2.0067836E7</v>
      </c>
      <c r="B4216" s="8" t="s">
        <v>2987</v>
      </c>
      <c r="C4216" s="8" t="s">
        <v>12867</v>
      </c>
      <c r="D4216" s="8" t="s">
        <v>16</v>
      </c>
      <c r="E4216" s="8" t="s">
        <v>700</v>
      </c>
      <c r="F4216" s="9">
        <v>46179.0</v>
      </c>
      <c r="G4216" s="8" t="s">
        <v>12868</v>
      </c>
      <c r="H4216" s="8" t="s">
        <v>12869</v>
      </c>
      <c r="I4216" s="8" t="s">
        <v>12870</v>
      </c>
      <c r="J4216" s="8"/>
    </row>
    <row r="4217">
      <c r="A4217" s="7">
        <v>2.0063662E7</v>
      </c>
      <c r="B4217" s="8" t="s">
        <v>2987</v>
      </c>
      <c r="C4217" s="8" t="s">
        <v>12871</v>
      </c>
      <c r="D4217" s="8" t="s">
        <v>16</v>
      </c>
      <c r="E4217" s="8" t="s">
        <v>17</v>
      </c>
      <c r="F4217" s="9">
        <v>46177.0</v>
      </c>
      <c r="G4217" s="8" t="s">
        <v>3706</v>
      </c>
      <c r="H4217" s="8" t="s">
        <v>3707</v>
      </c>
      <c r="I4217" s="8" t="s">
        <v>12872</v>
      </c>
      <c r="J4217" s="8"/>
    </row>
    <row r="4218">
      <c r="A4218" s="7">
        <v>2.0063684E7</v>
      </c>
      <c r="B4218" s="8" t="s">
        <v>2987</v>
      </c>
      <c r="C4218" s="8" t="s">
        <v>12873</v>
      </c>
      <c r="D4218" s="8" t="s">
        <v>2136</v>
      </c>
      <c r="E4218" s="8" t="s">
        <v>17</v>
      </c>
      <c r="F4218" s="9">
        <v>46164.0</v>
      </c>
      <c r="G4218" s="8" t="s">
        <v>195</v>
      </c>
      <c r="H4218" s="8" t="s">
        <v>196</v>
      </c>
      <c r="I4218" s="8" t="s">
        <v>12874</v>
      </c>
      <c r="J4218" s="8" t="s">
        <v>12875</v>
      </c>
    </row>
    <row r="4219">
      <c r="A4219" s="7">
        <v>2.0063425E7</v>
      </c>
      <c r="B4219" s="8" t="s">
        <v>2987</v>
      </c>
      <c r="C4219" s="8" t="s">
        <v>12876</v>
      </c>
      <c r="D4219" s="8" t="s">
        <v>16</v>
      </c>
      <c r="E4219" s="8" t="s">
        <v>17</v>
      </c>
      <c r="F4219" s="9">
        <v>46186.0</v>
      </c>
      <c r="G4219" s="8" t="s">
        <v>454</v>
      </c>
      <c r="H4219" s="8" t="s">
        <v>455</v>
      </c>
      <c r="I4219" s="8" t="s">
        <v>12877</v>
      </c>
      <c r="J4219" s="8" t="s">
        <v>12878</v>
      </c>
    </row>
    <row r="4220">
      <c r="A4220" s="7">
        <v>2.0062288E7</v>
      </c>
      <c r="B4220" s="8" t="s">
        <v>2987</v>
      </c>
      <c r="C4220" s="8" t="s">
        <v>12879</v>
      </c>
      <c r="D4220" s="8" t="s">
        <v>16</v>
      </c>
      <c r="E4220" s="8" t="s">
        <v>17</v>
      </c>
      <c r="F4220" s="9">
        <v>46163.0</v>
      </c>
      <c r="G4220" s="8" t="s">
        <v>247</v>
      </c>
      <c r="H4220" s="8" t="s">
        <v>248</v>
      </c>
      <c r="I4220" s="8" t="s">
        <v>12880</v>
      </c>
      <c r="J4220" s="8" t="s">
        <v>12881</v>
      </c>
    </row>
    <row r="4221">
      <c r="A4221" s="7">
        <v>2.0061399E7</v>
      </c>
      <c r="B4221" s="8" t="s">
        <v>2987</v>
      </c>
      <c r="C4221" s="8" t="s">
        <v>12882</v>
      </c>
      <c r="D4221" s="8" t="s">
        <v>16</v>
      </c>
      <c r="E4221" s="8" t="s">
        <v>17</v>
      </c>
      <c r="F4221" s="9">
        <v>46157.0</v>
      </c>
      <c r="G4221" s="8" t="s">
        <v>12883</v>
      </c>
      <c r="H4221" s="8" t="s">
        <v>12884</v>
      </c>
      <c r="I4221" s="8" t="s">
        <v>12885</v>
      </c>
      <c r="J4221" s="8"/>
    </row>
    <row r="4222">
      <c r="A4222" s="7">
        <v>2.006196E7</v>
      </c>
      <c r="B4222" s="8" t="s">
        <v>2987</v>
      </c>
      <c r="C4222" s="8" t="s">
        <v>12886</v>
      </c>
      <c r="D4222" s="8" t="s">
        <v>16</v>
      </c>
      <c r="E4222" s="8" t="s">
        <v>17</v>
      </c>
      <c r="F4222" s="9">
        <v>46150.0</v>
      </c>
      <c r="G4222" s="8" t="s">
        <v>34</v>
      </c>
      <c r="H4222" s="8" t="s">
        <v>35</v>
      </c>
      <c r="I4222" s="8" t="s">
        <v>12887</v>
      </c>
      <c r="J4222" s="8" t="s">
        <v>12888</v>
      </c>
    </row>
    <row r="4223">
      <c r="A4223" s="7">
        <v>2.0061982E7</v>
      </c>
      <c r="B4223" s="8" t="s">
        <v>2987</v>
      </c>
      <c r="C4223" s="8" t="s">
        <v>12889</v>
      </c>
      <c r="D4223" s="8" t="s">
        <v>16</v>
      </c>
      <c r="E4223" s="8" t="s">
        <v>17</v>
      </c>
      <c r="F4223" s="9">
        <v>46186.0</v>
      </c>
      <c r="G4223" s="8" t="s">
        <v>3140</v>
      </c>
      <c r="H4223" s="8" t="s">
        <v>3141</v>
      </c>
      <c r="I4223" s="8" t="s">
        <v>12890</v>
      </c>
      <c r="J4223" s="8" t="s">
        <v>12891</v>
      </c>
    </row>
    <row r="4224">
      <c r="A4224" s="7">
        <v>2.0058992E7</v>
      </c>
      <c r="B4224" s="8" t="s">
        <v>2987</v>
      </c>
      <c r="C4224" s="8" t="s">
        <v>12892</v>
      </c>
      <c r="D4224" s="8" t="s">
        <v>16</v>
      </c>
      <c r="E4224" s="8" t="s">
        <v>17</v>
      </c>
      <c r="F4224" s="9">
        <v>46184.0</v>
      </c>
      <c r="G4224" s="8" t="s">
        <v>9354</v>
      </c>
      <c r="H4224" s="8" t="s">
        <v>9355</v>
      </c>
      <c r="I4224" s="8" t="s">
        <v>12893</v>
      </c>
      <c r="J4224" s="8" t="s">
        <v>12894</v>
      </c>
    </row>
    <row r="4225">
      <c r="A4225" s="7">
        <v>2.0059791E7</v>
      </c>
      <c r="B4225" s="8" t="s">
        <v>2987</v>
      </c>
      <c r="C4225" s="8" t="s">
        <v>12895</v>
      </c>
      <c r="D4225" s="8" t="s">
        <v>16</v>
      </c>
      <c r="E4225" s="8" t="s">
        <v>17</v>
      </c>
      <c r="F4225" s="9">
        <v>46152.0</v>
      </c>
      <c r="G4225" s="8" t="s">
        <v>59</v>
      </c>
      <c r="H4225" s="8" t="s">
        <v>60</v>
      </c>
      <c r="I4225" s="8" t="s">
        <v>12896</v>
      </c>
      <c r="J4225" s="8" t="s">
        <v>12897</v>
      </c>
    </row>
    <row r="4226">
      <c r="A4226" s="7">
        <v>2.0055749E7</v>
      </c>
      <c r="B4226" s="8" t="s">
        <v>2987</v>
      </c>
      <c r="C4226" s="8" t="s">
        <v>12898</v>
      </c>
      <c r="D4226" s="8" t="s">
        <v>16</v>
      </c>
      <c r="E4226" s="8" t="s">
        <v>17</v>
      </c>
      <c r="F4226" s="9">
        <v>46185.0</v>
      </c>
      <c r="G4226" s="8" t="s">
        <v>1174</v>
      </c>
      <c r="H4226" s="8" t="s">
        <v>1175</v>
      </c>
      <c r="I4226" s="8" t="s">
        <v>12899</v>
      </c>
      <c r="J4226" s="8" t="s">
        <v>12900</v>
      </c>
    </row>
    <row r="4227">
      <c r="A4227" s="7">
        <v>2.0056571E7</v>
      </c>
      <c r="B4227" s="8" t="s">
        <v>2987</v>
      </c>
      <c r="C4227" s="8" t="s">
        <v>12901</v>
      </c>
      <c r="D4227" s="8" t="s">
        <v>16</v>
      </c>
      <c r="E4227" s="8" t="s">
        <v>17</v>
      </c>
      <c r="F4227" s="9">
        <v>46136.0</v>
      </c>
      <c r="G4227" s="8" t="s">
        <v>75</v>
      </c>
      <c r="H4227" s="8" t="s">
        <v>76</v>
      </c>
      <c r="I4227" s="8" t="s">
        <v>12902</v>
      </c>
      <c r="J4227" s="8" t="s">
        <v>12903</v>
      </c>
    </row>
    <row r="4228">
      <c r="A4228" s="7">
        <v>2.0055673E7</v>
      </c>
      <c r="B4228" s="8" t="s">
        <v>2987</v>
      </c>
      <c r="C4228" s="8" t="s">
        <v>12904</v>
      </c>
      <c r="D4228" s="8" t="s">
        <v>16</v>
      </c>
      <c r="E4228" s="8" t="s">
        <v>17</v>
      </c>
      <c r="F4228" s="9">
        <v>46133.0</v>
      </c>
      <c r="G4228" s="8" t="s">
        <v>423</v>
      </c>
      <c r="H4228" s="8" t="s">
        <v>6351</v>
      </c>
      <c r="I4228" s="8" t="s">
        <v>12905</v>
      </c>
      <c r="J4228" s="8" t="s">
        <v>12906</v>
      </c>
    </row>
    <row r="4229">
      <c r="A4229" s="7">
        <v>2.0055673E7</v>
      </c>
      <c r="B4229" s="8" t="s">
        <v>2987</v>
      </c>
      <c r="C4229" s="8" t="s">
        <v>12904</v>
      </c>
      <c r="D4229" s="8" t="s">
        <v>16</v>
      </c>
      <c r="E4229" s="8" t="s">
        <v>17</v>
      </c>
      <c r="F4229" s="9">
        <v>46133.0</v>
      </c>
      <c r="G4229" s="8" t="s">
        <v>3008</v>
      </c>
      <c r="H4229" s="8" t="s">
        <v>3009</v>
      </c>
      <c r="I4229" s="8" t="s">
        <v>12907</v>
      </c>
      <c r="J4229" s="8"/>
    </row>
    <row r="4230">
      <c r="A4230" s="7">
        <v>2.0055465E7</v>
      </c>
      <c r="B4230" s="8" t="s">
        <v>2987</v>
      </c>
      <c r="C4230" s="8" t="s">
        <v>12908</v>
      </c>
      <c r="D4230" s="8" t="s">
        <v>16</v>
      </c>
      <c r="E4230" s="8" t="s">
        <v>17</v>
      </c>
      <c r="F4230" s="9">
        <v>46128.0</v>
      </c>
      <c r="G4230" s="8" t="s">
        <v>3200</v>
      </c>
      <c r="H4230" s="8" t="s">
        <v>12909</v>
      </c>
      <c r="I4230" s="8" t="s">
        <v>12910</v>
      </c>
      <c r="J4230" s="8" t="s">
        <v>12911</v>
      </c>
    </row>
    <row r="4231">
      <c r="A4231" s="7">
        <v>2.0052384E7</v>
      </c>
      <c r="B4231" s="8" t="s">
        <v>2987</v>
      </c>
      <c r="C4231" s="8" t="s">
        <v>12912</v>
      </c>
      <c r="D4231" s="8" t="s">
        <v>16</v>
      </c>
      <c r="E4231" s="8" t="s">
        <v>17</v>
      </c>
      <c r="F4231" s="9">
        <v>46131.0</v>
      </c>
      <c r="G4231" s="8" t="s">
        <v>282</v>
      </c>
      <c r="H4231" s="8" t="s">
        <v>71</v>
      </c>
      <c r="I4231" s="8" t="s">
        <v>12913</v>
      </c>
      <c r="J4231" s="8" t="s">
        <v>12914</v>
      </c>
    </row>
    <row r="4232">
      <c r="A4232" s="7">
        <v>2.0052384E7</v>
      </c>
      <c r="B4232" s="8" t="s">
        <v>2987</v>
      </c>
      <c r="C4232" s="8" t="s">
        <v>12912</v>
      </c>
      <c r="D4232" s="8" t="s">
        <v>16</v>
      </c>
      <c r="E4232" s="8" t="s">
        <v>17</v>
      </c>
      <c r="F4232" s="9">
        <v>46131.0</v>
      </c>
      <c r="G4232" s="8" t="s">
        <v>3008</v>
      </c>
      <c r="H4232" s="8" t="s">
        <v>3047</v>
      </c>
      <c r="I4232" s="8" t="s">
        <v>12915</v>
      </c>
      <c r="J4232" s="8"/>
    </row>
    <row r="4233">
      <c r="A4233" s="7">
        <v>2.0040519E7</v>
      </c>
      <c r="B4233" s="8" t="s">
        <v>2987</v>
      </c>
      <c r="C4233" s="8" t="s">
        <v>12916</v>
      </c>
      <c r="D4233" s="8" t="s">
        <v>16</v>
      </c>
      <c r="E4233" s="8" t="s">
        <v>17</v>
      </c>
      <c r="F4233" s="9">
        <v>46067.0</v>
      </c>
      <c r="G4233" s="8" t="s">
        <v>1949</v>
      </c>
      <c r="H4233" s="8" t="s">
        <v>1950</v>
      </c>
      <c r="I4233" s="8" t="s">
        <v>12917</v>
      </c>
      <c r="J4233" s="8" t="s">
        <v>12918</v>
      </c>
    </row>
    <row r="4234">
      <c r="A4234" s="7">
        <v>2.0034212E7</v>
      </c>
      <c r="B4234" s="8" t="s">
        <v>2987</v>
      </c>
      <c r="C4234" s="8" t="s">
        <v>12919</v>
      </c>
      <c r="D4234" s="8" t="s">
        <v>16</v>
      </c>
      <c r="E4234" s="8" t="s">
        <v>17</v>
      </c>
      <c r="F4234" s="9">
        <v>46047.0</v>
      </c>
      <c r="G4234" s="8" t="s">
        <v>3812</v>
      </c>
      <c r="H4234" s="8" t="s">
        <v>3813</v>
      </c>
      <c r="I4234" s="8" t="s">
        <v>12920</v>
      </c>
      <c r="J4234" s="8" t="s">
        <v>12921</v>
      </c>
    </row>
    <row r="4235">
      <c r="A4235" s="7">
        <v>2.0071741E7</v>
      </c>
      <c r="B4235" s="8" t="s">
        <v>2987</v>
      </c>
      <c r="C4235" s="8" t="s">
        <v>12922</v>
      </c>
      <c r="D4235" s="8" t="s">
        <v>2136</v>
      </c>
      <c r="E4235" s="8" t="s">
        <v>17</v>
      </c>
      <c r="F4235" s="9">
        <v>46188.0</v>
      </c>
      <c r="G4235" s="8" t="s">
        <v>846</v>
      </c>
      <c r="H4235" s="8" t="s">
        <v>847</v>
      </c>
      <c r="I4235" s="8" t="s">
        <v>12923</v>
      </c>
      <c r="J4235" s="8" t="s">
        <v>12924</v>
      </c>
    </row>
    <row r="4236">
      <c r="A4236" s="7">
        <v>2.0066047E7</v>
      </c>
      <c r="B4236" s="8" t="s">
        <v>2987</v>
      </c>
      <c r="C4236" s="8" t="s">
        <v>12925</v>
      </c>
      <c r="D4236" s="8" t="s">
        <v>16</v>
      </c>
      <c r="E4236" s="8" t="s">
        <v>17</v>
      </c>
      <c r="F4236" s="9">
        <v>46182.0</v>
      </c>
      <c r="G4236" s="8" t="s">
        <v>59</v>
      </c>
      <c r="H4236" s="8" t="s">
        <v>60</v>
      </c>
      <c r="I4236" s="8" t="s">
        <v>12926</v>
      </c>
      <c r="J4236" s="8" t="s">
        <v>12927</v>
      </c>
    </row>
    <row r="4237">
      <c r="A4237" s="7">
        <v>2.0063884E7</v>
      </c>
      <c r="B4237" s="8" t="s">
        <v>2987</v>
      </c>
      <c r="C4237" s="8" t="s">
        <v>12928</v>
      </c>
      <c r="D4237" s="8" t="s">
        <v>16</v>
      </c>
      <c r="E4237" s="8" t="s">
        <v>17</v>
      </c>
      <c r="F4237" s="9">
        <v>46192.0</v>
      </c>
      <c r="G4237" s="8" t="s">
        <v>18</v>
      </c>
      <c r="H4237" s="8" t="s">
        <v>19</v>
      </c>
      <c r="I4237" s="8" t="s">
        <v>12929</v>
      </c>
      <c r="J4237" s="8" t="s">
        <v>12930</v>
      </c>
    </row>
    <row r="4238">
      <c r="A4238" s="7">
        <v>2.0063646E7</v>
      </c>
      <c r="B4238" s="8" t="s">
        <v>2987</v>
      </c>
      <c r="C4238" s="8" t="s">
        <v>12931</v>
      </c>
      <c r="D4238" s="8" t="s">
        <v>16</v>
      </c>
      <c r="E4238" s="8" t="s">
        <v>17</v>
      </c>
      <c r="F4238" s="9">
        <v>46155.0</v>
      </c>
      <c r="G4238" s="8" t="s">
        <v>59</v>
      </c>
      <c r="H4238" s="8" t="s">
        <v>60</v>
      </c>
      <c r="I4238" s="8" t="s">
        <v>12932</v>
      </c>
      <c r="J4238" s="8" t="s">
        <v>12933</v>
      </c>
    </row>
    <row r="4239">
      <c r="A4239" s="7">
        <v>2.0056551E7</v>
      </c>
      <c r="B4239" s="8" t="s">
        <v>2987</v>
      </c>
      <c r="C4239" s="8" t="s">
        <v>12934</v>
      </c>
      <c r="D4239" s="8" t="s">
        <v>16</v>
      </c>
      <c r="E4239" s="8" t="s">
        <v>17</v>
      </c>
      <c r="F4239" s="9">
        <v>46158.0</v>
      </c>
      <c r="G4239" s="8" t="s">
        <v>1841</v>
      </c>
      <c r="H4239" s="8" t="s">
        <v>1842</v>
      </c>
      <c r="I4239" s="8" t="s">
        <v>12935</v>
      </c>
      <c r="J4239" s="8"/>
    </row>
    <row r="4240">
      <c r="A4240" s="7">
        <v>2.0058249E7</v>
      </c>
      <c r="B4240" s="8" t="s">
        <v>2987</v>
      </c>
      <c r="C4240" s="8" t="s">
        <v>12936</v>
      </c>
      <c r="D4240" s="8" t="s">
        <v>16</v>
      </c>
      <c r="E4240" s="8" t="s">
        <v>17</v>
      </c>
      <c r="F4240" s="9">
        <v>46184.0</v>
      </c>
      <c r="G4240" s="8" t="s">
        <v>370</v>
      </c>
      <c r="H4240" s="8" t="s">
        <v>371</v>
      </c>
      <c r="I4240" s="8" t="s">
        <v>12937</v>
      </c>
      <c r="J4240" s="8" t="s">
        <v>12938</v>
      </c>
    </row>
    <row r="4241">
      <c r="A4241" s="7">
        <v>2.0049677E7</v>
      </c>
      <c r="B4241" s="8" t="s">
        <v>2987</v>
      </c>
      <c r="C4241" s="8" t="s">
        <v>12939</v>
      </c>
      <c r="D4241" s="8" t="s">
        <v>16</v>
      </c>
      <c r="E4241" s="8" t="s">
        <v>17</v>
      </c>
      <c r="F4241" s="9">
        <v>46130.0</v>
      </c>
      <c r="G4241" s="8" t="s">
        <v>54</v>
      </c>
      <c r="H4241" s="8" t="s">
        <v>55</v>
      </c>
      <c r="I4241" s="8" t="s">
        <v>12940</v>
      </c>
      <c r="J4241" s="8" t="s">
        <v>12941</v>
      </c>
    </row>
    <row r="4242">
      <c r="A4242" s="7">
        <v>2.005326E7</v>
      </c>
      <c r="B4242" s="8" t="s">
        <v>2987</v>
      </c>
      <c r="C4242" s="8" t="s">
        <v>12942</v>
      </c>
      <c r="D4242" s="8" t="s">
        <v>16</v>
      </c>
      <c r="E4242" s="8" t="s">
        <v>17</v>
      </c>
      <c r="F4242" s="9">
        <v>46123.0</v>
      </c>
      <c r="G4242" s="8" t="s">
        <v>385</v>
      </c>
      <c r="H4242" s="8" t="s">
        <v>386</v>
      </c>
      <c r="I4242" s="8" t="s">
        <v>12943</v>
      </c>
      <c r="J4242" s="8" t="s">
        <v>12944</v>
      </c>
    </row>
    <row r="4243">
      <c r="A4243" s="7">
        <v>2.0046123E7</v>
      </c>
      <c r="B4243" s="8" t="s">
        <v>2987</v>
      </c>
      <c r="C4243" s="8" t="s">
        <v>12945</v>
      </c>
      <c r="D4243" s="8" t="s">
        <v>16</v>
      </c>
      <c r="E4243" s="8" t="s">
        <v>17</v>
      </c>
      <c r="F4243" s="9">
        <v>46127.0</v>
      </c>
      <c r="G4243" s="8" t="s">
        <v>12946</v>
      </c>
      <c r="H4243" s="8" t="s">
        <v>12947</v>
      </c>
      <c r="I4243" s="8" t="s">
        <v>12948</v>
      </c>
      <c r="J4243" s="8"/>
    </row>
    <row r="4244">
      <c r="A4244" s="7">
        <v>2.0046123E7</v>
      </c>
      <c r="B4244" s="8" t="s">
        <v>2987</v>
      </c>
      <c r="C4244" s="8" t="s">
        <v>12945</v>
      </c>
      <c r="D4244" s="8" t="s">
        <v>16</v>
      </c>
      <c r="E4244" s="8" t="s">
        <v>17</v>
      </c>
      <c r="F4244" s="9">
        <v>46127.0</v>
      </c>
      <c r="G4244" s="8" t="s">
        <v>2516</v>
      </c>
      <c r="H4244" s="8" t="s">
        <v>2517</v>
      </c>
      <c r="I4244" s="8" t="s">
        <v>12949</v>
      </c>
      <c r="J4244" s="8"/>
    </row>
    <row r="4245">
      <c r="A4245" s="7">
        <v>2.0046585E7</v>
      </c>
      <c r="B4245" s="8" t="s">
        <v>2987</v>
      </c>
      <c r="C4245" s="8" t="s">
        <v>12950</v>
      </c>
      <c r="D4245" s="8" t="s">
        <v>16</v>
      </c>
      <c r="E4245" s="8" t="s">
        <v>17</v>
      </c>
      <c r="F4245" s="9">
        <v>46100.0</v>
      </c>
      <c r="G4245" s="8" t="s">
        <v>234</v>
      </c>
      <c r="H4245" s="8" t="s">
        <v>235</v>
      </c>
      <c r="I4245" s="8" t="s">
        <v>12951</v>
      </c>
      <c r="J4245" s="8" t="s">
        <v>12952</v>
      </c>
    </row>
    <row r="4246">
      <c r="A4246" s="7">
        <v>2.0046585E7</v>
      </c>
      <c r="B4246" s="8" t="s">
        <v>2987</v>
      </c>
      <c r="C4246" s="8" t="s">
        <v>12950</v>
      </c>
      <c r="D4246" s="8" t="s">
        <v>16</v>
      </c>
      <c r="E4246" s="8" t="s">
        <v>17</v>
      </c>
      <c r="F4246" s="9">
        <v>46100.0</v>
      </c>
      <c r="G4246" s="8" t="s">
        <v>5282</v>
      </c>
      <c r="H4246" s="8" t="s">
        <v>5283</v>
      </c>
      <c r="I4246" s="8" t="s">
        <v>12953</v>
      </c>
      <c r="J4246" s="8" t="s">
        <v>12954</v>
      </c>
    </row>
    <row r="4247">
      <c r="A4247" s="7">
        <v>2.0048186E7</v>
      </c>
      <c r="B4247" s="8" t="s">
        <v>2987</v>
      </c>
      <c r="C4247" s="8" t="s">
        <v>12955</v>
      </c>
      <c r="D4247" s="8" t="s">
        <v>16</v>
      </c>
      <c r="E4247" s="8" t="s">
        <v>17</v>
      </c>
      <c r="F4247" s="9">
        <v>46103.0</v>
      </c>
      <c r="G4247" s="8" t="s">
        <v>314</v>
      </c>
      <c r="H4247" s="8" t="s">
        <v>315</v>
      </c>
      <c r="I4247" s="8" t="s">
        <v>12956</v>
      </c>
      <c r="J4247" s="8" t="s">
        <v>12957</v>
      </c>
    </row>
    <row r="4248">
      <c r="A4248" s="7">
        <v>2.0044841E7</v>
      </c>
      <c r="B4248" s="8" t="s">
        <v>2987</v>
      </c>
      <c r="C4248" s="8" t="s">
        <v>12958</v>
      </c>
      <c r="D4248" s="8" t="s">
        <v>16</v>
      </c>
      <c r="E4248" s="8" t="s">
        <v>17</v>
      </c>
      <c r="F4248" s="9">
        <v>46095.0</v>
      </c>
      <c r="G4248" s="8" t="s">
        <v>882</v>
      </c>
      <c r="H4248" s="8" t="s">
        <v>883</v>
      </c>
      <c r="I4248" s="8" t="s">
        <v>12959</v>
      </c>
      <c r="J4248" s="8" t="s">
        <v>12960</v>
      </c>
    </row>
    <row r="4249">
      <c r="A4249" s="7">
        <v>2.0040555E7</v>
      </c>
      <c r="B4249" s="8" t="s">
        <v>2987</v>
      </c>
      <c r="C4249" s="8" t="s">
        <v>12961</v>
      </c>
      <c r="D4249" s="8" t="s">
        <v>16</v>
      </c>
      <c r="E4249" s="8" t="s">
        <v>17</v>
      </c>
      <c r="F4249" s="9">
        <v>46067.0</v>
      </c>
      <c r="G4249" s="8" t="s">
        <v>365</v>
      </c>
      <c r="H4249" s="8" t="s">
        <v>366</v>
      </c>
      <c r="I4249" s="8" t="s">
        <v>12962</v>
      </c>
      <c r="J4249" s="8" t="s">
        <v>12963</v>
      </c>
    </row>
    <row r="4250">
      <c r="A4250" s="7">
        <v>2.0034893E7</v>
      </c>
      <c r="B4250" s="8" t="s">
        <v>2987</v>
      </c>
      <c r="C4250" s="8" t="s">
        <v>12964</v>
      </c>
      <c r="D4250" s="8" t="s">
        <v>16</v>
      </c>
      <c r="E4250" s="8" t="s">
        <v>17</v>
      </c>
      <c r="F4250" s="9">
        <v>46080.0</v>
      </c>
      <c r="G4250" s="8" t="s">
        <v>290</v>
      </c>
      <c r="H4250" s="8" t="s">
        <v>291</v>
      </c>
      <c r="I4250" s="8" t="s">
        <v>12965</v>
      </c>
      <c r="J4250" s="8" t="s">
        <v>12966</v>
      </c>
    </row>
    <row r="4251">
      <c r="A4251" s="7">
        <v>2.0025408E7</v>
      </c>
      <c r="B4251" s="8" t="s">
        <v>2987</v>
      </c>
      <c r="C4251" s="8" t="s">
        <v>12967</v>
      </c>
      <c r="D4251" s="8" t="s">
        <v>16</v>
      </c>
      <c r="E4251" s="8" t="s">
        <v>17</v>
      </c>
      <c r="F4251" s="9">
        <v>46059.0</v>
      </c>
      <c r="G4251" s="8" t="s">
        <v>5570</v>
      </c>
      <c r="H4251" s="8" t="s">
        <v>5571</v>
      </c>
      <c r="I4251" s="8" t="s">
        <v>12968</v>
      </c>
      <c r="J4251" s="8"/>
    </row>
    <row r="4252">
      <c r="A4252" s="7">
        <v>2.0025408E7</v>
      </c>
      <c r="B4252" s="8" t="s">
        <v>2987</v>
      </c>
      <c r="C4252" s="8" t="s">
        <v>12967</v>
      </c>
      <c r="D4252" s="8" t="s">
        <v>16</v>
      </c>
      <c r="E4252" s="8" t="s">
        <v>17</v>
      </c>
      <c r="F4252" s="9">
        <v>46059.0</v>
      </c>
      <c r="G4252" s="8" t="s">
        <v>3706</v>
      </c>
      <c r="H4252" s="8" t="s">
        <v>3707</v>
      </c>
      <c r="I4252" s="8" t="s">
        <v>12969</v>
      </c>
      <c r="J4252" s="8"/>
    </row>
    <row r="4253">
      <c r="A4253" s="7">
        <v>2.0067034E7</v>
      </c>
      <c r="B4253" s="8" t="s">
        <v>2987</v>
      </c>
      <c r="C4253" s="8" t="s">
        <v>12970</v>
      </c>
      <c r="D4253" s="8" t="s">
        <v>16</v>
      </c>
      <c r="E4253" s="8" t="s">
        <v>17</v>
      </c>
      <c r="F4253" s="9">
        <v>46169.0</v>
      </c>
      <c r="G4253" s="8" t="s">
        <v>59</v>
      </c>
      <c r="H4253" s="8" t="s">
        <v>60</v>
      </c>
      <c r="I4253" s="8" t="s">
        <v>12971</v>
      </c>
      <c r="J4253" s="8" t="s">
        <v>12972</v>
      </c>
    </row>
    <row r="4254">
      <c r="A4254" s="7">
        <v>2.0054582E7</v>
      </c>
      <c r="B4254" s="8" t="s">
        <v>2987</v>
      </c>
      <c r="C4254" s="8" t="s">
        <v>12973</v>
      </c>
      <c r="D4254" s="8" t="s">
        <v>16</v>
      </c>
      <c r="E4254" s="8" t="s">
        <v>17</v>
      </c>
      <c r="F4254" s="9">
        <v>46134.0</v>
      </c>
      <c r="G4254" s="8" t="s">
        <v>29</v>
      </c>
      <c r="H4254" s="8" t="s">
        <v>30</v>
      </c>
      <c r="I4254" s="8" t="s">
        <v>12974</v>
      </c>
      <c r="J4254" s="8" t="s">
        <v>12975</v>
      </c>
    </row>
    <row r="4255">
      <c r="A4255" s="7">
        <v>2.0053581E7</v>
      </c>
      <c r="B4255" s="8" t="s">
        <v>2987</v>
      </c>
      <c r="C4255" s="8" t="s">
        <v>12976</v>
      </c>
      <c r="D4255" s="8" t="s">
        <v>16</v>
      </c>
      <c r="E4255" s="8" t="s">
        <v>17</v>
      </c>
      <c r="F4255" s="9">
        <v>46139.0</v>
      </c>
      <c r="G4255" s="8" t="s">
        <v>3352</v>
      </c>
      <c r="H4255" s="8" t="s">
        <v>3353</v>
      </c>
      <c r="I4255" s="8" t="s">
        <v>12977</v>
      </c>
      <c r="J4255" s="8"/>
    </row>
    <row r="4256">
      <c r="A4256" s="7">
        <v>2.0046438E7</v>
      </c>
      <c r="B4256" s="8" t="s">
        <v>2987</v>
      </c>
      <c r="C4256" s="8" t="s">
        <v>12978</v>
      </c>
      <c r="D4256" s="8" t="s">
        <v>16</v>
      </c>
      <c r="E4256" s="8" t="s">
        <v>17</v>
      </c>
      <c r="F4256" s="9">
        <v>46102.0</v>
      </c>
      <c r="G4256" s="8" t="s">
        <v>12979</v>
      </c>
      <c r="H4256" s="8" t="s">
        <v>12980</v>
      </c>
      <c r="I4256" s="8" t="s">
        <v>12981</v>
      </c>
      <c r="J4256" s="8"/>
    </row>
    <row r="4257">
      <c r="A4257" s="7">
        <v>2.0045246E7</v>
      </c>
      <c r="B4257" s="8" t="s">
        <v>2987</v>
      </c>
      <c r="C4257" s="8" t="s">
        <v>12982</v>
      </c>
      <c r="D4257" s="8" t="s">
        <v>16</v>
      </c>
      <c r="E4257" s="8" t="s">
        <v>17</v>
      </c>
      <c r="F4257" s="9">
        <v>46094.0</v>
      </c>
      <c r="G4257" s="8" t="s">
        <v>314</v>
      </c>
      <c r="H4257" s="8" t="s">
        <v>315</v>
      </c>
      <c r="I4257" s="8" t="s">
        <v>12983</v>
      </c>
      <c r="J4257" s="8" t="s">
        <v>12984</v>
      </c>
    </row>
    <row r="4258">
      <c r="A4258" s="7">
        <v>2.0045246E7</v>
      </c>
      <c r="B4258" s="8" t="s">
        <v>2987</v>
      </c>
      <c r="C4258" s="8" t="s">
        <v>12982</v>
      </c>
      <c r="D4258" s="8" t="s">
        <v>16</v>
      </c>
      <c r="E4258" s="8" t="s">
        <v>17</v>
      </c>
      <c r="F4258" s="9">
        <v>46094.0</v>
      </c>
      <c r="G4258" s="8" t="s">
        <v>755</v>
      </c>
      <c r="H4258" s="8" t="s">
        <v>756</v>
      </c>
      <c r="I4258" s="8" t="s">
        <v>12985</v>
      </c>
      <c r="J4258" s="8"/>
    </row>
    <row r="4259">
      <c r="A4259" s="7">
        <v>2.0038986E7</v>
      </c>
      <c r="B4259" s="8" t="s">
        <v>2987</v>
      </c>
      <c r="C4259" s="8" t="s">
        <v>12986</v>
      </c>
      <c r="D4259" s="8" t="s">
        <v>16</v>
      </c>
      <c r="E4259" s="8" t="s">
        <v>17</v>
      </c>
      <c r="F4259" s="9">
        <v>46094.0</v>
      </c>
      <c r="G4259" s="8" t="s">
        <v>1667</v>
      </c>
      <c r="H4259" s="8" t="s">
        <v>1668</v>
      </c>
      <c r="I4259" s="8" t="s">
        <v>12987</v>
      </c>
      <c r="J4259" s="8" t="s">
        <v>12988</v>
      </c>
    </row>
    <row r="4260">
      <c r="A4260" s="7">
        <v>2.0038986E7</v>
      </c>
      <c r="B4260" s="8" t="s">
        <v>2987</v>
      </c>
      <c r="C4260" s="8" t="s">
        <v>12986</v>
      </c>
      <c r="D4260" s="8" t="s">
        <v>16</v>
      </c>
      <c r="E4260" s="8" t="s">
        <v>17</v>
      </c>
      <c r="F4260" s="9">
        <v>46094.0</v>
      </c>
      <c r="G4260" s="8" t="s">
        <v>7950</v>
      </c>
      <c r="H4260" s="8" t="s">
        <v>7951</v>
      </c>
      <c r="I4260" s="8" t="s">
        <v>12989</v>
      </c>
      <c r="J4260" s="8" t="s">
        <v>12990</v>
      </c>
    </row>
    <row r="4261">
      <c r="A4261" s="7">
        <v>2.0039296E7</v>
      </c>
      <c r="B4261" s="8" t="s">
        <v>2987</v>
      </c>
      <c r="C4261" s="8" t="s">
        <v>12991</v>
      </c>
      <c r="D4261" s="8" t="s">
        <v>16</v>
      </c>
      <c r="E4261" s="8" t="s">
        <v>17</v>
      </c>
      <c r="F4261" s="9">
        <v>46067.0</v>
      </c>
      <c r="G4261" s="8" t="s">
        <v>3992</v>
      </c>
      <c r="H4261" s="8" t="s">
        <v>3993</v>
      </c>
      <c r="I4261" s="8" t="s">
        <v>12992</v>
      </c>
      <c r="J4261" s="8" t="s">
        <v>12993</v>
      </c>
    </row>
    <row r="4262">
      <c r="A4262" s="7">
        <v>2.0034523E7</v>
      </c>
      <c r="B4262" s="8" t="s">
        <v>2987</v>
      </c>
      <c r="C4262" s="8" t="s">
        <v>12994</v>
      </c>
      <c r="D4262" s="8" t="s">
        <v>16</v>
      </c>
      <c r="E4262" s="8" t="s">
        <v>17</v>
      </c>
      <c r="F4262" s="9">
        <v>46057.0</v>
      </c>
      <c r="G4262" s="8" t="s">
        <v>12600</v>
      </c>
      <c r="H4262" s="8" t="s">
        <v>12601</v>
      </c>
      <c r="I4262" s="8" t="s">
        <v>12995</v>
      </c>
      <c r="J4262" s="8" t="s">
        <v>12996</v>
      </c>
    </row>
    <row r="4263">
      <c r="A4263" s="7">
        <v>2.0068729E7</v>
      </c>
      <c r="B4263" s="8" t="s">
        <v>2987</v>
      </c>
      <c r="C4263" s="8" t="s">
        <v>12997</v>
      </c>
      <c r="D4263" s="8" t="s">
        <v>16</v>
      </c>
      <c r="E4263" s="8" t="s">
        <v>17</v>
      </c>
      <c r="F4263" s="9">
        <v>46185.0</v>
      </c>
      <c r="G4263" s="8" t="s">
        <v>6577</v>
      </c>
      <c r="H4263" s="8" t="s">
        <v>6578</v>
      </c>
      <c r="I4263" s="8"/>
      <c r="J4263" s="8" t="s">
        <v>12998</v>
      </c>
    </row>
    <row r="4264">
      <c r="A4264" s="7">
        <v>2.0062497E7</v>
      </c>
      <c r="B4264" s="8" t="s">
        <v>2987</v>
      </c>
      <c r="C4264" s="8" t="s">
        <v>12999</v>
      </c>
      <c r="D4264" s="8" t="s">
        <v>16</v>
      </c>
      <c r="E4264" s="8" t="s">
        <v>17</v>
      </c>
      <c r="F4264" s="9">
        <v>46192.0</v>
      </c>
      <c r="G4264" s="8" t="s">
        <v>171</v>
      </c>
      <c r="H4264" s="8" t="s">
        <v>172</v>
      </c>
      <c r="I4264" s="8" t="s">
        <v>13000</v>
      </c>
      <c r="J4264" s="8" t="s">
        <v>13001</v>
      </c>
    </row>
    <row r="4265">
      <c r="A4265" s="7">
        <v>2.0061032E7</v>
      </c>
      <c r="B4265" s="8" t="s">
        <v>2987</v>
      </c>
      <c r="C4265" s="8" t="s">
        <v>13002</v>
      </c>
      <c r="D4265" s="8" t="s">
        <v>16</v>
      </c>
      <c r="E4265" s="8" t="s">
        <v>17</v>
      </c>
      <c r="F4265" s="9">
        <v>46193.0</v>
      </c>
      <c r="G4265" s="8" t="s">
        <v>3602</v>
      </c>
      <c r="H4265" s="8" t="s">
        <v>3603</v>
      </c>
      <c r="I4265" s="8" t="s">
        <v>13003</v>
      </c>
      <c r="J4265" s="8" t="s">
        <v>13004</v>
      </c>
    </row>
    <row r="4266">
      <c r="A4266" s="7">
        <v>2.0060027E7</v>
      </c>
      <c r="B4266" s="8" t="s">
        <v>2987</v>
      </c>
      <c r="C4266" s="8" t="s">
        <v>13005</v>
      </c>
      <c r="D4266" s="8" t="s">
        <v>16</v>
      </c>
      <c r="E4266" s="8" t="s">
        <v>17</v>
      </c>
      <c r="F4266" s="9">
        <v>46148.0</v>
      </c>
      <c r="G4266" s="8" t="s">
        <v>504</v>
      </c>
      <c r="H4266" s="8" t="s">
        <v>505</v>
      </c>
      <c r="I4266" s="8" t="s">
        <v>13006</v>
      </c>
      <c r="J4266" s="8" t="s">
        <v>13007</v>
      </c>
    </row>
    <row r="4267">
      <c r="A4267" s="7">
        <v>2.0056782E7</v>
      </c>
      <c r="B4267" s="8" t="s">
        <v>2987</v>
      </c>
      <c r="C4267" s="8" t="s">
        <v>13008</v>
      </c>
      <c r="D4267" s="8" t="s">
        <v>16</v>
      </c>
      <c r="E4267" s="8" t="s">
        <v>17</v>
      </c>
      <c r="F4267" s="9">
        <v>46134.0</v>
      </c>
      <c r="G4267" s="8" t="s">
        <v>3118</v>
      </c>
      <c r="H4267" s="8" t="s">
        <v>3119</v>
      </c>
      <c r="I4267" s="8" t="s">
        <v>13009</v>
      </c>
      <c r="J4267" s="8" t="s">
        <v>13010</v>
      </c>
    </row>
    <row r="4268">
      <c r="A4268" s="7">
        <v>2.0055074E7</v>
      </c>
      <c r="B4268" s="8" t="s">
        <v>2987</v>
      </c>
      <c r="C4268" s="8" t="s">
        <v>13011</v>
      </c>
      <c r="D4268" s="8" t="s">
        <v>16</v>
      </c>
      <c r="E4268" s="8" t="s">
        <v>17</v>
      </c>
      <c r="F4268" s="9">
        <v>46126.0</v>
      </c>
      <c r="G4268" s="8" t="s">
        <v>49</v>
      </c>
      <c r="H4268" s="8" t="s">
        <v>50</v>
      </c>
      <c r="I4268" s="8" t="s">
        <v>13012</v>
      </c>
      <c r="J4268" s="8" t="s">
        <v>13013</v>
      </c>
    </row>
    <row r="4269">
      <c r="A4269" s="7">
        <v>2.0054658E7</v>
      </c>
      <c r="B4269" s="8" t="s">
        <v>2987</v>
      </c>
      <c r="C4269" s="8" t="s">
        <v>13014</v>
      </c>
      <c r="D4269" s="8" t="s">
        <v>2136</v>
      </c>
      <c r="E4269" s="8" t="s">
        <v>17</v>
      </c>
      <c r="F4269" s="9">
        <v>46123.0</v>
      </c>
      <c r="G4269" s="8" t="s">
        <v>846</v>
      </c>
      <c r="H4269" s="8" t="s">
        <v>847</v>
      </c>
      <c r="I4269" s="8"/>
      <c r="J4269" s="8" t="s">
        <v>13015</v>
      </c>
    </row>
    <row r="4270">
      <c r="A4270" s="7">
        <v>2.0053999E7</v>
      </c>
      <c r="B4270" s="8" t="s">
        <v>2987</v>
      </c>
      <c r="C4270" s="8" t="s">
        <v>13016</v>
      </c>
      <c r="D4270" s="8" t="s">
        <v>16</v>
      </c>
      <c r="E4270" s="8" t="s">
        <v>17</v>
      </c>
      <c r="F4270" s="9">
        <v>46137.0</v>
      </c>
      <c r="G4270" s="8" t="s">
        <v>290</v>
      </c>
      <c r="H4270" s="8" t="s">
        <v>291</v>
      </c>
      <c r="I4270" s="8" t="s">
        <v>13017</v>
      </c>
      <c r="J4270" s="8" t="s">
        <v>13018</v>
      </c>
    </row>
    <row r="4271">
      <c r="A4271" s="7">
        <v>2.0053232E7</v>
      </c>
      <c r="B4271" s="8" t="s">
        <v>2987</v>
      </c>
      <c r="C4271" s="8" t="s">
        <v>13019</v>
      </c>
      <c r="D4271" s="8" t="s">
        <v>16</v>
      </c>
      <c r="E4271" s="8" t="s">
        <v>17</v>
      </c>
      <c r="F4271" s="9">
        <v>46121.0</v>
      </c>
      <c r="G4271" s="8" t="s">
        <v>2486</v>
      </c>
      <c r="H4271" s="8" t="s">
        <v>44</v>
      </c>
      <c r="I4271" s="8" t="s">
        <v>13020</v>
      </c>
      <c r="J4271" s="8"/>
    </row>
    <row r="4272">
      <c r="A4272" s="7">
        <v>2.0053232E7</v>
      </c>
      <c r="B4272" s="8" t="s">
        <v>2987</v>
      </c>
      <c r="C4272" s="8" t="s">
        <v>13019</v>
      </c>
      <c r="D4272" s="8" t="s">
        <v>16</v>
      </c>
      <c r="E4272" s="8" t="s">
        <v>17</v>
      </c>
      <c r="F4272" s="9">
        <v>46121.0</v>
      </c>
      <c r="G4272" s="8" t="s">
        <v>3390</v>
      </c>
      <c r="H4272" s="8" t="s">
        <v>3047</v>
      </c>
      <c r="I4272" s="8" t="s">
        <v>13021</v>
      </c>
      <c r="J4272" s="8"/>
    </row>
    <row r="4273">
      <c r="A4273" s="7">
        <v>2.0053232E7</v>
      </c>
      <c r="B4273" s="8" t="s">
        <v>2987</v>
      </c>
      <c r="C4273" s="8" t="s">
        <v>13019</v>
      </c>
      <c r="D4273" s="8" t="s">
        <v>16</v>
      </c>
      <c r="E4273" s="8" t="s">
        <v>17</v>
      </c>
      <c r="F4273" s="9">
        <v>46121.0</v>
      </c>
      <c r="G4273" s="8" t="s">
        <v>6285</v>
      </c>
      <c r="H4273" s="8" t="s">
        <v>13022</v>
      </c>
      <c r="I4273" s="8" t="s">
        <v>13023</v>
      </c>
      <c r="J4273" s="8" t="s">
        <v>13024</v>
      </c>
    </row>
    <row r="4274">
      <c r="A4274" s="7">
        <v>2.0038712E7</v>
      </c>
      <c r="B4274" s="8" t="s">
        <v>2987</v>
      </c>
      <c r="C4274" s="8" t="s">
        <v>13025</v>
      </c>
      <c r="D4274" s="8" t="s">
        <v>16</v>
      </c>
      <c r="E4274" s="8" t="s">
        <v>17</v>
      </c>
      <c r="F4274" s="9">
        <v>46129.0</v>
      </c>
      <c r="G4274" s="8" t="s">
        <v>13026</v>
      </c>
      <c r="H4274" s="8" t="s">
        <v>13027</v>
      </c>
      <c r="I4274" s="8" t="s">
        <v>13028</v>
      </c>
      <c r="J4274" s="8"/>
    </row>
    <row r="4275">
      <c r="A4275" s="7">
        <v>2.0038712E7</v>
      </c>
      <c r="B4275" s="8" t="s">
        <v>2987</v>
      </c>
      <c r="C4275" s="8" t="s">
        <v>13025</v>
      </c>
      <c r="D4275" s="8" t="s">
        <v>16</v>
      </c>
      <c r="E4275" s="8" t="s">
        <v>17</v>
      </c>
      <c r="F4275" s="9">
        <v>46129.0</v>
      </c>
      <c r="G4275" s="8" t="s">
        <v>13029</v>
      </c>
      <c r="H4275" s="8" t="s">
        <v>13030</v>
      </c>
      <c r="I4275" s="8" t="s">
        <v>13031</v>
      </c>
      <c r="J4275" s="8" t="s">
        <v>13032</v>
      </c>
    </row>
    <row r="4276">
      <c r="A4276" s="7">
        <v>2.0038712E7</v>
      </c>
      <c r="B4276" s="8" t="s">
        <v>2987</v>
      </c>
      <c r="C4276" s="8" t="s">
        <v>13025</v>
      </c>
      <c r="D4276" s="8" t="s">
        <v>16</v>
      </c>
      <c r="E4276" s="8" t="s">
        <v>17</v>
      </c>
      <c r="F4276" s="9">
        <v>46129.0</v>
      </c>
      <c r="G4276" s="8" t="s">
        <v>13029</v>
      </c>
      <c r="H4276" s="8" t="s">
        <v>13030</v>
      </c>
      <c r="I4276" s="8" t="s">
        <v>13033</v>
      </c>
      <c r="J4276" s="8" t="s">
        <v>13032</v>
      </c>
    </row>
    <row r="4277">
      <c r="A4277" s="7">
        <v>2.0045104E7</v>
      </c>
      <c r="B4277" s="8" t="s">
        <v>2987</v>
      </c>
      <c r="C4277" s="8" t="s">
        <v>13034</v>
      </c>
      <c r="D4277" s="8" t="s">
        <v>16</v>
      </c>
      <c r="E4277" s="8" t="s">
        <v>17</v>
      </c>
      <c r="F4277" s="9">
        <v>46098.0</v>
      </c>
      <c r="G4277" s="8" t="s">
        <v>1508</v>
      </c>
      <c r="H4277" s="8" t="s">
        <v>1509</v>
      </c>
      <c r="I4277" s="8" t="s">
        <v>13035</v>
      </c>
      <c r="J4277" s="8" t="s">
        <v>13036</v>
      </c>
    </row>
    <row r="4278">
      <c r="A4278" s="7">
        <v>2.004395E7</v>
      </c>
      <c r="B4278" s="8" t="s">
        <v>2987</v>
      </c>
      <c r="C4278" s="8" t="s">
        <v>13037</v>
      </c>
      <c r="D4278" s="8" t="s">
        <v>16</v>
      </c>
      <c r="E4278" s="8" t="s">
        <v>17</v>
      </c>
      <c r="F4278" s="9">
        <v>46088.0</v>
      </c>
      <c r="G4278" s="8" t="s">
        <v>34</v>
      </c>
      <c r="H4278" s="8" t="s">
        <v>35</v>
      </c>
      <c r="I4278" s="8" t="s">
        <v>13038</v>
      </c>
      <c r="J4278" s="8" t="s">
        <v>13039</v>
      </c>
    </row>
    <row r="4279">
      <c r="A4279" s="7">
        <v>2.0038549E7</v>
      </c>
      <c r="B4279" s="8" t="s">
        <v>2987</v>
      </c>
      <c r="C4279" s="8" t="s">
        <v>13040</v>
      </c>
      <c r="D4279" s="8" t="s">
        <v>16</v>
      </c>
      <c r="E4279" s="8" t="s">
        <v>17</v>
      </c>
      <c r="F4279" s="9">
        <v>46074.0</v>
      </c>
      <c r="G4279" s="8" t="s">
        <v>247</v>
      </c>
      <c r="H4279" s="8" t="s">
        <v>248</v>
      </c>
      <c r="I4279" s="8" t="s">
        <v>13041</v>
      </c>
      <c r="J4279" s="8" t="s">
        <v>13042</v>
      </c>
    </row>
    <row r="4280">
      <c r="A4280" s="7">
        <v>2.003156E7</v>
      </c>
      <c r="B4280" s="8" t="s">
        <v>2987</v>
      </c>
      <c r="C4280" s="8" t="s">
        <v>13043</v>
      </c>
      <c r="D4280" s="8" t="s">
        <v>16</v>
      </c>
      <c r="E4280" s="8" t="s">
        <v>17</v>
      </c>
      <c r="F4280" s="9">
        <v>46058.0</v>
      </c>
      <c r="G4280" s="8" t="s">
        <v>109</v>
      </c>
      <c r="H4280" s="8" t="s">
        <v>110</v>
      </c>
      <c r="I4280" s="8" t="s">
        <v>13044</v>
      </c>
      <c r="J4280" s="8" t="s">
        <v>13045</v>
      </c>
    </row>
    <row r="4281">
      <c r="A4281" s="7">
        <v>2.0036524E7</v>
      </c>
      <c r="B4281" s="8" t="s">
        <v>2987</v>
      </c>
      <c r="C4281" s="8" t="s">
        <v>13046</v>
      </c>
      <c r="D4281" s="8" t="s">
        <v>16</v>
      </c>
      <c r="E4281" s="8" t="s">
        <v>17</v>
      </c>
      <c r="F4281" s="9">
        <v>46061.0</v>
      </c>
      <c r="G4281" s="8" t="s">
        <v>1841</v>
      </c>
      <c r="H4281" s="8" t="s">
        <v>1842</v>
      </c>
      <c r="I4281" s="8" t="s">
        <v>13047</v>
      </c>
      <c r="J4281" s="8"/>
    </row>
    <row r="4282">
      <c r="A4282" s="7">
        <v>2.0068546E7</v>
      </c>
      <c r="B4282" s="8" t="s">
        <v>2987</v>
      </c>
      <c r="C4282" s="8" t="s">
        <v>13048</v>
      </c>
      <c r="D4282" s="8" t="s">
        <v>16</v>
      </c>
      <c r="E4282" s="8" t="s">
        <v>17</v>
      </c>
      <c r="F4282" s="9">
        <v>46186.0</v>
      </c>
      <c r="G4282" s="8" t="s">
        <v>247</v>
      </c>
      <c r="H4282" s="8" t="s">
        <v>248</v>
      </c>
      <c r="I4282" s="8" t="s">
        <v>13049</v>
      </c>
      <c r="J4282" s="8" t="s">
        <v>13050</v>
      </c>
    </row>
    <row r="4283">
      <c r="A4283" s="7">
        <v>2.0069282E7</v>
      </c>
      <c r="B4283" s="8" t="s">
        <v>2987</v>
      </c>
      <c r="C4283" s="8" t="s">
        <v>13051</v>
      </c>
      <c r="D4283" s="8" t="s">
        <v>16</v>
      </c>
      <c r="E4283" s="8" t="s">
        <v>17</v>
      </c>
      <c r="F4283" s="9">
        <v>46187.0</v>
      </c>
      <c r="G4283" s="8" t="s">
        <v>2511</v>
      </c>
      <c r="H4283" s="8" t="s">
        <v>2512</v>
      </c>
      <c r="I4283" s="8" t="s">
        <v>13052</v>
      </c>
      <c r="J4283" s="8" t="s">
        <v>13053</v>
      </c>
    </row>
    <row r="4284">
      <c r="A4284" s="7">
        <v>2.0064714E7</v>
      </c>
      <c r="B4284" s="8" t="s">
        <v>2987</v>
      </c>
      <c r="C4284" s="8" t="s">
        <v>13054</v>
      </c>
      <c r="D4284" s="8" t="s">
        <v>16</v>
      </c>
      <c r="E4284" s="8" t="s">
        <v>17</v>
      </c>
      <c r="F4284" s="9">
        <v>46185.0</v>
      </c>
      <c r="G4284" s="8" t="s">
        <v>423</v>
      </c>
      <c r="H4284" s="8" t="s">
        <v>6351</v>
      </c>
      <c r="I4284" s="8" t="s">
        <v>13055</v>
      </c>
      <c r="J4284" s="8" t="s">
        <v>13056</v>
      </c>
    </row>
    <row r="4285">
      <c r="A4285" s="7">
        <v>2.0063227E7</v>
      </c>
      <c r="B4285" s="8" t="s">
        <v>2987</v>
      </c>
      <c r="C4285" s="8" t="s">
        <v>13057</v>
      </c>
      <c r="D4285" s="8" t="s">
        <v>16</v>
      </c>
      <c r="E4285" s="8" t="s">
        <v>17</v>
      </c>
      <c r="F4285" s="9">
        <v>46162.0</v>
      </c>
      <c r="G4285" s="8" t="s">
        <v>91</v>
      </c>
      <c r="H4285" s="8" t="s">
        <v>92</v>
      </c>
      <c r="I4285" s="8" t="s">
        <v>13058</v>
      </c>
      <c r="J4285" s="8" t="s">
        <v>13059</v>
      </c>
    </row>
    <row r="4286">
      <c r="A4286" s="7">
        <v>2.006266E7</v>
      </c>
      <c r="B4286" s="8" t="s">
        <v>2987</v>
      </c>
      <c r="C4286" s="8" t="s">
        <v>13060</v>
      </c>
      <c r="D4286" s="8" t="s">
        <v>16</v>
      </c>
      <c r="E4286" s="8" t="s">
        <v>17</v>
      </c>
      <c r="F4286" s="9">
        <v>46158.0</v>
      </c>
      <c r="G4286" s="8" t="s">
        <v>428</v>
      </c>
      <c r="H4286" s="8" t="s">
        <v>429</v>
      </c>
      <c r="I4286" s="8" t="s">
        <v>13061</v>
      </c>
      <c r="J4286" s="8" t="s">
        <v>13062</v>
      </c>
    </row>
    <row r="4287">
      <c r="A4287" s="7">
        <v>2.0050838E7</v>
      </c>
      <c r="B4287" s="8" t="s">
        <v>2987</v>
      </c>
      <c r="C4287" s="8" t="s">
        <v>13063</v>
      </c>
      <c r="D4287" s="8" t="s">
        <v>16</v>
      </c>
      <c r="E4287" s="8" t="s">
        <v>17</v>
      </c>
      <c r="F4287" s="9">
        <v>46190.0</v>
      </c>
      <c r="G4287" s="8" t="s">
        <v>13064</v>
      </c>
      <c r="H4287" s="8" t="s">
        <v>13065</v>
      </c>
      <c r="I4287" s="8" t="s">
        <v>13066</v>
      </c>
      <c r="J4287" s="8" t="s">
        <v>13067</v>
      </c>
    </row>
    <row r="4288">
      <c r="A4288" s="7">
        <v>2.0061518E7</v>
      </c>
      <c r="B4288" s="8" t="s">
        <v>2987</v>
      </c>
      <c r="C4288" s="8" t="s">
        <v>13068</v>
      </c>
      <c r="D4288" s="8" t="s">
        <v>16</v>
      </c>
      <c r="E4288" s="8" t="s">
        <v>17</v>
      </c>
      <c r="F4288" s="9">
        <v>46153.0</v>
      </c>
      <c r="G4288" s="8" t="s">
        <v>59</v>
      </c>
      <c r="H4288" s="8" t="s">
        <v>60</v>
      </c>
      <c r="I4288" s="8" t="s">
        <v>13069</v>
      </c>
      <c r="J4288" s="8" t="s">
        <v>13070</v>
      </c>
    </row>
    <row r="4289">
      <c r="A4289" s="7">
        <v>2.0060551E7</v>
      </c>
      <c r="B4289" s="8" t="s">
        <v>2987</v>
      </c>
      <c r="C4289" s="8" t="s">
        <v>13071</v>
      </c>
      <c r="D4289" s="8" t="s">
        <v>16</v>
      </c>
      <c r="E4289" s="8" t="s">
        <v>17</v>
      </c>
      <c r="F4289" s="9">
        <v>46150.0</v>
      </c>
      <c r="G4289" s="8" t="s">
        <v>826</v>
      </c>
      <c r="H4289" s="8" t="s">
        <v>7633</v>
      </c>
      <c r="I4289" s="8" t="s">
        <v>13072</v>
      </c>
      <c r="J4289" s="8" t="s">
        <v>13073</v>
      </c>
    </row>
    <row r="4290">
      <c r="A4290" s="7">
        <v>2.0060551E7</v>
      </c>
      <c r="B4290" s="8" t="s">
        <v>2987</v>
      </c>
      <c r="C4290" s="8" t="s">
        <v>13071</v>
      </c>
      <c r="D4290" s="8" t="s">
        <v>16</v>
      </c>
      <c r="E4290" s="8" t="s">
        <v>17</v>
      </c>
      <c r="F4290" s="9">
        <v>46150.0</v>
      </c>
      <c r="G4290" s="8" t="s">
        <v>3390</v>
      </c>
      <c r="H4290" s="8" t="s">
        <v>8492</v>
      </c>
      <c r="I4290" s="8" t="s">
        <v>13074</v>
      </c>
      <c r="J4290" s="8"/>
    </row>
    <row r="4291">
      <c r="A4291" s="7">
        <v>2.0058868E7</v>
      </c>
      <c r="B4291" s="8" t="s">
        <v>2987</v>
      </c>
      <c r="C4291" s="8" t="s">
        <v>13075</v>
      </c>
      <c r="D4291" s="8" t="s">
        <v>16</v>
      </c>
      <c r="E4291" s="8" t="s">
        <v>17</v>
      </c>
      <c r="F4291" s="9">
        <v>46140.0</v>
      </c>
      <c r="G4291" s="8" t="s">
        <v>282</v>
      </c>
      <c r="H4291" s="8" t="s">
        <v>3005</v>
      </c>
      <c r="I4291" s="8" t="s">
        <v>13076</v>
      </c>
      <c r="J4291" s="8" t="s">
        <v>13077</v>
      </c>
    </row>
    <row r="4292">
      <c r="A4292" s="7">
        <v>2.0056432E7</v>
      </c>
      <c r="B4292" s="8" t="s">
        <v>2987</v>
      </c>
      <c r="C4292" s="8" t="s">
        <v>13078</v>
      </c>
      <c r="D4292" s="8" t="s">
        <v>16</v>
      </c>
      <c r="E4292" s="8" t="s">
        <v>17</v>
      </c>
      <c r="F4292" s="9">
        <v>46138.0</v>
      </c>
      <c r="G4292" s="8" t="s">
        <v>423</v>
      </c>
      <c r="H4292" s="8" t="s">
        <v>6351</v>
      </c>
      <c r="I4292" s="8" t="s">
        <v>13079</v>
      </c>
      <c r="J4292" s="8" t="s">
        <v>13080</v>
      </c>
    </row>
    <row r="4293">
      <c r="A4293" s="7">
        <v>2.0056826E7</v>
      </c>
      <c r="B4293" s="8" t="s">
        <v>2987</v>
      </c>
      <c r="C4293" s="8" t="s">
        <v>13081</v>
      </c>
      <c r="D4293" s="8" t="s">
        <v>16</v>
      </c>
      <c r="E4293" s="8" t="s">
        <v>17</v>
      </c>
      <c r="F4293" s="9">
        <v>46142.0</v>
      </c>
      <c r="G4293" s="8" t="s">
        <v>171</v>
      </c>
      <c r="H4293" s="8" t="s">
        <v>172</v>
      </c>
      <c r="I4293" s="8" t="s">
        <v>13082</v>
      </c>
      <c r="J4293" s="8" t="s">
        <v>13083</v>
      </c>
    </row>
    <row r="4294">
      <c r="A4294" s="7">
        <v>2.0054855E7</v>
      </c>
      <c r="B4294" s="8" t="s">
        <v>2987</v>
      </c>
      <c r="C4294" s="8" t="s">
        <v>13084</v>
      </c>
      <c r="D4294" s="8" t="s">
        <v>16</v>
      </c>
      <c r="E4294" s="8" t="s">
        <v>17</v>
      </c>
      <c r="F4294" s="9">
        <v>46130.0</v>
      </c>
      <c r="G4294" s="8" t="s">
        <v>59</v>
      </c>
      <c r="H4294" s="8" t="s">
        <v>60</v>
      </c>
      <c r="I4294" s="8" t="s">
        <v>13085</v>
      </c>
      <c r="J4294" s="8" t="s">
        <v>13086</v>
      </c>
    </row>
    <row r="4295">
      <c r="A4295" s="7">
        <v>2.0052556E7</v>
      </c>
      <c r="B4295" s="8" t="s">
        <v>2987</v>
      </c>
      <c r="C4295" s="8" t="s">
        <v>13087</v>
      </c>
      <c r="D4295" s="8" t="s">
        <v>16</v>
      </c>
      <c r="E4295" s="8" t="s">
        <v>17</v>
      </c>
      <c r="F4295" s="9">
        <v>46121.0</v>
      </c>
      <c r="G4295" s="8" t="s">
        <v>1319</v>
      </c>
      <c r="H4295" s="8" t="s">
        <v>1320</v>
      </c>
      <c r="I4295" s="8" t="s">
        <v>13088</v>
      </c>
      <c r="J4295" s="8" t="s">
        <v>13089</v>
      </c>
    </row>
    <row r="4296">
      <c r="A4296" s="7">
        <v>2.00444E7</v>
      </c>
      <c r="B4296" s="8" t="s">
        <v>2987</v>
      </c>
      <c r="C4296" s="8" t="s">
        <v>13090</v>
      </c>
      <c r="D4296" s="8" t="s">
        <v>16</v>
      </c>
      <c r="E4296" s="8" t="s">
        <v>17</v>
      </c>
      <c r="F4296" s="9">
        <v>46106.0</v>
      </c>
      <c r="G4296" s="8" t="s">
        <v>13091</v>
      </c>
      <c r="H4296" s="8" t="s">
        <v>13092</v>
      </c>
      <c r="I4296" s="8" t="s">
        <v>13093</v>
      </c>
      <c r="J4296" s="8" t="s">
        <v>13094</v>
      </c>
    </row>
    <row r="4297">
      <c r="A4297" s="7">
        <v>2.0040054E7</v>
      </c>
      <c r="B4297" s="8" t="s">
        <v>2987</v>
      </c>
      <c r="C4297" s="8" t="s">
        <v>13095</v>
      </c>
      <c r="D4297" s="8" t="s">
        <v>16</v>
      </c>
      <c r="E4297" s="8" t="s">
        <v>17</v>
      </c>
      <c r="F4297" s="9">
        <v>46090.0</v>
      </c>
      <c r="G4297" s="8" t="s">
        <v>2057</v>
      </c>
      <c r="H4297" s="8" t="s">
        <v>2058</v>
      </c>
      <c r="I4297" s="8" t="s">
        <v>13096</v>
      </c>
      <c r="J4297" s="8" t="s">
        <v>13097</v>
      </c>
    </row>
    <row r="4298">
      <c r="A4298" s="7">
        <v>2.0033716E7</v>
      </c>
      <c r="B4298" s="8" t="s">
        <v>2987</v>
      </c>
      <c r="C4298" s="8" t="s">
        <v>13098</v>
      </c>
      <c r="D4298" s="8" t="s">
        <v>16</v>
      </c>
      <c r="E4298" s="8" t="s">
        <v>17</v>
      </c>
      <c r="F4298" s="9">
        <v>46049.0</v>
      </c>
      <c r="G4298" s="8" t="s">
        <v>91</v>
      </c>
      <c r="H4298" s="8" t="s">
        <v>92</v>
      </c>
      <c r="I4298" s="8" t="s">
        <v>13099</v>
      </c>
      <c r="J4298" s="8" t="s">
        <v>13100</v>
      </c>
    </row>
    <row r="4299">
      <c r="A4299" s="7">
        <v>2.0033269E7</v>
      </c>
      <c r="B4299" s="8" t="s">
        <v>2987</v>
      </c>
      <c r="C4299" s="8" t="s">
        <v>13101</v>
      </c>
      <c r="D4299" s="8" t="s">
        <v>16</v>
      </c>
      <c r="E4299" s="8" t="s">
        <v>17</v>
      </c>
      <c r="F4299" s="9">
        <v>46052.0</v>
      </c>
      <c r="G4299" s="8" t="s">
        <v>826</v>
      </c>
      <c r="H4299" s="8" t="s">
        <v>827</v>
      </c>
      <c r="I4299" s="8" t="s">
        <v>13102</v>
      </c>
      <c r="J4299" s="8" t="s">
        <v>13103</v>
      </c>
    </row>
    <row r="4300">
      <c r="A4300" s="7">
        <v>2.0064883E7</v>
      </c>
      <c r="B4300" s="8" t="s">
        <v>2987</v>
      </c>
      <c r="C4300" s="8" t="s">
        <v>13104</v>
      </c>
      <c r="D4300" s="8" t="s">
        <v>16</v>
      </c>
      <c r="E4300" s="8" t="s">
        <v>17</v>
      </c>
      <c r="F4300" s="9">
        <v>46172.0</v>
      </c>
      <c r="G4300" s="8" t="s">
        <v>59</v>
      </c>
      <c r="H4300" s="8" t="s">
        <v>60</v>
      </c>
      <c r="I4300" s="8" t="s">
        <v>13105</v>
      </c>
      <c r="J4300" s="8" t="s">
        <v>13106</v>
      </c>
    </row>
    <row r="4301">
      <c r="A4301" s="7">
        <v>2.0062094E7</v>
      </c>
      <c r="B4301" s="8" t="s">
        <v>2987</v>
      </c>
      <c r="C4301" s="8" t="s">
        <v>13107</v>
      </c>
      <c r="D4301" s="8" t="s">
        <v>16</v>
      </c>
      <c r="E4301" s="8" t="s">
        <v>17</v>
      </c>
      <c r="F4301" s="9">
        <v>46190.0</v>
      </c>
      <c r="G4301" s="8" t="s">
        <v>13108</v>
      </c>
      <c r="H4301" s="8" t="s">
        <v>13109</v>
      </c>
      <c r="I4301" s="8" t="s">
        <v>13110</v>
      </c>
      <c r="J4301" s="8" t="s">
        <v>13111</v>
      </c>
    </row>
    <row r="4302">
      <c r="A4302" s="7">
        <v>2.0061567E7</v>
      </c>
      <c r="B4302" s="8" t="s">
        <v>2987</v>
      </c>
      <c r="C4302" s="8" t="s">
        <v>13112</v>
      </c>
      <c r="D4302" s="8" t="s">
        <v>16</v>
      </c>
      <c r="E4302" s="8" t="s">
        <v>17</v>
      </c>
      <c r="F4302" s="9">
        <v>46157.0</v>
      </c>
      <c r="G4302" s="8" t="s">
        <v>13113</v>
      </c>
      <c r="H4302" s="8" t="s">
        <v>13114</v>
      </c>
      <c r="I4302" s="8" t="s">
        <v>13115</v>
      </c>
      <c r="J4302" s="8" t="s">
        <v>13116</v>
      </c>
    </row>
    <row r="4303">
      <c r="A4303" s="7">
        <v>2.0062441E7</v>
      </c>
      <c r="B4303" s="8" t="s">
        <v>2987</v>
      </c>
      <c r="C4303" s="8" t="s">
        <v>13117</v>
      </c>
      <c r="D4303" s="8" t="s">
        <v>16</v>
      </c>
      <c r="E4303" s="8" t="s">
        <v>17</v>
      </c>
      <c r="F4303" s="9">
        <v>46159.0</v>
      </c>
      <c r="G4303" s="8" t="s">
        <v>220</v>
      </c>
      <c r="H4303" s="8" t="s">
        <v>221</v>
      </c>
      <c r="I4303" s="8" t="s">
        <v>13118</v>
      </c>
      <c r="J4303" s="8" t="s">
        <v>13119</v>
      </c>
    </row>
    <row r="4304">
      <c r="A4304" s="7">
        <v>2.0056449E7</v>
      </c>
      <c r="B4304" s="8" t="s">
        <v>2987</v>
      </c>
      <c r="C4304" s="8" t="s">
        <v>13120</v>
      </c>
      <c r="D4304" s="8" t="s">
        <v>16</v>
      </c>
      <c r="E4304" s="8" t="s">
        <v>17</v>
      </c>
      <c r="F4304" s="9">
        <v>46130.0</v>
      </c>
      <c r="G4304" s="8" t="s">
        <v>504</v>
      </c>
      <c r="H4304" s="8" t="s">
        <v>505</v>
      </c>
      <c r="I4304" s="8" t="s">
        <v>13121</v>
      </c>
      <c r="J4304" s="8" t="s">
        <v>13122</v>
      </c>
    </row>
    <row r="4305">
      <c r="A4305" s="7">
        <v>2.0054743E7</v>
      </c>
      <c r="B4305" s="8" t="s">
        <v>2987</v>
      </c>
      <c r="C4305" s="8" t="s">
        <v>13123</v>
      </c>
      <c r="D4305" s="8" t="s">
        <v>16</v>
      </c>
      <c r="E4305" s="8" t="s">
        <v>17</v>
      </c>
      <c r="F4305" s="9">
        <v>46140.0</v>
      </c>
      <c r="G4305" s="8" t="s">
        <v>1969</v>
      </c>
      <c r="H4305" s="8" t="s">
        <v>1970</v>
      </c>
      <c r="I4305" s="8" t="s">
        <v>13124</v>
      </c>
      <c r="J4305" s="8" t="s">
        <v>1752</v>
      </c>
    </row>
    <row r="4306">
      <c r="A4306" s="7">
        <v>2.0050637E7</v>
      </c>
      <c r="B4306" s="8" t="s">
        <v>2987</v>
      </c>
      <c r="C4306" s="8" t="s">
        <v>13125</v>
      </c>
      <c r="D4306" s="8" t="s">
        <v>16</v>
      </c>
      <c r="E4306" s="8" t="s">
        <v>17</v>
      </c>
      <c r="F4306" s="9">
        <v>46108.0</v>
      </c>
      <c r="G4306" s="8" t="s">
        <v>34</v>
      </c>
      <c r="H4306" s="8" t="s">
        <v>35</v>
      </c>
      <c r="I4306" s="8" t="s">
        <v>13126</v>
      </c>
      <c r="J4306" s="8" t="s">
        <v>13127</v>
      </c>
    </row>
    <row r="4307">
      <c r="A4307" s="7">
        <v>2.0050356E7</v>
      </c>
      <c r="B4307" s="8" t="s">
        <v>2987</v>
      </c>
      <c r="C4307" s="8" t="s">
        <v>13128</v>
      </c>
      <c r="D4307" s="8" t="s">
        <v>16</v>
      </c>
      <c r="E4307" s="8" t="s">
        <v>17</v>
      </c>
      <c r="F4307" s="9">
        <v>46106.0</v>
      </c>
      <c r="G4307" s="8" t="s">
        <v>8350</v>
      </c>
      <c r="H4307" s="8" t="s">
        <v>8351</v>
      </c>
      <c r="I4307" s="8" t="s">
        <v>13129</v>
      </c>
      <c r="J4307" s="8" t="s">
        <v>13130</v>
      </c>
    </row>
    <row r="4308">
      <c r="A4308" s="7">
        <v>2.0033808E7</v>
      </c>
      <c r="B4308" s="8" t="s">
        <v>2987</v>
      </c>
      <c r="C4308" s="8" t="s">
        <v>13131</v>
      </c>
      <c r="D4308" s="8" t="s">
        <v>16</v>
      </c>
      <c r="E4308" s="8" t="s">
        <v>17</v>
      </c>
      <c r="F4308" s="9">
        <v>46058.0</v>
      </c>
      <c r="G4308" s="8" t="s">
        <v>3012</v>
      </c>
      <c r="H4308" s="8" t="s">
        <v>3013</v>
      </c>
      <c r="I4308" s="8" t="s">
        <v>13132</v>
      </c>
      <c r="J4308" s="8" t="s">
        <v>13133</v>
      </c>
    </row>
    <row r="4309">
      <c r="A4309" s="7">
        <v>2.0067488E7</v>
      </c>
      <c r="B4309" s="8" t="s">
        <v>2987</v>
      </c>
      <c r="C4309" s="8" t="s">
        <v>13134</v>
      </c>
      <c r="D4309" s="8" t="s">
        <v>16</v>
      </c>
      <c r="E4309" s="8" t="s">
        <v>17</v>
      </c>
      <c r="F4309" s="9">
        <v>46186.0</v>
      </c>
      <c r="G4309" s="8" t="s">
        <v>273</v>
      </c>
      <c r="H4309" s="8" t="s">
        <v>274</v>
      </c>
      <c r="I4309" s="8" t="s">
        <v>13135</v>
      </c>
      <c r="J4309" s="8" t="s">
        <v>13136</v>
      </c>
    </row>
    <row r="4310">
      <c r="A4310" s="7">
        <v>2.00557E7</v>
      </c>
      <c r="B4310" s="8" t="s">
        <v>2987</v>
      </c>
      <c r="C4310" s="8" t="s">
        <v>13137</v>
      </c>
      <c r="D4310" s="8" t="s">
        <v>16</v>
      </c>
      <c r="E4310" s="8" t="s">
        <v>17</v>
      </c>
      <c r="F4310" s="9">
        <v>46183.0</v>
      </c>
      <c r="G4310" s="8" t="s">
        <v>1746</v>
      </c>
      <c r="H4310" s="8" t="s">
        <v>1747</v>
      </c>
      <c r="I4310" s="8" t="s">
        <v>13138</v>
      </c>
      <c r="J4310" s="8" t="s">
        <v>13139</v>
      </c>
    </row>
    <row r="4311">
      <c r="A4311" s="7">
        <v>2.0057314E7</v>
      </c>
      <c r="B4311" s="8" t="s">
        <v>2987</v>
      </c>
      <c r="C4311" s="8" t="s">
        <v>13140</v>
      </c>
      <c r="D4311" s="8" t="s">
        <v>16</v>
      </c>
      <c r="E4311" s="8" t="s">
        <v>17</v>
      </c>
      <c r="F4311" s="9">
        <v>46150.0</v>
      </c>
      <c r="G4311" s="8" t="s">
        <v>91</v>
      </c>
      <c r="H4311" s="8" t="s">
        <v>92</v>
      </c>
      <c r="I4311" s="8" t="s">
        <v>13141</v>
      </c>
      <c r="J4311" s="8" t="s">
        <v>13142</v>
      </c>
    </row>
    <row r="4312">
      <c r="A4312" s="7">
        <v>2.0057314E7</v>
      </c>
      <c r="B4312" s="8" t="s">
        <v>2987</v>
      </c>
      <c r="C4312" s="8" t="s">
        <v>13140</v>
      </c>
      <c r="D4312" s="8" t="s">
        <v>16</v>
      </c>
      <c r="E4312" s="8" t="s">
        <v>17</v>
      </c>
      <c r="F4312" s="9">
        <v>46150.0</v>
      </c>
      <c r="G4312" s="8" t="s">
        <v>6031</v>
      </c>
      <c r="H4312" s="8" t="s">
        <v>6032</v>
      </c>
      <c r="I4312" s="8" t="s">
        <v>13143</v>
      </c>
      <c r="J4312" s="8" t="s">
        <v>13144</v>
      </c>
    </row>
    <row r="4313">
      <c r="A4313" s="7">
        <v>2.0058727E7</v>
      </c>
      <c r="B4313" s="8" t="s">
        <v>2987</v>
      </c>
      <c r="C4313" s="8" t="s">
        <v>13145</v>
      </c>
      <c r="D4313" s="8" t="s">
        <v>16</v>
      </c>
      <c r="E4313" s="8" t="s">
        <v>17</v>
      </c>
      <c r="F4313" s="9">
        <v>46146.0</v>
      </c>
      <c r="G4313" s="8" t="s">
        <v>365</v>
      </c>
      <c r="H4313" s="8" t="s">
        <v>366</v>
      </c>
      <c r="I4313" s="8" t="s">
        <v>13146</v>
      </c>
      <c r="J4313" s="8" t="s">
        <v>13147</v>
      </c>
    </row>
    <row r="4314">
      <c r="A4314" s="7">
        <v>2.0052742E7</v>
      </c>
      <c r="B4314" s="8" t="s">
        <v>2987</v>
      </c>
      <c r="C4314" s="8" t="s">
        <v>13148</v>
      </c>
      <c r="D4314" s="8" t="s">
        <v>16</v>
      </c>
      <c r="E4314" s="8" t="s">
        <v>17</v>
      </c>
      <c r="F4314" s="9">
        <v>46122.0</v>
      </c>
      <c r="G4314" s="8" t="s">
        <v>207</v>
      </c>
      <c r="H4314" s="8" t="s">
        <v>208</v>
      </c>
      <c r="I4314" s="8"/>
      <c r="J4314" s="8" t="s">
        <v>13149</v>
      </c>
    </row>
    <row r="4315">
      <c r="A4315" s="7">
        <v>2.0047112E7</v>
      </c>
      <c r="B4315" s="8" t="s">
        <v>2987</v>
      </c>
      <c r="C4315" s="8" t="s">
        <v>13150</v>
      </c>
      <c r="D4315" s="8" t="s">
        <v>16</v>
      </c>
      <c r="E4315" s="8" t="s">
        <v>17</v>
      </c>
      <c r="F4315" s="9">
        <v>46124.0</v>
      </c>
      <c r="G4315" s="8" t="s">
        <v>13151</v>
      </c>
      <c r="H4315" s="8" t="s">
        <v>13152</v>
      </c>
      <c r="I4315" s="8" t="s">
        <v>13153</v>
      </c>
      <c r="J4315" s="8" t="s">
        <v>13154</v>
      </c>
    </row>
    <row r="4316">
      <c r="A4316" s="7">
        <v>2.0049704E7</v>
      </c>
      <c r="B4316" s="8" t="s">
        <v>2987</v>
      </c>
      <c r="C4316" s="8" t="s">
        <v>13155</v>
      </c>
      <c r="D4316" s="8" t="s">
        <v>16</v>
      </c>
      <c r="E4316" s="8" t="s">
        <v>17</v>
      </c>
      <c r="F4316" s="9">
        <v>46122.0</v>
      </c>
      <c r="G4316" s="8" t="s">
        <v>4529</v>
      </c>
      <c r="H4316" s="8" t="s">
        <v>4530</v>
      </c>
      <c r="I4316" s="8"/>
      <c r="J4316" s="8" t="s">
        <v>13156</v>
      </c>
    </row>
    <row r="4317">
      <c r="A4317" s="7">
        <v>2.0047981E7</v>
      </c>
      <c r="B4317" s="8" t="s">
        <v>2987</v>
      </c>
      <c r="C4317" s="8" t="s">
        <v>13157</v>
      </c>
      <c r="D4317" s="8" t="s">
        <v>16</v>
      </c>
      <c r="E4317" s="8" t="s">
        <v>17</v>
      </c>
      <c r="F4317" s="9">
        <v>46103.0</v>
      </c>
      <c r="G4317" s="8" t="s">
        <v>7527</v>
      </c>
      <c r="H4317" s="8" t="s">
        <v>2969</v>
      </c>
      <c r="I4317" s="8" t="s">
        <v>13158</v>
      </c>
      <c r="J4317" s="8" t="s">
        <v>13159</v>
      </c>
    </row>
    <row r="4318">
      <c r="A4318" s="7">
        <v>2.0047365E7</v>
      </c>
      <c r="B4318" s="8" t="s">
        <v>2987</v>
      </c>
      <c r="C4318" s="8" t="s">
        <v>13160</v>
      </c>
      <c r="D4318" s="8" t="s">
        <v>16</v>
      </c>
      <c r="E4318" s="8" t="s">
        <v>17</v>
      </c>
      <c r="F4318" s="9">
        <v>46095.0</v>
      </c>
      <c r="G4318" s="8" t="s">
        <v>91</v>
      </c>
      <c r="H4318" s="8" t="s">
        <v>92</v>
      </c>
      <c r="I4318" s="8" t="s">
        <v>13161</v>
      </c>
      <c r="J4318" s="8" t="s">
        <v>13162</v>
      </c>
    </row>
    <row r="4319">
      <c r="A4319" s="7">
        <v>2.0044682E7</v>
      </c>
      <c r="B4319" s="8" t="s">
        <v>2987</v>
      </c>
      <c r="C4319" s="8" t="s">
        <v>13163</v>
      </c>
      <c r="D4319" s="8" t="s">
        <v>16</v>
      </c>
      <c r="E4319" s="8" t="s">
        <v>48</v>
      </c>
      <c r="F4319" s="9">
        <v>46088.0</v>
      </c>
      <c r="G4319" s="8" t="s">
        <v>852</v>
      </c>
      <c r="H4319" s="8" t="s">
        <v>853</v>
      </c>
      <c r="I4319" s="8" t="s">
        <v>13164</v>
      </c>
      <c r="J4319" s="8" t="s">
        <v>13165</v>
      </c>
    </row>
    <row r="4320">
      <c r="A4320" s="7">
        <v>2.0044682E7</v>
      </c>
      <c r="B4320" s="8" t="s">
        <v>2987</v>
      </c>
      <c r="C4320" s="8" t="s">
        <v>13163</v>
      </c>
      <c r="D4320" s="8" t="s">
        <v>16</v>
      </c>
      <c r="E4320" s="8" t="s">
        <v>48</v>
      </c>
      <c r="F4320" s="9">
        <v>46088.0</v>
      </c>
      <c r="G4320" s="8" t="s">
        <v>3364</v>
      </c>
      <c r="H4320" s="8" t="s">
        <v>3365</v>
      </c>
      <c r="I4320" s="8" t="s">
        <v>13166</v>
      </c>
      <c r="J4320" s="8"/>
    </row>
    <row r="4321">
      <c r="A4321" s="7">
        <v>2.0038473E7</v>
      </c>
      <c r="B4321" s="8" t="s">
        <v>2987</v>
      </c>
      <c r="C4321" s="8" t="s">
        <v>13167</v>
      </c>
      <c r="D4321" s="8" t="s">
        <v>16</v>
      </c>
      <c r="E4321" s="8" t="s">
        <v>17</v>
      </c>
      <c r="F4321" s="9">
        <v>46078.0</v>
      </c>
      <c r="G4321" s="8" t="s">
        <v>171</v>
      </c>
      <c r="H4321" s="8" t="s">
        <v>172</v>
      </c>
      <c r="I4321" s="8" t="s">
        <v>13168</v>
      </c>
      <c r="J4321" s="8" t="s">
        <v>13169</v>
      </c>
    </row>
    <row r="4322">
      <c r="A4322" s="7">
        <v>2.0037095E7</v>
      </c>
      <c r="B4322" s="8" t="s">
        <v>2987</v>
      </c>
      <c r="C4322" s="8" t="s">
        <v>13170</v>
      </c>
      <c r="D4322" s="8" t="s">
        <v>16</v>
      </c>
      <c r="E4322" s="8" t="s">
        <v>17</v>
      </c>
      <c r="F4322" s="9">
        <v>46054.0</v>
      </c>
      <c r="G4322" s="8" t="s">
        <v>59</v>
      </c>
      <c r="H4322" s="8" t="s">
        <v>60</v>
      </c>
      <c r="I4322" s="8" t="s">
        <v>13171</v>
      </c>
      <c r="J4322" s="8" t="s">
        <v>13172</v>
      </c>
    </row>
    <row r="4323">
      <c r="A4323" s="7">
        <v>2.0034349E7</v>
      </c>
      <c r="B4323" s="8" t="s">
        <v>2987</v>
      </c>
      <c r="C4323" s="8" t="s">
        <v>13173</v>
      </c>
      <c r="D4323" s="8" t="s">
        <v>16</v>
      </c>
      <c r="E4323" s="8" t="s">
        <v>17</v>
      </c>
      <c r="F4323" s="9">
        <v>46059.0</v>
      </c>
      <c r="G4323" s="8" t="s">
        <v>613</v>
      </c>
      <c r="H4323" s="8" t="s">
        <v>614</v>
      </c>
      <c r="I4323" s="8" t="s">
        <v>13174</v>
      </c>
      <c r="J4323" s="8" t="s">
        <v>13175</v>
      </c>
    </row>
    <row r="4324">
      <c r="A4324" s="7">
        <v>2.0034349E7</v>
      </c>
      <c r="B4324" s="8" t="s">
        <v>2987</v>
      </c>
      <c r="C4324" s="8" t="s">
        <v>13173</v>
      </c>
      <c r="D4324" s="8" t="s">
        <v>16</v>
      </c>
      <c r="E4324" s="8" t="s">
        <v>17</v>
      </c>
      <c r="F4324" s="9">
        <v>46059.0</v>
      </c>
      <c r="G4324" s="8" t="s">
        <v>12741</v>
      </c>
      <c r="H4324" s="8" t="s">
        <v>12742</v>
      </c>
      <c r="I4324" s="8" t="s">
        <v>13176</v>
      </c>
      <c r="J4324" s="8"/>
    </row>
    <row r="4325">
      <c r="A4325" s="7">
        <v>2.0032234E7</v>
      </c>
      <c r="B4325" s="8" t="s">
        <v>2987</v>
      </c>
      <c r="C4325" s="8" t="s">
        <v>13177</v>
      </c>
      <c r="D4325" s="8" t="s">
        <v>16</v>
      </c>
      <c r="E4325" s="8" t="s">
        <v>17</v>
      </c>
      <c r="F4325" s="9">
        <v>46052.0</v>
      </c>
      <c r="G4325" s="8" t="s">
        <v>234</v>
      </c>
      <c r="H4325" s="8" t="s">
        <v>235</v>
      </c>
      <c r="I4325" s="8" t="s">
        <v>13178</v>
      </c>
      <c r="J4325" s="8" t="s">
        <v>13179</v>
      </c>
    </row>
    <row r="4326">
      <c r="A4326" s="7">
        <v>2.0032767E7</v>
      </c>
      <c r="B4326" s="8" t="s">
        <v>2987</v>
      </c>
      <c r="C4326" s="8" t="s">
        <v>13180</v>
      </c>
      <c r="D4326" s="8" t="s">
        <v>16</v>
      </c>
      <c r="E4326" s="8" t="s">
        <v>17</v>
      </c>
      <c r="F4326" s="9">
        <v>46051.0</v>
      </c>
      <c r="G4326" s="8" t="s">
        <v>91</v>
      </c>
      <c r="H4326" s="8" t="s">
        <v>92</v>
      </c>
      <c r="I4326" s="8" t="s">
        <v>13181</v>
      </c>
      <c r="J4326" s="8" t="s">
        <v>13182</v>
      </c>
    </row>
    <row r="4327">
      <c r="A4327" s="7">
        <v>2.0026769E7</v>
      </c>
      <c r="B4327" s="8" t="s">
        <v>2987</v>
      </c>
      <c r="C4327" s="8" t="s">
        <v>13183</v>
      </c>
      <c r="D4327" s="8" t="s">
        <v>2136</v>
      </c>
      <c r="E4327" s="8" t="s">
        <v>17</v>
      </c>
      <c r="F4327" s="9">
        <v>46173.0</v>
      </c>
      <c r="G4327" s="8" t="s">
        <v>91</v>
      </c>
      <c r="H4327" s="8" t="s">
        <v>92</v>
      </c>
      <c r="I4327" s="8"/>
      <c r="J4327" s="8" t="s">
        <v>13184</v>
      </c>
    </row>
    <row r="4328">
      <c r="A4328" s="7">
        <v>2.0064396E7</v>
      </c>
      <c r="B4328" s="8" t="s">
        <v>2987</v>
      </c>
      <c r="C4328" s="8" t="s">
        <v>13185</v>
      </c>
      <c r="D4328" s="8" t="s">
        <v>16</v>
      </c>
      <c r="E4328" s="8" t="s">
        <v>17</v>
      </c>
      <c r="F4328" s="9">
        <v>46169.0</v>
      </c>
      <c r="G4328" s="8" t="s">
        <v>59</v>
      </c>
      <c r="H4328" s="8" t="s">
        <v>60</v>
      </c>
      <c r="I4328" s="8" t="s">
        <v>13186</v>
      </c>
      <c r="J4328" s="8" t="s">
        <v>13187</v>
      </c>
    </row>
    <row r="4329">
      <c r="A4329" s="7">
        <v>2.0063671E7</v>
      </c>
      <c r="B4329" s="8" t="s">
        <v>2987</v>
      </c>
      <c r="C4329" s="8" t="s">
        <v>13188</v>
      </c>
      <c r="D4329" s="8" t="s">
        <v>16</v>
      </c>
      <c r="E4329" s="8" t="s">
        <v>17</v>
      </c>
      <c r="F4329" s="9">
        <v>46155.0</v>
      </c>
      <c r="G4329" s="8" t="s">
        <v>91</v>
      </c>
      <c r="H4329" s="8" t="s">
        <v>92</v>
      </c>
      <c r="I4329" s="8" t="s">
        <v>13189</v>
      </c>
      <c r="J4329" s="8" t="s">
        <v>13190</v>
      </c>
    </row>
    <row r="4330">
      <c r="A4330" s="7">
        <v>2.0062469E7</v>
      </c>
      <c r="B4330" s="8" t="s">
        <v>2987</v>
      </c>
      <c r="C4330" s="8" t="s">
        <v>13191</v>
      </c>
      <c r="D4330" s="8" t="s">
        <v>16</v>
      </c>
      <c r="E4330" s="8" t="s">
        <v>17</v>
      </c>
      <c r="F4330" s="9">
        <v>46157.0</v>
      </c>
      <c r="G4330" s="8" t="s">
        <v>59</v>
      </c>
      <c r="H4330" s="8" t="s">
        <v>60</v>
      </c>
      <c r="I4330" s="8" t="s">
        <v>13192</v>
      </c>
      <c r="J4330" s="8" t="s">
        <v>13193</v>
      </c>
    </row>
    <row r="4331">
      <c r="A4331" s="7">
        <v>2.0062469E7</v>
      </c>
      <c r="B4331" s="8" t="s">
        <v>2987</v>
      </c>
      <c r="C4331" s="8" t="s">
        <v>13191</v>
      </c>
      <c r="D4331" s="8" t="s">
        <v>16</v>
      </c>
      <c r="E4331" s="8" t="s">
        <v>17</v>
      </c>
      <c r="F4331" s="9">
        <v>46157.0</v>
      </c>
      <c r="G4331" s="8" t="s">
        <v>365</v>
      </c>
      <c r="H4331" s="8" t="s">
        <v>366</v>
      </c>
      <c r="I4331" s="8" t="s">
        <v>13194</v>
      </c>
      <c r="J4331" s="8" t="s">
        <v>13195</v>
      </c>
    </row>
    <row r="4332">
      <c r="A4332" s="7">
        <v>2.0059194E7</v>
      </c>
      <c r="B4332" s="8" t="s">
        <v>2987</v>
      </c>
      <c r="C4332" s="8" t="s">
        <v>13196</v>
      </c>
      <c r="D4332" s="8" t="s">
        <v>16</v>
      </c>
      <c r="E4332" s="8" t="s">
        <v>17</v>
      </c>
      <c r="F4332" s="9">
        <v>46164.0</v>
      </c>
      <c r="G4332" s="8" t="s">
        <v>195</v>
      </c>
      <c r="H4332" s="8" t="s">
        <v>196</v>
      </c>
      <c r="I4332" s="8" t="s">
        <v>13197</v>
      </c>
      <c r="J4332" s="8" t="s">
        <v>13198</v>
      </c>
    </row>
    <row r="4333">
      <c r="A4333" s="7">
        <v>2.0060548E7</v>
      </c>
      <c r="B4333" s="8" t="s">
        <v>2987</v>
      </c>
      <c r="C4333" s="8" t="s">
        <v>13199</v>
      </c>
      <c r="D4333" s="8" t="s">
        <v>16</v>
      </c>
      <c r="E4333" s="8" t="s">
        <v>17</v>
      </c>
      <c r="F4333" s="9">
        <v>46154.0</v>
      </c>
      <c r="G4333" s="8" t="s">
        <v>12069</v>
      </c>
      <c r="H4333" s="8" t="s">
        <v>13200</v>
      </c>
      <c r="I4333" s="8" t="s">
        <v>13201</v>
      </c>
      <c r="J4333" s="8"/>
    </row>
    <row r="4334">
      <c r="A4334" s="7">
        <v>2.0060223E7</v>
      </c>
      <c r="B4334" s="8" t="s">
        <v>2987</v>
      </c>
      <c r="C4334" s="8" t="s">
        <v>13202</v>
      </c>
      <c r="D4334" s="8" t="s">
        <v>16</v>
      </c>
      <c r="E4334" s="8" t="s">
        <v>17</v>
      </c>
      <c r="F4334" s="9">
        <v>46149.0</v>
      </c>
      <c r="G4334" s="8" t="s">
        <v>882</v>
      </c>
      <c r="H4334" s="8" t="s">
        <v>883</v>
      </c>
      <c r="I4334" s="8" t="s">
        <v>13203</v>
      </c>
      <c r="J4334" s="8" t="s">
        <v>13204</v>
      </c>
    </row>
    <row r="4335">
      <c r="A4335" s="7">
        <v>2.005666E7</v>
      </c>
      <c r="B4335" s="8" t="s">
        <v>2987</v>
      </c>
      <c r="C4335" s="8" t="s">
        <v>13205</v>
      </c>
      <c r="D4335" s="8" t="s">
        <v>16</v>
      </c>
      <c r="E4335" s="8" t="s">
        <v>17</v>
      </c>
      <c r="F4335" s="9">
        <v>46136.0</v>
      </c>
      <c r="G4335" s="8" t="s">
        <v>59</v>
      </c>
      <c r="H4335" s="8" t="s">
        <v>60</v>
      </c>
      <c r="I4335" s="8" t="s">
        <v>13206</v>
      </c>
      <c r="J4335" s="8" t="s">
        <v>13207</v>
      </c>
    </row>
    <row r="4336">
      <c r="A4336" s="7">
        <v>2.0050923E7</v>
      </c>
      <c r="B4336" s="8" t="s">
        <v>2987</v>
      </c>
      <c r="C4336" s="8" t="s">
        <v>13208</v>
      </c>
      <c r="D4336" s="8" t="s">
        <v>16</v>
      </c>
      <c r="E4336" s="8" t="s">
        <v>17</v>
      </c>
      <c r="F4336" s="9">
        <v>46109.0</v>
      </c>
      <c r="G4336" s="8" t="s">
        <v>882</v>
      </c>
      <c r="H4336" s="8" t="s">
        <v>883</v>
      </c>
      <c r="I4336" s="8" t="s">
        <v>13209</v>
      </c>
      <c r="J4336" s="8" t="s">
        <v>13210</v>
      </c>
    </row>
    <row r="4337">
      <c r="A4337" s="7">
        <v>2.0050678E7</v>
      </c>
      <c r="B4337" s="8" t="s">
        <v>2987</v>
      </c>
      <c r="C4337" s="8" t="s">
        <v>13211</v>
      </c>
      <c r="D4337" s="8" t="s">
        <v>16</v>
      </c>
      <c r="E4337" s="8" t="s">
        <v>17</v>
      </c>
      <c r="F4337" s="9">
        <v>46106.0</v>
      </c>
      <c r="G4337" s="8" t="s">
        <v>365</v>
      </c>
      <c r="H4337" s="8" t="s">
        <v>366</v>
      </c>
      <c r="I4337" s="8" t="s">
        <v>13212</v>
      </c>
      <c r="J4337" s="8" t="s">
        <v>13213</v>
      </c>
    </row>
    <row r="4338">
      <c r="A4338" s="7">
        <v>2.0046862E7</v>
      </c>
      <c r="B4338" s="8" t="s">
        <v>2987</v>
      </c>
      <c r="C4338" s="8" t="s">
        <v>13214</v>
      </c>
      <c r="D4338" s="8" t="s">
        <v>16</v>
      </c>
      <c r="E4338" s="8" t="s">
        <v>17</v>
      </c>
      <c r="F4338" s="9">
        <v>46100.0</v>
      </c>
      <c r="G4338" s="8" t="s">
        <v>846</v>
      </c>
      <c r="H4338" s="8" t="s">
        <v>847</v>
      </c>
      <c r="I4338" s="8" t="s">
        <v>13215</v>
      </c>
      <c r="J4338" s="8" t="s">
        <v>13216</v>
      </c>
    </row>
    <row r="4339">
      <c r="A4339" s="7">
        <v>2.0046121E7</v>
      </c>
      <c r="B4339" s="8" t="s">
        <v>2987</v>
      </c>
      <c r="C4339" s="8" t="s">
        <v>13217</v>
      </c>
      <c r="D4339" s="8" t="s">
        <v>16</v>
      </c>
      <c r="E4339" s="8" t="s">
        <v>17</v>
      </c>
      <c r="F4339" s="9">
        <v>46103.0</v>
      </c>
      <c r="G4339" s="8" t="s">
        <v>314</v>
      </c>
      <c r="H4339" s="8" t="s">
        <v>315</v>
      </c>
      <c r="I4339" s="8" t="s">
        <v>13218</v>
      </c>
      <c r="J4339" s="8" t="s">
        <v>13219</v>
      </c>
    </row>
    <row r="4340">
      <c r="A4340" s="7">
        <v>2.003995E7</v>
      </c>
      <c r="B4340" s="8" t="s">
        <v>2987</v>
      </c>
      <c r="C4340" s="8" t="s">
        <v>13220</v>
      </c>
      <c r="D4340" s="8" t="s">
        <v>16</v>
      </c>
      <c r="E4340" s="8" t="s">
        <v>17</v>
      </c>
      <c r="F4340" s="9">
        <v>46105.0</v>
      </c>
      <c r="G4340" s="8" t="s">
        <v>158</v>
      </c>
      <c r="H4340" s="8" t="s">
        <v>159</v>
      </c>
      <c r="I4340" s="8" t="s">
        <v>13221</v>
      </c>
      <c r="J4340" s="8" t="s">
        <v>13222</v>
      </c>
    </row>
    <row r="4341">
      <c r="A4341" s="7">
        <v>2.004574E7</v>
      </c>
      <c r="B4341" s="8" t="s">
        <v>2987</v>
      </c>
      <c r="C4341" s="8" t="s">
        <v>13223</v>
      </c>
      <c r="D4341" s="8" t="s">
        <v>16</v>
      </c>
      <c r="E4341" s="8" t="s">
        <v>17</v>
      </c>
      <c r="F4341" s="9">
        <v>46095.0</v>
      </c>
      <c r="G4341" s="8" t="s">
        <v>365</v>
      </c>
      <c r="H4341" s="8" t="s">
        <v>366</v>
      </c>
      <c r="I4341" s="8" t="s">
        <v>13224</v>
      </c>
      <c r="J4341" s="8" t="s">
        <v>13225</v>
      </c>
    </row>
    <row r="4342">
      <c r="A4342" s="7">
        <v>2.0043652E7</v>
      </c>
      <c r="B4342" s="8" t="s">
        <v>2987</v>
      </c>
      <c r="C4342" s="8" t="s">
        <v>13226</v>
      </c>
      <c r="D4342" s="8" t="s">
        <v>16</v>
      </c>
      <c r="E4342" s="8" t="s">
        <v>17</v>
      </c>
      <c r="F4342" s="9">
        <v>46093.0</v>
      </c>
      <c r="G4342" s="8" t="s">
        <v>365</v>
      </c>
      <c r="H4342" s="8" t="s">
        <v>366</v>
      </c>
      <c r="I4342" s="8" t="s">
        <v>13227</v>
      </c>
      <c r="J4342" s="8" t="s">
        <v>13228</v>
      </c>
    </row>
    <row r="4343">
      <c r="A4343" s="7">
        <v>2.003892E7</v>
      </c>
      <c r="B4343" s="8" t="s">
        <v>2987</v>
      </c>
      <c r="C4343" s="8" t="s">
        <v>13229</v>
      </c>
      <c r="D4343" s="8" t="s">
        <v>16</v>
      </c>
      <c r="E4343" s="8" t="s">
        <v>17</v>
      </c>
      <c r="F4343" s="9">
        <v>46067.0</v>
      </c>
      <c r="G4343" s="8" t="s">
        <v>882</v>
      </c>
      <c r="H4343" s="8" t="s">
        <v>883</v>
      </c>
      <c r="I4343" s="8" t="s">
        <v>13230</v>
      </c>
      <c r="J4343" s="8" t="s">
        <v>13231</v>
      </c>
    </row>
    <row r="4344">
      <c r="A4344" s="7">
        <v>2.0038105E7</v>
      </c>
      <c r="B4344" s="8" t="s">
        <v>2987</v>
      </c>
      <c r="C4344" s="8" t="s">
        <v>13232</v>
      </c>
      <c r="D4344" s="8" t="s">
        <v>16</v>
      </c>
      <c r="E4344" s="8" t="s">
        <v>17</v>
      </c>
      <c r="F4344" s="9">
        <v>46072.0</v>
      </c>
      <c r="G4344" s="8" t="s">
        <v>1638</v>
      </c>
      <c r="H4344" s="8" t="s">
        <v>1639</v>
      </c>
      <c r="I4344" s="8"/>
      <c r="J4344" s="8" t="s">
        <v>13233</v>
      </c>
    </row>
    <row r="4345">
      <c r="A4345" s="7">
        <v>2.0035385E7</v>
      </c>
      <c r="B4345" s="8" t="s">
        <v>2987</v>
      </c>
      <c r="C4345" s="8" t="s">
        <v>13234</v>
      </c>
      <c r="D4345" s="8" t="s">
        <v>16</v>
      </c>
      <c r="E4345" s="8" t="s">
        <v>17</v>
      </c>
      <c r="F4345" s="9">
        <v>46067.0</v>
      </c>
      <c r="G4345" s="8" t="s">
        <v>7961</v>
      </c>
      <c r="H4345" s="8" t="s">
        <v>7962</v>
      </c>
      <c r="I4345" s="8" t="s">
        <v>13235</v>
      </c>
      <c r="J4345" s="8" t="s">
        <v>13236</v>
      </c>
    </row>
    <row r="4346">
      <c r="A4346" s="7">
        <v>2.0035887E7</v>
      </c>
      <c r="B4346" s="8" t="s">
        <v>2987</v>
      </c>
      <c r="C4346" s="8" t="s">
        <v>13237</v>
      </c>
      <c r="D4346" s="8" t="s">
        <v>16</v>
      </c>
      <c r="E4346" s="8" t="s">
        <v>17</v>
      </c>
      <c r="F4346" s="9">
        <v>46106.0</v>
      </c>
      <c r="G4346" s="8" t="s">
        <v>1557</v>
      </c>
      <c r="H4346" s="8" t="s">
        <v>1558</v>
      </c>
      <c r="I4346" s="8" t="s">
        <v>13238</v>
      </c>
      <c r="J4346" s="8" t="s">
        <v>13239</v>
      </c>
    </row>
    <row r="4347">
      <c r="A4347" s="7">
        <v>2.0035887E7</v>
      </c>
      <c r="B4347" s="8" t="s">
        <v>2987</v>
      </c>
      <c r="C4347" s="8" t="s">
        <v>13237</v>
      </c>
      <c r="D4347" s="8" t="s">
        <v>16</v>
      </c>
      <c r="E4347" s="8" t="s">
        <v>17</v>
      </c>
      <c r="F4347" s="9">
        <v>46106.0</v>
      </c>
      <c r="G4347" s="8" t="s">
        <v>791</v>
      </c>
      <c r="H4347" s="8" t="s">
        <v>792</v>
      </c>
      <c r="I4347" s="8" t="s">
        <v>13240</v>
      </c>
      <c r="J4347" s="8"/>
    </row>
    <row r="4348">
      <c r="A4348" s="7">
        <v>2.0071296E7</v>
      </c>
      <c r="B4348" s="8" t="s">
        <v>2987</v>
      </c>
      <c r="C4348" s="8" t="s">
        <v>13241</v>
      </c>
      <c r="D4348" s="8" t="s">
        <v>16</v>
      </c>
      <c r="E4348" s="8" t="s">
        <v>17</v>
      </c>
      <c r="F4348" s="9">
        <v>46193.0</v>
      </c>
      <c r="G4348" s="8" t="s">
        <v>13242</v>
      </c>
      <c r="H4348" s="8" t="s">
        <v>13243</v>
      </c>
      <c r="I4348" s="8" t="s">
        <v>13244</v>
      </c>
      <c r="J4348" s="8" t="s">
        <v>13245</v>
      </c>
    </row>
    <row r="4349">
      <c r="A4349" s="7">
        <v>2.0066282E7</v>
      </c>
      <c r="B4349" s="8" t="s">
        <v>2987</v>
      </c>
      <c r="C4349" s="8" t="s">
        <v>13246</v>
      </c>
      <c r="D4349" s="8" t="s">
        <v>16</v>
      </c>
      <c r="E4349" s="8" t="s">
        <v>17</v>
      </c>
      <c r="F4349" s="9">
        <v>46169.0</v>
      </c>
      <c r="G4349" s="8" t="s">
        <v>504</v>
      </c>
      <c r="H4349" s="8" t="s">
        <v>505</v>
      </c>
      <c r="I4349" s="8" t="s">
        <v>13247</v>
      </c>
      <c r="J4349" s="8" t="s">
        <v>13248</v>
      </c>
    </row>
    <row r="4350">
      <c r="A4350" s="7">
        <v>2.0066253E7</v>
      </c>
      <c r="B4350" s="8" t="s">
        <v>2987</v>
      </c>
      <c r="C4350" s="8" t="s">
        <v>13249</v>
      </c>
      <c r="D4350" s="8" t="s">
        <v>16</v>
      </c>
      <c r="E4350" s="8" t="s">
        <v>1074</v>
      </c>
      <c r="F4350" s="9">
        <v>46185.0</v>
      </c>
      <c r="G4350" s="8" t="s">
        <v>335</v>
      </c>
      <c r="H4350" s="8" t="s">
        <v>336</v>
      </c>
      <c r="I4350" s="8" t="s">
        <v>13250</v>
      </c>
      <c r="J4350" s="8" t="s">
        <v>13251</v>
      </c>
    </row>
    <row r="4351">
      <c r="A4351" s="7">
        <v>2.0059561E7</v>
      </c>
      <c r="B4351" s="8" t="s">
        <v>2987</v>
      </c>
      <c r="C4351" s="8" t="s">
        <v>13252</v>
      </c>
      <c r="D4351" s="8" t="s">
        <v>16</v>
      </c>
      <c r="E4351" s="8" t="s">
        <v>17</v>
      </c>
      <c r="F4351" s="9">
        <v>46164.0</v>
      </c>
      <c r="G4351" s="8" t="s">
        <v>868</v>
      </c>
      <c r="H4351" s="8" t="s">
        <v>869</v>
      </c>
      <c r="I4351" s="8" t="s">
        <v>13253</v>
      </c>
      <c r="J4351" s="8" t="s">
        <v>13254</v>
      </c>
    </row>
    <row r="4352">
      <c r="A4352" s="7">
        <v>2.005874E7</v>
      </c>
      <c r="B4352" s="8" t="s">
        <v>2987</v>
      </c>
      <c r="C4352" s="8" t="s">
        <v>13255</v>
      </c>
      <c r="D4352" s="8" t="s">
        <v>16</v>
      </c>
      <c r="E4352" s="8" t="s">
        <v>17</v>
      </c>
      <c r="F4352" s="9">
        <v>46153.0</v>
      </c>
      <c r="G4352" s="8" t="s">
        <v>3012</v>
      </c>
      <c r="H4352" s="8" t="s">
        <v>3013</v>
      </c>
      <c r="I4352" s="8" t="s">
        <v>13256</v>
      </c>
      <c r="J4352" s="8" t="s">
        <v>13257</v>
      </c>
    </row>
    <row r="4353">
      <c r="A4353" s="7">
        <v>2.0061203E7</v>
      </c>
      <c r="B4353" s="8" t="s">
        <v>2987</v>
      </c>
      <c r="C4353" s="8" t="s">
        <v>13258</v>
      </c>
      <c r="D4353" s="8" t="s">
        <v>16</v>
      </c>
      <c r="E4353" s="8" t="s">
        <v>17</v>
      </c>
      <c r="F4353" s="9">
        <v>46145.0</v>
      </c>
      <c r="G4353" s="8" t="s">
        <v>59</v>
      </c>
      <c r="H4353" s="8" t="s">
        <v>60</v>
      </c>
      <c r="I4353" s="8" t="s">
        <v>13259</v>
      </c>
      <c r="J4353" s="8" t="s">
        <v>13260</v>
      </c>
    </row>
    <row r="4354">
      <c r="A4354" s="7">
        <v>2.0054753E7</v>
      </c>
      <c r="B4354" s="8" t="s">
        <v>2987</v>
      </c>
      <c r="C4354" s="8" t="s">
        <v>13261</v>
      </c>
      <c r="D4354" s="8" t="s">
        <v>16</v>
      </c>
      <c r="E4354" s="8" t="s">
        <v>17</v>
      </c>
      <c r="F4354" s="9">
        <v>46140.0</v>
      </c>
      <c r="G4354" s="8" t="s">
        <v>64</v>
      </c>
      <c r="H4354" s="8" t="s">
        <v>65</v>
      </c>
      <c r="I4354" s="8" t="s">
        <v>13262</v>
      </c>
      <c r="J4354" s="8" t="s">
        <v>13263</v>
      </c>
    </row>
    <row r="4355">
      <c r="A4355" s="7">
        <v>2.0050955E7</v>
      </c>
      <c r="B4355" s="8" t="s">
        <v>2987</v>
      </c>
      <c r="C4355" s="8" t="s">
        <v>13264</v>
      </c>
      <c r="D4355" s="8" t="s">
        <v>16</v>
      </c>
      <c r="E4355" s="8" t="s">
        <v>17</v>
      </c>
      <c r="F4355" s="9">
        <v>46118.0</v>
      </c>
      <c r="G4355" s="8" t="s">
        <v>34</v>
      </c>
      <c r="H4355" s="8" t="s">
        <v>35</v>
      </c>
      <c r="I4355" s="8" t="s">
        <v>13265</v>
      </c>
      <c r="J4355" s="8" t="s">
        <v>13266</v>
      </c>
    </row>
    <row r="4356">
      <c r="A4356" s="7">
        <v>2.0046026E7</v>
      </c>
      <c r="B4356" s="8" t="s">
        <v>2987</v>
      </c>
      <c r="C4356" s="8" t="s">
        <v>13267</v>
      </c>
      <c r="D4356" s="8" t="s">
        <v>2136</v>
      </c>
      <c r="E4356" s="8" t="s">
        <v>17</v>
      </c>
      <c r="F4356" s="9">
        <v>46081.0</v>
      </c>
      <c r="G4356" s="8" t="s">
        <v>59</v>
      </c>
      <c r="H4356" s="8" t="s">
        <v>60</v>
      </c>
      <c r="I4356" s="8" t="s">
        <v>13268</v>
      </c>
      <c r="J4356" s="8" t="s">
        <v>13269</v>
      </c>
    </row>
    <row r="4357">
      <c r="A4357" s="7">
        <v>2.0045215E7</v>
      </c>
      <c r="B4357" s="8" t="s">
        <v>2987</v>
      </c>
      <c r="C4357" s="8" t="s">
        <v>13270</v>
      </c>
      <c r="D4357" s="8" t="s">
        <v>16</v>
      </c>
      <c r="E4357" s="8" t="s">
        <v>17</v>
      </c>
      <c r="F4357" s="9">
        <v>46088.0</v>
      </c>
      <c r="G4357" s="8" t="s">
        <v>91</v>
      </c>
      <c r="H4357" s="8" t="s">
        <v>92</v>
      </c>
      <c r="I4357" s="8" t="s">
        <v>13271</v>
      </c>
      <c r="J4357" s="8" t="s">
        <v>13272</v>
      </c>
    </row>
    <row r="4358">
      <c r="A4358" s="7">
        <v>2.0044663E7</v>
      </c>
      <c r="B4358" s="8" t="s">
        <v>2987</v>
      </c>
      <c r="C4358" s="8" t="s">
        <v>13273</v>
      </c>
      <c r="D4358" s="8" t="s">
        <v>16</v>
      </c>
      <c r="E4358" s="8" t="s">
        <v>17</v>
      </c>
      <c r="F4358" s="9">
        <v>46098.0</v>
      </c>
      <c r="G4358" s="8" t="s">
        <v>5490</v>
      </c>
      <c r="H4358" s="8" t="s">
        <v>5491</v>
      </c>
      <c r="I4358" s="8" t="s">
        <v>13274</v>
      </c>
      <c r="J4358" s="8" t="s">
        <v>13275</v>
      </c>
    </row>
    <row r="4359">
      <c r="A4359" s="7">
        <v>2.0044663E7</v>
      </c>
      <c r="B4359" s="8" t="s">
        <v>2987</v>
      </c>
      <c r="C4359" s="8" t="s">
        <v>13273</v>
      </c>
      <c r="D4359" s="8" t="s">
        <v>16</v>
      </c>
      <c r="E4359" s="8" t="s">
        <v>17</v>
      </c>
      <c r="F4359" s="9">
        <v>46098.0</v>
      </c>
      <c r="G4359" s="8" t="s">
        <v>12946</v>
      </c>
      <c r="H4359" s="8" t="s">
        <v>12947</v>
      </c>
      <c r="I4359" s="8" t="s">
        <v>13276</v>
      </c>
      <c r="J4359" s="8"/>
    </row>
    <row r="4360">
      <c r="A4360" s="7">
        <v>2.0037324E7</v>
      </c>
      <c r="B4360" s="8" t="s">
        <v>2987</v>
      </c>
      <c r="C4360" s="8" t="s">
        <v>13277</v>
      </c>
      <c r="D4360" s="8" t="s">
        <v>16</v>
      </c>
      <c r="E4360" s="8" t="s">
        <v>17</v>
      </c>
      <c r="F4360" s="9">
        <v>46056.0</v>
      </c>
      <c r="G4360" s="8" t="s">
        <v>220</v>
      </c>
      <c r="H4360" s="8" t="s">
        <v>221</v>
      </c>
      <c r="I4360" s="8" t="s">
        <v>13278</v>
      </c>
      <c r="J4360" s="8" t="s">
        <v>13279</v>
      </c>
    </row>
    <row r="4361">
      <c r="A4361" s="7">
        <v>2.0024883E7</v>
      </c>
      <c r="B4361" s="8" t="s">
        <v>2987</v>
      </c>
      <c r="C4361" s="8" t="s">
        <v>13280</v>
      </c>
      <c r="D4361" s="8" t="s">
        <v>16</v>
      </c>
      <c r="E4361" s="8" t="s">
        <v>17</v>
      </c>
      <c r="F4361" s="9">
        <v>46066.0</v>
      </c>
      <c r="G4361" s="8" t="s">
        <v>324</v>
      </c>
      <c r="H4361" s="8" t="s">
        <v>325</v>
      </c>
      <c r="I4361" s="8" t="s">
        <v>13281</v>
      </c>
      <c r="J4361" s="8" t="s">
        <v>13282</v>
      </c>
    </row>
    <row r="4362">
      <c r="A4362" s="7">
        <v>2.0034356E7</v>
      </c>
      <c r="B4362" s="8" t="s">
        <v>2987</v>
      </c>
      <c r="C4362" s="8" t="s">
        <v>13283</v>
      </c>
      <c r="D4362" s="8" t="s">
        <v>16</v>
      </c>
      <c r="E4362" s="8" t="s">
        <v>17</v>
      </c>
      <c r="F4362" s="9">
        <v>46057.0</v>
      </c>
      <c r="G4362" s="8" t="s">
        <v>1841</v>
      </c>
      <c r="H4362" s="8" t="s">
        <v>1842</v>
      </c>
      <c r="I4362" s="8" t="s">
        <v>13284</v>
      </c>
      <c r="J4362" s="8"/>
    </row>
    <row r="4363">
      <c r="A4363" s="7">
        <v>2.0031449E7</v>
      </c>
      <c r="B4363" s="8" t="s">
        <v>2987</v>
      </c>
      <c r="C4363" s="8" t="s">
        <v>13285</v>
      </c>
      <c r="D4363" s="8" t="s">
        <v>16</v>
      </c>
      <c r="E4363" s="8" t="s">
        <v>17</v>
      </c>
      <c r="F4363" s="9">
        <v>46040.0</v>
      </c>
      <c r="G4363" s="8" t="s">
        <v>91</v>
      </c>
      <c r="H4363" s="8" t="s">
        <v>92</v>
      </c>
      <c r="I4363" s="8" t="s">
        <v>13286</v>
      </c>
      <c r="J4363" s="8" t="s">
        <v>13287</v>
      </c>
    </row>
    <row r="4364">
      <c r="A4364" s="7">
        <v>2.0025173E7</v>
      </c>
      <c r="B4364" s="8" t="s">
        <v>2987</v>
      </c>
      <c r="C4364" s="8" t="s">
        <v>13288</v>
      </c>
      <c r="D4364" s="8" t="s">
        <v>16</v>
      </c>
      <c r="E4364" s="8" t="s">
        <v>17</v>
      </c>
      <c r="F4364" s="9">
        <v>46052.0</v>
      </c>
      <c r="G4364" s="8" t="s">
        <v>109</v>
      </c>
      <c r="H4364" s="8" t="s">
        <v>110</v>
      </c>
      <c r="I4364" s="8" t="s">
        <v>13289</v>
      </c>
      <c r="J4364" s="8" t="s">
        <v>13290</v>
      </c>
    </row>
    <row r="4365">
      <c r="A4365" s="7">
        <v>2.0031751E7</v>
      </c>
      <c r="B4365" s="8" t="s">
        <v>2987</v>
      </c>
      <c r="C4365" s="8" t="s">
        <v>13291</v>
      </c>
      <c r="D4365" s="8" t="s">
        <v>16</v>
      </c>
      <c r="E4365" s="8" t="s">
        <v>17</v>
      </c>
      <c r="F4365" s="9">
        <v>46048.0</v>
      </c>
      <c r="G4365" s="8" t="s">
        <v>6577</v>
      </c>
      <c r="H4365" s="8" t="s">
        <v>6578</v>
      </c>
      <c r="I4365" s="8" t="s">
        <v>13292</v>
      </c>
      <c r="J4365" s="8"/>
    </row>
    <row r="4366">
      <c r="A4366" s="7">
        <v>2.0068596E7</v>
      </c>
      <c r="B4366" s="8" t="s">
        <v>2987</v>
      </c>
      <c r="C4366" s="8" t="s">
        <v>13293</v>
      </c>
      <c r="D4366" s="8" t="s">
        <v>16</v>
      </c>
      <c r="E4366" s="8" t="s">
        <v>17</v>
      </c>
      <c r="F4366" s="9">
        <v>46186.0</v>
      </c>
      <c r="G4366" s="8" t="s">
        <v>34</v>
      </c>
      <c r="H4366" s="8" t="s">
        <v>35</v>
      </c>
      <c r="I4366" s="8" t="s">
        <v>13294</v>
      </c>
      <c r="J4366" s="8" t="s">
        <v>13295</v>
      </c>
    </row>
    <row r="4367">
      <c r="A4367" s="7">
        <v>2.0067563E7</v>
      </c>
      <c r="B4367" s="8" t="s">
        <v>2987</v>
      </c>
      <c r="C4367" s="8" t="s">
        <v>13296</v>
      </c>
      <c r="D4367" s="8" t="s">
        <v>16</v>
      </c>
      <c r="E4367" s="8" t="s">
        <v>17</v>
      </c>
      <c r="F4367" s="9">
        <v>46185.0</v>
      </c>
      <c r="G4367" s="8" t="s">
        <v>339</v>
      </c>
      <c r="H4367" s="8" t="s">
        <v>340</v>
      </c>
      <c r="I4367" s="8" t="s">
        <v>13297</v>
      </c>
      <c r="J4367" s="8" t="s">
        <v>13298</v>
      </c>
    </row>
    <row r="4368">
      <c r="A4368" s="7">
        <v>2.0067215E7</v>
      </c>
      <c r="B4368" s="8" t="s">
        <v>2987</v>
      </c>
      <c r="C4368" s="8" t="s">
        <v>13299</v>
      </c>
      <c r="D4368" s="8" t="s">
        <v>16</v>
      </c>
      <c r="E4368" s="8" t="s">
        <v>17</v>
      </c>
      <c r="F4368" s="9">
        <v>46176.0</v>
      </c>
      <c r="G4368" s="8" t="s">
        <v>822</v>
      </c>
      <c r="H4368" s="8" t="s">
        <v>3985</v>
      </c>
      <c r="I4368" s="8" t="s">
        <v>13300</v>
      </c>
      <c r="J4368" s="8" t="s">
        <v>13301</v>
      </c>
    </row>
    <row r="4369">
      <c r="A4369" s="7">
        <v>2.006628E7</v>
      </c>
      <c r="B4369" s="8" t="s">
        <v>2987</v>
      </c>
      <c r="C4369" s="8" t="s">
        <v>13302</v>
      </c>
      <c r="D4369" s="8" t="s">
        <v>16</v>
      </c>
      <c r="E4369" s="8" t="s">
        <v>700</v>
      </c>
      <c r="F4369" s="9">
        <v>46188.0</v>
      </c>
      <c r="G4369" s="8" t="s">
        <v>6228</v>
      </c>
      <c r="H4369" s="8" t="s">
        <v>6229</v>
      </c>
      <c r="I4369" s="8" t="s">
        <v>13303</v>
      </c>
      <c r="J4369" s="8"/>
    </row>
    <row r="4370">
      <c r="A4370" s="7">
        <v>2.0061077E7</v>
      </c>
      <c r="B4370" s="8" t="s">
        <v>2987</v>
      </c>
      <c r="C4370" s="8" t="s">
        <v>13304</v>
      </c>
      <c r="D4370" s="8" t="s">
        <v>16</v>
      </c>
      <c r="E4370" s="8" t="s">
        <v>17</v>
      </c>
      <c r="F4370" s="9">
        <v>46169.0</v>
      </c>
      <c r="G4370" s="8" t="s">
        <v>1132</v>
      </c>
      <c r="H4370" s="8" t="s">
        <v>1133</v>
      </c>
      <c r="I4370" s="8" t="s">
        <v>13305</v>
      </c>
      <c r="J4370" s="8" t="s">
        <v>13306</v>
      </c>
    </row>
    <row r="4371">
      <c r="A4371" s="7">
        <v>2.0062106E7</v>
      </c>
      <c r="B4371" s="8" t="s">
        <v>2987</v>
      </c>
      <c r="C4371" s="8" t="s">
        <v>13307</v>
      </c>
      <c r="D4371" s="8" t="s">
        <v>16</v>
      </c>
      <c r="E4371" s="8" t="s">
        <v>700</v>
      </c>
      <c r="F4371" s="9">
        <v>46167.0</v>
      </c>
      <c r="G4371" s="8" t="s">
        <v>3133</v>
      </c>
      <c r="H4371" s="8" t="s">
        <v>3134</v>
      </c>
      <c r="I4371" s="8" t="s">
        <v>13308</v>
      </c>
      <c r="J4371" s="8"/>
    </row>
    <row r="4372">
      <c r="A4372" s="7">
        <v>2.006007E7</v>
      </c>
      <c r="B4372" s="8" t="s">
        <v>2987</v>
      </c>
      <c r="C4372" s="8" t="s">
        <v>13309</v>
      </c>
      <c r="D4372" s="8" t="s">
        <v>16</v>
      </c>
      <c r="E4372" s="8" t="s">
        <v>17</v>
      </c>
      <c r="F4372" s="9">
        <v>46187.0</v>
      </c>
      <c r="G4372" s="8" t="s">
        <v>314</v>
      </c>
      <c r="H4372" s="8" t="s">
        <v>315</v>
      </c>
      <c r="I4372" s="8" t="s">
        <v>13310</v>
      </c>
      <c r="J4372" s="8" t="s">
        <v>13311</v>
      </c>
    </row>
    <row r="4373">
      <c r="A4373" s="7">
        <v>2.006007E7</v>
      </c>
      <c r="B4373" s="8" t="s">
        <v>2987</v>
      </c>
      <c r="C4373" s="8" t="s">
        <v>13309</v>
      </c>
      <c r="D4373" s="8" t="s">
        <v>16</v>
      </c>
      <c r="E4373" s="8" t="s">
        <v>17</v>
      </c>
      <c r="F4373" s="9">
        <v>46187.0</v>
      </c>
      <c r="G4373" s="8" t="s">
        <v>13312</v>
      </c>
      <c r="H4373" s="8" t="s">
        <v>13313</v>
      </c>
      <c r="I4373" s="8" t="s">
        <v>13314</v>
      </c>
      <c r="J4373" s="8"/>
    </row>
    <row r="4374">
      <c r="A4374" s="7">
        <v>2.0059368E7</v>
      </c>
      <c r="B4374" s="8" t="s">
        <v>2987</v>
      </c>
      <c r="C4374" s="8" t="s">
        <v>13315</v>
      </c>
      <c r="D4374" s="8" t="s">
        <v>16</v>
      </c>
      <c r="E4374" s="8" t="s">
        <v>17</v>
      </c>
      <c r="F4374" s="9">
        <v>46184.0</v>
      </c>
      <c r="G4374" s="8" t="s">
        <v>158</v>
      </c>
      <c r="H4374" s="8" t="s">
        <v>159</v>
      </c>
      <c r="I4374" s="8" t="s">
        <v>13316</v>
      </c>
      <c r="J4374" s="8" t="s">
        <v>13317</v>
      </c>
    </row>
    <row r="4375">
      <c r="A4375" s="7">
        <v>2.0057831E7</v>
      </c>
      <c r="B4375" s="8" t="s">
        <v>2987</v>
      </c>
      <c r="C4375" s="8" t="s">
        <v>13318</v>
      </c>
      <c r="D4375" s="8" t="s">
        <v>16</v>
      </c>
      <c r="E4375" s="8" t="s">
        <v>17</v>
      </c>
      <c r="F4375" s="9">
        <v>46134.0</v>
      </c>
      <c r="G4375" s="8" t="s">
        <v>34</v>
      </c>
      <c r="H4375" s="8" t="s">
        <v>35</v>
      </c>
      <c r="I4375" s="8" t="s">
        <v>13319</v>
      </c>
      <c r="J4375" s="8" t="s">
        <v>13320</v>
      </c>
    </row>
    <row r="4376">
      <c r="A4376" s="7">
        <v>2.0057563E7</v>
      </c>
      <c r="B4376" s="8" t="s">
        <v>2987</v>
      </c>
      <c r="C4376" s="8" t="s">
        <v>13321</v>
      </c>
      <c r="D4376" s="8" t="s">
        <v>16</v>
      </c>
      <c r="E4376" s="8" t="s">
        <v>17</v>
      </c>
      <c r="F4376" s="9">
        <v>46141.0</v>
      </c>
      <c r="G4376" s="8" t="s">
        <v>59</v>
      </c>
      <c r="H4376" s="8" t="s">
        <v>60</v>
      </c>
      <c r="I4376" s="8" t="s">
        <v>13322</v>
      </c>
      <c r="J4376" s="8" t="s">
        <v>13323</v>
      </c>
    </row>
    <row r="4377">
      <c r="A4377" s="7">
        <v>2.0057554E7</v>
      </c>
      <c r="B4377" s="8" t="s">
        <v>2987</v>
      </c>
      <c r="C4377" s="8" t="s">
        <v>13324</v>
      </c>
      <c r="D4377" s="8" t="s">
        <v>16</v>
      </c>
      <c r="E4377" s="8" t="s">
        <v>17</v>
      </c>
      <c r="F4377" s="9">
        <v>46186.0</v>
      </c>
      <c r="G4377" s="8" t="s">
        <v>184</v>
      </c>
      <c r="H4377" s="8" t="s">
        <v>185</v>
      </c>
      <c r="I4377" s="8" t="s">
        <v>13325</v>
      </c>
      <c r="J4377" s="8" t="s">
        <v>13326</v>
      </c>
    </row>
    <row r="4378">
      <c r="A4378" s="7">
        <v>2.0056165E7</v>
      </c>
      <c r="B4378" s="8" t="s">
        <v>2987</v>
      </c>
      <c r="C4378" s="8" t="s">
        <v>13327</v>
      </c>
      <c r="D4378" s="8" t="s">
        <v>16</v>
      </c>
      <c r="E4378" s="8" t="s">
        <v>17</v>
      </c>
      <c r="F4378" s="9">
        <v>46142.0</v>
      </c>
      <c r="G4378" s="8" t="s">
        <v>153</v>
      </c>
      <c r="H4378" s="8" t="s">
        <v>154</v>
      </c>
      <c r="I4378" s="8" t="s">
        <v>13328</v>
      </c>
      <c r="J4378" s="8" t="s">
        <v>13329</v>
      </c>
    </row>
    <row r="4379">
      <c r="A4379" s="7">
        <v>2.0057064E7</v>
      </c>
      <c r="B4379" s="8" t="s">
        <v>2987</v>
      </c>
      <c r="C4379" s="8" t="s">
        <v>13330</v>
      </c>
      <c r="D4379" s="8" t="s">
        <v>16</v>
      </c>
      <c r="E4379" s="8" t="s">
        <v>17</v>
      </c>
      <c r="F4379" s="9">
        <v>46142.0</v>
      </c>
      <c r="G4379" s="8" t="s">
        <v>220</v>
      </c>
      <c r="H4379" s="8" t="s">
        <v>221</v>
      </c>
      <c r="I4379" s="8" t="s">
        <v>13331</v>
      </c>
      <c r="J4379" s="8" t="s">
        <v>13332</v>
      </c>
    </row>
    <row r="4380">
      <c r="A4380" s="7">
        <v>2.0048281E7</v>
      </c>
      <c r="B4380" s="8" t="s">
        <v>2987</v>
      </c>
      <c r="C4380" s="8" t="s">
        <v>13333</v>
      </c>
      <c r="D4380" s="8" t="s">
        <v>16</v>
      </c>
      <c r="E4380" s="8" t="s">
        <v>17</v>
      </c>
      <c r="F4380" s="9">
        <v>46120.0</v>
      </c>
      <c r="G4380" s="8" t="s">
        <v>3133</v>
      </c>
      <c r="H4380" s="8" t="s">
        <v>3134</v>
      </c>
      <c r="I4380" s="8" t="s">
        <v>13334</v>
      </c>
      <c r="J4380" s="8"/>
    </row>
    <row r="4381">
      <c r="A4381" s="7">
        <v>2.0048497E7</v>
      </c>
      <c r="B4381" s="8" t="s">
        <v>2987</v>
      </c>
      <c r="C4381" s="8" t="s">
        <v>13335</v>
      </c>
      <c r="D4381" s="8" t="s">
        <v>16</v>
      </c>
      <c r="E4381" s="8" t="s">
        <v>17</v>
      </c>
      <c r="F4381" s="9">
        <v>46102.0</v>
      </c>
      <c r="G4381" s="8" t="s">
        <v>277</v>
      </c>
      <c r="H4381" s="8" t="s">
        <v>278</v>
      </c>
      <c r="I4381" s="8" t="s">
        <v>13336</v>
      </c>
      <c r="J4381" s="8" t="s">
        <v>13337</v>
      </c>
    </row>
    <row r="4382">
      <c r="A4382" s="7">
        <v>2.0048998E7</v>
      </c>
      <c r="B4382" s="8" t="s">
        <v>2987</v>
      </c>
      <c r="C4382" s="8" t="s">
        <v>13338</v>
      </c>
      <c r="D4382" s="8" t="s">
        <v>16</v>
      </c>
      <c r="E4382" s="8" t="s">
        <v>17</v>
      </c>
      <c r="F4382" s="9">
        <v>46116.0</v>
      </c>
      <c r="G4382" s="8" t="s">
        <v>13339</v>
      </c>
      <c r="H4382" s="8" t="s">
        <v>13340</v>
      </c>
      <c r="I4382" s="8" t="s">
        <v>13341</v>
      </c>
      <c r="J4382" s="8"/>
    </row>
    <row r="4383">
      <c r="A4383" s="7">
        <v>2.0045266E7</v>
      </c>
      <c r="B4383" s="8" t="s">
        <v>2987</v>
      </c>
      <c r="C4383" s="8" t="s">
        <v>13342</v>
      </c>
      <c r="D4383" s="8" t="s">
        <v>16</v>
      </c>
      <c r="E4383" s="8" t="s">
        <v>17</v>
      </c>
      <c r="F4383" s="9">
        <v>46092.0</v>
      </c>
      <c r="G4383" s="8" t="s">
        <v>59</v>
      </c>
      <c r="H4383" s="8" t="s">
        <v>60</v>
      </c>
      <c r="I4383" s="8" t="s">
        <v>13343</v>
      </c>
      <c r="J4383" s="8" t="s">
        <v>13344</v>
      </c>
    </row>
    <row r="4384">
      <c r="A4384" s="7">
        <v>2.0042655E7</v>
      </c>
      <c r="B4384" s="8" t="s">
        <v>2987</v>
      </c>
      <c r="C4384" s="8" t="s">
        <v>13345</v>
      </c>
      <c r="D4384" s="8" t="s">
        <v>16</v>
      </c>
      <c r="E4384" s="8" t="s">
        <v>17</v>
      </c>
      <c r="F4384" s="9">
        <v>46088.0</v>
      </c>
      <c r="G4384" s="8" t="s">
        <v>109</v>
      </c>
      <c r="H4384" s="8" t="s">
        <v>110</v>
      </c>
      <c r="I4384" s="8" t="s">
        <v>13346</v>
      </c>
      <c r="J4384" s="8" t="s">
        <v>13347</v>
      </c>
    </row>
    <row r="4385">
      <c r="A4385" s="7">
        <v>2.0039698E7</v>
      </c>
      <c r="B4385" s="8" t="s">
        <v>2987</v>
      </c>
      <c r="C4385" s="8" t="s">
        <v>13348</v>
      </c>
      <c r="D4385" s="8" t="s">
        <v>16</v>
      </c>
      <c r="E4385" s="8" t="s">
        <v>17</v>
      </c>
      <c r="F4385" s="9">
        <v>46071.0</v>
      </c>
      <c r="G4385" s="8" t="s">
        <v>220</v>
      </c>
      <c r="H4385" s="8" t="s">
        <v>221</v>
      </c>
      <c r="I4385" s="8" t="s">
        <v>13349</v>
      </c>
      <c r="J4385" s="8" t="s">
        <v>13350</v>
      </c>
    </row>
    <row r="4386">
      <c r="A4386" s="7">
        <v>2.004057E7</v>
      </c>
      <c r="B4386" s="8" t="s">
        <v>2987</v>
      </c>
      <c r="C4386" s="8" t="s">
        <v>13351</v>
      </c>
      <c r="D4386" s="8" t="s">
        <v>16</v>
      </c>
      <c r="E4386" s="8" t="s">
        <v>17</v>
      </c>
      <c r="F4386" s="9">
        <v>46075.0</v>
      </c>
      <c r="G4386" s="8" t="s">
        <v>13352</v>
      </c>
      <c r="H4386" s="8" t="s">
        <v>13353</v>
      </c>
      <c r="I4386" s="8" t="s">
        <v>13354</v>
      </c>
      <c r="J4386" s="8" t="s">
        <v>13355</v>
      </c>
    </row>
    <row r="4387">
      <c r="A4387" s="7">
        <v>2.0032576E7</v>
      </c>
      <c r="B4387" s="8" t="s">
        <v>2987</v>
      </c>
      <c r="C4387" s="8" t="s">
        <v>13356</v>
      </c>
      <c r="D4387" s="8" t="s">
        <v>16</v>
      </c>
      <c r="E4387" s="8" t="s">
        <v>17</v>
      </c>
      <c r="F4387" s="9">
        <v>46072.0</v>
      </c>
      <c r="G4387" s="8" t="s">
        <v>1746</v>
      </c>
      <c r="H4387" s="8" t="s">
        <v>4130</v>
      </c>
      <c r="I4387" s="8" t="s">
        <v>13357</v>
      </c>
      <c r="J4387" s="8" t="s">
        <v>13358</v>
      </c>
    </row>
    <row r="4388">
      <c r="A4388" s="7">
        <v>2.0035616E7</v>
      </c>
      <c r="B4388" s="8" t="s">
        <v>2987</v>
      </c>
      <c r="C4388" s="8" t="s">
        <v>13359</v>
      </c>
      <c r="D4388" s="8" t="s">
        <v>16</v>
      </c>
      <c r="E4388" s="8" t="s">
        <v>17</v>
      </c>
      <c r="F4388" s="9">
        <v>46053.0</v>
      </c>
      <c r="G4388" s="8" t="s">
        <v>339</v>
      </c>
      <c r="H4388" s="8" t="s">
        <v>340</v>
      </c>
      <c r="I4388" s="8" t="s">
        <v>13360</v>
      </c>
      <c r="J4388" s="8" t="s">
        <v>13361</v>
      </c>
    </row>
    <row r="4389">
      <c r="A4389" s="7">
        <v>2.0034616E7</v>
      </c>
      <c r="B4389" s="8" t="s">
        <v>2987</v>
      </c>
      <c r="C4389" s="8" t="s">
        <v>13362</v>
      </c>
      <c r="D4389" s="8" t="s">
        <v>16</v>
      </c>
      <c r="E4389" s="8" t="s">
        <v>17</v>
      </c>
      <c r="F4389" s="9">
        <v>46052.0</v>
      </c>
      <c r="G4389" s="8" t="s">
        <v>59</v>
      </c>
      <c r="H4389" s="8" t="s">
        <v>60</v>
      </c>
      <c r="I4389" s="8" t="s">
        <v>13363</v>
      </c>
      <c r="J4389" s="8" t="s">
        <v>13364</v>
      </c>
    </row>
    <row r="4390">
      <c r="A4390" s="7">
        <v>2.0032352E7</v>
      </c>
      <c r="B4390" s="8" t="s">
        <v>2987</v>
      </c>
      <c r="C4390" s="8" t="s">
        <v>13365</v>
      </c>
      <c r="D4390" s="8" t="s">
        <v>16</v>
      </c>
      <c r="E4390" s="8" t="s">
        <v>17</v>
      </c>
      <c r="F4390" s="9">
        <v>46052.0</v>
      </c>
      <c r="G4390" s="8" t="s">
        <v>109</v>
      </c>
      <c r="H4390" s="8" t="s">
        <v>110</v>
      </c>
      <c r="I4390" s="8" t="s">
        <v>13366</v>
      </c>
      <c r="J4390" s="8" t="s">
        <v>13367</v>
      </c>
    </row>
    <row r="4391">
      <c r="A4391" s="7">
        <v>2.003146E7</v>
      </c>
      <c r="B4391" s="8" t="s">
        <v>2987</v>
      </c>
      <c r="C4391" s="8" t="s">
        <v>13368</v>
      </c>
      <c r="D4391" s="8" t="s">
        <v>16</v>
      </c>
      <c r="E4391" s="8" t="s">
        <v>17</v>
      </c>
      <c r="F4391" s="9">
        <v>46048.0</v>
      </c>
      <c r="G4391" s="8" t="s">
        <v>385</v>
      </c>
      <c r="H4391" s="8" t="s">
        <v>386</v>
      </c>
      <c r="I4391" s="8" t="s">
        <v>13369</v>
      </c>
      <c r="J4391" s="8" t="s">
        <v>13370</v>
      </c>
    </row>
    <row r="4392">
      <c r="A4392" s="7">
        <v>2.0072901E7</v>
      </c>
      <c r="B4392" s="8" t="s">
        <v>2987</v>
      </c>
      <c r="C4392" s="8" t="s">
        <v>13371</v>
      </c>
      <c r="D4392" s="8" t="s">
        <v>16</v>
      </c>
      <c r="E4392" s="8" t="s">
        <v>17</v>
      </c>
      <c r="F4392" s="9">
        <v>46193.0</v>
      </c>
      <c r="G4392" s="8" t="s">
        <v>59</v>
      </c>
      <c r="H4392" s="8" t="s">
        <v>60</v>
      </c>
      <c r="I4392" s="8" t="s">
        <v>13372</v>
      </c>
      <c r="J4392" s="8" t="s">
        <v>13373</v>
      </c>
    </row>
    <row r="4393">
      <c r="A4393" s="7">
        <v>2.0065298E7</v>
      </c>
      <c r="B4393" s="8" t="s">
        <v>2987</v>
      </c>
      <c r="C4393" s="8" t="s">
        <v>13374</v>
      </c>
      <c r="D4393" s="8" t="s">
        <v>16</v>
      </c>
      <c r="E4393" s="8" t="s">
        <v>17</v>
      </c>
      <c r="F4393" s="9">
        <v>46169.0</v>
      </c>
      <c r="G4393" s="8" t="s">
        <v>3255</v>
      </c>
      <c r="H4393" s="8" t="s">
        <v>3256</v>
      </c>
      <c r="I4393" s="8" t="s">
        <v>13375</v>
      </c>
      <c r="J4393" s="8" t="s">
        <v>13376</v>
      </c>
    </row>
    <row r="4394">
      <c r="A4394" s="7">
        <v>2.0065056E7</v>
      </c>
      <c r="B4394" s="8" t="s">
        <v>2987</v>
      </c>
      <c r="C4394" s="8" t="s">
        <v>13377</v>
      </c>
      <c r="D4394" s="8" t="s">
        <v>16</v>
      </c>
      <c r="E4394" s="8" t="s">
        <v>17</v>
      </c>
      <c r="F4394" s="9">
        <v>46165.0</v>
      </c>
      <c r="G4394" s="8" t="s">
        <v>59</v>
      </c>
      <c r="H4394" s="8" t="s">
        <v>60</v>
      </c>
      <c r="I4394" s="8" t="s">
        <v>13378</v>
      </c>
      <c r="J4394" s="8" t="s">
        <v>13379</v>
      </c>
    </row>
    <row r="4395">
      <c r="A4395" s="7">
        <v>2.0063448E7</v>
      </c>
      <c r="B4395" s="8" t="s">
        <v>2987</v>
      </c>
      <c r="C4395" s="8" t="s">
        <v>13380</v>
      </c>
      <c r="D4395" s="8" t="s">
        <v>16</v>
      </c>
      <c r="E4395" s="8" t="s">
        <v>17</v>
      </c>
      <c r="F4395" s="9">
        <v>46183.0</v>
      </c>
      <c r="G4395" s="8" t="s">
        <v>3136</v>
      </c>
      <c r="H4395" s="8" t="s">
        <v>3137</v>
      </c>
      <c r="I4395" s="8" t="s">
        <v>13381</v>
      </c>
      <c r="J4395" s="8"/>
    </row>
    <row r="4396">
      <c r="A4396" s="7">
        <v>2.0063162E7</v>
      </c>
      <c r="B4396" s="8" t="s">
        <v>2987</v>
      </c>
      <c r="C4396" s="8" t="s">
        <v>13382</v>
      </c>
      <c r="D4396" s="8" t="s">
        <v>16</v>
      </c>
      <c r="E4396" s="8" t="s">
        <v>17</v>
      </c>
      <c r="F4396" s="9">
        <v>46186.0</v>
      </c>
      <c r="G4396" s="8" t="s">
        <v>3706</v>
      </c>
      <c r="H4396" s="8" t="s">
        <v>3707</v>
      </c>
      <c r="I4396" s="8" t="s">
        <v>13383</v>
      </c>
      <c r="J4396" s="8"/>
    </row>
    <row r="4397">
      <c r="A4397" s="7">
        <v>2.0061677E7</v>
      </c>
      <c r="B4397" s="8" t="s">
        <v>2987</v>
      </c>
      <c r="C4397" s="8" t="s">
        <v>13384</v>
      </c>
      <c r="D4397" s="8" t="s">
        <v>16</v>
      </c>
      <c r="E4397" s="8" t="s">
        <v>17</v>
      </c>
      <c r="F4397" s="9">
        <v>46160.0</v>
      </c>
      <c r="G4397" s="8" t="s">
        <v>5317</v>
      </c>
      <c r="H4397" s="8" t="s">
        <v>5318</v>
      </c>
      <c r="I4397" s="8" t="s">
        <v>13385</v>
      </c>
      <c r="J4397" s="8" t="s">
        <v>13386</v>
      </c>
    </row>
    <row r="4398">
      <c r="A4398" s="7">
        <v>2.0058508E7</v>
      </c>
      <c r="B4398" s="8" t="s">
        <v>2987</v>
      </c>
      <c r="C4398" s="8" t="s">
        <v>13387</v>
      </c>
      <c r="D4398" s="8" t="s">
        <v>16</v>
      </c>
      <c r="E4398" s="8" t="s">
        <v>17</v>
      </c>
      <c r="F4398" s="9">
        <v>46186.0</v>
      </c>
      <c r="G4398" s="8" t="s">
        <v>13388</v>
      </c>
      <c r="H4398" s="8" t="s">
        <v>13389</v>
      </c>
      <c r="I4398" s="8" t="s">
        <v>13390</v>
      </c>
      <c r="J4398" s="8" t="s">
        <v>13391</v>
      </c>
    </row>
    <row r="4399">
      <c r="A4399" s="7">
        <v>2.0058691E7</v>
      </c>
      <c r="B4399" s="8" t="s">
        <v>2987</v>
      </c>
      <c r="C4399" s="8" t="s">
        <v>13392</v>
      </c>
      <c r="D4399" s="8" t="s">
        <v>16</v>
      </c>
      <c r="E4399" s="8" t="s">
        <v>17</v>
      </c>
      <c r="F4399" s="9">
        <v>46141.0</v>
      </c>
      <c r="G4399" s="8" t="s">
        <v>5030</v>
      </c>
      <c r="H4399" s="8" t="s">
        <v>10431</v>
      </c>
      <c r="I4399" s="8" t="s">
        <v>13393</v>
      </c>
      <c r="J4399" s="8" t="s">
        <v>13394</v>
      </c>
    </row>
    <row r="4400">
      <c r="A4400" s="7">
        <v>2.0055258E7</v>
      </c>
      <c r="B4400" s="8" t="s">
        <v>2987</v>
      </c>
      <c r="C4400" s="8" t="s">
        <v>13395</v>
      </c>
      <c r="D4400" s="8" t="s">
        <v>16</v>
      </c>
      <c r="E4400" s="8" t="s">
        <v>17</v>
      </c>
      <c r="F4400" s="9">
        <v>46133.0</v>
      </c>
      <c r="G4400" s="8" t="s">
        <v>195</v>
      </c>
      <c r="H4400" s="8" t="s">
        <v>196</v>
      </c>
      <c r="I4400" s="8" t="s">
        <v>13396</v>
      </c>
      <c r="J4400" s="8" t="s">
        <v>13397</v>
      </c>
    </row>
    <row r="4401">
      <c r="A4401" s="7">
        <v>2.0055228E7</v>
      </c>
      <c r="B4401" s="8" t="s">
        <v>2987</v>
      </c>
      <c r="C4401" s="8" t="s">
        <v>13398</v>
      </c>
      <c r="D4401" s="8" t="s">
        <v>16</v>
      </c>
      <c r="E4401" s="8" t="s">
        <v>17</v>
      </c>
      <c r="F4401" s="9">
        <v>46137.0</v>
      </c>
      <c r="G4401" s="8" t="s">
        <v>5431</v>
      </c>
      <c r="H4401" s="8" t="s">
        <v>5432</v>
      </c>
      <c r="I4401" s="8" t="s">
        <v>13399</v>
      </c>
      <c r="J4401" s="8" t="s">
        <v>13400</v>
      </c>
    </row>
    <row r="4402">
      <c r="A4402" s="7">
        <v>2.0054716E7</v>
      </c>
      <c r="B4402" s="8" t="s">
        <v>2987</v>
      </c>
      <c r="C4402" s="8" t="s">
        <v>13401</v>
      </c>
      <c r="D4402" s="8" t="s">
        <v>16</v>
      </c>
      <c r="E4402" s="8" t="s">
        <v>17</v>
      </c>
      <c r="F4402" s="9">
        <v>46141.0</v>
      </c>
      <c r="G4402" s="8" t="s">
        <v>13402</v>
      </c>
      <c r="H4402" s="8" t="s">
        <v>13403</v>
      </c>
      <c r="I4402" s="8" t="s">
        <v>13404</v>
      </c>
      <c r="J4402" s="8" t="s">
        <v>13405</v>
      </c>
    </row>
    <row r="4403">
      <c r="A4403" s="7">
        <v>2.0044838E7</v>
      </c>
      <c r="B4403" s="8" t="s">
        <v>2987</v>
      </c>
      <c r="C4403" s="8" t="s">
        <v>13406</v>
      </c>
      <c r="D4403" s="8" t="s">
        <v>16</v>
      </c>
      <c r="E4403" s="8" t="s">
        <v>17</v>
      </c>
      <c r="F4403" s="9">
        <v>46128.0</v>
      </c>
      <c r="G4403" s="8" t="s">
        <v>13407</v>
      </c>
      <c r="H4403" s="8" t="s">
        <v>13408</v>
      </c>
      <c r="I4403" s="8"/>
      <c r="J4403" s="8" t="s">
        <v>13409</v>
      </c>
    </row>
    <row r="4404">
      <c r="A4404" s="7">
        <v>2.0044838E7</v>
      </c>
      <c r="B4404" s="8" t="s">
        <v>2987</v>
      </c>
      <c r="C4404" s="8" t="s">
        <v>13406</v>
      </c>
      <c r="D4404" s="8" t="s">
        <v>16</v>
      </c>
      <c r="E4404" s="8" t="s">
        <v>17</v>
      </c>
      <c r="F4404" s="9">
        <v>46128.0</v>
      </c>
      <c r="G4404" s="8" t="s">
        <v>13410</v>
      </c>
      <c r="H4404" s="8" t="s">
        <v>12742</v>
      </c>
      <c r="I4404" s="8" t="s">
        <v>13411</v>
      </c>
      <c r="J4404" s="8"/>
    </row>
    <row r="4405">
      <c r="A4405" s="7">
        <v>2.0047005E7</v>
      </c>
      <c r="B4405" s="8" t="s">
        <v>2987</v>
      </c>
      <c r="C4405" s="8" t="s">
        <v>13412</v>
      </c>
      <c r="D4405" s="8" t="s">
        <v>16</v>
      </c>
      <c r="E4405" s="8" t="s">
        <v>17</v>
      </c>
      <c r="F4405" s="9">
        <v>46106.0</v>
      </c>
      <c r="G4405" s="8" t="s">
        <v>247</v>
      </c>
      <c r="H4405" s="8" t="s">
        <v>248</v>
      </c>
      <c r="I4405" s="8" t="s">
        <v>13413</v>
      </c>
      <c r="J4405" s="8" t="s">
        <v>13414</v>
      </c>
    </row>
    <row r="4406">
      <c r="A4406" s="7">
        <v>2.0033301E7</v>
      </c>
      <c r="B4406" s="8" t="s">
        <v>2987</v>
      </c>
      <c r="C4406" s="8" t="s">
        <v>13415</v>
      </c>
      <c r="D4406" s="8" t="s">
        <v>16</v>
      </c>
      <c r="E4406" s="8" t="s">
        <v>17</v>
      </c>
      <c r="F4406" s="9">
        <v>46111.0</v>
      </c>
      <c r="G4406" s="8" t="s">
        <v>132</v>
      </c>
      <c r="H4406" s="8" t="s">
        <v>133</v>
      </c>
      <c r="I4406" s="8" t="s">
        <v>13416</v>
      </c>
      <c r="J4406" s="8" t="s">
        <v>13417</v>
      </c>
    </row>
    <row r="4407">
      <c r="A4407" s="7">
        <v>2.0045579E7</v>
      </c>
      <c r="B4407" s="8" t="s">
        <v>2987</v>
      </c>
      <c r="C4407" s="8" t="s">
        <v>13418</v>
      </c>
      <c r="D4407" s="8" t="s">
        <v>16</v>
      </c>
      <c r="E4407" s="8" t="s">
        <v>48</v>
      </c>
      <c r="F4407" s="9">
        <v>46087.0</v>
      </c>
      <c r="G4407" s="8" t="s">
        <v>517</v>
      </c>
      <c r="H4407" s="8" t="s">
        <v>518</v>
      </c>
      <c r="I4407" s="8" t="s">
        <v>13419</v>
      </c>
      <c r="J4407" s="8" t="s">
        <v>13420</v>
      </c>
    </row>
    <row r="4408">
      <c r="A4408" s="7">
        <v>2.0042371E7</v>
      </c>
      <c r="B4408" s="8" t="s">
        <v>2987</v>
      </c>
      <c r="C4408" s="8" t="s">
        <v>13421</v>
      </c>
      <c r="D4408" s="8" t="s">
        <v>16</v>
      </c>
      <c r="E4408" s="8" t="s">
        <v>17</v>
      </c>
      <c r="F4408" s="9">
        <v>46093.0</v>
      </c>
      <c r="G4408" s="8" t="s">
        <v>29</v>
      </c>
      <c r="H4408" s="8" t="s">
        <v>30</v>
      </c>
      <c r="I4408" s="8" t="s">
        <v>13422</v>
      </c>
      <c r="J4408" s="8" t="s">
        <v>13423</v>
      </c>
    </row>
    <row r="4409">
      <c r="A4409" s="7">
        <v>2.003789E7</v>
      </c>
      <c r="B4409" s="8" t="s">
        <v>2987</v>
      </c>
      <c r="C4409" s="8" t="s">
        <v>13424</v>
      </c>
      <c r="D4409" s="8" t="s">
        <v>16</v>
      </c>
      <c r="E4409" s="8" t="s">
        <v>17</v>
      </c>
      <c r="F4409" s="9">
        <v>46079.0</v>
      </c>
      <c r="G4409" s="8" t="s">
        <v>791</v>
      </c>
      <c r="H4409" s="8" t="s">
        <v>792</v>
      </c>
      <c r="I4409" s="8" t="s">
        <v>13425</v>
      </c>
      <c r="J4409" s="8"/>
    </row>
    <row r="4410">
      <c r="A4410" s="7">
        <v>2.003789E7</v>
      </c>
      <c r="B4410" s="8" t="s">
        <v>2987</v>
      </c>
      <c r="C4410" s="8" t="s">
        <v>13424</v>
      </c>
      <c r="D4410" s="8" t="s">
        <v>16</v>
      </c>
      <c r="E4410" s="8" t="s">
        <v>17</v>
      </c>
      <c r="F4410" s="9">
        <v>46079.0</v>
      </c>
      <c r="G4410" s="8" t="s">
        <v>1841</v>
      </c>
      <c r="H4410" s="8" t="s">
        <v>1842</v>
      </c>
      <c r="I4410" s="8" t="s">
        <v>13426</v>
      </c>
      <c r="J4410" s="8"/>
    </row>
    <row r="4411">
      <c r="A4411" s="7">
        <v>2.0036579E7</v>
      </c>
      <c r="B4411" s="8" t="s">
        <v>2987</v>
      </c>
      <c r="C4411" s="8" t="s">
        <v>13427</v>
      </c>
      <c r="D4411" s="8" t="s">
        <v>16</v>
      </c>
      <c r="E4411" s="8" t="s">
        <v>17</v>
      </c>
      <c r="F4411" s="9">
        <v>46051.0</v>
      </c>
      <c r="G4411" s="8" t="s">
        <v>846</v>
      </c>
      <c r="H4411" s="8" t="s">
        <v>847</v>
      </c>
      <c r="I4411" s="8" t="s">
        <v>13428</v>
      </c>
      <c r="J4411" s="8" t="s">
        <v>13429</v>
      </c>
    </row>
    <row r="4412">
      <c r="A4412" s="7">
        <v>2.0038447E7</v>
      </c>
      <c r="B4412" s="8" t="s">
        <v>2987</v>
      </c>
      <c r="C4412" s="8" t="s">
        <v>13430</v>
      </c>
      <c r="D4412" s="8" t="s">
        <v>16</v>
      </c>
      <c r="E4412" s="8" t="s">
        <v>17</v>
      </c>
      <c r="F4412" s="9">
        <v>46084.0</v>
      </c>
      <c r="G4412" s="8" t="s">
        <v>13431</v>
      </c>
      <c r="H4412" s="8" t="s">
        <v>13432</v>
      </c>
      <c r="I4412" s="8"/>
      <c r="J4412" s="8" t="s">
        <v>13433</v>
      </c>
    </row>
    <row r="4413">
      <c r="A4413" s="7">
        <v>2.0035317E7</v>
      </c>
      <c r="B4413" s="8" t="s">
        <v>2987</v>
      </c>
      <c r="C4413" s="8" t="s">
        <v>13434</v>
      </c>
      <c r="D4413" s="8" t="s">
        <v>16</v>
      </c>
      <c r="E4413" s="8" t="s">
        <v>17</v>
      </c>
      <c r="F4413" s="9">
        <v>46048.0</v>
      </c>
      <c r="G4413" s="8" t="s">
        <v>846</v>
      </c>
      <c r="H4413" s="8" t="s">
        <v>847</v>
      </c>
      <c r="I4413" s="8" t="s">
        <v>13435</v>
      </c>
      <c r="J4413" s="8" t="s">
        <v>13436</v>
      </c>
    </row>
    <row r="4414">
      <c r="A4414" s="7">
        <v>2.0035317E7</v>
      </c>
      <c r="B4414" s="8" t="s">
        <v>2987</v>
      </c>
      <c r="C4414" s="8" t="s">
        <v>13434</v>
      </c>
      <c r="D4414" s="8" t="s">
        <v>16</v>
      </c>
      <c r="E4414" s="8" t="s">
        <v>17</v>
      </c>
      <c r="F4414" s="9">
        <v>46048.0</v>
      </c>
      <c r="G4414" s="8" t="s">
        <v>13437</v>
      </c>
      <c r="H4414" s="8" t="s">
        <v>13438</v>
      </c>
      <c r="I4414" s="8" t="s">
        <v>13439</v>
      </c>
      <c r="J4414" s="8" t="s">
        <v>13440</v>
      </c>
    </row>
    <row r="4415">
      <c r="A4415" s="7">
        <v>2.0034389E7</v>
      </c>
      <c r="B4415" s="8" t="s">
        <v>2987</v>
      </c>
      <c r="C4415" s="8" t="s">
        <v>13441</v>
      </c>
      <c r="D4415" s="8" t="s">
        <v>16</v>
      </c>
      <c r="E4415" s="8" t="s">
        <v>17</v>
      </c>
      <c r="F4415" s="9">
        <v>46057.0</v>
      </c>
      <c r="G4415" s="8" t="s">
        <v>3352</v>
      </c>
      <c r="H4415" s="8" t="s">
        <v>3353</v>
      </c>
      <c r="I4415" s="8" t="s">
        <v>13442</v>
      </c>
      <c r="J4415" s="8"/>
    </row>
    <row r="4416">
      <c r="A4416" s="7">
        <v>2.003403E7</v>
      </c>
      <c r="B4416" s="8" t="s">
        <v>2987</v>
      </c>
      <c r="C4416" s="8" t="s">
        <v>13443</v>
      </c>
      <c r="D4416" s="8" t="s">
        <v>16</v>
      </c>
      <c r="E4416" s="8" t="s">
        <v>700</v>
      </c>
      <c r="F4416" s="9">
        <v>46066.0</v>
      </c>
      <c r="G4416" s="8" t="s">
        <v>13444</v>
      </c>
      <c r="H4416" s="8" t="s">
        <v>13445</v>
      </c>
      <c r="I4416" s="8" t="s">
        <v>13446</v>
      </c>
      <c r="J4416" s="8" t="s">
        <v>13447</v>
      </c>
    </row>
    <row r="4417">
      <c r="A4417" s="7">
        <v>2.0034677E7</v>
      </c>
      <c r="B4417" s="8" t="s">
        <v>2987</v>
      </c>
      <c r="C4417" s="8" t="s">
        <v>13448</v>
      </c>
      <c r="D4417" s="8" t="s">
        <v>16</v>
      </c>
      <c r="E4417" s="8" t="s">
        <v>17</v>
      </c>
      <c r="F4417" s="9">
        <v>46054.0</v>
      </c>
      <c r="G4417" s="8" t="s">
        <v>613</v>
      </c>
      <c r="H4417" s="8" t="s">
        <v>614</v>
      </c>
      <c r="I4417" s="8" t="s">
        <v>13449</v>
      </c>
      <c r="J4417" s="8" t="s">
        <v>13450</v>
      </c>
    </row>
    <row r="4418">
      <c r="A4418" s="7">
        <v>2.0034673E7</v>
      </c>
      <c r="B4418" s="8" t="s">
        <v>2987</v>
      </c>
      <c r="C4418" s="8" t="s">
        <v>13451</v>
      </c>
      <c r="D4418" s="8" t="s">
        <v>16</v>
      </c>
      <c r="E4418" s="8" t="s">
        <v>17</v>
      </c>
      <c r="F4418" s="9">
        <v>46054.0</v>
      </c>
      <c r="G4418" s="8" t="s">
        <v>59</v>
      </c>
      <c r="H4418" s="8" t="s">
        <v>60</v>
      </c>
      <c r="I4418" s="8" t="s">
        <v>13452</v>
      </c>
      <c r="J4418" s="8" t="s">
        <v>13453</v>
      </c>
    </row>
    <row r="4419">
      <c r="A4419" s="7">
        <v>2.0032937E7</v>
      </c>
      <c r="B4419" s="8" t="s">
        <v>2987</v>
      </c>
      <c r="C4419" s="8" t="s">
        <v>13454</v>
      </c>
      <c r="D4419" s="8" t="s">
        <v>16</v>
      </c>
      <c r="E4419" s="8" t="s">
        <v>17</v>
      </c>
      <c r="F4419" s="9">
        <v>46062.0</v>
      </c>
      <c r="G4419" s="8" t="s">
        <v>5861</v>
      </c>
      <c r="H4419" s="8" t="s">
        <v>5862</v>
      </c>
      <c r="I4419" s="8" t="s">
        <v>13455</v>
      </c>
      <c r="J4419" s="8" t="s">
        <v>13456</v>
      </c>
    </row>
    <row r="4420">
      <c r="A4420" s="7">
        <v>2.0032937E7</v>
      </c>
      <c r="B4420" s="8" t="s">
        <v>2987</v>
      </c>
      <c r="C4420" s="8" t="s">
        <v>13454</v>
      </c>
      <c r="D4420" s="8" t="s">
        <v>16</v>
      </c>
      <c r="E4420" s="8" t="s">
        <v>17</v>
      </c>
      <c r="F4420" s="9">
        <v>46062.0</v>
      </c>
      <c r="G4420" s="8" t="s">
        <v>13457</v>
      </c>
      <c r="H4420" s="8" t="s">
        <v>12742</v>
      </c>
      <c r="I4420" s="8" t="s">
        <v>13458</v>
      </c>
      <c r="J4420" s="8"/>
    </row>
    <row r="4421">
      <c r="A4421" s="7">
        <v>2.0068721E7</v>
      </c>
      <c r="B4421" s="8" t="s">
        <v>2987</v>
      </c>
      <c r="C4421" s="8" t="s">
        <v>13459</v>
      </c>
      <c r="D4421" s="8" t="s">
        <v>16</v>
      </c>
      <c r="E4421" s="8" t="s">
        <v>17</v>
      </c>
      <c r="F4421" s="9">
        <v>46185.0</v>
      </c>
      <c r="G4421" s="8" t="s">
        <v>6577</v>
      </c>
      <c r="H4421" s="8" t="s">
        <v>6578</v>
      </c>
      <c r="I4421" s="8" t="s">
        <v>13460</v>
      </c>
      <c r="J4421" s="8"/>
    </row>
    <row r="4422">
      <c r="A4422" s="7">
        <v>2.0067877E7</v>
      </c>
      <c r="B4422" s="8" t="s">
        <v>2987</v>
      </c>
      <c r="C4422" s="8" t="s">
        <v>13461</v>
      </c>
      <c r="D4422" s="8" t="s">
        <v>16</v>
      </c>
      <c r="E4422" s="8" t="s">
        <v>17</v>
      </c>
      <c r="F4422" s="9">
        <v>46193.0</v>
      </c>
      <c r="G4422" s="8" t="s">
        <v>184</v>
      </c>
      <c r="H4422" s="8" t="s">
        <v>185</v>
      </c>
      <c r="I4422" s="8" t="s">
        <v>13462</v>
      </c>
      <c r="J4422" s="8" t="s">
        <v>13463</v>
      </c>
    </row>
    <row r="4423">
      <c r="A4423" s="7">
        <v>2.0062814E7</v>
      </c>
      <c r="B4423" s="8" t="s">
        <v>2987</v>
      </c>
      <c r="C4423" s="8" t="s">
        <v>13464</v>
      </c>
      <c r="D4423" s="8" t="s">
        <v>16</v>
      </c>
      <c r="E4423" s="8" t="s">
        <v>17</v>
      </c>
      <c r="F4423" s="9">
        <v>46167.0</v>
      </c>
      <c r="G4423" s="8" t="s">
        <v>109</v>
      </c>
      <c r="H4423" s="8" t="s">
        <v>110</v>
      </c>
      <c r="I4423" s="8" t="s">
        <v>13465</v>
      </c>
      <c r="J4423" s="8" t="s">
        <v>13466</v>
      </c>
    </row>
    <row r="4424">
      <c r="A4424" s="7">
        <v>2.0057394E7</v>
      </c>
      <c r="B4424" s="8" t="s">
        <v>2987</v>
      </c>
      <c r="C4424" s="8" t="s">
        <v>13467</v>
      </c>
      <c r="D4424" s="8" t="s">
        <v>16</v>
      </c>
      <c r="E4424" s="8" t="s">
        <v>17</v>
      </c>
      <c r="F4424" s="9">
        <v>46154.0</v>
      </c>
      <c r="G4424" s="8" t="s">
        <v>13468</v>
      </c>
      <c r="H4424" s="8" t="s">
        <v>13469</v>
      </c>
      <c r="I4424" s="8" t="s">
        <v>13470</v>
      </c>
      <c r="J4424" s="8" t="s">
        <v>13471</v>
      </c>
    </row>
    <row r="4425">
      <c r="A4425" s="7">
        <v>2.0061355E7</v>
      </c>
      <c r="B4425" s="8" t="s">
        <v>2987</v>
      </c>
      <c r="C4425" s="8" t="s">
        <v>13472</v>
      </c>
      <c r="D4425" s="8" t="s">
        <v>16</v>
      </c>
      <c r="E4425" s="8" t="s">
        <v>17</v>
      </c>
      <c r="F4425" s="9">
        <v>46184.0</v>
      </c>
      <c r="G4425" s="8" t="s">
        <v>3607</v>
      </c>
      <c r="H4425" s="8" t="s">
        <v>3608</v>
      </c>
      <c r="I4425" s="8" t="s">
        <v>13473</v>
      </c>
      <c r="J4425" s="8" t="s">
        <v>13474</v>
      </c>
    </row>
    <row r="4426">
      <c r="A4426" s="7">
        <v>2.0056382E7</v>
      </c>
      <c r="B4426" s="8" t="s">
        <v>2987</v>
      </c>
      <c r="C4426" s="8" t="s">
        <v>13475</v>
      </c>
      <c r="D4426" s="8" t="s">
        <v>16</v>
      </c>
      <c r="E4426" s="8" t="s">
        <v>17</v>
      </c>
      <c r="F4426" s="9">
        <v>46153.0</v>
      </c>
      <c r="G4426" s="8" t="s">
        <v>59</v>
      </c>
      <c r="H4426" s="8" t="s">
        <v>60</v>
      </c>
      <c r="I4426" s="8" t="s">
        <v>13476</v>
      </c>
      <c r="J4426" s="8" t="s">
        <v>13477</v>
      </c>
    </row>
    <row r="4427">
      <c r="A4427" s="7">
        <v>2.0060481E7</v>
      </c>
      <c r="B4427" s="8" t="s">
        <v>2987</v>
      </c>
      <c r="C4427" s="8" t="s">
        <v>13478</v>
      </c>
      <c r="D4427" s="8" t="s">
        <v>16</v>
      </c>
      <c r="E4427" s="8" t="s">
        <v>17</v>
      </c>
      <c r="F4427" s="9">
        <v>46148.0</v>
      </c>
      <c r="G4427" s="8" t="s">
        <v>1949</v>
      </c>
      <c r="H4427" s="8" t="s">
        <v>1950</v>
      </c>
      <c r="I4427" s="8" t="s">
        <v>13479</v>
      </c>
      <c r="J4427" s="8" t="s">
        <v>13480</v>
      </c>
    </row>
    <row r="4428">
      <c r="A4428" s="7">
        <v>2.0058836E7</v>
      </c>
      <c r="B4428" s="8" t="s">
        <v>2987</v>
      </c>
      <c r="C4428" s="8" t="s">
        <v>13481</v>
      </c>
      <c r="D4428" s="8" t="s">
        <v>16</v>
      </c>
      <c r="E4428" s="8" t="s">
        <v>17</v>
      </c>
      <c r="F4428" s="9">
        <v>46142.0</v>
      </c>
      <c r="G4428" s="8" t="s">
        <v>385</v>
      </c>
      <c r="H4428" s="8" t="s">
        <v>386</v>
      </c>
      <c r="I4428" s="8" t="s">
        <v>13482</v>
      </c>
      <c r="J4428" s="8" t="s">
        <v>13483</v>
      </c>
    </row>
    <row r="4429">
      <c r="A4429" s="7">
        <v>2.0053357E7</v>
      </c>
      <c r="B4429" s="8" t="s">
        <v>2987</v>
      </c>
      <c r="C4429" s="8" t="s">
        <v>13484</v>
      </c>
      <c r="D4429" s="8" t="s">
        <v>16</v>
      </c>
      <c r="E4429" s="8" t="s">
        <v>17</v>
      </c>
      <c r="F4429" s="9">
        <v>46141.0</v>
      </c>
      <c r="G4429" s="8" t="s">
        <v>5870</v>
      </c>
      <c r="H4429" s="8" t="s">
        <v>1294</v>
      </c>
      <c r="I4429" s="8" t="s">
        <v>13485</v>
      </c>
      <c r="J4429" s="8" t="s">
        <v>13486</v>
      </c>
    </row>
    <row r="4430">
      <c r="A4430" s="7">
        <v>2.0053357E7</v>
      </c>
      <c r="B4430" s="8" t="s">
        <v>2987</v>
      </c>
      <c r="C4430" s="8" t="s">
        <v>13484</v>
      </c>
      <c r="D4430" s="8" t="s">
        <v>16</v>
      </c>
      <c r="E4430" s="8" t="s">
        <v>17</v>
      </c>
      <c r="F4430" s="9">
        <v>46141.0</v>
      </c>
      <c r="G4430" s="8" t="s">
        <v>2625</v>
      </c>
      <c r="H4430" s="8" t="s">
        <v>3001</v>
      </c>
      <c r="I4430" s="8" t="s">
        <v>13487</v>
      </c>
      <c r="J4430" s="8" t="s">
        <v>13488</v>
      </c>
    </row>
    <row r="4431">
      <c r="A4431" s="7">
        <v>2.0051708E7</v>
      </c>
      <c r="B4431" s="8" t="s">
        <v>2987</v>
      </c>
      <c r="C4431" s="8" t="s">
        <v>13489</v>
      </c>
      <c r="D4431" s="8" t="s">
        <v>16</v>
      </c>
      <c r="E4431" s="8" t="s">
        <v>17</v>
      </c>
      <c r="F4431" s="9">
        <v>46124.0</v>
      </c>
      <c r="G4431" s="8" t="s">
        <v>1638</v>
      </c>
      <c r="H4431" s="8" t="s">
        <v>1639</v>
      </c>
      <c r="I4431" s="8" t="s">
        <v>13490</v>
      </c>
      <c r="J4431" s="8" t="s">
        <v>13491</v>
      </c>
    </row>
    <row r="4432">
      <c r="A4432" s="7">
        <v>2.0048028E7</v>
      </c>
      <c r="B4432" s="8" t="s">
        <v>2987</v>
      </c>
      <c r="C4432" s="8" t="s">
        <v>13492</v>
      </c>
      <c r="D4432" s="8" t="s">
        <v>16</v>
      </c>
      <c r="E4432" s="8" t="s">
        <v>17</v>
      </c>
      <c r="F4432" s="9">
        <v>46120.0</v>
      </c>
      <c r="G4432" s="8" t="s">
        <v>1155</v>
      </c>
      <c r="H4432" s="8" t="s">
        <v>1156</v>
      </c>
      <c r="I4432" s="8"/>
      <c r="J4432" s="8" t="s">
        <v>13493</v>
      </c>
    </row>
    <row r="4433">
      <c r="A4433" s="7">
        <v>2.0049251E7</v>
      </c>
      <c r="B4433" s="8" t="s">
        <v>2987</v>
      </c>
      <c r="C4433" s="8" t="s">
        <v>13494</v>
      </c>
      <c r="D4433" s="8" t="s">
        <v>16</v>
      </c>
      <c r="E4433" s="8" t="s">
        <v>17</v>
      </c>
      <c r="F4433" s="9">
        <v>46116.0</v>
      </c>
      <c r="G4433" s="8" t="s">
        <v>1841</v>
      </c>
      <c r="H4433" s="8" t="s">
        <v>1842</v>
      </c>
      <c r="I4433" s="8" t="s">
        <v>13495</v>
      </c>
      <c r="J4433" s="8"/>
    </row>
    <row r="4434">
      <c r="A4434" s="7">
        <v>2.0048137E7</v>
      </c>
      <c r="B4434" s="8" t="s">
        <v>2987</v>
      </c>
      <c r="C4434" s="8" t="s">
        <v>13496</v>
      </c>
      <c r="D4434" s="8" t="s">
        <v>16</v>
      </c>
      <c r="E4434" s="8" t="s">
        <v>17</v>
      </c>
      <c r="F4434" s="9">
        <v>46103.0</v>
      </c>
      <c r="G4434" s="8" t="s">
        <v>1045</v>
      </c>
      <c r="H4434" s="8" t="s">
        <v>909</v>
      </c>
      <c r="I4434" s="8" t="s">
        <v>13497</v>
      </c>
      <c r="J4434" s="8" t="s">
        <v>13498</v>
      </c>
    </row>
    <row r="4435">
      <c r="A4435" s="7">
        <v>2.0045E7</v>
      </c>
      <c r="B4435" s="8" t="s">
        <v>2987</v>
      </c>
      <c r="C4435" s="8" t="s">
        <v>13499</v>
      </c>
      <c r="D4435" s="8" t="s">
        <v>16</v>
      </c>
      <c r="E4435" s="8" t="s">
        <v>48</v>
      </c>
      <c r="F4435" s="9">
        <v>46091.0</v>
      </c>
      <c r="G4435" s="8" t="s">
        <v>630</v>
      </c>
      <c r="H4435" s="8" t="s">
        <v>631</v>
      </c>
      <c r="I4435" s="8" t="s">
        <v>13500</v>
      </c>
      <c r="J4435" s="8" t="s">
        <v>13501</v>
      </c>
    </row>
    <row r="4436">
      <c r="A4436" s="7">
        <v>2.0042338E7</v>
      </c>
      <c r="B4436" s="8" t="s">
        <v>2987</v>
      </c>
      <c r="C4436" s="8" t="s">
        <v>13502</v>
      </c>
      <c r="D4436" s="8" t="s">
        <v>16</v>
      </c>
      <c r="E4436" s="8" t="s">
        <v>17</v>
      </c>
      <c r="F4436" s="9">
        <v>46088.0</v>
      </c>
      <c r="G4436" s="8" t="s">
        <v>109</v>
      </c>
      <c r="H4436" s="8" t="s">
        <v>110</v>
      </c>
      <c r="I4436" s="8" t="s">
        <v>13503</v>
      </c>
      <c r="J4436" s="8" t="s">
        <v>13504</v>
      </c>
    </row>
    <row r="4437">
      <c r="A4437" s="7">
        <v>2.0041408E7</v>
      </c>
      <c r="B4437" s="8" t="s">
        <v>2987</v>
      </c>
      <c r="C4437" s="8" t="s">
        <v>13505</v>
      </c>
      <c r="D4437" s="8" t="s">
        <v>16</v>
      </c>
      <c r="E4437" s="8" t="s">
        <v>17</v>
      </c>
      <c r="F4437" s="9">
        <v>46086.0</v>
      </c>
      <c r="G4437" s="8" t="s">
        <v>1969</v>
      </c>
      <c r="H4437" s="8" t="s">
        <v>1970</v>
      </c>
      <c r="I4437" s="8" t="s">
        <v>13506</v>
      </c>
      <c r="J4437" s="8" t="s">
        <v>13507</v>
      </c>
    </row>
    <row r="4438">
      <c r="A4438" s="7">
        <v>2.0042086E7</v>
      </c>
      <c r="B4438" s="8" t="s">
        <v>2987</v>
      </c>
      <c r="C4438" s="8" t="s">
        <v>13508</v>
      </c>
      <c r="D4438" s="8" t="s">
        <v>16</v>
      </c>
      <c r="E4438" s="8" t="s">
        <v>17</v>
      </c>
      <c r="F4438" s="9">
        <v>46087.0</v>
      </c>
      <c r="G4438" s="8" t="s">
        <v>13509</v>
      </c>
      <c r="H4438" s="8" t="s">
        <v>13510</v>
      </c>
      <c r="I4438" s="8" t="s">
        <v>13511</v>
      </c>
      <c r="J4438" s="8" t="s">
        <v>13512</v>
      </c>
    </row>
    <row r="4439">
      <c r="A4439" s="7">
        <v>2.0035805E7</v>
      </c>
      <c r="B4439" s="8" t="s">
        <v>2987</v>
      </c>
      <c r="C4439" s="8" t="s">
        <v>13513</v>
      </c>
      <c r="D4439" s="8" t="s">
        <v>16</v>
      </c>
      <c r="E4439" s="8" t="s">
        <v>17</v>
      </c>
      <c r="F4439" s="9">
        <v>46088.0</v>
      </c>
      <c r="G4439" s="8" t="s">
        <v>86</v>
      </c>
      <c r="H4439" s="8" t="s">
        <v>87</v>
      </c>
      <c r="I4439" s="8" t="s">
        <v>13514</v>
      </c>
      <c r="J4439" s="8" t="s">
        <v>13515</v>
      </c>
    </row>
    <row r="4440">
      <c r="A4440" s="7">
        <v>2.0039177E7</v>
      </c>
      <c r="B4440" s="8" t="s">
        <v>2987</v>
      </c>
      <c r="C4440" s="8" t="s">
        <v>13516</v>
      </c>
      <c r="D4440" s="8" t="s">
        <v>16</v>
      </c>
      <c r="E4440" s="8" t="s">
        <v>17</v>
      </c>
      <c r="F4440" s="9">
        <v>46071.0</v>
      </c>
      <c r="G4440" s="8" t="s">
        <v>195</v>
      </c>
      <c r="H4440" s="8" t="s">
        <v>196</v>
      </c>
      <c r="I4440" s="8" t="s">
        <v>13517</v>
      </c>
      <c r="J4440" s="8" t="s">
        <v>13518</v>
      </c>
    </row>
    <row r="4441">
      <c r="A4441" s="7">
        <v>2.0036923E7</v>
      </c>
      <c r="B4441" s="8" t="s">
        <v>2987</v>
      </c>
      <c r="C4441" s="8" t="s">
        <v>13519</v>
      </c>
      <c r="D4441" s="8" t="s">
        <v>16</v>
      </c>
      <c r="E4441" s="8" t="s">
        <v>17</v>
      </c>
      <c r="F4441" s="9">
        <v>46062.0</v>
      </c>
      <c r="G4441" s="8" t="s">
        <v>1508</v>
      </c>
      <c r="H4441" s="8" t="s">
        <v>1509</v>
      </c>
      <c r="I4441" s="8" t="s">
        <v>13520</v>
      </c>
      <c r="J4441" s="8" t="s">
        <v>13521</v>
      </c>
    </row>
    <row r="4442">
      <c r="A4442" s="7">
        <v>2.003464E7</v>
      </c>
      <c r="B4442" s="8" t="s">
        <v>2987</v>
      </c>
      <c r="C4442" s="8" t="s">
        <v>13522</v>
      </c>
      <c r="D4442" s="8" t="s">
        <v>16</v>
      </c>
      <c r="E4442" s="8" t="s">
        <v>17</v>
      </c>
      <c r="F4442" s="9">
        <v>46063.0</v>
      </c>
      <c r="G4442" s="8" t="s">
        <v>13523</v>
      </c>
      <c r="H4442" s="8" t="s">
        <v>13524</v>
      </c>
      <c r="I4442" s="8" t="s">
        <v>13525</v>
      </c>
      <c r="J4442" s="8" t="s">
        <v>13526</v>
      </c>
    </row>
    <row r="4443">
      <c r="A4443" s="7">
        <v>2.003464E7</v>
      </c>
      <c r="B4443" s="8" t="s">
        <v>2987</v>
      </c>
      <c r="C4443" s="8" t="s">
        <v>13522</v>
      </c>
      <c r="D4443" s="8" t="s">
        <v>16</v>
      </c>
      <c r="E4443" s="8" t="s">
        <v>17</v>
      </c>
      <c r="F4443" s="9">
        <v>46063.0</v>
      </c>
      <c r="G4443" s="8" t="s">
        <v>11873</v>
      </c>
      <c r="H4443" s="8" t="s">
        <v>11874</v>
      </c>
      <c r="I4443" s="8" t="s">
        <v>13527</v>
      </c>
      <c r="J4443" s="8" t="s">
        <v>13528</v>
      </c>
    </row>
    <row r="4444">
      <c r="A4444" s="7">
        <v>2.0035827E7</v>
      </c>
      <c r="B4444" s="8" t="s">
        <v>2987</v>
      </c>
      <c r="C4444" s="8" t="s">
        <v>13529</v>
      </c>
      <c r="D4444" s="8" t="s">
        <v>16</v>
      </c>
      <c r="E4444" s="8" t="s">
        <v>17</v>
      </c>
      <c r="F4444" s="9">
        <v>46049.0</v>
      </c>
      <c r="G4444" s="8" t="s">
        <v>13530</v>
      </c>
      <c r="H4444" s="8" t="s">
        <v>13531</v>
      </c>
      <c r="I4444" s="8" t="s">
        <v>13532</v>
      </c>
      <c r="J4444" s="8" t="s">
        <v>13533</v>
      </c>
    </row>
    <row r="4445">
      <c r="A4445" s="7">
        <v>2.0070367E7</v>
      </c>
      <c r="B4445" s="8" t="s">
        <v>2987</v>
      </c>
      <c r="C4445" s="8" t="s">
        <v>13534</v>
      </c>
      <c r="D4445" s="8" t="s">
        <v>16</v>
      </c>
      <c r="E4445" s="8" t="s">
        <v>17</v>
      </c>
      <c r="F4445" s="9">
        <v>46189.0</v>
      </c>
      <c r="G4445" s="8" t="s">
        <v>59</v>
      </c>
      <c r="H4445" s="8" t="s">
        <v>60</v>
      </c>
      <c r="I4445" s="8" t="s">
        <v>13535</v>
      </c>
      <c r="J4445" s="8" t="s">
        <v>13536</v>
      </c>
    </row>
    <row r="4446">
      <c r="A4446" s="7">
        <v>2.007026E7</v>
      </c>
      <c r="B4446" s="8" t="s">
        <v>2987</v>
      </c>
      <c r="C4446" s="8" t="s">
        <v>13537</v>
      </c>
      <c r="D4446" s="8" t="s">
        <v>16</v>
      </c>
      <c r="E4446" s="8" t="s">
        <v>17</v>
      </c>
      <c r="F4446" s="9">
        <v>46186.0</v>
      </c>
      <c r="G4446" s="8" t="s">
        <v>13538</v>
      </c>
      <c r="H4446" s="8" t="s">
        <v>13539</v>
      </c>
      <c r="I4446" s="8" t="s">
        <v>13540</v>
      </c>
      <c r="J4446" s="8" t="s">
        <v>13541</v>
      </c>
    </row>
    <row r="4447">
      <c r="A4447" s="7">
        <v>2.0068809E7</v>
      </c>
      <c r="B4447" s="8" t="s">
        <v>2987</v>
      </c>
      <c r="C4447" s="8" t="s">
        <v>13542</v>
      </c>
      <c r="D4447" s="8" t="s">
        <v>16</v>
      </c>
      <c r="E4447" s="8" t="s">
        <v>17</v>
      </c>
      <c r="F4447" s="9">
        <v>46185.0</v>
      </c>
      <c r="G4447" s="8" t="s">
        <v>59</v>
      </c>
      <c r="H4447" s="8" t="s">
        <v>60</v>
      </c>
      <c r="I4447" s="8" t="s">
        <v>13543</v>
      </c>
      <c r="J4447" s="8" t="s">
        <v>13544</v>
      </c>
    </row>
    <row r="4448">
      <c r="A4448" s="7">
        <v>2.0068609E7</v>
      </c>
      <c r="B4448" s="8" t="s">
        <v>2987</v>
      </c>
      <c r="C4448" s="8" t="s">
        <v>13545</v>
      </c>
      <c r="D4448" s="8" t="s">
        <v>16</v>
      </c>
      <c r="E4448" s="8" t="s">
        <v>17</v>
      </c>
      <c r="F4448" s="9">
        <v>46181.0</v>
      </c>
      <c r="G4448" s="8" t="s">
        <v>59</v>
      </c>
      <c r="H4448" s="8" t="s">
        <v>60</v>
      </c>
      <c r="I4448" s="8" t="s">
        <v>13546</v>
      </c>
      <c r="J4448" s="8" t="s">
        <v>13547</v>
      </c>
    </row>
    <row r="4449">
      <c r="A4449" s="7">
        <v>2.0067889E7</v>
      </c>
      <c r="B4449" s="8" t="s">
        <v>2987</v>
      </c>
      <c r="C4449" s="8" t="s">
        <v>13548</v>
      </c>
      <c r="D4449" s="8" t="s">
        <v>16</v>
      </c>
      <c r="E4449" s="8" t="s">
        <v>17</v>
      </c>
      <c r="F4449" s="9">
        <v>46177.0</v>
      </c>
      <c r="G4449" s="8" t="s">
        <v>504</v>
      </c>
      <c r="H4449" s="8" t="s">
        <v>505</v>
      </c>
      <c r="I4449" s="8" t="s">
        <v>13549</v>
      </c>
      <c r="J4449" s="8" t="s">
        <v>13550</v>
      </c>
    </row>
    <row r="4450">
      <c r="A4450" s="7">
        <v>2.0066615E7</v>
      </c>
      <c r="B4450" s="8" t="s">
        <v>2987</v>
      </c>
      <c r="C4450" s="8" t="s">
        <v>13551</v>
      </c>
      <c r="D4450" s="8" t="s">
        <v>16</v>
      </c>
      <c r="E4450" s="8" t="s">
        <v>17</v>
      </c>
      <c r="F4450" s="9">
        <v>46192.0</v>
      </c>
      <c r="G4450" s="8" t="s">
        <v>171</v>
      </c>
      <c r="H4450" s="8" t="s">
        <v>172</v>
      </c>
      <c r="I4450" s="8" t="s">
        <v>13552</v>
      </c>
      <c r="J4450" s="8" t="s">
        <v>13553</v>
      </c>
    </row>
    <row r="4451">
      <c r="A4451" s="7">
        <v>2.0066405E7</v>
      </c>
      <c r="B4451" s="8" t="s">
        <v>2987</v>
      </c>
      <c r="C4451" s="8" t="s">
        <v>13554</v>
      </c>
      <c r="D4451" s="8" t="s">
        <v>16</v>
      </c>
      <c r="E4451" s="8" t="s">
        <v>17</v>
      </c>
      <c r="F4451" s="9">
        <v>46171.0</v>
      </c>
      <c r="G4451" s="8" t="s">
        <v>220</v>
      </c>
      <c r="H4451" s="8" t="s">
        <v>221</v>
      </c>
      <c r="I4451" s="8" t="s">
        <v>13555</v>
      </c>
      <c r="J4451" s="8" t="s">
        <v>13556</v>
      </c>
    </row>
    <row r="4452">
      <c r="A4452" s="7">
        <v>2.006373E7</v>
      </c>
      <c r="B4452" s="8" t="s">
        <v>2987</v>
      </c>
      <c r="C4452" s="8" t="s">
        <v>13557</v>
      </c>
      <c r="D4452" s="8" t="s">
        <v>16</v>
      </c>
      <c r="E4452" s="8" t="s">
        <v>17</v>
      </c>
      <c r="F4452" s="9">
        <v>46190.0</v>
      </c>
      <c r="G4452" s="8" t="s">
        <v>688</v>
      </c>
      <c r="H4452" s="8" t="s">
        <v>689</v>
      </c>
      <c r="I4452" s="8" t="s">
        <v>13558</v>
      </c>
      <c r="J4452" s="8" t="s">
        <v>13559</v>
      </c>
    </row>
    <row r="4453">
      <c r="A4453" s="7">
        <v>2.0060722E7</v>
      </c>
      <c r="B4453" s="8" t="s">
        <v>2987</v>
      </c>
      <c r="C4453" s="8" t="s">
        <v>13560</v>
      </c>
      <c r="D4453" s="8" t="s">
        <v>16</v>
      </c>
      <c r="E4453" s="8" t="s">
        <v>17</v>
      </c>
      <c r="F4453" s="9">
        <v>46172.0</v>
      </c>
      <c r="G4453" s="8" t="s">
        <v>153</v>
      </c>
      <c r="H4453" s="8" t="s">
        <v>154</v>
      </c>
      <c r="I4453" s="8" t="s">
        <v>13561</v>
      </c>
      <c r="J4453" s="8" t="s">
        <v>13562</v>
      </c>
    </row>
    <row r="4454">
      <c r="A4454" s="7">
        <v>2.0060722E7</v>
      </c>
      <c r="B4454" s="8" t="s">
        <v>2987</v>
      </c>
      <c r="C4454" s="8" t="s">
        <v>13560</v>
      </c>
      <c r="D4454" s="8" t="s">
        <v>16</v>
      </c>
      <c r="E4454" s="8" t="s">
        <v>17</v>
      </c>
      <c r="F4454" s="9">
        <v>46172.0</v>
      </c>
      <c r="G4454" s="8" t="s">
        <v>4910</v>
      </c>
      <c r="H4454" s="8" t="s">
        <v>4911</v>
      </c>
      <c r="I4454" s="8" t="s">
        <v>13563</v>
      </c>
      <c r="J4454" s="8" t="s">
        <v>13564</v>
      </c>
    </row>
    <row r="4455">
      <c r="A4455" s="7">
        <v>2.0062964E7</v>
      </c>
      <c r="B4455" s="8" t="s">
        <v>2987</v>
      </c>
      <c r="C4455" s="8" t="s">
        <v>13565</v>
      </c>
      <c r="D4455" s="8" t="s">
        <v>16</v>
      </c>
      <c r="E4455" s="8" t="s">
        <v>17</v>
      </c>
      <c r="F4455" s="9">
        <v>46164.0</v>
      </c>
      <c r="G4455" s="8" t="s">
        <v>3812</v>
      </c>
      <c r="H4455" s="8" t="s">
        <v>3813</v>
      </c>
      <c r="I4455" s="8" t="s">
        <v>13566</v>
      </c>
      <c r="J4455" s="8" t="s">
        <v>13567</v>
      </c>
    </row>
    <row r="4456">
      <c r="A4456" s="7">
        <v>2.0062964E7</v>
      </c>
      <c r="B4456" s="8" t="s">
        <v>2987</v>
      </c>
      <c r="C4456" s="8" t="s">
        <v>13565</v>
      </c>
      <c r="D4456" s="8" t="s">
        <v>16</v>
      </c>
      <c r="E4456" s="8" t="s">
        <v>17</v>
      </c>
      <c r="F4456" s="9">
        <v>46164.0</v>
      </c>
      <c r="G4456" s="8" t="s">
        <v>3572</v>
      </c>
      <c r="H4456" s="8" t="s">
        <v>3573</v>
      </c>
      <c r="I4456" s="8" t="s">
        <v>13568</v>
      </c>
      <c r="J4456" s="8" t="s">
        <v>13569</v>
      </c>
    </row>
    <row r="4457">
      <c r="A4457" s="7">
        <v>2.0062964E7</v>
      </c>
      <c r="B4457" s="8" t="s">
        <v>2987</v>
      </c>
      <c r="C4457" s="8" t="s">
        <v>13565</v>
      </c>
      <c r="D4457" s="8" t="s">
        <v>16</v>
      </c>
      <c r="E4457" s="8" t="s">
        <v>17</v>
      </c>
      <c r="F4457" s="9">
        <v>46164.0</v>
      </c>
      <c r="G4457" s="8" t="s">
        <v>3812</v>
      </c>
      <c r="H4457" s="8" t="s">
        <v>3813</v>
      </c>
      <c r="I4457" s="8" t="s">
        <v>13570</v>
      </c>
      <c r="J4457" s="8" t="s">
        <v>13567</v>
      </c>
    </row>
    <row r="4458">
      <c r="A4458" s="7">
        <v>2.0062964E7</v>
      </c>
      <c r="B4458" s="8" t="s">
        <v>2987</v>
      </c>
      <c r="C4458" s="8" t="s">
        <v>13565</v>
      </c>
      <c r="D4458" s="8" t="s">
        <v>16</v>
      </c>
      <c r="E4458" s="8" t="s">
        <v>17</v>
      </c>
      <c r="F4458" s="9">
        <v>46164.0</v>
      </c>
      <c r="G4458" s="8" t="s">
        <v>3572</v>
      </c>
      <c r="H4458" s="8" t="s">
        <v>3573</v>
      </c>
      <c r="I4458" s="8" t="s">
        <v>13571</v>
      </c>
      <c r="J4458" s="8"/>
    </row>
    <row r="4459">
      <c r="A4459" s="7">
        <v>2.0063146E7</v>
      </c>
      <c r="B4459" s="8" t="s">
        <v>2987</v>
      </c>
      <c r="C4459" s="8" t="s">
        <v>13572</v>
      </c>
      <c r="D4459" s="8" t="s">
        <v>16</v>
      </c>
      <c r="E4459" s="8" t="s">
        <v>17</v>
      </c>
      <c r="F4459" s="9">
        <v>46173.0</v>
      </c>
      <c r="G4459" s="8" t="s">
        <v>13573</v>
      </c>
      <c r="H4459" s="8" t="s">
        <v>13574</v>
      </c>
      <c r="I4459" s="8" t="s">
        <v>13575</v>
      </c>
      <c r="J4459" s="8" t="s">
        <v>13576</v>
      </c>
    </row>
    <row r="4460">
      <c r="A4460" s="7">
        <v>2.0061604E7</v>
      </c>
      <c r="B4460" s="8" t="s">
        <v>2987</v>
      </c>
      <c r="C4460" s="8" t="s">
        <v>13577</v>
      </c>
      <c r="D4460" s="8" t="s">
        <v>16</v>
      </c>
      <c r="E4460" s="8" t="s">
        <v>17</v>
      </c>
      <c r="F4460" s="9">
        <v>46164.0</v>
      </c>
      <c r="G4460" s="8" t="s">
        <v>75</v>
      </c>
      <c r="H4460" s="8" t="s">
        <v>76</v>
      </c>
      <c r="I4460" s="8" t="s">
        <v>13578</v>
      </c>
      <c r="J4460" s="8" t="s">
        <v>13579</v>
      </c>
    </row>
    <row r="4461">
      <c r="A4461" s="7">
        <v>2.0062464E7</v>
      </c>
      <c r="B4461" s="8" t="s">
        <v>2987</v>
      </c>
      <c r="C4461" s="8" t="s">
        <v>13580</v>
      </c>
      <c r="D4461" s="8" t="s">
        <v>2136</v>
      </c>
      <c r="E4461" s="8" t="s">
        <v>17</v>
      </c>
      <c r="F4461" s="9">
        <v>46150.0</v>
      </c>
      <c r="G4461" s="8" t="s">
        <v>339</v>
      </c>
      <c r="H4461" s="8" t="s">
        <v>340</v>
      </c>
      <c r="I4461" s="8" t="s">
        <v>13581</v>
      </c>
      <c r="J4461" s="8" t="s">
        <v>13582</v>
      </c>
    </row>
    <row r="4462">
      <c r="A4462" s="7">
        <v>2.0058025E7</v>
      </c>
      <c r="B4462" s="8" t="s">
        <v>2987</v>
      </c>
      <c r="C4462" s="8" t="s">
        <v>13583</v>
      </c>
      <c r="D4462" s="8" t="s">
        <v>16</v>
      </c>
      <c r="E4462" s="8" t="s">
        <v>17</v>
      </c>
      <c r="F4462" s="9">
        <v>46143.0</v>
      </c>
      <c r="G4462" s="8" t="s">
        <v>247</v>
      </c>
      <c r="H4462" s="8" t="s">
        <v>248</v>
      </c>
      <c r="I4462" s="8" t="s">
        <v>13584</v>
      </c>
      <c r="J4462" s="8" t="s">
        <v>13585</v>
      </c>
    </row>
    <row r="4463">
      <c r="A4463" s="7">
        <v>2.0056816E7</v>
      </c>
      <c r="B4463" s="8" t="s">
        <v>2987</v>
      </c>
      <c r="C4463" s="8" t="s">
        <v>13586</v>
      </c>
      <c r="D4463" s="8" t="s">
        <v>16</v>
      </c>
      <c r="E4463" s="8" t="s">
        <v>17</v>
      </c>
      <c r="F4463" s="9">
        <v>46144.0</v>
      </c>
      <c r="G4463" s="8" t="s">
        <v>10148</v>
      </c>
      <c r="H4463" s="8" t="s">
        <v>10149</v>
      </c>
      <c r="I4463" s="8" t="s">
        <v>13587</v>
      </c>
      <c r="J4463" s="8" t="s">
        <v>13588</v>
      </c>
    </row>
    <row r="4464">
      <c r="A4464" s="7">
        <v>2.0056207E7</v>
      </c>
      <c r="B4464" s="8" t="s">
        <v>2987</v>
      </c>
      <c r="C4464" s="8" t="s">
        <v>13589</v>
      </c>
      <c r="D4464" s="8" t="s">
        <v>16</v>
      </c>
      <c r="E4464" s="8" t="s">
        <v>17</v>
      </c>
      <c r="F4464" s="9">
        <v>46138.0</v>
      </c>
      <c r="G4464" s="8" t="s">
        <v>49</v>
      </c>
      <c r="H4464" s="8" t="s">
        <v>50</v>
      </c>
      <c r="I4464" s="8" t="s">
        <v>13590</v>
      </c>
      <c r="J4464" s="8" t="s">
        <v>13591</v>
      </c>
    </row>
    <row r="4465">
      <c r="A4465" s="7">
        <v>2.0054476E7</v>
      </c>
      <c r="B4465" s="8" t="s">
        <v>2987</v>
      </c>
      <c r="C4465" s="8" t="s">
        <v>13592</v>
      </c>
      <c r="D4465" s="8" t="s">
        <v>16</v>
      </c>
      <c r="E4465" s="8" t="s">
        <v>17</v>
      </c>
      <c r="F4465" s="9">
        <v>46132.0</v>
      </c>
      <c r="G4465" s="8" t="s">
        <v>6142</v>
      </c>
      <c r="H4465" s="8" t="s">
        <v>6143</v>
      </c>
      <c r="I4465" s="8" t="s">
        <v>13593</v>
      </c>
      <c r="J4465" s="8" t="s">
        <v>13594</v>
      </c>
    </row>
    <row r="4466">
      <c r="A4466" s="7">
        <v>2.0053405E7</v>
      </c>
      <c r="B4466" s="8" t="s">
        <v>2987</v>
      </c>
      <c r="C4466" s="8" t="s">
        <v>13595</v>
      </c>
      <c r="D4466" s="8" t="s">
        <v>16</v>
      </c>
      <c r="E4466" s="8" t="s">
        <v>17</v>
      </c>
      <c r="F4466" s="9">
        <v>46121.0</v>
      </c>
      <c r="G4466" s="8" t="s">
        <v>59</v>
      </c>
      <c r="H4466" s="8" t="s">
        <v>60</v>
      </c>
      <c r="I4466" s="8" t="s">
        <v>13596</v>
      </c>
      <c r="J4466" s="8" t="s">
        <v>13597</v>
      </c>
    </row>
    <row r="4467">
      <c r="A4467" s="7">
        <v>2.0053049E7</v>
      </c>
      <c r="B4467" s="8" t="s">
        <v>2987</v>
      </c>
      <c r="C4467" s="8" t="s">
        <v>13598</v>
      </c>
      <c r="D4467" s="8" t="s">
        <v>16</v>
      </c>
      <c r="E4467" s="8" t="s">
        <v>17</v>
      </c>
      <c r="F4467" s="9">
        <v>46117.0</v>
      </c>
      <c r="G4467" s="8" t="s">
        <v>3275</v>
      </c>
      <c r="H4467" s="8" t="s">
        <v>3276</v>
      </c>
      <c r="I4467" s="8" t="s">
        <v>13599</v>
      </c>
      <c r="J4467" s="8"/>
    </row>
    <row r="4468">
      <c r="A4468" s="7">
        <v>2.0051878E7</v>
      </c>
      <c r="B4468" s="8" t="s">
        <v>2987</v>
      </c>
      <c r="C4468" s="8" t="s">
        <v>13600</v>
      </c>
      <c r="D4468" s="8" t="s">
        <v>16</v>
      </c>
      <c r="E4468" s="8" t="s">
        <v>17</v>
      </c>
      <c r="F4468" s="9">
        <v>46120.0</v>
      </c>
      <c r="G4468" s="8" t="s">
        <v>59</v>
      </c>
      <c r="H4468" s="8" t="s">
        <v>60</v>
      </c>
      <c r="I4468" s="8"/>
      <c r="J4468" s="8" t="s">
        <v>13601</v>
      </c>
    </row>
    <row r="4469">
      <c r="A4469" s="7">
        <v>2.0048582E7</v>
      </c>
      <c r="B4469" s="8" t="s">
        <v>2987</v>
      </c>
      <c r="C4469" s="8" t="s">
        <v>13602</v>
      </c>
      <c r="D4469" s="8" t="s">
        <v>16</v>
      </c>
      <c r="E4469" s="8" t="s">
        <v>700</v>
      </c>
      <c r="F4469" s="9">
        <v>46117.0</v>
      </c>
      <c r="G4469" s="8" t="s">
        <v>12295</v>
      </c>
      <c r="H4469" s="8" t="s">
        <v>12296</v>
      </c>
      <c r="I4469" s="8" t="s">
        <v>13603</v>
      </c>
      <c r="J4469" s="8" t="s">
        <v>13604</v>
      </c>
    </row>
    <row r="4470">
      <c r="A4470" s="7">
        <v>2.0048582E7</v>
      </c>
      <c r="B4470" s="8" t="s">
        <v>2987</v>
      </c>
      <c r="C4470" s="8" t="s">
        <v>13602</v>
      </c>
      <c r="D4470" s="8" t="s">
        <v>16</v>
      </c>
      <c r="E4470" s="8" t="s">
        <v>700</v>
      </c>
      <c r="F4470" s="9">
        <v>46117.0</v>
      </c>
      <c r="G4470" s="8" t="s">
        <v>755</v>
      </c>
      <c r="H4470" s="8" t="s">
        <v>756</v>
      </c>
      <c r="I4470" s="8" t="s">
        <v>13605</v>
      </c>
      <c r="J4470" s="8"/>
    </row>
    <row r="4471">
      <c r="A4471" s="7">
        <v>2.0044466E7</v>
      </c>
      <c r="B4471" s="8" t="s">
        <v>2987</v>
      </c>
      <c r="C4471" s="8" t="s">
        <v>13606</v>
      </c>
      <c r="D4471" s="8" t="s">
        <v>16</v>
      </c>
      <c r="E4471" s="8" t="s">
        <v>17</v>
      </c>
      <c r="F4471" s="9">
        <v>46089.0</v>
      </c>
      <c r="G4471" s="8" t="s">
        <v>75</v>
      </c>
      <c r="H4471" s="8" t="s">
        <v>76</v>
      </c>
      <c r="I4471" s="8" t="s">
        <v>13607</v>
      </c>
      <c r="J4471" s="8" t="s">
        <v>13608</v>
      </c>
    </row>
    <row r="4472">
      <c r="A4472" s="7">
        <v>2.0043504E7</v>
      </c>
      <c r="B4472" s="8" t="s">
        <v>2987</v>
      </c>
      <c r="C4472" s="8" t="s">
        <v>13609</v>
      </c>
      <c r="D4472" s="8" t="s">
        <v>16</v>
      </c>
      <c r="E4472" s="8" t="s">
        <v>17</v>
      </c>
      <c r="F4472" s="9">
        <v>46095.0</v>
      </c>
      <c r="G4472" s="8" t="s">
        <v>13610</v>
      </c>
      <c r="H4472" s="8" t="s">
        <v>1111</v>
      </c>
      <c r="I4472" s="8" t="s">
        <v>13611</v>
      </c>
      <c r="J4472" s="8" t="s">
        <v>13612</v>
      </c>
    </row>
    <row r="4473">
      <c r="A4473" s="7">
        <v>2.0043504E7</v>
      </c>
      <c r="B4473" s="8" t="s">
        <v>2987</v>
      </c>
      <c r="C4473" s="8" t="s">
        <v>13609</v>
      </c>
      <c r="D4473" s="8" t="s">
        <v>16</v>
      </c>
      <c r="E4473" s="8" t="s">
        <v>17</v>
      </c>
      <c r="F4473" s="9">
        <v>46095.0</v>
      </c>
      <c r="G4473" s="8" t="s">
        <v>13613</v>
      </c>
      <c r="H4473" s="8" t="s">
        <v>3047</v>
      </c>
      <c r="I4473" s="8" t="s">
        <v>13614</v>
      </c>
      <c r="J4473" s="8"/>
    </row>
    <row r="4474">
      <c r="A4474" s="7">
        <v>2.0038595E7</v>
      </c>
      <c r="B4474" s="8" t="s">
        <v>2987</v>
      </c>
      <c r="C4474" s="8" t="s">
        <v>13615</v>
      </c>
      <c r="D4474" s="8" t="s">
        <v>16</v>
      </c>
      <c r="E4474" s="8" t="s">
        <v>17</v>
      </c>
      <c r="F4474" s="9">
        <v>46075.0</v>
      </c>
      <c r="G4474" s="8" t="s">
        <v>64</v>
      </c>
      <c r="H4474" s="8" t="s">
        <v>65</v>
      </c>
      <c r="I4474" s="8" t="s">
        <v>13616</v>
      </c>
      <c r="J4474" s="8" t="s">
        <v>3279</v>
      </c>
    </row>
    <row r="4475">
      <c r="A4475" s="7">
        <v>2.0035814E7</v>
      </c>
      <c r="B4475" s="8" t="s">
        <v>2987</v>
      </c>
      <c r="C4475" s="8" t="s">
        <v>13617</v>
      </c>
      <c r="D4475" s="8" t="s">
        <v>16</v>
      </c>
      <c r="E4475" s="8" t="s">
        <v>17</v>
      </c>
      <c r="F4475" s="9">
        <v>46063.0</v>
      </c>
      <c r="G4475" s="8" t="s">
        <v>846</v>
      </c>
      <c r="H4475" s="8" t="s">
        <v>847</v>
      </c>
      <c r="I4475" s="8" t="s">
        <v>13618</v>
      </c>
      <c r="J4475" s="8" t="s">
        <v>13619</v>
      </c>
    </row>
    <row r="4476">
      <c r="A4476" s="7">
        <v>2.0061282E7</v>
      </c>
      <c r="B4476" s="8" t="s">
        <v>2987</v>
      </c>
      <c r="C4476" s="8" t="s">
        <v>13620</v>
      </c>
      <c r="D4476" s="8" t="s">
        <v>16</v>
      </c>
      <c r="E4476" s="8" t="s">
        <v>17</v>
      </c>
      <c r="F4476" s="9">
        <v>46146.0</v>
      </c>
      <c r="G4476" s="8" t="s">
        <v>59</v>
      </c>
      <c r="H4476" s="8" t="s">
        <v>60</v>
      </c>
      <c r="I4476" s="8"/>
      <c r="J4476" s="8" t="s">
        <v>13621</v>
      </c>
    </row>
    <row r="4477">
      <c r="A4477" s="7">
        <v>2.0060724E7</v>
      </c>
      <c r="B4477" s="8" t="s">
        <v>2987</v>
      </c>
      <c r="C4477" s="8" t="s">
        <v>13622</v>
      </c>
      <c r="D4477" s="8" t="s">
        <v>2136</v>
      </c>
      <c r="E4477" s="8" t="s">
        <v>17</v>
      </c>
      <c r="F4477" s="9">
        <v>46143.0</v>
      </c>
      <c r="G4477" s="8" t="s">
        <v>805</v>
      </c>
      <c r="H4477" s="8" t="s">
        <v>806</v>
      </c>
      <c r="I4477" s="8" t="s">
        <v>13623</v>
      </c>
      <c r="J4477" s="8" t="s">
        <v>13624</v>
      </c>
    </row>
    <row r="4478">
      <c r="A4478" s="7">
        <v>2.0060332E7</v>
      </c>
      <c r="B4478" s="8" t="s">
        <v>2987</v>
      </c>
      <c r="C4478" s="8" t="s">
        <v>13625</v>
      </c>
      <c r="D4478" s="8" t="s">
        <v>16</v>
      </c>
      <c r="E4478" s="8" t="s">
        <v>17</v>
      </c>
      <c r="F4478" s="9">
        <v>46149.0</v>
      </c>
      <c r="G4478" s="8" t="s">
        <v>385</v>
      </c>
      <c r="H4478" s="8" t="s">
        <v>386</v>
      </c>
      <c r="I4478" s="8" t="s">
        <v>13626</v>
      </c>
      <c r="J4478" s="8" t="s">
        <v>13627</v>
      </c>
    </row>
    <row r="4479">
      <c r="A4479" s="7">
        <v>2.0059715E7</v>
      </c>
      <c r="B4479" s="8" t="s">
        <v>2987</v>
      </c>
      <c r="C4479" s="8" t="s">
        <v>13628</v>
      </c>
      <c r="D4479" s="8" t="s">
        <v>16</v>
      </c>
      <c r="E4479" s="8" t="s">
        <v>17</v>
      </c>
      <c r="F4479" s="9">
        <v>46139.0</v>
      </c>
      <c r="G4479" s="8" t="s">
        <v>59</v>
      </c>
      <c r="H4479" s="8" t="s">
        <v>60</v>
      </c>
      <c r="I4479" s="8" t="s">
        <v>13629</v>
      </c>
      <c r="J4479" s="8" t="s">
        <v>13630</v>
      </c>
    </row>
    <row r="4480">
      <c r="A4480" s="7">
        <v>2.005594E7</v>
      </c>
      <c r="B4480" s="8" t="s">
        <v>2987</v>
      </c>
      <c r="C4480" s="8" t="s">
        <v>13631</v>
      </c>
      <c r="D4480" s="8" t="s">
        <v>16</v>
      </c>
      <c r="E4480" s="8" t="s">
        <v>17</v>
      </c>
      <c r="F4480" s="9">
        <v>46151.0</v>
      </c>
      <c r="G4480" s="8" t="s">
        <v>158</v>
      </c>
      <c r="H4480" s="8" t="s">
        <v>159</v>
      </c>
      <c r="I4480" s="8" t="s">
        <v>13632</v>
      </c>
      <c r="J4480" s="8" t="s">
        <v>13633</v>
      </c>
    </row>
    <row r="4481">
      <c r="A4481" s="7">
        <v>2.0053499E7</v>
      </c>
      <c r="B4481" s="8" t="s">
        <v>2987</v>
      </c>
      <c r="C4481" s="8" t="s">
        <v>13634</v>
      </c>
      <c r="D4481" s="8" t="s">
        <v>16</v>
      </c>
      <c r="E4481" s="8" t="s">
        <v>17</v>
      </c>
      <c r="F4481" s="9">
        <v>46119.0</v>
      </c>
      <c r="G4481" s="8" t="s">
        <v>504</v>
      </c>
      <c r="H4481" s="8" t="s">
        <v>505</v>
      </c>
      <c r="I4481" s="8" t="s">
        <v>13635</v>
      </c>
      <c r="J4481" s="8" t="s">
        <v>13636</v>
      </c>
    </row>
    <row r="4482">
      <c r="A4482" s="7">
        <v>2.0051333E7</v>
      </c>
      <c r="B4482" s="8" t="s">
        <v>2987</v>
      </c>
      <c r="C4482" s="8" t="s">
        <v>13637</v>
      </c>
      <c r="D4482" s="8" t="s">
        <v>16</v>
      </c>
      <c r="E4482" s="8" t="s">
        <v>17</v>
      </c>
      <c r="F4482" s="9">
        <v>46109.0</v>
      </c>
      <c r="G4482" s="8" t="s">
        <v>873</v>
      </c>
      <c r="H4482" s="8" t="s">
        <v>874</v>
      </c>
      <c r="I4482" s="8" t="s">
        <v>13638</v>
      </c>
      <c r="J4482" s="8" t="s">
        <v>13639</v>
      </c>
    </row>
    <row r="4483">
      <c r="A4483" s="7">
        <v>2.0049207E7</v>
      </c>
      <c r="B4483" s="8" t="s">
        <v>2987</v>
      </c>
      <c r="C4483" s="8" t="s">
        <v>13640</v>
      </c>
      <c r="D4483" s="8" t="s">
        <v>16</v>
      </c>
      <c r="E4483" s="8" t="s">
        <v>17</v>
      </c>
      <c r="F4483" s="9">
        <v>46119.0</v>
      </c>
      <c r="G4483" s="8" t="s">
        <v>688</v>
      </c>
      <c r="H4483" s="8" t="s">
        <v>689</v>
      </c>
      <c r="I4483" s="8" t="s">
        <v>13641</v>
      </c>
      <c r="J4483" s="8" t="s">
        <v>13642</v>
      </c>
    </row>
    <row r="4484">
      <c r="A4484" s="7">
        <v>2.004804E7</v>
      </c>
      <c r="B4484" s="8" t="s">
        <v>2987</v>
      </c>
      <c r="C4484" s="8" t="s">
        <v>13643</v>
      </c>
      <c r="D4484" s="8" t="s">
        <v>16</v>
      </c>
      <c r="E4484" s="8" t="s">
        <v>17</v>
      </c>
      <c r="F4484" s="9">
        <v>46093.0</v>
      </c>
      <c r="G4484" s="8" t="s">
        <v>517</v>
      </c>
      <c r="H4484" s="8" t="s">
        <v>518</v>
      </c>
      <c r="I4484" s="8" t="s">
        <v>13644</v>
      </c>
      <c r="J4484" s="8" t="s">
        <v>13645</v>
      </c>
    </row>
    <row r="4485">
      <c r="A4485" s="7">
        <v>2.0040618E7</v>
      </c>
      <c r="B4485" s="8" t="s">
        <v>2987</v>
      </c>
      <c r="C4485" s="8" t="s">
        <v>13646</v>
      </c>
      <c r="D4485" s="8" t="s">
        <v>16</v>
      </c>
      <c r="E4485" s="8" t="s">
        <v>17</v>
      </c>
      <c r="F4485" s="9">
        <v>46094.0</v>
      </c>
      <c r="G4485" s="8" t="s">
        <v>234</v>
      </c>
      <c r="H4485" s="8" t="s">
        <v>235</v>
      </c>
      <c r="I4485" s="8" t="s">
        <v>13647</v>
      </c>
      <c r="J4485" s="8" t="s">
        <v>13648</v>
      </c>
    </row>
    <row r="4486">
      <c r="A4486" s="7">
        <v>2.0040768E7</v>
      </c>
      <c r="B4486" s="8" t="s">
        <v>2987</v>
      </c>
      <c r="C4486" s="8" t="s">
        <v>13649</v>
      </c>
      <c r="D4486" s="8" t="s">
        <v>16</v>
      </c>
      <c r="E4486" s="8" t="s">
        <v>17</v>
      </c>
      <c r="F4486" s="9">
        <v>46082.0</v>
      </c>
      <c r="G4486" s="8" t="s">
        <v>59</v>
      </c>
      <c r="H4486" s="8" t="s">
        <v>60</v>
      </c>
      <c r="I4486" s="8" t="s">
        <v>13650</v>
      </c>
      <c r="J4486" s="8" t="s">
        <v>13651</v>
      </c>
    </row>
    <row r="4487">
      <c r="A4487" s="7">
        <v>2.0037245E7</v>
      </c>
      <c r="B4487" s="8" t="s">
        <v>2987</v>
      </c>
      <c r="C4487" s="8" t="s">
        <v>13652</v>
      </c>
      <c r="D4487" s="8" t="s">
        <v>16</v>
      </c>
      <c r="E4487" s="8" t="s">
        <v>17</v>
      </c>
      <c r="F4487" s="9">
        <v>46057.0</v>
      </c>
      <c r="G4487" s="8" t="s">
        <v>59</v>
      </c>
      <c r="H4487" s="8" t="s">
        <v>60</v>
      </c>
      <c r="I4487" s="8" t="s">
        <v>13653</v>
      </c>
      <c r="J4487" s="8" t="s">
        <v>13654</v>
      </c>
    </row>
    <row r="4488">
      <c r="A4488" s="7">
        <v>2.0031793E7</v>
      </c>
      <c r="B4488" s="8" t="s">
        <v>2987</v>
      </c>
      <c r="C4488" s="8" t="s">
        <v>13655</v>
      </c>
      <c r="D4488" s="8" t="s">
        <v>16</v>
      </c>
      <c r="E4488" s="8" t="s">
        <v>17</v>
      </c>
      <c r="F4488" s="9">
        <v>46053.0</v>
      </c>
      <c r="G4488" s="8" t="s">
        <v>54</v>
      </c>
      <c r="H4488" s="8" t="s">
        <v>55</v>
      </c>
      <c r="I4488" s="8" t="s">
        <v>13656</v>
      </c>
      <c r="J4488" s="8" t="s">
        <v>13657</v>
      </c>
    </row>
    <row r="4489">
      <c r="A4489" s="7">
        <v>2.0036995E7</v>
      </c>
      <c r="B4489" s="8" t="s">
        <v>2987</v>
      </c>
      <c r="C4489" s="8" t="s">
        <v>13658</v>
      </c>
      <c r="D4489" s="8" t="s">
        <v>16</v>
      </c>
      <c r="E4489" s="8" t="s">
        <v>17</v>
      </c>
      <c r="F4489" s="9">
        <v>46067.0</v>
      </c>
      <c r="G4489" s="8" t="s">
        <v>10833</v>
      </c>
      <c r="H4489" s="8" t="s">
        <v>10834</v>
      </c>
      <c r="I4489" s="8" t="s">
        <v>13659</v>
      </c>
      <c r="J4489" s="8" t="s">
        <v>13660</v>
      </c>
    </row>
    <row r="4490">
      <c r="A4490" s="7">
        <v>2.0034452E7</v>
      </c>
      <c r="B4490" s="8" t="s">
        <v>2987</v>
      </c>
      <c r="C4490" s="8" t="s">
        <v>13661</v>
      </c>
      <c r="D4490" s="8" t="s">
        <v>16</v>
      </c>
      <c r="E4490" s="8" t="s">
        <v>17</v>
      </c>
      <c r="F4490" s="9">
        <v>46057.0</v>
      </c>
      <c r="G4490" s="8" t="s">
        <v>601</v>
      </c>
      <c r="H4490" s="8" t="s">
        <v>602</v>
      </c>
      <c r="I4490" s="8"/>
      <c r="J4490" s="8" t="s">
        <v>13662</v>
      </c>
    </row>
    <row r="4491">
      <c r="A4491" s="7">
        <v>2.0032771E7</v>
      </c>
      <c r="B4491" s="8" t="s">
        <v>2987</v>
      </c>
      <c r="C4491" s="8" t="s">
        <v>13663</v>
      </c>
      <c r="D4491" s="8" t="s">
        <v>16</v>
      </c>
      <c r="E4491" s="8" t="s">
        <v>48</v>
      </c>
      <c r="F4491" s="9">
        <v>46043.0</v>
      </c>
      <c r="G4491" s="8" t="s">
        <v>59</v>
      </c>
      <c r="H4491" s="8" t="s">
        <v>60</v>
      </c>
      <c r="I4491" s="8" t="s">
        <v>13664</v>
      </c>
      <c r="J4491" s="8" t="s">
        <v>13665</v>
      </c>
    </row>
    <row r="4492">
      <c r="A4492" s="7">
        <v>2.0069589E7</v>
      </c>
      <c r="B4492" s="8" t="s">
        <v>2987</v>
      </c>
      <c r="C4492" s="8" t="s">
        <v>13666</v>
      </c>
      <c r="D4492" s="8" t="s">
        <v>16</v>
      </c>
      <c r="E4492" s="8" t="s">
        <v>17</v>
      </c>
      <c r="F4492" s="9">
        <v>46185.0</v>
      </c>
      <c r="G4492" s="8" t="s">
        <v>59</v>
      </c>
      <c r="H4492" s="8" t="s">
        <v>60</v>
      </c>
      <c r="I4492" s="8" t="s">
        <v>13667</v>
      </c>
      <c r="J4492" s="8" t="s">
        <v>13668</v>
      </c>
    </row>
    <row r="4493">
      <c r="A4493" s="7">
        <v>2.0067839E7</v>
      </c>
      <c r="B4493" s="8" t="s">
        <v>2987</v>
      </c>
      <c r="C4493" s="8" t="s">
        <v>13669</v>
      </c>
      <c r="D4493" s="8" t="s">
        <v>16</v>
      </c>
      <c r="E4493" s="8" t="s">
        <v>17</v>
      </c>
      <c r="F4493" s="9">
        <v>46184.0</v>
      </c>
      <c r="G4493" s="8" t="s">
        <v>12566</v>
      </c>
      <c r="H4493" s="8" t="s">
        <v>12567</v>
      </c>
      <c r="I4493" s="8" t="s">
        <v>13670</v>
      </c>
      <c r="J4493" s="8" t="s">
        <v>13671</v>
      </c>
    </row>
    <row r="4494">
      <c r="A4494" s="7">
        <v>2.0064662E7</v>
      </c>
      <c r="B4494" s="8" t="s">
        <v>2987</v>
      </c>
      <c r="C4494" s="8" t="s">
        <v>13672</v>
      </c>
      <c r="D4494" s="8" t="s">
        <v>16</v>
      </c>
      <c r="E4494" s="8" t="s">
        <v>17</v>
      </c>
      <c r="F4494" s="9">
        <v>46178.0</v>
      </c>
      <c r="G4494" s="8" t="s">
        <v>59</v>
      </c>
      <c r="H4494" s="8" t="s">
        <v>60</v>
      </c>
      <c r="I4494" s="8" t="s">
        <v>13673</v>
      </c>
      <c r="J4494" s="8" t="s">
        <v>13674</v>
      </c>
    </row>
    <row r="4495">
      <c r="A4495" s="7">
        <v>2.0063186E7</v>
      </c>
      <c r="B4495" s="8" t="s">
        <v>2987</v>
      </c>
      <c r="C4495" s="8" t="s">
        <v>13675</v>
      </c>
      <c r="D4495" s="8" t="s">
        <v>16</v>
      </c>
      <c r="E4495" s="8" t="s">
        <v>17</v>
      </c>
      <c r="F4495" s="9">
        <v>46176.0</v>
      </c>
      <c r="G4495" s="8" t="s">
        <v>791</v>
      </c>
      <c r="H4495" s="8" t="s">
        <v>792</v>
      </c>
      <c r="I4495" s="8" t="s">
        <v>13676</v>
      </c>
      <c r="J4495" s="8" t="s">
        <v>13677</v>
      </c>
    </row>
    <row r="4496">
      <c r="A4496" s="7">
        <v>2.0063186E7</v>
      </c>
      <c r="B4496" s="8" t="s">
        <v>2987</v>
      </c>
      <c r="C4496" s="8" t="s">
        <v>13675</v>
      </c>
      <c r="D4496" s="8" t="s">
        <v>16</v>
      </c>
      <c r="E4496" s="8" t="s">
        <v>17</v>
      </c>
      <c r="F4496" s="9">
        <v>46176.0</v>
      </c>
      <c r="G4496" s="8" t="s">
        <v>1841</v>
      </c>
      <c r="H4496" s="8" t="s">
        <v>1842</v>
      </c>
      <c r="I4496" s="8" t="s">
        <v>13678</v>
      </c>
      <c r="J4496" s="8" t="s">
        <v>13679</v>
      </c>
    </row>
    <row r="4497">
      <c r="A4497" s="7">
        <v>2.0063059E7</v>
      </c>
      <c r="B4497" s="8" t="s">
        <v>2987</v>
      </c>
      <c r="C4497" s="8" t="s">
        <v>13680</v>
      </c>
      <c r="D4497" s="8" t="s">
        <v>16</v>
      </c>
      <c r="E4497" s="8" t="s">
        <v>17</v>
      </c>
      <c r="F4497" s="9">
        <v>46173.0</v>
      </c>
      <c r="G4497" s="8" t="s">
        <v>1841</v>
      </c>
      <c r="H4497" s="8" t="s">
        <v>1842</v>
      </c>
      <c r="I4497" s="8" t="s">
        <v>13681</v>
      </c>
      <c r="J4497" s="8" t="s">
        <v>13682</v>
      </c>
    </row>
    <row r="4498">
      <c r="A4498" s="7">
        <v>2.006147E7</v>
      </c>
      <c r="B4498" s="8" t="s">
        <v>2987</v>
      </c>
      <c r="C4498" s="8" t="s">
        <v>13683</v>
      </c>
      <c r="D4498" s="8" t="s">
        <v>16</v>
      </c>
      <c r="E4498" s="8" t="s">
        <v>17</v>
      </c>
      <c r="F4498" s="9">
        <v>46189.0</v>
      </c>
      <c r="G4498" s="8" t="s">
        <v>607</v>
      </c>
      <c r="H4498" s="8" t="s">
        <v>608</v>
      </c>
      <c r="I4498" s="8" t="s">
        <v>13684</v>
      </c>
      <c r="J4498" s="8" t="s">
        <v>13685</v>
      </c>
    </row>
    <row r="4499">
      <c r="A4499" s="7">
        <v>2.0061461E7</v>
      </c>
      <c r="B4499" s="8" t="s">
        <v>2987</v>
      </c>
      <c r="C4499" s="8" t="s">
        <v>13686</v>
      </c>
      <c r="D4499" s="8" t="s">
        <v>16</v>
      </c>
      <c r="E4499" s="8" t="s">
        <v>17</v>
      </c>
      <c r="F4499" s="9">
        <v>46151.0</v>
      </c>
      <c r="G4499" s="8" t="s">
        <v>12329</v>
      </c>
      <c r="H4499" s="8" t="s">
        <v>12331</v>
      </c>
      <c r="I4499" s="8" t="s">
        <v>13687</v>
      </c>
      <c r="J4499" s="8"/>
    </row>
    <row r="4500">
      <c r="A4500" s="7">
        <v>2.0059303E7</v>
      </c>
      <c r="B4500" s="8" t="s">
        <v>2987</v>
      </c>
      <c r="C4500" s="8" t="s">
        <v>13688</v>
      </c>
      <c r="D4500" s="8" t="s">
        <v>16</v>
      </c>
      <c r="E4500" s="8" t="s">
        <v>17</v>
      </c>
      <c r="F4500" s="9">
        <v>46144.0</v>
      </c>
      <c r="G4500" s="8" t="s">
        <v>822</v>
      </c>
      <c r="H4500" s="8" t="s">
        <v>3985</v>
      </c>
      <c r="I4500" s="8" t="s">
        <v>13689</v>
      </c>
      <c r="J4500" s="8" t="s">
        <v>13690</v>
      </c>
    </row>
    <row r="4501">
      <c r="A4501" s="7">
        <v>2.0057078E7</v>
      </c>
      <c r="B4501" s="8" t="s">
        <v>2987</v>
      </c>
      <c r="C4501" s="8" t="s">
        <v>13691</v>
      </c>
      <c r="D4501" s="8" t="s">
        <v>16</v>
      </c>
      <c r="E4501" s="8" t="s">
        <v>17</v>
      </c>
      <c r="F4501" s="9">
        <v>46146.0</v>
      </c>
      <c r="G4501" s="8" t="s">
        <v>13692</v>
      </c>
      <c r="H4501" s="8" t="s">
        <v>13693</v>
      </c>
      <c r="I4501" s="8" t="s">
        <v>13694</v>
      </c>
      <c r="J4501" s="8"/>
    </row>
    <row r="4502">
      <c r="A4502" s="7">
        <v>2.0056804E7</v>
      </c>
      <c r="B4502" s="8" t="s">
        <v>2987</v>
      </c>
      <c r="C4502" s="8" t="s">
        <v>13695</v>
      </c>
      <c r="D4502" s="8" t="s">
        <v>16</v>
      </c>
      <c r="E4502" s="8" t="s">
        <v>17</v>
      </c>
      <c r="F4502" s="9">
        <v>46131.0</v>
      </c>
      <c r="G4502" s="8" t="s">
        <v>504</v>
      </c>
      <c r="H4502" s="8" t="s">
        <v>505</v>
      </c>
      <c r="I4502" s="8" t="s">
        <v>13696</v>
      </c>
      <c r="J4502" s="8" t="s">
        <v>13697</v>
      </c>
    </row>
    <row r="4503">
      <c r="A4503" s="7">
        <v>2.0051358E7</v>
      </c>
      <c r="B4503" s="8" t="s">
        <v>2987</v>
      </c>
      <c r="C4503" s="8" t="s">
        <v>13698</v>
      </c>
      <c r="D4503" s="8" t="s">
        <v>16</v>
      </c>
      <c r="E4503" s="8" t="s">
        <v>17</v>
      </c>
      <c r="F4503" s="9">
        <v>46145.0</v>
      </c>
      <c r="G4503" s="8" t="s">
        <v>13699</v>
      </c>
      <c r="H4503" s="8" t="s">
        <v>13700</v>
      </c>
      <c r="I4503" s="8" t="s">
        <v>13701</v>
      </c>
      <c r="J4503" s="8" t="s">
        <v>13702</v>
      </c>
    </row>
    <row r="4504">
      <c r="A4504" s="7">
        <v>2.0049411E7</v>
      </c>
      <c r="B4504" s="8" t="s">
        <v>2987</v>
      </c>
      <c r="C4504" s="8" t="s">
        <v>13703</v>
      </c>
      <c r="D4504" s="8" t="s">
        <v>16</v>
      </c>
      <c r="E4504" s="8" t="s">
        <v>17</v>
      </c>
      <c r="F4504" s="9">
        <v>46104.0</v>
      </c>
      <c r="G4504" s="8" t="s">
        <v>1854</v>
      </c>
      <c r="H4504" s="8" t="s">
        <v>44</v>
      </c>
      <c r="I4504" s="8" t="s">
        <v>13704</v>
      </c>
      <c r="J4504" s="8" t="s">
        <v>13705</v>
      </c>
    </row>
    <row r="4505">
      <c r="A4505" s="7">
        <v>2.0049411E7</v>
      </c>
      <c r="B4505" s="8" t="s">
        <v>2987</v>
      </c>
      <c r="C4505" s="8" t="s">
        <v>13703</v>
      </c>
      <c r="D4505" s="8" t="s">
        <v>16</v>
      </c>
      <c r="E4505" s="8" t="s">
        <v>17</v>
      </c>
      <c r="F4505" s="9">
        <v>46104.0</v>
      </c>
      <c r="G4505" s="8" t="s">
        <v>13706</v>
      </c>
      <c r="H4505" s="8" t="s">
        <v>5065</v>
      </c>
      <c r="I4505" s="8" t="s">
        <v>13707</v>
      </c>
      <c r="J4505" s="8" t="s">
        <v>13708</v>
      </c>
    </row>
    <row r="4506">
      <c r="A4506" s="7">
        <v>2.0046962E7</v>
      </c>
      <c r="B4506" s="8" t="s">
        <v>2987</v>
      </c>
      <c r="C4506" s="8" t="s">
        <v>13709</v>
      </c>
      <c r="D4506" s="8" t="s">
        <v>16</v>
      </c>
      <c r="E4506" s="8" t="s">
        <v>17</v>
      </c>
      <c r="F4506" s="9">
        <v>46110.0</v>
      </c>
      <c r="G4506" s="8" t="s">
        <v>361</v>
      </c>
      <c r="H4506" s="8" t="s">
        <v>362</v>
      </c>
      <c r="I4506" s="8" t="s">
        <v>13710</v>
      </c>
      <c r="J4506" s="8" t="s">
        <v>13711</v>
      </c>
    </row>
    <row r="4507">
      <c r="A4507" s="7">
        <v>2.0040936E7</v>
      </c>
      <c r="B4507" s="8" t="s">
        <v>2987</v>
      </c>
      <c r="C4507" s="8" t="s">
        <v>13712</v>
      </c>
      <c r="D4507" s="8" t="s">
        <v>16</v>
      </c>
      <c r="E4507" s="8" t="s">
        <v>17</v>
      </c>
      <c r="F4507" s="9">
        <v>46131.0</v>
      </c>
      <c r="G4507" s="8" t="s">
        <v>2621</v>
      </c>
      <c r="H4507" s="8" t="s">
        <v>2622</v>
      </c>
      <c r="I4507" s="8" t="s">
        <v>13713</v>
      </c>
      <c r="J4507" s="8"/>
    </row>
    <row r="4508">
      <c r="A4508" s="7">
        <v>2.0040936E7</v>
      </c>
      <c r="B4508" s="8" t="s">
        <v>2987</v>
      </c>
      <c r="C4508" s="8" t="s">
        <v>13712</v>
      </c>
      <c r="D4508" s="8" t="s">
        <v>16</v>
      </c>
      <c r="E4508" s="8" t="s">
        <v>17</v>
      </c>
      <c r="F4508" s="9">
        <v>46131.0</v>
      </c>
      <c r="G4508" s="8" t="s">
        <v>5870</v>
      </c>
      <c r="H4508" s="8" t="s">
        <v>1294</v>
      </c>
      <c r="I4508" s="8" t="s">
        <v>13714</v>
      </c>
      <c r="J4508" s="8" t="s">
        <v>13715</v>
      </c>
    </row>
    <row r="4509">
      <c r="A4509" s="7">
        <v>2.0040936E7</v>
      </c>
      <c r="B4509" s="8" t="s">
        <v>2987</v>
      </c>
      <c r="C4509" s="8" t="s">
        <v>13712</v>
      </c>
      <c r="D4509" s="8" t="s">
        <v>16</v>
      </c>
      <c r="E4509" s="8" t="s">
        <v>17</v>
      </c>
      <c r="F4509" s="9">
        <v>46131.0</v>
      </c>
      <c r="G4509" s="8" t="s">
        <v>2625</v>
      </c>
      <c r="H4509" s="8" t="s">
        <v>3001</v>
      </c>
      <c r="I4509" s="8" t="s">
        <v>13716</v>
      </c>
      <c r="J4509" s="8" t="s">
        <v>13717</v>
      </c>
    </row>
    <row r="4510">
      <c r="A4510" s="7">
        <v>2.0047489E7</v>
      </c>
      <c r="B4510" s="8" t="s">
        <v>2987</v>
      </c>
      <c r="C4510" s="8" t="s">
        <v>13718</v>
      </c>
      <c r="D4510" s="8" t="s">
        <v>16</v>
      </c>
      <c r="E4510" s="8" t="s">
        <v>17</v>
      </c>
      <c r="F4510" s="9">
        <v>46096.0</v>
      </c>
      <c r="G4510" s="8" t="s">
        <v>3434</v>
      </c>
      <c r="H4510" s="8" t="s">
        <v>44</v>
      </c>
      <c r="I4510" s="8" t="s">
        <v>13719</v>
      </c>
      <c r="J4510" s="8" t="s">
        <v>13720</v>
      </c>
    </row>
    <row r="4511">
      <c r="A4511" s="7">
        <v>2.0045309E7</v>
      </c>
      <c r="B4511" s="8" t="s">
        <v>2987</v>
      </c>
      <c r="C4511" s="8" t="s">
        <v>13721</v>
      </c>
      <c r="D4511" s="8" t="s">
        <v>16</v>
      </c>
      <c r="E4511" s="8" t="s">
        <v>17</v>
      </c>
      <c r="F4511" s="9">
        <v>46087.0</v>
      </c>
      <c r="G4511" s="8" t="s">
        <v>385</v>
      </c>
      <c r="H4511" s="8" t="s">
        <v>386</v>
      </c>
      <c r="I4511" s="8" t="s">
        <v>13722</v>
      </c>
      <c r="J4511" s="8" t="s">
        <v>13723</v>
      </c>
    </row>
    <row r="4512">
      <c r="A4512" s="7">
        <v>2.003898E7</v>
      </c>
      <c r="B4512" s="8" t="s">
        <v>2987</v>
      </c>
      <c r="C4512" s="8" t="s">
        <v>13724</v>
      </c>
      <c r="D4512" s="8" t="s">
        <v>16</v>
      </c>
      <c r="E4512" s="8" t="s">
        <v>17</v>
      </c>
      <c r="F4512" s="9">
        <v>46087.0</v>
      </c>
      <c r="G4512" s="8" t="s">
        <v>440</v>
      </c>
      <c r="H4512" s="8" t="s">
        <v>44</v>
      </c>
      <c r="I4512" s="8" t="s">
        <v>13725</v>
      </c>
      <c r="J4512" s="8" t="s">
        <v>13726</v>
      </c>
    </row>
    <row r="4513">
      <c r="A4513" s="7">
        <v>2.0037805E7</v>
      </c>
      <c r="B4513" s="8" t="s">
        <v>2987</v>
      </c>
      <c r="C4513" s="8" t="s">
        <v>13727</v>
      </c>
      <c r="D4513" s="8" t="s">
        <v>16</v>
      </c>
      <c r="E4513" s="8" t="s">
        <v>17</v>
      </c>
      <c r="F4513" s="9">
        <v>46078.0</v>
      </c>
      <c r="G4513" s="8" t="s">
        <v>7242</v>
      </c>
      <c r="H4513" s="8" t="s">
        <v>7243</v>
      </c>
      <c r="I4513" s="8" t="s">
        <v>13728</v>
      </c>
      <c r="J4513" s="8" t="s">
        <v>13729</v>
      </c>
    </row>
    <row r="4514">
      <c r="A4514" s="7">
        <v>2.0030816E7</v>
      </c>
      <c r="B4514" s="8" t="s">
        <v>2987</v>
      </c>
      <c r="C4514" s="8" t="s">
        <v>13730</v>
      </c>
      <c r="D4514" s="8" t="s">
        <v>16</v>
      </c>
      <c r="E4514" s="8" t="s">
        <v>17</v>
      </c>
      <c r="F4514" s="9">
        <v>46083.0</v>
      </c>
      <c r="G4514" s="8" t="s">
        <v>13731</v>
      </c>
      <c r="H4514" s="8" t="s">
        <v>13732</v>
      </c>
      <c r="I4514" s="8" t="s">
        <v>13733</v>
      </c>
      <c r="J4514" s="8" t="s">
        <v>13734</v>
      </c>
    </row>
    <row r="4515">
      <c r="A4515" s="7">
        <v>2.0030816E7</v>
      </c>
      <c r="B4515" s="8" t="s">
        <v>2987</v>
      </c>
      <c r="C4515" s="8" t="s">
        <v>13730</v>
      </c>
      <c r="D4515" s="8" t="s">
        <v>16</v>
      </c>
      <c r="E4515" s="8" t="s">
        <v>17</v>
      </c>
      <c r="F4515" s="9">
        <v>46083.0</v>
      </c>
      <c r="G4515" s="8" t="s">
        <v>13735</v>
      </c>
      <c r="H4515" s="8" t="s">
        <v>13736</v>
      </c>
      <c r="I4515" s="8" t="s">
        <v>13737</v>
      </c>
      <c r="J4515" s="8" t="s">
        <v>13738</v>
      </c>
    </row>
    <row r="4516">
      <c r="A4516" s="7">
        <v>2.0037103E7</v>
      </c>
      <c r="B4516" s="8" t="s">
        <v>2987</v>
      </c>
      <c r="C4516" s="8" t="s">
        <v>13739</v>
      </c>
      <c r="D4516" s="8" t="s">
        <v>16</v>
      </c>
      <c r="E4516" s="8" t="s">
        <v>17</v>
      </c>
      <c r="F4516" s="9">
        <v>46106.0</v>
      </c>
      <c r="G4516" s="8" t="s">
        <v>59</v>
      </c>
      <c r="H4516" s="8" t="s">
        <v>60</v>
      </c>
      <c r="I4516" s="8" t="s">
        <v>13740</v>
      </c>
      <c r="J4516" s="8" t="s">
        <v>13741</v>
      </c>
    </row>
    <row r="4517">
      <c r="A4517" s="7">
        <v>2.006826E7</v>
      </c>
      <c r="B4517" s="8" t="s">
        <v>2987</v>
      </c>
      <c r="C4517" s="8" t="s">
        <v>13742</v>
      </c>
      <c r="D4517" s="8" t="s">
        <v>16</v>
      </c>
      <c r="E4517" s="8" t="s">
        <v>700</v>
      </c>
      <c r="F4517" s="9">
        <v>46186.0</v>
      </c>
      <c r="G4517" s="8" t="s">
        <v>13743</v>
      </c>
      <c r="H4517" s="8" t="s">
        <v>13744</v>
      </c>
      <c r="I4517" s="8" t="s">
        <v>13745</v>
      </c>
      <c r="J4517" s="8"/>
    </row>
    <row r="4518">
      <c r="A4518" s="7">
        <v>2.0066159E7</v>
      </c>
      <c r="B4518" s="8" t="s">
        <v>2987</v>
      </c>
      <c r="C4518" s="8" t="s">
        <v>13746</v>
      </c>
      <c r="D4518" s="8" t="s">
        <v>16</v>
      </c>
      <c r="E4518" s="8" t="s">
        <v>17</v>
      </c>
      <c r="F4518" s="9">
        <v>46189.0</v>
      </c>
      <c r="G4518" s="8" t="s">
        <v>314</v>
      </c>
      <c r="H4518" s="8" t="s">
        <v>315</v>
      </c>
      <c r="I4518" s="8" t="s">
        <v>10303</v>
      </c>
      <c r="J4518" s="8" t="s">
        <v>13747</v>
      </c>
    </row>
    <row r="4519">
      <c r="A4519" s="7">
        <v>2.0066159E7</v>
      </c>
      <c r="B4519" s="8" t="s">
        <v>2987</v>
      </c>
      <c r="C4519" s="8" t="s">
        <v>13746</v>
      </c>
      <c r="D4519" s="8" t="s">
        <v>16</v>
      </c>
      <c r="E4519" s="8" t="s">
        <v>17</v>
      </c>
      <c r="F4519" s="9">
        <v>46189.0</v>
      </c>
      <c r="G4519" s="8" t="s">
        <v>13312</v>
      </c>
      <c r="H4519" s="8" t="s">
        <v>13313</v>
      </c>
      <c r="I4519" s="8" t="s">
        <v>13748</v>
      </c>
      <c r="J4519" s="8"/>
    </row>
    <row r="4520">
      <c r="A4520" s="7">
        <v>2.0061067E7</v>
      </c>
      <c r="B4520" s="8" t="s">
        <v>2987</v>
      </c>
      <c r="C4520" s="8" t="s">
        <v>13749</v>
      </c>
      <c r="D4520" s="8" t="s">
        <v>16</v>
      </c>
      <c r="E4520" s="8" t="s">
        <v>17</v>
      </c>
      <c r="F4520" s="9">
        <v>46177.0</v>
      </c>
      <c r="G4520" s="8" t="s">
        <v>5812</v>
      </c>
      <c r="H4520" s="8" t="s">
        <v>5813</v>
      </c>
      <c r="I4520" s="8" t="s">
        <v>13750</v>
      </c>
      <c r="J4520" s="8"/>
    </row>
    <row r="4521">
      <c r="A4521" s="7">
        <v>2.0060664E7</v>
      </c>
      <c r="B4521" s="8" t="s">
        <v>2987</v>
      </c>
      <c r="C4521" s="8" t="s">
        <v>13751</v>
      </c>
      <c r="D4521" s="8" t="s">
        <v>16</v>
      </c>
      <c r="E4521" s="8" t="s">
        <v>17</v>
      </c>
      <c r="F4521" s="9">
        <v>46151.0</v>
      </c>
      <c r="G4521" s="8" t="s">
        <v>59</v>
      </c>
      <c r="H4521" s="8" t="s">
        <v>60</v>
      </c>
      <c r="I4521" s="8" t="s">
        <v>13752</v>
      </c>
      <c r="J4521" s="8" t="s">
        <v>13753</v>
      </c>
    </row>
    <row r="4522">
      <c r="A4522" s="7">
        <v>2.005895E7</v>
      </c>
      <c r="B4522" s="8" t="s">
        <v>2987</v>
      </c>
      <c r="C4522" s="8" t="s">
        <v>13754</v>
      </c>
      <c r="D4522" s="8" t="s">
        <v>16</v>
      </c>
      <c r="E4522" s="8" t="s">
        <v>700</v>
      </c>
      <c r="F4522" s="9">
        <v>46188.0</v>
      </c>
      <c r="G4522" s="8" t="s">
        <v>314</v>
      </c>
      <c r="H4522" s="8" t="s">
        <v>315</v>
      </c>
      <c r="I4522" s="8" t="s">
        <v>13755</v>
      </c>
      <c r="J4522" s="8" t="s">
        <v>13756</v>
      </c>
    </row>
    <row r="4523">
      <c r="A4523" s="7">
        <v>2.005895E7</v>
      </c>
      <c r="B4523" s="8" t="s">
        <v>2987</v>
      </c>
      <c r="C4523" s="8" t="s">
        <v>13754</v>
      </c>
      <c r="D4523" s="8" t="s">
        <v>16</v>
      </c>
      <c r="E4523" s="8" t="s">
        <v>700</v>
      </c>
      <c r="F4523" s="9">
        <v>46188.0</v>
      </c>
      <c r="G4523" s="8" t="s">
        <v>13312</v>
      </c>
      <c r="H4523" s="8" t="s">
        <v>13313</v>
      </c>
      <c r="I4523" s="8" t="s">
        <v>13757</v>
      </c>
      <c r="J4523" s="8"/>
    </row>
    <row r="4524">
      <c r="A4524" s="7">
        <v>2.0054447E7</v>
      </c>
      <c r="B4524" s="8" t="s">
        <v>2987</v>
      </c>
      <c r="C4524" s="8" t="s">
        <v>13758</v>
      </c>
      <c r="D4524" s="8" t="s">
        <v>16</v>
      </c>
      <c r="E4524" s="8" t="s">
        <v>17</v>
      </c>
      <c r="F4524" s="9">
        <v>46136.0</v>
      </c>
      <c r="G4524" s="8" t="s">
        <v>361</v>
      </c>
      <c r="H4524" s="8" t="s">
        <v>362</v>
      </c>
      <c r="I4524" s="8" t="s">
        <v>13759</v>
      </c>
      <c r="J4524" s="8" t="s">
        <v>13760</v>
      </c>
    </row>
    <row r="4525">
      <c r="A4525" s="7">
        <v>2.0054121E7</v>
      </c>
      <c r="B4525" s="8" t="s">
        <v>2987</v>
      </c>
      <c r="C4525" s="8" t="s">
        <v>13761</v>
      </c>
      <c r="D4525" s="8" t="s">
        <v>16</v>
      </c>
      <c r="E4525" s="8" t="s">
        <v>17</v>
      </c>
      <c r="F4525" s="9">
        <v>46122.0</v>
      </c>
      <c r="G4525" s="8" t="s">
        <v>3572</v>
      </c>
      <c r="H4525" s="8" t="s">
        <v>3573</v>
      </c>
      <c r="I4525" s="8" t="s">
        <v>13762</v>
      </c>
      <c r="J4525" s="8" t="s">
        <v>13763</v>
      </c>
    </row>
    <row r="4526">
      <c r="A4526" s="7">
        <v>2.0053553E7</v>
      </c>
      <c r="B4526" s="8" t="s">
        <v>2987</v>
      </c>
      <c r="C4526" s="8" t="s">
        <v>13764</v>
      </c>
      <c r="D4526" s="8" t="s">
        <v>16</v>
      </c>
      <c r="E4526" s="8" t="s">
        <v>17</v>
      </c>
      <c r="F4526" s="9">
        <v>46136.0</v>
      </c>
      <c r="G4526" s="8" t="s">
        <v>1285</v>
      </c>
      <c r="H4526" s="8" t="s">
        <v>1286</v>
      </c>
      <c r="I4526" s="8"/>
      <c r="J4526" s="8" t="s">
        <v>13765</v>
      </c>
    </row>
    <row r="4527">
      <c r="A4527" s="7">
        <v>2.0048669E7</v>
      </c>
      <c r="B4527" s="8" t="s">
        <v>2987</v>
      </c>
      <c r="C4527" s="8" t="s">
        <v>13766</v>
      </c>
      <c r="D4527" s="8" t="s">
        <v>16</v>
      </c>
      <c r="E4527" s="8" t="s">
        <v>17</v>
      </c>
      <c r="F4527" s="9">
        <v>46109.0</v>
      </c>
      <c r="G4527" s="8" t="s">
        <v>59</v>
      </c>
      <c r="H4527" s="8" t="s">
        <v>60</v>
      </c>
      <c r="I4527" s="8" t="s">
        <v>13767</v>
      </c>
      <c r="J4527" s="8" t="s">
        <v>13768</v>
      </c>
    </row>
    <row r="4528">
      <c r="A4528" s="7">
        <v>2.0034416E7</v>
      </c>
      <c r="B4528" s="8" t="s">
        <v>2987</v>
      </c>
      <c r="C4528" s="8" t="s">
        <v>13769</v>
      </c>
      <c r="D4528" s="8" t="s">
        <v>16</v>
      </c>
      <c r="E4528" s="8" t="s">
        <v>17</v>
      </c>
      <c r="F4528" s="9">
        <v>46141.0</v>
      </c>
      <c r="G4528" s="8" t="s">
        <v>423</v>
      </c>
      <c r="H4528" s="8" t="s">
        <v>424</v>
      </c>
      <c r="I4528" s="8" t="s">
        <v>13770</v>
      </c>
      <c r="J4528" s="8" t="s">
        <v>13771</v>
      </c>
    </row>
    <row r="4529">
      <c r="A4529" s="7">
        <v>2.0034416E7</v>
      </c>
      <c r="B4529" s="8" t="s">
        <v>2987</v>
      </c>
      <c r="C4529" s="8" t="s">
        <v>13769</v>
      </c>
      <c r="D4529" s="8" t="s">
        <v>16</v>
      </c>
      <c r="E4529" s="8" t="s">
        <v>17</v>
      </c>
      <c r="F4529" s="9">
        <v>46141.0</v>
      </c>
      <c r="G4529" s="8" t="s">
        <v>3008</v>
      </c>
      <c r="H4529" s="8" t="s">
        <v>3047</v>
      </c>
      <c r="I4529" s="8" t="s">
        <v>13772</v>
      </c>
      <c r="J4529" s="8"/>
    </row>
    <row r="4530">
      <c r="A4530" s="7">
        <v>2.0049953E7</v>
      </c>
      <c r="B4530" s="8" t="s">
        <v>2987</v>
      </c>
      <c r="C4530" s="8" t="s">
        <v>13773</v>
      </c>
      <c r="D4530" s="8" t="s">
        <v>16</v>
      </c>
      <c r="E4530" s="8" t="s">
        <v>17</v>
      </c>
      <c r="F4530" s="9">
        <v>46109.0</v>
      </c>
      <c r="G4530" s="8" t="s">
        <v>365</v>
      </c>
      <c r="H4530" s="8" t="s">
        <v>366</v>
      </c>
      <c r="I4530" s="8" t="s">
        <v>13774</v>
      </c>
      <c r="J4530" s="8" t="s">
        <v>13775</v>
      </c>
    </row>
    <row r="4531">
      <c r="A4531" s="7">
        <v>2.0048975E7</v>
      </c>
      <c r="B4531" s="8" t="s">
        <v>2987</v>
      </c>
      <c r="C4531" s="8" t="s">
        <v>13776</v>
      </c>
      <c r="D4531" s="8" t="s">
        <v>16</v>
      </c>
      <c r="E4531" s="8" t="s">
        <v>17</v>
      </c>
      <c r="F4531" s="9">
        <v>46100.0</v>
      </c>
      <c r="G4531" s="8" t="s">
        <v>365</v>
      </c>
      <c r="H4531" s="8" t="s">
        <v>366</v>
      </c>
      <c r="I4531" s="8" t="s">
        <v>13777</v>
      </c>
      <c r="J4531" s="8" t="s">
        <v>13778</v>
      </c>
    </row>
    <row r="4532">
      <c r="A4532" s="7">
        <v>2.0049166E7</v>
      </c>
      <c r="B4532" s="8" t="s">
        <v>2987</v>
      </c>
      <c r="C4532" s="8" t="s">
        <v>13779</v>
      </c>
      <c r="D4532" s="8" t="s">
        <v>16</v>
      </c>
      <c r="E4532" s="8" t="s">
        <v>17</v>
      </c>
      <c r="F4532" s="9">
        <v>46120.0</v>
      </c>
      <c r="G4532" s="8" t="s">
        <v>1841</v>
      </c>
      <c r="H4532" s="8" t="s">
        <v>1842</v>
      </c>
      <c r="I4532" s="8" t="s">
        <v>13780</v>
      </c>
      <c r="J4532" s="8"/>
    </row>
    <row r="4533">
      <c r="A4533" s="7">
        <v>2.004837E7</v>
      </c>
      <c r="B4533" s="8" t="s">
        <v>2987</v>
      </c>
      <c r="C4533" s="8" t="s">
        <v>13781</v>
      </c>
      <c r="D4533" s="8" t="s">
        <v>16</v>
      </c>
      <c r="E4533" s="8" t="s">
        <v>17</v>
      </c>
      <c r="F4533" s="9">
        <v>46111.0</v>
      </c>
      <c r="G4533" s="8" t="s">
        <v>3133</v>
      </c>
      <c r="H4533" s="8" t="s">
        <v>3134</v>
      </c>
      <c r="I4533" s="8" t="s">
        <v>13782</v>
      </c>
      <c r="J4533" s="8"/>
    </row>
    <row r="4534">
      <c r="A4534" s="7">
        <v>2.0046411E7</v>
      </c>
      <c r="B4534" s="8" t="s">
        <v>2987</v>
      </c>
      <c r="C4534" s="8" t="s">
        <v>13783</v>
      </c>
      <c r="D4534" s="8" t="s">
        <v>16</v>
      </c>
      <c r="E4534" s="8" t="s">
        <v>48</v>
      </c>
      <c r="F4534" s="9">
        <v>46106.0</v>
      </c>
      <c r="G4534" s="8" t="s">
        <v>29</v>
      </c>
      <c r="H4534" s="8" t="s">
        <v>30</v>
      </c>
      <c r="I4534" s="8" t="s">
        <v>13784</v>
      </c>
      <c r="J4534" s="8" t="s">
        <v>13785</v>
      </c>
    </row>
    <row r="4535">
      <c r="A4535" s="7">
        <v>2.004492E7</v>
      </c>
      <c r="B4535" s="8" t="s">
        <v>2987</v>
      </c>
      <c r="C4535" s="8" t="s">
        <v>13786</v>
      </c>
      <c r="D4535" s="8" t="s">
        <v>16</v>
      </c>
      <c r="E4535" s="8" t="s">
        <v>17</v>
      </c>
      <c r="F4535" s="9">
        <v>46083.0</v>
      </c>
      <c r="G4535" s="8" t="s">
        <v>2236</v>
      </c>
      <c r="H4535" s="8" t="s">
        <v>2237</v>
      </c>
      <c r="I4535" s="8" t="s">
        <v>13787</v>
      </c>
      <c r="J4535" s="8" t="s">
        <v>13788</v>
      </c>
    </row>
    <row r="4536">
      <c r="A4536" s="7">
        <v>2.0039129E7</v>
      </c>
      <c r="B4536" s="8" t="s">
        <v>2987</v>
      </c>
      <c r="C4536" s="8" t="s">
        <v>13789</v>
      </c>
      <c r="D4536" s="8" t="s">
        <v>16</v>
      </c>
      <c r="E4536" s="8" t="s">
        <v>17</v>
      </c>
      <c r="F4536" s="9">
        <v>46069.0</v>
      </c>
      <c r="G4536" s="8" t="s">
        <v>91</v>
      </c>
      <c r="H4536" s="8" t="s">
        <v>92</v>
      </c>
      <c r="I4536" s="8"/>
      <c r="J4536" s="8" t="s">
        <v>13790</v>
      </c>
    </row>
    <row r="4537">
      <c r="A4537" s="7">
        <v>2.0065735E7</v>
      </c>
      <c r="B4537" s="8" t="s">
        <v>2987</v>
      </c>
      <c r="C4537" s="8" t="s">
        <v>13791</v>
      </c>
      <c r="D4537" s="8" t="s">
        <v>16</v>
      </c>
      <c r="E4537" s="8" t="s">
        <v>17</v>
      </c>
      <c r="F4537" s="9">
        <v>46186.0</v>
      </c>
      <c r="G4537" s="8" t="s">
        <v>423</v>
      </c>
      <c r="H4537" s="8" t="s">
        <v>6351</v>
      </c>
      <c r="I4537" s="8" t="s">
        <v>13792</v>
      </c>
      <c r="J4537" s="8" t="s">
        <v>13793</v>
      </c>
    </row>
    <row r="4538">
      <c r="A4538" s="7">
        <v>2.006444E7</v>
      </c>
      <c r="B4538" s="8" t="s">
        <v>2987</v>
      </c>
      <c r="C4538" s="8" t="s">
        <v>13794</v>
      </c>
      <c r="D4538" s="8" t="s">
        <v>16</v>
      </c>
      <c r="E4538" s="8" t="s">
        <v>17</v>
      </c>
      <c r="F4538" s="9">
        <v>46176.0</v>
      </c>
      <c r="G4538" s="8" t="s">
        <v>1110</v>
      </c>
      <c r="H4538" s="8" t="s">
        <v>11161</v>
      </c>
      <c r="I4538" s="8" t="s">
        <v>13795</v>
      </c>
      <c r="J4538" s="8" t="s">
        <v>13796</v>
      </c>
    </row>
    <row r="4539">
      <c r="A4539" s="7">
        <v>2.0059775E7</v>
      </c>
      <c r="B4539" s="8" t="s">
        <v>2987</v>
      </c>
      <c r="C4539" s="8" t="s">
        <v>13797</v>
      </c>
      <c r="D4539" s="8" t="s">
        <v>16</v>
      </c>
      <c r="E4539" s="8" t="s">
        <v>17</v>
      </c>
      <c r="F4539" s="9">
        <v>46142.0</v>
      </c>
      <c r="G4539" s="8" t="s">
        <v>13798</v>
      </c>
      <c r="H4539" s="8" t="s">
        <v>13799</v>
      </c>
      <c r="I4539" s="8" t="s">
        <v>13800</v>
      </c>
      <c r="J4539" s="8" t="s">
        <v>13801</v>
      </c>
    </row>
    <row r="4540">
      <c r="A4540" s="7">
        <v>2.0054339E7</v>
      </c>
      <c r="B4540" s="8" t="s">
        <v>2987</v>
      </c>
      <c r="C4540" s="8" t="s">
        <v>13802</v>
      </c>
      <c r="D4540" s="8" t="s">
        <v>16</v>
      </c>
      <c r="E4540" s="8" t="s">
        <v>17</v>
      </c>
      <c r="F4540" s="9">
        <v>46141.0</v>
      </c>
      <c r="G4540" s="8" t="s">
        <v>314</v>
      </c>
      <c r="H4540" s="8" t="s">
        <v>315</v>
      </c>
      <c r="I4540" s="8" t="s">
        <v>13803</v>
      </c>
      <c r="J4540" s="8" t="s">
        <v>13804</v>
      </c>
    </row>
    <row r="4541">
      <c r="A4541" s="7">
        <v>2.00431E7</v>
      </c>
      <c r="B4541" s="8" t="s">
        <v>2987</v>
      </c>
      <c r="C4541" s="8" t="s">
        <v>13805</v>
      </c>
      <c r="D4541" s="8" t="s">
        <v>16</v>
      </c>
      <c r="E4541" s="8" t="s">
        <v>17</v>
      </c>
      <c r="F4541" s="9">
        <v>46070.0</v>
      </c>
      <c r="G4541" s="8" t="s">
        <v>339</v>
      </c>
      <c r="H4541" s="8" t="s">
        <v>340</v>
      </c>
      <c r="I4541" s="8" t="s">
        <v>13806</v>
      </c>
      <c r="J4541" s="8" t="s">
        <v>13807</v>
      </c>
    </row>
    <row r="4542">
      <c r="A4542" s="7">
        <v>2.0040287E7</v>
      </c>
      <c r="B4542" s="8" t="s">
        <v>2987</v>
      </c>
      <c r="C4542" s="8" t="s">
        <v>13808</v>
      </c>
      <c r="D4542" s="8" t="s">
        <v>16</v>
      </c>
      <c r="E4542" s="8" t="s">
        <v>17</v>
      </c>
      <c r="F4542" s="9">
        <v>46080.0</v>
      </c>
      <c r="G4542" s="8" t="s">
        <v>25</v>
      </c>
      <c r="H4542" s="8" t="s">
        <v>26</v>
      </c>
      <c r="I4542" s="8" t="s">
        <v>13809</v>
      </c>
      <c r="J4542" s="8"/>
    </row>
    <row r="4543">
      <c r="A4543" s="7">
        <v>2.0040287E7</v>
      </c>
      <c r="B4543" s="8" t="s">
        <v>2987</v>
      </c>
      <c r="C4543" s="8" t="s">
        <v>13808</v>
      </c>
      <c r="D4543" s="8" t="s">
        <v>16</v>
      </c>
      <c r="E4543" s="8" t="s">
        <v>17</v>
      </c>
      <c r="F4543" s="9">
        <v>46080.0</v>
      </c>
      <c r="G4543" s="8" t="s">
        <v>6228</v>
      </c>
      <c r="H4543" s="8" t="s">
        <v>6229</v>
      </c>
      <c r="I4543" s="8" t="s">
        <v>13810</v>
      </c>
      <c r="J4543" s="8"/>
    </row>
    <row r="4544">
      <c r="A4544" s="7">
        <v>2.003805E7</v>
      </c>
      <c r="B4544" s="8" t="s">
        <v>2987</v>
      </c>
      <c r="C4544" s="8" t="s">
        <v>13811</v>
      </c>
      <c r="D4544" s="8" t="s">
        <v>16</v>
      </c>
      <c r="E4544" s="8" t="s">
        <v>17</v>
      </c>
      <c r="F4544" s="9">
        <v>46082.0</v>
      </c>
      <c r="G4544" s="8" t="s">
        <v>688</v>
      </c>
      <c r="H4544" s="8" t="s">
        <v>689</v>
      </c>
      <c r="I4544" s="8" t="s">
        <v>13812</v>
      </c>
      <c r="J4544" s="8" t="s">
        <v>13813</v>
      </c>
    </row>
    <row r="4545">
      <c r="A4545" s="7">
        <v>2.0036191E7</v>
      </c>
      <c r="B4545" s="8" t="s">
        <v>2987</v>
      </c>
      <c r="C4545" s="8" t="s">
        <v>13814</v>
      </c>
      <c r="D4545" s="8" t="s">
        <v>16</v>
      </c>
      <c r="E4545" s="8" t="s">
        <v>17</v>
      </c>
      <c r="F4545" s="9">
        <v>46055.0</v>
      </c>
      <c r="G4545" s="8" t="s">
        <v>34</v>
      </c>
      <c r="H4545" s="8" t="s">
        <v>35</v>
      </c>
      <c r="I4545" s="8" t="s">
        <v>13815</v>
      </c>
      <c r="J4545" s="8" t="s">
        <v>13816</v>
      </c>
    </row>
    <row r="4546">
      <c r="A4546" s="7">
        <v>2.0072814E7</v>
      </c>
      <c r="B4546" s="8" t="s">
        <v>2987</v>
      </c>
      <c r="C4546" s="8" t="s">
        <v>13817</v>
      </c>
      <c r="D4546" s="8" t="s">
        <v>2136</v>
      </c>
      <c r="E4546" s="8" t="s">
        <v>17</v>
      </c>
      <c r="F4546" s="9">
        <v>46192.0</v>
      </c>
      <c r="G4546" s="8" t="s">
        <v>59</v>
      </c>
      <c r="H4546" s="8" t="s">
        <v>60</v>
      </c>
      <c r="I4546" s="8" t="s">
        <v>13818</v>
      </c>
      <c r="J4546" s="8" t="s">
        <v>13819</v>
      </c>
    </row>
    <row r="4547">
      <c r="A4547" s="7">
        <v>2.0067638E7</v>
      </c>
      <c r="B4547" s="8" t="s">
        <v>2987</v>
      </c>
      <c r="C4547" s="8" t="s">
        <v>13820</v>
      </c>
      <c r="D4547" s="8" t="s">
        <v>16</v>
      </c>
      <c r="E4547" s="8" t="s">
        <v>17</v>
      </c>
      <c r="F4547" s="9">
        <v>46178.0</v>
      </c>
      <c r="G4547" s="8" t="s">
        <v>59</v>
      </c>
      <c r="H4547" s="8" t="s">
        <v>60</v>
      </c>
      <c r="I4547" s="8" t="s">
        <v>13821</v>
      </c>
      <c r="J4547" s="8" t="s">
        <v>13822</v>
      </c>
    </row>
    <row r="4548">
      <c r="A4548" s="7">
        <v>2.0066347E7</v>
      </c>
      <c r="B4548" s="8" t="s">
        <v>2987</v>
      </c>
      <c r="C4548" s="8" t="s">
        <v>13823</v>
      </c>
      <c r="D4548" s="8" t="s">
        <v>16</v>
      </c>
      <c r="E4548" s="8" t="s">
        <v>17</v>
      </c>
      <c r="F4548" s="9">
        <v>46170.0</v>
      </c>
      <c r="G4548" s="8" t="s">
        <v>868</v>
      </c>
      <c r="H4548" s="8" t="s">
        <v>869</v>
      </c>
      <c r="I4548" s="8" t="s">
        <v>13824</v>
      </c>
      <c r="J4548" s="8" t="s">
        <v>13825</v>
      </c>
    </row>
    <row r="4549">
      <c r="A4549" s="7">
        <v>2.0062828E7</v>
      </c>
      <c r="B4549" s="8" t="s">
        <v>2987</v>
      </c>
      <c r="C4549" s="8" t="s">
        <v>13826</v>
      </c>
      <c r="D4549" s="8" t="s">
        <v>16</v>
      </c>
      <c r="E4549" s="8" t="s">
        <v>17</v>
      </c>
      <c r="F4549" s="9">
        <v>46166.0</v>
      </c>
      <c r="G4549" s="8" t="s">
        <v>59</v>
      </c>
      <c r="H4549" s="8" t="s">
        <v>60</v>
      </c>
      <c r="I4549" s="8" t="s">
        <v>13827</v>
      </c>
      <c r="J4549" s="8" t="s">
        <v>13828</v>
      </c>
    </row>
    <row r="4550">
      <c r="A4550" s="7">
        <v>2.0062161E7</v>
      </c>
      <c r="B4550" s="8" t="s">
        <v>2987</v>
      </c>
      <c r="C4550" s="8" t="s">
        <v>13829</v>
      </c>
      <c r="D4550" s="8" t="s">
        <v>16</v>
      </c>
      <c r="E4550" s="8" t="s">
        <v>17</v>
      </c>
      <c r="F4550" s="9">
        <v>46149.0</v>
      </c>
      <c r="G4550" s="8" t="s">
        <v>59</v>
      </c>
      <c r="H4550" s="8" t="s">
        <v>60</v>
      </c>
      <c r="I4550" s="8"/>
      <c r="J4550" s="8" t="s">
        <v>13830</v>
      </c>
    </row>
    <row r="4551">
      <c r="A4551" s="7">
        <v>2.0059788E7</v>
      </c>
      <c r="B4551" s="8" t="s">
        <v>2987</v>
      </c>
      <c r="C4551" s="8" t="s">
        <v>13831</v>
      </c>
      <c r="D4551" s="8" t="s">
        <v>16</v>
      </c>
      <c r="E4551" s="8" t="s">
        <v>17</v>
      </c>
      <c r="F4551" s="9">
        <v>46162.0</v>
      </c>
      <c r="G4551" s="8" t="s">
        <v>791</v>
      </c>
      <c r="H4551" s="8" t="s">
        <v>792</v>
      </c>
      <c r="I4551" s="8" t="s">
        <v>13832</v>
      </c>
      <c r="J4551" s="8" t="s">
        <v>13833</v>
      </c>
    </row>
    <row r="4552">
      <c r="A4552" s="7">
        <v>2.0058333E7</v>
      </c>
      <c r="B4552" s="8" t="s">
        <v>2987</v>
      </c>
      <c r="C4552" s="8" t="s">
        <v>13834</v>
      </c>
      <c r="D4552" s="8" t="s">
        <v>16</v>
      </c>
      <c r="E4552" s="8" t="s">
        <v>17</v>
      </c>
      <c r="F4552" s="9">
        <v>46142.0</v>
      </c>
      <c r="G4552" s="8" t="s">
        <v>400</v>
      </c>
      <c r="H4552" s="8" t="s">
        <v>2144</v>
      </c>
      <c r="I4552" s="8" t="s">
        <v>13835</v>
      </c>
      <c r="J4552" s="8" t="s">
        <v>13836</v>
      </c>
    </row>
    <row r="4553">
      <c r="A4553" s="7">
        <v>2.0058283E7</v>
      </c>
      <c r="B4553" s="8" t="s">
        <v>2987</v>
      </c>
      <c r="C4553" s="8" t="s">
        <v>13837</v>
      </c>
      <c r="D4553" s="8" t="s">
        <v>16</v>
      </c>
      <c r="E4553" s="8" t="s">
        <v>700</v>
      </c>
      <c r="F4553" s="9">
        <v>46184.0</v>
      </c>
      <c r="G4553" s="8" t="s">
        <v>613</v>
      </c>
      <c r="H4553" s="8" t="s">
        <v>614</v>
      </c>
      <c r="I4553" s="8" t="s">
        <v>13838</v>
      </c>
      <c r="J4553" s="8" t="s">
        <v>13839</v>
      </c>
    </row>
    <row r="4554">
      <c r="A4554" s="7">
        <v>2.0058283E7</v>
      </c>
      <c r="B4554" s="8" t="s">
        <v>2987</v>
      </c>
      <c r="C4554" s="8" t="s">
        <v>13837</v>
      </c>
      <c r="D4554" s="8" t="s">
        <v>16</v>
      </c>
      <c r="E4554" s="8" t="s">
        <v>700</v>
      </c>
      <c r="F4554" s="9">
        <v>46184.0</v>
      </c>
      <c r="G4554" s="8" t="s">
        <v>613</v>
      </c>
      <c r="H4554" s="8" t="s">
        <v>614</v>
      </c>
      <c r="I4554" s="8"/>
      <c r="J4554" s="8" t="s">
        <v>13838</v>
      </c>
    </row>
    <row r="4555">
      <c r="A4555" s="7">
        <v>2.0056196E7</v>
      </c>
      <c r="B4555" s="8" t="s">
        <v>2987</v>
      </c>
      <c r="C4555" s="8" t="s">
        <v>13840</v>
      </c>
      <c r="D4555" s="8" t="s">
        <v>16</v>
      </c>
      <c r="E4555" s="8" t="s">
        <v>17</v>
      </c>
      <c r="F4555" s="9">
        <v>46142.0</v>
      </c>
      <c r="G4555" s="8" t="s">
        <v>54</v>
      </c>
      <c r="H4555" s="8" t="s">
        <v>6010</v>
      </c>
      <c r="I4555" s="8" t="s">
        <v>13841</v>
      </c>
      <c r="J4555" s="8" t="s">
        <v>13842</v>
      </c>
    </row>
    <row r="4556">
      <c r="A4556" s="7">
        <v>2.0054769E7</v>
      </c>
      <c r="B4556" s="8" t="s">
        <v>2987</v>
      </c>
      <c r="C4556" s="8" t="s">
        <v>13843</v>
      </c>
      <c r="D4556" s="8" t="s">
        <v>16</v>
      </c>
      <c r="E4556" s="8" t="s">
        <v>17</v>
      </c>
      <c r="F4556" s="9">
        <v>46136.0</v>
      </c>
      <c r="G4556" s="8" t="s">
        <v>2497</v>
      </c>
      <c r="H4556" s="8" t="s">
        <v>2498</v>
      </c>
      <c r="I4556" s="8" t="s">
        <v>13844</v>
      </c>
      <c r="J4556" s="8" t="s">
        <v>13845</v>
      </c>
    </row>
    <row r="4557">
      <c r="A4557" s="7">
        <v>2.0050705E7</v>
      </c>
      <c r="B4557" s="8" t="s">
        <v>2987</v>
      </c>
      <c r="C4557" s="8" t="s">
        <v>13846</v>
      </c>
      <c r="D4557" s="8" t="s">
        <v>16</v>
      </c>
      <c r="E4557" s="8" t="s">
        <v>17</v>
      </c>
      <c r="F4557" s="9">
        <v>46128.0</v>
      </c>
      <c r="G4557" s="8" t="s">
        <v>1355</v>
      </c>
      <c r="H4557" s="8" t="s">
        <v>1356</v>
      </c>
      <c r="I4557" s="8" t="s">
        <v>13847</v>
      </c>
      <c r="J4557" s="8" t="s">
        <v>13848</v>
      </c>
    </row>
    <row r="4558">
      <c r="A4558" s="7">
        <v>2.0050375E7</v>
      </c>
      <c r="B4558" s="8" t="s">
        <v>2987</v>
      </c>
      <c r="C4558" s="8" t="s">
        <v>13849</v>
      </c>
      <c r="D4558" s="8" t="s">
        <v>16</v>
      </c>
      <c r="E4558" s="8" t="s">
        <v>17</v>
      </c>
      <c r="F4558" s="9">
        <v>46136.0</v>
      </c>
      <c r="G4558" s="8" t="s">
        <v>1813</v>
      </c>
      <c r="H4558" s="8" t="s">
        <v>1814</v>
      </c>
      <c r="I4558" s="8" t="s">
        <v>13850</v>
      </c>
      <c r="J4558" s="8" t="s">
        <v>13851</v>
      </c>
    </row>
    <row r="4559">
      <c r="A4559" s="7">
        <v>2.0045847E7</v>
      </c>
      <c r="B4559" s="8" t="s">
        <v>2987</v>
      </c>
      <c r="C4559" s="8" t="s">
        <v>13852</v>
      </c>
      <c r="D4559" s="8" t="s">
        <v>16</v>
      </c>
      <c r="E4559" s="8" t="s">
        <v>17</v>
      </c>
      <c r="F4559" s="9">
        <v>46113.0</v>
      </c>
      <c r="G4559" s="8" t="s">
        <v>10348</v>
      </c>
      <c r="H4559" s="8" t="s">
        <v>10349</v>
      </c>
      <c r="I4559" s="8" t="s">
        <v>13853</v>
      </c>
      <c r="J4559" s="8" t="s">
        <v>13854</v>
      </c>
    </row>
    <row r="4560">
      <c r="A4560" s="7">
        <v>2.0044042E7</v>
      </c>
      <c r="B4560" s="8" t="s">
        <v>2987</v>
      </c>
      <c r="C4560" s="8" t="s">
        <v>13855</v>
      </c>
      <c r="D4560" s="8" t="s">
        <v>16</v>
      </c>
      <c r="E4560" s="8" t="s">
        <v>48</v>
      </c>
      <c r="F4560" s="9">
        <v>46094.0</v>
      </c>
      <c r="G4560" s="8" t="s">
        <v>1841</v>
      </c>
      <c r="H4560" s="8" t="s">
        <v>1842</v>
      </c>
      <c r="I4560" s="8" t="s">
        <v>13856</v>
      </c>
      <c r="J4560" s="8"/>
    </row>
    <row r="4561">
      <c r="A4561" s="7">
        <v>2.0036311E7</v>
      </c>
      <c r="B4561" s="8" t="s">
        <v>2987</v>
      </c>
      <c r="C4561" s="8" t="s">
        <v>13857</v>
      </c>
      <c r="D4561" s="8" t="s">
        <v>16</v>
      </c>
      <c r="E4561" s="8" t="s">
        <v>17</v>
      </c>
      <c r="F4561" s="9">
        <v>46067.0</v>
      </c>
      <c r="G4561" s="8" t="s">
        <v>1667</v>
      </c>
      <c r="H4561" s="8" t="s">
        <v>1668</v>
      </c>
      <c r="I4561" s="8" t="s">
        <v>13858</v>
      </c>
      <c r="J4561" s="8" t="s">
        <v>13859</v>
      </c>
    </row>
    <row r="4562">
      <c r="A4562" s="7">
        <v>2.003342E7</v>
      </c>
      <c r="B4562" s="8" t="s">
        <v>2987</v>
      </c>
      <c r="C4562" s="8" t="s">
        <v>13860</v>
      </c>
      <c r="D4562" s="8" t="s">
        <v>16</v>
      </c>
      <c r="E4562" s="8" t="s">
        <v>17</v>
      </c>
      <c r="F4562" s="9">
        <v>46066.0</v>
      </c>
      <c r="G4562" s="8" t="s">
        <v>3336</v>
      </c>
      <c r="H4562" s="8" t="s">
        <v>3337</v>
      </c>
      <c r="I4562" s="8" t="s">
        <v>13861</v>
      </c>
      <c r="J4562" s="8" t="s">
        <v>13862</v>
      </c>
    </row>
    <row r="4563">
      <c r="A4563" s="7">
        <v>2.003342E7</v>
      </c>
      <c r="B4563" s="8" t="s">
        <v>2987</v>
      </c>
      <c r="C4563" s="8" t="s">
        <v>13860</v>
      </c>
      <c r="D4563" s="8" t="s">
        <v>16</v>
      </c>
      <c r="E4563" s="8" t="s">
        <v>17</v>
      </c>
      <c r="F4563" s="9">
        <v>46066.0</v>
      </c>
      <c r="G4563" s="8" t="s">
        <v>3386</v>
      </c>
      <c r="H4563" s="8" t="s">
        <v>3145</v>
      </c>
      <c r="I4563" s="8" t="s">
        <v>13863</v>
      </c>
      <c r="J4563" s="8"/>
    </row>
    <row r="4564">
      <c r="A4564" s="7">
        <v>2.003342E7</v>
      </c>
      <c r="B4564" s="8" t="s">
        <v>2987</v>
      </c>
      <c r="C4564" s="8" t="s">
        <v>13860</v>
      </c>
      <c r="D4564" s="8" t="s">
        <v>16</v>
      </c>
      <c r="E4564" s="8" t="s">
        <v>17</v>
      </c>
      <c r="F4564" s="9">
        <v>46066.0</v>
      </c>
      <c r="G4564" s="8" t="s">
        <v>826</v>
      </c>
      <c r="H4564" s="8" t="s">
        <v>827</v>
      </c>
      <c r="I4564" s="8" t="s">
        <v>13864</v>
      </c>
      <c r="J4564" s="8" t="s">
        <v>13865</v>
      </c>
    </row>
    <row r="4565">
      <c r="A4565" s="7">
        <v>2.003342E7</v>
      </c>
      <c r="B4565" s="8" t="s">
        <v>2987</v>
      </c>
      <c r="C4565" s="8" t="s">
        <v>13860</v>
      </c>
      <c r="D4565" s="8" t="s">
        <v>16</v>
      </c>
      <c r="E4565" s="8" t="s">
        <v>17</v>
      </c>
      <c r="F4565" s="9">
        <v>46066.0</v>
      </c>
      <c r="G4565" s="8" t="s">
        <v>3390</v>
      </c>
      <c r="H4565" s="8" t="s">
        <v>3047</v>
      </c>
      <c r="I4565" s="8" t="s">
        <v>13866</v>
      </c>
      <c r="J4565" s="8"/>
    </row>
    <row r="4566">
      <c r="A4566" s="7">
        <v>2.0067359E7</v>
      </c>
      <c r="B4566" s="8" t="s">
        <v>2987</v>
      </c>
      <c r="C4566" s="8" t="s">
        <v>13867</v>
      </c>
      <c r="D4566" s="8" t="s">
        <v>16</v>
      </c>
      <c r="E4566" s="8" t="s">
        <v>17</v>
      </c>
      <c r="F4566" s="9">
        <v>46176.0</v>
      </c>
      <c r="G4566" s="8" t="s">
        <v>59</v>
      </c>
      <c r="H4566" s="8" t="s">
        <v>60</v>
      </c>
      <c r="I4566" s="8" t="s">
        <v>13868</v>
      </c>
      <c r="J4566" s="8" t="s">
        <v>13869</v>
      </c>
    </row>
    <row r="4567">
      <c r="A4567" s="7">
        <v>2.0063149E7</v>
      </c>
      <c r="B4567" s="8" t="s">
        <v>2987</v>
      </c>
      <c r="C4567" s="8" t="s">
        <v>13870</v>
      </c>
      <c r="D4567" s="8" t="s">
        <v>16</v>
      </c>
      <c r="E4567" s="8" t="s">
        <v>17</v>
      </c>
      <c r="F4567" s="9">
        <v>46172.0</v>
      </c>
      <c r="G4567" s="8" t="s">
        <v>1045</v>
      </c>
      <c r="H4567" s="8" t="s">
        <v>909</v>
      </c>
      <c r="I4567" s="8" t="s">
        <v>13871</v>
      </c>
      <c r="J4567" s="8" t="s">
        <v>13872</v>
      </c>
    </row>
    <row r="4568">
      <c r="A4568" s="7">
        <v>2.0062768E7</v>
      </c>
      <c r="B4568" s="8" t="s">
        <v>2987</v>
      </c>
      <c r="C4568" s="8" t="s">
        <v>13873</v>
      </c>
      <c r="D4568" s="8" t="s">
        <v>16</v>
      </c>
      <c r="E4568" s="8" t="s">
        <v>48</v>
      </c>
      <c r="F4568" s="9">
        <v>46159.0</v>
      </c>
      <c r="G4568" s="8" t="s">
        <v>5900</v>
      </c>
      <c r="H4568" s="8" t="s">
        <v>5901</v>
      </c>
      <c r="I4568" s="8" t="s">
        <v>13874</v>
      </c>
      <c r="J4568" s="8" t="s">
        <v>13875</v>
      </c>
    </row>
    <row r="4569">
      <c r="A4569" s="7">
        <v>2.0062163E7</v>
      </c>
      <c r="B4569" s="8" t="s">
        <v>2987</v>
      </c>
      <c r="C4569" s="8" t="s">
        <v>13876</v>
      </c>
      <c r="D4569" s="8" t="s">
        <v>16</v>
      </c>
      <c r="E4569" s="8" t="s">
        <v>17</v>
      </c>
      <c r="F4569" s="9">
        <v>46193.0</v>
      </c>
      <c r="G4569" s="8" t="s">
        <v>297</v>
      </c>
      <c r="H4569" s="8" t="s">
        <v>298</v>
      </c>
      <c r="I4569" s="8" t="s">
        <v>13877</v>
      </c>
      <c r="J4569" s="8" t="s">
        <v>13878</v>
      </c>
    </row>
    <row r="4570">
      <c r="A4570" s="7">
        <v>2.0062163E7</v>
      </c>
      <c r="B4570" s="8" t="s">
        <v>2987</v>
      </c>
      <c r="C4570" s="8" t="s">
        <v>13876</v>
      </c>
      <c r="D4570" s="8" t="s">
        <v>16</v>
      </c>
      <c r="E4570" s="8" t="s">
        <v>17</v>
      </c>
      <c r="F4570" s="9">
        <v>46193.0</v>
      </c>
      <c r="G4570" s="8" t="s">
        <v>755</v>
      </c>
      <c r="H4570" s="8" t="s">
        <v>13879</v>
      </c>
      <c r="I4570" s="8" t="s">
        <v>13880</v>
      </c>
      <c r="J4570" s="8"/>
    </row>
    <row r="4571">
      <c r="A4571" s="7">
        <v>2.0061422E7</v>
      </c>
      <c r="B4571" s="8" t="s">
        <v>2987</v>
      </c>
      <c r="C4571" s="8" t="s">
        <v>13881</v>
      </c>
      <c r="D4571" s="8" t="s">
        <v>16</v>
      </c>
      <c r="E4571" s="8" t="s">
        <v>17</v>
      </c>
      <c r="F4571" s="9">
        <v>46179.0</v>
      </c>
      <c r="G4571" s="8" t="s">
        <v>1813</v>
      </c>
      <c r="H4571" s="8" t="s">
        <v>1814</v>
      </c>
      <c r="I4571" s="8" t="s">
        <v>13882</v>
      </c>
      <c r="J4571" s="8" t="s">
        <v>13883</v>
      </c>
    </row>
    <row r="4572">
      <c r="A4572" s="7">
        <v>2.0060062E7</v>
      </c>
      <c r="B4572" s="8" t="s">
        <v>2987</v>
      </c>
      <c r="C4572" s="8" t="s">
        <v>13884</v>
      </c>
      <c r="D4572" s="8" t="s">
        <v>16</v>
      </c>
      <c r="E4572" s="8" t="s">
        <v>17</v>
      </c>
      <c r="F4572" s="9">
        <v>46188.0</v>
      </c>
      <c r="G4572" s="8" t="s">
        <v>3140</v>
      </c>
      <c r="H4572" s="8" t="s">
        <v>3141</v>
      </c>
      <c r="I4572" s="8" t="s">
        <v>13885</v>
      </c>
      <c r="J4572" s="8" t="s">
        <v>13886</v>
      </c>
    </row>
    <row r="4573">
      <c r="A4573" s="7">
        <v>2.0058824E7</v>
      </c>
      <c r="B4573" s="8" t="s">
        <v>2987</v>
      </c>
      <c r="C4573" s="8" t="s">
        <v>13887</v>
      </c>
      <c r="D4573" s="8" t="s">
        <v>16</v>
      </c>
      <c r="E4573" s="8" t="s">
        <v>17</v>
      </c>
      <c r="F4573" s="9">
        <v>46192.0</v>
      </c>
      <c r="G4573" s="8" t="s">
        <v>361</v>
      </c>
      <c r="H4573" s="8" t="s">
        <v>362</v>
      </c>
      <c r="I4573" s="8" t="s">
        <v>13888</v>
      </c>
      <c r="J4573" s="8" t="s">
        <v>13889</v>
      </c>
    </row>
    <row r="4574">
      <c r="A4574" s="7">
        <v>2.0057623E7</v>
      </c>
      <c r="B4574" s="8" t="s">
        <v>2987</v>
      </c>
      <c r="C4574" s="8" t="s">
        <v>13890</v>
      </c>
      <c r="D4574" s="8" t="s">
        <v>16</v>
      </c>
      <c r="E4574" s="8" t="s">
        <v>700</v>
      </c>
      <c r="F4574" s="9">
        <v>46159.0</v>
      </c>
      <c r="G4574" s="8" t="s">
        <v>3133</v>
      </c>
      <c r="H4574" s="8" t="s">
        <v>3134</v>
      </c>
      <c r="I4574" s="8" t="s">
        <v>13891</v>
      </c>
      <c r="J4574" s="8"/>
    </row>
    <row r="4575">
      <c r="A4575" s="7">
        <v>2.0057859E7</v>
      </c>
      <c r="B4575" s="8" t="s">
        <v>2987</v>
      </c>
      <c r="C4575" s="8" t="s">
        <v>13892</v>
      </c>
      <c r="D4575" s="8" t="s">
        <v>16</v>
      </c>
      <c r="E4575" s="8" t="s">
        <v>17</v>
      </c>
      <c r="F4575" s="9">
        <v>46138.0</v>
      </c>
      <c r="G4575" s="8" t="s">
        <v>365</v>
      </c>
      <c r="H4575" s="8" t="s">
        <v>366</v>
      </c>
      <c r="I4575" s="8" t="s">
        <v>13893</v>
      </c>
      <c r="J4575" s="8" t="s">
        <v>13894</v>
      </c>
    </row>
    <row r="4576">
      <c r="A4576" s="7">
        <v>2.0054233E7</v>
      </c>
      <c r="B4576" s="8" t="s">
        <v>2987</v>
      </c>
      <c r="C4576" s="8" t="s">
        <v>13895</v>
      </c>
      <c r="D4576" s="8" t="s">
        <v>16</v>
      </c>
      <c r="E4576" s="8" t="s">
        <v>17</v>
      </c>
      <c r="F4576" s="9">
        <v>46189.0</v>
      </c>
      <c r="G4576" s="8" t="s">
        <v>2202</v>
      </c>
      <c r="H4576" s="8" t="s">
        <v>2203</v>
      </c>
      <c r="I4576" s="8" t="s">
        <v>13896</v>
      </c>
      <c r="J4576" s="8" t="s">
        <v>13897</v>
      </c>
    </row>
    <row r="4577">
      <c r="A4577" s="7">
        <v>2.0055247E7</v>
      </c>
      <c r="B4577" s="8" t="s">
        <v>2987</v>
      </c>
      <c r="C4577" s="8" t="s">
        <v>13898</v>
      </c>
      <c r="D4577" s="8" t="s">
        <v>16</v>
      </c>
      <c r="E4577" s="8" t="s">
        <v>17</v>
      </c>
      <c r="F4577" s="9">
        <v>46143.0</v>
      </c>
      <c r="G4577" s="8" t="s">
        <v>13899</v>
      </c>
      <c r="H4577" s="8" t="s">
        <v>13900</v>
      </c>
      <c r="I4577" s="8" t="s">
        <v>13901</v>
      </c>
      <c r="J4577" s="8" t="s">
        <v>13902</v>
      </c>
    </row>
    <row r="4578">
      <c r="A4578" s="7">
        <v>2.0055188E7</v>
      </c>
      <c r="B4578" s="8" t="s">
        <v>2987</v>
      </c>
      <c r="C4578" s="8" t="s">
        <v>13903</v>
      </c>
      <c r="D4578" s="8" t="s">
        <v>16</v>
      </c>
      <c r="E4578" s="8" t="s">
        <v>17</v>
      </c>
      <c r="F4578" s="9">
        <v>46135.0</v>
      </c>
      <c r="G4578" s="8" t="s">
        <v>361</v>
      </c>
      <c r="H4578" s="8" t="s">
        <v>362</v>
      </c>
      <c r="I4578" s="8" t="s">
        <v>13904</v>
      </c>
      <c r="J4578" s="8" t="s">
        <v>13905</v>
      </c>
    </row>
    <row r="4579">
      <c r="A4579" s="7">
        <v>2.0051907E7</v>
      </c>
      <c r="B4579" s="8" t="s">
        <v>2987</v>
      </c>
      <c r="C4579" s="8" t="s">
        <v>13906</v>
      </c>
      <c r="D4579" s="8" t="s">
        <v>16</v>
      </c>
      <c r="E4579" s="8" t="s">
        <v>17</v>
      </c>
      <c r="F4579" s="9">
        <v>46117.0</v>
      </c>
      <c r="G4579" s="8" t="s">
        <v>4209</v>
      </c>
      <c r="H4579" s="8" t="s">
        <v>4210</v>
      </c>
      <c r="I4579" s="8" t="s">
        <v>13907</v>
      </c>
      <c r="J4579" s="8" t="s">
        <v>13908</v>
      </c>
    </row>
    <row r="4580">
      <c r="A4580" s="7">
        <v>2.0051907E7</v>
      </c>
      <c r="B4580" s="8" t="s">
        <v>2987</v>
      </c>
      <c r="C4580" s="8" t="s">
        <v>13906</v>
      </c>
      <c r="D4580" s="8" t="s">
        <v>16</v>
      </c>
      <c r="E4580" s="8" t="s">
        <v>17</v>
      </c>
      <c r="F4580" s="9">
        <v>46117.0</v>
      </c>
      <c r="G4580" s="8" t="s">
        <v>5450</v>
      </c>
      <c r="H4580" s="8" t="s">
        <v>5451</v>
      </c>
      <c r="I4580" s="8" t="s">
        <v>13909</v>
      </c>
      <c r="J4580" s="8" t="s">
        <v>13910</v>
      </c>
    </row>
    <row r="4581">
      <c r="A4581" s="7">
        <v>2.0052337E7</v>
      </c>
      <c r="B4581" s="8" t="s">
        <v>2987</v>
      </c>
      <c r="C4581" s="8" t="s">
        <v>13911</v>
      </c>
      <c r="D4581" s="8" t="s">
        <v>16</v>
      </c>
      <c r="E4581" s="8" t="s">
        <v>17</v>
      </c>
      <c r="F4581" s="9">
        <v>46131.0</v>
      </c>
      <c r="G4581" s="8" t="s">
        <v>361</v>
      </c>
      <c r="H4581" s="8" t="s">
        <v>362</v>
      </c>
      <c r="I4581" s="8" t="s">
        <v>13912</v>
      </c>
      <c r="J4581" s="8" t="s">
        <v>13913</v>
      </c>
    </row>
    <row r="4582">
      <c r="A4582" s="7">
        <v>2.0049646E7</v>
      </c>
      <c r="B4582" s="8" t="s">
        <v>2987</v>
      </c>
      <c r="C4582" s="8" t="s">
        <v>13914</v>
      </c>
      <c r="D4582" s="8" t="s">
        <v>16</v>
      </c>
      <c r="E4582" s="8" t="s">
        <v>17</v>
      </c>
      <c r="F4582" s="9">
        <v>46113.0</v>
      </c>
      <c r="G4582" s="8" t="s">
        <v>1813</v>
      </c>
      <c r="H4582" s="8" t="s">
        <v>1814</v>
      </c>
      <c r="I4582" s="8" t="s">
        <v>13915</v>
      </c>
      <c r="J4582" s="8" t="s">
        <v>13916</v>
      </c>
    </row>
    <row r="4583">
      <c r="A4583" s="7">
        <v>2.0049598E7</v>
      </c>
      <c r="B4583" s="8" t="s">
        <v>2987</v>
      </c>
      <c r="C4583" s="8" t="s">
        <v>13917</v>
      </c>
      <c r="D4583" s="8" t="s">
        <v>2136</v>
      </c>
      <c r="E4583" s="8" t="s">
        <v>17</v>
      </c>
      <c r="F4583" s="9">
        <v>46103.0</v>
      </c>
      <c r="G4583" s="8" t="s">
        <v>339</v>
      </c>
      <c r="H4583" s="8" t="s">
        <v>340</v>
      </c>
      <c r="I4583" s="8" t="s">
        <v>13918</v>
      </c>
      <c r="J4583" s="8" t="s">
        <v>13919</v>
      </c>
    </row>
    <row r="4584">
      <c r="A4584" s="7">
        <v>2.0043283E7</v>
      </c>
      <c r="B4584" s="8" t="s">
        <v>2987</v>
      </c>
      <c r="C4584" s="8" t="s">
        <v>13920</v>
      </c>
      <c r="D4584" s="8" t="s">
        <v>16</v>
      </c>
      <c r="E4584" s="8" t="s">
        <v>17</v>
      </c>
      <c r="F4584" s="9">
        <v>46078.0</v>
      </c>
      <c r="G4584" s="8" t="s">
        <v>75</v>
      </c>
      <c r="H4584" s="8" t="s">
        <v>76</v>
      </c>
      <c r="I4584" s="8" t="s">
        <v>13921</v>
      </c>
      <c r="J4584" s="8" t="s">
        <v>13922</v>
      </c>
    </row>
    <row r="4585">
      <c r="A4585" s="7">
        <v>2.0032178E7</v>
      </c>
      <c r="B4585" s="8" t="s">
        <v>2987</v>
      </c>
      <c r="C4585" s="8" t="s">
        <v>13923</v>
      </c>
      <c r="D4585" s="8" t="s">
        <v>16</v>
      </c>
      <c r="E4585" s="8" t="s">
        <v>48</v>
      </c>
      <c r="F4585" s="9">
        <v>46046.0</v>
      </c>
      <c r="G4585" s="8" t="s">
        <v>873</v>
      </c>
      <c r="H4585" s="8" t="s">
        <v>874</v>
      </c>
      <c r="I4585" s="8" t="s">
        <v>13924</v>
      </c>
      <c r="J4585" s="8" t="s">
        <v>13925</v>
      </c>
    </row>
    <row r="4586">
      <c r="A4586" s="7">
        <v>2.0071249E7</v>
      </c>
      <c r="B4586" s="8" t="s">
        <v>2987</v>
      </c>
      <c r="C4586" s="8" t="s">
        <v>13926</v>
      </c>
      <c r="D4586" s="8" t="s">
        <v>16</v>
      </c>
      <c r="E4586" s="8" t="s">
        <v>17</v>
      </c>
      <c r="F4586" s="9">
        <v>46192.0</v>
      </c>
      <c r="G4586" s="8" t="s">
        <v>59</v>
      </c>
      <c r="H4586" s="8" t="s">
        <v>60</v>
      </c>
      <c r="I4586" s="8" t="s">
        <v>13927</v>
      </c>
      <c r="J4586" s="8" t="s">
        <v>13928</v>
      </c>
    </row>
    <row r="4587">
      <c r="A4587" s="7">
        <v>2.0067555E7</v>
      </c>
      <c r="B4587" s="8" t="s">
        <v>2987</v>
      </c>
      <c r="C4587" s="8" t="s">
        <v>13929</v>
      </c>
      <c r="D4587" s="8" t="s">
        <v>16</v>
      </c>
      <c r="E4587" s="8" t="s">
        <v>4439</v>
      </c>
      <c r="F4587" s="9">
        <v>46179.0</v>
      </c>
      <c r="G4587" s="8" t="s">
        <v>1093</v>
      </c>
      <c r="H4587" s="8" t="s">
        <v>1094</v>
      </c>
      <c r="I4587" s="8" t="s">
        <v>13930</v>
      </c>
      <c r="J4587" s="8"/>
    </row>
    <row r="4588">
      <c r="A4588" s="7">
        <v>2.0067555E7</v>
      </c>
      <c r="B4588" s="8" t="s">
        <v>2987</v>
      </c>
      <c r="C4588" s="8" t="s">
        <v>13929</v>
      </c>
      <c r="D4588" s="8" t="s">
        <v>16</v>
      </c>
      <c r="E4588" s="8" t="s">
        <v>4439</v>
      </c>
      <c r="F4588" s="9">
        <v>46179.0</v>
      </c>
      <c r="G4588" s="8" t="s">
        <v>1169</v>
      </c>
      <c r="H4588" s="8" t="s">
        <v>1170</v>
      </c>
      <c r="I4588" s="8" t="s">
        <v>13931</v>
      </c>
      <c r="J4588" s="8"/>
    </row>
    <row r="4589">
      <c r="A4589" s="7">
        <v>2.0067555E7</v>
      </c>
      <c r="B4589" s="8" t="s">
        <v>2987</v>
      </c>
      <c r="C4589" s="8" t="s">
        <v>13929</v>
      </c>
      <c r="D4589" s="8" t="s">
        <v>16</v>
      </c>
      <c r="E4589" s="8" t="s">
        <v>4439</v>
      </c>
      <c r="F4589" s="9">
        <v>46179.0</v>
      </c>
      <c r="G4589" s="8" t="s">
        <v>1093</v>
      </c>
      <c r="H4589" s="8" t="s">
        <v>1094</v>
      </c>
      <c r="I4589" s="8" t="s">
        <v>13932</v>
      </c>
      <c r="J4589" s="8" t="s">
        <v>13933</v>
      </c>
    </row>
    <row r="4590">
      <c r="A4590" s="7">
        <v>2.0067555E7</v>
      </c>
      <c r="B4590" s="8" t="s">
        <v>2987</v>
      </c>
      <c r="C4590" s="8" t="s">
        <v>13929</v>
      </c>
      <c r="D4590" s="8" t="s">
        <v>16</v>
      </c>
      <c r="E4590" s="8" t="s">
        <v>4439</v>
      </c>
      <c r="F4590" s="9">
        <v>46179.0</v>
      </c>
      <c r="G4590" s="8" t="s">
        <v>1169</v>
      </c>
      <c r="H4590" s="8" t="s">
        <v>1170</v>
      </c>
      <c r="I4590" s="8" t="s">
        <v>13934</v>
      </c>
      <c r="J4590" s="8" t="s">
        <v>13935</v>
      </c>
    </row>
    <row r="4591">
      <c r="A4591" s="7">
        <v>2.0064054E7</v>
      </c>
      <c r="B4591" s="8" t="s">
        <v>2987</v>
      </c>
      <c r="C4591" s="8" t="s">
        <v>13936</v>
      </c>
      <c r="D4591" s="8" t="s">
        <v>16</v>
      </c>
      <c r="E4591" s="8" t="s">
        <v>17</v>
      </c>
      <c r="F4591" s="9">
        <v>46165.0</v>
      </c>
      <c r="G4591" s="8" t="s">
        <v>630</v>
      </c>
      <c r="H4591" s="8" t="s">
        <v>631</v>
      </c>
      <c r="I4591" s="8" t="s">
        <v>13937</v>
      </c>
      <c r="J4591" s="8" t="s">
        <v>13938</v>
      </c>
    </row>
    <row r="4592">
      <c r="A4592" s="7">
        <v>2.0061926E7</v>
      </c>
      <c r="B4592" s="8" t="s">
        <v>2987</v>
      </c>
      <c r="C4592" s="8" t="s">
        <v>13939</v>
      </c>
      <c r="D4592" s="8" t="s">
        <v>16</v>
      </c>
      <c r="E4592" s="8" t="s">
        <v>48</v>
      </c>
      <c r="F4592" s="9">
        <v>46155.0</v>
      </c>
      <c r="G4592" s="8" t="s">
        <v>13940</v>
      </c>
      <c r="H4592" s="8" t="s">
        <v>13941</v>
      </c>
      <c r="I4592" s="8" t="s">
        <v>13942</v>
      </c>
      <c r="J4592" s="8" t="s">
        <v>13943</v>
      </c>
    </row>
    <row r="4593">
      <c r="A4593" s="7">
        <v>2.0061089E7</v>
      </c>
      <c r="B4593" s="8" t="s">
        <v>2987</v>
      </c>
      <c r="C4593" s="8" t="s">
        <v>13944</v>
      </c>
      <c r="D4593" s="8" t="s">
        <v>16</v>
      </c>
      <c r="E4593" s="8" t="s">
        <v>17</v>
      </c>
      <c r="F4593" s="9">
        <v>46149.0</v>
      </c>
      <c r="G4593" s="8" t="s">
        <v>1431</v>
      </c>
      <c r="H4593" s="8" t="s">
        <v>1432</v>
      </c>
      <c r="I4593" s="8" t="s">
        <v>13945</v>
      </c>
      <c r="J4593" s="8" t="s">
        <v>13946</v>
      </c>
    </row>
    <row r="4594">
      <c r="A4594" s="7">
        <v>2.0057214E7</v>
      </c>
      <c r="B4594" s="8" t="s">
        <v>2987</v>
      </c>
      <c r="C4594" s="8" t="s">
        <v>13947</v>
      </c>
      <c r="D4594" s="8" t="s">
        <v>16</v>
      </c>
      <c r="E4594" s="8" t="s">
        <v>17</v>
      </c>
      <c r="F4594" s="9">
        <v>46129.0</v>
      </c>
      <c r="G4594" s="8" t="s">
        <v>247</v>
      </c>
      <c r="H4594" s="8" t="s">
        <v>248</v>
      </c>
      <c r="I4594" s="8" t="s">
        <v>13948</v>
      </c>
      <c r="J4594" s="8" t="s">
        <v>13949</v>
      </c>
    </row>
    <row r="4595">
      <c r="A4595" s="7">
        <v>2.0056792E7</v>
      </c>
      <c r="B4595" s="8" t="s">
        <v>2987</v>
      </c>
      <c r="C4595" s="8" t="s">
        <v>13950</v>
      </c>
      <c r="D4595" s="8" t="s">
        <v>16</v>
      </c>
      <c r="E4595" s="8" t="s">
        <v>17</v>
      </c>
      <c r="F4595" s="9">
        <v>46158.0</v>
      </c>
      <c r="G4595" s="8" t="s">
        <v>132</v>
      </c>
      <c r="H4595" s="8" t="s">
        <v>133</v>
      </c>
      <c r="I4595" s="8" t="s">
        <v>13951</v>
      </c>
      <c r="J4595" s="8" t="s">
        <v>13952</v>
      </c>
    </row>
    <row r="4596">
      <c r="A4596" s="7">
        <v>2.0054273E7</v>
      </c>
      <c r="B4596" s="8" t="s">
        <v>2987</v>
      </c>
      <c r="C4596" s="8" t="s">
        <v>13953</v>
      </c>
      <c r="D4596" s="8" t="s">
        <v>16</v>
      </c>
      <c r="E4596" s="8" t="s">
        <v>17</v>
      </c>
      <c r="F4596" s="9">
        <v>46122.0</v>
      </c>
      <c r="G4596" s="8" t="s">
        <v>1132</v>
      </c>
      <c r="H4596" s="8" t="s">
        <v>1133</v>
      </c>
      <c r="I4596" s="8" t="s">
        <v>13954</v>
      </c>
      <c r="J4596" s="8" t="s">
        <v>13955</v>
      </c>
    </row>
    <row r="4597">
      <c r="A4597" s="7">
        <v>2.0054273E7</v>
      </c>
      <c r="B4597" s="8" t="s">
        <v>2987</v>
      </c>
      <c r="C4597" s="8" t="s">
        <v>13953</v>
      </c>
      <c r="D4597" s="8" t="s">
        <v>16</v>
      </c>
      <c r="E4597" s="8" t="s">
        <v>17</v>
      </c>
      <c r="F4597" s="9">
        <v>46122.0</v>
      </c>
      <c r="G4597" s="8" t="s">
        <v>13956</v>
      </c>
      <c r="H4597" s="8" t="s">
        <v>13957</v>
      </c>
      <c r="I4597" s="8" t="s">
        <v>13958</v>
      </c>
      <c r="J4597" s="8" t="s">
        <v>13959</v>
      </c>
    </row>
    <row r="4598">
      <c r="A4598" s="7">
        <v>2.005458E7</v>
      </c>
      <c r="B4598" s="8" t="s">
        <v>2987</v>
      </c>
      <c r="C4598" s="8" t="s">
        <v>13960</v>
      </c>
      <c r="D4598" s="8" t="s">
        <v>16</v>
      </c>
      <c r="E4598" s="8" t="s">
        <v>17</v>
      </c>
      <c r="F4598" s="9">
        <v>46142.0</v>
      </c>
      <c r="G4598" s="8" t="s">
        <v>13961</v>
      </c>
      <c r="H4598" s="8" t="s">
        <v>13962</v>
      </c>
      <c r="I4598" s="8" t="s">
        <v>13963</v>
      </c>
      <c r="J4598" s="8" t="s">
        <v>13964</v>
      </c>
    </row>
    <row r="4599">
      <c r="A4599" s="7">
        <v>2.0049154E7</v>
      </c>
      <c r="B4599" s="8" t="s">
        <v>2987</v>
      </c>
      <c r="C4599" s="8" t="s">
        <v>13965</v>
      </c>
      <c r="D4599" s="8" t="s">
        <v>16</v>
      </c>
      <c r="E4599" s="8" t="s">
        <v>17</v>
      </c>
      <c r="F4599" s="9">
        <v>46118.0</v>
      </c>
      <c r="G4599" s="8" t="s">
        <v>109</v>
      </c>
      <c r="H4599" s="8" t="s">
        <v>110</v>
      </c>
      <c r="I4599" s="8" t="s">
        <v>13966</v>
      </c>
      <c r="J4599" s="8" t="s">
        <v>13967</v>
      </c>
    </row>
    <row r="4600">
      <c r="A4600" s="7">
        <v>2.0049654E7</v>
      </c>
      <c r="B4600" s="8" t="s">
        <v>2987</v>
      </c>
      <c r="C4600" s="8" t="s">
        <v>13968</v>
      </c>
      <c r="D4600" s="8" t="s">
        <v>16</v>
      </c>
      <c r="E4600" s="8" t="s">
        <v>17</v>
      </c>
      <c r="F4600" s="9">
        <v>46121.0</v>
      </c>
      <c r="G4600" s="8" t="s">
        <v>6077</v>
      </c>
      <c r="H4600" s="8" t="s">
        <v>6078</v>
      </c>
      <c r="I4600" s="8" t="s">
        <v>13969</v>
      </c>
      <c r="J4600" s="8" t="s">
        <v>13970</v>
      </c>
    </row>
    <row r="4601">
      <c r="A4601" s="7">
        <v>2.0049654E7</v>
      </c>
      <c r="B4601" s="8" t="s">
        <v>2987</v>
      </c>
      <c r="C4601" s="8" t="s">
        <v>13968</v>
      </c>
      <c r="D4601" s="8" t="s">
        <v>16</v>
      </c>
      <c r="E4601" s="8" t="s">
        <v>17</v>
      </c>
      <c r="F4601" s="9">
        <v>46121.0</v>
      </c>
      <c r="G4601" s="8" t="s">
        <v>13971</v>
      </c>
      <c r="H4601" s="8" t="s">
        <v>13972</v>
      </c>
      <c r="I4601" s="8" t="s">
        <v>13973</v>
      </c>
      <c r="J4601" s="8" t="s">
        <v>13974</v>
      </c>
    </row>
    <row r="4602">
      <c r="A4602" s="7">
        <v>2.0042334E7</v>
      </c>
      <c r="B4602" s="8" t="s">
        <v>2987</v>
      </c>
      <c r="C4602" s="8" t="s">
        <v>13975</v>
      </c>
      <c r="D4602" s="8" t="s">
        <v>16</v>
      </c>
      <c r="E4602" s="8" t="s">
        <v>17</v>
      </c>
      <c r="F4602" s="9">
        <v>46106.0</v>
      </c>
      <c r="G4602" s="8" t="s">
        <v>13976</v>
      </c>
      <c r="H4602" s="8" t="s">
        <v>2969</v>
      </c>
      <c r="I4602" s="8" t="s">
        <v>13977</v>
      </c>
      <c r="J4602" s="8" t="s">
        <v>13978</v>
      </c>
    </row>
    <row r="4603">
      <c r="A4603" s="7">
        <v>2.0042334E7</v>
      </c>
      <c r="B4603" s="8" t="s">
        <v>2987</v>
      </c>
      <c r="C4603" s="8" t="s">
        <v>13975</v>
      </c>
      <c r="D4603" s="8" t="s">
        <v>16</v>
      </c>
      <c r="E4603" s="8" t="s">
        <v>17</v>
      </c>
      <c r="F4603" s="9">
        <v>46106.0</v>
      </c>
      <c r="G4603" s="8" t="s">
        <v>13979</v>
      </c>
      <c r="H4603" s="8" t="s">
        <v>13980</v>
      </c>
      <c r="I4603" s="8" t="s">
        <v>13981</v>
      </c>
      <c r="J4603" s="8" t="s">
        <v>13982</v>
      </c>
    </row>
    <row r="4604">
      <c r="A4604" s="7">
        <v>2.0042334E7</v>
      </c>
      <c r="B4604" s="8" t="s">
        <v>2987</v>
      </c>
      <c r="C4604" s="8" t="s">
        <v>13975</v>
      </c>
      <c r="D4604" s="8" t="s">
        <v>16</v>
      </c>
      <c r="E4604" s="8" t="s">
        <v>17</v>
      </c>
      <c r="F4604" s="9">
        <v>46106.0</v>
      </c>
      <c r="G4604" s="8" t="s">
        <v>13983</v>
      </c>
      <c r="H4604" s="8" t="s">
        <v>13984</v>
      </c>
      <c r="I4604" s="8" t="s">
        <v>13985</v>
      </c>
      <c r="J4604" s="8" t="s">
        <v>13986</v>
      </c>
    </row>
    <row r="4605">
      <c r="A4605" s="7">
        <v>2.0042353E7</v>
      </c>
      <c r="B4605" s="8" t="s">
        <v>2987</v>
      </c>
      <c r="C4605" s="8" t="s">
        <v>13987</v>
      </c>
      <c r="D4605" s="8" t="s">
        <v>16</v>
      </c>
      <c r="E4605" s="8" t="s">
        <v>13988</v>
      </c>
      <c r="F4605" s="9">
        <v>46068.0</v>
      </c>
      <c r="G4605" s="8" t="s">
        <v>29</v>
      </c>
      <c r="H4605" s="8" t="s">
        <v>30</v>
      </c>
      <c r="I4605" s="8" t="s">
        <v>13989</v>
      </c>
      <c r="J4605" s="8" t="s">
        <v>13990</v>
      </c>
    </row>
    <row r="4606">
      <c r="A4606" s="7">
        <v>2.0036327E7</v>
      </c>
      <c r="B4606" s="8" t="s">
        <v>2987</v>
      </c>
      <c r="C4606" s="8" t="s">
        <v>13991</v>
      </c>
      <c r="D4606" s="8" t="s">
        <v>16</v>
      </c>
      <c r="E4606" s="8" t="s">
        <v>17</v>
      </c>
      <c r="F4606" s="9">
        <v>46064.0</v>
      </c>
      <c r="G4606" s="8" t="s">
        <v>1174</v>
      </c>
      <c r="H4606" s="8" t="s">
        <v>1175</v>
      </c>
      <c r="I4606" s="8" t="s">
        <v>13992</v>
      </c>
      <c r="J4606" s="8" t="s">
        <v>13993</v>
      </c>
    </row>
    <row r="4607">
      <c r="A4607" s="7">
        <v>2.0031103E7</v>
      </c>
      <c r="B4607" s="8" t="s">
        <v>2987</v>
      </c>
      <c r="C4607" s="8" t="s">
        <v>13994</v>
      </c>
      <c r="D4607" s="8" t="s">
        <v>16</v>
      </c>
      <c r="E4607" s="8" t="s">
        <v>17</v>
      </c>
      <c r="F4607" s="9">
        <v>46052.0</v>
      </c>
      <c r="G4607" s="8" t="s">
        <v>29</v>
      </c>
      <c r="H4607" s="8" t="s">
        <v>30</v>
      </c>
      <c r="I4607" s="8" t="s">
        <v>13995</v>
      </c>
      <c r="J4607" s="8" t="s">
        <v>13996</v>
      </c>
    </row>
    <row r="4608">
      <c r="A4608" s="7">
        <v>2.0031889E7</v>
      </c>
      <c r="B4608" s="8" t="s">
        <v>2987</v>
      </c>
      <c r="C4608" s="8" t="s">
        <v>13997</v>
      </c>
      <c r="D4608" s="8" t="s">
        <v>16</v>
      </c>
      <c r="E4608" s="8" t="s">
        <v>48</v>
      </c>
      <c r="F4608" s="9">
        <v>46106.0</v>
      </c>
      <c r="G4608" s="8" t="s">
        <v>423</v>
      </c>
      <c r="H4608" s="8" t="s">
        <v>424</v>
      </c>
      <c r="I4608" s="8" t="s">
        <v>13998</v>
      </c>
      <c r="J4608" s="8" t="s">
        <v>13999</v>
      </c>
    </row>
    <row r="4609">
      <c r="A4609" s="7">
        <v>2.0031889E7</v>
      </c>
      <c r="B4609" s="8" t="s">
        <v>2987</v>
      </c>
      <c r="C4609" s="8" t="s">
        <v>13997</v>
      </c>
      <c r="D4609" s="8" t="s">
        <v>16</v>
      </c>
      <c r="E4609" s="8" t="s">
        <v>48</v>
      </c>
      <c r="F4609" s="9">
        <v>46106.0</v>
      </c>
      <c r="G4609" s="8" t="s">
        <v>3008</v>
      </c>
      <c r="H4609" s="8" t="s">
        <v>3047</v>
      </c>
      <c r="I4609" s="8" t="s">
        <v>14000</v>
      </c>
      <c r="J4609" s="8"/>
    </row>
    <row r="4610">
      <c r="A4610" s="7">
        <v>2.0069759E7</v>
      </c>
      <c r="B4610" s="8" t="s">
        <v>2987</v>
      </c>
      <c r="C4610" s="8" t="s">
        <v>14001</v>
      </c>
      <c r="D4610" s="8" t="s">
        <v>16</v>
      </c>
      <c r="E4610" s="8" t="s">
        <v>17</v>
      </c>
      <c r="F4610" s="9">
        <v>46185.0</v>
      </c>
      <c r="G4610" s="8" t="s">
        <v>400</v>
      </c>
      <c r="H4610" s="8" t="s">
        <v>2144</v>
      </c>
      <c r="I4610" s="8" t="s">
        <v>14002</v>
      </c>
      <c r="J4610" s="8" t="s">
        <v>14003</v>
      </c>
    </row>
    <row r="4611">
      <c r="A4611" s="7">
        <v>2.006612E7</v>
      </c>
      <c r="B4611" s="8" t="s">
        <v>2987</v>
      </c>
      <c r="C4611" s="8" t="s">
        <v>14004</v>
      </c>
      <c r="D4611" s="8" t="s">
        <v>16</v>
      </c>
      <c r="E4611" s="8" t="s">
        <v>17</v>
      </c>
      <c r="F4611" s="9">
        <v>46182.0</v>
      </c>
      <c r="G4611" s="8" t="s">
        <v>385</v>
      </c>
      <c r="H4611" s="8" t="s">
        <v>386</v>
      </c>
      <c r="I4611" s="8" t="s">
        <v>14005</v>
      </c>
      <c r="J4611" s="8" t="s">
        <v>14006</v>
      </c>
    </row>
    <row r="4612">
      <c r="A4612" s="7">
        <v>2.0065163E7</v>
      </c>
      <c r="B4612" s="8" t="s">
        <v>2987</v>
      </c>
      <c r="C4612" s="8" t="s">
        <v>14007</v>
      </c>
      <c r="D4612" s="8" t="s">
        <v>16</v>
      </c>
      <c r="E4612" s="8" t="s">
        <v>17</v>
      </c>
      <c r="F4612" s="9">
        <v>46170.0</v>
      </c>
      <c r="G4612" s="8" t="s">
        <v>247</v>
      </c>
      <c r="H4612" s="8" t="s">
        <v>248</v>
      </c>
      <c r="I4612" s="8" t="s">
        <v>14008</v>
      </c>
      <c r="J4612" s="8" t="s">
        <v>14009</v>
      </c>
    </row>
    <row r="4613">
      <c r="A4613" s="7">
        <v>2.0053456E7</v>
      </c>
      <c r="B4613" s="8" t="s">
        <v>2987</v>
      </c>
      <c r="C4613" s="8" t="s">
        <v>14010</v>
      </c>
      <c r="D4613" s="8" t="s">
        <v>16</v>
      </c>
      <c r="E4613" s="8" t="s">
        <v>17</v>
      </c>
      <c r="F4613" s="9">
        <v>46111.0</v>
      </c>
      <c r="G4613" s="8" t="s">
        <v>220</v>
      </c>
      <c r="H4613" s="8" t="s">
        <v>221</v>
      </c>
      <c r="I4613" s="8" t="s">
        <v>14011</v>
      </c>
      <c r="J4613" s="8" t="s">
        <v>14012</v>
      </c>
    </row>
    <row r="4614">
      <c r="A4614" s="7">
        <v>2.0049203E7</v>
      </c>
      <c r="B4614" s="8" t="s">
        <v>2987</v>
      </c>
      <c r="C4614" s="8" t="s">
        <v>14013</v>
      </c>
      <c r="D4614" s="8" t="s">
        <v>16</v>
      </c>
      <c r="E4614" s="8" t="s">
        <v>17</v>
      </c>
      <c r="F4614" s="9">
        <v>46116.0</v>
      </c>
      <c r="G4614" s="8" t="s">
        <v>1187</v>
      </c>
      <c r="H4614" s="8" t="s">
        <v>1188</v>
      </c>
      <c r="I4614" s="8" t="s">
        <v>14014</v>
      </c>
      <c r="J4614" s="8" t="s">
        <v>14015</v>
      </c>
    </row>
    <row r="4615">
      <c r="A4615" s="7">
        <v>2.0049203E7</v>
      </c>
      <c r="B4615" s="8" t="s">
        <v>2987</v>
      </c>
      <c r="C4615" s="8" t="s">
        <v>14013</v>
      </c>
      <c r="D4615" s="8" t="s">
        <v>16</v>
      </c>
      <c r="E4615" s="8" t="s">
        <v>17</v>
      </c>
      <c r="F4615" s="9">
        <v>46116.0</v>
      </c>
      <c r="G4615" s="8" t="s">
        <v>3421</v>
      </c>
      <c r="H4615" s="8" t="s">
        <v>3145</v>
      </c>
      <c r="I4615" s="8" t="s">
        <v>14016</v>
      </c>
      <c r="J4615" s="8"/>
    </row>
    <row r="4616">
      <c r="A4616" s="7">
        <v>2.0048838E7</v>
      </c>
      <c r="B4616" s="8" t="s">
        <v>2987</v>
      </c>
      <c r="C4616" s="8" t="s">
        <v>14017</v>
      </c>
      <c r="D4616" s="8" t="s">
        <v>16</v>
      </c>
      <c r="E4616" s="8" t="s">
        <v>17</v>
      </c>
      <c r="F4616" s="9">
        <v>46099.0</v>
      </c>
      <c r="G4616" s="8" t="s">
        <v>365</v>
      </c>
      <c r="H4616" s="8" t="s">
        <v>366</v>
      </c>
      <c r="I4616" s="8" t="s">
        <v>14018</v>
      </c>
      <c r="J4616" s="8" t="s">
        <v>14019</v>
      </c>
    </row>
    <row r="4617">
      <c r="A4617" s="7">
        <v>2.0041798E7</v>
      </c>
      <c r="B4617" s="8" t="s">
        <v>2987</v>
      </c>
      <c r="C4617" s="8" t="s">
        <v>14020</v>
      </c>
      <c r="D4617" s="8" t="s">
        <v>16</v>
      </c>
      <c r="E4617" s="8" t="s">
        <v>17</v>
      </c>
      <c r="F4617" s="9">
        <v>46083.0</v>
      </c>
      <c r="G4617" s="8" t="s">
        <v>2486</v>
      </c>
      <c r="H4617" s="8" t="s">
        <v>44</v>
      </c>
      <c r="I4617" s="8" t="s">
        <v>14021</v>
      </c>
      <c r="J4617" s="8" t="s">
        <v>14022</v>
      </c>
    </row>
    <row r="4618">
      <c r="A4618" s="7">
        <v>2.0041798E7</v>
      </c>
      <c r="B4618" s="8" t="s">
        <v>2987</v>
      </c>
      <c r="C4618" s="8" t="s">
        <v>14020</v>
      </c>
      <c r="D4618" s="8" t="s">
        <v>16</v>
      </c>
      <c r="E4618" s="8" t="s">
        <v>17</v>
      </c>
      <c r="F4618" s="9">
        <v>46083.0</v>
      </c>
      <c r="G4618" s="8" t="s">
        <v>3390</v>
      </c>
      <c r="H4618" s="8" t="s">
        <v>3047</v>
      </c>
      <c r="I4618" s="8" t="s">
        <v>14023</v>
      </c>
      <c r="J4618" s="8"/>
    </row>
    <row r="4619">
      <c r="A4619" s="7">
        <v>2.0038951E7</v>
      </c>
      <c r="B4619" s="8" t="s">
        <v>2987</v>
      </c>
      <c r="C4619" s="8" t="s">
        <v>14024</v>
      </c>
      <c r="D4619" s="8" t="s">
        <v>16</v>
      </c>
      <c r="E4619" s="8" t="s">
        <v>17</v>
      </c>
      <c r="F4619" s="9">
        <v>46074.0</v>
      </c>
      <c r="G4619" s="8" t="s">
        <v>229</v>
      </c>
      <c r="H4619" s="8" t="s">
        <v>230</v>
      </c>
      <c r="I4619" s="8" t="s">
        <v>14025</v>
      </c>
      <c r="J4619" s="8" t="s">
        <v>14026</v>
      </c>
    </row>
    <row r="4620">
      <c r="A4620" s="7">
        <v>2.0032455E7</v>
      </c>
      <c r="B4620" s="8" t="s">
        <v>2987</v>
      </c>
      <c r="C4620" s="8" t="s">
        <v>14027</v>
      </c>
      <c r="D4620" s="8" t="s">
        <v>16</v>
      </c>
      <c r="E4620" s="8" t="s">
        <v>17</v>
      </c>
      <c r="F4620" s="9">
        <v>46068.0</v>
      </c>
      <c r="G4620" s="8" t="s">
        <v>805</v>
      </c>
      <c r="H4620" s="8" t="s">
        <v>806</v>
      </c>
      <c r="I4620" s="8" t="s">
        <v>14028</v>
      </c>
      <c r="J4620" s="8" t="s">
        <v>14029</v>
      </c>
    </row>
    <row r="4621">
      <c r="A4621" s="7">
        <v>2.0038011E7</v>
      </c>
      <c r="B4621" s="8" t="s">
        <v>2987</v>
      </c>
      <c r="C4621" s="8" t="s">
        <v>14030</v>
      </c>
      <c r="D4621" s="8" t="s">
        <v>16</v>
      </c>
      <c r="E4621" s="8" t="s">
        <v>48</v>
      </c>
      <c r="F4621" s="9">
        <v>46065.0</v>
      </c>
      <c r="G4621" s="8" t="s">
        <v>365</v>
      </c>
      <c r="H4621" s="8" t="s">
        <v>366</v>
      </c>
      <c r="I4621" s="8" t="s">
        <v>14031</v>
      </c>
      <c r="J4621" s="8" t="s">
        <v>14032</v>
      </c>
    </row>
    <row r="4622">
      <c r="A4622" s="7">
        <v>2.0035084E7</v>
      </c>
      <c r="B4622" s="8" t="s">
        <v>2987</v>
      </c>
      <c r="C4622" s="8" t="s">
        <v>14033</v>
      </c>
      <c r="D4622" s="8" t="s">
        <v>16</v>
      </c>
      <c r="E4622" s="8" t="s">
        <v>17</v>
      </c>
      <c r="F4622" s="9">
        <v>46063.0</v>
      </c>
      <c r="G4622" s="8" t="s">
        <v>6228</v>
      </c>
      <c r="H4622" s="8" t="s">
        <v>6229</v>
      </c>
      <c r="I4622" s="8" t="s">
        <v>14034</v>
      </c>
      <c r="J4622" s="8"/>
    </row>
    <row r="4623">
      <c r="A4623" s="7">
        <v>2.0035084E7</v>
      </c>
      <c r="B4623" s="8" t="s">
        <v>2987</v>
      </c>
      <c r="C4623" s="8" t="s">
        <v>14033</v>
      </c>
      <c r="D4623" s="8" t="s">
        <v>16</v>
      </c>
      <c r="E4623" s="8" t="s">
        <v>17</v>
      </c>
      <c r="F4623" s="9">
        <v>46063.0</v>
      </c>
      <c r="G4623" s="8" t="s">
        <v>25</v>
      </c>
      <c r="H4623" s="8" t="s">
        <v>26</v>
      </c>
      <c r="I4623" s="8" t="s">
        <v>14035</v>
      </c>
      <c r="J4623" s="8"/>
    </row>
    <row r="4624">
      <c r="A4624" s="7">
        <v>2.00717E7</v>
      </c>
      <c r="B4624" s="8" t="s">
        <v>2987</v>
      </c>
      <c r="C4624" s="8" t="s">
        <v>14036</v>
      </c>
      <c r="D4624" s="8" t="s">
        <v>16</v>
      </c>
      <c r="E4624" s="8" t="s">
        <v>17</v>
      </c>
      <c r="F4624" s="9">
        <v>46193.0</v>
      </c>
      <c r="G4624" s="8" t="s">
        <v>6235</v>
      </c>
      <c r="H4624" s="8" t="s">
        <v>6236</v>
      </c>
      <c r="I4624" s="8" t="s">
        <v>14037</v>
      </c>
      <c r="J4624" s="8" t="s">
        <v>14038</v>
      </c>
    </row>
    <row r="4625">
      <c r="A4625" s="7">
        <v>2.007051E7</v>
      </c>
      <c r="B4625" s="8" t="s">
        <v>2987</v>
      </c>
      <c r="C4625" s="8" t="s">
        <v>14039</v>
      </c>
      <c r="D4625" s="8" t="s">
        <v>16</v>
      </c>
      <c r="E4625" s="8" t="s">
        <v>17</v>
      </c>
      <c r="F4625" s="9">
        <v>46190.0</v>
      </c>
      <c r="G4625" s="8" t="s">
        <v>59</v>
      </c>
      <c r="H4625" s="8" t="s">
        <v>60</v>
      </c>
      <c r="I4625" s="8" t="s">
        <v>14040</v>
      </c>
      <c r="J4625" s="8" t="s">
        <v>14041</v>
      </c>
    </row>
    <row r="4626">
      <c r="A4626" s="7">
        <v>2.0068099E7</v>
      </c>
      <c r="B4626" s="8" t="s">
        <v>2987</v>
      </c>
      <c r="C4626" s="8" t="s">
        <v>14042</v>
      </c>
      <c r="D4626" s="8" t="s">
        <v>16</v>
      </c>
      <c r="E4626" s="8" t="s">
        <v>17</v>
      </c>
      <c r="F4626" s="9">
        <v>46187.0</v>
      </c>
      <c r="G4626" s="8" t="s">
        <v>1045</v>
      </c>
      <c r="H4626" s="8" t="s">
        <v>909</v>
      </c>
      <c r="I4626" s="8" t="s">
        <v>14043</v>
      </c>
      <c r="J4626" s="8" t="s">
        <v>14044</v>
      </c>
    </row>
    <row r="4627">
      <c r="A4627" s="7">
        <v>2.0068087E7</v>
      </c>
      <c r="B4627" s="8" t="s">
        <v>2987</v>
      </c>
      <c r="C4627" s="8" t="s">
        <v>14045</v>
      </c>
      <c r="D4627" s="8" t="s">
        <v>16</v>
      </c>
      <c r="E4627" s="8" t="s">
        <v>17</v>
      </c>
      <c r="F4627" s="9">
        <v>46192.0</v>
      </c>
      <c r="G4627" s="8" t="s">
        <v>1007</v>
      </c>
      <c r="H4627" s="8" t="s">
        <v>1008</v>
      </c>
      <c r="I4627" s="8" t="s">
        <v>14046</v>
      </c>
      <c r="J4627" s="8" t="s">
        <v>14047</v>
      </c>
    </row>
    <row r="4628">
      <c r="A4628" s="7">
        <v>2.0069018E7</v>
      </c>
      <c r="B4628" s="8" t="s">
        <v>2987</v>
      </c>
      <c r="C4628" s="8" t="s">
        <v>14048</v>
      </c>
      <c r="D4628" s="8" t="s">
        <v>16</v>
      </c>
      <c r="E4628" s="8" t="s">
        <v>17</v>
      </c>
      <c r="F4628" s="9">
        <v>46185.0</v>
      </c>
      <c r="G4628" s="8" t="s">
        <v>423</v>
      </c>
      <c r="H4628" s="8" t="s">
        <v>6351</v>
      </c>
      <c r="I4628" s="8" t="s">
        <v>14049</v>
      </c>
      <c r="J4628" s="8" t="s">
        <v>14050</v>
      </c>
    </row>
    <row r="4629">
      <c r="A4629" s="7">
        <v>2.006527E7</v>
      </c>
      <c r="B4629" s="8" t="s">
        <v>2987</v>
      </c>
      <c r="C4629" s="8" t="s">
        <v>14051</v>
      </c>
      <c r="D4629" s="8" t="s">
        <v>2136</v>
      </c>
      <c r="E4629" s="8" t="s">
        <v>17</v>
      </c>
      <c r="F4629" s="9">
        <v>46162.0</v>
      </c>
      <c r="G4629" s="8" t="s">
        <v>234</v>
      </c>
      <c r="H4629" s="8" t="s">
        <v>235</v>
      </c>
      <c r="I4629" s="8" t="s">
        <v>14052</v>
      </c>
      <c r="J4629" s="8" t="s">
        <v>14053</v>
      </c>
    </row>
    <row r="4630">
      <c r="A4630" s="7">
        <v>2.0064222E7</v>
      </c>
      <c r="B4630" s="8" t="s">
        <v>2987</v>
      </c>
      <c r="C4630" s="8" t="s">
        <v>14054</v>
      </c>
      <c r="D4630" s="8" t="s">
        <v>16</v>
      </c>
      <c r="E4630" s="8" t="s">
        <v>17</v>
      </c>
      <c r="F4630" s="9">
        <v>46164.0</v>
      </c>
      <c r="G4630" s="8" t="s">
        <v>59</v>
      </c>
      <c r="H4630" s="8" t="s">
        <v>60</v>
      </c>
      <c r="I4630" s="8" t="s">
        <v>14055</v>
      </c>
      <c r="J4630" s="8" t="s">
        <v>14056</v>
      </c>
    </row>
    <row r="4631">
      <c r="A4631" s="7">
        <v>2.006324E7</v>
      </c>
      <c r="B4631" s="8" t="s">
        <v>2987</v>
      </c>
      <c r="C4631" s="8" t="s">
        <v>14057</v>
      </c>
      <c r="D4631" s="8" t="s">
        <v>2136</v>
      </c>
      <c r="E4631" s="8" t="s">
        <v>17</v>
      </c>
      <c r="F4631" s="9">
        <v>46153.0</v>
      </c>
      <c r="G4631" s="8" t="s">
        <v>339</v>
      </c>
      <c r="H4631" s="8" t="s">
        <v>340</v>
      </c>
      <c r="I4631" s="8" t="s">
        <v>14058</v>
      </c>
      <c r="J4631" s="8" t="s">
        <v>14059</v>
      </c>
    </row>
    <row r="4632">
      <c r="A4632" s="7">
        <v>2.006295E7</v>
      </c>
      <c r="B4632" s="8" t="s">
        <v>2987</v>
      </c>
      <c r="C4632" s="8" t="s">
        <v>14060</v>
      </c>
      <c r="D4632" s="8" t="s">
        <v>16</v>
      </c>
      <c r="E4632" s="8" t="s">
        <v>700</v>
      </c>
      <c r="F4632" s="9">
        <v>46192.0</v>
      </c>
      <c r="G4632" s="8" t="s">
        <v>688</v>
      </c>
      <c r="H4632" s="8" t="s">
        <v>689</v>
      </c>
      <c r="I4632" s="8" t="s">
        <v>14061</v>
      </c>
      <c r="J4632" s="8" t="s">
        <v>14062</v>
      </c>
    </row>
    <row r="4633">
      <c r="A4633" s="7">
        <v>2.006005E7</v>
      </c>
      <c r="B4633" s="8" t="s">
        <v>2987</v>
      </c>
      <c r="C4633" s="8" t="s">
        <v>14063</v>
      </c>
      <c r="D4633" s="8" t="s">
        <v>16</v>
      </c>
      <c r="E4633" s="8" t="s">
        <v>17</v>
      </c>
      <c r="F4633" s="9">
        <v>46156.0</v>
      </c>
      <c r="G4633" s="8" t="s">
        <v>14064</v>
      </c>
      <c r="H4633" s="8" t="s">
        <v>14065</v>
      </c>
      <c r="I4633" s="8" t="s">
        <v>14066</v>
      </c>
      <c r="J4633" s="8" t="s">
        <v>14067</v>
      </c>
    </row>
    <row r="4634">
      <c r="A4634" s="7">
        <v>2.0054691E7</v>
      </c>
      <c r="B4634" s="8" t="s">
        <v>2987</v>
      </c>
      <c r="C4634" s="8" t="s">
        <v>14068</v>
      </c>
      <c r="D4634" s="8" t="s">
        <v>16</v>
      </c>
      <c r="E4634" s="8" t="s">
        <v>17</v>
      </c>
      <c r="F4634" s="9">
        <v>46151.0</v>
      </c>
      <c r="G4634" s="8" t="s">
        <v>1241</v>
      </c>
      <c r="H4634" s="8" t="s">
        <v>1242</v>
      </c>
      <c r="I4634" s="8" t="s">
        <v>14069</v>
      </c>
      <c r="J4634" s="8" t="s">
        <v>14070</v>
      </c>
    </row>
    <row r="4635">
      <c r="A4635" s="7">
        <v>2.0054691E7</v>
      </c>
      <c r="B4635" s="8" t="s">
        <v>2987</v>
      </c>
      <c r="C4635" s="8" t="s">
        <v>14068</v>
      </c>
      <c r="D4635" s="8" t="s">
        <v>16</v>
      </c>
      <c r="E4635" s="8" t="s">
        <v>17</v>
      </c>
      <c r="F4635" s="9">
        <v>46151.0</v>
      </c>
      <c r="G4635" s="8" t="s">
        <v>14071</v>
      </c>
      <c r="H4635" s="8" t="s">
        <v>14072</v>
      </c>
      <c r="I4635" s="8" t="s">
        <v>14073</v>
      </c>
      <c r="J4635" s="8" t="s">
        <v>14074</v>
      </c>
    </row>
    <row r="4636">
      <c r="A4636" s="7">
        <v>2.0057199E7</v>
      </c>
      <c r="B4636" s="8" t="s">
        <v>2987</v>
      </c>
      <c r="C4636" s="8" t="s">
        <v>14075</v>
      </c>
      <c r="D4636" s="8" t="s">
        <v>16</v>
      </c>
      <c r="E4636" s="8" t="s">
        <v>17</v>
      </c>
      <c r="F4636" s="9">
        <v>46129.0</v>
      </c>
      <c r="G4636" s="8" t="s">
        <v>234</v>
      </c>
      <c r="H4636" s="8" t="s">
        <v>235</v>
      </c>
      <c r="I4636" s="8" t="s">
        <v>14076</v>
      </c>
      <c r="J4636" s="8" t="s">
        <v>14077</v>
      </c>
    </row>
    <row r="4637">
      <c r="A4637" s="7">
        <v>2.0053872E7</v>
      </c>
      <c r="B4637" s="8" t="s">
        <v>2987</v>
      </c>
      <c r="C4637" s="8" t="s">
        <v>14078</v>
      </c>
      <c r="D4637" s="8" t="s">
        <v>16</v>
      </c>
      <c r="E4637" s="8" t="s">
        <v>17</v>
      </c>
      <c r="F4637" s="9">
        <v>46124.0</v>
      </c>
      <c r="G4637" s="8" t="s">
        <v>59</v>
      </c>
      <c r="H4637" s="8" t="s">
        <v>60</v>
      </c>
      <c r="I4637" s="8" t="s">
        <v>14079</v>
      </c>
      <c r="J4637" s="8" t="s">
        <v>14080</v>
      </c>
    </row>
    <row r="4638">
      <c r="A4638" s="7">
        <v>2.0049916E7</v>
      </c>
      <c r="B4638" s="8" t="s">
        <v>2987</v>
      </c>
      <c r="C4638" s="8" t="s">
        <v>14081</v>
      </c>
      <c r="D4638" s="8" t="s">
        <v>16</v>
      </c>
      <c r="E4638" s="8" t="s">
        <v>17</v>
      </c>
      <c r="F4638" s="9">
        <v>46118.0</v>
      </c>
      <c r="G4638" s="8" t="s">
        <v>3352</v>
      </c>
      <c r="H4638" s="8" t="s">
        <v>3353</v>
      </c>
      <c r="I4638" s="8" t="s">
        <v>14082</v>
      </c>
      <c r="J4638" s="8"/>
    </row>
    <row r="4639">
      <c r="A4639" s="7">
        <v>2.004942E7</v>
      </c>
      <c r="B4639" s="8" t="s">
        <v>2987</v>
      </c>
      <c r="C4639" s="8" t="s">
        <v>14083</v>
      </c>
      <c r="D4639" s="8" t="s">
        <v>16</v>
      </c>
      <c r="E4639" s="8" t="s">
        <v>17</v>
      </c>
      <c r="F4639" s="9">
        <v>46100.0</v>
      </c>
      <c r="G4639" s="8" t="s">
        <v>365</v>
      </c>
      <c r="H4639" s="8" t="s">
        <v>366</v>
      </c>
      <c r="I4639" s="8" t="s">
        <v>14084</v>
      </c>
      <c r="J4639" s="8" t="s">
        <v>14085</v>
      </c>
    </row>
    <row r="4640">
      <c r="A4640" s="7">
        <v>2.0047544E7</v>
      </c>
      <c r="B4640" s="8" t="s">
        <v>2987</v>
      </c>
      <c r="C4640" s="8" t="s">
        <v>14086</v>
      </c>
      <c r="D4640" s="8" t="s">
        <v>16</v>
      </c>
      <c r="E4640" s="8" t="s">
        <v>17</v>
      </c>
      <c r="F4640" s="9">
        <v>46104.0</v>
      </c>
      <c r="G4640" s="8" t="s">
        <v>9379</v>
      </c>
      <c r="H4640" s="8" t="s">
        <v>9380</v>
      </c>
      <c r="I4640" s="8" t="s">
        <v>14087</v>
      </c>
      <c r="J4640" s="8" t="s">
        <v>14088</v>
      </c>
    </row>
    <row r="4641">
      <c r="A4641" s="7">
        <v>2.0047456E7</v>
      </c>
      <c r="B4641" s="8" t="s">
        <v>2987</v>
      </c>
      <c r="C4641" s="8" t="s">
        <v>14089</v>
      </c>
      <c r="D4641" s="8" t="s">
        <v>16</v>
      </c>
      <c r="E4641" s="8" t="s">
        <v>17</v>
      </c>
      <c r="F4641" s="9">
        <v>46107.0</v>
      </c>
      <c r="G4641" s="8" t="s">
        <v>1319</v>
      </c>
      <c r="H4641" s="8" t="s">
        <v>1320</v>
      </c>
      <c r="I4641" s="8" t="s">
        <v>14090</v>
      </c>
      <c r="J4641" s="8" t="s">
        <v>14091</v>
      </c>
    </row>
    <row r="4642">
      <c r="A4642" s="7">
        <v>2.0046164E7</v>
      </c>
      <c r="B4642" s="8" t="s">
        <v>2987</v>
      </c>
      <c r="C4642" s="8" t="s">
        <v>14092</v>
      </c>
      <c r="D4642" s="8" t="s">
        <v>16</v>
      </c>
      <c r="E4642" s="8" t="s">
        <v>17</v>
      </c>
      <c r="F4642" s="9">
        <v>46114.0</v>
      </c>
      <c r="G4642" s="8" t="s">
        <v>3136</v>
      </c>
      <c r="H4642" s="8" t="s">
        <v>3137</v>
      </c>
      <c r="I4642" s="8" t="s">
        <v>14093</v>
      </c>
      <c r="J4642" s="8"/>
    </row>
    <row r="4643">
      <c r="A4643" s="7">
        <v>2.0046164E7</v>
      </c>
      <c r="B4643" s="8" t="s">
        <v>2987</v>
      </c>
      <c r="C4643" s="8" t="s">
        <v>14092</v>
      </c>
      <c r="D4643" s="8" t="s">
        <v>16</v>
      </c>
      <c r="E4643" s="8" t="s">
        <v>17</v>
      </c>
      <c r="F4643" s="9">
        <v>46114.0</v>
      </c>
      <c r="G4643" s="8" t="s">
        <v>3133</v>
      </c>
      <c r="H4643" s="8" t="s">
        <v>3134</v>
      </c>
      <c r="I4643" s="8" t="s">
        <v>14094</v>
      </c>
      <c r="J4643" s="8"/>
    </row>
    <row r="4644">
      <c r="A4644" s="7">
        <v>2.003874E7</v>
      </c>
      <c r="B4644" s="8" t="s">
        <v>2987</v>
      </c>
      <c r="C4644" s="8" t="s">
        <v>14095</v>
      </c>
      <c r="D4644" s="8" t="s">
        <v>16</v>
      </c>
      <c r="E4644" s="8" t="s">
        <v>17</v>
      </c>
      <c r="F4644" s="9">
        <v>46082.0</v>
      </c>
      <c r="G4644" s="8" t="s">
        <v>2625</v>
      </c>
      <c r="H4644" s="8" t="s">
        <v>827</v>
      </c>
      <c r="I4644" s="8" t="s">
        <v>14096</v>
      </c>
      <c r="J4644" s="8" t="s">
        <v>14097</v>
      </c>
    </row>
    <row r="4645">
      <c r="A4645" s="7">
        <v>2.0039539E7</v>
      </c>
      <c r="B4645" s="8" t="s">
        <v>2987</v>
      </c>
      <c r="C4645" s="8" t="s">
        <v>14098</v>
      </c>
      <c r="D4645" s="8" t="s">
        <v>16</v>
      </c>
      <c r="E4645" s="8" t="s">
        <v>17</v>
      </c>
      <c r="F4645" s="9">
        <v>46069.0</v>
      </c>
      <c r="G4645" s="8" t="s">
        <v>400</v>
      </c>
      <c r="H4645" s="8" t="s">
        <v>401</v>
      </c>
      <c r="I4645" s="8"/>
      <c r="J4645" s="8" t="s">
        <v>14099</v>
      </c>
    </row>
    <row r="4646">
      <c r="A4646" s="7">
        <v>2.0037985E7</v>
      </c>
      <c r="B4646" s="8" t="s">
        <v>2987</v>
      </c>
      <c r="C4646" s="8" t="s">
        <v>14100</v>
      </c>
      <c r="D4646" s="8" t="s">
        <v>16</v>
      </c>
      <c r="E4646" s="8" t="s">
        <v>48</v>
      </c>
      <c r="F4646" s="9">
        <v>46106.0</v>
      </c>
      <c r="G4646" s="8" t="s">
        <v>2989</v>
      </c>
      <c r="H4646" s="8" t="s">
        <v>2990</v>
      </c>
      <c r="I4646" s="8" t="s">
        <v>14101</v>
      </c>
      <c r="J4646" s="8" t="s">
        <v>14102</v>
      </c>
    </row>
    <row r="4647">
      <c r="A4647" s="7">
        <v>2.0037605E7</v>
      </c>
      <c r="B4647" s="8" t="s">
        <v>2987</v>
      </c>
      <c r="C4647" s="8" t="s">
        <v>14103</v>
      </c>
      <c r="D4647" s="8" t="s">
        <v>16</v>
      </c>
      <c r="E4647" s="8" t="s">
        <v>48</v>
      </c>
      <c r="F4647" s="9">
        <v>46060.0</v>
      </c>
      <c r="G4647" s="8" t="s">
        <v>91</v>
      </c>
      <c r="H4647" s="8" t="s">
        <v>92</v>
      </c>
      <c r="I4647" s="8" t="s">
        <v>14104</v>
      </c>
      <c r="J4647" s="8" t="s">
        <v>14105</v>
      </c>
    </row>
    <row r="4648">
      <c r="A4648" s="7">
        <v>2.0036198E7</v>
      </c>
      <c r="B4648" s="8" t="s">
        <v>2987</v>
      </c>
      <c r="C4648" s="8" t="s">
        <v>14106</v>
      </c>
      <c r="D4648" s="8" t="s">
        <v>16</v>
      </c>
      <c r="E4648" s="8" t="s">
        <v>17</v>
      </c>
      <c r="F4648" s="9">
        <v>46051.0</v>
      </c>
      <c r="G4648" s="8" t="s">
        <v>385</v>
      </c>
      <c r="H4648" s="8" t="s">
        <v>386</v>
      </c>
      <c r="I4648" s="8" t="s">
        <v>14107</v>
      </c>
      <c r="J4648" s="8" t="s">
        <v>14108</v>
      </c>
    </row>
    <row r="4649">
      <c r="A4649" s="7">
        <v>2.0034334E7</v>
      </c>
      <c r="B4649" s="8" t="s">
        <v>2987</v>
      </c>
      <c r="C4649" s="8" t="s">
        <v>14109</v>
      </c>
      <c r="D4649" s="8" t="s">
        <v>16</v>
      </c>
      <c r="E4649" s="8" t="s">
        <v>17</v>
      </c>
      <c r="F4649" s="9">
        <v>46052.0</v>
      </c>
      <c r="G4649" s="8" t="s">
        <v>14110</v>
      </c>
      <c r="H4649" s="8" t="s">
        <v>14111</v>
      </c>
      <c r="I4649" s="8" t="s">
        <v>14112</v>
      </c>
      <c r="J4649" s="8" t="s">
        <v>14113</v>
      </c>
    </row>
    <row r="4650">
      <c r="A4650" s="7">
        <v>2.0035061E7</v>
      </c>
      <c r="B4650" s="8" t="s">
        <v>2987</v>
      </c>
      <c r="C4650" s="8" t="s">
        <v>14114</v>
      </c>
      <c r="D4650" s="8" t="s">
        <v>16</v>
      </c>
      <c r="E4650" s="8" t="s">
        <v>17</v>
      </c>
      <c r="F4650" s="9">
        <v>46046.0</v>
      </c>
      <c r="G4650" s="8" t="s">
        <v>826</v>
      </c>
      <c r="H4650" s="8" t="s">
        <v>827</v>
      </c>
      <c r="I4650" s="8" t="s">
        <v>14115</v>
      </c>
      <c r="J4650" s="8" t="s">
        <v>14116</v>
      </c>
    </row>
    <row r="4651">
      <c r="A4651" s="7">
        <v>2.0068112E7</v>
      </c>
      <c r="B4651" s="8" t="s">
        <v>2987</v>
      </c>
      <c r="C4651" s="8" t="s">
        <v>14117</v>
      </c>
      <c r="D4651" s="8" t="s">
        <v>16</v>
      </c>
      <c r="E4651" s="8" t="s">
        <v>700</v>
      </c>
      <c r="F4651" s="9">
        <v>46190.0</v>
      </c>
      <c r="G4651" s="8" t="s">
        <v>1813</v>
      </c>
      <c r="H4651" s="8" t="s">
        <v>1814</v>
      </c>
      <c r="I4651" s="8" t="s">
        <v>14118</v>
      </c>
      <c r="J4651" s="8" t="s">
        <v>14119</v>
      </c>
    </row>
    <row r="4652">
      <c r="A4652" s="7">
        <v>2.0067285E7</v>
      </c>
      <c r="B4652" s="8" t="s">
        <v>2987</v>
      </c>
      <c r="C4652" s="8" t="s">
        <v>14120</v>
      </c>
      <c r="D4652" s="8" t="s">
        <v>2136</v>
      </c>
      <c r="E4652" s="8" t="s">
        <v>17</v>
      </c>
      <c r="F4652" s="9">
        <v>46170.0</v>
      </c>
      <c r="G4652" s="8" t="s">
        <v>153</v>
      </c>
      <c r="H4652" s="8" t="s">
        <v>154</v>
      </c>
      <c r="I4652" s="8" t="s">
        <v>14121</v>
      </c>
      <c r="J4652" s="8" t="s">
        <v>14122</v>
      </c>
    </row>
    <row r="4653">
      <c r="A4653" s="7">
        <v>2.0066402E7</v>
      </c>
      <c r="B4653" s="8" t="s">
        <v>2987</v>
      </c>
      <c r="C4653" s="8" t="s">
        <v>14123</v>
      </c>
      <c r="D4653" s="8" t="s">
        <v>16</v>
      </c>
      <c r="E4653" s="8" t="s">
        <v>17</v>
      </c>
      <c r="F4653" s="9">
        <v>46179.0</v>
      </c>
      <c r="G4653" s="8" t="s">
        <v>9932</v>
      </c>
      <c r="H4653" s="8" t="s">
        <v>9933</v>
      </c>
      <c r="I4653" s="8" t="s">
        <v>14124</v>
      </c>
      <c r="J4653" s="8"/>
    </row>
    <row r="4654">
      <c r="A4654" s="7">
        <v>2.0064823E7</v>
      </c>
      <c r="B4654" s="8" t="s">
        <v>2987</v>
      </c>
      <c r="C4654" s="8" t="s">
        <v>14125</v>
      </c>
      <c r="D4654" s="8" t="s">
        <v>2136</v>
      </c>
      <c r="E4654" s="8" t="s">
        <v>17</v>
      </c>
      <c r="F4654" s="9">
        <v>46160.0</v>
      </c>
      <c r="G4654" s="8" t="s">
        <v>846</v>
      </c>
      <c r="H4654" s="8" t="s">
        <v>847</v>
      </c>
      <c r="I4654" s="8" t="s">
        <v>14126</v>
      </c>
      <c r="J4654" s="8" t="s">
        <v>14127</v>
      </c>
    </row>
    <row r="4655">
      <c r="A4655" s="7">
        <v>2.006414E7</v>
      </c>
      <c r="B4655" s="8" t="s">
        <v>2987</v>
      </c>
      <c r="C4655" s="8" t="s">
        <v>14128</v>
      </c>
      <c r="D4655" s="8" t="s">
        <v>16</v>
      </c>
      <c r="E4655" s="8" t="s">
        <v>17</v>
      </c>
      <c r="F4655" s="9">
        <v>46169.0</v>
      </c>
      <c r="G4655" s="8" t="s">
        <v>11113</v>
      </c>
      <c r="H4655" s="8" t="s">
        <v>11114</v>
      </c>
      <c r="I4655" s="8" t="s">
        <v>14129</v>
      </c>
      <c r="J4655" s="8" t="s">
        <v>14130</v>
      </c>
    </row>
    <row r="4656">
      <c r="A4656" s="7">
        <v>2.0057675E7</v>
      </c>
      <c r="B4656" s="8" t="s">
        <v>2987</v>
      </c>
      <c r="C4656" s="8" t="s">
        <v>14131</v>
      </c>
      <c r="D4656" s="8" t="s">
        <v>16</v>
      </c>
      <c r="E4656" s="8" t="s">
        <v>17</v>
      </c>
      <c r="F4656" s="9">
        <v>46192.0</v>
      </c>
      <c r="G4656" s="8" t="s">
        <v>158</v>
      </c>
      <c r="H4656" s="8" t="s">
        <v>159</v>
      </c>
      <c r="I4656" s="8" t="s">
        <v>14132</v>
      </c>
      <c r="J4656" s="8" t="s">
        <v>14133</v>
      </c>
    </row>
    <row r="4657">
      <c r="A4657" s="7">
        <v>2.0055524E7</v>
      </c>
      <c r="B4657" s="8" t="s">
        <v>2987</v>
      </c>
      <c r="C4657" s="8" t="s">
        <v>14134</v>
      </c>
      <c r="D4657" s="8" t="s">
        <v>16</v>
      </c>
      <c r="E4657" s="8" t="s">
        <v>17</v>
      </c>
      <c r="F4657" s="9">
        <v>46127.0</v>
      </c>
      <c r="G4657" s="8" t="s">
        <v>3084</v>
      </c>
      <c r="H4657" s="8" t="s">
        <v>14135</v>
      </c>
      <c r="I4657" s="8" t="s">
        <v>14136</v>
      </c>
      <c r="J4657" s="8"/>
    </row>
    <row r="4658">
      <c r="A4658" s="7">
        <v>2.0054871E7</v>
      </c>
      <c r="B4658" s="8" t="s">
        <v>2987</v>
      </c>
      <c r="C4658" s="8" t="s">
        <v>14137</v>
      </c>
      <c r="D4658" s="8" t="s">
        <v>16</v>
      </c>
      <c r="E4658" s="8" t="s">
        <v>17</v>
      </c>
      <c r="F4658" s="9">
        <v>46136.0</v>
      </c>
      <c r="G4658" s="8" t="s">
        <v>630</v>
      </c>
      <c r="H4658" s="8" t="s">
        <v>631</v>
      </c>
      <c r="I4658" s="8" t="s">
        <v>14138</v>
      </c>
      <c r="J4658" s="8" t="s">
        <v>14139</v>
      </c>
    </row>
    <row r="4659">
      <c r="A4659" s="7">
        <v>2.0054871E7</v>
      </c>
      <c r="B4659" s="8" t="s">
        <v>2987</v>
      </c>
      <c r="C4659" s="8" t="s">
        <v>14137</v>
      </c>
      <c r="D4659" s="8" t="s">
        <v>16</v>
      </c>
      <c r="E4659" s="8" t="s">
        <v>17</v>
      </c>
      <c r="F4659" s="9">
        <v>46136.0</v>
      </c>
      <c r="G4659" s="8" t="s">
        <v>5570</v>
      </c>
      <c r="H4659" s="8" t="s">
        <v>5571</v>
      </c>
      <c r="I4659" s="8" t="s">
        <v>14140</v>
      </c>
      <c r="J4659" s="8"/>
    </row>
    <row r="4660">
      <c r="A4660" s="7">
        <v>2.0047731E7</v>
      </c>
      <c r="B4660" s="8" t="s">
        <v>2987</v>
      </c>
      <c r="C4660" s="8" t="s">
        <v>14141</v>
      </c>
      <c r="D4660" s="8" t="s">
        <v>16</v>
      </c>
      <c r="E4660" s="8" t="s">
        <v>17</v>
      </c>
      <c r="F4660" s="9">
        <v>46127.0</v>
      </c>
      <c r="G4660" s="8" t="s">
        <v>75</v>
      </c>
      <c r="H4660" s="8" t="s">
        <v>76</v>
      </c>
      <c r="I4660" s="8"/>
      <c r="J4660" s="8" t="s">
        <v>14142</v>
      </c>
    </row>
    <row r="4661">
      <c r="A4661" s="7">
        <v>2.0010735E7</v>
      </c>
      <c r="B4661" s="8" t="s">
        <v>2987</v>
      </c>
      <c r="C4661" s="8" t="s">
        <v>14143</v>
      </c>
      <c r="D4661" s="8" t="s">
        <v>16</v>
      </c>
      <c r="E4661" s="8" t="s">
        <v>17</v>
      </c>
      <c r="F4661" s="9">
        <v>46116.0</v>
      </c>
      <c r="G4661" s="8" t="s">
        <v>282</v>
      </c>
      <c r="H4661" s="8" t="s">
        <v>71</v>
      </c>
      <c r="I4661" s="8" t="s">
        <v>14144</v>
      </c>
      <c r="J4661" s="8" t="s">
        <v>14145</v>
      </c>
    </row>
    <row r="4662">
      <c r="A4662" s="7">
        <v>2.0010735E7</v>
      </c>
      <c r="B4662" s="8" t="s">
        <v>2987</v>
      </c>
      <c r="C4662" s="8" t="s">
        <v>14143</v>
      </c>
      <c r="D4662" s="8" t="s">
        <v>16</v>
      </c>
      <c r="E4662" s="8" t="s">
        <v>17</v>
      </c>
      <c r="F4662" s="9">
        <v>46116.0</v>
      </c>
      <c r="G4662" s="8" t="s">
        <v>3008</v>
      </c>
      <c r="H4662" s="8" t="s">
        <v>3047</v>
      </c>
      <c r="I4662" s="8" t="s">
        <v>14146</v>
      </c>
      <c r="J4662" s="8"/>
    </row>
    <row r="4663">
      <c r="A4663" s="7">
        <v>2.0010735E7</v>
      </c>
      <c r="B4663" s="8" t="s">
        <v>2987</v>
      </c>
      <c r="C4663" s="8" t="s">
        <v>14143</v>
      </c>
      <c r="D4663" s="8" t="s">
        <v>16</v>
      </c>
      <c r="E4663" s="8" t="s">
        <v>17</v>
      </c>
      <c r="F4663" s="9">
        <v>46116.0</v>
      </c>
      <c r="G4663" s="8" t="s">
        <v>14147</v>
      </c>
      <c r="H4663" s="8" t="s">
        <v>14148</v>
      </c>
      <c r="I4663" s="8" t="s">
        <v>14149</v>
      </c>
      <c r="J4663" s="8"/>
    </row>
    <row r="4664">
      <c r="A4664" s="7">
        <v>2.0050456E7</v>
      </c>
      <c r="B4664" s="8" t="s">
        <v>2987</v>
      </c>
      <c r="C4664" s="8" t="s">
        <v>14150</v>
      </c>
      <c r="D4664" s="8" t="s">
        <v>16</v>
      </c>
      <c r="E4664" s="8" t="s">
        <v>17</v>
      </c>
      <c r="F4664" s="9">
        <v>46122.0</v>
      </c>
      <c r="G4664" s="8" t="s">
        <v>2516</v>
      </c>
      <c r="H4664" s="8" t="s">
        <v>2517</v>
      </c>
      <c r="I4664" s="8" t="s">
        <v>14151</v>
      </c>
      <c r="J4664" s="8"/>
    </row>
    <row r="4665">
      <c r="A4665" s="7">
        <v>2.0044305E7</v>
      </c>
      <c r="B4665" s="8" t="s">
        <v>2987</v>
      </c>
      <c r="C4665" s="8" t="s">
        <v>14152</v>
      </c>
      <c r="D4665" s="8" t="s">
        <v>16</v>
      </c>
      <c r="E4665" s="8" t="s">
        <v>17</v>
      </c>
      <c r="F4665" s="9">
        <v>46091.0</v>
      </c>
      <c r="G4665" s="8" t="s">
        <v>34</v>
      </c>
      <c r="H4665" s="8" t="s">
        <v>35</v>
      </c>
      <c r="I4665" s="8" t="s">
        <v>14153</v>
      </c>
      <c r="J4665" s="8" t="s">
        <v>14154</v>
      </c>
    </row>
    <row r="4666">
      <c r="A4666" s="7">
        <v>2.0042586E7</v>
      </c>
      <c r="B4666" s="8" t="s">
        <v>2987</v>
      </c>
      <c r="C4666" s="8" t="s">
        <v>14155</v>
      </c>
      <c r="D4666" s="8" t="s">
        <v>16</v>
      </c>
      <c r="E4666" s="8" t="s">
        <v>17</v>
      </c>
      <c r="F4666" s="9">
        <v>46095.0</v>
      </c>
      <c r="G4666" s="8" t="s">
        <v>5570</v>
      </c>
      <c r="H4666" s="8" t="s">
        <v>5571</v>
      </c>
      <c r="I4666" s="8" t="s">
        <v>14156</v>
      </c>
      <c r="J4666" s="8"/>
    </row>
    <row r="4667">
      <c r="A4667" s="7">
        <v>2.0042384E7</v>
      </c>
      <c r="B4667" s="8" t="s">
        <v>2987</v>
      </c>
      <c r="C4667" s="8" t="s">
        <v>14157</v>
      </c>
      <c r="D4667" s="8" t="s">
        <v>16</v>
      </c>
      <c r="E4667" s="8" t="s">
        <v>17</v>
      </c>
      <c r="F4667" s="9">
        <v>46068.0</v>
      </c>
      <c r="G4667" s="8" t="s">
        <v>339</v>
      </c>
      <c r="H4667" s="8" t="s">
        <v>340</v>
      </c>
      <c r="I4667" s="8" t="s">
        <v>14158</v>
      </c>
      <c r="J4667" s="8" t="s">
        <v>14159</v>
      </c>
    </row>
    <row r="4668">
      <c r="A4668" s="7">
        <v>2.0040522E7</v>
      </c>
      <c r="B4668" s="8" t="s">
        <v>2987</v>
      </c>
      <c r="C4668" s="8" t="s">
        <v>14160</v>
      </c>
      <c r="D4668" s="8" t="s">
        <v>16</v>
      </c>
      <c r="E4668" s="8" t="s">
        <v>17</v>
      </c>
      <c r="F4668" s="9">
        <v>46082.0</v>
      </c>
      <c r="G4668" s="8" t="s">
        <v>314</v>
      </c>
      <c r="H4668" s="8" t="s">
        <v>315</v>
      </c>
      <c r="I4668" s="8" t="s">
        <v>14161</v>
      </c>
      <c r="J4668" s="8" t="s">
        <v>14162</v>
      </c>
    </row>
    <row r="4669">
      <c r="A4669" s="7">
        <v>2.0038928E7</v>
      </c>
      <c r="B4669" s="8" t="s">
        <v>2987</v>
      </c>
      <c r="C4669" s="8" t="s">
        <v>14163</v>
      </c>
      <c r="D4669" s="8" t="s">
        <v>16</v>
      </c>
      <c r="E4669" s="8" t="s">
        <v>48</v>
      </c>
      <c r="F4669" s="9">
        <v>46065.0</v>
      </c>
      <c r="G4669" s="8" t="s">
        <v>59</v>
      </c>
      <c r="H4669" s="8" t="s">
        <v>60</v>
      </c>
      <c r="I4669" s="8" t="s">
        <v>14164</v>
      </c>
      <c r="J4669" s="8" t="s">
        <v>14165</v>
      </c>
    </row>
    <row r="4670">
      <c r="A4670" s="7">
        <v>2.0035283E7</v>
      </c>
      <c r="B4670" s="8" t="s">
        <v>2987</v>
      </c>
      <c r="C4670" s="8" t="s">
        <v>14166</v>
      </c>
      <c r="D4670" s="8" t="s">
        <v>16</v>
      </c>
      <c r="E4670" s="8" t="s">
        <v>17</v>
      </c>
      <c r="F4670" s="9">
        <v>46053.0</v>
      </c>
      <c r="G4670" s="8" t="s">
        <v>385</v>
      </c>
      <c r="H4670" s="8" t="s">
        <v>386</v>
      </c>
      <c r="I4670" s="8" t="s">
        <v>14167</v>
      </c>
      <c r="J4670" s="8" t="s">
        <v>14168</v>
      </c>
    </row>
    <row r="4671">
      <c r="A4671" s="7">
        <v>2.0033623E7</v>
      </c>
      <c r="B4671" s="8" t="s">
        <v>2987</v>
      </c>
      <c r="C4671" s="8" t="s">
        <v>14169</v>
      </c>
      <c r="D4671" s="8" t="s">
        <v>16</v>
      </c>
      <c r="E4671" s="8" t="s">
        <v>17</v>
      </c>
      <c r="F4671" s="9">
        <v>46065.0</v>
      </c>
      <c r="G4671" s="8" t="s">
        <v>1841</v>
      </c>
      <c r="H4671" s="8" t="s">
        <v>1842</v>
      </c>
      <c r="I4671" s="8" t="s">
        <v>14170</v>
      </c>
      <c r="J4671" s="8"/>
    </row>
    <row r="4672">
      <c r="A4672" s="7">
        <v>2.0033623E7</v>
      </c>
      <c r="B4672" s="8" t="s">
        <v>2987</v>
      </c>
      <c r="C4672" s="8" t="s">
        <v>14169</v>
      </c>
      <c r="D4672" s="8" t="s">
        <v>16</v>
      </c>
      <c r="E4672" s="8" t="s">
        <v>17</v>
      </c>
      <c r="F4672" s="9">
        <v>46065.0</v>
      </c>
      <c r="G4672" s="8" t="s">
        <v>791</v>
      </c>
      <c r="H4672" s="8" t="s">
        <v>792</v>
      </c>
      <c r="I4672" s="8" t="s">
        <v>14171</v>
      </c>
      <c r="J4672" s="8"/>
    </row>
    <row r="4673">
      <c r="A4673" s="7">
        <v>2.0032108E7</v>
      </c>
      <c r="B4673" s="8" t="s">
        <v>2987</v>
      </c>
      <c r="C4673" s="8" t="s">
        <v>14172</v>
      </c>
      <c r="D4673" s="8" t="s">
        <v>16</v>
      </c>
      <c r="E4673" s="8" t="s">
        <v>17</v>
      </c>
      <c r="F4673" s="9">
        <v>46065.0</v>
      </c>
      <c r="G4673" s="8" t="s">
        <v>132</v>
      </c>
      <c r="H4673" s="8" t="s">
        <v>133</v>
      </c>
      <c r="I4673" s="8" t="s">
        <v>14173</v>
      </c>
      <c r="J4673" s="8" t="s">
        <v>14174</v>
      </c>
    </row>
    <row r="4674">
      <c r="A4674" s="7">
        <v>2.0032108E7</v>
      </c>
      <c r="B4674" s="8" t="s">
        <v>2987</v>
      </c>
      <c r="C4674" s="8" t="s">
        <v>14172</v>
      </c>
      <c r="D4674" s="8" t="s">
        <v>16</v>
      </c>
      <c r="E4674" s="8" t="s">
        <v>17</v>
      </c>
      <c r="F4674" s="9">
        <v>46065.0</v>
      </c>
      <c r="G4674" s="8" t="s">
        <v>132</v>
      </c>
      <c r="H4674" s="8" t="s">
        <v>133</v>
      </c>
      <c r="I4674" s="8" t="s">
        <v>14175</v>
      </c>
      <c r="J4674" s="8" t="s">
        <v>14174</v>
      </c>
    </row>
    <row r="4675">
      <c r="A4675" s="7">
        <v>2.0063127E7</v>
      </c>
      <c r="B4675" s="8" t="s">
        <v>2987</v>
      </c>
      <c r="C4675" s="8" t="s">
        <v>14176</v>
      </c>
      <c r="D4675" s="8" t="s">
        <v>16</v>
      </c>
      <c r="E4675" s="8" t="s">
        <v>17</v>
      </c>
      <c r="F4675" s="9">
        <v>46184.0</v>
      </c>
      <c r="G4675" s="8" t="s">
        <v>361</v>
      </c>
      <c r="H4675" s="8" t="s">
        <v>362</v>
      </c>
      <c r="I4675" s="8" t="s">
        <v>14177</v>
      </c>
      <c r="J4675" s="8" t="s">
        <v>14178</v>
      </c>
    </row>
    <row r="4676">
      <c r="A4676" s="7">
        <v>2.0061927E7</v>
      </c>
      <c r="B4676" s="8" t="s">
        <v>2987</v>
      </c>
      <c r="C4676" s="8" t="s">
        <v>14179</v>
      </c>
      <c r="D4676" s="8" t="s">
        <v>2136</v>
      </c>
      <c r="E4676" s="8" t="s">
        <v>17</v>
      </c>
      <c r="F4676" s="9">
        <v>46150.0</v>
      </c>
      <c r="G4676" s="8" t="s">
        <v>846</v>
      </c>
      <c r="H4676" s="8" t="s">
        <v>847</v>
      </c>
      <c r="I4676" s="8"/>
      <c r="J4676" s="8" t="s">
        <v>14180</v>
      </c>
    </row>
    <row r="4677">
      <c r="A4677" s="7">
        <v>2.0062214E7</v>
      </c>
      <c r="B4677" s="8" t="s">
        <v>2987</v>
      </c>
      <c r="C4677" s="8" t="s">
        <v>14181</v>
      </c>
      <c r="D4677" s="8" t="s">
        <v>16</v>
      </c>
      <c r="E4677" s="8" t="s">
        <v>17</v>
      </c>
      <c r="F4677" s="9">
        <v>46167.0</v>
      </c>
      <c r="G4677" s="8" t="s">
        <v>3136</v>
      </c>
      <c r="H4677" s="8" t="s">
        <v>3137</v>
      </c>
      <c r="I4677" s="8" t="s">
        <v>14182</v>
      </c>
      <c r="J4677" s="8"/>
    </row>
    <row r="4678">
      <c r="A4678" s="7">
        <v>2.0061178E7</v>
      </c>
      <c r="B4678" s="8" t="s">
        <v>2987</v>
      </c>
      <c r="C4678" s="8" t="s">
        <v>14183</v>
      </c>
      <c r="D4678" s="8" t="s">
        <v>16</v>
      </c>
      <c r="E4678" s="8" t="s">
        <v>17</v>
      </c>
      <c r="F4678" s="9">
        <v>46172.0</v>
      </c>
      <c r="G4678" s="8" t="s">
        <v>1841</v>
      </c>
      <c r="H4678" s="8" t="s">
        <v>1842</v>
      </c>
      <c r="I4678" s="8" t="s">
        <v>14184</v>
      </c>
      <c r="J4678" s="8"/>
    </row>
    <row r="4679">
      <c r="A4679" s="7">
        <v>2.0060267E7</v>
      </c>
      <c r="B4679" s="8" t="s">
        <v>2987</v>
      </c>
      <c r="C4679" s="8" t="s">
        <v>14185</v>
      </c>
      <c r="D4679" s="8" t="s">
        <v>16</v>
      </c>
      <c r="E4679" s="8" t="s">
        <v>17</v>
      </c>
      <c r="F4679" s="9">
        <v>46166.0</v>
      </c>
      <c r="G4679" s="8" t="s">
        <v>428</v>
      </c>
      <c r="H4679" s="8" t="s">
        <v>429</v>
      </c>
      <c r="I4679" s="8" t="s">
        <v>14186</v>
      </c>
      <c r="J4679" s="8" t="s">
        <v>14187</v>
      </c>
    </row>
    <row r="4680">
      <c r="A4680" s="7">
        <v>2.0059733E7</v>
      </c>
      <c r="B4680" s="8" t="s">
        <v>2987</v>
      </c>
      <c r="C4680" s="8" t="s">
        <v>14188</v>
      </c>
      <c r="D4680" s="8" t="s">
        <v>16</v>
      </c>
      <c r="E4680" s="8" t="s">
        <v>17</v>
      </c>
      <c r="F4680" s="9">
        <v>46144.0</v>
      </c>
      <c r="G4680" s="8" t="s">
        <v>418</v>
      </c>
      <c r="H4680" s="8" t="s">
        <v>419</v>
      </c>
      <c r="I4680" s="8" t="s">
        <v>14189</v>
      </c>
      <c r="J4680" s="8" t="s">
        <v>14190</v>
      </c>
    </row>
    <row r="4681">
      <c r="A4681" s="7">
        <v>2.0059467E7</v>
      </c>
      <c r="B4681" s="8" t="s">
        <v>2987</v>
      </c>
      <c r="C4681" s="8" t="s">
        <v>14191</v>
      </c>
      <c r="D4681" s="8" t="s">
        <v>16</v>
      </c>
      <c r="E4681" s="8" t="s">
        <v>17</v>
      </c>
      <c r="F4681" s="9">
        <v>46187.0</v>
      </c>
      <c r="G4681" s="8" t="s">
        <v>361</v>
      </c>
      <c r="H4681" s="8" t="s">
        <v>362</v>
      </c>
      <c r="I4681" s="8" t="s">
        <v>14192</v>
      </c>
      <c r="J4681" s="8" t="s">
        <v>14193</v>
      </c>
    </row>
    <row r="4682">
      <c r="A4682" s="7">
        <v>2.005929E7</v>
      </c>
      <c r="B4682" s="8" t="s">
        <v>2987</v>
      </c>
      <c r="C4682" s="8" t="s">
        <v>14194</v>
      </c>
      <c r="D4682" s="8" t="s">
        <v>16</v>
      </c>
      <c r="E4682" s="8" t="s">
        <v>17</v>
      </c>
      <c r="F4682" s="9">
        <v>46159.0</v>
      </c>
      <c r="G4682" s="8" t="s">
        <v>3136</v>
      </c>
      <c r="H4682" s="8" t="s">
        <v>3137</v>
      </c>
      <c r="I4682" s="8" t="s">
        <v>14195</v>
      </c>
      <c r="J4682" s="8"/>
    </row>
    <row r="4683">
      <c r="A4683" s="7">
        <v>2.0058491E7</v>
      </c>
      <c r="B4683" s="8" t="s">
        <v>2987</v>
      </c>
      <c r="C4683" s="8" t="s">
        <v>14196</v>
      </c>
      <c r="D4683" s="8" t="s">
        <v>16</v>
      </c>
      <c r="E4683" s="8" t="s">
        <v>700</v>
      </c>
      <c r="F4683" s="9">
        <v>46192.0</v>
      </c>
      <c r="G4683" s="8" t="s">
        <v>14197</v>
      </c>
      <c r="H4683" s="8" t="s">
        <v>14198</v>
      </c>
      <c r="I4683" s="8" t="s">
        <v>14199</v>
      </c>
      <c r="J4683" s="8"/>
    </row>
    <row r="4684">
      <c r="A4684" s="7">
        <v>2.0058491E7</v>
      </c>
      <c r="B4684" s="8" t="s">
        <v>2987</v>
      </c>
      <c r="C4684" s="8" t="s">
        <v>14196</v>
      </c>
      <c r="D4684" s="8" t="s">
        <v>16</v>
      </c>
      <c r="E4684" s="8" t="s">
        <v>700</v>
      </c>
      <c r="F4684" s="9">
        <v>46192.0</v>
      </c>
      <c r="G4684" s="8" t="s">
        <v>3700</v>
      </c>
      <c r="H4684" s="8" t="s">
        <v>3094</v>
      </c>
      <c r="I4684" s="8" t="s">
        <v>14200</v>
      </c>
      <c r="J4684" s="8" t="s">
        <v>14201</v>
      </c>
    </row>
    <row r="4685">
      <c r="A4685" s="7">
        <v>2.0058062E7</v>
      </c>
      <c r="B4685" s="8" t="s">
        <v>2987</v>
      </c>
      <c r="C4685" s="8" t="s">
        <v>14202</v>
      </c>
      <c r="D4685" s="8" t="s">
        <v>16</v>
      </c>
      <c r="E4685" s="8" t="s">
        <v>17</v>
      </c>
      <c r="F4685" s="9">
        <v>46154.0</v>
      </c>
      <c r="G4685" s="8" t="s">
        <v>1841</v>
      </c>
      <c r="H4685" s="8" t="s">
        <v>1842</v>
      </c>
      <c r="I4685" s="8" t="s">
        <v>14203</v>
      </c>
      <c r="J4685" s="8" t="s">
        <v>14204</v>
      </c>
    </row>
    <row r="4686">
      <c r="A4686" s="7">
        <v>2.0056478E7</v>
      </c>
      <c r="B4686" s="8" t="s">
        <v>2987</v>
      </c>
      <c r="C4686" s="8" t="s">
        <v>14205</v>
      </c>
      <c r="D4686" s="8" t="s">
        <v>16</v>
      </c>
      <c r="E4686" s="8" t="s">
        <v>17</v>
      </c>
      <c r="F4686" s="9">
        <v>46129.0</v>
      </c>
      <c r="G4686" s="8" t="s">
        <v>29</v>
      </c>
      <c r="H4686" s="8" t="s">
        <v>30</v>
      </c>
      <c r="I4686" s="8"/>
      <c r="J4686" s="8" t="s">
        <v>14206</v>
      </c>
    </row>
    <row r="4687">
      <c r="A4687" s="7">
        <v>2.0053355E7</v>
      </c>
      <c r="B4687" s="8" t="s">
        <v>2987</v>
      </c>
      <c r="C4687" s="8" t="s">
        <v>14207</v>
      </c>
      <c r="D4687" s="8" t="s">
        <v>16</v>
      </c>
      <c r="E4687" s="8" t="s">
        <v>17</v>
      </c>
      <c r="F4687" s="9">
        <v>46133.0</v>
      </c>
      <c r="G4687" s="8" t="s">
        <v>184</v>
      </c>
      <c r="H4687" s="8" t="s">
        <v>185</v>
      </c>
      <c r="I4687" s="8" t="s">
        <v>14208</v>
      </c>
      <c r="J4687" s="8" t="s">
        <v>14209</v>
      </c>
    </row>
    <row r="4688">
      <c r="A4688" s="7">
        <v>2.0052193E7</v>
      </c>
      <c r="B4688" s="8" t="s">
        <v>2987</v>
      </c>
      <c r="C4688" s="8" t="s">
        <v>14210</v>
      </c>
      <c r="D4688" s="8" t="s">
        <v>16</v>
      </c>
      <c r="E4688" s="8" t="s">
        <v>17</v>
      </c>
      <c r="F4688" s="9">
        <v>46116.0</v>
      </c>
      <c r="G4688" s="8" t="s">
        <v>2225</v>
      </c>
      <c r="H4688" s="8" t="s">
        <v>2226</v>
      </c>
      <c r="I4688" s="8" t="s">
        <v>14211</v>
      </c>
      <c r="J4688" s="8" t="s">
        <v>14212</v>
      </c>
    </row>
    <row r="4689">
      <c r="A4689" s="7">
        <v>2.0052193E7</v>
      </c>
      <c r="B4689" s="8" t="s">
        <v>2987</v>
      </c>
      <c r="C4689" s="8" t="s">
        <v>14210</v>
      </c>
      <c r="D4689" s="8" t="s">
        <v>16</v>
      </c>
      <c r="E4689" s="8" t="s">
        <v>17</v>
      </c>
      <c r="F4689" s="9">
        <v>46116.0</v>
      </c>
      <c r="G4689" s="8" t="s">
        <v>4910</v>
      </c>
      <c r="H4689" s="8" t="s">
        <v>4911</v>
      </c>
      <c r="I4689" s="8" t="s">
        <v>14213</v>
      </c>
      <c r="J4689" s="8" t="s">
        <v>14214</v>
      </c>
    </row>
    <row r="4690">
      <c r="A4690" s="7">
        <v>2.004635E7</v>
      </c>
      <c r="B4690" s="8" t="s">
        <v>2987</v>
      </c>
      <c r="C4690" s="8" t="s">
        <v>14215</v>
      </c>
      <c r="D4690" s="8" t="s">
        <v>16</v>
      </c>
      <c r="E4690" s="8" t="s">
        <v>17</v>
      </c>
      <c r="F4690" s="9">
        <v>46109.0</v>
      </c>
      <c r="G4690" s="8" t="s">
        <v>594</v>
      </c>
      <c r="H4690" s="8" t="s">
        <v>595</v>
      </c>
      <c r="I4690" s="8" t="s">
        <v>14216</v>
      </c>
      <c r="J4690" s="8" t="s">
        <v>14217</v>
      </c>
    </row>
    <row r="4691">
      <c r="A4691" s="7">
        <v>2.0046663E7</v>
      </c>
      <c r="B4691" s="8" t="s">
        <v>2987</v>
      </c>
      <c r="C4691" s="8" t="s">
        <v>14218</v>
      </c>
      <c r="D4691" s="8" t="s">
        <v>16</v>
      </c>
      <c r="E4691" s="8" t="s">
        <v>17</v>
      </c>
      <c r="F4691" s="9">
        <v>46097.0</v>
      </c>
      <c r="G4691" s="8" t="s">
        <v>109</v>
      </c>
      <c r="H4691" s="8" t="s">
        <v>110</v>
      </c>
      <c r="I4691" s="8" t="s">
        <v>14219</v>
      </c>
      <c r="J4691" s="8" t="s">
        <v>14220</v>
      </c>
    </row>
    <row r="4692">
      <c r="A4692" s="7">
        <v>2.0041688E7</v>
      </c>
      <c r="B4692" s="8" t="s">
        <v>2987</v>
      </c>
      <c r="C4692" s="8" t="s">
        <v>14221</v>
      </c>
      <c r="D4692" s="8" t="s">
        <v>16</v>
      </c>
      <c r="E4692" s="8" t="s">
        <v>17</v>
      </c>
      <c r="F4692" s="9">
        <v>46078.0</v>
      </c>
      <c r="G4692" s="8" t="s">
        <v>12775</v>
      </c>
      <c r="H4692" s="8" t="s">
        <v>12776</v>
      </c>
      <c r="I4692" s="8" t="s">
        <v>14222</v>
      </c>
      <c r="J4692" s="8" t="s">
        <v>14223</v>
      </c>
    </row>
    <row r="4693">
      <c r="A4693" s="7">
        <v>2.0038543E7</v>
      </c>
      <c r="B4693" s="8" t="s">
        <v>2987</v>
      </c>
      <c r="C4693" s="8" t="s">
        <v>14224</v>
      </c>
      <c r="D4693" s="8" t="s">
        <v>16</v>
      </c>
      <c r="E4693" s="8" t="s">
        <v>17</v>
      </c>
      <c r="F4693" s="9">
        <v>46068.0</v>
      </c>
      <c r="G4693" s="8" t="s">
        <v>385</v>
      </c>
      <c r="H4693" s="8" t="s">
        <v>386</v>
      </c>
      <c r="I4693" s="8" t="s">
        <v>14225</v>
      </c>
      <c r="J4693" s="8" t="s">
        <v>14226</v>
      </c>
    </row>
    <row r="4694">
      <c r="A4694" s="7">
        <v>2.0038024E7</v>
      </c>
      <c r="B4694" s="8" t="s">
        <v>2987</v>
      </c>
      <c r="C4694" s="8" t="s">
        <v>14227</v>
      </c>
      <c r="D4694" s="8" t="s">
        <v>16</v>
      </c>
      <c r="E4694" s="8" t="s">
        <v>17</v>
      </c>
      <c r="F4694" s="9">
        <v>46071.0</v>
      </c>
      <c r="G4694" s="8" t="s">
        <v>109</v>
      </c>
      <c r="H4694" s="8" t="s">
        <v>110</v>
      </c>
      <c r="I4694" s="8" t="s">
        <v>14228</v>
      </c>
      <c r="J4694" s="8" t="s">
        <v>14229</v>
      </c>
    </row>
    <row r="4695">
      <c r="A4695" s="7">
        <v>2.0038964E7</v>
      </c>
      <c r="B4695" s="8" t="s">
        <v>2987</v>
      </c>
      <c r="C4695" s="8" t="s">
        <v>14230</v>
      </c>
      <c r="D4695" s="8" t="s">
        <v>16</v>
      </c>
      <c r="E4695" s="8" t="s">
        <v>17</v>
      </c>
      <c r="F4695" s="9">
        <v>46075.0</v>
      </c>
      <c r="G4695" s="8" t="s">
        <v>365</v>
      </c>
      <c r="H4695" s="8" t="s">
        <v>366</v>
      </c>
      <c r="I4695" s="8" t="s">
        <v>14231</v>
      </c>
      <c r="J4695" s="8" t="s">
        <v>14232</v>
      </c>
    </row>
    <row r="4696">
      <c r="A4696" s="7">
        <v>2.0029797E7</v>
      </c>
      <c r="B4696" s="8" t="s">
        <v>2987</v>
      </c>
      <c r="C4696" s="8" t="s">
        <v>14233</v>
      </c>
      <c r="D4696" s="8" t="s">
        <v>16</v>
      </c>
      <c r="E4696" s="8" t="s">
        <v>17</v>
      </c>
      <c r="F4696" s="9">
        <v>46060.0</v>
      </c>
      <c r="G4696" s="8" t="s">
        <v>34</v>
      </c>
      <c r="H4696" s="8" t="s">
        <v>35</v>
      </c>
      <c r="I4696" s="8" t="s">
        <v>14234</v>
      </c>
      <c r="J4696" s="8" t="s">
        <v>14235</v>
      </c>
    </row>
    <row r="4697">
      <c r="A4697" s="7">
        <v>2.0037583E7</v>
      </c>
      <c r="B4697" s="8" t="s">
        <v>2987</v>
      </c>
      <c r="C4697" s="8" t="s">
        <v>14236</v>
      </c>
      <c r="D4697" s="8" t="s">
        <v>16</v>
      </c>
      <c r="E4697" s="8" t="s">
        <v>17</v>
      </c>
      <c r="F4697" s="9">
        <v>46057.0</v>
      </c>
      <c r="G4697" s="8" t="s">
        <v>3364</v>
      </c>
      <c r="H4697" s="8" t="s">
        <v>3365</v>
      </c>
      <c r="I4697" s="8" t="s">
        <v>14237</v>
      </c>
      <c r="J4697" s="8"/>
    </row>
    <row r="4698">
      <c r="A4698" s="7">
        <v>2.0036538E7</v>
      </c>
      <c r="B4698" s="8" t="s">
        <v>2987</v>
      </c>
      <c r="C4698" s="8" t="s">
        <v>14238</v>
      </c>
      <c r="D4698" s="8" t="s">
        <v>16</v>
      </c>
      <c r="E4698" s="8" t="s">
        <v>17</v>
      </c>
      <c r="F4698" s="9">
        <v>46053.0</v>
      </c>
      <c r="G4698" s="8" t="s">
        <v>1949</v>
      </c>
      <c r="H4698" s="8" t="s">
        <v>1950</v>
      </c>
      <c r="I4698" s="8" t="s">
        <v>14239</v>
      </c>
      <c r="J4698" s="8" t="s">
        <v>14240</v>
      </c>
    </row>
    <row r="4699">
      <c r="A4699" s="7">
        <v>2.0031323E7</v>
      </c>
      <c r="B4699" s="8" t="s">
        <v>2987</v>
      </c>
      <c r="C4699" s="8" t="s">
        <v>14241</v>
      </c>
      <c r="D4699" s="8" t="s">
        <v>16</v>
      </c>
      <c r="E4699" s="8" t="s">
        <v>17</v>
      </c>
      <c r="F4699" s="9">
        <v>46047.0</v>
      </c>
      <c r="G4699" s="8" t="s">
        <v>978</v>
      </c>
      <c r="H4699" s="8" t="s">
        <v>979</v>
      </c>
      <c r="I4699" s="8" t="s">
        <v>14242</v>
      </c>
      <c r="J4699" s="8" t="s">
        <v>14243</v>
      </c>
    </row>
    <row r="4700">
      <c r="A4700" s="7">
        <v>2.0034017E7</v>
      </c>
      <c r="B4700" s="8" t="s">
        <v>2987</v>
      </c>
      <c r="C4700" s="8" t="s">
        <v>14244</v>
      </c>
      <c r="D4700" s="8" t="s">
        <v>16</v>
      </c>
      <c r="E4700" s="8" t="s">
        <v>17</v>
      </c>
      <c r="F4700" s="9">
        <v>46057.0</v>
      </c>
      <c r="G4700" s="8" t="s">
        <v>11560</v>
      </c>
      <c r="H4700" s="8" t="s">
        <v>14245</v>
      </c>
      <c r="I4700" s="8" t="s">
        <v>11560</v>
      </c>
      <c r="J4700" s="8"/>
    </row>
    <row r="4701">
      <c r="A4701" s="7">
        <v>2.0033252E7</v>
      </c>
      <c r="B4701" s="8" t="s">
        <v>2987</v>
      </c>
      <c r="C4701" s="8" t="s">
        <v>14246</v>
      </c>
      <c r="D4701" s="8" t="s">
        <v>16</v>
      </c>
      <c r="E4701" s="8" t="s">
        <v>48</v>
      </c>
      <c r="F4701" s="9">
        <v>46044.0</v>
      </c>
      <c r="G4701" s="8" t="s">
        <v>1319</v>
      </c>
      <c r="H4701" s="8" t="s">
        <v>1320</v>
      </c>
      <c r="I4701" s="8" t="s">
        <v>14247</v>
      </c>
      <c r="J4701" s="8" t="s">
        <v>14248</v>
      </c>
    </row>
    <row r="4702">
      <c r="A4702" s="7">
        <v>2.0063005E7</v>
      </c>
      <c r="B4702" s="8" t="s">
        <v>2987</v>
      </c>
      <c r="C4702" s="8" t="s">
        <v>14249</v>
      </c>
      <c r="D4702" s="8" t="s">
        <v>16</v>
      </c>
      <c r="E4702" s="8" t="s">
        <v>17</v>
      </c>
      <c r="F4702" s="9">
        <v>46186.0</v>
      </c>
      <c r="G4702" s="8" t="s">
        <v>12220</v>
      </c>
      <c r="H4702" s="8" t="s">
        <v>12221</v>
      </c>
      <c r="I4702" s="8" t="s">
        <v>14250</v>
      </c>
      <c r="J4702" s="8" t="s">
        <v>14251</v>
      </c>
    </row>
    <row r="4703">
      <c r="A4703" s="7">
        <v>2.0066764E7</v>
      </c>
      <c r="B4703" s="8" t="s">
        <v>2987</v>
      </c>
      <c r="C4703" s="8" t="s">
        <v>14252</v>
      </c>
      <c r="D4703" s="8" t="s">
        <v>2136</v>
      </c>
      <c r="E4703" s="8" t="s">
        <v>17</v>
      </c>
      <c r="F4703" s="9">
        <v>46168.0</v>
      </c>
      <c r="G4703" s="8" t="s">
        <v>59</v>
      </c>
      <c r="H4703" s="8" t="s">
        <v>60</v>
      </c>
      <c r="I4703" s="8"/>
      <c r="J4703" s="8" t="s">
        <v>14253</v>
      </c>
    </row>
    <row r="4704">
      <c r="A4704" s="7">
        <v>2.0063902E7</v>
      </c>
      <c r="B4704" s="8" t="s">
        <v>2987</v>
      </c>
      <c r="C4704" s="8" t="s">
        <v>14254</v>
      </c>
      <c r="D4704" s="8" t="s">
        <v>16</v>
      </c>
      <c r="E4704" s="8" t="s">
        <v>17</v>
      </c>
      <c r="F4704" s="9">
        <v>46163.0</v>
      </c>
      <c r="G4704" s="8" t="s">
        <v>59</v>
      </c>
      <c r="H4704" s="8" t="s">
        <v>60</v>
      </c>
      <c r="I4704" s="8" t="s">
        <v>14255</v>
      </c>
      <c r="J4704" s="8" t="s">
        <v>14256</v>
      </c>
    </row>
    <row r="4705">
      <c r="A4705" s="7">
        <v>2.0063543E7</v>
      </c>
      <c r="B4705" s="8" t="s">
        <v>2987</v>
      </c>
      <c r="C4705" s="8" t="s">
        <v>14257</v>
      </c>
      <c r="D4705" s="8" t="s">
        <v>16</v>
      </c>
      <c r="E4705" s="8" t="s">
        <v>17</v>
      </c>
      <c r="F4705" s="9">
        <v>46182.0</v>
      </c>
      <c r="G4705" s="8" t="s">
        <v>3133</v>
      </c>
      <c r="H4705" s="8" t="s">
        <v>3134</v>
      </c>
      <c r="I4705" s="8" t="s">
        <v>14258</v>
      </c>
      <c r="J4705" s="8"/>
    </row>
    <row r="4706">
      <c r="A4706" s="7">
        <v>2.0063543E7</v>
      </c>
      <c r="B4706" s="8" t="s">
        <v>2987</v>
      </c>
      <c r="C4706" s="8" t="s">
        <v>14257</v>
      </c>
      <c r="D4706" s="8" t="s">
        <v>16</v>
      </c>
      <c r="E4706" s="8" t="s">
        <v>17</v>
      </c>
      <c r="F4706" s="9">
        <v>46182.0</v>
      </c>
      <c r="G4706" s="8" t="s">
        <v>3136</v>
      </c>
      <c r="H4706" s="8" t="s">
        <v>3137</v>
      </c>
      <c r="I4706" s="8" t="s">
        <v>14259</v>
      </c>
      <c r="J4706" s="8"/>
    </row>
    <row r="4707">
      <c r="A4707" s="7">
        <v>2.0058744E7</v>
      </c>
      <c r="B4707" s="8" t="s">
        <v>2987</v>
      </c>
      <c r="C4707" s="8" t="s">
        <v>14260</v>
      </c>
      <c r="D4707" s="8" t="s">
        <v>16</v>
      </c>
      <c r="E4707" s="8" t="s">
        <v>17</v>
      </c>
      <c r="F4707" s="9">
        <v>46156.0</v>
      </c>
      <c r="G4707" s="8" t="s">
        <v>805</v>
      </c>
      <c r="H4707" s="8" t="s">
        <v>806</v>
      </c>
      <c r="I4707" s="8" t="s">
        <v>14261</v>
      </c>
      <c r="J4707" s="8" t="s">
        <v>14262</v>
      </c>
    </row>
    <row r="4708">
      <c r="A4708" s="7">
        <v>2.0060194E7</v>
      </c>
      <c r="B4708" s="8" t="s">
        <v>2987</v>
      </c>
      <c r="C4708" s="8" t="s">
        <v>14263</v>
      </c>
      <c r="D4708" s="8" t="s">
        <v>16</v>
      </c>
      <c r="E4708" s="8" t="s">
        <v>17</v>
      </c>
      <c r="F4708" s="9">
        <v>46193.0</v>
      </c>
      <c r="G4708" s="8" t="s">
        <v>314</v>
      </c>
      <c r="H4708" s="8" t="s">
        <v>315</v>
      </c>
      <c r="I4708" s="8" t="s">
        <v>14264</v>
      </c>
      <c r="J4708" s="8" t="s">
        <v>14265</v>
      </c>
    </row>
    <row r="4709">
      <c r="A4709" s="7">
        <v>2.0060194E7</v>
      </c>
      <c r="B4709" s="8" t="s">
        <v>2987</v>
      </c>
      <c r="C4709" s="8" t="s">
        <v>14263</v>
      </c>
      <c r="D4709" s="8" t="s">
        <v>16</v>
      </c>
      <c r="E4709" s="8" t="s">
        <v>17</v>
      </c>
      <c r="F4709" s="9">
        <v>46193.0</v>
      </c>
      <c r="G4709" s="8" t="s">
        <v>13312</v>
      </c>
      <c r="H4709" s="8" t="s">
        <v>13313</v>
      </c>
      <c r="I4709" s="8" t="s">
        <v>14266</v>
      </c>
      <c r="J4709" s="8"/>
    </row>
    <row r="4710">
      <c r="A4710" s="7">
        <v>2.0053044E7</v>
      </c>
      <c r="B4710" s="8" t="s">
        <v>2987</v>
      </c>
      <c r="C4710" s="8" t="s">
        <v>14267</v>
      </c>
      <c r="D4710" s="8" t="s">
        <v>16</v>
      </c>
      <c r="E4710" s="8" t="s">
        <v>17</v>
      </c>
      <c r="F4710" s="9">
        <v>46135.0</v>
      </c>
      <c r="G4710" s="8" t="s">
        <v>234</v>
      </c>
      <c r="H4710" s="8" t="s">
        <v>235</v>
      </c>
      <c r="I4710" s="8" t="s">
        <v>14268</v>
      </c>
      <c r="J4710" s="8" t="s">
        <v>14269</v>
      </c>
    </row>
    <row r="4711">
      <c r="A4711" s="7">
        <v>2.0048877E7</v>
      </c>
      <c r="B4711" s="8" t="s">
        <v>2987</v>
      </c>
      <c r="C4711" s="8" t="s">
        <v>14270</v>
      </c>
      <c r="D4711" s="8" t="s">
        <v>16</v>
      </c>
      <c r="E4711" s="8" t="s">
        <v>17</v>
      </c>
      <c r="F4711" s="9">
        <v>46135.0</v>
      </c>
      <c r="G4711" s="8" t="s">
        <v>12600</v>
      </c>
      <c r="H4711" s="8" t="s">
        <v>12601</v>
      </c>
      <c r="I4711" s="8" t="s">
        <v>14271</v>
      </c>
      <c r="J4711" s="8"/>
    </row>
    <row r="4712">
      <c r="A4712" s="7">
        <v>2.0053095E7</v>
      </c>
      <c r="B4712" s="8" t="s">
        <v>2987</v>
      </c>
      <c r="C4712" s="8" t="s">
        <v>14272</v>
      </c>
      <c r="D4712" s="8" t="s">
        <v>16</v>
      </c>
      <c r="E4712" s="8" t="s">
        <v>17</v>
      </c>
      <c r="F4712" s="9">
        <v>46127.0</v>
      </c>
      <c r="G4712" s="8" t="s">
        <v>158</v>
      </c>
      <c r="H4712" s="8" t="s">
        <v>159</v>
      </c>
      <c r="I4712" s="8" t="s">
        <v>14273</v>
      </c>
      <c r="J4712" s="8" t="s">
        <v>14274</v>
      </c>
    </row>
    <row r="4713">
      <c r="A4713" s="7">
        <v>2.0047523E7</v>
      </c>
      <c r="B4713" s="8" t="s">
        <v>2987</v>
      </c>
      <c r="C4713" s="8" t="s">
        <v>14275</v>
      </c>
      <c r="D4713" s="8" t="s">
        <v>16</v>
      </c>
      <c r="E4713" s="8" t="s">
        <v>17</v>
      </c>
      <c r="F4713" s="9">
        <v>46107.0</v>
      </c>
      <c r="G4713" s="8" t="s">
        <v>2331</v>
      </c>
      <c r="H4713" s="8" t="s">
        <v>2332</v>
      </c>
      <c r="I4713" s="8" t="s">
        <v>14276</v>
      </c>
      <c r="J4713" s="8" t="s">
        <v>3130</v>
      </c>
    </row>
    <row r="4714">
      <c r="A4714" s="7">
        <v>2.004736E7</v>
      </c>
      <c r="B4714" s="8" t="s">
        <v>2987</v>
      </c>
      <c r="C4714" s="8" t="s">
        <v>14277</v>
      </c>
      <c r="D4714" s="8" t="s">
        <v>16</v>
      </c>
      <c r="E4714" s="8" t="s">
        <v>17</v>
      </c>
      <c r="F4714" s="9">
        <v>46093.0</v>
      </c>
      <c r="G4714" s="8" t="s">
        <v>3434</v>
      </c>
      <c r="H4714" s="8" t="s">
        <v>44</v>
      </c>
      <c r="I4714" s="8" t="s">
        <v>14278</v>
      </c>
      <c r="J4714" s="8" t="s">
        <v>14279</v>
      </c>
    </row>
    <row r="4715">
      <c r="A4715" s="7">
        <v>2.0043762E7</v>
      </c>
      <c r="B4715" s="8" t="s">
        <v>2987</v>
      </c>
      <c r="C4715" s="8" t="s">
        <v>14280</v>
      </c>
      <c r="D4715" s="8" t="s">
        <v>16</v>
      </c>
      <c r="E4715" s="8" t="s">
        <v>17</v>
      </c>
      <c r="F4715" s="9">
        <v>46102.0</v>
      </c>
      <c r="G4715" s="8" t="s">
        <v>59</v>
      </c>
      <c r="H4715" s="8" t="s">
        <v>60</v>
      </c>
      <c r="I4715" s="8" t="s">
        <v>14281</v>
      </c>
      <c r="J4715" s="8" t="s">
        <v>14282</v>
      </c>
    </row>
    <row r="4716">
      <c r="A4716" s="7">
        <v>2.0046303E7</v>
      </c>
      <c r="B4716" s="8" t="s">
        <v>2987</v>
      </c>
      <c r="C4716" s="8" t="s">
        <v>14283</v>
      </c>
      <c r="D4716" s="8" t="s">
        <v>16</v>
      </c>
      <c r="E4716" s="8" t="s">
        <v>17</v>
      </c>
      <c r="F4716" s="9">
        <v>46090.0</v>
      </c>
      <c r="G4716" s="8" t="s">
        <v>428</v>
      </c>
      <c r="H4716" s="8" t="s">
        <v>429</v>
      </c>
      <c r="I4716" s="8" t="s">
        <v>14284</v>
      </c>
      <c r="J4716" s="8" t="s">
        <v>14285</v>
      </c>
    </row>
    <row r="4717">
      <c r="A4717" s="7">
        <v>2.0042604E7</v>
      </c>
      <c r="B4717" s="8" t="s">
        <v>2987</v>
      </c>
      <c r="C4717" s="8" t="s">
        <v>14286</v>
      </c>
      <c r="D4717" s="8" t="s">
        <v>16</v>
      </c>
      <c r="E4717" s="8" t="s">
        <v>17</v>
      </c>
      <c r="F4717" s="9">
        <v>46087.0</v>
      </c>
      <c r="G4717" s="8" t="s">
        <v>109</v>
      </c>
      <c r="H4717" s="8" t="s">
        <v>110</v>
      </c>
      <c r="I4717" s="8" t="s">
        <v>14287</v>
      </c>
      <c r="J4717" s="8" t="s">
        <v>14288</v>
      </c>
    </row>
    <row r="4718">
      <c r="A4718" s="7">
        <v>2.0043242E7</v>
      </c>
      <c r="B4718" s="8" t="s">
        <v>2987</v>
      </c>
      <c r="C4718" s="8" t="s">
        <v>14289</v>
      </c>
      <c r="D4718" s="8" t="s">
        <v>2136</v>
      </c>
      <c r="E4718" s="8" t="s">
        <v>17</v>
      </c>
      <c r="F4718" s="9">
        <v>46071.0</v>
      </c>
      <c r="G4718" s="8" t="s">
        <v>75</v>
      </c>
      <c r="H4718" s="8" t="s">
        <v>76</v>
      </c>
      <c r="I4718" s="8" t="s">
        <v>14290</v>
      </c>
      <c r="J4718" s="8" t="s">
        <v>14291</v>
      </c>
    </row>
    <row r="4719">
      <c r="A4719" s="7">
        <v>2.0040719E7</v>
      </c>
      <c r="B4719" s="8" t="s">
        <v>2987</v>
      </c>
      <c r="C4719" s="8" t="s">
        <v>14292</v>
      </c>
      <c r="D4719" s="8" t="s">
        <v>16</v>
      </c>
      <c r="E4719" s="8" t="s">
        <v>17</v>
      </c>
      <c r="F4719" s="9">
        <v>46092.0</v>
      </c>
      <c r="G4719" s="8" t="s">
        <v>195</v>
      </c>
      <c r="H4719" s="8" t="s">
        <v>196</v>
      </c>
      <c r="I4719" s="8"/>
      <c r="J4719" s="8" t="s">
        <v>14293</v>
      </c>
    </row>
    <row r="4720">
      <c r="A4720" s="7">
        <v>2.0041061E7</v>
      </c>
      <c r="B4720" s="8" t="s">
        <v>2987</v>
      </c>
      <c r="C4720" s="8" t="s">
        <v>14294</v>
      </c>
      <c r="D4720" s="8" t="s">
        <v>16</v>
      </c>
      <c r="E4720" s="8" t="s">
        <v>14295</v>
      </c>
      <c r="F4720" s="9">
        <v>46066.0</v>
      </c>
      <c r="G4720" s="8" t="s">
        <v>14296</v>
      </c>
      <c r="H4720" s="8" t="s">
        <v>3431</v>
      </c>
      <c r="I4720" s="8" t="s">
        <v>14297</v>
      </c>
      <c r="J4720" s="8" t="s">
        <v>14298</v>
      </c>
    </row>
    <row r="4721">
      <c r="A4721" s="7">
        <v>2.0041061E7</v>
      </c>
      <c r="B4721" s="8" t="s">
        <v>2987</v>
      </c>
      <c r="C4721" s="8" t="s">
        <v>14299</v>
      </c>
      <c r="D4721" s="8" t="s">
        <v>16</v>
      </c>
      <c r="E4721" s="8" t="s">
        <v>17</v>
      </c>
      <c r="F4721" s="9">
        <v>46079.0</v>
      </c>
      <c r="G4721" s="8" t="s">
        <v>14296</v>
      </c>
      <c r="H4721" s="8" t="s">
        <v>3431</v>
      </c>
      <c r="I4721" s="8"/>
      <c r="J4721" s="8" t="s">
        <v>14298</v>
      </c>
    </row>
    <row r="4722">
      <c r="A4722" s="7">
        <v>2.0038849E7</v>
      </c>
      <c r="B4722" s="8" t="s">
        <v>2987</v>
      </c>
      <c r="C4722" s="8" t="s">
        <v>14300</v>
      </c>
      <c r="D4722" s="8" t="s">
        <v>16</v>
      </c>
      <c r="E4722" s="8" t="s">
        <v>48</v>
      </c>
      <c r="F4722" s="9">
        <v>46066.0</v>
      </c>
      <c r="G4722" s="8" t="s">
        <v>365</v>
      </c>
      <c r="H4722" s="8" t="s">
        <v>366</v>
      </c>
      <c r="I4722" s="8" t="s">
        <v>14301</v>
      </c>
      <c r="J4722" s="8" t="s">
        <v>14302</v>
      </c>
    </row>
    <row r="4723">
      <c r="A4723" s="7">
        <v>2.0037567E7</v>
      </c>
      <c r="B4723" s="8" t="s">
        <v>2987</v>
      </c>
      <c r="C4723" s="8" t="s">
        <v>14303</v>
      </c>
      <c r="D4723" s="8" t="s">
        <v>16</v>
      </c>
      <c r="E4723" s="8" t="s">
        <v>17</v>
      </c>
      <c r="F4723" s="9">
        <v>46073.0</v>
      </c>
      <c r="G4723" s="8" t="s">
        <v>64</v>
      </c>
      <c r="H4723" s="8" t="s">
        <v>65</v>
      </c>
      <c r="I4723" s="8"/>
      <c r="J4723" s="8" t="s">
        <v>14304</v>
      </c>
    </row>
    <row r="4724">
      <c r="A4724" s="7">
        <v>2.0036262E7</v>
      </c>
      <c r="B4724" s="8" t="s">
        <v>2987</v>
      </c>
      <c r="C4724" s="8" t="s">
        <v>14305</v>
      </c>
      <c r="D4724" s="8" t="s">
        <v>16</v>
      </c>
      <c r="E4724" s="8" t="s">
        <v>48</v>
      </c>
      <c r="F4724" s="9">
        <v>46065.0</v>
      </c>
      <c r="G4724" s="8" t="s">
        <v>3136</v>
      </c>
      <c r="H4724" s="8" t="s">
        <v>3137</v>
      </c>
      <c r="I4724" s="8" t="s">
        <v>14306</v>
      </c>
      <c r="J4724" s="8"/>
    </row>
    <row r="4725">
      <c r="A4725" s="7">
        <v>2.0034876E7</v>
      </c>
      <c r="B4725" s="8" t="s">
        <v>2987</v>
      </c>
      <c r="C4725" s="8" t="s">
        <v>14307</v>
      </c>
      <c r="D4725" s="8" t="s">
        <v>16</v>
      </c>
      <c r="E4725" s="8" t="s">
        <v>17</v>
      </c>
      <c r="F4725" s="9">
        <v>46061.0</v>
      </c>
      <c r="G4725" s="8" t="s">
        <v>14064</v>
      </c>
      <c r="H4725" s="8" t="s">
        <v>14065</v>
      </c>
      <c r="I4725" s="8" t="s">
        <v>14308</v>
      </c>
      <c r="J4725" s="8" t="s">
        <v>14309</v>
      </c>
    </row>
    <row r="4726">
      <c r="A4726" s="7">
        <v>2.0035552E7</v>
      </c>
      <c r="B4726" s="8" t="s">
        <v>2987</v>
      </c>
      <c r="C4726" s="8" t="s">
        <v>14310</v>
      </c>
      <c r="D4726" s="8" t="s">
        <v>16</v>
      </c>
      <c r="E4726" s="8" t="s">
        <v>17</v>
      </c>
      <c r="F4726" s="9">
        <v>46048.0</v>
      </c>
      <c r="G4726" s="8" t="s">
        <v>6638</v>
      </c>
      <c r="H4726" s="8" t="s">
        <v>6639</v>
      </c>
      <c r="I4726" s="8" t="s">
        <v>14311</v>
      </c>
      <c r="J4726" s="8"/>
    </row>
    <row r="4727">
      <c r="A4727" s="7">
        <v>2.0063145E7</v>
      </c>
      <c r="B4727" s="8" t="s">
        <v>2987</v>
      </c>
      <c r="C4727" s="8" t="s">
        <v>14312</v>
      </c>
      <c r="D4727" s="8" t="s">
        <v>16</v>
      </c>
      <c r="E4727" s="8" t="s">
        <v>17</v>
      </c>
      <c r="F4727" s="9">
        <v>46191.0</v>
      </c>
      <c r="G4727" s="8" t="s">
        <v>14313</v>
      </c>
      <c r="H4727" s="8" t="s">
        <v>14314</v>
      </c>
      <c r="I4727" s="8"/>
      <c r="J4727" s="8" t="s">
        <v>14315</v>
      </c>
    </row>
    <row r="4728">
      <c r="A4728" s="7">
        <v>2.0059011E7</v>
      </c>
      <c r="B4728" s="8" t="s">
        <v>2987</v>
      </c>
      <c r="C4728" s="8" t="s">
        <v>14316</v>
      </c>
      <c r="D4728" s="8" t="s">
        <v>16</v>
      </c>
      <c r="E4728" s="8" t="s">
        <v>17</v>
      </c>
      <c r="F4728" s="9">
        <v>46183.0</v>
      </c>
      <c r="G4728" s="8" t="s">
        <v>4148</v>
      </c>
      <c r="H4728" s="8" t="s">
        <v>4149</v>
      </c>
      <c r="I4728" s="8" t="s">
        <v>14317</v>
      </c>
      <c r="J4728" s="8" t="s">
        <v>14318</v>
      </c>
    </row>
    <row r="4729">
      <c r="A4729" s="7">
        <v>2.0063204E7</v>
      </c>
      <c r="B4729" s="8" t="s">
        <v>2987</v>
      </c>
      <c r="C4729" s="8" t="s">
        <v>14319</v>
      </c>
      <c r="D4729" s="8" t="s">
        <v>16</v>
      </c>
      <c r="E4729" s="8" t="s">
        <v>700</v>
      </c>
      <c r="F4729" s="9">
        <v>46159.0</v>
      </c>
      <c r="G4729" s="8" t="s">
        <v>504</v>
      </c>
      <c r="H4729" s="8" t="s">
        <v>505</v>
      </c>
      <c r="I4729" s="8" t="s">
        <v>14320</v>
      </c>
      <c r="J4729" s="8" t="s">
        <v>14321</v>
      </c>
    </row>
    <row r="4730">
      <c r="A4730" s="7">
        <v>2.0061578E7</v>
      </c>
      <c r="B4730" s="8" t="s">
        <v>2987</v>
      </c>
      <c r="C4730" s="8" t="s">
        <v>14322</v>
      </c>
      <c r="D4730" s="8" t="s">
        <v>16</v>
      </c>
      <c r="E4730" s="8" t="s">
        <v>17</v>
      </c>
      <c r="F4730" s="9">
        <v>46154.0</v>
      </c>
      <c r="G4730" s="8" t="s">
        <v>273</v>
      </c>
      <c r="H4730" s="8" t="s">
        <v>274</v>
      </c>
      <c r="I4730" s="8" t="s">
        <v>14323</v>
      </c>
      <c r="J4730" s="8" t="s">
        <v>14324</v>
      </c>
    </row>
    <row r="4731">
      <c r="A4731" s="7">
        <v>2.0059798E7</v>
      </c>
      <c r="B4731" s="8" t="s">
        <v>2987</v>
      </c>
      <c r="C4731" s="8" t="s">
        <v>14325</v>
      </c>
      <c r="D4731" s="8" t="s">
        <v>16</v>
      </c>
      <c r="E4731" s="8" t="s">
        <v>17</v>
      </c>
      <c r="F4731" s="9">
        <v>46185.0</v>
      </c>
      <c r="G4731" s="8" t="s">
        <v>171</v>
      </c>
      <c r="H4731" s="8" t="s">
        <v>172</v>
      </c>
      <c r="I4731" s="8" t="s">
        <v>14326</v>
      </c>
      <c r="J4731" s="8" t="s">
        <v>14327</v>
      </c>
    </row>
    <row r="4732">
      <c r="A4732" s="7">
        <v>2.0047386E7</v>
      </c>
      <c r="B4732" s="8" t="s">
        <v>2987</v>
      </c>
      <c r="C4732" s="8" t="s">
        <v>14328</v>
      </c>
      <c r="D4732" s="8" t="s">
        <v>16</v>
      </c>
      <c r="E4732" s="8" t="s">
        <v>17</v>
      </c>
      <c r="F4732" s="9">
        <v>46131.0</v>
      </c>
      <c r="G4732" s="8" t="s">
        <v>1764</v>
      </c>
      <c r="H4732" s="8" t="s">
        <v>1765</v>
      </c>
      <c r="I4732" s="8" t="s">
        <v>14329</v>
      </c>
      <c r="J4732" s="8" t="s">
        <v>14330</v>
      </c>
    </row>
    <row r="4733">
      <c r="A4733" s="7">
        <v>2.0047386E7</v>
      </c>
      <c r="B4733" s="8" t="s">
        <v>2987</v>
      </c>
      <c r="C4733" s="8" t="s">
        <v>14328</v>
      </c>
      <c r="D4733" s="8" t="s">
        <v>16</v>
      </c>
      <c r="E4733" s="8" t="s">
        <v>17</v>
      </c>
      <c r="F4733" s="9">
        <v>46131.0</v>
      </c>
      <c r="G4733" s="8" t="s">
        <v>1764</v>
      </c>
      <c r="H4733" s="8" t="s">
        <v>1765</v>
      </c>
      <c r="I4733" s="8"/>
      <c r="J4733" s="8" t="s">
        <v>14329</v>
      </c>
    </row>
    <row r="4734">
      <c r="A4734" s="7">
        <v>2.0047386E7</v>
      </c>
      <c r="B4734" s="8" t="s">
        <v>2987</v>
      </c>
      <c r="C4734" s="8" t="s">
        <v>14328</v>
      </c>
      <c r="D4734" s="8" t="s">
        <v>16</v>
      </c>
      <c r="E4734" s="8" t="s">
        <v>17</v>
      </c>
      <c r="F4734" s="9">
        <v>46131.0</v>
      </c>
      <c r="G4734" s="8" t="s">
        <v>3027</v>
      </c>
      <c r="H4734" s="8" t="s">
        <v>909</v>
      </c>
      <c r="I4734" s="8" t="s">
        <v>14331</v>
      </c>
      <c r="J4734" s="8" t="s">
        <v>14332</v>
      </c>
    </row>
    <row r="4735">
      <c r="A4735" s="7">
        <v>2.0047626E7</v>
      </c>
      <c r="B4735" s="8" t="s">
        <v>2987</v>
      </c>
      <c r="C4735" s="8" t="s">
        <v>14333</v>
      </c>
      <c r="D4735" s="8" t="s">
        <v>16</v>
      </c>
      <c r="E4735" s="8" t="s">
        <v>17</v>
      </c>
      <c r="F4735" s="9">
        <v>46131.0</v>
      </c>
      <c r="G4735" s="8" t="s">
        <v>14334</v>
      </c>
      <c r="H4735" s="8" t="s">
        <v>14335</v>
      </c>
      <c r="I4735" s="8" t="s">
        <v>14336</v>
      </c>
      <c r="J4735" s="8" t="s">
        <v>14337</v>
      </c>
    </row>
    <row r="4736">
      <c r="A4736" s="7">
        <v>2.0046327E7</v>
      </c>
      <c r="B4736" s="8" t="s">
        <v>2987</v>
      </c>
      <c r="C4736" s="8" t="s">
        <v>14338</v>
      </c>
      <c r="D4736" s="8" t="s">
        <v>16</v>
      </c>
      <c r="E4736" s="8" t="s">
        <v>17</v>
      </c>
      <c r="F4736" s="9">
        <v>46105.0</v>
      </c>
      <c r="G4736" s="8" t="s">
        <v>688</v>
      </c>
      <c r="H4736" s="8" t="s">
        <v>689</v>
      </c>
      <c r="I4736" s="8" t="s">
        <v>14339</v>
      </c>
      <c r="J4736" s="8" t="s">
        <v>14340</v>
      </c>
    </row>
    <row r="4737">
      <c r="A4737" s="7">
        <v>2.0044276E7</v>
      </c>
      <c r="B4737" s="8" t="s">
        <v>2987</v>
      </c>
      <c r="C4737" s="8" t="s">
        <v>14341</v>
      </c>
      <c r="D4737" s="8" t="s">
        <v>16</v>
      </c>
      <c r="E4737" s="8" t="s">
        <v>17</v>
      </c>
      <c r="F4737" s="9">
        <v>46099.0</v>
      </c>
      <c r="G4737" s="8" t="s">
        <v>361</v>
      </c>
      <c r="H4737" s="8" t="s">
        <v>362</v>
      </c>
      <c r="I4737" s="8" t="s">
        <v>14342</v>
      </c>
      <c r="J4737" s="8" t="s">
        <v>14343</v>
      </c>
    </row>
    <row r="4738">
      <c r="A4738" s="7">
        <v>2.0044789E7</v>
      </c>
      <c r="B4738" s="8" t="s">
        <v>2987</v>
      </c>
      <c r="C4738" s="8" t="s">
        <v>14344</v>
      </c>
      <c r="D4738" s="8" t="s">
        <v>16</v>
      </c>
      <c r="E4738" s="8" t="s">
        <v>17</v>
      </c>
      <c r="F4738" s="9">
        <v>46096.0</v>
      </c>
      <c r="G4738" s="8" t="s">
        <v>14345</v>
      </c>
      <c r="H4738" s="8" t="s">
        <v>14346</v>
      </c>
      <c r="I4738" s="8" t="s">
        <v>14347</v>
      </c>
      <c r="J4738" s="8"/>
    </row>
    <row r="4739">
      <c r="A4739" s="7">
        <v>2.0041595E7</v>
      </c>
      <c r="B4739" s="8" t="s">
        <v>2987</v>
      </c>
      <c r="C4739" s="8" t="s">
        <v>14348</v>
      </c>
      <c r="D4739" s="8" t="s">
        <v>16</v>
      </c>
      <c r="E4739" s="8" t="s">
        <v>17</v>
      </c>
      <c r="F4739" s="9">
        <v>46081.0</v>
      </c>
      <c r="G4739" s="8" t="s">
        <v>385</v>
      </c>
      <c r="H4739" s="8" t="s">
        <v>386</v>
      </c>
      <c r="I4739" s="8" t="s">
        <v>14349</v>
      </c>
      <c r="J4739" s="8" t="s">
        <v>14350</v>
      </c>
    </row>
    <row r="4740">
      <c r="A4740" s="7">
        <v>2.0037863E7</v>
      </c>
      <c r="B4740" s="8" t="s">
        <v>2987</v>
      </c>
      <c r="C4740" s="8" t="s">
        <v>14351</v>
      </c>
      <c r="D4740" s="8" t="s">
        <v>16</v>
      </c>
      <c r="E4740" s="8" t="s">
        <v>17</v>
      </c>
      <c r="F4740" s="9">
        <v>46067.0</v>
      </c>
      <c r="G4740" s="8" t="s">
        <v>59</v>
      </c>
      <c r="H4740" s="8" t="s">
        <v>60</v>
      </c>
      <c r="I4740" s="8" t="s">
        <v>14352</v>
      </c>
      <c r="J4740" s="8" t="s">
        <v>14353</v>
      </c>
    </row>
    <row r="4741">
      <c r="A4741" s="7">
        <v>2.0035389E7</v>
      </c>
      <c r="B4741" s="8" t="s">
        <v>2987</v>
      </c>
      <c r="C4741" s="8" t="s">
        <v>14354</v>
      </c>
      <c r="D4741" s="8" t="s">
        <v>16</v>
      </c>
      <c r="E4741" s="8" t="s">
        <v>48</v>
      </c>
      <c r="F4741" s="9">
        <v>46072.0</v>
      </c>
      <c r="G4741" s="8" t="s">
        <v>195</v>
      </c>
      <c r="H4741" s="8" t="s">
        <v>196</v>
      </c>
      <c r="I4741" s="8" t="s">
        <v>14355</v>
      </c>
      <c r="J4741" s="8" t="s">
        <v>14356</v>
      </c>
    </row>
    <row r="4742">
      <c r="A4742" s="7">
        <v>2.0035389E7</v>
      </c>
      <c r="B4742" s="8" t="s">
        <v>2987</v>
      </c>
      <c r="C4742" s="8" t="s">
        <v>14354</v>
      </c>
      <c r="D4742" s="8" t="s">
        <v>16</v>
      </c>
      <c r="E4742" s="8" t="s">
        <v>48</v>
      </c>
      <c r="F4742" s="9">
        <v>46072.0</v>
      </c>
      <c r="G4742" s="8" t="s">
        <v>2098</v>
      </c>
      <c r="H4742" s="8" t="s">
        <v>2099</v>
      </c>
      <c r="I4742" s="8" t="s">
        <v>14357</v>
      </c>
      <c r="J4742" s="8" t="s">
        <v>14358</v>
      </c>
    </row>
    <row r="4743">
      <c r="A4743" s="7">
        <v>2.0021099E7</v>
      </c>
      <c r="B4743" s="8" t="s">
        <v>2987</v>
      </c>
      <c r="C4743" s="8" t="s">
        <v>14359</v>
      </c>
      <c r="D4743" s="8" t="s">
        <v>16</v>
      </c>
      <c r="E4743" s="8" t="s">
        <v>17</v>
      </c>
      <c r="F4743" s="9">
        <v>46053.0</v>
      </c>
      <c r="G4743" s="8" t="s">
        <v>339</v>
      </c>
      <c r="H4743" s="8" t="s">
        <v>340</v>
      </c>
      <c r="I4743" s="8" t="s">
        <v>14360</v>
      </c>
      <c r="J4743" s="8" t="s">
        <v>14361</v>
      </c>
    </row>
    <row r="4744">
      <c r="A4744" s="7">
        <v>2.0065561E7</v>
      </c>
      <c r="B4744" s="8" t="s">
        <v>2987</v>
      </c>
      <c r="C4744" s="8" t="s">
        <v>14362</v>
      </c>
      <c r="D4744" s="8" t="s">
        <v>2136</v>
      </c>
      <c r="E4744" s="8" t="s">
        <v>17</v>
      </c>
      <c r="F4744" s="9">
        <v>46163.0</v>
      </c>
      <c r="G4744" s="8" t="s">
        <v>339</v>
      </c>
      <c r="H4744" s="8" t="s">
        <v>340</v>
      </c>
      <c r="I4744" s="8" t="s">
        <v>14363</v>
      </c>
      <c r="J4744" s="8" t="s">
        <v>14364</v>
      </c>
    </row>
    <row r="4745">
      <c r="A4745" s="7">
        <v>2.006311E7</v>
      </c>
      <c r="B4745" s="8" t="s">
        <v>2987</v>
      </c>
      <c r="C4745" s="8" t="s">
        <v>14365</v>
      </c>
      <c r="D4745" s="8" t="s">
        <v>16</v>
      </c>
      <c r="E4745" s="8" t="s">
        <v>17</v>
      </c>
      <c r="F4745" s="9">
        <v>46165.0</v>
      </c>
      <c r="G4745" s="8" t="s">
        <v>59</v>
      </c>
      <c r="H4745" s="8" t="s">
        <v>60</v>
      </c>
      <c r="I4745" s="8" t="s">
        <v>14366</v>
      </c>
      <c r="J4745" s="8" t="s">
        <v>14367</v>
      </c>
    </row>
    <row r="4746">
      <c r="A4746" s="7">
        <v>2.0061857E7</v>
      </c>
      <c r="B4746" s="8" t="s">
        <v>2987</v>
      </c>
      <c r="C4746" s="8" t="s">
        <v>14368</v>
      </c>
      <c r="D4746" s="8" t="s">
        <v>16</v>
      </c>
      <c r="E4746" s="8" t="s">
        <v>17</v>
      </c>
      <c r="F4746" s="9">
        <v>46162.0</v>
      </c>
      <c r="G4746" s="8" t="s">
        <v>59</v>
      </c>
      <c r="H4746" s="8" t="s">
        <v>60</v>
      </c>
      <c r="I4746" s="8" t="s">
        <v>14369</v>
      </c>
      <c r="J4746" s="8" t="s">
        <v>14370</v>
      </c>
    </row>
    <row r="4747">
      <c r="A4747" s="7">
        <v>2.0055745E7</v>
      </c>
      <c r="B4747" s="8" t="s">
        <v>2987</v>
      </c>
      <c r="C4747" s="8" t="s">
        <v>14371</v>
      </c>
      <c r="D4747" s="8" t="s">
        <v>16</v>
      </c>
      <c r="E4747" s="8" t="s">
        <v>17</v>
      </c>
      <c r="F4747" s="9">
        <v>46150.0</v>
      </c>
      <c r="G4747" s="8" t="s">
        <v>3136</v>
      </c>
      <c r="H4747" s="8" t="s">
        <v>3137</v>
      </c>
      <c r="I4747" s="8" t="s">
        <v>14372</v>
      </c>
      <c r="J4747" s="8"/>
    </row>
    <row r="4748">
      <c r="A4748" s="7">
        <v>2.0055598E7</v>
      </c>
      <c r="B4748" s="8" t="s">
        <v>2987</v>
      </c>
      <c r="C4748" s="8" t="s">
        <v>14373</v>
      </c>
      <c r="D4748" s="8" t="s">
        <v>16</v>
      </c>
      <c r="E4748" s="8" t="s">
        <v>17</v>
      </c>
      <c r="F4748" s="9">
        <v>46122.0</v>
      </c>
      <c r="G4748" s="8" t="s">
        <v>91</v>
      </c>
      <c r="H4748" s="8" t="s">
        <v>92</v>
      </c>
      <c r="I4748" s="8" t="s">
        <v>14374</v>
      </c>
      <c r="J4748" s="8" t="s">
        <v>14375</v>
      </c>
    </row>
    <row r="4749">
      <c r="A4749" s="7">
        <v>2.0050404E7</v>
      </c>
      <c r="B4749" s="8" t="s">
        <v>2987</v>
      </c>
      <c r="C4749" s="8" t="s">
        <v>14376</v>
      </c>
      <c r="D4749" s="8" t="s">
        <v>16</v>
      </c>
      <c r="E4749" s="8" t="s">
        <v>17</v>
      </c>
      <c r="F4749" s="9">
        <v>46118.0</v>
      </c>
      <c r="G4749" s="8" t="s">
        <v>3012</v>
      </c>
      <c r="H4749" s="8" t="s">
        <v>3013</v>
      </c>
      <c r="I4749" s="8" t="s">
        <v>14377</v>
      </c>
      <c r="J4749" s="8" t="s">
        <v>14378</v>
      </c>
    </row>
    <row r="4750">
      <c r="A4750" s="7">
        <v>2.0048102E7</v>
      </c>
      <c r="B4750" s="8" t="s">
        <v>2987</v>
      </c>
      <c r="C4750" s="8" t="s">
        <v>14379</v>
      </c>
      <c r="D4750" s="8" t="s">
        <v>16</v>
      </c>
      <c r="E4750" s="8" t="s">
        <v>17</v>
      </c>
      <c r="F4750" s="9">
        <v>46110.0</v>
      </c>
      <c r="G4750" s="8" t="s">
        <v>148</v>
      </c>
      <c r="H4750" s="8" t="s">
        <v>149</v>
      </c>
      <c r="I4750" s="8" t="s">
        <v>14380</v>
      </c>
      <c r="J4750" s="8" t="s">
        <v>14381</v>
      </c>
    </row>
    <row r="4751">
      <c r="A4751" s="7">
        <v>2.0045909E7</v>
      </c>
      <c r="B4751" s="8" t="s">
        <v>2987</v>
      </c>
      <c r="C4751" s="8" t="s">
        <v>14382</v>
      </c>
      <c r="D4751" s="8" t="s">
        <v>16</v>
      </c>
      <c r="E4751" s="8" t="s">
        <v>17</v>
      </c>
      <c r="F4751" s="9">
        <v>46095.0</v>
      </c>
      <c r="G4751" s="8" t="s">
        <v>3364</v>
      </c>
      <c r="H4751" s="8" t="s">
        <v>3365</v>
      </c>
      <c r="I4751" s="8" t="s">
        <v>14383</v>
      </c>
      <c r="J4751" s="8"/>
    </row>
    <row r="4752">
      <c r="A4752" s="7">
        <v>2.0042541E7</v>
      </c>
      <c r="B4752" s="8" t="s">
        <v>2987</v>
      </c>
      <c r="C4752" s="8" t="s">
        <v>14384</v>
      </c>
      <c r="D4752" s="8" t="s">
        <v>16</v>
      </c>
      <c r="E4752" s="8" t="s">
        <v>17</v>
      </c>
      <c r="F4752" s="9">
        <v>46088.0</v>
      </c>
      <c r="G4752" s="8" t="s">
        <v>6228</v>
      </c>
      <c r="H4752" s="8" t="s">
        <v>6229</v>
      </c>
      <c r="I4752" s="8" t="s">
        <v>14385</v>
      </c>
      <c r="J4752" s="8"/>
    </row>
    <row r="4753">
      <c r="A4753" s="7">
        <v>2.0037107E7</v>
      </c>
      <c r="B4753" s="8" t="s">
        <v>2987</v>
      </c>
      <c r="C4753" s="8" t="s">
        <v>14386</v>
      </c>
      <c r="D4753" s="8" t="s">
        <v>16</v>
      </c>
      <c r="E4753" s="8" t="s">
        <v>17</v>
      </c>
      <c r="F4753" s="9">
        <v>46053.0</v>
      </c>
      <c r="G4753" s="8" t="s">
        <v>14387</v>
      </c>
      <c r="H4753" s="8" t="s">
        <v>14388</v>
      </c>
      <c r="I4753" s="8" t="s">
        <v>14389</v>
      </c>
      <c r="J4753" s="8"/>
    </row>
    <row r="4754">
      <c r="A4754" s="7">
        <v>2.0036285E7</v>
      </c>
      <c r="B4754" s="8" t="s">
        <v>2987</v>
      </c>
      <c r="C4754" s="8" t="s">
        <v>14390</v>
      </c>
      <c r="D4754" s="8" t="s">
        <v>16</v>
      </c>
      <c r="E4754" s="8" t="s">
        <v>17</v>
      </c>
      <c r="F4754" s="9">
        <v>46057.0</v>
      </c>
      <c r="G4754" s="8" t="s">
        <v>49</v>
      </c>
      <c r="H4754" s="8" t="s">
        <v>50</v>
      </c>
      <c r="I4754" s="8" t="s">
        <v>14391</v>
      </c>
      <c r="J4754" s="8" t="s">
        <v>14392</v>
      </c>
    </row>
    <row r="4755">
      <c r="A4755" s="7">
        <v>2.0036339E7</v>
      </c>
      <c r="B4755" s="8" t="s">
        <v>2987</v>
      </c>
      <c r="C4755" s="8" t="s">
        <v>14393</v>
      </c>
      <c r="D4755" s="8" t="s">
        <v>16</v>
      </c>
      <c r="E4755" s="8" t="s">
        <v>17</v>
      </c>
      <c r="F4755" s="9">
        <v>46051.0</v>
      </c>
      <c r="G4755" s="8" t="s">
        <v>220</v>
      </c>
      <c r="H4755" s="8" t="s">
        <v>221</v>
      </c>
      <c r="I4755" s="8" t="s">
        <v>14394</v>
      </c>
      <c r="J4755" s="8" t="s">
        <v>14395</v>
      </c>
    </row>
    <row r="4756">
      <c r="A4756" s="7">
        <v>2.0035211E7</v>
      </c>
      <c r="B4756" s="8" t="s">
        <v>2987</v>
      </c>
      <c r="C4756" s="8" t="s">
        <v>14396</v>
      </c>
      <c r="D4756" s="8" t="s">
        <v>16</v>
      </c>
      <c r="E4756" s="8" t="s">
        <v>17</v>
      </c>
      <c r="F4756" s="9">
        <v>46057.0</v>
      </c>
      <c r="G4756" s="8" t="s">
        <v>29</v>
      </c>
      <c r="H4756" s="8" t="s">
        <v>30</v>
      </c>
      <c r="I4756" s="8" t="s">
        <v>14397</v>
      </c>
      <c r="J4756" s="8" t="s">
        <v>14398</v>
      </c>
    </row>
    <row r="4757">
      <c r="A4757" s="7">
        <v>2.0035896E7</v>
      </c>
      <c r="B4757" s="8" t="s">
        <v>2987</v>
      </c>
      <c r="C4757" s="8" t="s">
        <v>14399</v>
      </c>
      <c r="D4757" s="8" t="s">
        <v>16</v>
      </c>
      <c r="E4757" s="8" t="s">
        <v>17</v>
      </c>
      <c r="F4757" s="9">
        <v>46057.0</v>
      </c>
      <c r="G4757" s="8" t="s">
        <v>6228</v>
      </c>
      <c r="H4757" s="8" t="s">
        <v>6229</v>
      </c>
      <c r="I4757" s="8" t="s">
        <v>14400</v>
      </c>
      <c r="J4757" s="8"/>
    </row>
    <row r="4758">
      <c r="A4758" s="7">
        <v>2.0035896E7</v>
      </c>
      <c r="B4758" s="8" t="s">
        <v>2987</v>
      </c>
      <c r="C4758" s="8" t="s">
        <v>14399</v>
      </c>
      <c r="D4758" s="8" t="s">
        <v>16</v>
      </c>
      <c r="E4758" s="8" t="s">
        <v>17</v>
      </c>
      <c r="F4758" s="9">
        <v>46057.0</v>
      </c>
      <c r="G4758" s="8" t="s">
        <v>25</v>
      </c>
      <c r="H4758" s="8" t="s">
        <v>26</v>
      </c>
      <c r="I4758" s="8" t="s">
        <v>14401</v>
      </c>
      <c r="J4758" s="8"/>
    </row>
    <row r="4759">
      <c r="A4759" s="7">
        <v>2.0034345E7</v>
      </c>
      <c r="B4759" s="8" t="s">
        <v>2987</v>
      </c>
      <c r="C4759" s="8" t="s">
        <v>14402</v>
      </c>
      <c r="D4759" s="8" t="s">
        <v>16</v>
      </c>
      <c r="E4759" s="8" t="s">
        <v>17</v>
      </c>
      <c r="F4759" s="9">
        <v>46054.0</v>
      </c>
      <c r="G4759" s="8" t="s">
        <v>630</v>
      </c>
      <c r="H4759" s="8" t="s">
        <v>631</v>
      </c>
      <c r="I4759" s="8" t="s">
        <v>14403</v>
      </c>
      <c r="J4759" s="8" t="s">
        <v>14404</v>
      </c>
    </row>
    <row r="4760">
      <c r="A4760" s="7">
        <v>2.0065598E7</v>
      </c>
      <c r="B4760" s="8" t="s">
        <v>2987</v>
      </c>
      <c r="C4760" s="8" t="s">
        <v>14405</v>
      </c>
      <c r="D4760" s="8" t="s">
        <v>16</v>
      </c>
      <c r="E4760" s="8" t="s">
        <v>17</v>
      </c>
      <c r="F4760" s="9">
        <v>46185.0</v>
      </c>
      <c r="G4760" s="8" t="s">
        <v>220</v>
      </c>
      <c r="H4760" s="8" t="s">
        <v>221</v>
      </c>
      <c r="I4760" s="8" t="s">
        <v>14406</v>
      </c>
      <c r="J4760" s="8" t="s">
        <v>14407</v>
      </c>
    </row>
    <row r="4761">
      <c r="A4761" s="7">
        <v>2.0069466E7</v>
      </c>
      <c r="B4761" s="8" t="s">
        <v>2987</v>
      </c>
      <c r="C4761" s="8" t="s">
        <v>14408</v>
      </c>
      <c r="D4761" s="8" t="s">
        <v>16</v>
      </c>
      <c r="E4761" s="8" t="s">
        <v>17</v>
      </c>
      <c r="F4761" s="9">
        <v>46186.0</v>
      </c>
      <c r="G4761" s="8" t="s">
        <v>385</v>
      </c>
      <c r="H4761" s="8" t="s">
        <v>386</v>
      </c>
      <c r="I4761" s="8" t="s">
        <v>14409</v>
      </c>
      <c r="J4761" s="8" t="s">
        <v>14410</v>
      </c>
    </row>
    <row r="4762">
      <c r="A4762" s="7">
        <v>2.0066625E7</v>
      </c>
      <c r="B4762" s="8" t="s">
        <v>2987</v>
      </c>
      <c r="C4762" s="8" t="s">
        <v>14411</v>
      </c>
      <c r="D4762" s="8" t="s">
        <v>16</v>
      </c>
      <c r="E4762" s="8" t="s">
        <v>17</v>
      </c>
      <c r="F4762" s="9">
        <v>46190.0</v>
      </c>
      <c r="G4762" s="8" t="s">
        <v>171</v>
      </c>
      <c r="H4762" s="8" t="s">
        <v>172</v>
      </c>
      <c r="I4762" s="8" t="s">
        <v>14412</v>
      </c>
      <c r="J4762" s="8" t="s">
        <v>14413</v>
      </c>
    </row>
    <row r="4763">
      <c r="A4763" s="7">
        <v>2.0063399E7</v>
      </c>
      <c r="B4763" s="8" t="s">
        <v>2987</v>
      </c>
      <c r="C4763" s="8" t="s">
        <v>14414</v>
      </c>
      <c r="D4763" s="8" t="s">
        <v>2136</v>
      </c>
      <c r="E4763" s="8" t="s">
        <v>17</v>
      </c>
      <c r="F4763" s="9">
        <v>46154.0</v>
      </c>
      <c r="G4763" s="8" t="s">
        <v>59</v>
      </c>
      <c r="H4763" s="8" t="s">
        <v>60</v>
      </c>
      <c r="I4763" s="8"/>
      <c r="J4763" s="8" t="s">
        <v>14415</v>
      </c>
    </row>
    <row r="4764">
      <c r="A4764" s="7">
        <v>2.006025E7</v>
      </c>
      <c r="B4764" s="8" t="s">
        <v>2987</v>
      </c>
      <c r="C4764" s="8" t="s">
        <v>14416</v>
      </c>
      <c r="D4764" s="8" t="s">
        <v>16</v>
      </c>
      <c r="E4764" s="8" t="s">
        <v>17</v>
      </c>
      <c r="F4764" s="9">
        <v>46190.0</v>
      </c>
      <c r="G4764" s="8" t="s">
        <v>12404</v>
      </c>
      <c r="H4764" s="8" t="s">
        <v>12405</v>
      </c>
      <c r="I4764" s="8" t="s">
        <v>14417</v>
      </c>
      <c r="J4764" s="8" t="s">
        <v>14418</v>
      </c>
    </row>
    <row r="4765">
      <c r="A4765" s="7">
        <v>2.005734E7</v>
      </c>
      <c r="B4765" s="8" t="s">
        <v>2987</v>
      </c>
      <c r="C4765" s="8" t="s">
        <v>14419</v>
      </c>
      <c r="D4765" s="8" t="s">
        <v>16</v>
      </c>
      <c r="E4765" s="8" t="s">
        <v>17</v>
      </c>
      <c r="F4765" s="9">
        <v>46186.0</v>
      </c>
      <c r="G4765" s="8" t="s">
        <v>2968</v>
      </c>
      <c r="H4765" s="8" t="s">
        <v>2969</v>
      </c>
      <c r="I4765" s="8" t="s">
        <v>14420</v>
      </c>
      <c r="J4765" s="8" t="s">
        <v>14421</v>
      </c>
    </row>
    <row r="4766">
      <c r="A4766" s="7">
        <v>2.0059401E7</v>
      </c>
      <c r="B4766" s="8" t="s">
        <v>2987</v>
      </c>
      <c r="C4766" s="8" t="s">
        <v>14422</v>
      </c>
      <c r="D4766" s="8" t="s">
        <v>16</v>
      </c>
      <c r="E4766" s="8" t="s">
        <v>17</v>
      </c>
      <c r="F4766" s="9">
        <v>46143.0</v>
      </c>
      <c r="G4766" s="8" t="s">
        <v>59</v>
      </c>
      <c r="H4766" s="8" t="s">
        <v>60</v>
      </c>
      <c r="I4766" s="8" t="s">
        <v>14423</v>
      </c>
      <c r="J4766" s="8" t="s">
        <v>14424</v>
      </c>
    </row>
    <row r="4767">
      <c r="A4767" s="7">
        <v>2.0059277E7</v>
      </c>
      <c r="B4767" s="8" t="s">
        <v>2987</v>
      </c>
      <c r="C4767" s="8" t="s">
        <v>14425</v>
      </c>
      <c r="D4767" s="8" t="s">
        <v>16</v>
      </c>
      <c r="E4767" s="8" t="s">
        <v>17</v>
      </c>
      <c r="F4767" s="9">
        <v>46148.0</v>
      </c>
      <c r="G4767" s="8" t="s">
        <v>14426</v>
      </c>
      <c r="H4767" s="8" t="s">
        <v>14427</v>
      </c>
      <c r="I4767" s="8"/>
      <c r="J4767" s="8" t="s">
        <v>14428</v>
      </c>
    </row>
    <row r="4768">
      <c r="A4768" s="7">
        <v>2.0058053E7</v>
      </c>
      <c r="B4768" s="8" t="s">
        <v>2987</v>
      </c>
      <c r="C4768" s="8" t="s">
        <v>14429</v>
      </c>
      <c r="D4768" s="8" t="s">
        <v>16</v>
      </c>
      <c r="E4768" s="8" t="s">
        <v>17</v>
      </c>
      <c r="F4768" s="9">
        <v>46143.0</v>
      </c>
      <c r="G4768" s="8" t="s">
        <v>1081</v>
      </c>
      <c r="H4768" s="8" t="s">
        <v>14430</v>
      </c>
      <c r="I4768" s="8" t="s">
        <v>14431</v>
      </c>
      <c r="J4768" s="8"/>
    </row>
    <row r="4769">
      <c r="A4769" s="7">
        <v>2.0058053E7</v>
      </c>
      <c r="B4769" s="8" t="s">
        <v>2987</v>
      </c>
      <c r="C4769" s="8" t="s">
        <v>14429</v>
      </c>
      <c r="D4769" s="8" t="s">
        <v>16</v>
      </c>
      <c r="E4769" s="8" t="s">
        <v>17</v>
      </c>
      <c r="F4769" s="9">
        <v>46143.0</v>
      </c>
      <c r="G4769" s="8" t="s">
        <v>1081</v>
      </c>
      <c r="H4769" s="8" t="s">
        <v>14430</v>
      </c>
      <c r="I4769" s="8"/>
      <c r="J4769" s="8" t="s">
        <v>14432</v>
      </c>
    </row>
    <row r="4770">
      <c r="A4770" s="7">
        <v>2.0053252E7</v>
      </c>
      <c r="B4770" s="8" t="s">
        <v>2987</v>
      </c>
      <c r="C4770" s="8" t="s">
        <v>14433</v>
      </c>
      <c r="D4770" s="8" t="s">
        <v>16</v>
      </c>
      <c r="E4770" s="8" t="s">
        <v>17</v>
      </c>
      <c r="F4770" s="9">
        <v>46125.0</v>
      </c>
      <c r="G4770" s="8" t="s">
        <v>4170</v>
      </c>
      <c r="H4770" s="8" t="s">
        <v>1111</v>
      </c>
      <c r="I4770" s="8" t="s">
        <v>14434</v>
      </c>
      <c r="J4770" s="8" t="s">
        <v>14435</v>
      </c>
    </row>
    <row r="4771">
      <c r="A4771" s="7">
        <v>2.0048972E7</v>
      </c>
      <c r="B4771" s="8" t="s">
        <v>2987</v>
      </c>
      <c r="C4771" s="8" t="s">
        <v>14436</v>
      </c>
      <c r="D4771" s="8" t="s">
        <v>16</v>
      </c>
      <c r="E4771" s="8" t="s">
        <v>17</v>
      </c>
      <c r="F4771" s="9">
        <v>46121.0</v>
      </c>
      <c r="G4771" s="8" t="s">
        <v>3136</v>
      </c>
      <c r="H4771" s="8" t="s">
        <v>3137</v>
      </c>
      <c r="I4771" s="8" t="s">
        <v>3136</v>
      </c>
      <c r="J4771" s="8"/>
    </row>
    <row r="4772">
      <c r="A4772" s="7">
        <v>2.0048972E7</v>
      </c>
      <c r="B4772" s="8" t="s">
        <v>2987</v>
      </c>
      <c r="C4772" s="8" t="s">
        <v>14436</v>
      </c>
      <c r="D4772" s="8" t="s">
        <v>16</v>
      </c>
      <c r="E4772" s="8" t="s">
        <v>17</v>
      </c>
      <c r="F4772" s="9">
        <v>46121.0</v>
      </c>
      <c r="G4772" s="8" t="s">
        <v>3133</v>
      </c>
      <c r="H4772" s="8" t="s">
        <v>3134</v>
      </c>
      <c r="I4772" s="8" t="s">
        <v>14437</v>
      </c>
      <c r="J4772" s="8"/>
    </row>
    <row r="4773">
      <c r="A4773" s="7">
        <v>2.0048112E7</v>
      </c>
      <c r="B4773" s="8" t="s">
        <v>2987</v>
      </c>
      <c r="C4773" s="8" t="s">
        <v>14438</v>
      </c>
      <c r="D4773" s="8" t="s">
        <v>16</v>
      </c>
      <c r="E4773" s="8" t="s">
        <v>17</v>
      </c>
      <c r="F4773" s="9">
        <v>46106.0</v>
      </c>
      <c r="G4773" s="8" t="s">
        <v>234</v>
      </c>
      <c r="H4773" s="8" t="s">
        <v>235</v>
      </c>
      <c r="I4773" s="8" t="s">
        <v>14439</v>
      </c>
      <c r="J4773" s="8" t="s">
        <v>14440</v>
      </c>
    </row>
    <row r="4774">
      <c r="A4774" s="7">
        <v>2.0042827E7</v>
      </c>
      <c r="B4774" s="8" t="s">
        <v>2987</v>
      </c>
      <c r="C4774" s="8" t="s">
        <v>14441</v>
      </c>
      <c r="D4774" s="8" t="s">
        <v>16</v>
      </c>
      <c r="E4774" s="8" t="s">
        <v>17</v>
      </c>
      <c r="F4774" s="9">
        <v>46088.0</v>
      </c>
      <c r="G4774" s="8" t="s">
        <v>1431</v>
      </c>
      <c r="H4774" s="8" t="s">
        <v>1432</v>
      </c>
      <c r="I4774" s="8" t="s">
        <v>14442</v>
      </c>
      <c r="J4774" s="8" t="s">
        <v>14443</v>
      </c>
    </row>
    <row r="4775">
      <c r="A4775" s="7">
        <v>2.0042061E7</v>
      </c>
      <c r="B4775" s="8" t="s">
        <v>2987</v>
      </c>
      <c r="C4775" s="8" t="s">
        <v>14444</v>
      </c>
      <c r="D4775" s="8" t="s">
        <v>16</v>
      </c>
      <c r="E4775" s="8" t="s">
        <v>17</v>
      </c>
      <c r="F4775" s="9">
        <v>46088.0</v>
      </c>
      <c r="G4775" s="8" t="s">
        <v>2850</v>
      </c>
      <c r="H4775" s="8" t="s">
        <v>2851</v>
      </c>
      <c r="I4775" s="8" t="s">
        <v>14445</v>
      </c>
      <c r="J4775" s="8" t="s">
        <v>14446</v>
      </c>
    </row>
    <row r="4776">
      <c r="A4776" s="7">
        <v>2.0039728E7</v>
      </c>
      <c r="B4776" s="8" t="s">
        <v>2987</v>
      </c>
      <c r="C4776" s="8" t="s">
        <v>14447</v>
      </c>
      <c r="D4776" s="8" t="s">
        <v>16</v>
      </c>
      <c r="E4776" s="8" t="s">
        <v>48</v>
      </c>
      <c r="F4776" s="9">
        <v>46060.0</v>
      </c>
      <c r="G4776" s="8" t="s">
        <v>5479</v>
      </c>
      <c r="H4776" s="8" t="s">
        <v>5480</v>
      </c>
      <c r="I4776" s="8"/>
      <c r="J4776" s="8" t="s">
        <v>14448</v>
      </c>
    </row>
    <row r="4777">
      <c r="A4777" s="7">
        <v>2.0039728E7</v>
      </c>
      <c r="B4777" s="8" t="s">
        <v>2987</v>
      </c>
      <c r="C4777" s="8" t="s">
        <v>14449</v>
      </c>
      <c r="D4777" s="8" t="s">
        <v>16</v>
      </c>
      <c r="E4777" s="8" t="s">
        <v>17</v>
      </c>
      <c r="F4777" s="9">
        <v>46088.0</v>
      </c>
      <c r="G4777" s="8" t="s">
        <v>5479</v>
      </c>
      <c r="H4777" s="8" t="s">
        <v>5480</v>
      </c>
      <c r="I4777" s="8"/>
      <c r="J4777" s="8" t="s">
        <v>14448</v>
      </c>
    </row>
    <row r="4778">
      <c r="A4778" s="7">
        <v>2.003823E7</v>
      </c>
      <c r="B4778" s="8" t="s">
        <v>2987</v>
      </c>
      <c r="C4778" s="8" t="s">
        <v>14450</v>
      </c>
      <c r="D4778" s="8" t="s">
        <v>16</v>
      </c>
      <c r="E4778" s="8" t="s">
        <v>17</v>
      </c>
      <c r="F4778" s="9">
        <v>46069.0</v>
      </c>
      <c r="G4778" s="8" t="s">
        <v>352</v>
      </c>
      <c r="H4778" s="8" t="s">
        <v>353</v>
      </c>
      <c r="I4778" s="8" t="s">
        <v>14451</v>
      </c>
      <c r="J4778" s="8" t="s">
        <v>14452</v>
      </c>
    </row>
    <row r="4779">
      <c r="A4779" s="7">
        <v>2.0038377E7</v>
      </c>
      <c r="B4779" s="8" t="s">
        <v>2987</v>
      </c>
      <c r="C4779" s="8" t="s">
        <v>14453</v>
      </c>
      <c r="D4779" s="8" t="s">
        <v>16</v>
      </c>
      <c r="E4779" s="8" t="s">
        <v>17</v>
      </c>
      <c r="F4779" s="9">
        <v>46067.0</v>
      </c>
      <c r="G4779" s="8" t="s">
        <v>3706</v>
      </c>
      <c r="H4779" s="8" t="s">
        <v>3707</v>
      </c>
      <c r="I4779" s="8" t="s">
        <v>14454</v>
      </c>
      <c r="J4779" s="8"/>
    </row>
    <row r="4780">
      <c r="A4780" s="7">
        <v>2.0036335E7</v>
      </c>
      <c r="B4780" s="8" t="s">
        <v>2987</v>
      </c>
      <c r="C4780" s="8" t="s">
        <v>14455</v>
      </c>
      <c r="D4780" s="8" t="s">
        <v>16</v>
      </c>
      <c r="E4780" s="8" t="s">
        <v>17</v>
      </c>
      <c r="F4780" s="9">
        <v>46054.0</v>
      </c>
      <c r="G4780" s="8" t="s">
        <v>3012</v>
      </c>
      <c r="H4780" s="8" t="s">
        <v>3013</v>
      </c>
      <c r="I4780" s="8" t="s">
        <v>14456</v>
      </c>
      <c r="J4780" s="8" t="s">
        <v>14457</v>
      </c>
    </row>
    <row r="4781">
      <c r="A4781" s="7">
        <v>2.0066125E7</v>
      </c>
      <c r="B4781" s="8" t="s">
        <v>2987</v>
      </c>
      <c r="C4781" s="8" t="s">
        <v>14458</v>
      </c>
      <c r="D4781" s="8" t="s">
        <v>16</v>
      </c>
      <c r="E4781" s="8" t="s">
        <v>17</v>
      </c>
      <c r="F4781" s="9">
        <v>46179.0</v>
      </c>
      <c r="G4781" s="8" t="s">
        <v>846</v>
      </c>
      <c r="H4781" s="8" t="s">
        <v>847</v>
      </c>
      <c r="I4781" s="8" t="s">
        <v>14459</v>
      </c>
      <c r="J4781" s="8" t="s">
        <v>14460</v>
      </c>
    </row>
    <row r="4782">
      <c r="A4782" s="7">
        <v>2.0063518E7</v>
      </c>
      <c r="B4782" s="8" t="s">
        <v>2987</v>
      </c>
      <c r="C4782" s="8" t="s">
        <v>14461</v>
      </c>
      <c r="D4782" s="8" t="s">
        <v>16</v>
      </c>
      <c r="E4782" s="8" t="s">
        <v>17</v>
      </c>
      <c r="F4782" s="9">
        <v>46166.0</v>
      </c>
      <c r="G4782" s="8" t="s">
        <v>195</v>
      </c>
      <c r="H4782" s="8" t="s">
        <v>196</v>
      </c>
      <c r="I4782" s="8" t="s">
        <v>14462</v>
      </c>
      <c r="J4782" s="8" t="s">
        <v>14463</v>
      </c>
    </row>
    <row r="4783">
      <c r="A4783" s="7">
        <v>2.0061533E7</v>
      </c>
      <c r="B4783" s="8" t="s">
        <v>2987</v>
      </c>
      <c r="C4783" s="8" t="s">
        <v>14464</v>
      </c>
      <c r="D4783" s="8" t="s">
        <v>16</v>
      </c>
      <c r="E4783" s="8" t="s">
        <v>17</v>
      </c>
      <c r="F4783" s="9">
        <v>46160.0</v>
      </c>
      <c r="G4783" s="8" t="s">
        <v>1093</v>
      </c>
      <c r="H4783" s="8" t="s">
        <v>1094</v>
      </c>
      <c r="I4783" s="8" t="s">
        <v>14465</v>
      </c>
      <c r="J4783" s="8" t="s">
        <v>14466</v>
      </c>
    </row>
    <row r="4784">
      <c r="A4784" s="7">
        <v>2.0061533E7</v>
      </c>
      <c r="B4784" s="8" t="s">
        <v>2987</v>
      </c>
      <c r="C4784" s="8" t="s">
        <v>14464</v>
      </c>
      <c r="D4784" s="8" t="s">
        <v>16</v>
      </c>
      <c r="E4784" s="8" t="s">
        <v>17</v>
      </c>
      <c r="F4784" s="9">
        <v>46160.0</v>
      </c>
      <c r="G4784" s="8" t="s">
        <v>1169</v>
      </c>
      <c r="H4784" s="8" t="s">
        <v>1170</v>
      </c>
      <c r="I4784" s="8" t="s">
        <v>14467</v>
      </c>
      <c r="J4784" s="8" t="s">
        <v>14468</v>
      </c>
    </row>
    <row r="4785">
      <c r="A4785" s="7">
        <v>2.0056774E7</v>
      </c>
      <c r="B4785" s="8" t="s">
        <v>2987</v>
      </c>
      <c r="C4785" s="8" t="s">
        <v>14469</v>
      </c>
      <c r="D4785" s="8" t="s">
        <v>16</v>
      </c>
      <c r="E4785" s="8" t="s">
        <v>17</v>
      </c>
      <c r="F4785" s="9">
        <v>46131.0</v>
      </c>
      <c r="G4785" s="8" t="s">
        <v>978</v>
      </c>
      <c r="H4785" s="8" t="s">
        <v>979</v>
      </c>
      <c r="I4785" s="8" t="s">
        <v>14470</v>
      </c>
      <c r="J4785" s="8" t="s">
        <v>14471</v>
      </c>
    </row>
    <row r="4786">
      <c r="A4786" s="7">
        <v>2.0054623E7</v>
      </c>
      <c r="B4786" s="8" t="s">
        <v>2987</v>
      </c>
      <c r="C4786" s="8" t="s">
        <v>14472</v>
      </c>
      <c r="D4786" s="8" t="s">
        <v>16</v>
      </c>
      <c r="E4786" s="8" t="s">
        <v>17</v>
      </c>
      <c r="F4786" s="9">
        <v>46128.0</v>
      </c>
      <c r="G4786" s="8" t="s">
        <v>3275</v>
      </c>
      <c r="H4786" s="8" t="s">
        <v>3276</v>
      </c>
      <c r="I4786" s="8" t="s">
        <v>14473</v>
      </c>
      <c r="J4786" s="8"/>
    </row>
    <row r="4787">
      <c r="A4787" s="7">
        <v>2.0053339E7</v>
      </c>
      <c r="B4787" s="8" t="s">
        <v>2987</v>
      </c>
      <c r="C4787" s="8" t="s">
        <v>14474</v>
      </c>
      <c r="D4787" s="8" t="s">
        <v>16</v>
      </c>
      <c r="E4787" s="8" t="s">
        <v>17</v>
      </c>
      <c r="F4787" s="9">
        <v>46122.0</v>
      </c>
      <c r="G4787" s="8" t="s">
        <v>365</v>
      </c>
      <c r="H4787" s="8" t="s">
        <v>366</v>
      </c>
      <c r="I4787" s="8" t="s">
        <v>14475</v>
      </c>
      <c r="J4787" s="8" t="s">
        <v>14476</v>
      </c>
    </row>
    <row r="4788">
      <c r="A4788" s="7">
        <v>2.0053161E7</v>
      </c>
      <c r="B4788" s="8" t="s">
        <v>2987</v>
      </c>
      <c r="C4788" s="8" t="s">
        <v>14477</v>
      </c>
      <c r="D4788" s="8" t="s">
        <v>16</v>
      </c>
      <c r="E4788" s="8" t="s">
        <v>17</v>
      </c>
      <c r="F4788" s="9">
        <v>46126.0</v>
      </c>
      <c r="G4788" s="8" t="s">
        <v>1355</v>
      </c>
      <c r="H4788" s="8" t="s">
        <v>1356</v>
      </c>
      <c r="I4788" s="8" t="s">
        <v>14478</v>
      </c>
      <c r="J4788" s="8" t="s">
        <v>14479</v>
      </c>
    </row>
    <row r="4789">
      <c r="A4789" s="7">
        <v>2.0049491E7</v>
      </c>
      <c r="B4789" s="8" t="s">
        <v>2987</v>
      </c>
      <c r="C4789" s="8" t="s">
        <v>14480</v>
      </c>
      <c r="D4789" s="8" t="s">
        <v>16</v>
      </c>
      <c r="E4789" s="8" t="s">
        <v>17</v>
      </c>
      <c r="F4789" s="9">
        <v>46119.0</v>
      </c>
      <c r="G4789" s="8" t="s">
        <v>2497</v>
      </c>
      <c r="H4789" s="8" t="s">
        <v>2498</v>
      </c>
      <c r="I4789" s="8" t="s">
        <v>13845</v>
      </c>
      <c r="J4789" s="8" t="s">
        <v>14481</v>
      </c>
    </row>
    <row r="4790">
      <c r="A4790" s="7">
        <v>2.0047025E7</v>
      </c>
      <c r="B4790" s="8" t="s">
        <v>2987</v>
      </c>
      <c r="C4790" s="8" t="s">
        <v>14482</v>
      </c>
      <c r="D4790" s="8" t="s">
        <v>16</v>
      </c>
      <c r="E4790" s="8" t="s">
        <v>17</v>
      </c>
      <c r="F4790" s="9">
        <v>46107.0</v>
      </c>
      <c r="G4790" s="8" t="s">
        <v>7961</v>
      </c>
      <c r="H4790" s="8" t="s">
        <v>7962</v>
      </c>
      <c r="I4790" s="8" t="s">
        <v>14483</v>
      </c>
      <c r="J4790" s="8" t="s">
        <v>14484</v>
      </c>
    </row>
    <row r="4791">
      <c r="A4791" s="7">
        <v>2.0046018E7</v>
      </c>
      <c r="B4791" s="8" t="s">
        <v>2987</v>
      </c>
      <c r="C4791" s="8" t="s">
        <v>14485</v>
      </c>
      <c r="D4791" s="8" t="s">
        <v>16</v>
      </c>
      <c r="E4791" s="8" t="s">
        <v>17</v>
      </c>
      <c r="F4791" s="9">
        <v>46090.0</v>
      </c>
      <c r="G4791" s="8" t="s">
        <v>1949</v>
      </c>
      <c r="H4791" s="8" t="s">
        <v>1950</v>
      </c>
      <c r="I4791" s="8" t="s">
        <v>14486</v>
      </c>
      <c r="J4791" s="8" t="s">
        <v>14487</v>
      </c>
    </row>
    <row r="4792">
      <c r="A4792" s="7">
        <v>2.0040316E7</v>
      </c>
      <c r="B4792" s="8" t="s">
        <v>2987</v>
      </c>
      <c r="C4792" s="8" t="s">
        <v>14488</v>
      </c>
      <c r="D4792" s="8" t="s">
        <v>16</v>
      </c>
      <c r="E4792" s="8" t="s">
        <v>17</v>
      </c>
      <c r="F4792" s="9">
        <v>46092.0</v>
      </c>
      <c r="G4792" s="8" t="s">
        <v>59</v>
      </c>
      <c r="H4792" s="8" t="s">
        <v>60</v>
      </c>
      <c r="I4792" s="8" t="s">
        <v>14489</v>
      </c>
      <c r="J4792" s="8" t="s">
        <v>14490</v>
      </c>
    </row>
    <row r="4793">
      <c r="A4793" s="7">
        <v>2.0044526E7</v>
      </c>
      <c r="B4793" s="8" t="s">
        <v>2987</v>
      </c>
      <c r="C4793" s="8" t="s">
        <v>14491</v>
      </c>
      <c r="D4793" s="8" t="s">
        <v>16</v>
      </c>
      <c r="E4793" s="8" t="s">
        <v>17</v>
      </c>
      <c r="F4793" s="9">
        <v>46092.0</v>
      </c>
      <c r="G4793" s="8" t="s">
        <v>3136</v>
      </c>
      <c r="H4793" s="8" t="s">
        <v>3137</v>
      </c>
      <c r="I4793" s="8" t="s">
        <v>14492</v>
      </c>
      <c r="J4793" s="8"/>
    </row>
    <row r="4794">
      <c r="A4794" s="7">
        <v>2.0039703E7</v>
      </c>
      <c r="B4794" s="8" t="s">
        <v>2987</v>
      </c>
      <c r="C4794" s="8" t="s">
        <v>14493</v>
      </c>
      <c r="D4794" s="8" t="s">
        <v>16</v>
      </c>
      <c r="E4794" s="8" t="s">
        <v>17</v>
      </c>
      <c r="F4794" s="9">
        <v>46082.0</v>
      </c>
      <c r="G4794" s="8" t="s">
        <v>1813</v>
      </c>
      <c r="H4794" s="8" t="s">
        <v>1814</v>
      </c>
      <c r="I4794" s="8" t="s">
        <v>14494</v>
      </c>
      <c r="J4794" s="8" t="s">
        <v>14495</v>
      </c>
    </row>
    <row r="4795">
      <c r="A4795" s="7">
        <v>2.0035615E7</v>
      </c>
      <c r="B4795" s="8" t="s">
        <v>2987</v>
      </c>
      <c r="C4795" s="8" t="s">
        <v>14496</v>
      </c>
      <c r="D4795" s="8" t="s">
        <v>16</v>
      </c>
      <c r="E4795" s="8" t="s">
        <v>17</v>
      </c>
      <c r="F4795" s="9">
        <v>46056.0</v>
      </c>
      <c r="G4795" s="8" t="s">
        <v>43</v>
      </c>
      <c r="H4795" s="8" t="s">
        <v>44</v>
      </c>
      <c r="I4795" s="8" t="s">
        <v>14497</v>
      </c>
      <c r="J4795" s="8" t="s">
        <v>14498</v>
      </c>
    </row>
    <row r="4796">
      <c r="A4796" s="7">
        <v>2.0062568E7</v>
      </c>
      <c r="B4796" s="8" t="s">
        <v>2471</v>
      </c>
      <c r="C4796" s="8" t="s">
        <v>14499</v>
      </c>
      <c r="D4796" s="8" t="s">
        <v>16</v>
      </c>
      <c r="E4796" s="8" t="s">
        <v>17</v>
      </c>
      <c r="F4796" s="9">
        <v>46166.0</v>
      </c>
      <c r="G4796" s="8" t="s">
        <v>822</v>
      </c>
      <c r="H4796" s="8" t="s">
        <v>3985</v>
      </c>
      <c r="I4796" s="8" t="s">
        <v>14500</v>
      </c>
      <c r="J4796" s="8" t="s">
        <v>14501</v>
      </c>
    </row>
    <row r="4797">
      <c r="A4797" s="7">
        <v>2.0062409E7</v>
      </c>
      <c r="B4797" s="8" t="s">
        <v>2471</v>
      </c>
      <c r="C4797" s="8" t="s">
        <v>14502</v>
      </c>
      <c r="D4797" s="8" t="s">
        <v>16</v>
      </c>
      <c r="E4797" s="8" t="s">
        <v>17</v>
      </c>
      <c r="F4797" s="9">
        <v>46186.0</v>
      </c>
      <c r="G4797" s="8" t="s">
        <v>6689</v>
      </c>
      <c r="H4797" s="8" t="s">
        <v>6690</v>
      </c>
      <c r="I4797" s="8" t="s">
        <v>14503</v>
      </c>
      <c r="J4797" s="8" t="s">
        <v>14504</v>
      </c>
    </row>
    <row r="4798">
      <c r="A4798" s="7">
        <v>2.005137E7</v>
      </c>
      <c r="B4798" s="8" t="s">
        <v>2471</v>
      </c>
      <c r="C4798" s="8" t="s">
        <v>14505</v>
      </c>
      <c r="D4798" s="8" t="s">
        <v>16</v>
      </c>
      <c r="E4798" s="8" t="s">
        <v>17</v>
      </c>
      <c r="F4798" s="9">
        <v>46134.0</v>
      </c>
      <c r="G4798" s="8" t="s">
        <v>14506</v>
      </c>
      <c r="H4798" s="8" t="s">
        <v>5862</v>
      </c>
      <c r="I4798" s="8" t="s">
        <v>14507</v>
      </c>
      <c r="J4798" s="8" t="s">
        <v>14508</v>
      </c>
    </row>
    <row r="4799">
      <c r="A4799" s="7">
        <v>2.0052385E7</v>
      </c>
      <c r="B4799" s="8" t="s">
        <v>2471</v>
      </c>
      <c r="C4799" s="8" t="s">
        <v>14509</v>
      </c>
      <c r="D4799" s="8" t="s">
        <v>16</v>
      </c>
      <c r="E4799" s="8" t="s">
        <v>17</v>
      </c>
      <c r="F4799" s="9">
        <v>46108.0</v>
      </c>
      <c r="G4799" s="8" t="s">
        <v>14510</v>
      </c>
      <c r="H4799" s="8" t="s">
        <v>14511</v>
      </c>
      <c r="I4799" s="8" t="s">
        <v>14512</v>
      </c>
      <c r="J4799" s="8" t="s">
        <v>14513</v>
      </c>
    </row>
    <row r="4800">
      <c r="A4800" s="7">
        <v>2.0051161E7</v>
      </c>
      <c r="B4800" s="8" t="s">
        <v>2471</v>
      </c>
      <c r="C4800" s="8" t="s">
        <v>14514</v>
      </c>
      <c r="D4800" s="8" t="s">
        <v>16</v>
      </c>
      <c r="E4800" s="8" t="s">
        <v>17</v>
      </c>
      <c r="F4800" s="9">
        <v>46102.0</v>
      </c>
      <c r="G4800" s="8" t="s">
        <v>91</v>
      </c>
      <c r="H4800" s="8" t="s">
        <v>92</v>
      </c>
      <c r="I4800" s="8" t="s">
        <v>14515</v>
      </c>
      <c r="J4800" s="8" t="s">
        <v>14516</v>
      </c>
    </row>
    <row r="4801">
      <c r="A4801" s="7">
        <v>2.0050106E7</v>
      </c>
      <c r="B4801" s="8" t="s">
        <v>2471</v>
      </c>
      <c r="C4801" s="8" t="s">
        <v>14517</v>
      </c>
      <c r="D4801" s="8" t="s">
        <v>16</v>
      </c>
      <c r="E4801" s="8" t="s">
        <v>17</v>
      </c>
      <c r="F4801" s="9">
        <v>46107.0</v>
      </c>
      <c r="G4801" s="8" t="s">
        <v>2511</v>
      </c>
      <c r="H4801" s="8" t="s">
        <v>2512</v>
      </c>
      <c r="I4801" s="8" t="s">
        <v>14518</v>
      </c>
      <c r="J4801" s="8" t="s">
        <v>14519</v>
      </c>
    </row>
    <row r="4802">
      <c r="A4802" s="7">
        <v>2.0043266E7</v>
      </c>
      <c r="B4802" s="8" t="s">
        <v>2471</v>
      </c>
      <c r="C4802" s="8" t="s">
        <v>14520</v>
      </c>
      <c r="D4802" s="8" t="s">
        <v>16</v>
      </c>
      <c r="E4802" s="8" t="s">
        <v>17</v>
      </c>
      <c r="F4802" s="9">
        <v>46095.0</v>
      </c>
      <c r="G4802" s="8" t="s">
        <v>18</v>
      </c>
      <c r="H4802" s="8" t="s">
        <v>19</v>
      </c>
      <c r="I4802" s="8" t="s">
        <v>14521</v>
      </c>
      <c r="J4802" s="8" t="s">
        <v>14522</v>
      </c>
    </row>
    <row r="4803">
      <c r="A4803" s="7">
        <v>2.0035056E7</v>
      </c>
      <c r="B4803" s="8" t="s">
        <v>2471</v>
      </c>
      <c r="C4803" s="8" t="s">
        <v>14523</v>
      </c>
      <c r="D4803" s="8" t="s">
        <v>16</v>
      </c>
      <c r="E4803" s="8" t="s">
        <v>17</v>
      </c>
      <c r="F4803" s="9">
        <v>46059.0</v>
      </c>
      <c r="G4803" s="8" t="s">
        <v>626</v>
      </c>
      <c r="H4803" s="8" t="s">
        <v>627</v>
      </c>
      <c r="I4803" s="8" t="s">
        <v>14524</v>
      </c>
      <c r="J4803" s="8" t="s">
        <v>14525</v>
      </c>
    </row>
    <row r="4804">
      <c r="A4804" s="7">
        <v>2.0068676E7</v>
      </c>
      <c r="B4804" s="8" t="s">
        <v>2471</v>
      </c>
      <c r="C4804" s="8" t="s">
        <v>14526</v>
      </c>
      <c r="D4804" s="8" t="s">
        <v>16</v>
      </c>
      <c r="E4804" s="8" t="s">
        <v>17</v>
      </c>
      <c r="F4804" s="9">
        <v>46179.0</v>
      </c>
      <c r="G4804" s="8" t="s">
        <v>365</v>
      </c>
      <c r="H4804" s="8" t="s">
        <v>366</v>
      </c>
      <c r="I4804" s="8" t="s">
        <v>14527</v>
      </c>
      <c r="J4804" s="8" t="s">
        <v>14528</v>
      </c>
    </row>
    <row r="4805">
      <c r="A4805" s="7">
        <v>2.0067213E7</v>
      </c>
      <c r="B4805" s="8" t="s">
        <v>2471</v>
      </c>
      <c r="C4805" s="8" t="s">
        <v>14529</v>
      </c>
      <c r="D4805" s="8" t="s">
        <v>16</v>
      </c>
      <c r="E4805" s="8" t="s">
        <v>17</v>
      </c>
      <c r="F4805" s="9">
        <v>46185.0</v>
      </c>
      <c r="G4805" s="8" t="s">
        <v>365</v>
      </c>
      <c r="H4805" s="8" t="s">
        <v>366</v>
      </c>
      <c r="I4805" s="8" t="s">
        <v>14530</v>
      </c>
      <c r="J4805" s="8" t="s">
        <v>14531</v>
      </c>
    </row>
    <row r="4806">
      <c r="A4806" s="7">
        <v>2.0063279E7</v>
      </c>
      <c r="B4806" s="8" t="s">
        <v>2471</v>
      </c>
      <c r="C4806" s="8" t="s">
        <v>14532</v>
      </c>
      <c r="D4806" s="8" t="s">
        <v>16</v>
      </c>
      <c r="E4806" s="8" t="s">
        <v>17</v>
      </c>
      <c r="F4806" s="9">
        <v>46188.0</v>
      </c>
      <c r="G4806" s="8" t="s">
        <v>370</v>
      </c>
      <c r="H4806" s="8" t="s">
        <v>371</v>
      </c>
      <c r="I4806" s="8" t="s">
        <v>14533</v>
      </c>
      <c r="J4806" s="8" t="s">
        <v>14534</v>
      </c>
    </row>
    <row r="4807">
      <c r="A4807" s="7">
        <v>2.0056259E7</v>
      </c>
      <c r="B4807" s="8" t="s">
        <v>2471</v>
      </c>
      <c r="C4807" s="8" t="s">
        <v>14535</v>
      </c>
      <c r="D4807" s="8" t="s">
        <v>16</v>
      </c>
      <c r="E4807" s="8" t="s">
        <v>17</v>
      </c>
      <c r="F4807" s="9">
        <v>46146.0</v>
      </c>
      <c r="G4807" s="8" t="s">
        <v>2724</v>
      </c>
      <c r="H4807" s="8" t="s">
        <v>2725</v>
      </c>
      <c r="I4807" s="8" t="s">
        <v>14536</v>
      </c>
      <c r="J4807" s="8" t="s">
        <v>14537</v>
      </c>
    </row>
    <row r="4808">
      <c r="A4808" s="7">
        <v>2.005547E7</v>
      </c>
      <c r="B4808" s="8" t="s">
        <v>2471</v>
      </c>
      <c r="C4808" s="8" t="s">
        <v>14538</v>
      </c>
      <c r="D4808" s="8" t="s">
        <v>16</v>
      </c>
      <c r="E4808" s="8" t="s">
        <v>17</v>
      </c>
      <c r="F4808" s="9">
        <v>46148.0</v>
      </c>
      <c r="G4808" s="8" t="s">
        <v>59</v>
      </c>
      <c r="H4808" s="8" t="s">
        <v>60</v>
      </c>
      <c r="I4808" s="8" t="s">
        <v>14539</v>
      </c>
      <c r="J4808" s="8" t="s">
        <v>14540</v>
      </c>
    </row>
    <row r="4809">
      <c r="A4809" s="7">
        <v>2.0054604E7</v>
      </c>
      <c r="B4809" s="8" t="s">
        <v>2471</v>
      </c>
      <c r="C4809" s="8" t="s">
        <v>14541</v>
      </c>
      <c r="D4809" s="8" t="s">
        <v>16</v>
      </c>
      <c r="E4809" s="8" t="s">
        <v>17</v>
      </c>
      <c r="F4809" s="9">
        <v>46129.0</v>
      </c>
      <c r="G4809" s="8" t="s">
        <v>14064</v>
      </c>
      <c r="H4809" s="8" t="s">
        <v>14065</v>
      </c>
      <c r="I4809" s="8" t="s">
        <v>14542</v>
      </c>
      <c r="J4809" s="8" t="s">
        <v>14543</v>
      </c>
    </row>
    <row r="4810">
      <c r="A4810" s="7">
        <v>2.0049879E7</v>
      </c>
      <c r="B4810" s="8" t="s">
        <v>2471</v>
      </c>
      <c r="C4810" s="8" t="s">
        <v>14544</v>
      </c>
      <c r="D4810" s="8" t="s">
        <v>16</v>
      </c>
      <c r="E4810" s="8" t="s">
        <v>17</v>
      </c>
      <c r="F4810" s="9">
        <v>46116.0</v>
      </c>
      <c r="G4810" s="8" t="s">
        <v>171</v>
      </c>
      <c r="H4810" s="8" t="s">
        <v>172</v>
      </c>
      <c r="I4810" s="8" t="s">
        <v>14545</v>
      </c>
      <c r="J4810" s="8" t="s">
        <v>14546</v>
      </c>
    </row>
    <row r="4811">
      <c r="A4811" s="7">
        <v>2.0044476E7</v>
      </c>
      <c r="B4811" s="8" t="s">
        <v>2471</v>
      </c>
      <c r="C4811" s="8" t="s">
        <v>14547</v>
      </c>
      <c r="D4811" s="8" t="s">
        <v>16</v>
      </c>
      <c r="E4811" s="8" t="s">
        <v>17</v>
      </c>
      <c r="F4811" s="9">
        <v>46097.0</v>
      </c>
      <c r="G4811" s="8" t="s">
        <v>282</v>
      </c>
      <c r="H4811" s="8" t="s">
        <v>71</v>
      </c>
      <c r="I4811" s="8" t="s">
        <v>14548</v>
      </c>
      <c r="J4811" s="8" t="s">
        <v>14549</v>
      </c>
    </row>
    <row r="4812">
      <c r="A4812" s="7">
        <v>2.0042848E7</v>
      </c>
      <c r="B4812" s="8" t="s">
        <v>2471</v>
      </c>
      <c r="C4812" s="8" t="s">
        <v>14550</v>
      </c>
      <c r="D4812" s="8" t="s">
        <v>16</v>
      </c>
      <c r="E4812" s="8" t="s">
        <v>17</v>
      </c>
      <c r="F4812" s="9">
        <v>46090.0</v>
      </c>
      <c r="G4812" s="8" t="s">
        <v>64</v>
      </c>
      <c r="H4812" s="8" t="s">
        <v>65</v>
      </c>
      <c r="I4812" s="8" t="s">
        <v>14551</v>
      </c>
      <c r="J4812" s="8" t="s">
        <v>14552</v>
      </c>
    </row>
    <row r="4813">
      <c r="A4813" s="7">
        <v>2.0036523E7</v>
      </c>
      <c r="B4813" s="8" t="s">
        <v>2471</v>
      </c>
      <c r="C4813" s="8" t="s">
        <v>14553</v>
      </c>
      <c r="D4813" s="8" t="s">
        <v>16</v>
      </c>
      <c r="E4813" s="8" t="s">
        <v>17</v>
      </c>
      <c r="F4813" s="9">
        <v>46069.0</v>
      </c>
      <c r="G4813" s="8" t="s">
        <v>1179</v>
      </c>
      <c r="H4813" s="8" t="s">
        <v>1180</v>
      </c>
      <c r="I4813" s="8" t="s">
        <v>14554</v>
      </c>
      <c r="J4813" s="8" t="s">
        <v>14555</v>
      </c>
    </row>
    <row r="4814">
      <c r="A4814" s="7">
        <v>2.003367E7</v>
      </c>
      <c r="B4814" s="8" t="s">
        <v>2471</v>
      </c>
      <c r="C4814" s="8" t="s">
        <v>14556</v>
      </c>
      <c r="D4814" s="8" t="s">
        <v>16</v>
      </c>
      <c r="E4814" s="8" t="s">
        <v>17</v>
      </c>
      <c r="F4814" s="9">
        <v>46057.0</v>
      </c>
      <c r="G4814" s="8" t="s">
        <v>14557</v>
      </c>
      <c r="H4814" s="8" t="s">
        <v>14558</v>
      </c>
      <c r="I4814" s="8" t="s">
        <v>14559</v>
      </c>
      <c r="J4814" s="8" t="s">
        <v>14560</v>
      </c>
    </row>
    <row r="4815">
      <c r="A4815" s="7">
        <v>2.0034087E7</v>
      </c>
      <c r="B4815" s="8" t="s">
        <v>2471</v>
      </c>
      <c r="C4815" s="8" t="s">
        <v>14561</v>
      </c>
      <c r="D4815" s="8" t="s">
        <v>16</v>
      </c>
      <c r="E4815" s="8" t="s">
        <v>17</v>
      </c>
      <c r="F4815" s="9">
        <v>46047.0</v>
      </c>
      <c r="G4815" s="8" t="s">
        <v>385</v>
      </c>
      <c r="H4815" s="8" t="s">
        <v>386</v>
      </c>
      <c r="I4815" s="8" t="s">
        <v>14562</v>
      </c>
      <c r="J4815" s="8" t="s">
        <v>14563</v>
      </c>
    </row>
    <row r="4816">
      <c r="A4816" s="7">
        <v>2.0067899E7</v>
      </c>
      <c r="B4816" s="8" t="s">
        <v>2471</v>
      </c>
      <c r="C4816" s="8" t="s">
        <v>14564</v>
      </c>
      <c r="D4816" s="8" t="s">
        <v>16</v>
      </c>
      <c r="E4816" s="8" t="s">
        <v>17</v>
      </c>
      <c r="F4816" s="9">
        <v>46183.0</v>
      </c>
      <c r="G4816" s="8" t="s">
        <v>923</v>
      </c>
      <c r="H4816" s="8" t="s">
        <v>7274</v>
      </c>
      <c r="I4816" s="8" t="s">
        <v>14565</v>
      </c>
      <c r="J4816" s="8" t="s">
        <v>14566</v>
      </c>
    </row>
    <row r="4817">
      <c r="A4817" s="7">
        <v>2.0055707E7</v>
      </c>
      <c r="B4817" s="8" t="s">
        <v>2471</v>
      </c>
      <c r="C4817" s="8" t="s">
        <v>14567</v>
      </c>
      <c r="D4817" s="8" t="s">
        <v>16</v>
      </c>
      <c r="E4817" s="8" t="s">
        <v>17</v>
      </c>
      <c r="F4817" s="9">
        <v>46186.0</v>
      </c>
      <c r="G4817" s="8" t="s">
        <v>171</v>
      </c>
      <c r="H4817" s="8" t="s">
        <v>172</v>
      </c>
      <c r="I4817" s="8" t="s">
        <v>14568</v>
      </c>
      <c r="J4817" s="8" t="s">
        <v>14569</v>
      </c>
    </row>
    <row r="4818">
      <c r="A4818" s="7">
        <v>2.0051258E7</v>
      </c>
      <c r="B4818" s="8" t="s">
        <v>2471</v>
      </c>
      <c r="C4818" s="8" t="s">
        <v>14570</v>
      </c>
      <c r="D4818" s="8" t="s">
        <v>16</v>
      </c>
      <c r="E4818" s="8" t="s">
        <v>17</v>
      </c>
      <c r="F4818" s="9">
        <v>46102.0</v>
      </c>
      <c r="G4818" s="8" t="s">
        <v>846</v>
      </c>
      <c r="H4818" s="8" t="s">
        <v>847</v>
      </c>
      <c r="I4818" s="8" t="s">
        <v>14571</v>
      </c>
      <c r="J4818" s="8" t="s">
        <v>14572</v>
      </c>
    </row>
    <row r="4819">
      <c r="A4819" s="7">
        <v>2.0048957E7</v>
      </c>
      <c r="B4819" s="8" t="s">
        <v>2471</v>
      </c>
      <c r="C4819" s="8" t="s">
        <v>14573</v>
      </c>
      <c r="D4819" s="8" t="s">
        <v>16</v>
      </c>
      <c r="E4819" s="8" t="s">
        <v>17</v>
      </c>
      <c r="F4819" s="9">
        <v>46133.0</v>
      </c>
      <c r="G4819" s="8" t="s">
        <v>12450</v>
      </c>
      <c r="H4819" s="8" t="s">
        <v>12451</v>
      </c>
      <c r="I4819" s="8" t="s">
        <v>14574</v>
      </c>
      <c r="J4819" s="8" t="s">
        <v>14575</v>
      </c>
    </row>
    <row r="4820">
      <c r="A4820" s="7">
        <v>2.0048957E7</v>
      </c>
      <c r="B4820" s="8" t="s">
        <v>2471</v>
      </c>
      <c r="C4820" s="8" t="s">
        <v>14573</v>
      </c>
      <c r="D4820" s="8" t="s">
        <v>16</v>
      </c>
      <c r="E4820" s="8" t="s">
        <v>17</v>
      </c>
      <c r="F4820" s="9">
        <v>46133.0</v>
      </c>
      <c r="G4820" s="8" t="s">
        <v>5916</v>
      </c>
      <c r="H4820" s="8" t="s">
        <v>5917</v>
      </c>
      <c r="I4820" s="8" t="s">
        <v>14576</v>
      </c>
      <c r="J4820" s="8" t="s">
        <v>14577</v>
      </c>
    </row>
    <row r="4821">
      <c r="A4821" s="7">
        <v>2.00489E7</v>
      </c>
      <c r="B4821" s="8" t="s">
        <v>2471</v>
      </c>
      <c r="C4821" s="8" t="s">
        <v>14578</v>
      </c>
      <c r="D4821" s="8" t="s">
        <v>16</v>
      </c>
      <c r="E4821" s="8" t="s">
        <v>17</v>
      </c>
      <c r="F4821" s="9">
        <v>46109.0</v>
      </c>
      <c r="G4821" s="8" t="s">
        <v>882</v>
      </c>
      <c r="H4821" s="8" t="s">
        <v>883</v>
      </c>
      <c r="I4821" s="8" t="s">
        <v>14579</v>
      </c>
      <c r="J4821" s="8" t="s">
        <v>14580</v>
      </c>
    </row>
    <row r="4822">
      <c r="A4822" s="7">
        <v>2.00386E7</v>
      </c>
      <c r="B4822" s="8" t="s">
        <v>2471</v>
      </c>
      <c r="C4822" s="8" t="s">
        <v>14581</v>
      </c>
      <c r="D4822" s="8" t="s">
        <v>16</v>
      </c>
      <c r="E4822" s="8" t="s">
        <v>17</v>
      </c>
      <c r="F4822" s="9">
        <v>46078.0</v>
      </c>
      <c r="G4822" s="8" t="s">
        <v>1800</v>
      </c>
      <c r="H4822" s="8" t="s">
        <v>1801</v>
      </c>
      <c r="I4822" s="8" t="s">
        <v>14582</v>
      </c>
      <c r="J4822" s="8" t="s">
        <v>14583</v>
      </c>
    </row>
    <row r="4823">
      <c r="A4823" s="7">
        <v>2.0068179E7</v>
      </c>
      <c r="B4823" s="8" t="s">
        <v>2471</v>
      </c>
      <c r="C4823" s="8" t="s">
        <v>14584</v>
      </c>
      <c r="D4823" s="8" t="s">
        <v>16</v>
      </c>
      <c r="E4823" s="8" t="s">
        <v>17</v>
      </c>
      <c r="F4823" s="9">
        <v>46186.0</v>
      </c>
      <c r="G4823" s="8" t="s">
        <v>14585</v>
      </c>
      <c r="H4823" s="8" t="s">
        <v>14586</v>
      </c>
      <c r="I4823" s="8" t="s">
        <v>14587</v>
      </c>
      <c r="J4823" s="8" t="s">
        <v>14588</v>
      </c>
    </row>
    <row r="4824">
      <c r="A4824" s="7">
        <v>2.0055675E7</v>
      </c>
      <c r="B4824" s="8" t="s">
        <v>2471</v>
      </c>
      <c r="C4824" s="8" t="s">
        <v>14589</v>
      </c>
      <c r="D4824" s="8" t="s">
        <v>16</v>
      </c>
      <c r="E4824" s="8" t="s">
        <v>17</v>
      </c>
      <c r="F4824" s="9">
        <v>46123.0</v>
      </c>
      <c r="G4824" s="8" t="s">
        <v>846</v>
      </c>
      <c r="H4824" s="8" t="s">
        <v>847</v>
      </c>
      <c r="I4824" s="8" t="s">
        <v>14590</v>
      </c>
      <c r="J4824" s="8" t="s">
        <v>14591</v>
      </c>
    </row>
    <row r="4825">
      <c r="A4825" s="7">
        <v>2.0055558E7</v>
      </c>
      <c r="B4825" s="8" t="s">
        <v>2471</v>
      </c>
      <c r="C4825" s="8" t="s">
        <v>14592</v>
      </c>
      <c r="D4825" s="8" t="s">
        <v>16</v>
      </c>
      <c r="E4825" s="8" t="s">
        <v>17</v>
      </c>
      <c r="F4825" s="9">
        <v>46143.0</v>
      </c>
      <c r="G4825" s="8" t="s">
        <v>1057</v>
      </c>
      <c r="H4825" s="8" t="s">
        <v>1058</v>
      </c>
      <c r="I4825" s="8" t="s">
        <v>14593</v>
      </c>
      <c r="J4825" s="8" t="s">
        <v>14594</v>
      </c>
    </row>
    <row r="4826">
      <c r="A4826" s="7">
        <v>2.0045055E7</v>
      </c>
      <c r="B4826" s="8" t="s">
        <v>2471</v>
      </c>
      <c r="C4826" s="8" t="s">
        <v>14595</v>
      </c>
      <c r="D4826" s="8" t="s">
        <v>2136</v>
      </c>
      <c r="E4826" s="8" t="s">
        <v>17</v>
      </c>
      <c r="F4826" s="9">
        <v>46077.0</v>
      </c>
      <c r="G4826" s="8" t="s">
        <v>195</v>
      </c>
      <c r="H4826" s="8" t="s">
        <v>196</v>
      </c>
      <c r="I4826" s="8" t="s">
        <v>14596</v>
      </c>
      <c r="J4826" s="8" t="s">
        <v>14597</v>
      </c>
    </row>
    <row r="4827">
      <c r="A4827" s="7">
        <v>2.0043415E7</v>
      </c>
      <c r="B4827" s="8" t="s">
        <v>2471</v>
      </c>
      <c r="C4827" s="8" t="s">
        <v>14598</v>
      </c>
      <c r="D4827" s="8" t="s">
        <v>16</v>
      </c>
      <c r="E4827" s="8" t="s">
        <v>17</v>
      </c>
      <c r="F4827" s="9">
        <v>46100.0</v>
      </c>
      <c r="G4827" s="8" t="s">
        <v>5812</v>
      </c>
      <c r="H4827" s="8" t="s">
        <v>5813</v>
      </c>
      <c r="I4827" s="8" t="s">
        <v>14599</v>
      </c>
      <c r="J4827" s="8" t="s">
        <v>14600</v>
      </c>
    </row>
    <row r="4828">
      <c r="A4828" s="7">
        <v>2.0041497E7</v>
      </c>
      <c r="B4828" s="8" t="s">
        <v>2471</v>
      </c>
      <c r="C4828" s="8" t="s">
        <v>14601</v>
      </c>
      <c r="D4828" s="8" t="s">
        <v>16</v>
      </c>
      <c r="E4828" s="8" t="s">
        <v>17</v>
      </c>
      <c r="F4828" s="9">
        <v>46074.0</v>
      </c>
      <c r="G4828" s="8" t="s">
        <v>4209</v>
      </c>
      <c r="H4828" s="8" t="s">
        <v>4210</v>
      </c>
      <c r="I4828" s="8" t="s">
        <v>14602</v>
      </c>
      <c r="J4828" s="8" t="s">
        <v>14603</v>
      </c>
    </row>
    <row r="4829">
      <c r="A4829" s="7">
        <v>2.0041497E7</v>
      </c>
      <c r="B4829" s="8" t="s">
        <v>2471</v>
      </c>
      <c r="C4829" s="8" t="s">
        <v>14601</v>
      </c>
      <c r="D4829" s="8" t="s">
        <v>16</v>
      </c>
      <c r="E4829" s="8" t="s">
        <v>17</v>
      </c>
      <c r="F4829" s="9">
        <v>46074.0</v>
      </c>
      <c r="G4829" s="8" t="s">
        <v>5450</v>
      </c>
      <c r="H4829" s="8" t="s">
        <v>5451</v>
      </c>
      <c r="I4829" s="8" t="s">
        <v>14604</v>
      </c>
      <c r="J4829" s="8" t="s">
        <v>14605</v>
      </c>
    </row>
    <row r="4830">
      <c r="A4830" s="7">
        <v>2.0041497E7</v>
      </c>
      <c r="B4830" s="8" t="s">
        <v>2471</v>
      </c>
      <c r="C4830" s="8" t="s">
        <v>14601</v>
      </c>
      <c r="D4830" s="8" t="s">
        <v>16</v>
      </c>
      <c r="E4830" s="8" t="s">
        <v>17</v>
      </c>
      <c r="F4830" s="9">
        <v>46074.0</v>
      </c>
      <c r="G4830" s="8" t="s">
        <v>517</v>
      </c>
      <c r="H4830" s="8" t="s">
        <v>518</v>
      </c>
      <c r="I4830" s="8" t="s">
        <v>14606</v>
      </c>
      <c r="J4830" s="8" t="s">
        <v>14607</v>
      </c>
    </row>
    <row r="4831">
      <c r="A4831" s="7">
        <v>2.0037064E7</v>
      </c>
      <c r="B4831" s="8" t="s">
        <v>2471</v>
      </c>
      <c r="C4831" s="8" t="s">
        <v>14608</v>
      </c>
      <c r="D4831" s="8" t="s">
        <v>16</v>
      </c>
      <c r="E4831" s="8" t="s">
        <v>17</v>
      </c>
      <c r="F4831" s="9">
        <v>46077.0</v>
      </c>
      <c r="G4831" s="8" t="s">
        <v>561</v>
      </c>
      <c r="H4831" s="8" t="s">
        <v>562</v>
      </c>
      <c r="I4831" s="8" t="s">
        <v>14609</v>
      </c>
      <c r="J4831" s="8" t="s">
        <v>14610</v>
      </c>
    </row>
    <row r="4832">
      <c r="A4832" s="7">
        <v>2.0032971E7</v>
      </c>
      <c r="B4832" s="8" t="s">
        <v>2471</v>
      </c>
      <c r="C4832" s="8" t="s">
        <v>14611</v>
      </c>
      <c r="D4832" s="8" t="s">
        <v>16</v>
      </c>
      <c r="E4832" s="8" t="s">
        <v>17</v>
      </c>
      <c r="F4832" s="9">
        <v>46057.0</v>
      </c>
      <c r="G4832" s="8" t="s">
        <v>14612</v>
      </c>
      <c r="H4832" s="8" t="s">
        <v>14613</v>
      </c>
      <c r="I4832" s="8" t="s">
        <v>14614</v>
      </c>
      <c r="J4832" s="8" t="s">
        <v>14615</v>
      </c>
    </row>
    <row r="4833">
      <c r="A4833" s="7">
        <v>2.0064179E7</v>
      </c>
      <c r="B4833" s="8" t="s">
        <v>2471</v>
      </c>
      <c r="C4833" s="8" t="s">
        <v>14616</v>
      </c>
      <c r="D4833" s="8" t="s">
        <v>16</v>
      </c>
      <c r="E4833" s="8" t="s">
        <v>17</v>
      </c>
      <c r="F4833" s="9">
        <v>46171.0</v>
      </c>
      <c r="G4833" s="8" t="s">
        <v>3585</v>
      </c>
      <c r="H4833" s="8" t="s">
        <v>3586</v>
      </c>
      <c r="I4833" s="8" t="s">
        <v>14617</v>
      </c>
      <c r="J4833" s="8" t="s">
        <v>14618</v>
      </c>
    </row>
    <row r="4834">
      <c r="A4834" s="7">
        <v>2.0063904E7</v>
      </c>
      <c r="B4834" s="8" t="s">
        <v>2471</v>
      </c>
      <c r="C4834" s="8" t="s">
        <v>14619</v>
      </c>
      <c r="D4834" s="8" t="s">
        <v>16</v>
      </c>
      <c r="E4834" s="8" t="s">
        <v>17</v>
      </c>
      <c r="F4834" s="9">
        <v>46185.0</v>
      </c>
      <c r="G4834" s="8" t="s">
        <v>14620</v>
      </c>
      <c r="H4834" s="8" t="s">
        <v>14621</v>
      </c>
      <c r="I4834" s="8" t="s">
        <v>14622</v>
      </c>
      <c r="J4834" s="8" t="s">
        <v>14623</v>
      </c>
    </row>
    <row r="4835">
      <c r="A4835" s="7">
        <v>2.0060511E7</v>
      </c>
      <c r="B4835" s="8" t="s">
        <v>2471</v>
      </c>
      <c r="C4835" s="8" t="s">
        <v>14624</v>
      </c>
      <c r="D4835" s="8" t="s">
        <v>16</v>
      </c>
      <c r="E4835" s="8" t="s">
        <v>17</v>
      </c>
      <c r="F4835" s="9">
        <v>46162.0</v>
      </c>
      <c r="G4835" s="8" t="s">
        <v>49</v>
      </c>
      <c r="H4835" s="8" t="s">
        <v>50</v>
      </c>
      <c r="I4835" s="8" t="s">
        <v>14625</v>
      </c>
      <c r="J4835" s="8" t="s">
        <v>14626</v>
      </c>
    </row>
    <row r="4836">
      <c r="A4836" s="7">
        <v>2.0058373E7</v>
      </c>
      <c r="B4836" s="8" t="s">
        <v>2471</v>
      </c>
      <c r="C4836" s="8" t="s">
        <v>14627</v>
      </c>
      <c r="D4836" s="8" t="s">
        <v>16</v>
      </c>
      <c r="E4836" s="8" t="s">
        <v>17</v>
      </c>
      <c r="F4836" s="9">
        <v>46148.0</v>
      </c>
      <c r="G4836" s="8" t="s">
        <v>385</v>
      </c>
      <c r="H4836" s="8" t="s">
        <v>386</v>
      </c>
      <c r="I4836" s="8" t="s">
        <v>14628</v>
      </c>
      <c r="J4836" s="8" t="s">
        <v>14629</v>
      </c>
    </row>
    <row r="4837">
      <c r="A4837" s="7">
        <v>2.0053837E7</v>
      </c>
      <c r="B4837" s="8" t="s">
        <v>2471</v>
      </c>
      <c r="C4837" s="8" t="s">
        <v>14630</v>
      </c>
      <c r="D4837" s="8" t="s">
        <v>16</v>
      </c>
      <c r="E4837" s="8" t="s">
        <v>17</v>
      </c>
      <c r="F4837" s="9">
        <v>46156.0</v>
      </c>
      <c r="G4837" s="8" t="s">
        <v>1557</v>
      </c>
      <c r="H4837" s="8" t="s">
        <v>1558</v>
      </c>
      <c r="I4837" s="8" t="s">
        <v>14631</v>
      </c>
      <c r="J4837" s="8" t="s">
        <v>14632</v>
      </c>
    </row>
    <row r="4838">
      <c r="A4838" s="7">
        <v>2.0053837E7</v>
      </c>
      <c r="B4838" s="8" t="s">
        <v>2471</v>
      </c>
      <c r="C4838" s="8" t="s">
        <v>14630</v>
      </c>
      <c r="D4838" s="8" t="s">
        <v>16</v>
      </c>
      <c r="E4838" s="8" t="s">
        <v>17</v>
      </c>
      <c r="F4838" s="9">
        <v>46156.0</v>
      </c>
      <c r="G4838" s="8" t="s">
        <v>791</v>
      </c>
      <c r="H4838" s="8" t="s">
        <v>792</v>
      </c>
      <c r="I4838" s="8" t="s">
        <v>14633</v>
      </c>
      <c r="J4838" s="8" t="s">
        <v>14634</v>
      </c>
    </row>
    <row r="4839">
      <c r="A4839" s="7">
        <v>2.0053837E7</v>
      </c>
      <c r="B4839" s="8" t="s">
        <v>2471</v>
      </c>
      <c r="C4839" s="8" t="s">
        <v>14630</v>
      </c>
      <c r="D4839" s="8" t="s">
        <v>16</v>
      </c>
      <c r="E4839" s="8" t="s">
        <v>17</v>
      </c>
      <c r="F4839" s="9">
        <v>46156.0</v>
      </c>
      <c r="G4839" s="8" t="s">
        <v>1841</v>
      </c>
      <c r="H4839" s="8" t="s">
        <v>1842</v>
      </c>
      <c r="I4839" s="8" t="s">
        <v>14635</v>
      </c>
      <c r="J4839" s="8" t="s">
        <v>14636</v>
      </c>
    </row>
    <row r="4840">
      <c r="A4840" s="7">
        <v>2.0054069E7</v>
      </c>
      <c r="B4840" s="8" t="s">
        <v>2471</v>
      </c>
      <c r="C4840" s="8" t="s">
        <v>14637</v>
      </c>
      <c r="D4840" s="8" t="s">
        <v>16</v>
      </c>
      <c r="E4840" s="8" t="s">
        <v>17</v>
      </c>
      <c r="F4840" s="9">
        <v>46138.0</v>
      </c>
      <c r="G4840" s="8" t="s">
        <v>314</v>
      </c>
      <c r="H4840" s="8" t="s">
        <v>315</v>
      </c>
      <c r="I4840" s="8" t="s">
        <v>14638</v>
      </c>
      <c r="J4840" s="8" t="s">
        <v>14639</v>
      </c>
    </row>
    <row r="4841">
      <c r="A4841" s="7">
        <v>2.0049453E7</v>
      </c>
      <c r="B4841" s="8" t="s">
        <v>2471</v>
      </c>
      <c r="C4841" s="8" t="s">
        <v>14640</v>
      </c>
      <c r="D4841" s="8" t="s">
        <v>16</v>
      </c>
      <c r="E4841" s="8" t="s">
        <v>17</v>
      </c>
      <c r="F4841" s="9">
        <v>46149.0</v>
      </c>
      <c r="G4841" s="8" t="s">
        <v>348</v>
      </c>
      <c r="H4841" s="8" t="s">
        <v>349</v>
      </c>
      <c r="I4841" s="8" t="s">
        <v>14641</v>
      </c>
      <c r="J4841" s="8" t="s">
        <v>14642</v>
      </c>
    </row>
    <row r="4842">
      <c r="A4842" s="7">
        <v>2.0051776E7</v>
      </c>
      <c r="B4842" s="8" t="s">
        <v>2471</v>
      </c>
      <c r="C4842" s="8" t="s">
        <v>14643</v>
      </c>
      <c r="D4842" s="8" t="s">
        <v>16</v>
      </c>
      <c r="E4842" s="8" t="s">
        <v>17</v>
      </c>
      <c r="F4842" s="9">
        <v>46122.0</v>
      </c>
      <c r="G4842" s="8" t="s">
        <v>573</v>
      </c>
      <c r="H4842" s="8" t="s">
        <v>574</v>
      </c>
      <c r="I4842" s="8" t="s">
        <v>14644</v>
      </c>
      <c r="J4842" s="8" t="s">
        <v>14645</v>
      </c>
    </row>
    <row r="4843">
      <c r="A4843" s="7">
        <v>2.005163E7</v>
      </c>
      <c r="B4843" s="8" t="s">
        <v>2471</v>
      </c>
      <c r="C4843" s="8" t="s">
        <v>14646</v>
      </c>
      <c r="D4843" s="8" t="s">
        <v>16</v>
      </c>
      <c r="E4843" s="8" t="s">
        <v>17</v>
      </c>
      <c r="F4843" s="9">
        <v>46120.0</v>
      </c>
      <c r="G4843" s="8" t="s">
        <v>436</v>
      </c>
      <c r="H4843" s="8" t="s">
        <v>437</v>
      </c>
      <c r="I4843" s="8" t="s">
        <v>14647</v>
      </c>
      <c r="J4843" s="8" t="s">
        <v>14648</v>
      </c>
    </row>
    <row r="4844">
      <c r="A4844" s="7">
        <v>2.0049968E7</v>
      </c>
      <c r="B4844" s="8" t="s">
        <v>2471</v>
      </c>
      <c r="C4844" s="8" t="s">
        <v>14649</v>
      </c>
      <c r="D4844" s="8" t="s">
        <v>16</v>
      </c>
      <c r="E4844" s="8" t="s">
        <v>17</v>
      </c>
      <c r="F4844" s="9">
        <v>46129.0</v>
      </c>
      <c r="G4844" s="8" t="s">
        <v>3706</v>
      </c>
      <c r="H4844" s="8" t="s">
        <v>3707</v>
      </c>
      <c r="I4844" s="8" t="s">
        <v>14650</v>
      </c>
      <c r="J4844" s="8"/>
    </row>
    <row r="4845">
      <c r="A4845" s="7">
        <v>2.0047055E7</v>
      </c>
      <c r="B4845" s="8" t="s">
        <v>2471</v>
      </c>
      <c r="C4845" s="8" t="s">
        <v>14651</v>
      </c>
      <c r="D4845" s="8" t="s">
        <v>16</v>
      </c>
      <c r="E4845" s="8" t="s">
        <v>17</v>
      </c>
      <c r="F4845" s="9">
        <v>46110.0</v>
      </c>
      <c r="G4845" s="8" t="s">
        <v>436</v>
      </c>
      <c r="H4845" s="8" t="s">
        <v>437</v>
      </c>
      <c r="I4845" s="8" t="s">
        <v>14652</v>
      </c>
      <c r="J4845" s="8" t="s">
        <v>14653</v>
      </c>
    </row>
    <row r="4846">
      <c r="A4846" s="7">
        <v>2.003788E7</v>
      </c>
      <c r="B4846" s="8" t="s">
        <v>2471</v>
      </c>
      <c r="C4846" s="8" t="s">
        <v>14654</v>
      </c>
      <c r="D4846" s="8" t="s">
        <v>16</v>
      </c>
      <c r="E4846" s="8" t="s">
        <v>17</v>
      </c>
      <c r="F4846" s="9">
        <v>46062.0</v>
      </c>
      <c r="G4846" s="8" t="s">
        <v>923</v>
      </c>
      <c r="H4846" s="8" t="s">
        <v>71</v>
      </c>
      <c r="I4846" s="8" t="s">
        <v>14655</v>
      </c>
      <c r="J4846" s="8" t="s">
        <v>14656</v>
      </c>
    </row>
    <row r="4847">
      <c r="A4847" s="7">
        <v>2.0065966E7</v>
      </c>
      <c r="B4847" s="8" t="s">
        <v>2471</v>
      </c>
      <c r="C4847" s="8" t="s">
        <v>14657</v>
      </c>
      <c r="D4847" s="8" t="s">
        <v>2136</v>
      </c>
      <c r="E4847" s="8" t="s">
        <v>17</v>
      </c>
      <c r="F4847" s="9">
        <v>46186.0</v>
      </c>
      <c r="G4847" s="8" t="s">
        <v>1969</v>
      </c>
      <c r="H4847" s="8" t="s">
        <v>1970</v>
      </c>
      <c r="I4847" s="8" t="s">
        <v>14658</v>
      </c>
      <c r="J4847" s="8" t="s">
        <v>14659</v>
      </c>
    </row>
    <row r="4848">
      <c r="A4848" s="7">
        <v>2.0064297E7</v>
      </c>
      <c r="B4848" s="8" t="s">
        <v>2471</v>
      </c>
      <c r="C4848" s="8" t="s">
        <v>14660</v>
      </c>
      <c r="D4848" s="8" t="s">
        <v>16</v>
      </c>
      <c r="E4848" s="8" t="s">
        <v>17</v>
      </c>
      <c r="F4848" s="9">
        <v>46171.0</v>
      </c>
      <c r="G4848" s="8" t="s">
        <v>882</v>
      </c>
      <c r="H4848" s="8" t="s">
        <v>883</v>
      </c>
      <c r="I4848" s="8" t="s">
        <v>14661</v>
      </c>
      <c r="J4848" s="8" t="s">
        <v>14662</v>
      </c>
    </row>
    <row r="4849">
      <c r="A4849" s="7">
        <v>2.0060295E7</v>
      </c>
      <c r="B4849" s="8" t="s">
        <v>2471</v>
      </c>
      <c r="C4849" s="8" t="s">
        <v>14663</v>
      </c>
      <c r="D4849" s="8" t="s">
        <v>16</v>
      </c>
      <c r="E4849" s="8" t="s">
        <v>17</v>
      </c>
      <c r="F4849" s="9">
        <v>46164.0</v>
      </c>
      <c r="G4849" s="8" t="s">
        <v>34</v>
      </c>
      <c r="H4849" s="8" t="s">
        <v>35</v>
      </c>
      <c r="I4849" s="8" t="s">
        <v>14664</v>
      </c>
      <c r="J4849" s="8" t="s">
        <v>14665</v>
      </c>
    </row>
    <row r="4850">
      <c r="A4850" s="7">
        <v>2.0060367E7</v>
      </c>
      <c r="B4850" s="8" t="s">
        <v>2471</v>
      </c>
      <c r="C4850" s="8" t="s">
        <v>14666</v>
      </c>
      <c r="D4850" s="8" t="s">
        <v>16</v>
      </c>
      <c r="E4850" s="8" t="s">
        <v>17</v>
      </c>
      <c r="F4850" s="9">
        <v>46170.0</v>
      </c>
      <c r="G4850" s="8" t="s">
        <v>400</v>
      </c>
      <c r="H4850" s="8" t="s">
        <v>2144</v>
      </c>
      <c r="I4850" s="8" t="s">
        <v>14667</v>
      </c>
      <c r="J4850" s="8" t="s">
        <v>14668</v>
      </c>
    </row>
    <row r="4851">
      <c r="A4851" s="7">
        <v>2.005491E7</v>
      </c>
      <c r="B4851" s="8" t="s">
        <v>2471</v>
      </c>
      <c r="C4851" s="8" t="s">
        <v>14669</v>
      </c>
      <c r="D4851" s="8" t="s">
        <v>16</v>
      </c>
      <c r="E4851" s="8" t="s">
        <v>17</v>
      </c>
      <c r="F4851" s="9">
        <v>46138.0</v>
      </c>
      <c r="G4851" s="8" t="s">
        <v>282</v>
      </c>
      <c r="H4851" s="8" t="s">
        <v>3005</v>
      </c>
      <c r="I4851" s="8" t="s">
        <v>14670</v>
      </c>
      <c r="J4851" s="8" t="s">
        <v>14671</v>
      </c>
    </row>
    <row r="4852">
      <c r="A4852" s="7">
        <v>2.005491E7</v>
      </c>
      <c r="B4852" s="8" t="s">
        <v>2471</v>
      </c>
      <c r="C4852" s="8" t="s">
        <v>14669</v>
      </c>
      <c r="D4852" s="8" t="s">
        <v>16</v>
      </c>
      <c r="E4852" s="8" t="s">
        <v>17</v>
      </c>
      <c r="F4852" s="9">
        <v>46138.0</v>
      </c>
      <c r="G4852" s="8" t="s">
        <v>3008</v>
      </c>
      <c r="H4852" s="8" t="s">
        <v>3009</v>
      </c>
      <c r="I4852" s="8" t="s">
        <v>14672</v>
      </c>
      <c r="J4852" s="8"/>
    </row>
    <row r="4853">
      <c r="A4853" s="7">
        <v>2.0054259E7</v>
      </c>
      <c r="B4853" s="8" t="s">
        <v>2471</v>
      </c>
      <c r="C4853" s="8" t="s">
        <v>14673</v>
      </c>
      <c r="D4853" s="8" t="s">
        <v>16</v>
      </c>
      <c r="E4853" s="8" t="s">
        <v>17</v>
      </c>
      <c r="F4853" s="9">
        <v>46139.0</v>
      </c>
      <c r="G4853" s="8" t="s">
        <v>3093</v>
      </c>
      <c r="H4853" s="8" t="s">
        <v>3094</v>
      </c>
      <c r="I4853" s="8" t="s">
        <v>14674</v>
      </c>
      <c r="J4853" s="8" t="s">
        <v>14675</v>
      </c>
    </row>
    <row r="4854">
      <c r="A4854" s="7">
        <v>2.0053093E7</v>
      </c>
      <c r="B4854" s="8" t="s">
        <v>2471</v>
      </c>
      <c r="C4854" s="8" t="s">
        <v>14676</v>
      </c>
      <c r="D4854" s="8" t="s">
        <v>16</v>
      </c>
      <c r="E4854" s="8" t="s">
        <v>17</v>
      </c>
      <c r="F4854" s="9">
        <v>46133.0</v>
      </c>
      <c r="G4854" s="8" t="s">
        <v>114</v>
      </c>
      <c r="H4854" s="8" t="s">
        <v>115</v>
      </c>
      <c r="I4854" s="8" t="s">
        <v>14677</v>
      </c>
      <c r="J4854" s="8" t="s">
        <v>14678</v>
      </c>
    </row>
    <row r="4855">
      <c r="A4855" s="7">
        <v>2.0049926E7</v>
      </c>
      <c r="B4855" s="8" t="s">
        <v>2471</v>
      </c>
      <c r="C4855" s="8" t="s">
        <v>14679</v>
      </c>
      <c r="D4855" s="8" t="s">
        <v>16</v>
      </c>
      <c r="E4855" s="8" t="s">
        <v>17</v>
      </c>
      <c r="F4855" s="9">
        <v>46113.0</v>
      </c>
      <c r="G4855" s="8" t="s">
        <v>1627</v>
      </c>
      <c r="H4855" s="8" t="s">
        <v>1628</v>
      </c>
      <c r="I4855" s="8" t="s">
        <v>14680</v>
      </c>
      <c r="J4855" s="8" t="s">
        <v>14681</v>
      </c>
    </row>
    <row r="4856">
      <c r="A4856" s="7">
        <v>2.004248E7</v>
      </c>
      <c r="B4856" s="8" t="s">
        <v>2471</v>
      </c>
      <c r="C4856" s="8" t="s">
        <v>14682</v>
      </c>
      <c r="D4856" s="8" t="s">
        <v>16</v>
      </c>
      <c r="E4856" s="8" t="s">
        <v>17</v>
      </c>
      <c r="F4856" s="9">
        <v>46085.0</v>
      </c>
      <c r="G4856" s="8" t="s">
        <v>59</v>
      </c>
      <c r="H4856" s="8" t="s">
        <v>60</v>
      </c>
      <c r="I4856" s="8" t="s">
        <v>14683</v>
      </c>
      <c r="J4856" s="8" t="s">
        <v>14684</v>
      </c>
    </row>
    <row r="4857">
      <c r="A4857" s="7">
        <v>2.0041478E7</v>
      </c>
      <c r="B4857" s="8" t="s">
        <v>2471</v>
      </c>
      <c r="C4857" s="8" t="s">
        <v>14685</v>
      </c>
      <c r="D4857" s="8" t="s">
        <v>16</v>
      </c>
      <c r="E4857" s="8" t="s">
        <v>17</v>
      </c>
      <c r="F4857" s="9">
        <v>46073.0</v>
      </c>
      <c r="G4857" s="8" t="s">
        <v>220</v>
      </c>
      <c r="H4857" s="8" t="s">
        <v>221</v>
      </c>
      <c r="I4857" s="8" t="s">
        <v>14686</v>
      </c>
      <c r="J4857" s="8" t="s">
        <v>14687</v>
      </c>
    </row>
    <row r="4858">
      <c r="A4858" s="7">
        <v>2.0040077E7</v>
      </c>
      <c r="B4858" s="8" t="s">
        <v>2471</v>
      </c>
      <c r="C4858" s="8" t="s">
        <v>14688</v>
      </c>
      <c r="D4858" s="8" t="s">
        <v>16</v>
      </c>
      <c r="E4858" s="8" t="s">
        <v>17</v>
      </c>
      <c r="F4858" s="9">
        <v>46083.0</v>
      </c>
      <c r="G4858" s="8" t="s">
        <v>1085</v>
      </c>
      <c r="H4858" s="8" t="s">
        <v>1086</v>
      </c>
      <c r="I4858" s="8" t="s">
        <v>14689</v>
      </c>
      <c r="J4858" s="8" t="s">
        <v>14690</v>
      </c>
    </row>
    <row r="4859">
      <c r="A4859" s="7">
        <v>2.0034134E7</v>
      </c>
      <c r="B4859" s="8" t="s">
        <v>2471</v>
      </c>
      <c r="C4859" s="8" t="s">
        <v>14691</v>
      </c>
      <c r="D4859" s="8" t="s">
        <v>16</v>
      </c>
      <c r="E4859" s="8" t="s">
        <v>17</v>
      </c>
      <c r="F4859" s="9">
        <v>46052.0</v>
      </c>
      <c r="G4859" s="8" t="s">
        <v>220</v>
      </c>
      <c r="H4859" s="8" t="s">
        <v>221</v>
      </c>
      <c r="I4859" s="8" t="s">
        <v>14692</v>
      </c>
      <c r="J4859" s="8" t="s">
        <v>14693</v>
      </c>
    </row>
    <row r="4860">
      <c r="A4860" s="7">
        <v>2.0034111E7</v>
      </c>
      <c r="B4860" s="8" t="s">
        <v>2471</v>
      </c>
      <c r="C4860" s="8" t="s">
        <v>14694</v>
      </c>
      <c r="D4860" s="8" t="s">
        <v>16</v>
      </c>
      <c r="E4860" s="8" t="s">
        <v>17</v>
      </c>
      <c r="F4860" s="9">
        <v>46035.0</v>
      </c>
      <c r="G4860" s="8" t="s">
        <v>846</v>
      </c>
      <c r="H4860" s="8" t="s">
        <v>847</v>
      </c>
      <c r="I4860" s="8" t="s">
        <v>14695</v>
      </c>
      <c r="J4860" s="8" t="s">
        <v>14696</v>
      </c>
    </row>
    <row r="4861">
      <c r="A4861" s="7">
        <v>2.0066526E7</v>
      </c>
      <c r="B4861" s="8" t="s">
        <v>2471</v>
      </c>
      <c r="C4861" s="8" t="s">
        <v>14697</v>
      </c>
      <c r="D4861" s="8" t="s">
        <v>2136</v>
      </c>
      <c r="E4861" s="8" t="s">
        <v>17</v>
      </c>
      <c r="F4861" s="9">
        <v>46171.0</v>
      </c>
      <c r="G4861" s="8" t="s">
        <v>873</v>
      </c>
      <c r="H4861" s="8" t="s">
        <v>874</v>
      </c>
      <c r="I4861" s="8" t="s">
        <v>14698</v>
      </c>
      <c r="J4861" s="8" t="s">
        <v>14699</v>
      </c>
    </row>
    <row r="4862">
      <c r="A4862" s="7">
        <v>2.0066526E7</v>
      </c>
      <c r="B4862" s="8" t="s">
        <v>2471</v>
      </c>
      <c r="C4862" s="8" t="s">
        <v>14697</v>
      </c>
      <c r="D4862" s="8" t="s">
        <v>2136</v>
      </c>
      <c r="E4862" s="8" t="s">
        <v>17</v>
      </c>
      <c r="F4862" s="9">
        <v>46171.0</v>
      </c>
      <c r="G4862" s="8" t="s">
        <v>339</v>
      </c>
      <c r="H4862" s="8" t="s">
        <v>340</v>
      </c>
      <c r="I4862" s="8" t="s">
        <v>14700</v>
      </c>
      <c r="J4862" s="8" t="s">
        <v>14701</v>
      </c>
    </row>
    <row r="4863">
      <c r="A4863" s="7">
        <v>2.0063295E7</v>
      </c>
      <c r="B4863" s="8" t="s">
        <v>2471</v>
      </c>
      <c r="C4863" s="8" t="s">
        <v>14702</v>
      </c>
      <c r="D4863" s="8" t="s">
        <v>16</v>
      </c>
      <c r="E4863" s="8" t="s">
        <v>17</v>
      </c>
      <c r="F4863" s="9">
        <v>46164.0</v>
      </c>
      <c r="G4863" s="8" t="s">
        <v>220</v>
      </c>
      <c r="H4863" s="8" t="s">
        <v>221</v>
      </c>
      <c r="I4863" s="8" t="s">
        <v>14703</v>
      </c>
      <c r="J4863" s="8" t="s">
        <v>14704</v>
      </c>
    </row>
    <row r="4864">
      <c r="A4864" s="7">
        <v>2.0062675E7</v>
      </c>
      <c r="B4864" s="8" t="s">
        <v>2471</v>
      </c>
      <c r="C4864" s="8" t="s">
        <v>14705</v>
      </c>
      <c r="D4864" s="8" t="s">
        <v>16</v>
      </c>
      <c r="E4864" s="8" t="s">
        <v>17</v>
      </c>
      <c r="F4864" s="9">
        <v>46187.0</v>
      </c>
      <c r="G4864" s="8" t="s">
        <v>486</v>
      </c>
      <c r="H4864" s="8" t="s">
        <v>487</v>
      </c>
      <c r="I4864" s="8" t="s">
        <v>14706</v>
      </c>
      <c r="J4864" s="8" t="s">
        <v>14707</v>
      </c>
    </row>
    <row r="4865">
      <c r="A4865" s="7">
        <v>2.005683E7</v>
      </c>
      <c r="B4865" s="8" t="s">
        <v>2471</v>
      </c>
      <c r="C4865" s="8" t="s">
        <v>14708</v>
      </c>
      <c r="D4865" s="8" t="s">
        <v>16</v>
      </c>
      <c r="E4865" s="8" t="s">
        <v>17</v>
      </c>
      <c r="F4865" s="9">
        <v>46155.0</v>
      </c>
      <c r="G4865" s="8" t="s">
        <v>9334</v>
      </c>
      <c r="H4865" s="8" t="s">
        <v>9335</v>
      </c>
      <c r="I4865" s="8" t="s">
        <v>14709</v>
      </c>
      <c r="J4865" s="8" t="s">
        <v>14710</v>
      </c>
    </row>
    <row r="4866">
      <c r="A4866" s="7">
        <v>2.005522E7</v>
      </c>
      <c r="B4866" s="8" t="s">
        <v>2471</v>
      </c>
      <c r="C4866" s="8" t="s">
        <v>14711</v>
      </c>
      <c r="D4866" s="8" t="s">
        <v>16</v>
      </c>
      <c r="E4866" s="8" t="s">
        <v>17</v>
      </c>
      <c r="F4866" s="9">
        <v>46155.0</v>
      </c>
      <c r="G4866" s="8" t="s">
        <v>1998</v>
      </c>
      <c r="H4866" s="8" t="s">
        <v>1999</v>
      </c>
      <c r="I4866" s="8" t="s">
        <v>14712</v>
      </c>
      <c r="J4866" s="8" t="s">
        <v>14713</v>
      </c>
    </row>
    <row r="4867">
      <c r="A4867" s="7">
        <v>2.0054648E7</v>
      </c>
      <c r="B4867" s="8" t="s">
        <v>2471</v>
      </c>
      <c r="C4867" s="8" t="s">
        <v>14714</v>
      </c>
      <c r="D4867" s="8" t="s">
        <v>16</v>
      </c>
      <c r="E4867" s="8" t="s">
        <v>17</v>
      </c>
      <c r="F4867" s="9">
        <v>46146.0</v>
      </c>
      <c r="G4867" s="8" t="s">
        <v>643</v>
      </c>
      <c r="H4867" s="8" t="s">
        <v>644</v>
      </c>
      <c r="I4867" s="8" t="s">
        <v>14715</v>
      </c>
      <c r="J4867" s="8" t="s">
        <v>14716</v>
      </c>
    </row>
    <row r="4868">
      <c r="A4868" s="7">
        <v>2.0054599E7</v>
      </c>
      <c r="B4868" s="8" t="s">
        <v>2471</v>
      </c>
      <c r="C4868" s="8" t="s">
        <v>14717</v>
      </c>
      <c r="D4868" s="8" t="s">
        <v>16</v>
      </c>
      <c r="E4868" s="8" t="s">
        <v>17</v>
      </c>
      <c r="F4868" s="9">
        <v>46118.0</v>
      </c>
      <c r="G4868" s="8" t="s">
        <v>59</v>
      </c>
      <c r="H4868" s="8" t="s">
        <v>60</v>
      </c>
      <c r="I4868" s="8" t="s">
        <v>14718</v>
      </c>
      <c r="J4868" s="8" t="s">
        <v>14719</v>
      </c>
    </row>
    <row r="4869">
      <c r="A4869" s="7">
        <v>2.0052832E7</v>
      </c>
      <c r="B4869" s="8" t="s">
        <v>2471</v>
      </c>
      <c r="C4869" s="8" t="s">
        <v>14720</v>
      </c>
      <c r="D4869" s="8" t="s">
        <v>16</v>
      </c>
      <c r="E4869" s="8" t="s">
        <v>17</v>
      </c>
      <c r="F4869" s="9">
        <v>46128.0</v>
      </c>
      <c r="G4869" s="8" t="s">
        <v>13402</v>
      </c>
      <c r="H4869" s="8" t="s">
        <v>13403</v>
      </c>
      <c r="I4869" s="8" t="s">
        <v>14721</v>
      </c>
      <c r="J4869" s="8" t="s">
        <v>14722</v>
      </c>
    </row>
    <row r="4870">
      <c r="A4870" s="7">
        <v>2.0047864E7</v>
      </c>
      <c r="B4870" s="8" t="s">
        <v>2471</v>
      </c>
      <c r="C4870" s="8" t="s">
        <v>14723</v>
      </c>
      <c r="D4870" s="8" t="s">
        <v>16</v>
      </c>
      <c r="E4870" s="8" t="s">
        <v>17</v>
      </c>
      <c r="F4870" s="9">
        <v>46088.0</v>
      </c>
      <c r="G4870" s="8" t="s">
        <v>868</v>
      </c>
      <c r="H4870" s="8" t="s">
        <v>869</v>
      </c>
      <c r="I4870" s="8" t="s">
        <v>14724</v>
      </c>
      <c r="J4870" s="8" t="s">
        <v>14725</v>
      </c>
    </row>
    <row r="4871">
      <c r="A4871" s="7">
        <v>2.0036431E7</v>
      </c>
      <c r="B4871" s="8" t="s">
        <v>2471</v>
      </c>
      <c r="C4871" s="8" t="s">
        <v>14726</v>
      </c>
      <c r="D4871" s="8" t="s">
        <v>16</v>
      </c>
      <c r="E4871" s="8" t="s">
        <v>17</v>
      </c>
      <c r="F4871" s="9">
        <v>46072.0</v>
      </c>
      <c r="G4871" s="8" t="s">
        <v>234</v>
      </c>
      <c r="H4871" s="8" t="s">
        <v>235</v>
      </c>
      <c r="I4871" s="8" t="s">
        <v>14727</v>
      </c>
      <c r="J4871" s="8" t="s">
        <v>14728</v>
      </c>
    </row>
    <row r="4872">
      <c r="A4872" s="7">
        <v>2.0035097E7</v>
      </c>
      <c r="B4872" s="8" t="s">
        <v>2471</v>
      </c>
      <c r="C4872" s="8" t="s">
        <v>14729</v>
      </c>
      <c r="D4872" s="8" t="s">
        <v>16</v>
      </c>
      <c r="E4872" s="8" t="s">
        <v>17</v>
      </c>
      <c r="F4872" s="9">
        <v>46051.0</v>
      </c>
      <c r="G4872" s="8" t="s">
        <v>846</v>
      </c>
      <c r="H4872" s="8" t="s">
        <v>847</v>
      </c>
      <c r="I4872" s="8" t="s">
        <v>14730</v>
      </c>
      <c r="J4872" s="8" t="s">
        <v>14731</v>
      </c>
    </row>
    <row r="4873">
      <c r="A4873" s="7">
        <v>2.0066135E7</v>
      </c>
      <c r="B4873" s="8" t="s">
        <v>2471</v>
      </c>
      <c r="C4873" s="8" t="s">
        <v>14732</v>
      </c>
      <c r="D4873" s="8" t="s">
        <v>16</v>
      </c>
      <c r="E4873" s="8" t="s">
        <v>17</v>
      </c>
      <c r="F4873" s="9">
        <v>46167.0</v>
      </c>
      <c r="G4873" s="8" t="s">
        <v>365</v>
      </c>
      <c r="H4873" s="8" t="s">
        <v>366</v>
      </c>
      <c r="I4873" s="8" t="s">
        <v>14733</v>
      </c>
      <c r="J4873" s="8" t="s">
        <v>14734</v>
      </c>
    </row>
    <row r="4874">
      <c r="A4874" s="7">
        <v>2.0063719E7</v>
      </c>
      <c r="B4874" s="8" t="s">
        <v>2471</v>
      </c>
      <c r="C4874" s="8" t="s">
        <v>14735</v>
      </c>
      <c r="D4874" s="8" t="s">
        <v>16</v>
      </c>
      <c r="E4874" s="8" t="s">
        <v>17</v>
      </c>
      <c r="F4874" s="9">
        <v>46187.0</v>
      </c>
      <c r="G4874" s="8" t="s">
        <v>2666</v>
      </c>
      <c r="H4874" s="8" t="s">
        <v>2667</v>
      </c>
      <c r="I4874" s="8" t="s">
        <v>14736</v>
      </c>
      <c r="J4874" s="8" t="s">
        <v>14737</v>
      </c>
    </row>
    <row r="4875">
      <c r="A4875" s="7">
        <v>2.0062275E7</v>
      </c>
      <c r="B4875" s="8" t="s">
        <v>2471</v>
      </c>
      <c r="C4875" s="8" t="s">
        <v>14738</v>
      </c>
      <c r="D4875" s="8" t="s">
        <v>16</v>
      </c>
      <c r="E4875" s="8" t="s">
        <v>17</v>
      </c>
      <c r="F4875" s="9">
        <v>46164.0</v>
      </c>
      <c r="G4875" s="8" t="s">
        <v>59</v>
      </c>
      <c r="H4875" s="8" t="s">
        <v>60</v>
      </c>
      <c r="I4875" s="8" t="s">
        <v>14739</v>
      </c>
      <c r="J4875" s="8" t="s">
        <v>14740</v>
      </c>
    </row>
    <row r="4876">
      <c r="A4876" s="7">
        <v>2.005993E7</v>
      </c>
      <c r="B4876" s="8" t="s">
        <v>2471</v>
      </c>
      <c r="C4876" s="8" t="s">
        <v>14741</v>
      </c>
      <c r="D4876" s="8" t="s">
        <v>16</v>
      </c>
      <c r="E4876" s="8" t="s">
        <v>17</v>
      </c>
      <c r="F4876" s="9">
        <v>46190.0</v>
      </c>
      <c r="G4876" s="8" t="s">
        <v>314</v>
      </c>
      <c r="H4876" s="8" t="s">
        <v>315</v>
      </c>
      <c r="I4876" s="8" t="s">
        <v>9864</v>
      </c>
      <c r="J4876" s="8" t="s">
        <v>14742</v>
      </c>
    </row>
    <row r="4877">
      <c r="A4877" s="7">
        <v>2.0056691E7</v>
      </c>
      <c r="B4877" s="8" t="s">
        <v>2471</v>
      </c>
      <c r="C4877" s="8" t="s">
        <v>14743</v>
      </c>
      <c r="D4877" s="8" t="s">
        <v>16</v>
      </c>
      <c r="E4877" s="8" t="s">
        <v>17</v>
      </c>
      <c r="F4877" s="9">
        <v>46145.0</v>
      </c>
      <c r="G4877" s="8" t="s">
        <v>14744</v>
      </c>
      <c r="H4877" s="8" t="s">
        <v>14745</v>
      </c>
      <c r="I4877" s="8" t="s">
        <v>14746</v>
      </c>
      <c r="J4877" s="8" t="s">
        <v>14747</v>
      </c>
    </row>
    <row r="4878">
      <c r="A4878" s="7">
        <v>2.0050256E7</v>
      </c>
      <c r="B4878" s="8" t="s">
        <v>2471</v>
      </c>
      <c r="C4878" s="8" t="s">
        <v>14748</v>
      </c>
      <c r="D4878" s="8" t="s">
        <v>16</v>
      </c>
      <c r="E4878" s="8" t="s">
        <v>17</v>
      </c>
      <c r="F4878" s="9">
        <v>46124.0</v>
      </c>
      <c r="G4878" s="8" t="s">
        <v>10091</v>
      </c>
      <c r="H4878" s="8" t="s">
        <v>10092</v>
      </c>
      <c r="I4878" s="8" t="s">
        <v>14749</v>
      </c>
      <c r="J4878" s="8" t="s">
        <v>14750</v>
      </c>
    </row>
    <row r="4879">
      <c r="A4879" s="7">
        <v>2.0049991E7</v>
      </c>
      <c r="B4879" s="8" t="s">
        <v>2471</v>
      </c>
      <c r="C4879" s="8" t="s">
        <v>14751</v>
      </c>
      <c r="D4879" s="8" t="s">
        <v>16</v>
      </c>
      <c r="E4879" s="8" t="s">
        <v>17</v>
      </c>
      <c r="F4879" s="9">
        <v>46127.0</v>
      </c>
      <c r="G4879" s="8" t="s">
        <v>64</v>
      </c>
      <c r="H4879" s="8" t="s">
        <v>65</v>
      </c>
      <c r="I4879" s="8" t="s">
        <v>14752</v>
      </c>
      <c r="J4879" s="8" t="s">
        <v>14753</v>
      </c>
    </row>
    <row r="4880">
      <c r="A4880" s="7">
        <v>2.004828E7</v>
      </c>
      <c r="B4880" s="8" t="s">
        <v>2471</v>
      </c>
      <c r="C4880" s="8" t="s">
        <v>14754</v>
      </c>
      <c r="D4880" s="8" t="s">
        <v>16</v>
      </c>
      <c r="E4880" s="8" t="s">
        <v>17</v>
      </c>
      <c r="F4880" s="9">
        <v>46124.0</v>
      </c>
      <c r="G4880" s="8" t="s">
        <v>390</v>
      </c>
      <c r="H4880" s="8" t="s">
        <v>391</v>
      </c>
      <c r="I4880" s="8" t="s">
        <v>14755</v>
      </c>
      <c r="J4880" s="8" t="s">
        <v>14756</v>
      </c>
    </row>
    <row r="4881">
      <c r="A4881" s="7">
        <v>2.0044332E7</v>
      </c>
      <c r="B4881" s="8" t="s">
        <v>2471</v>
      </c>
      <c r="C4881" s="8" t="s">
        <v>14757</v>
      </c>
      <c r="D4881" s="8" t="s">
        <v>16</v>
      </c>
      <c r="E4881" s="8" t="s">
        <v>17</v>
      </c>
      <c r="F4881" s="9">
        <v>46089.0</v>
      </c>
      <c r="G4881" s="8" t="s">
        <v>826</v>
      </c>
      <c r="H4881" s="8" t="s">
        <v>827</v>
      </c>
      <c r="I4881" s="8" t="s">
        <v>14758</v>
      </c>
      <c r="J4881" s="8" t="s">
        <v>14759</v>
      </c>
    </row>
    <row r="4882">
      <c r="A4882" s="7">
        <v>2.0037417E7</v>
      </c>
      <c r="B4882" s="8" t="s">
        <v>2471</v>
      </c>
      <c r="C4882" s="8" t="s">
        <v>14760</v>
      </c>
      <c r="D4882" s="8" t="s">
        <v>16</v>
      </c>
      <c r="E4882" s="8" t="s">
        <v>17</v>
      </c>
      <c r="F4882" s="9">
        <v>46068.0</v>
      </c>
      <c r="G4882" s="8" t="s">
        <v>64</v>
      </c>
      <c r="H4882" s="8" t="s">
        <v>65</v>
      </c>
      <c r="I4882" s="8" t="s">
        <v>14761</v>
      </c>
      <c r="J4882" s="8" t="s">
        <v>14762</v>
      </c>
    </row>
    <row r="4883">
      <c r="A4883" s="7">
        <v>2.0036412E7</v>
      </c>
      <c r="B4883" s="8" t="s">
        <v>2471</v>
      </c>
      <c r="C4883" s="8" t="s">
        <v>14763</v>
      </c>
      <c r="D4883" s="8" t="s">
        <v>16</v>
      </c>
      <c r="E4883" s="8" t="s">
        <v>17</v>
      </c>
      <c r="F4883" s="9">
        <v>46048.0</v>
      </c>
      <c r="G4883" s="8" t="s">
        <v>1169</v>
      </c>
      <c r="H4883" s="8" t="s">
        <v>1170</v>
      </c>
      <c r="I4883" s="8" t="s">
        <v>14764</v>
      </c>
      <c r="J4883" s="8" t="s">
        <v>14765</v>
      </c>
    </row>
    <row r="4884">
      <c r="A4884" s="7">
        <v>2.0036123E7</v>
      </c>
      <c r="B4884" s="8" t="s">
        <v>2471</v>
      </c>
      <c r="C4884" s="8" t="s">
        <v>14766</v>
      </c>
      <c r="D4884" s="8" t="s">
        <v>16</v>
      </c>
      <c r="E4884" s="8" t="s">
        <v>17</v>
      </c>
      <c r="F4884" s="9">
        <v>46073.0</v>
      </c>
      <c r="G4884" s="8" t="s">
        <v>14767</v>
      </c>
      <c r="H4884" s="8" t="s">
        <v>14768</v>
      </c>
      <c r="I4884" s="8" t="s">
        <v>14769</v>
      </c>
      <c r="J4884" s="8" t="s">
        <v>14770</v>
      </c>
    </row>
    <row r="4885">
      <c r="A4885" s="7">
        <v>2.0063324E7</v>
      </c>
      <c r="B4885" s="8" t="s">
        <v>2471</v>
      </c>
      <c r="C4885" s="8" t="s">
        <v>14771</v>
      </c>
      <c r="D4885" s="8" t="s">
        <v>16</v>
      </c>
      <c r="E4885" s="8" t="s">
        <v>17</v>
      </c>
      <c r="F4885" s="9">
        <v>46170.0</v>
      </c>
      <c r="G4885" s="8" t="s">
        <v>14772</v>
      </c>
      <c r="H4885" s="8" t="s">
        <v>14773</v>
      </c>
      <c r="I4885" s="8" t="s">
        <v>14774</v>
      </c>
      <c r="J4885" s="8" t="s">
        <v>14775</v>
      </c>
    </row>
    <row r="4886">
      <c r="A4886" s="7">
        <v>2.0057666E7</v>
      </c>
      <c r="B4886" s="8" t="s">
        <v>2471</v>
      </c>
      <c r="C4886" s="8" t="s">
        <v>14776</v>
      </c>
      <c r="D4886" s="8" t="s">
        <v>16</v>
      </c>
      <c r="E4886" s="8" t="s">
        <v>17</v>
      </c>
      <c r="F4886" s="9">
        <v>46185.0</v>
      </c>
      <c r="G4886" s="8" t="s">
        <v>601</v>
      </c>
      <c r="H4886" s="8" t="s">
        <v>602</v>
      </c>
      <c r="I4886" s="8" t="s">
        <v>14777</v>
      </c>
      <c r="J4886" s="8" t="s">
        <v>14778</v>
      </c>
    </row>
    <row r="4887">
      <c r="A4887" s="7">
        <v>2.0056397E7</v>
      </c>
      <c r="B4887" s="8" t="s">
        <v>2471</v>
      </c>
      <c r="C4887" s="8" t="s">
        <v>14779</v>
      </c>
      <c r="D4887" s="8" t="s">
        <v>16</v>
      </c>
      <c r="E4887" s="8" t="s">
        <v>17</v>
      </c>
      <c r="F4887" s="9">
        <v>46145.0</v>
      </c>
      <c r="G4887" s="8" t="s">
        <v>14780</v>
      </c>
      <c r="H4887" s="8" t="s">
        <v>14781</v>
      </c>
      <c r="I4887" s="8" t="s">
        <v>14782</v>
      </c>
      <c r="J4887" s="8" t="s">
        <v>14783</v>
      </c>
    </row>
    <row r="4888">
      <c r="A4888" s="7">
        <v>2.0050286E7</v>
      </c>
      <c r="B4888" s="8" t="s">
        <v>2471</v>
      </c>
      <c r="C4888" s="8" t="s">
        <v>14784</v>
      </c>
      <c r="D4888" s="8" t="s">
        <v>16</v>
      </c>
      <c r="E4888" s="8" t="s">
        <v>17</v>
      </c>
      <c r="F4888" s="9">
        <v>46149.0</v>
      </c>
      <c r="G4888" s="8" t="s">
        <v>436</v>
      </c>
      <c r="H4888" s="8" t="s">
        <v>437</v>
      </c>
      <c r="I4888" s="8" t="s">
        <v>14785</v>
      </c>
      <c r="J4888" s="8" t="s">
        <v>14786</v>
      </c>
    </row>
    <row r="4889">
      <c r="A4889" s="7">
        <v>2.0047846E7</v>
      </c>
      <c r="B4889" s="8" t="s">
        <v>2471</v>
      </c>
      <c r="C4889" s="8" t="s">
        <v>14787</v>
      </c>
      <c r="D4889" s="8" t="s">
        <v>16</v>
      </c>
      <c r="E4889" s="8" t="s">
        <v>17</v>
      </c>
      <c r="F4889" s="9">
        <v>46107.0</v>
      </c>
      <c r="G4889" s="8" t="s">
        <v>1007</v>
      </c>
      <c r="H4889" s="8" t="s">
        <v>1008</v>
      </c>
      <c r="I4889" s="8" t="s">
        <v>14788</v>
      </c>
      <c r="J4889" s="8" t="s">
        <v>14789</v>
      </c>
    </row>
    <row r="4890">
      <c r="A4890" s="7">
        <v>2.0049718E7</v>
      </c>
      <c r="B4890" s="8" t="s">
        <v>2471</v>
      </c>
      <c r="C4890" s="8" t="s">
        <v>14790</v>
      </c>
      <c r="D4890" s="8" t="s">
        <v>16</v>
      </c>
      <c r="E4890" s="8" t="s">
        <v>17</v>
      </c>
      <c r="F4890" s="9">
        <v>46136.0</v>
      </c>
      <c r="G4890" s="8" t="s">
        <v>454</v>
      </c>
      <c r="H4890" s="8" t="s">
        <v>455</v>
      </c>
      <c r="I4890" s="8" t="s">
        <v>14791</v>
      </c>
      <c r="J4890" s="8" t="s">
        <v>14792</v>
      </c>
    </row>
    <row r="4891">
      <c r="A4891" s="7">
        <v>2.0049718E7</v>
      </c>
      <c r="B4891" s="8" t="s">
        <v>2471</v>
      </c>
      <c r="C4891" s="8" t="s">
        <v>14790</v>
      </c>
      <c r="D4891" s="8" t="s">
        <v>16</v>
      </c>
      <c r="E4891" s="8" t="s">
        <v>17</v>
      </c>
      <c r="F4891" s="9">
        <v>46136.0</v>
      </c>
      <c r="G4891" s="8" t="s">
        <v>454</v>
      </c>
      <c r="H4891" s="8" t="s">
        <v>455</v>
      </c>
      <c r="I4891" s="8" t="s">
        <v>14793</v>
      </c>
      <c r="J4891" s="8" t="s">
        <v>14792</v>
      </c>
    </row>
    <row r="4892">
      <c r="A4892" s="7">
        <v>2.0047105E7</v>
      </c>
      <c r="B4892" s="8" t="s">
        <v>2471</v>
      </c>
      <c r="C4892" s="8" t="s">
        <v>14794</v>
      </c>
      <c r="D4892" s="8" t="s">
        <v>16</v>
      </c>
      <c r="E4892" s="8" t="s">
        <v>17</v>
      </c>
      <c r="F4892" s="9">
        <v>46107.0</v>
      </c>
      <c r="G4892" s="8" t="s">
        <v>10980</v>
      </c>
      <c r="H4892" s="8" t="s">
        <v>2090</v>
      </c>
      <c r="I4892" s="8" t="s">
        <v>14795</v>
      </c>
      <c r="J4892" s="8" t="s">
        <v>14796</v>
      </c>
    </row>
    <row r="4893">
      <c r="A4893" s="7">
        <v>2.0044656E7</v>
      </c>
      <c r="B4893" s="8" t="s">
        <v>2471</v>
      </c>
      <c r="C4893" s="8" t="s">
        <v>14797</v>
      </c>
      <c r="D4893" s="8" t="s">
        <v>16</v>
      </c>
      <c r="E4893" s="8" t="s">
        <v>17</v>
      </c>
      <c r="F4893" s="9">
        <v>46101.0</v>
      </c>
      <c r="G4893" s="8" t="s">
        <v>400</v>
      </c>
      <c r="H4893" s="8" t="s">
        <v>401</v>
      </c>
      <c r="I4893" s="8" t="s">
        <v>14798</v>
      </c>
      <c r="J4893" s="8" t="s">
        <v>14799</v>
      </c>
    </row>
    <row r="4894">
      <c r="A4894" s="7">
        <v>2.0042822E7</v>
      </c>
      <c r="B4894" s="8" t="s">
        <v>2471</v>
      </c>
      <c r="C4894" s="8" t="s">
        <v>14800</v>
      </c>
      <c r="D4894" s="8" t="s">
        <v>2136</v>
      </c>
      <c r="E4894" s="8" t="s">
        <v>17</v>
      </c>
      <c r="F4894" s="9">
        <v>46069.0</v>
      </c>
      <c r="G4894" s="8" t="s">
        <v>109</v>
      </c>
      <c r="H4894" s="8" t="s">
        <v>110</v>
      </c>
      <c r="I4894" s="8" t="s">
        <v>14801</v>
      </c>
      <c r="J4894" s="8" t="s">
        <v>1752</v>
      </c>
    </row>
    <row r="4895">
      <c r="A4895" s="7">
        <v>2.0038721E7</v>
      </c>
      <c r="B4895" s="8" t="s">
        <v>2471</v>
      </c>
      <c r="C4895" s="8" t="s">
        <v>14802</v>
      </c>
      <c r="D4895" s="8" t="s">
        <v>16</v>
      </c>
      <c r="E4895" s="8" t="s">
        <v>17</v>
      </c>
      <c r="F4895" s="9">
        <v>46086.0</v>
      </c>
      <c r="G4895" s="8" t="s">
        <v>171</v>
      </c>
      <c r="H4895" s="8" t="s">
        <v>172</v>
      </c>
      <c r="I4895" s="8" t="s">
        <v>14803</v>
      </c>
      <c r="J4895" s="8" t="s">
        <v>14804</v>
      </c>
    </row>
    <row r="4896">
      <c r="A4896" s="7">
        <v>2.0036128E7</v>
      </c>
      <c r="B4896" s="8" t="s">
        <v>2471</v>
      </c>
      <c r="C4896" s="8" t="s">
        <v>14805</v>
      </c>
      <c r="D4896" s="8" t="s">
        <v>16</v>
      </c>
      <c r="E4896" s="8" t="s">
        <v>17</v>
      </c>
      <c r="F4896" s="9">
        <v>46057.0</v>
      </c>
      <c r="G4896" s="8" t="s">
        <v>277</v>
      </c>
      <c r="H4896" s="8" t="s">
        <v>278</v>
      </c>
      <c r="I4896" s="8" t="s">
        <v>14806</v>
      </c>
      <c r="J4896" s="8"/>
    </row>
    <row r="4897">
      <c r="A4897" s="7">
        <v>2.0036128E7</v>
      </c>
      <c r="B4897" s="8" t="s">
        <v>2471</v>
      </c>
      <c r="C4897" s="8" t="s">
        <v>14805</v>
      </c>
      <c r="D4897" s="8" t="s">
        <v>16</v>
      </c>
      <c r="E4897" s="8" t="s">
        <v>17</v>
      </c>
      <c r="F4897" s="9">
        <v>46057.0</v>
      </c>
      <c r="G4897" s="8" t="s">
        <v>277</v>
      </c>
      <c r="H4897" s="8" t="s">
        <v>278</v>
      </c>
      <c r="I4897" s="8" t="s">
        <v>14807</v>
      </c>
      <c r="J4897" s="8" t="s">
        <v>14808</v>
      </c>
    </row>
    <row r="4898">
      <c r="A4898" s="7">
        <v>2.006841E7</v>
      </c>
      <c r="B4898" s="8" t="s">
        <v>2471</v>
      </c>
      <c r="C4898" s="8" t="s">
        <v>14809</v>
      </c>
      <c r="D4898" s="8" t="s">
        <v>16</v>
      </c>
      <c r="E4898" s="8" t="s">
        <v>17</v>
      </c>
      <c r="F4898" s="9">
        <v>46191.0</v>
      </c>
      <c r="G4898" s="8" t="s">
        <v>352</v>
      </c>
      <c r="H4898" s="8" t="s">
        <v>353</v>
      </c>
      <c r="I4898" s="8" t="s">
        <v>14810</v>
      </c>
      <c r="J4898" s="8" t="s">
        <v>14811</v>
      </c>
    </row>
    <row r="4899">
      <c r="A4899" s="7">
        <v>2.0065793E7</v>
      </c>
      <c r="B4899" s="8" t="s">
        <v>2471</v>
      </c>
      <c r="C4899" s="8" t="s">
        <v>14812</v>
      </c>
      <c r="D4899" s="8" t="s">
        <v>16</v>
      </c>
      <c r="E4899" s="8" t="s">
        <v>17</v>
      </c>
      <c r="F4899" s="9">
        <v>46177.0</v>
      </c>
      <c r="G4899" s="8" t="s">
        <v>4850</v>
      </c>
      <c r="H4899" s="8" t="s">
        <v>4851</v>
      </c>
      <c r="I4899" s="8" t="s">
        <v>14813</v>
      </c>
      <c r="J4899" s="8" t="s">
        <v>14814</v>
      </c>
    </row>
    <row r="4900">
      <c r="A4900" s="7">
        <v>2.0065793E7</v>
      </c>
      <c r="B4900" s="8" t="s">
        <v>2471</v>
      </c>
      <c r="C4900" s="8" t="s">
        <v>14812</v>
      </c>
      <c r="D4900" s="8" t="s">
        <v>16</v>
      </c>
      <c r="E4900" s="8" t="s">
        <v>17</v>
      </c>
      <c r="F4900" s="9">
        <v>46177.0</v>
      </c>
      <c r="G4900" s="8" t="s">
        <v>2511</v>
      </c>
      <c r="H4900" s="8" t="s">
        <v>2512</v>
      </c>
      <c r="I4900" s="8" t="s">
        <v>14815</v>
      </c>
      <c r="J4900" s="8" t="s">
        <v>14816</v>
      </c>
    </row>
    <row r="4901">
      <c r="A4901" s="7">
        <v>2.0062085E7</v>
      </c>
      <c r="B4901" s="8" t="s">
        <v>2471</v>
      </c>
      <c r="C4901" s="8" t="s">
        <v>14817</v>
      </c>
      <c r="D4901" s="8" t="s">
        <v>16</v>
      </c>
      <c r="E4901" s="8" t="s">
        <v>17</v>
      </c>
      <c r="F4901" s="9">
        <v>46161.0</v>
      </c>
      <c r="G4901" s="8" t="s">
        <v>3270</v>
      </c>
      <c r="H4901" s="8" t="s">
        <v>14818</v>
      </c>
      <c r="I4901" s="8" t="s">
        <v>14819</v>
      </c>
      <c r="J4901" s="8" t="s">
        <v>14820</v>
      </c>
    </row>
    <row r="4902">
      <c r="A4902" s="7">
        <v>2.006194E7</v>
      </c>
      <c r="B4902" s="8" t="s">
        <v>2471</v>
      </c>
      <c r="C4902" s="8" t="s">
        <v>14821</v>
      </c>
      <c r="D4902" s="8" t="s">
        <v>16</v>
      </c>
      <c r="E4902" s="8" t="s">
        <v>17</v>
      </c>
      <c r="F4902" s="9">
        <v>46187.0</v>
      </c>
      <c r="G4902" s="8" t="s">
        <v>436</v>
      </c>
      <c r="H4902" s="8" t="s">
        <v>437</v>
      </c>
      <c r="I4902" s="8" t="s">
        <v>14822</v>
      </c>
      <c r="J4902" s="8" t="s">
        <v>14823</v>
      </c>
    </row>
    <row r="4903">
      <c r="A4903" s="7">
        <v>2.0059186E7</v>
      </c>
      <c r="B4903" s="8" t="s">
        <v>2471</v>
      </c>
      <c r="C4903" s="8" t="s">
        <v>14824</v>
      </c>
      <c r="D4903" s="8" t="s">
        <v>16</v>
      </c>
      <c r="E4903" s="8" t="s">
        <v>17</v>
      </c>
      <c r="F4903" s="9">
        <v>46150.0</v>
      </c>
      <c r="G4903" s="8" t="s">
        <v>826</v>
      </c>
      <c r="H4903" s="8" t="s">
        <v>7633</v>
      </c>
      <c r="I4903" s="8" t="s">
        <v>14825</v>
      </c>
      <c r="J4903" s="8" t="s">
        <v>14826</v>
      </c>
    </row>
    <row r="4904">
      <c r="A4904" s="7">
        <v>2.0052972E7</v>
      </c>
      <c r="B4904" s="8" t="s">
        <v>2471</v>
      </c>
      <c r="C4904" s="8" t="s">
        <v>14827</v>
      </c>
      <c r="D4904" s="8" t="s">
        <v>16</v>
      </c>
      <c r="E4904" s="8" t="s">
        <v>17</v>
      </c>
      <c r="F4904" s="9">
        <v>46109.0</v>
      </c>
      <c r="G4904" s="8" t="s">
        <v>339</v>
      </c>
      <c r="H4904" s="8" t="s">
        <v>340</v>
      </c>
      <c r="I4904" s="8" t="s">
        <v>14828</v>
      </c>
      <c r="J4904" s="8" t="s">
        <v>14829</v>
      </c>
    </row>
    <row r="4905">
      <c r="A4905" s="7">
        <v>2.0046364E7</v>
      </c>
      <c r="B4905" s="8" t="s">
        <v>2471</v>
      </c>
      <c r="C4905" s="8" t="s">
        <v>14830</v>
      </c>
      <c r="D4905" s="8" t="s">
        <v>2136</v>
      </c>
      <c r="E4905" s="8" t="s">
        <v>17</v>
      </c>
      <c r="F4905" s="9">
        <v>46083.0</v>
      </c>
      <c r="G4905" s="8" t="s">
        <v>195</v>
      </c>
      <c r="H4905" s="8" t="s">
        <v>196</v>
      </c>
      <c r="I4905" s="8" t="s">
        <v>14831</v>
      </c>
      <c r="J4905" s="8" t="s">
        <v>14832</v>
      </c>
    </row>
    <row r="4906">
      <c r="A4906" s="7">
        <v>2.0043516E7</v>
      </c>
      <c r="B4906" s="8" t="s">
        <v>2471</v>
      </c>
      <c r="C4906" s="8" t="s">
        <v>14833</v>
      </c>
      <c r="D4906" s="8" t="s">
        <v>16</v>
      </c>
      <c r="E4906" s="8" t="s">
        <v>17</v>
      </c>
      <c r="F4906" s="9">
        <v>46095.0</v>
      </c>
      <c r="G4906" s="8" t="s">
        <v>184</v>
      </c>
      <c r="H4906" s="8" t="s">
        <v>185</v>
      </c>
      <c r="I4906" s="8" t="s">
        <v>14834</v>
      </c>
      <c r="J4906" s="8" t="s">
        <v>14835</v>
      </c>
    </row>
    <row r="4907">
      <c r="A4907" s="7">
        <v>2.0040883E7</v>
      </c>
      <c r="B4907" s="8" t="s">
        <v>2471</v>
      </c>
      <c r="C4907" s="8" t="s">
        <v>14836</v>
      </c>
      <c r="D4907" s="8" t="s">
        <v>16</v>
      </c>
      <c r="E4907" s="8" t="s">
        <v>17</v>
      </c>
      <c r="F4907" s="9">
        <v>46082.0</v>
      </c>
      <c r="G4907" s="8" t="s">
        <v>14837</v>
      </c>
      <c r="H4907" s="8" t="s">
        <v>14838</v>
      </c>
      <c r="I4907" s="8" t="s">
        <v>14839</v>
      </c>
      <c r="J4907" s="8" t="s">
        <v>14840</v>
      </c>
    </row>
    <row r="4908">
      <c r="A4908" s="7">
        <v>2.0033909E7</v>
      </c>
      <c r="B4908" s="8" t="s">
        <v>2471</v>
      </c>
      <c r="C4908" s="8" t="s">
        <v>14841</v>
      </c>
      <c r="D4908" s="8" t="s">
        <v>16</v>
      </c>
      <c r="E4908" s="8" t="s">
        <v>17</v>
      </c>
      <c r="F4908" s="9">
        <v>46058.0</v>
      </c>
      <c r="G4908" s="8" t="s">
        <v>34</v>
      </c>
      <c r="H4908" s="8" t="s">
        <v>35</v>
      </c>
      <c r="I4908" s="8" t="s">
        <v>14842</v>
      </c>
      <c r="J4908" s="8" t="s">
        <v>14843</v>
      </c>
    </row>
    <row r="4909">
      <c r="A4909" s="7">
        <v>2.0035605E7</v>
      </c>
      <c r="B4909" s="8" t="s">
        <v>2471</v>
      </c>
      <c r="C4909" s="8" t="s">
        <v>14844</v>
      </c>
      <c r="D4909" s="8" t="s">
        <v>16</v>
      </c>
      <c r="E4909" s="8" t="s">
        <v>17</v>
      </c>
      <c r="F4909" s="9">
        <v>46065.0</v>
      </c>
      <c r="G4909" s="8" t="s">
        <v>390</v>
      </c>
      <c r="H4909" s="8" t="s">
        <v>391</v>
      </c>
      <c r="I4909" s="8" t="s">
        <v>14845</v>
      </c>
      <c r="J4909" s="8" t="s">
        <v>14846</v>
      </c>
    </row>
    <row r="4910">
      <c r="A4910" s="7">
        <v>2.004234E7</v>
      </c>
      <c r="B4910" s="8" t="s">
        <v>2471</v>
      </c>
      <c r="C4910" s="8" t="s">
        <v>14847</v>
      </c>
      <c r="D4910" s="8" t="s">
        <v>16</v>
      </c>
      <c r="E4910" s="8" t="s">
        <v>17</v>
      </c>
      <c r="F4910" s="9">
        <v>46159.0</v>
      </c>
      <c r="G4910" s="8" t="s">
        <v>9264</v>
      </c>
      <c r="H4910" s="8" t="s">
        <v>9265</v>
      </c>
      <c r="I4910" s="8" t="s">
        <v>14848</v>
      </c>
      <c r="J4910" s="8" t="s">
        <v>14849</v>
      </c>
    </row>
    <row r="4911">
      <c r="A4911" s="7">
        <v>2.0041191E7</v>
      </c>
      <c r="B4911" s="8" t="s">
        <v>2471</v>
      </c>
      <c r="C4911" s="8" t="s">
        <v>14850</v>
      </c>
      <c r="D4911" s="8" t="s">
        <v>16</v>
      </c>
      <c r="E4911" s="8" t="s">
        <v>17</v>
      </c>
      <c r="F4911" s="9">
        <v>46082.0</v>
      </c>
      <c r="G4911" s="8" t="s">
        <v>14851</v>
      </c>
      <c r="H4911" s="8" t="s">
        <v>14852</v>
      </c>
      <c r="I4911" s="8" t="s">
        <v>14853</v>
      </c>
      <c r="J4911" s="8" t="s">
        <v>14854</v>
      </c>
    </row>
    <row r="4912">
      <c r="A4912" s="7">
        <v>2.0036861E7</v>
      </c>
      <c r="B4912" s="8" t="s">
        <v>2471</v>
      </c>
      <c r="C4912" s="8" t="s">
        <v>14855</v>
      </c>
      <c r="D4912" s="8" t="s">
        <v>16</v>
      </c>
      <c r="E4912" s="8" t="s">
        <v>17</v>
      </c>
      <c r="F4912" s="9">
        <v>46069.0</v>
      </c>
      <c r="G4912" s="8" t="s">
        <v>171</v>
      </c>
      <c r="H4912" s="8" t="s">
        <v>172</v>
      </c>
      <c r="I4912" s="8" t="s">
        <v>14856</v>
      </c>
      <c r="J4912" s="8" t="s">
        <v>14857</v>
      </c>
    </row>
    <row r="4913">
      <c r="A4913" s="7">
        <v>2.0034257E7</v>
      </c>
      <c r="B4913" s="8" t="s">
        <v>2471</v>
      </c>
      <c r="C4913" s="8" t="s">
        <v>14858</v>
      </c>
      <c r="D4913" s="8" t="s">
        <v>16</v>
      </c>
      <c r="E4913" s="8" t="s">
        <v>17</v>
      </c>
      <c r="F4913" s="9">
        <v>46041.0</v>
      </c>
      <c r="G4913" s="8" t="s">
        <v>365</v>
      </c>
      <c r="H4913" s="8" t="s">
        <v>366</v>
      </c>
      <c r="I4913" s="8" t="s">
        <v>14859</v>
      </c>
      <c r="J4913" s="8" t="s">
        <v>14860</v>
      </c>
    </row>
    <row r="4914">
      <c r="A4914" s="7">
        <v>2.0064146E7</v>
      </c>
      <c r="B4914" s="8" t="s">
        <v>2471</v>
      </c>
      <c r="C4914" s="8" t="s">
        <v>14861</v>
      </c>
      <c r="D4914" s="8" t="s">
        <v>16</v>
      </c>
      <c r="E4914" s="8" t="s">
        <v>17</v>
      </c>
      <c r="F4914" s="9">
        <v>46178.0</v>
      </c>
      <c r="G4914" s="8" t="s">
        <v>3674</v>
      </c>
      <c r="H4914" s="8" t="s">
        <v>14862</v>
      </c>
      <c r="I4914" s="8" t="s">
        <v>14863</v>
      </c>
      <c r="J4914" s="8" t="s">
        <v>14864</v>
      </c>
    </row>
    <row r="4915">
      <c r="A4915" s="7">
        <v>2.0058439E7</v>
      </c>
      <c r="B4915" s="8" t="s">
        <v>2471</v>
      </c>
      <c r="C4915" s="8" t="s">
        <v>14865</v>
      </c>
      <c r="D4915" s="8" t="s">
        <v>16</v>
      </c>
      <c r="E4915" s="8" t="s">
        <v>17</v>
      </c>
      <c r="F4915" s="9">
        <v>46134.0</v>
      </c>
      <c r="G4915" s="8" t="s">
        <v>339</v>
      </c>
      <c r="H4915" s="8" t="s">
        <v>340</v>
      </c>
      <c r="I4915" s="8" t="s">
        <v>14866</v>
      </c>
      <c r="J4915" s="8" t="s">
        <v>14867</v>
      </c>
    </row>
    <row r="4916">
      <c r="A4916" s="7">
        <v>2.0050402E7</v>
      </c>
      <c r="B4916" s="8" t="s">
        <v>2471</v>
      </c>
      <c r="C4916" s="8" t="s">
        <v>14868</v>
      </c>
      <c r="D4916" s="8" t="s">
        <v>16</v>
      </c>
      <c r="E4916" s="8" t="s">
        <v>17</v>
      </c>
      <c r="F4916" s="9">
        <v>46107.0</v>
      </c>
      <c r="G4916" s="8" t="s">
        <v>365</v>
      </c>
      <c r="H4916" s="8" t="s">
        <v>366</v>
      </c>
      <c r="I4916" s="8" t="s">
        <v>14869</v>
      </c>
      <c r="J4916" s="8" t="s">
        <v>14870</v>
      </c>
    </row>
    <row r="4917">
      <c r="A4917" s="7">
        <v>2.0046091E7</v>
      </c>
      <c r="B4917" s="8" t="s">
        <v>2471</v>
      </c>
      <c r="C4917" s="8" t="s">
        <v>14871</v>
      </c>
      <c r="D4917" s="8" t="s">
        <v>16</v>
      </c>
      <c r="E4917" s="8" t="s">
        <v>17</v>
      </c>
      <c r="F4917" s="9">
        <v>46109.0</v>
      </c>
      <c r="G4917" s="8" t="s">
        <v>390</v>
      </c>
      <c r="H4917" s="8" t="s">
        <v>391</v>
      </c>
      <c r="I4917" s="8" t="s">
        <v>14872</v>
      </c>
      <c r="J4917" s="8" t="s">
        <v>14873</v>
      </c>
    </row>
    <row r="4918">
      <c r="A4918" s="7">
        <v>2.0045838E7</v>
      </c>
      <c r="B4918" s="8" t="s">
        <v>2471</v>
      </c>
      <c r="C4918" s="8" t="s">
        <v>14874</v>
      </c>
      <c r="D4918" s="8" t="s">
        <v>16</v>
      </c>
      <c r="E4918" s="8" t="s">
        <v>17</v>
      </c>
      <c r="F4918" s="9">
        <v>46096.0</v>
      </c>
      <c r="G4918" s="8" t="s">
        <v>517</v>
      </c>
      <c r="H4918" s="8" t="s">
        <v>518</v>
      </c>
      <c r="I4918" s="8" t="s">
        <v>14875</v>
      </c>
      <c r="J4918" s="8" t="s">
        <v>14876</v>
      </c>
    </row>
    <row r="4919">
      <c r="A4919" s="7">
        <v>2.0043264E7</v>
      </c>
      <c r="B4919" s="8" t="s">
        <v>2471</v>
      </c>
      <c r="C4919" s="8" t="s">
        <v>14877</v>
      </c>
      <c r="D4919" s="8" t="s">
        <v>16</v>
      </c>
      <c r="E4919" s="8" t="s">
        <v>17</v>
      </c>
      <c r="F4919" s="9">
        <v>46086.0</v>
      </c>
      <c r="G4919" s="8" t="s">
        <v>759</v>
      </c>
      <c r="H4919" s="8" t="s">
        <v>760</v>
      </c>
      <c r="I4919" s="8" t="s">
        <v>14878</v>
      </c>
      <c r="J4919" s="8" t="s">
        <v>14879</v>
      </c>
    </row>
    <row r="4920">
      <c r="A4920" s="7">
        <v>2.0035342E7</v>
      </c>
      <c r="B4920" s="8" t="s">
        <v>2471</v>
      </c>
      <c r="C4920" s="8" t="s">
        <v>14880</v>
      </c>
      <c r="D4920" s="8" t="s">
        <v>16</v>
      </c>
      <c r="E4920" s="8" t="s">
        <v>17</v>
      </c>
      <c r="F4920" s="9">
        <v>46067.0</v>
      </c>
      <c r="G4920" s="8" t="s">
        <v>6204</v>
      </c>
      <c r="H4920" s="8" t="s">
        <v>6205</v>
      </c>
      <c r="I4920" s="8"/>
      <c r="J4920" s="8" t="s">
        <v>14881</v>
      </c>
    </row>
    <row r="4921">
      <c r="A4921" s="7">
        <v>2.0037281E7</v>
      </c>
      <c r="B4921" s="8" t="s">
        <v>2471</v>
      </c>
      <c r="C4921" s="8" t="s">
        <v>14882</v>
      </c>
      <c r="D4921" s="8" t="s">
        <v>16</v>
      </c>
      <c r="E4921" s="8" t="s">
        <v>17</v>
      </c>
      <c r="F4921" s="9">
        <v>46054.0</v>
      </c>
      <c r="G4921" s="8" t="s">
        <v>34</v>
      </c>
      <c r="H4921" s="8" t="s">
        <v>35</v>
      </c>
      <c r="I4921" s="8" t="s">
        <v>14883</v>
      </c>
      <c r="J4921" s="8" t="s">
        <v>14884</v>
      </c>
    </row>
    <row r="4922">
      <c r="A4922" s="7">
        <v>2.0036937E7</v>
      </c>
      <c r="B4922" s="8" t="s">
        <v>2471</v>
      </c>
      <c r="C4922" s="8" t="s">
        <v>14885</v>
      </c>
      <c r="D4922" s="8" t="s">
        <v>16</v>
      </c>
      <c r="E4922" s="8" t="s">
        <v>17</v>
      </c>
      <c r="F4922" s="9">
        <v>46074.0</v>
      </c>
      <c r="G4922" s="8" t="s">
        <v>1508</v>
      </c>
      <c r="H4922" s="8" t="s">
        <v>1509</v>
      </c>
      <c r="I4922" s="8" t="s">
        <v>14886</v>
      </c>
      <c r="J4922" s="8" t="s">
        <v>14887</v>
      </c>
    </row>
    <row r="4923">
      <c r="A4923" s="7">
        <v>2.0036697E7</v>
      </c>
      <c r="B4923" s="8" t="s">
        <v>2471</v>
      </c>
      <c r="C4923" s="8" t="s">
        <v>14888</v>
      </c>
      <c r="D4923" s="8" t="s">
        <v>16</v>
      </c>
      <c r="E4923" s="8" t="s">
        <v>17</v>
      </c>
      <c r="F4923" s="9">
        <v>46053.0</v>
      </c>
      <c r="G4923" s="8" t="s">
        <v>517</v>
      </c>
      <c r="H4923" s="8" t="s">
        <v>518</v>
      </c>
      <c r="I4923" s="8" t="s">
        <v>14889</v>
      </c>
      <c r="J4923" s="8" t="s">
        <v>14890</v>
      </c>
    </row>
    <row r="4924">
      <c r="A4924" s="7">
        <v>2.0034757E7</v>
      </c>
      <c r="B4924" s="8" t="s">
        <v>2471</v>
      </c>
      <c r="C4924" s="8" t="s">
        <v>14891</v>
      </c>
      <c r="D4924" s="8" t="s">
        <v>16</v>
      </c>
      <c r="E4924" s="8" t="s">
        <v>17</v>
      </c>
      <c r="F4924" s="9">
        <v>46058.0</v>
      </c>
      <c r="G4924" s="8" t="s">
        <v>1236</v>
      </c>
      <c r="H4924" s="8" t="s">
        <v>1237</v>
      </c>
      <c r="I4924" s="8" t="s">
        <v>14892</v>
      </c>
      <c r="J4924" s="8" t="s">
        <v>14893</v>
      </c>
    </row>
    <row r="4925">
      <c r="A4925" s="7">
        <v>2.0034136E7</v>
      </c>
      <c r="B4925" s="8" t="s">
        <v>2471</v>
      </c>
      <c r="C4925" s="8" t="s">
        <v>14894</v>
      </c>
      <c r="D4925" s="8" t="s">
        <v>16</v>
      </c>
      <c r="E4925" s="8" t="s">
        <v>17</v>
      </c>
      <c r="F4925" s="9">
        <v>46046.0</v>
      </c>
      <c r="G4925" s="8" t="s">
        <v>234</v>
      </c>
      <c r="H4925" s="8" t="s">
        <v>235</v>
      </c>
      <c r="I4925" s="8" t="s">
        <v>14895</v>
      </c>
      <c r="J4925" s="8" t="s">
        <v>14896</v>
      </c>
    </row>
    <row r="4926">
      <c r="A4926" s="7">
        <v>2.0034136E7</v>
      </c>
      <c r="B4926" s="8" t="s">
        <v>2471</v>
      </c>
      <c r="C4926" s="8" t="s">
        <v>14894</v>
      </c>
      <c r="D4926" s="8" t="s">
        <v>16</v>
      </c>
      <c r="E4926" s="8" t="s">
        <v>17</v>
      </c>
      <c r="F4926" s="9">
        <v>46046.0</v>
      </c>
      <c r="G4926" s="8" t="s">
        <v>3255</v>
      </c>
      <c r="H4926" s="8" t="s">
        <v>3256</v>
      </c>
      <c r="I4926" s="8" t="s">
        <v>14897</v>
      </c>
      <c r="J4926" s="8" t="s">
        <v>14898</v>
      </c>
    </row>
    <row r="4927">
      <c r="A4927" s="7">
        <v>2.0028807E7</v>
      </c>
      <c r="B4927" s="8" t="s">
        <v>2471</v>
      </c>
      <c r="C4927" s="8" t="s">
        <v>14899</v>
      </c>
      <c r="D4927" s="8" t="s">
        <v>16</v>
      </c>
      <c r="E4927" s="8" t="s">
        <v>17</v>
      </c>
      <c r="F4927" s="9">
        <v>46060.0</v>
      </c>
      <c r="G4927" s="8" t="s">
        <v>14900</v>
      </c>
      <c r="H4927" s="8" t="s">
        <v>14901</v>
      </c>
      <c r="I4927" s="8" t="s">
        <v>14902</v>
      </c>
      <c r="J4927" s="8" t="s">
        <v>14903</v>
      </c>
    </row>
    <row r="4928">
      <c r="A4928" s="7">
        <v>2.006849E7</v>
      </c>
      <c r="B4928" s="8" t="s">
        <v>2471</v>
      </c>
      <c r="C4928" s="8" t="s">
        <v>14904</v>
      </c>
      <c r="D4928" s="8" t="s">
        <v>16</v>
      </c>
      <c r="E4928" s="8" t="s">
        <v>17</v>
      </c>
      <c r="F4928" s="9">
        <v>46192.0</v>
      </c>
      <c r="G4928" s="8" t="s">
        <v>13538</v>
      </c>
      <c r="H4928" s="8" t="s">
        <v>13539</v>
      </c>
      <c r="I4928" s="8" t="s">
        <v>14905</v>
      </c>
      <c r="J4928" s="8" t="s">
        <v>14906</v>
      </c>
    </row>
    <row r="4929">
      <c r="A4929" s="7">
        <v>2.0062958E7</v>
      </c>
      <c r="B4929" s="8" t="s">
        <v>2471</v>
      </c>
      <c r="C4929" s="8" t="s">
        <v>14907</v>
      </c>
      <c r="D4929" s="8" t="s">
        <v>16</v>
      </c>
      <c r="E4929" s="8" t="s">
        <v>17</v>
      </c>
      <c r="F4929" s="9">
        <v>46189.0</v>
      </c>
      <c r="G4929" s="8" t="s">
        <v>6551</v>
      </c>
      <c r="H4929" s="8" t="s">
        <v>6552</v>
      </c>
      <c r="I4929" s="8" t="s">
        <v>14908</v>
      </c>
      <c r="J4929" s="8" t="s">
        <v>14909</v>
      </c>
    </row>
    <row r="4930">
      <c r="A4930" s="7">
        <v>2.0061996E7</v>
      </c>
      <c r="B4930" s="8" t="s">
        <v>2471</v>
      </c>
      <c r="C4930" s="8" t="s">
        <v>14910</v>
      </c>
      <c r="D4930" s="8" t="s">
        <v>16</v>
      </c>
      <c r="E4930" s="8" t="s">
        <v>17</v>
      </c>
      <c r="F4930" s="9">
        <v>46191.0</v>
      </c>
      <c r="G4930" s="8" t="s">
        <v>666</v>
      </c>
      <c r="H4930" s="8" t="s">
        <v>667</v>
      </c>
      <c r="I4930" s="8" t="s">
        <v>14911</v>
      </c>
      <c r="J4930" s="8" t="s">
        <v>14912</v>
      </c>
    </row>
    <row r="4931">
      <c r="A4931" s="7">
        <v>2.0061029E7</v>
      </c>
      <c r="B4931" s="8" t="s">
        <v>2471</v>
      </c>
      <c r="C4931" s="8" t="s">
        <v>14913</v>
      </c>
      <c r="D4931" s="8" t="s">
        <v>16</v>
      </c>
      <c r="E4931" s="8" t="s">
        <v>17</v>
      </c>
      <c r="F4931" s="9">
        <v>46168.0</v>
      </c>
      <c r="G4931" s="8" t="s">
        <v>1093</v>
      </c>
      <c r="H4931" s="8" t="s">
        <v>1094</v>
      </c>
      <c r="I4931" s="8" t="s">
        <v>14914</v>
      </c>
      <c r="J4931" s="8" t="s">
        <v>14915</v>
      </c>
    </row>
    <row r="4932">
      <c r="A4932" s="7">
        <v>2.0061029E7</v>
      </c>
      <c r="B4932" s="8" t="s">
        <v>2471</v>
      </c>
      <c r="C4932" s="8" t="s">
        <v>14913</v>
      </c>
      <c r="D4932" s="8" t="s">
        <v>16</v>
      </c>
      <c r="E4932" s="8" t="s">
        <v>17</v>
      </c>
      <c r="F4932" s="9">
        <v>46168.0</v>
      </c>
      <c r="G4932" s="8" t="s">
        <v>1169</v>
      </c>
      <c r="H4932" s="8" t="s">
        <v>1170</v>
      </c>
      <c r="I4932" s="8" t="s">
        <v>14916</v>
      </c>
      <c r="J4932" s="8" t="s">
        <v>14917</v>
      </c>
    </row>
    <row r="4933">
      <c r="A4933" s="7">
        <v>2.0056216E7</v>
      </c>
      <c r="B4933" s="8" t="s">
        <v>2471</v>
      </c>
      <c r="C4933" s="8" t="s">
        <v>14918</v>
      </c>
      <c r="D4933" s="8" t="s">
        <v>16</v>
      </c>
      <c r="E4933" s="8" t="s">
        <v>48</v>
      </c>
      <c r="F4933" s="9">
        <v>46152.0</v>
      </c>
      <c r="G4933" s="8" t="s">
        <v>1841</v>
      </c>
      <c r="H4933" s="8" t="s">
        <v>1842</v>
      </c>
      <c r="I4933" s="8" t="s">
        <v>14919</v>
      </c>
      <c r="J4933" s="8" t="s">
        <v>14920</v>
      </c>
    </row>
    <row r="4934">
      <c r="A4934" s="7">
        <v>2.0053326E7</v>
      </c>
      <c r="B4934" s="8" t="s">
        <v>2471</v>
      </c>
      <c r="C4934" s="8" t="s">
        <v>14921</v>
      </c>
      <c r="D4934" s="8" t="s">
        <v>16</v>
      </c>
      <c r="E4934" s="8" t="s">
        <v>17</v>
      </c>
      <c r="F4934" s="9">
        <v>46137.0</v>
      </c>
      <c r="G4934" s="8" t="s">
        <v>390</v>
      </c>
      <c r="H4934" s="8" t="s">
        <v>391</v>
      </c>
      <c r="I4934" s="8" t="s">
        <v>14922</v>
      </c>
      <c r="J4934" s="8" t="s">
        <v>14923</v>
      </c>
    </row>
    <row r="4935">
      <c r="A4935" s="7">
        <v>2.0052803E7</v>
      </c>
      <c r="B4935" s="8" t="s">
        <v>2471</v>
      </c>
      <c r="C4935" s="8" t="s">
        <v>14924</v>
      </c>
      <c r="D4935" s="8" t="s">
        <v>16</v>
      </c>
      <c r="E4935" s="8" t="s">
        <v>17</v>
      </c>
      <c r="F4935" s="9">
        <v>46135.0</v>
      </c>
      <c r="G4935" s="8" t="s">
        <v>390</v>
      </c>
      <c r="H4935" s="8" t="s">
        <v>391</v>
      </c>
      <c r="I4935" s="8" t="s">
        <v>14925</v>
      </c>
      <c r="J4935" s="8" t="s">
        <v>14926</v>
      </c>
    </row>
    <row r="4936">
      <c r="A4936" s="7">
        <v>2.0050985E7</v>
      </c>
      <c r="B4936" s="8" t="s">
        <v>2471</v>
      </c>
      <c r="C4936" s="8" t="s">
        <v>14927</v>
      </c>
      <c r="D4936" s="8" t="s">
        <v>16</v>
      </c>
      <c r="E4936" s="8" t="s">
        <v>17</v>
      </c>
      <c r="F4936" s="9">
        <v>46121.0</v>
      </c>
      <c r="G4936" s="8" t="s">
        <v>1085</v>
      </c>
      <c r="H4936" s="8" t="s">
        <v>1086</v>
      </c>
      <c r="I4936" s="8" t="s">
        <v>14928</v>
      </c>
      <c r="J4936" s="8" t="s">
        <v>14929</v>
      </c>
    </row>
    <row r="4937">
      <c r="A4937" s="7">
        <v>2.005144E7</v>
      </c>
      <c r="B4937" s="8" t="s">
        <v>2471</v>
      </c>
      <c r="C4937" s="8" t="s">
        <v>14930</v>
      </c>
      <c r="D4937" s="8" t="s">
        <v>16</v>
      </c>
      <c r="E4937" s="8" t="s">
        <v>17</v>
      </c>
      <c r="F4937" s="9">
        <v>46123.0</v>
      </c>
      <c r="G4937" s="8" t="s">
        <v>14931</v>
      </c>
      <c r="H4937" s="8" t="s">
        <v>14932</v>
      </c>
      <c r="I4937" s="8" t="s">
        <v>14933</v>
      </c>
      <c r="J4937" s="8" t="s">
        <v>14934</v>
      </c>
    </row>
    <row r="4938">
      <c r="A4938" s="7">
        <v>2.0049151E7</v>
      </c>
      <c r="B4938" s="8" t="s">
        <v>2471</v>
      </c>
      <c r="C4938" s="8" t="s">
        <v>14935</v>
      </c>
      <c r="D4938" s="8" t="s">
        <v>16</v>
      </c>
      <c r="E4938" s="8" t="s">
        <v>17</v>
      </c>
      <c r="F4938" s="9">
        <v>46116.0</v>
      </c>
      <c r="G4938" s="8" t="s">
        <v>5192</v>
      </c>
      <c r="H4938" s="8" t="s">
        <v>5193</v>
      </c>
      <c r="I4938" s="8" t="s">
        <v>14936</v>
      </c>
      <c r="J4938" s="8" t="s">
        <v>14937</v>
      </c>
    </row>
    <row r="4939">
      <c r="A4939" s="7">
        <v>2.0040559E7</v>
      </c>
      <c r="B4939" s="8" t="s">
        <v>2471</v>
      </c>
      <c r="C4939" s="8" t="s">
        <v>14938</v>
      </c>
      <c r="D4939" s="8" t="s">
        <v>16</v>
      </c>
      <c r="E4939" s="8" t="s">
        <v>17</v>
      </c>
      <c r="F4939" s="9">
        <v>46108.0</v>
      </c>
      <c r="G4939" s="8" t="s">
        <v>390</v>
      </c>
      <c r="H4939" s="8" t="s">
        <v>391</v>
      </c>
      <c r="I4939" s="8" t="s">
        <v>14939</v>
      </c>
      <c r="J4939" s="8" t="s">
        <v>14940</v>
      </c>
    </row>
    <row r="4940">
      <c r="A4940" s="7">
        <v>2.0044524E7</v>
      </c>
      <c r="B4940" s="8" t="s">
        <v>2471</v>
      </c>
      <c r="C4940" s="8" t="s">
        <v>14941</v>
      </c>
      <c r="D4940" s="8" t="s">
        <v>16</v>
      </c>
      <c r="E4940" s="8" t="s">
        <v>17</v>
      </c>
      <c r="F4940" s="9">
        <v>46121.0</v>
      </c>
      <c r="G4940" s="8" t="s">
        <v>5590</v>
      </c>
      <c r="H4940" s="8" t="s">
        <v>2062</v>
      </c>
      <c r="I4940" s="8" t="s">
        <v>14942</v>
      </c>
      <c r="J4940" s="8" t="s">
        <v>14943</v>
      </c>
    </row>
    <row r="4941">
      <c r="A4941" s="7">
        <v>2.0044524E7</v>
      </c>
      <c r="B4941" s="8" t="s">
        <v>2471</v>
      </c>
      <c r="C4941" s="8" t="s">
        <v>14941</v>
      </c>
      <c r="D4941" s="8" t="s">
        <v>16</v>
      </c>
      <c r="E4941" s="8" t="s">
        <v>17</v>
      </c>
      <c r="F4941" s="9">
        <v>46121.0</v>
      </c>
      <c r="G4941" s="8" t="s">
        <v>517</v>
      </c>
      <c r="H4941" s="8" t="s">
        <v>518</v>
      </c>
      <c r="I4941" s="8" t="s">
        <v>14944</v>
      </c>
      <c r="J4941" s="8" t="s">
        <v>14945</v>
      </c>
    </row>
    <row r="4942">
      <c r="A4942" s="7">
        <v>2.0044524E7</v>
      </c>
      <c r="B4942" s="8" t="s">
        <v>2471</v>
      </c>
      <c r="C4942" s="8" t="s">
        <v>14941</v>
      </c>
      <c r="D4942" s="8" t="s">
        <v>16</v>
      </c>
      <c r="E4942" s="8" t="s">
        <v>17</v>
      </c>
      <c r="F4942" s="9">
        <v>46121.0</v>
      </c>
      <c r="G4942" s="8" t="s">
        <v>517</v>
      </c>
      <c r="H4942" s="8" t="s">
        <v>518</v>
      </c>
      <c r="I4942" s="8" t="s">
        <v>14946</v>
      </c>
      <c r="J4942" s="8" t="s">
        <v>14945</v>
      </c>
    </row>
    <row r="4943">
      <c r="A4943" s="7">
        <v>2.0033284E7</v>
      </c>
      <c r="B4943" s="8" t="s">
        <v>2471</v>
      </c>
      <c r="C4943" s="8" t="s">
        <v>14947</v>
      </c>
      <c r="D4943" s="8" t="s">
        <v>16</v>
      </c>
      <c r="E4943" s="8" t="s">
        <v>17</v>
      </c>
      <c r="F4943" s="9">
        <v>46086.0</v>
      </c>
      <c r="G4943" s="8" t="s">
        <v>14948</v>
      </c>
      <c r="H4943" s="8" t="s">
        <v>14949</v>
      </c>
      <c r="I4943" s="8" t="s">
        <v>14950</v>
      </c>
      <c r="J4943" s="8" t="s">
        <v>14951</v>
      </c>
    </row>
    <row r="4944">
      <c r="A4944" s="7">
        <v>2.0066279E7</v>
      </c>
      <c r="B4944" s="8" t="s">
        <v>2471</v>
      </c>
      <c r="C4944" s="8" t="s">
        <v>14952</v>
      </c>
      <c r="D4944" s="8" t="s">
        <v>16</v>
      </c>
      <c r="E4944" s="8" t="s">
        <v>17</v>
      </c>
      <c r="F4944" s="9">
        <v>46192.0</v>
      </c>
      <c r="G4944" s="8" t="s">
        <v>1049</v>
      </c>
      <c r="H4944" s="8" t="s">
        <v>1050</v>
      </c>
      <c r="I4944" s="8" t="s">
        <v>14953</v>
      </c>
      <c r="J4944" s="8" t="s">
        <v>14954</v>
      </c>
    </row>
    <row r="4945">
      <c r="A4945" s="7">
        <v>2.0066021E7</v>
      </c>
      <c r="B4945" s="8" t="s">
        <v>2471</v>
      </c>
      <c r="C4945" s="8" t="s">
        <v>14955</v>
      </c>
      <c r="D4945" s="8" t="s">
        <v>16</v>
      </c>
      <c r="E4945" s="8" t="s">
        <v>17</v>
      </c>
      <c r="F4945" s="9">
        <v>46177.0</v>
      </c>
      <c r="G4945" s="8" t="s">
        <v>1319</v>
      </c>
      <c r="H4945" s="8" t="s">
        <v>1320</v>
      </c>
      <c r="I4945" s="8" t="s">
        <v>14956</v>
      </c>
      <c r="J4945" s="8" t="s">
        <v>14957</v>
      </c>
    </row>
    <row r="4946">
      <c r="A4946" s="7">
        <v>2.0063382E7</v>
      </c>
      <c r="B4946" s="8" t="s">
        <v>2471</v>
      </c>
      <c r="C4946" s="8" t="s">
        <v>14958</v>
      </c>
      <c r="D4946" s="8" t="s">
        <v>16</v>
      </c>
      <c r="E4946" s="8" t="s">
        <v>17</v>
      </c>
      <c r="F4946" s="9">
        <v>46155.0</v>
      </c>
      <c r="G4946" s="8" t="s">
        <v>91</v>
      </c>
      <c r="H4946" s="8" t="s">
        <v>92</v>
      </c>
      <c r="I4946" s="8" t="s">
        <v>14959</v>
      </c>
      <c r="J4946" s="8" t="s">
        <v>14960</v>
      </c>
    </row>
    <row r="4947">
      <c r="A4947" s="7">
        <v>2.0062612E7</v>
      </c>
      <c r="B4947" s="8" t="s">
        <v>2471</v>
      </c>
      <c r="C4947" s="8" t="s">
        <v>14961</v>
      </c>
      <c r="D4947" s="8" t="s">
        <v>16</v>
      </c>
      <c r="E4947" s="8" t="s">
        <v>17</v>
      </c>
      <c r="F4947" s="9">
        <v>46185.0</v>
      </c>
      <c r="G4947" s="8" t="s">
        <v>390</v>
      </c>
      <c r="H4947" s="8" t="s">
        <v>391</v>
      </c>
      <c r="I4947" s="8" t="s">
        <v>14962</v>
      </c>
      <c r="J4947" s="8" t="s">
        <v>14963</v>
      </c>
    </row>
    <row r="4948">
      <c r="A4948" s="7">
        <v>2.0057781E7</v>
      </c>
      <c r="B4948" s="8" t="s">
        <v>2471</v>
      </c>
      <c r="C4948" s="8" t="s">
        <v>14964</v>
      </c>
      <c r="D4948" s="8" t="s">
        <v>16</v>
      </c>
      <c r="E4948" s="8" t="s">
        <v>17</v>
      </c>
      <c r="F4948" s="9">
        <v>46149.0</v>
      </c>
      <c r="G4948" s="8" t="s">
        <v>70</v>
      </c>
      <c r="H4948" s="8" t="s">
        <v>9466</v>
      </c>
      <c r="I4948" s="8" t="s">
        <v>14965</v>
      </c>
      <c r="J4948" s="8" t="s">
        <v>14966</v>
      </c>
    </row>
    <row r="4949">
      <c r="A4949" s="7">
        <v>2.0057781E7</v>
      </c>
      <c r="B4949" s="8" t="s">
        <v>2471</v>
      </c>
      <c r="C4949" s="8" t="s">
        <v>14964</v>
      </c>
      <c r="D4949" s="8" t="s">
        <v>16</v>
      </c>
      <c r="E4949" s="8" t="s">
        <v>17</v>
      </c>
      <c r="F4949" s="9">
        <v>46149.0</v>
      </c>
      <c r="G4949" s="8" t="s">
        <v>14967</v>
      </c>
      <c r="H4949" s="8" t="s">
        <v>14968</v>
      </c>
      <c r="I4949" s="8" t="s">
        <v>14969</v>
      </c>
      <c r="J4949" s="8"/>
    </row>
    <row r="4950">
      <c r="A4950" s="7">
        <v>2.0058904E7</v>
      </c>
      <c r="B4950" s="8" t="s">
        <v>2471</v>
      </c>
      <c r="C4950" s="8" t="s">
        <v>14970</v>
      </c>
      <c r="D4950" s="8" t="s">
        <v>2136</v>
      </c>
      <c r="E4950" s="8" t="s">
        <v>17</v>
      </c>
      <c r="F4950" s="9">
        <v>46136.0</v>
      </c>
      <c r="G4950" s="8" t="s">
        <v>195</v>
      </c>
      <c r="H4950" s="8" t="s">
        <v>196</v>
      </c>
      <c r="I4950" s="8" t="s">
        <v>14971</v>
      </c>
      <c r="J4950" s="8" t="s">
        <v>14972</v>
      </c>
    </row>
    <row r="4951">
      <c r="A4951" s="7">
        <v>2.0053613E7</v>
      </c>
      <c r="B4951" s="8" t="s">
        <v>2471</v>
      </c>
      <c r="C4951" s="8" t="s">
        <v>14973</v>
      </c>
      <c r="D4951" s="8" t="s">
        <v>16</v>
      </c>
      <c r="E4951" s="8" t="s">
        <v>17</v>
      </c>
      <c r="F4951" s="9">
        <v>46143.0</v>
      </c>
      <c r="G4951" s="8" t="s">
        <v>721</v>
      </c>
      <c r="H4951" s="8" t="s">
        <v>722</v>
      </c>
      <c r="I4951" s="8" t="s">
        <v>14974</v>
      </c>
      <c r="J4951" s="8" t="s">
        <v>14975</v>
      </c>
    </row>
    <row r="4952">
      <c r="A4952" s="7">
        <v>2.0052027E7</v>
      </c>
      <c r="B4952" s="8" t="s">
        <v>2471</v>
      </c>
      <c r="C4952" s="8" t="s">
        <v>14976</v>
      </c>
      <c r="D4952" s="8" t="s">
        <v>16</v>
      </c>
      <c r="E4952" s="8" t="s">
        <v>17</v>
      </c>
      <c r="F4952" s="9">
        <v>46121.0</v>
      </c>
      <c r="G4952" s="8" t="s">
        <v>91</v>
      </c>
      <c r="H4952" s="8" t="s">
        <v>92</v>
      </c>
      <c r="I4952" s="8" t="s">
        <v>14977</v>
      </c>
      <c r="J4952" s="8" t="s">
        <v>14978</v>
      </c>
    </row>
    <row r="4953">
      <c r="A4953" s="7">
        <v>2.0050428E7</v>
      </c>
      <c r="B4953" s="8" t="s">
        <v>2471</v>
      </c>
      <c r="C4953" s="8" t="s">
        <v>14979</v>
      </c>
      <c r="D4953" s="8" t="s">
        <v>16</v>
      </c>
      <c r="E4953" s="8" t="s">
        <v>17</v>
      </c>
      <c r="F4953" s="9">
        <v>46129.0</v>
      </c>
      <c r="G4953" s="8" t="s">
        <v>1813</v>
      </c>
      <c r="H4953" s="8" t="s">
        <v>1814</v>
      </c>
      <c r="I4953" s="8" t="s">
        <v>14980</v>
      </c>
      <c r="J4953" s="8" t="s">
        <v>14981</v>
      </c>
    </row>
    <row r="4954">
      <c r="A4954" s="7">
        <v>2.0049786E7</v>
      </c>
      <c r="B4954" s="8" t="s">
        <v>2471</v>
      </c>
      <c r="C4954" s="8" t="s">
        <v>14982</v>
      </c>
      <c r="D4954" s="8" t="s">
        <v>16</v>
      </c>
      <c r="E4954" s="8" t="s">
        <v>17</v>
      </c>
      <c r="F4954" s="9">
        <v>46116.0</v>
      </c>
      <c r="G4954" s="8" t="s">
        <v>247</v>
      </c>
      <c r="H4954" s="8" t="s">
        <v>248</v>
      </c>
      <c r="I4954" s="8" t="s">
        <v>14983</v>
      </c>
      <c r="J4954" s="8" t="s">
        <v>14984</v>
      </c>
    </row>
    <row r="4955">
      <c r="A4955" s="7">
        <v>2.0043771E7</v>
      </c>
      <c r="B4955" s="8" t="s">
        <v>2471</v>
      </c>
      <c r="C4955" s="8" t="s">
        <v>14985</v>
      </c>
      <c r="D4955" s="8" t="s">
        <v>16</v>
      </c>
      <c r="E4955" s="8" t="s">
        <v>17</v>
      </c>
      <c r="F4955" s="9">
        <v>46117.0</v>
      </c>
      <c r="G4955" s="8" t="s">
        <v>2339</v>
      </c>
      <c r="H4955" s="8" t="s">
        <v>2340</v>
      </c>
      <c r="I4955" s="8" t="s">
        <v>14986</v>
      </c>
      <c r="J4955" s="8" t="s">
        <v>14987</v>
      </c>
    </row>
    <row r="4956">
      <c r="A4956" s="7">
        <v>2.0039003E7</v>
      </c>
      <c r="B4956" s="8" t="s">
        <v>2471</v>
      </c>
      <c r="C4956" s="8" t="s">
        <v>14988</v>
      </c>
      <c r="D4956" s="8" t="s">
        <v>16</v>
      </c>
      <c r="E4956" s="8" t="s">
        <v>17</v>
      </c>
      <c r="F4956" s="9">
        <v>46081.0</v>
      </c>
      <c r="G4956" s="8" t="s">
        <v>158</v>
      </c>
      <c r="H4956" s="8" t="s">
        <v>159</v>
      </c>
      <c r="I4956" s="8" t="s">
        <v>14989</v>
      </c>
      <c r="J4956" s="8" t="s">
        <v>14990</v>
      </c>
    </row>
    <row r="4957">
      <c r="A4957" s="7">
        <v>2.0033908E7</v>
      </c>
      <c r="B4957" s="8" t="s">
        <v>2471</v>
      </c>
      <c r="C4957" s="8" t="s">
        <v>14991</v>
      </c>
      <c r="D4957" s="8" t="s">
        <v>16</v>
      </c>
      <c r="E4957" s="8" t="s">
        <v>17</v>
      </c>
      <c r="F4957" s="9">
        <v>46055.0</v>
      </c>
      <c r="G4957" s="8" t="s">
        <v>314</v>
      </c>
      <c r="H4957" s="8" t="s">
        <v>315</v>
      </c>
      <c r="I4957" s="8" t="s">
        <v>14992</v>
      </c>
      <c r="J4957" s="8" t="s">
        <v>14638</v>
      </c>
    </row>
    <row r="4958">
      <c r="A4958" s="7">
        <v>2.0061061E7</v>
      </c>
      <c r="B4958" s="8" t="s">
        <v>2471</v>
      </c>
      <c r="C4958" s="8" t="s">
        <v>14993</v>
      </c>
      <c r="D4958" s="8" t="s">
        <v>16</v>
      </c>
      <c r="E4958" s="8" t="s">
        <v>17</v>
      </c>
      <c r="F4958" s="9">
        <v>46193.0</v>
      </c>
      <c r="G4958" s="8" t="s">
        <v>2486</v>
      </c>
      <c r="H4958" s="8" t="s">
        <v>2487</v>
      </c>
      <c r="I4958" s="8" t="s">
        <v>14994</v>
      </c>
      <c r="J4958" s="8" t="s">
        <v>14995</v>
      </c>
    </row>
    <row r="4959">
      <c r="A4959" s="7">
        <v>2.0062531E7</v>
      </c>
      <c r="B4959" s="8" t="s">
        <v>2471</v>
      </c>
      <c r="C4959" s="8" t="s">
        <v>14996</v>
      </c>
      <c r="D4959" s="8" t="s">
        <v>16</v>
      </c>
      <c r="E4959" s="8" t="s">
        <v>17</v>
      </c>
      <c r="F4959" s="9">
        <v>46166.0</v>
      </c>
      <c r="G4959" s="8" t="s">
        <v>34</v>
      </c>
      <c r="H4959" s="8" t="s">
        <v>35</v>
      </c>
      <c r="I4959" s="8" t="s">
        <v>14997</v>
      </c>
      <c r="J4959" s="8" t="s">
        <v>14998</v>
      </c>
    </row>
    <row r="4960">
      <c r="A4960" s="7">
        <v>2.0060485E7</v>
      </c>
      <c r="B4960" s="8" t="s">
        <v>2471</v>
      </c>
      <c r="C4960" s="8" t="s">
        <v>14999</v>
      </c>
      <c r="D4960" s="8" t="s">
        <v>16</v>
      </c>
      <c r="E4960" s="8" t="s">
        <v>17</v>
      </c>
      <c r="F4960" s="9">
        <v>46189.0</v>
      </c>
      <c r="G4960" s="8" t="s">
        <v>361</v>
      </c>
      <c r="H4960" s="8" t="s">
        <v>362</v>
      </c>
      <c r="I4960" s="8" t="s">
        <v>15000</v>
      </c>
      <c r="J4960" s="8" t="s">
        <v>15001</v>
      </c>
    </row>
    <row r="4961">
      <c r="A4961" s="7">
        <v>2.0055672E7</v>
      </c>
      <c r="B4961" s="8" t="s">
        <v>2471</v>
      </c>
      <c r="C4961" s="8" t="s">
        <v>15002</v>
      </c>
      <c r="D4961" s="8" t="s">
        <v>16</v>
      </c>
      <c r="E4961" s="8" t="s">
        <v>17</v>
      </c>
      <c r="F4961" s="9">
        <v>46144.0</v>
      </c>
      <c r="G4961" s="8" t="s">
        <v>9596</v>
      </c>
      <c r="H4961" s="8" t="s">
        <v>9597</v>
      </c>
      <c r="I4961" s="8" t="s">
        <v>15003</v>
      </c>
      <c r="J4961" s="8" t="s">
        <v>15004</v>
      </c>
    </row>
    <row r="4962">
      <c r="A4962" s="7">
        <v>2.0054529E7</v>
      </c>
      <c r="B4962" s="8" t="s">
        <v>2471</v>
      </c>
      <c r="C4962" s="8" t="s">
        <v>15005</v>
      </c>
      <c r="D4962" s="8" t="s">
        <v>16</v>
      </c>
      <c r="E4962" s="8" t="s">
        <v>17</v>
      </c>
      <c r="F4962" s="9">
        <v>46143.0</v>
      </c>
      <c r="G4962" s="8" t="s">
        <v>171</v>
      </c>
      <c r="H4962" s="8" t="s">
        <v>172</v>
      </c>
      <c r="I4962" s="8" t="s">
        <v>15006</v>
      </c>
      <c r="J4962" s="8" t="s">
        <v>15007</v>
      </c>
    </row>
    <row r="4963">
      <c r="A4963" s="7">
        <v>2.0051607E7</v>
      </c>
      <c r="B4963" s="8" t="s">
        <v>2471</v>
      </c>
      <c r="C4963" s="8" t="s">
        <v>15008</v>
      </c>
      <c r="D4963" s="8" t="s">
        <v>16</v>
      </c>
      <c r="E4963" s="8" t="s">
        <v>17</v>
      </c>
      <c r="F4963" s="9">
        <v>46134.0</v>
      </c>
      <c r="G4963" s="8" t="s">
        <v>1297</v>
      </c>
      <c r="H4963" s="8" t="s">
        <v>827</v>
      </c>
      <c r="I4963" s="8" t="s">
        <v>15009</v>
      </c>
      <c r="J4963" s="8" t="s">
        <v>15010</v>
      </c>
    </row>
    <row r="4964">
      <c r="A4964" s="7">
        <v>2.0050408E7</v>
      </c>
      <c r="B4964" s="8" t="s">
        <v>2471</v>
      </c>
      <c r="C4964" s="8" t="s">
        <v>15011</v>
      </c>
      <c r="D4964" s="8" t="s">
        <v>16</v>
      </c>
      <c r="E4964" s="8" t="s">
        <v>17</v>
      </c>
      <c r="F4964" s="9">
        <v>46106.0</v>
      </c>
      <c r="G4964" s="8" t="s">
        <v>630</v>
      </c>
      <c r="H4964" s="8" t="s">
        <v>631</v>
      </c>
      <c r="I4964" s="8" t="s">
        <v>15012</v>
      </c>
      <c r="J4964" s="8" t="s">
        <v>15013</v>
      </c>
    </row>
    <row r="4965">
      <c r="A4965" s="7">
        <v>2.0048343E7</v>
      </c>
      <c r="B4965" s="8" t="s">
        <v>2471</v>
      </c>
      <c r="C4965" s="8" t="s">
        <v>15014</v>
      </c>
      <c r="D4965" s="8" t="s">
        <v>16</v>
      </c>
      <c r="E4965" s="8" t="s">
        <v>17</v>
      </c>
      <c r="F4965" s="9">
        <v>46090.0</v>
      </c>
      <c r="G4965" s="8" t="s">
        <v>59</v>
      </c>
      <c r="H4965" s="8" t="s">
        <v>60</v>
      </c>
      <c r="I4965" s="8" t="s">
        <v>15015</v>
      </c>
      <c r="J4965" s="8" t="s">
        <v>15016</v>
      </c>
    </row>
    <row r="4966">
      <c r="A4966" s="7">
        <v>2.0046677E7</v>
      </c>
      <c r="B4966" s="8" t="s">
        <v>2471</v>
      </c>
      <c r="C4966" s="8" t="s">
        <v>15017</v>
      </c>
      <c r="D4966" s="8" t="s">
        <v>16</v>
      </c>
      <c r="E4966" s="8" t="s">
        <v>17</v>
      </c>
      <c r="F4966" s="9">
        <v>46116.0</v>
      </c>
      <c r="G4966" s="8" t="s">
        <v>390</v>
      </c>
      <c r="H4966" s="8" t="s">
        <v>391</v>
      </c>
      <c r="I4966" s="8" t="s">
        <v>15018</v>
      </c>
      <c r="J4966" s="8" t="s">
        <v>15019</v>
      </c>
    </row>
    <row r="4967">
      <c r="A4967" s="7">
        <v>2.0042169E7</v>
      </c>
      <c r="B4967" s="8" t="s">
        <v>2471</v>
      </c>
      <c r="C4967" s="8" t="s">
        <v>15020</v>
      </c>
      <c r="D4967" s="8" t="s">
        <v>16</v>
      </c>
      <c r="E4967" s="8" t="s">
        <v>17</v>
      </c>
      <c r="F4967" s="9">
        <v>46097.0</v>
      </c>
      <c r="G4967" s="8" t="s">
        <v>9596</v>
      </c>
      <c r="H4967" s="8" t="s">
        <v>9597</v>
      </c>
      <c r="I4967" s="8" t="s">
        <v>15021</v>
      </c>
      <c r="J4967" s="8" t="s">
        <v>15022</v>
      </c>
    </row>
    <row r="4968">
      <c r="A4968" s="7">
        <v>2.0042169E7</v>
      </c>
      <c r="B4968" s="8" t="s">
        <v>2471</v>
      </c>
      <c r="C4968" s="8" t="s">
        <v>15020</v>
      </c>
      <c r="D4968" s="8" t="s">
        <v>16</v>
      </c>
      <c r="E4968" s="8" t="s">
        <v>17</v>
      </c>
      <c r="F4968" s="9">
        <v>46097.0</v>
      </c>
      <c r="G4968" s="8" t="s">
        <v>504</v>
      </c>
      <c r="H4968" s="8" t="s">
        <v>505</v>
      </c>
      <c r="I4968" s="8" t="s">
        <v>15023</v>
      </c>
      <c r="J4968" s="8" t="s">
        <v>15024</v>
      </c>
    </row>
    <row r="4969">
      <c r="A4969" s="7">
        <v>2.0036117E7</v>
      </c>
      <c r="B4969" s="8" t="s">
        <v>2471</v>
      </c>
      <c r="C4969" s="8" t="s">
        <v>15025</v>
      </c>
      <c r="D4969" s="8" t="s">
        <v>16</v>
      </c>
      <c r="E4969" s="8" t="s">
        <v>17</v>
      </c>
      <c r="F4969" s="9">
        <v>46081.0</v>
      </c>
      <c r="G4969" s="8" t="s">
        <v>15026</v>
      </c>
      <c r="H4969" s="8" t="s">
        <v>15027</v>
      </c>
      <c r="I4969" s="8" t="s">
        <v>15028</v>
      </c>
      <c r="J4969" s="8" t="s">
        <v>15029</v>
      </c>
    </row>
    <row r="4970">
      <c r="A4970" s="7">
        <v>2.0037903E7</v>
      </c>
      <c r="B4970" s="8" t="s">
        <v>2471</v>
      </c>
      <c r="C4970" s="8" t="s">
        <v>15030</v>
      </c>
      <c r="D4970" s="8" t="s">
        <v>16</v>
      </c>
      <c r="E4970" s="8" t="s">
        <v>17</v>
      </c>
      <c r="F4970" s="9">
        <v>46057.0</v>
      </c>
      <c r="G4970" s="8" t="s">
        <v>59</v>
      </c>
      <c r="H4970" s="8" t="s">
        <v>60</v>
      </c>
      <c r="I4970" s="8" t="s">
        <v>15031</v>
      </c>
      <c r="J4970" s="8" t="s">
        <v>15032</v>
      </c>
    </row>
    <row r="4971">
      <c r="A4971" s="7">
        <v>2.0036268E7</v>
      </c>
      <c r="B4971" s="8" t="s">
        <v>2471</v>
      </c>
      <c r="C4971" s="8" t="s">
        <v>15033</v>
      </c>
      <c r="D4971" s="8" t="s">
        <v>16</v>
      </c>
      <c r="E4971" s="8" t="s">
        <v>17</v>
      </c>
      <c r="F4971" s="9">
        <v>46074.0</v>
      </c>
      <c r="G4971" s="8" t="s">
        <v>9441</v>
      </c>
      <c r="H4971" s="8" t="s">
        <v>9442</v>
      </c>
      <c r="I4971" s="8" t="s">
        <v>15034</v>
      </c>
      <c r="J4971" s="8" t="s">
        <v>15035</v>
      </c>
    </row>
    <row r="4972">
      <c r="A4972" s="7">
        <v>2.0065822E7</v>
      </c>
      <c r="B4972" s="8" t="s">
        <v>2471</v>
      </c>
      <c r="C4972" s="8" t="s">
        <v>15036</v>
      </c>
      <c r="D4972" s="8" t="s">
        <v>16</v>
      </c>
      <c r="E4972" s="8" t="s">
        <v>17</v>
      </c>
      <c r="F4972" s="9">
        <v>46178.0</v>
      </c>
      <c r="G4972" s="8" t="s">
        <v>59</v>
      </c>
      <c r="H4972" s="8" t="s">
        <v>60</v>
      </c>
      <c r="I4972" s="8" t="s">
        <v>15037</v>
      </c>
      <c r="J4972" s="8" t="s">
        <v>15038</v>
      </c>
    </row>
    <row r="4973">
      <c r="A4973" s="7">
        <v>2.0060007E7</v>
      </c>
      <c r="B4973" s="8" t="s">
        <v>2471</v>
      </c>
      <c r="C4973" s="8" t="s">
        <v>15039</v>
      </c>
      <c r="D4973" s="8" t="s">
        <v>16</v>
      </c>
      <c r="E4973" s="8" t="s">
        <v>17</v>
      </c>
      <c r="F4973" s="9">
        <v>46165.0</v>
      </c>
      <c r="G4973" s="8" t="s">
        <v>59</v>
      </c>
      <c r="H4973" s="8" t="s">
        <v>60</v>
      </c>
      <c r="I4973" s="8" t="s">
        <v>15040</v>
      </c>
      <c r="J4973" s="8" t="s">
        <v>15041</v>
      </c>
    </row>
    <row r="4974">
      <c r="A4974" s="7">
        <v>2.0060227E7</v>
      </c>
      <c r="B4974" s="8" t="s">
        <v>2471</v>
      </c>
      <c r="C4974" s="8" t="s">
        <v>15042</v>
      </c>
      <c r="D4974" s="8" t="s">
        <v>16</v>
      </c>
      <c r="E4974" s="8" t="s">
        <v>17</v>
      </c>
      <c r="F4974" s="9">
        <v>46164.0</v>
      </c>
      <c r="G4974" s="8" t="s">
        <v>3012</v>
      </c>
      <c r="H4974" s="8" t="s">
        <v>3013</v>
      </c>
      <c r="I4974" s="8" t="s">
        <v>15043</v>
      </c>
      <c r="J4974" s="8" t="s">
        <v>15044</v>
      </c>
    </row>
    <row r="4975">
      <c r="A4975" s="7">
        <v>2.0059557E7</v>
      </c>
      <c r="B4975" s="8" t="s">
        <v>2471</v>
      </c>
      <c r="C4975" s="8" t="s">
        <v>15045</v>
      </c>
      <c r="D4975" s="8" t="s">
        <v>16</v>
      </c>
      <c r="E4975" s="8" t="s">
        <v>17</v>
      </c>
      <c r="F4975" s="9">
        <v>46156.0</v>
      </c>
      <c r="G4975" s="8" t="s">
        <v>908</v>
      </c>
      <c r="H4975" s="8" t="s">
        <v>909</v>
      </c>
      <c r="I4975" s="8" t="s">
        <v>15046</v>
      </c>
      <c r="J4975" s="8" t="s">
        <v>15047</v>
      </c>
    </row>
    <row r="4976">
      <c r="A4976" s="7">
        <v>2.0059096E7</v>
      </c>
      <c r="B4976" s="8" t="s">
        <v>2471</v>
      </c>
      <c r="C4976" s="8" t="s">
        <v>15048</v>
      </c>
      <c r="D4976" s="8" t="s">
        <v>16</v>
      </c>
      <c r="E4976" s="8" t="s">
        <v>17</v>
      </c>
      <c r="F4976" s="9">
        <v>46193.0</v>
      </c>
      <c r="G4976" s="8" t="s">
        <v>522</v>
      </c>
      <c r="H4976" s="8" t="s">
        <v>523</v>
      </c>
      <c r="I4976" s="8" t="s">
        <v>15049</v>
      </c>
      <c r="J4976" s="8" t="s">
        <v>15050</v>
      </c>
    </row>
    <row r="4977">
      <c r="A4977" s="7">
        <v>2.0058349E7</v>
      </c>
      <c r="B4977" s="8" t="s">
        <v>2471</v>
      </c>
      <c r="C4977" s="8" t="s">
        <v>15051</v>
      </c>
      <c r="D4977" s="8" t="s">
        <v>16</v>
      </c>
      <c r="E4977" s="8" t="s">
        <v>17</v>
      </c>
      <c r="F4977" s="9">
        <v>46148.0</v>
      </c>
      <c r="G4977" s="8" t="s">
        <v>1431</v>
      </c>
      <c r="H4977" s="8" t="s">
        <v>1432</v>
      </c>
      <c r="I4977" s="8" t="s">
        <v>15052</v>
      </c>
      <c r="J4977" s="8" t="s">
        <v>15053</v>
      </c>
    </row>
    <row r="4978">
      <c r="A4978" s="7">
        <v>2.0051098E7</v>
      </c>
      <c r="B4978" s="8" t="s">
        <v>2471</v>
      </c>
      <c r="C4978" s="8" t="s">
        <v>15054</v>
      </c>
      <c r="D4978" s="8" t="s">
        <v>2136</v>
      </c>
      <c r="E4978" s="8" t="s">
        <v>17</v>
      </c>
      <c r="F4978" s="9">
        <v>46101.0</v>
      </c>
      <c r="G4978" s="8" t="s">
        <v>195</v>
      </c>
      <c r="H4978" s="8" t="s">
        <v>196</v>
      </c>
      <c r="I4978" s="8" t="s">
        <v>15055</v>
      </c>
      <c r="J4978" s="8" t="s">
        <v>15056</v>
      </c>
    </row>
    <row r="4979">
      <c r="A4979" s="7">
        <v>2.0049059E7</v>
      </c>
      <c r="B4979" s="8" t="s">
        <v>2471</v>
      </c>
      <c r="C4979" s="8" t="s">
        <v>15057</v>
      </c>
      <c r="D4979" s="8" t="s">
        <v>16</v>
      </c>
      <c r="E4979" s="8" t="s">
        <v>17</v>
      </c>
      <c r="F4979" s="9">
        <v>46093.0</v>
      </c>
      <c r="G4979" s="8" t="s">
        <v>339</v>
      </c>
      <c r="H4979" s="8" t="s">
        <v>340</v>
      </c>
      <c r="I4979" s="8" t="s">
        <v>15058</v>
      </c>
      <c r="J4979" s="8" t="s">
        <v>15059</v>
      </c>
    </row>
    <row r="4980">
      <c r="A4980" s="7">
        <v>2.0046424E7</v>
      </c>
      <c r="B4980" s="8" t="s">
        <v>2471</v>
      </c>
      <c r="C4980" s="8" t="s">
        <v>15060</v>
      </c>
      <c r="D4980" s="8" t="s">
        <v>16</v>
      </c>
      <c r="E4980" s="8" t="s">
        <v>17</v>
      </c>
      <c r="F4980" s="9">
        <v>46109.0</v>
      </c>
      <c r="G4980" s="8" t="s">
        <v>171</v>
      </c>
      <c r="H4980" s="8" t="s">
        <v>172</v>
      </c>
      <c r="I4980" s="8" t="s">
        <v>15061</v>
      </c>
      <c r="J4980" s="8" t="s">
        <v>15062</v>
      </c>
    </row>
    <row r="4981">
      <c r="A4981" s="7">
        <v>2.0044172E7</v>
      </c>
      <c r="B4981" s="8" t="s">
        <v>2471</v>
      </c>
      <c r="C4981" s="8" t="s">
        <v>15063</v>
      </c>
      <c r="D4981" s="8" t="s">
        <v>16</v>
      </c>
      <c r="E4981" s="8" t="s">
        <v>17</v>
      </c>
      <c r="F4981" s="9">
        <v>46103.0</v>
      </c>
      <c r="G4981" s="8" t="s">
        <v>1085</v>
      </c>
      <c r="H4981" s="8" t="s">
        <v>1086</v>
      </c>
      <c r="I4981" s="8" t="s">
        <v>15064</v>
      </c>
      <c r="J4981" s="8" t="s">
        <v>15065</v>
      </c>
    </row>
    <row r="4982">
      <c r="A4982" s="7">
        <v>2.0042965E7</v>
      </c>
      <c r="B4982" s="8" t="s">
        <v>2471</v>
      </c>
      <c r="C4982" s="8" t="s">
        <v>15066</v>
      </c>
      <c r="D4982" s="8" t="s">
        <v>16</v>
      </c>
      <c r="E4982" s="8" t="s">
        <v>17</v>
      </c>
      <c r="F4982" s="9">
        <v>46089.0</v>
      </c>
      <c r="G4982" s="8" t="s">
        <v>158</v>
      </c>
      <c r="H4982" s="8" t="s">
        <v>159</v>
      </c>
      <c r="I4982" s="8" t="s">
        <v>15067</v>
      </c>
      <c r="J4982" s="8" t="s">
        <v>15068</v>
      </c>
    </row>
    <row r="4983">
      <c r="A4983" s="7">
        <v>2.0040923E7</v>
      </c>
      <c r="B4983" s="8" t="s">
        <v>2471</v>
      </c>
      <c r="C4983" s="8" t="s">
        <v>15069</v>
      </c>
      <c r="D4983" s="8" t="s">
        <v>16</v>
      </c>
      <c r="E4983" s="8" t="s">
        <v>17</v>
      </c>
      <c r="F4983" s="9">
        <v>46074.0</v>
      </c>
      <c r="G4983" s="8" t="s">
        <v>658</v>
      </c>
      <c r="H4983" s="8" t="s">
        <v>659</v>
      </c>
      <c r="I4983" s="8" t="s">
        <v>15070</v>
      </c>
      <c r="J4983" s="8" t="s">
        <v>15071</v>
      </c>
    </row>
    <row r="4984">
      <c r="A4984" s="7">
        <v>2.0063703E7</v>
      </c>
      <c r="B4984" s="8" t="s">
        <v>2471</v>
      </c>
      <c r="C4984" s="8" t="s">
        <v>15072</v>
      </c>
      <c r="D4984" s="8" t="s">
        <v>16</v>
      </c>
      <c r="E4984" s="8" t="s">
        <v>17</v>
      </c>
      <c r="F4984" s="9">
        <v>46171.0</v>
      </c>
      <c r="G4984" s="8" t="s">
        <v>400</v>
      </c>
      <c r="H4984" s="8" t="s">
        <v>2144</v>
      </c>
      <c r="I4984" s="8" t="s">
        <v>15073</v>
      </c>
      <c r="J4984" s="8" t="s">
        <v>15074</v>
      </c>
    </row>
    <row r="4985">
      <c r="A4985" s="7">
        <v>2.0062382E7</v>
      </c>
      <c r="B4985" s="8" t="s">
        <v>2471</v>
      </c>
      <c r="C4985" s="8" t="s">
        <v>15075</v>
      </c>
      <c r="D4985" s="8" t="s">
        <v>16</v>
      </c>
      <c r="E4985" s="8" t="s">
        <v>17</v>
      </c>
      <c r="F4985" s="9">
        <v>46186.0</v>
      </c>
      <c r="G4985" s="8" t="s">
        <v>15076</v>
      </c>
      <c r="H4985" s="8" t="s">
        <v>15077</v>
      </c>
      <c r="I4985" s="8" t="s">
        <v>15078</v>
      </c>
      <c r="J4985" s="8" t="s">
        <v>15079</v>
      </c>
    </row>
    <row r="4986">
      <c r="A4986" s="7">
        <v>2.005826E7</v>
      </c>
      <c r="B4986" s="8" t="s">
        <v>2471</v>
      </c>
      <c r="C4986" s="8" t="s">
        <v>15080</v>
      </c>
      <c r="D4986" s="8" t="s">
        <v>16</v>
      </c>
      <c r="E4986" s="8" t="s">
        <v>17</v>
      </c>
      <c r="F4986" s="9">
        <v>46183.0</v>
      </c>
      <c r="G4986" s="8" t="s">
        <v>8892</v>
      </c>
      <c r="H4986" s="8" t="s">
        <v>8893</v>
      </c>
      <c r="I4986" s="8" t="s">
        <v>15081</v>
      </c>
      <c r="J4986" s="8" t="s">
        <v>15082</v>
      </c>
    </row>
    <row r="4987">
      <c r="A4987" s="7">
        <v>2.0058043E7</v>
      </c>
      <c r="B4987" s="8" t="s">
        <v>2471</v>
      </c>
      <c r="C4987" s="8" t="s">
        <v>15083</v>
      </c>
      <c r="D4987" s="8" t="s">
        <v>16</v>
      </c>
      <c r="E4987" s="8" t="s">
        <v>17</v>
      </c>
      <c r="F4987" s="9">
        <v>46132.0</v>
      </c>
      <c r="G4987" s="8" t="s">
        <v>846</v>
      </c>
      <c r="H4987" s="8" t="s">
        <v>847</v>
      </c>
      <c r="I4987" s="8" t="s">
        <v>15084</v>
      </c>
      <c r="J4987" s="8" t="s">
        <v>15085</v>
      </c>
    </row>
    <row r="4988">
      <c r="A4988" s="7">
        <v>2.0056846E7</v>
      </c>
      <c r="B4988" s="8" t="s">
        <v>2471</v>
      </c>
      <c r="C4988" s="8" t="s">
        <v>15086</v>
      </c>
      <c r="D4988" s="8" t="s">
        <v>16</v>
      </c>
      <c r="E4988" s="8" t="s">
        <v>17</v>
      </c>
      <c r="F4988" s="9">
        <v>46136.0</v>
      </c>
      <c r="G4988" s="8" t="s">
        <v>34</v>
      </c>
      <c r="H4988" s="8" t="s">
        <v>35</v>
      </c>
      <c r="I4988" s="8" t="s">
        <v>15087</v>
      </c>
      <c r="J4988" s="8" t="s">
        <v>15088</v>
      </c>
    </row>
    <row r="4989">
      <c r="A4989" s="7">
        <v>2.0051406E7</v>
      </c>
      <c r="B4989" s="8" t="s">
        <v>2471</v>
      </c>
      <c r="C4989" s="8" t="s">
        <v>15089</v>
      </c>
      <c r="D4989" s="8" t="s">
        <v>16</v>
      </c>
      <c r="E4989" s="8" t="s">
        <v>17</v>
      </c>
      <c r="F4989" s="9">
        <v>46142.0</v>
      </c>
      <c r="G4989" s="8" t="s">
        <v>282</v>
      </c>
      <c r="H4989" s="8" t="s">
        <v>71</v>
      </c>
      <c r="I4989" s="8" t="s">
        <v>15090</v>
      </c>
      <c r="J4989" s="8" t="s">
        <v>15091</v>
      </c>
    </row>
    <row r="4990">
      <c r="A4990" s="7">
        <v>2.0053522E7</v>
      </c>
      <c r="B4990" s="8" t="s">
        <v>2471</v>
      </c>
      <c r="C4990" s="8" t="s">
        <v>15092</v>
      </c>
      <c r="D4990" s="8" t="s">
        <v>16</v>
      </c>
      <c r="E4990" s="8" t="s">
        <v>17</v>
      </c>
      <c r="F4990" s="9">
        <v>46129.0</v>
      </c>
      <c r="G4990" s="8" t="s">
        <v>5030</v>
      </c>
      <c r="H4990" s="8" t="s">
        <v>10431</v>
      </c>
      <c r="I4990" s="8" t="s">
        <v>15093</v>
      </c>
      <c r="J4990" s="8" t="s">
        <v>15094</v>
      </c>
    </row>
    <row r="4991">
      <c r="A4991" s="7">
        <v>2.0051473E7</v>
      </c>
      <c r="B4991" s="8" t="s">
        <v>2471</v>
      </c>
      <c r="C4991" s="8" t="s">
        <v>15095</v>
      </c>
      <c r="D4991" s="8" t="s">
        <v>16</v>
      </c>
      <c r="E4991" s="8" t="s">
        <v>17</v>
      </c>
      <c r="F4991" s="9">
        <v>46124.0</v>
      </c>
      <c r="G4991" s="8" t="s">
        <v>7407</v>
      </c>
      <c r="H4991" s="8" t="s">
        <v>7408</v>
      </c>
      <c r="I4991" s="8" t="s">
        <v>15096</v>
      </c>
      <c r="J4991" s="8" t="s">
        <v>15097</v>
      </c>
    </row>
    <row r="4992">
      <c r="A4992" s="7">
        <v>2.0051473E7</v>
      </c>
      <c r="B4992" s="8" t="s">
        <v>2471</v>
      </c>
      <c r="C4992" s="8" t="s">
        <v>15095</v>
      </c>
      <c r="D4992" s="8" t="s">
        <v>16</v>
      </c>
      <c r="E4992" s="8" t="s">
        <v>17</v>
      </c>
      <c r="F4992" s="9">
        <v>46124.0</v>
      </c>
      <c r="G4992" s="8" t="s">
        <v>7411</v>
      </c>
      <c r="H4992" s="8" t="s">
        <v>7412</v>
      </c>
      <c r="I4992" s="8" t="s">
        <v>15098</v>
      </c>
      <c r="J4992" s="8" t="s">
        <v>15099</v>
      </c>
    </row>
    <row r="4993">
      <c r="A4993" s="7">
        <v>2.0049742E7</v>
      </c>
      <c r="B4993" s="8" t="s">
        <v>2471</v>
      </c>
      <c r="C4993" s="8" t="s">
        <v>15100</v>
      </c>
      <c r="D4993" s="8" t="s">
        <v>16</v>
      </c>
      <c r="E4993" s="8" t="s">
        <v>17</v>
      </c>
      <c r="F4993" s="9">
        <v>46102.0</v>
      </c>
      <c r="G4993" s="8" t="s">
        <v>220</v>
      </c>
      <c r="H4993" s="8" t="s">
        <v>221</v>
      </c>
      <c r="I4993" s="8" t="s">
        <v>15101</v>
      </c>
      <c r="J4993" s="8" t="s">
        <v>15102</v>
      </c>
    </row>
    <row r="4994">
      <c r="A4994" s="7">
        <v>2.0045277E7</v>
      </c>
      <c r="B4994" s="8" t="s">
        <v>2471</v>
      </c>
      <c r="C4994" s="8" t="s">
        <v>15103</v>
      </c>
      <c r="D4994" s="8" t="s">
        <v>16</v>
      </c>
      <c r="E4994" s="8" t="s">
        <v>17</v>
      </c>
      <c r="F4994" s="9">
        <v>46095.0</v>
      </c>
      <c r="G4994" s="8" t="s">
        <v>688</v>
      </c>
      <c r="H4994" s="8" t="s">
        <v>689</v>
      </c>
      <c r="I4994" s="8" t="s">
        <v>15104</v>
      </c>
      <c r="J4994" s="8" t="s">
        <v>15105</v>
      </c>
    </row>
    <row r="4995">
      <c r="A4995" s="7">
        <v>2.0038523E7</v>
      </c>
      <c r="B4995" s="8" t="s">
        <v>2471</v>
      </c>
      <c r="C4995" s="8" t="s">
        <v>15106</v>
      </c>
      <c r="D4995" s="8" t="s">
        <v>16</v>
      </c>
      <c r="E4995" s="8" t="s">
        <v>17</v>
      </c>
      <c r="F4995" s="9">
        <v>46088.0</v>
      </c>
      <c r="G4995" s="8" t="s">
        <v>626</v>
      </c>
      <c r="H4995" s="8" t="s">
        <v>627</v>
      </c>
      <c r="I4995" s="8" t="s">
        <v>15107</v>
      </c>
      <c r="J4995" s="8" t="s">
        <v>15108</v>
      </c>
    </row>
    <row r="4996">
      <c r="A4996" s="7">
        <v>2.0038063E7</v>
      </c>
      <c r="B4996" s="8" t="s">
        <v>2471</v>
      </c>
      <c r="C4996" s="8" t="s">
        <v>15109</v>
      </c>
      <c r="D4996" s="8" t="s">
        <v>2136</v>
      </c>
      <c r="E4996" s="8" t="s">
        <v>17</v>
      </c>
      <c r="F4996" s="9">
        <v>46052.0</v>
      </c>
      <c r="G4996" s="8" t="s">
        <v>75</v>
      </c>
      <c r="H4996" s="8" t="s">
        <v>76</v>
      </c>
      <c r="I4996" s="8" t="s">
        <v>15110</v>
      </c>
      <c r="J4996" s="8" t="s">
        <v>1752</v>
      </c>
    </row>
    <row r="4997">
      <c r="A4997" s="7">
        <v>2.0032835E7</v>
      </c>
      <c r="B4997" s="8" t="s">
        <v>2471</v>
      </c>
      <c r="C4997" s="8" t="s">
        <v>15111</v>
      </c>
      <c r="D4997" s="8" t="s">
        <v>16</v>
      </c>
      <c r="E4997" s="8" t="s">
        <v>17</v>
      </c>
      <c r="F4997" s="9">
        <v>46066.0</v>
      </c>
      <c r="G4997" s="8" t="s">
        <v>3602</v>
      </c>
      <c r="H4997" s="8" t="s">
        <v>3603</v>
      </c>
      <c r="I4997" s="8" t="s">
        <v>15112</v>
      </c>
      <c r="J4997" s="8" t="s">
        <v>15113</v>
      </c>
    </row>
    <row r="4998">
      <c r="A4998" s="7">
        <v>2.0036387E7</v>
      </c>
      <c r="B4998" s="8" t="s">
        <v>2471</v>
      </c>
      <c r="C4998" s="8" t="s">
        <v>15114</v>
      </c>
      <c r="D4998" s="8" t="s">
        <v>16</v>
      </c>
      <c r="E4998" s="8" t="s">
        <v>17</v>
      </c>
      <c r="F4998" s="9">
        <v>46049.0</v>
      </c>
      <c r="G4998" s="8" t="s">
        <v>365</v>
      </c>
      <c r="H4998" s="8" t="s">
        <v>366</v>
      </c>
      <c r="I4998" s="8" t="s">
        <v>15115</v>
      </c>
      <c r="J4998" s="8" t="s">
        <v>15116</v>
      </c>
    </row>
    <row r="4999">
      <c r="A4999" s="7">
        <v>2.0065215E7</v>
      </c>
      <c r="B4999" s="8" t="s">
        <v>2471</v>
      </c>
      <c r="C4999" s="8" t="s">
        <v>15117</v>
      </c>
      <c r="D4999" s="8" t="s">
        <v>16</v>
      </c>
      <c r="E4999" s="8" t="s">
        <v>17</v>
      </c>
      <c r="F4999" s="9">
        <v>46193.0</v>
      </c>
      <c r="G4999" s="8" t="s">
        <v>109</v>
      </c>
      <c r="H4999" s="8" t="s">
        <v>110</v>
      </c>
      <c r="I4999" s="8" t="s">
        <v>15118</v>
      </c>
      <c r="J4999" s="8" t="s">
        <v>15119</v>
      </c>
    </row>
    <row r="5000">
      <c r="A5000" s="7">
        <v>2.0057091E7</v>
      </c>
      <c r="B5000" s="8" t="s">
        <v>2471</v>
      </c>
      <c r="C5000" s="8" t="s">
        <v>15120</v>
      </c>
      <c r="D5000" s="8" t="s">
        <v>16</v>
      </c>
      <c r="E5000" s="8" t="s">
        <v>17</v>
      </c>
      <c r="F5000" s="9">
        <v>46183.0</v>
      </c>
      <c r="G5000" s="8" t="s">
        <v>410</v>
      </c>
      <c r="H5000" s="8" t="s">
        <v>411</v>
      </c>
      <c r="I5000" s="8" t="s">
        <v>15121</v>
      </c>
      <c r="J5000" s="8" t="s">
        <v>15122</v>
      </c>
    </row>
    <row r="5001">
      <c r="A5001" s="7">
        <v>2.0049996E7</v>
      </c>
      <c r="B5001" s="8" t="s">
        <v>2471</v>
      </c>
      <c r="C5001" s="8" t="s">
        <v>15123</v>
      </c>
      <c r="D5001" s="8" t="s">
        <v>16</v>
      </c>
      <c r="E5001" s="8" t="s">
        <v>17</v>
      </c>
      <c r="F5001" s="9">
        <v>46123.0</v>
      </c>
      <c r="G5001" s="8" t="s">
        <v>2632</v>
      </c>
      <c r="H5001" s="8" t="s">
        <v>2633</v>
      </c>
      <c r="I5001" s="8" t="s">
        <v>15124</v>
      </c>
      <c r="J5001" s="8" t="s">
        <v>15125</v>
      </c>
    </row>
    <row r="5002">
      <c r="A5002" s="7">
        <v>2.0046583E7</v>
      </c>
      <c r="B5002" s="8" t="s">
        <v>2471</v>
      </c>
      <c r="C5002" s="8" t="s">
        <v>15126</v>
      </c>
      <c r="D5002" s="8" t="s">
        <v>16</v>
      </c>
      <c r="E5002" s="8" t="s">
        <v>17</v>
      </c>
      <c r="F5002" s="9">
        <v>46107.0</v>
      </c>
      <c r="G5002" s="8" t="s">
        <v>158</v>
      </c>
      <c r="H5002" s="8" t="s">
        <v>159</v>
      </c>
      <c r="I5002" s="8" t="s">
        <v>15127</v>
      </c>
      <c r="J5002" s="8" t="s">
        <v>15128</v>
      </c>
    </row>
    <row r="5003">
      <c r="A5003" s="7">
        <v>2.0043161E7</v>
      </c>
      <c r="B5003" s="8" t="s">
        <v>2471</v>
      </c>
      <c r="C5003" s="8" t="s">
        <v>15129</v>
      </c>
      <c r="D5003" s="8" t="s">
        <v>16</v>
      </c>
      <c r="E5003" s="8" t="s">
        <v>17</v>
      </c>
      <c r="F5003" s="9">
        <v>46108.0</v>
      </c>
      <c r="G5003" s="8" t="s">
        <v>400</v>
      </c>
      <c r="H5003" s="8" t="s">
        <v>401</v>
      </c>
      <c r="I5003" s="8" t="s">
        <v>15130</v>
      </c>
      <c r="J5003" s="8" t="s">
        <v>15131</v>
      </c>
    </row>
    <row r="5004">
      <c r="A5004" s="7">
        <v>2.0043161E7</v>
      </c>
      <c r="B5004" s="8" t="s">
        <v>2471</v>
      </c>
      <c r="C5004" s="8" t="s">
        <v>15129</v>
      </c>
      <c r="D5004" s="8" t="s">
        <v>16</v>
      </c>
      <c r="E5004" s="8" t="s">
        <v>17</v>
      </c>
      <c r="F5004" s="9">
        <v>46108.0</v>
      </c>
      <c r="G5004" s="8" t="s">
        <v>400</v>
      </c>
      <c r="H5004" s="8" t="s">
        <v>401</v>
      </c>
      <c r="I5004" s="8" t="s">
        <v>15132</v>
      </c>
      <c r="J5004" s="8" t="s">
        <v>15131</v>
      </c>
    </row>
    <row r="5005">
      <c r="A5005" s="7">
        <v>2.0043161E7</v>
      </c>
      <c r="B5005" s="8" t="s">
        <v>2471</v>
      </c>
      <c r="C5005" s="8" t="s">
        <v>15129</v>
      </c>
      <c r="D5005" s="8" t="s">
        <v>16</v>
      </c>
      <c r="E5005" s="8" t="s">
        <v>17</v>
      </c>
      <c r="F5005" s="9">
        <v>46108.0</v>
      </c>
      <c r="G5005" s="8" t="s">
        <v>454</v>
      </c>
      <c r="H5005" s="8" t="s">
        <v>455</v>
      </c>
      <c r="I5005" s="8" t="s">
        <v>15133</v>
      </c>
      <c r="J5005" s="8" t="s">
        <v>15134</v>
      </c>
    </row>
    <row r="5006">
      <c r="A5006" s="7">
        <v>2.0041301E7</v>
      </c>
      <c r="B5006" s="8" t="s">
        <v>2471</v>
      </c>
      <c r="C5006" s="8" t="s">
        <v>15135</v>
      </c>
      <c r="D5006" s="8" t="s">
        <v>16</v>
      </c>
      <c r="E5006" s="8" t="s">
        <v>17</v>
      </c>
      <c r="F5006" s="9">
        <v>46085.0</v>
      </c>
      <c r="G5006" s="8" t="s">
        <v>2625</v>
      </c>
      <c r="H5006" s="8" t="s">
        <v>827</v>
      </c>
      <c r="I5006" s="8" t="s">
        <v>15136</v>
      </c>
      <c r="J5006" s="8" t="s">
        <v>15137</v>
      </c>
    </row>
    <row r="5007">
      <c r="A5007" s="7">
        <v>2.0043492E7</v>
      </c>
      <c r="B5007" s="8" t="s">
        <v>2471</v>
      </c>
      <c r="C5007" s="8" t="s">
        <v>15138</v>
      </c>
      <c r="D5007" s="8" t="s">
        <v>16</v>
      </c>
      <c r="E5007" s="8" t="s">
        <v>17</v>
      </c>
      <c r="F5007" s="9">
        <v>46095.0</v>
      </c>
      <c r="G5007" s="8" t="s">
        <v>390</v>
      </c>
      <c r="H5007" s="8" t="s">
        <v>391</v>
      </c>
      <c r="I5007" s="8" t="s">
        <v>15139</v>
      </c>
      <c r="J5007" s="8" t="s">
        <v>15140</v>
      </c>
    </row>
    <row r="5008">
      <c r="A5008" s="7">
        <v>2.0041305E7</v>
      </c>
      <c r="B5008" s="8" t="s">
        <v>2471</v>
      </c>
      <c r="C5008" s="8" t="s">
        <v>15141</v>
      </c>
      <c r="D5008" s="8" t="s">
        <v>16</v>
      </c>
      <c r="E5008" s="8" t="s">
        <v>17</v>
      </c>
      <c r="F5008" s="9">
        <v>46063.0</v>
      </c>
      <c r="G5008" s="8" t="s">
        <v>339</v>
      </c>
      <c r="H5008" s="8" t="s">
        <v>340</v>
      </c>
      <c r="I5008" s="8" t="s">
        <v>15142</v>
      </c>
      <c r="J5008" s="8" t="s">
        <v>15143</v>
      </c>
    </row>
    <row r="5009">
      <c r="A5009" s="7">
        <v>2.0038771E7</v>
      </c>
      <c r="B5009" s="8" t="s">
        <v>2471</v>
      </c>
      <c r="C5009" s="8" t="s">
        <v>15144</v>
      </c>
      <c r="D5009" s="8" t="s">
        <v>16</v>
      </c>
      <c r="E5009" s="8" t="s">
        <v>17</v>
      </c>
      <c r="F5009" s="9">
        <v>46073.0</v>
      </c>
      <c r="G5009" s="8" t="s">
        <v>282</v>
      </c>
      <c r="H5009" s="8" t="s">
        <v>71</v>
      </c>
      <c r="I5009" s="8" t="s">
        <v>15145</v>
      </c>
      <c r="J5009" s="8" t="s">
        <v>15146</v>
      </c>
    </row>
    <row r="5010">
      <c r="A5010" s="7">
        <v>2.0039203E7</v>
      </c>
      <c r="B5010" s="8" t="s">
        <v>2471</v>
      </c>
      <c r="C5010" s="8" t="s">
        <v>15147</v>
      </c>
      <c r="D5010" s="8" t="s">
        <v>16</v>
      </c>
      <c r="E5010" s="8" t="s">
        <v>17</v>
      </c>
      <c r="F5010" s="9">
        <v>46081.0</v>
      </c>
      <c r="G5010" s="8" t="s">
        <v>390</v>
      </c>
      <c r="H5010" s="8" t="s">
        <v>391</v>
      </c>
      <c r="I5010" s="8" t="s">
        <v>15148</v>
      </c>
      <c r="J5010" s="8" t="s">
        <v>15149</v>
      </c>
    </row>
    <row r="5011">
      <c r="A5011" s="7">
        <v>2.0038139E7</v>
      </c>
      <c r="B5011" s="8" t="s">
        <v>2471</v>
      </c>
      <c r="C5011" s="8" t="s">
        <v>15150</v>
      </c>
      <c r="D5011" s="8" t="s">
        <v>16</v>
      </c>
      <c r="E5011" s="8" t="s">
        <v>17</v>
      </c>
      <c r="F5011" s="9">
        <v>46067.0</v>
      </c>
      <c r="G5011" s="8" t="s">
        <v>273</v>
      </c>
      <c r="H5011" s="8" t="s">
        <v>274</v>
      </c>
      <c r="I5011" s="8" t="s">
        <v>15151</v>
      </c>
      <c r="J5011" s="8" t="s">
        <v>15152</v>
      </c>
    </row>
    <row r="5012">
      <c r="A5012" s="7">
        <v>2.003737E7</v>
      </c>
      <c r="B5012" s="8" t="s">
        <v>2471</v>
      </c>
      <c r="C5012" s="8" t="s">
        <v>15153</v>
      </c>
      <c r="D5012" s="8" t="s">
        <v>16</v>
      </c>
      <c r="E5012" s="8" t="s">
        <v>17</v>
      </c>
      <c r="F5012" s="9">
        <v>46047.0</v>
      </c>
      <c r="G5012" s="8" t="s">
        <v>846</v>
      </c>
      <c r="H5012" s="8" t="s">
        <v>847</v>
      </c>
      <c r="I5012" s="8" t="s">
        <v>15154</v>
      </c>
      <c r="J5012" s="8" t="s">
        <v>15155</v>
      </c>
    </row>
    <row r="5013">
      <c r="A5013" s="7">
        <v>2.0058685E7</v>
      </c>
      <c r="B5013" s="8" t="s">
        <v>2471</v>
      </c>
      <c r="C5013" s="8" t="s">
        <v>15156</v>
      </c>
      <c r="D5013" s="8" t="s">
        <v>16</v>
      </c>
      <c r="E5013" s="8" t="s">
        <v>17</v>
      </c>
      <c r="F5013" s="9">
        <v>46185.0</v>
      </c>
      <c r="G5013" s="8" t="s">
        <v>2202</v>
      </c>
      <c r="H5013" s="8" t="s">
        <v>2203</v>
      </c>
      <c r="I5013" s="8" t="s">
        <v>15157</v>
      </c>
      <c r="J5013" s="8" t="s">
        <v>15158</v>
      </c>
    </row>
    <row r="5014">
      <c r="A5014" s="7">
        <v>2.0053865E7</v>
      </c>
      <c r="B5014" s="8" t="s">
        <v>2471</v>
      </c>
      <c r="C5014" s="8" t="s">
        <v>15159</v>
      </c>
      <c r="D5014" s="8" t="s">
        <v>16</v>
      </c>
      <c r="E5014" s="8" t="s">
        <v>17</v>
      </c>
      <c r="F5014" s="9">
        <v>46130.0</v>
      </c>
      <c r="G5014" s="8" t="s">
        <v>5030</v>
      </c>
      <c r="H5014" s="8" t="s">
        <v>10431</v>
      </c>
      <c r="I5014" s="8" t="s">
        <v>15160</v>
      </c>
      <c r="J5014" s="8" t="s">
        <v>15161</v>
      </c>
    </row>
    <row r="5015">
      <c r="A5015" s="7">
        <v>2.0051112E7</v>
      </c>
      <c r="B5015" s="8" t="s">
        <v>2471</v>
      </c>
      <c r="C5015" s="8" t="s">
        <v>15162</v>
      </c>
      <c r="D5015" s="8" t="s">
        <v>16</v>
      </c>
      <c r="E5015" s="8" t="s">
        <v>17</v>
      </c>
      <c r="F5015" s="9">
        <v>46135.0</v>
      </c>
      <c r="G5015" s="8" t="s">
        <v>1503</v>
      </c>
      <c r="H5015" s="8" t="s">
        <v>1504</v>
      </c>
      <c r="I5015" s="8" t="s">
        <v>15163</v>
      </c>
      <c r="J5015" s="8" t="s">
        <v>15164</v>
      </c>
    </row>
    <row r="5016">
      <c r="A5016" s="7">
        <v>2.0047114E7</v>
      </c>
      <c r="B5016" s="8" t="s">
        <v>2471</v>
      </c>
      <c r="C5016" s="8" t="s">
        <v>15165</v>
      </c>
      <c r="D5016" s="8" t="s">
        <v>16</v>
      </c>
      <c r="E5016" s="8" t="s">
        <v>17</v>
      </c>
      <c r="F5016" s="9">
        <v>46106.0</v>
      </c>
      <c r="G5016" s="8" t="s">
        <v>1132</v>
      </c>
      <c r="H5016" s="8" t="s">
        <v>1133</v>
      </c>
      <c r="I5016" s="8" t="s">
        <v>15166</v>
      </c>
      <c r="J5016" s="8" t="s">
        <v>15167</v>
      </c>
    </row>
    <row r="5017">
      <c r="A5017" s="7">
        <v>2.0044733E7</v>
      </c>
      <c r="B5017" s="8" t="s">
        <v>2471</v>
      </c>
      <c r="C5017" s="8" t="s">
        <v>15168</v>
      </c>
      <c r="D5017" s="8" t="s">
        <v>16</v>
      </c>
      <c r="E5017" s="8" t="s">
        <v>17</v>
      </c>
      <c r="F5017" s="9">
        <v>46097.0</v>
      </c>
      <c r="G5017" s="8" t="s">
        <v>601</v>
      </c>
      <c r="H5017" s="8" t="s">
        <v>602</v>
      </c>
      <c r="I5017" s="8" t="s">
        <v>15169</v>
      </c>
      <c r="J5017" s="8" t="s">
        <v>15170</v>
      </c>
    </row>
    <row r="5018">
      <c r="A5018" s="7">
        <v>2.0042772E7</v>
      </c>
      <c r="B5018" s="8" t="s">
        <v>2471</v>
      </c>
      <c r="C5018" s="8" t="s">
        <v>15171</v>
      </c>
      <c r="D5018" s="8" t="s">
        <v>16</v>
      </c>
      <c r="E5018" s="8" t="s">
        <v>17</v>
      </c>
      <c r="F5018" s="9">
        <v>46069.0</v>
      </c>
      <c r="G5018" s="8" t="s">
        <v>873</v>
      </c>
      <c r="H5018" s="8" t="s">
        <v>874</v>
      </c>
      <c r="I5018" s="8" t="s">
        <v>15172</v>
      </c>
      <c r="J5018" s="8" t="s">
        <v>15173</v>
      </c>
    </row>
    <row r="5019">
      <c r="A5019" s="7">
        <v>2.0042224E7</v>
      </c>
      <c r="B5019" s="8" t="s">
        <v>2471</v>
      </c>
      <c r="C5019" s="8" t="s">
        <v>15174</v>
      </c>
      <c r="D5019" s="8" t="s">
        <v>16</v>
      </c>
      <c r="E5019" s="8" t="s">
        <v>17</v>
      </c>
      <c r="F5019" s="9">
        <v>46096.0</v>
      </c>
      <c r="G5019" s="8" t="s">
        <v>15175</v>
      </c>
      <c r="H5019" s="8" t="s">
        <v>15176</v>
      </c>
      <c r="I5019" s="8" t="s">
        <v>15177</v>
      </c>
      <c r="J5019" s="8" t="s">
        <v>15178</v>
      </c>
    </row>
    <row r="5020">
      <c r="A5020" s="7">
        <v>2.0038111E7</v>
      </c>
      <c r="B5020" s="8" t="s">
        <v>2471</v>
      </c>
      <c r="C5020" s="8" t="s">
        <v>15179</v>
      </c>
      <c r="D5020" s="8" t="s">
        <v>16</v>
      </c>
      <c r="E5020" s="8" t="s">
        <v>17</v>
      </c>
      <c r="F5020" s="9">
        <v>46070.0</v>
      </c>
      <c r="G5020" s="8" t="s">
        <v>14931</v>
      </c>
      <c r="H5020" s="8" t="s">
        <v>14932</v>
      </c>
      <c r="I5020" s="8" t="s">
        <v>15180</v>
      </c>
      <c r="J5020" s="8" t="s">
        <v>15181</v>
      </c>
    </row>
    <row r="5021">
      <c r="A5021" s="7">
        <v>2.0036353E7</v>
      </c>
      <c r="B5021" s="8" t="s">
        <v>2471</v>
      </c>
      <c r="C5021" s="8" t="s">
        <v>15182</v>
      </c>
      <c r="D5021" s="8" t="s">
        <v>16</v>
      </c>
      <c r="E5021" s="8" t="s">
        <v>17</v>
      </c>
      <c r="F5021" s="9">
        <v>46059.0</v>
      </c>
      <c r="G5021" s="8" t="s">
        <v>5916</v>
      </c>
      <c r="H5021" s="8" t="s">
        <v>6548</v>
      </c>
      <c r="I5021" s="8" t="s">
        <v>15183</v>
      </c>
      <c r="J5021" s="8" t="s">
        <v>15184</v>
      </c>
    </row>
    <row r="5022">
      <c r="A5022" s="7">
        <v>2.0035435E7</v>
      </c>
      <c r="B5022" s="8" t="s">
        <v>2471</v>
      </c>
      <c r="C5022" s="8" t="s">
        <v>15185</v>
      </c>
      <c r="D5022" s="8" t="s">
        <v>16</v>
      </c>
      <c r="E5022" s="8" t="s">
        <v>17</v>
      </c>
      <c r="F5022" s="9">
        <v>46057.0</v>
      </c>
      <c r="G5022" s="8" t="s">
        <v>15186</v>
      </c>
      <c r="H5022" s="8" t="s">
        <v>15187</v>
      </c>
      <c r="I5022" s="8" t="s">
        <v>15188</v>
      </c>
      <c r="J5022" s="8" t="s">
        <v>15189</v>
      </c>
    </row>
    <row r="5023">
      <c r="A5023" s="7">
        <v>2.003444E7</v>
      </c>
      <c r="B5023" s="8" t="s">
        <v>2471</v>
      </c>
      <c r="C5023" s="8" t="s">
        <v>15190</v>
      </c>
      <c r="D5023" s="8" t="s">
        <v>16</v>
      </c>
      <c r="E5023" s="8" t="s">
        <v>17</v>
      </c>
      <c r="F5023" s="9">
        <v>46037.0</v>
      </c>
      <c r="G5023" s="8" t="s">
        <v>91</v>
      </c>
      <c r="H5023" s="8" t="s">
        <v>92</v>
      </c>
      <c r="I5023" s="8" t="s">
        <v>15191</v>
      </c>
      <c r="J5023" s="8" t="s">
        <v>15192</v>
      </c>
    </row>
    <row r="5024">
      <c r="A5024" s="7">
        <v>2.0033668E7</v>
      </c>
      <c r="B5024" s="8" t="s">
        <v>2471</v>
      </c>
      <c r="C5024" s="8" t="s">
        <v>15193</v>
      </c>
      <c r="D5024" s="8" t="s">
        <v>16</v>
      </c>
      <c r="E5024" s="8" t="s">
        <v>17</v>
      </c>
      <c r="F5024" s="9">
        <v>46057.0</v>
      </c>
      <c r="G5024" s="8" t="s">
        <v>15194</v>
      </c>
      <c r="H5024" s="8" t="s">
        <v>6205</v>
      </c>
      <c r="I5024" s="8" t="s">
        <v>15195</v>
      </c>
      <c r="J5024" s="8" t="s">
        <v>15196</v>
      </c>
    </row>
    <row r="5025">
      <c r="A5025" s="7">
        <v>2.0064295E7</v>
      </c>
      <c r="B5025" s="8" t="s">
        <v>2471</v>
      </c>
      <c r="C5025" s="8" t="s">
        <v>15197</v>
      </c>
      <c r="D5025" s="8" t="s">
        <v>16</v>
      </c>
      <c r="E5025" s="8" t="s">
        <v>17</v>
      </c>
      <c r="F5025" s="9">
        <v>46184.0</v>
      </c>
      <c r="G5025" s="8" t="s">
        <v>220</v>
      </c>
      <c r="H5025" s="8" t="s">
        <v>221</v>
      </c>
      <c r="I5025" s="8" t="s">
        <v>15198</v>
      </c>
      <c r="J5025" s="8" t="s">
        <v>15199</v>
      </c>
    </row>
    <row r="5026">
      <c r="A5026" s="7">
        <v>2.0057297E7</v>
      </c>
      <c r="B5026" s="8" t="s">
        <v>2471</v>
      </c>
      <c r="C5026" s="8" t="s">
        <v>15200</v>
      </c>
      <c r="D5026" s="8" t="s">
        <v>16</v>
      </c>
      <c r="E5026" s="8" t="s">
        <v>17</v>
      </c>
      <c r="F5026" s="9">
        <v>46155.0</v>
      </c>
      <c r="G5026" s="8" t="s">
        <v>3607</v>
      </c>
      <c r="H5026" s="8" t="s">
        <v>3608</v>
      </c>
      <c r="I5026" s="8" t="s">
        <v>15201</v>
      </c>
      <c r="J5026" s="8" t="s">
        <v>15202</v>
      </c>
    </row>
    <row r="5027">
      <c r="A5027" s="7">
        <v>2.005638E7</v>
      </c>
      <c r="B5027" s="8" t="s">
        <v>2471</v>
      </c>
      <c r="C5027" s="8" t="s">
        <v>15203</v>
      </c>
      <c r="D5027" s="8" t="s">
        <v>16</v>
      </c>
      <c r="E5027" s="8" t="s">
        <v>17</v>
      </c>
      <c r="F5027" s="9">
        <v>46133.0</v>
      </c>
      <c r="G5027" s="8" t="s">
        <v>91</v>
      </c>
      <c r="H5027" s="8" t="s">
        <v>92</v>
      </c>
      <c r="I5027" s="8" t="s">
        <v>15204</v>
      </c>
      <c r="J5027" s="8" t="s">
        <v>15205</v>
      </c>
    </row>
    <row r="5028">
      <c r="A5028" s="7">
        <v>2.0053487E7</v>
      </c>
      <c r="B5028" s="8" t="s">
        <v>2471</v>
      </c>
      <c r="C5028" s="8" t="s">
        <v>15206</v>
      </c>
      <c r="D5028" s="8" t="s">
        <v>16</v>
      </c>
      <c r="E5028" s="8" t="s">
        <v>17</v>
      </c>
      <c r="F5028" s="9">
        <v>46138.0</v>
      </c>
      <c r="G5028" s="8" t="s">
        <v>4382</v>
      </c>
      <c r="H5028" s="8" t="s">
        <v>4383</v>
      </c>
      <c r="I5028" s="8" t="s">
        <v>15207</v>
      </c>
      <c r="J5028" s="8" t="s">
        <v>15208</v>
      </c>
    </row>
    <row r="5029">
      <c r="A5029" s="7">
        <v>2.0052408E7</v>
      </c>
      <c r="B5029" s="8" t="s">
        <v>2471</v>
      </c>
      <c r="C5029" s="8" t="s">
        <v>15209</v>
      </c>
      <c r="D5029" s="8" t="s">
        <v>16</v>
      </c>
      <c r="E5029" s="8" t="s">
        <v>17</v>
      </c>
      <c r="F5029" s="9">
        <v>46132.0</v>
      </c>
      <c r="G5029" s="8" t="s">
        <v>717</v>
      </c>
      <c r="H5029" s="8" t="s">
        <v>718</v>
      </c>
      <c r="I5029" s="8" t="s">
        <v>15210</v>
      </c>
      <c r="J5029" s="8" t="s">
        <v>15211</v>
      </c>
    </row>
    <row r="5030">
      <c r="A5030" s="7">
        <v>2.0051917E7</v>
      </c>
      <c r="B5030" s="8" t="s">
        <v>2471</v>
      </c>
      <c r="C5030" s="8" t="s">
        <v>15212</v>
      </c>
      <c r="D5030" s="8" t="s">
        <v>16</v>
      </c>
      <c r="E5030" s="8" t="s">
        <v>17</v>
      </c>
      <c r="F5030" s="9">
        <v>46137.0</v>
      </c>
      <c r="G5030" s="8" t="s">
        <v>3133</v>
      </c>
      <c r="H5030" s="8" t="s">
        <v>3134</v>
      </c>
      <c r="I5030" s="8" t="s">
        <v>15213</v>
      </c>
      <c r="J5030" s="8"/>
    </row>
    <row r="5031">
      <c r="A5031" s="7">
        <v>2.0051599E7</v>
      </c>
      <c r="B5031" s="8" t="s">
        <v>2471</v>
      </c>
      <c r="C5031" s="8" t="s">
        <v>15214</v>
      </c>
      <c r="D5031" s="8" t="s">
        <v>16</v>
      </c>
      <c r="E5031" s="8" t="s">
        <v>17</v>
      </c>
      <c r="F5031" s="9">
        <v>46129.0</v>
      </c>
      <c r="G5031" s="8" t="s">
        <v>6072</v>
      </c>
      <c r="H5031" s="8" t="s">
        <v>6073</v>
      </c>
      <c r="I5031" s="8" t="s">
        <v>15215</v>
      </c>
      <c r="J5031" s="8" t="s">
        <v>15216</v>
      </c>
    </row>
    <row r="5032">
      <c r="A5032" s="7">
        <v>2.0045837E7</v>
      </c>
      <c r="B5032" s="8" t="s">
        <v>2471</v>
      </c>
      <c r="C5032" s="8" t="s">
        <v>15217</v>
      </c>
      <c r="D5032" s="8" t="s">
        <v>16</v>
      </c>
      <c r="E5032" s="8" t="s">
        <v>17</v>
      </c>
      <c r="F5032" s="9">
        <v>46123.0</v>
      </c>
      <c r="G5032" s="8" t="s">
        <v>15218</v>
      </c>
      <c r="H5032" s="8" t="s">
        <v>15219</v>
      </c>
      <c r="I5032" s="8" t="s">
        <v>15220</v>
      </c>
      <c r="J5032" s="8" t="s">
        <v>15221</v>
      </c>
    </row>
    <row r="5033">
      <c r="A5033" s="7">
        <v>2.0048447E7</v>
      </c>
      <c r="B5033" s="8" t="s">
        <v>2471</v>
      </c>
      <c r="C5033" s="8" t="s">
        <v>15222</v>
      </c>
      <c r="D5033" s="8" t="s">
        <v>16</v>
      </c>
      <c r="E5033" s="8" t="s">
        <v>17</v>
      </c>
      <c r="F5033" s="9">
        <v>46092.0</v>
      </c>
      <c r="G5033" s="8" t="s">
        <v>365</v>
      </c>
      <c r="H5033" s="8" t="s">
        <v>366</v>
      </c>
      <c r="I5033" s="8" t="s">
        <v>15223</v>
      </c>
      <c r="J5033" s="8" t="s">
        <v>15224</v>
      </c>
    </row>
    <row r="5034">
      <c r="A5034" s="7">
        <v>2.0044289E7</v>
      </c>
      <c r="B5034" s="8" t="s">
        <v>2471</v>
      </c>
      <c r="C5034" s="8" t="s">
        <v>15225</v>
      </c>
      <c r="D5034" s="8" t="s">
        <v>16</v>
      </c>
      <c r="E5034" s="8" t="s">
        <v>17</v>
      </c>
      <c r="F5034" s="9">
        <v>46096.0</v>
      </c>
      <c r="G5034" s="8" t="s">
        <v>1049</v>
      </c>
      <c r="H5034" s="8" t="s">
        <v>1050</v>
      </c>
      <c r="I5034" s="8" t="s">
        <v>15226</v>
      </c>
      <c r="J5034" s="8" t="s">
        <v>15227</v>
      </c>
    </row>
    <row r="5035">
      <c r="A5035" s="7">
        <v>2.0043751E7</v>
      </c>
      <c r="B5035" s="8" t="s">
        <v>2471</v>
      </c>
      <c r="C5035" s="8" t="s">
        <v>15228</v>
      </c>
      <c r="D5035" s="8" t="s">
        <v>16</v>
      </c>
      <c r="E5035" s="8" t="s">
        <v>17</v>
      </c>
      <c r="F5035" s="9">
        <v>46094.0</v>
      </c>
      <c r="G5035" s="8" t="s">
        <v>18</v>
      </c>
      <c r="H5035" s="8" t="s">
        <v>19</v>
      </c>
      <c r="I5035" s="8" t="s">
        <v>15229</v>
      </c>
      <c r="J5035" s="8" t="s">
        <v>15230</v>
      </c>
    </row>
    <row r="5036">
      <c r="A5036" s="7">
        <v>2.004427E7</v>
      </c>
      <c r="B5036" s="8" t="s">
        <v>2471</v>
      </c>
      <c r="C5036" s="8" t="s">
        <v>15231</v>
      </c>
      <c r="D5036" s="8" t="s">
        <v>16</v>
      </c>
      <c r="E5036" s="8" t="s">
        <v>17</v>
      </c>
      <c r="F5036" s="9">
        <v>46075.0</v>
      </c>
      <c r="G5036" s="8" t="s">
        <v>59</v>
      </c>
      <c r="H5036" s="8" t="s">
        <v>60</v>
      </c>
      <c r="I5036" s="8" t="s">
        <v>15232</v>
      </c>
      <c r="J5036" s="8" t="s">
        <v>15233</v>
      </c>
    </row>
    <row r="5037">
      <c r="A5037" s="7">
        <v>2.0042764E7</v>
      </c>
      <c r="B5037" s="8" t="s">
        <v>2471</v>
      </c>
      <c r="C5037" s="8" t="s">
        <v>15234</v>
      </c>
      <c r="D5037" s="8" t="s">
        <v>16</v>
      </c>
      <c r="E5037" s="8" t="s">
        <v>17</v>
      </c>
      <c r="F5037" s="9">
        <v>46081.0</v>
      </c>
      <c r="G5037" s="8" t="s">
        <v>400</v>
      </c>
      <c r="H5037" s="8" t="s">
        <v>401</v>
      </c>
      <c r="I5037" s="8" t="s">
        <v>15235</v>
      </c>
      <c r="J5037" s="8" t="s">
        <v>15236</v>
      </c>
    </row>
    <row r="5038">
      <c r="A5038" s="7">
        <v>2.0036733E7</v>
      </c>
      <c r="B5038" s="8" t="s">
        <v>2471</v>
      </c>
      <c r="C5038" s="8" t="s">
        <v>15237</v>
      </c>
      <c r="D5038" s="8" t="s">
        <v>16</v>
      </c>
      <c r="E5038" s="8" t="s">
        <v>17</v>
      </c>
      <c r="F5038" s="9">
        <v>46087.0</v>
      </c>
      <c r="G5038" s="8" t="s">
        <v>15238</v>
      </c>
      <c r="H5038" s="8" t="s">
        <v>15239</v>
      </c>
      <c r="I5038" s="8" t="s">
        <v>15240</v>
      </c>
      <c r="J5038" s="8" t="s">
        <v>15241</v>
      </c>
    </row>
    <row r="5039">
      <c r="A5039" s="7">
        <v>2.004064E7</v>
      </c>
      <c r="B5039" s="8" t="s">
        <v>2471</v>
      </c>
      <c r="C5039" s="8" t="s">
        <v>15242</v>
      </c>
      <c r="D5039" s="8" t="s">
        <v>16</v>
      </c>
      <c r="E5039" s="8" t="s">
        <v>17</v>
      </c>
      <c r="F5039" s="9">
        <v>46062.0</v>
      </c>
      <c r="G5039" s="8" t="s">
        <v>14510</v>
      </c>
      <c r="H5039" s="8" t="s">
        <v>14511</v>
      </c>
      <c r="I5039" s="8" t="s">
        <v>15243</v>
      </c>
      <c r="J5039" s="8" t="s">
        <v>15244</v>
      </c>
    </row>
    <row r="5040">
      <c r="A5040" s="7">
        <v>2.003946E7</v>
      </c>
      <c r="B5040" s="8" t="s">
        <v>2471</v>
      </c>
      <c r="C5040" s="8" t="s">
        <v>15245</v>
      </c>
      <c r="D5040" s="8" t="s">
        <v>16</v>
      </c>
      <c r="E5040" s="8" t="s">
        <v>17</v>
      </c>
      <c r="F5040" s="9">
        <v>46068.0</v>
      </c>
      <c r="G5040" s="8" t="s">
        <v>220</v>
      </c>
      <c r="H5040" s="8" t="s">
        <v>221</v>
      </c>
      <c r="I5040" s="8" t="s">
        <v>15246</v>
      </c>
      <c r="J5040" s="8" t="s">
        <v>15247</v>
      </c>
    </row>
    <row r="5041">
      <c r="A5041" s="7">
        <v>2.0034203E7</v>
      </c>
      <c r="B5041" s="8" t="s">
        <v>2471</v>
      </c>
      <c r="C5041" s="8" t="s">
        <v>15248</v>
      </c>
      <c r="D5041" s="8" t="s">
        <v>16</v>
      </c>
      <c r="E5041" s="8" t="s">
        <v>17</v>
      </c>
      <c r="F5041" s="9">
        <v>46042.0</v>
      </c>
      <c r="G5041" s="8" t="s">
        <v>339</v>
      </c>
      <c r="H5041" s="8" t="s">
        <v>340</v>
      </c>
      <c r="I5041" s="8" t="s">
        <v>15249</v>
      </c>
      <c r="J5041" s="8" t="s">
        <v>15250</v>
      </c>
    </row>
    <row r="5042">
      <c r="A5042" s="7">
        <v>2.0059776E7</v>
      </c>
      <c r="B5042" s="8" t="s">
        <v>2471</v>
      </c>
      <c r="C5042" s="8" t="s">
        <v>15251</v>
      </c>
      <c r="D5042" s="8" t="s">
        <v>16</v>
      </c>
      <c r="E5042" s="8" t="s">
        <v>17</v>
      </c>
      <c r="F5042" s="9">
        <v>46149.0</v>
      </c>
      <c r="G5042" s="8" t="s">
        <v>34</v>
      </c>
      <c r="H5042" s="8" t="s">
        <v>35</v>
      </c>
      <c r="I5042" s="8" t="s">
        <v>15252</v>
      </c>
      <c r="J5042" s="8" t="s">
        <v>15253</v>
      </c>
    </row>
    <row r="5043">
      <c r="A5043" s="7">
        <v>2.0059494E7</v>
      </c>
      <c r="B5043" s="8" t="s">
        <v>2471</v>
      </c>
      <c r="C5043" s="8" t="s">
        <v>15254</v>
      </c>
      <c r="D5043" s="8" t="s">
        <v>16</v>
      </c>
      <c r="E5043" s="8" t="s">
        <v>17</v>
      </c>
      <c r="F5043" s="9">
        <v>46142.0</v>
      </c>
      <c r="G5043" s="8" t="s">
        <v>59</v>
      </c>
      <c r="H5043" s="8" t="s">
        <v>60</v>
      </c>
      <c r="I5043" s="8" t="s">
        <v>15255</v>
      </c>
      <c r="J5043" s="8" t="s">
        <v>15256</v>
      </c>
    </row>
    <row r="5044">
      <c r="A5044" s="7">
        <v>2.0052404E7</v>
      </c>
      <c r="B5044" s="8" t="s">
        <v>2471</v>
      </c>
      <c r="C5044" s="8" t="s">
        <v>15257</v>
      </c>
      <c r="D5044" s="8" t="s">
        <v>16</v>
      </c>
      <c r="E5044" s="8" t="s">
        <v>17</v>
      </c>
      <c r="F5044" s="9">
        <v>46134.0</v>
      </c>
      <c r="G5044" s="8" t="s">
        <v>15258</v>
      </c>
      <c r="H5044" s="8" t="s">
        <v>15259</v>
      </c>
      <c r="I5044" s="8" t="s">
        <v>15260</v>
      </c>
      <c r="J5044" s="8" t="s">
        <v>15261</v>
      </c>
    </row>
    <row r="5045">
      <c r="A5045" s="7">
        <v>2.0040144E7</v>
      </c>
      <c r="B5045" s="8" t="s">
        <v>2471</v>
      </c>
      <c r="C5045" s="8" t="s">
        <v>15262</v>
      </c>
      <c r="D5045" s="8" t="s">
        <v>16</v>
      </c>
      <c r="E5045" s="8" t="s">
        <v>17</v>
      </c>
      <c r="F5045" s="9">
        <v>46107.0</v>
      </c>
      <c r="G5045" s="8" t="s">
        <v>7354</v>
      </c>
      <c r="H5045" s="8" t="s">
        <v>7355</v>
      </c>
      <c r="I5045" s="8" t="s">
        <v>15263</v>
      </c>
      <c r="J5045" s="8" t="s">
        <v>15264</v>
      </c>
    </row>
    <row r="5046">
      <c r="A5046" s="7">
        <v>2.004059E7</v>
      </c>
      <c r="B5046" s="8" t="s">
        <v>2471</v>
      </c>
      <c r="C5046" s="8" t="s">
        <v>15265</v>
      </c>
      <c r="D5046" s="8" t="s">
        <v>16</v>
      </c>
      <c r="E5046" s="8" t="s">
        <v>17</v>
      </c>
      <c r="F5046" s="9">
        <v>46080.0</v>
      </c>
      <c r="G5046" s="8" t="s">
        <v>1537</v>
      </c>
      <c r="H5046" s="8" t="s">
        <v>1538</v>
      </c>
      <c r="I5046" s="8" t="s">
        <v>15266</v>
      </c>
      <c r="J5046" s="8" t="s">
        <v>15267</v>
      </c>
    </row>
    <row r="5047">
      <c r="A5047" s="7">
        <v>2.0067911E7</v>
      </c>
      <c r="B5047" s="8" t="s">
        <v>2471</v>
      </c>
      <c r="C5047" s="8" t="s">
        <v>15268</v>
      </c>
      <c r="D5047" s="8" t="s">
        <v>16</v>
      </c>
      <c r="E5047" s="8" t="s">
        <v>17</v>
      </c>
      <c r="F5047" s="9">
        <v>46192.0</v>
      </c>
      <c r="G5047" s="8" t="s">
        <v>5425</v>
      </c>
      <c r="H5047" s="8" t="s">
        <v>5426</v>
      </c>
      <c r="I5047" s="8" t="s">
        <v>15269</v>
      </c>
      <c r="J5047" s="8" t="s">
        <v>15270</v>
      </c>
    </row>
    <row r="5048">
      <c r="A5048" s="7">
        <v>2.0062722E7</v>
      </c>
      <c r="B5048" s="8" t="s">
        <v>2471</v>
      </c>
      <c r="C5048" s="8" t="s">
        <v>15271</v>
      </c>
      <c r="D5048" s="8" t="s">
        <v>16</v>
      </c>
      <c r="E5048" s="8" t="s">
        <v>17</v>
      </c>
      <c r="F5048" s="9">
        <v>46186.0</v>
      </c>
      <c r="G5048" s="8" t="s">
        <v>314</v>
      </c>
      <c r="H5048" s="8" t="s">
        <v>315</v>
      </c>
      <c r="I5048" s="8" t="s">
        <v>15272</v>
      </c>
      <c r="J5048" s="8" t="s">
        <v>15273</v>
      </c>
    </row>
    <row r="5049">
      <c r="A5049" s="7">
        <v>2.0057639E7</v>
      </c>
      <c r="B5049" s="8" t="s">
        <v>2471</v>
      </c>
      <c r="C5049" s="8" t="s">
        <v>15274</v>
      </c>
      <c r="D5049" s="8" t="s">
        <v>16</v>
      </c>
      <c r="E5049" s="8" t="s">
        <v>17</v>
      </c>
      <c r="F5049" s="9">
        <v>46150.0</v>
      </c>
      <c r="G5049" s="8" t="s">
        <v>400</v>
      </c>
      <c r="H5049" s="8" t="s">
        <v>2144</v>
      </c>
      <c r="I5049" s="8" t="s">
        <v>15275</v>
      </c>
      <c r="J5049" s="8" t="s">
        <v>15276</v>
      </c>
    </row>
    <row r="5050">
      <c r="A5050" s="7">
        <v>2.0045503E7</v>
      </c>
      <c r="B5050" s="8" t="s">
        <v>2471</v>
      </c>
      <c r="C5050" s="8" t="s">
        <v>15277</v>
      </c>
      <c r="D5050" s="8" t="s">
        <v>16</v>
      </c>
      <c r="E5050" s="8" t="s">
        <v>17</v>
      </c>
      <c r="F5050" s="9">
        <v>46108.0</v>
      </c>
      <c r="G5050" s="8" t="s">
        <v>5951</v>
      </c>
      <c r="H5050" s="8" t="s">
        <v>5952</v>
      </c>
      <c r="I5050" s="8" t="s">
        <v>15278</v>
      </c>
      <c r="J5050" s="8" t="s">
        <v>15279</v>
      </c>
    </row>
    <row r="5051">
      <c r="A5051" s="7">
        <v>2.004168E7</v>
      </c>
      <c r="B5051" s="8" t="s">
        <v>2471</v>
      </c>
      <c r="C5051" s="8" t="s">
        <v>15280</v>
      </c>
      <c r="D5051" s="8" t="s">
        <v>16</v>
      </c>
      <c r="E5051" s="8" t="s">
        <v>17</v>
      </c>
      <c r="F5051" s="9">
        <v>46068.0</v>
      </c>
      <c r="G5051" s="8" t="s">
        <v>91</v>
      </c>
      <c r="H5051" s="8" t="s">
        <v>92</v>
      </c>
      <c r="I5051" s="8" t="s">
        <v>15281</v>
      </c>
      <c r="J5051" s="8" t="s">
        <v>15282</v>
      </c>
    </row>
    <row r="5052">
      <c r="A5052" s="7">
        <v>2.0039891E7</v>
      </c>
      <c r="B5052" s="8" t="s">
        <v>2471</v>
      </c>
      <c r="C5052" s="8" t="s">
        <v>15283</v>
      </c>
      <c r="D5052" s="8" t="s">
        <v>16</v>
      </c>
      <c r="E5052" s="8" t="s">
        <v>17</v>
      </c>
      <c r="F5052" s="9">
        <v>46080.0</v>
      </c>
      <c r="G5052" s="8" t="s">
        <v>15284</v>
      </c>
      <c r="H5052" s="8" t="s">
        <v>15285</v>
      </c>
      <c r="I5052" s="8" t="s">
        <v>15286</v>
      </c>
      <c r="J5052" s="8" t="s">
        <v>15287</v>
      </c>
    </row>
    <row r="5053">
      <c r="A5053" s="7">
        <v>2.0039152E7</v>
      </c>
      <c r="B5053" s="8" t="s">
        <v>2471</v>
      </c>
      <c r="C5053" s="8" t="s">
        <v>15288</v>
      </c>
      <c r="D5053" s="8" t="s">
        <v>16</v>
      </c>
      <c r="E5053" s="8" t="s">
        <v>17</v>
      </c>
      <c r="F5053" s="9">
        <v>46068.0</v>
      </c>
      <c r="G5053" s="8" t="s">
        <v>385</v>
      </c>
      <c r="H5053" s="8" t="s">
        <v>386</v>
      </c>
      <c r="I5053" s="8" t="s">
        <v>15289</v>
      </c>
      <c r="J5053" s="8" t="s">
        <v>15290</v>
      </c>
    </row>
    <row r="5054">
      <c r="A5054" s="7">
        <v>2.0038133E7</v>
      </c>
      <c r="B5054" s="8" t="s">
        <v>2471</v>
      </c>
      <c r="C5054" s="8" t="s">
        <v>15291</v>
      </c>
      <c r="D5054" s="8" t="s">
        <v>16</v>
      </c>
      <c r="E5054" s="8" t="s">
        <v>17</v>
      </c>
      <c r="F5054" s="9">
        <v>46074.0</v>
      </c>
      <c r="G5054" s="8" t="s">
        <v>390</v>
      </c>
      <c r="H5054" s="8" t="s">
        <v>391</v>
      </c>
      <c r="I5054" s="8" t="s">
        <v>15292</v>
      </c>
      <c r="J5054" s="8" t="s">
        <v>15293</v>
      </c>
    </row>
    <row r="5055">
      <c r="A5055" s="7">
        <v>2.0036159E7</v>
      </c>
      <c r="B5055" s="8" t="s">
        <v>2471</v>
      </c>
      <c r="C5055" s="8" t="s">
        <v>15294</v>
      </c>
      <c r="D5055" s="8" t="s">
        <v>16</v>
      </c>
      <c r="E5055" s="8" t="s">
        <v>17</v>
      </c>
      <c r="F5055" s="9">
        <v>46058.0</v>
      </c>
      <c r="G5055" s="8" t="s">
        <v>10091</v>
      </c>
      <c r="H5055" s="8" t="s">
        <v>10092</v>
      </c>
      <c r="I5055" s="8" t="s">
        <v>15295</v>
      </c>
      <c r="J5055" s="8" t="s">
        <v>15296</v>
      </c>
    </row>
    <row r="5056">
      <c r="A5056" s="7">
        <v>2.0034018E7</v>
      </c>
      <c r="B5056" s="8" t="s">
        <v>2471</v>
      </c>
      <c r="C5056" s="8" t="s">
        <v>15297</v>
      </c>
      <c r="D5056" s="8" t="s">
        <v>16</v>
      </c>
      <c r="E5056" s="8" t="s">
        <v>17</v>
      </c>
      <c r="F5056" s="9">
        <v>46063.0</v>
      </c>
      <c r="G5056" s="8" t="s">
        <v>15175</v>
      </c>
      <c r="H5056" s="8" t="s">
        <v>15176</v>
      </c>
      <c r="I5056" s="8" t="s">
        <v>15178</v>
      </c>
      <c r="J5056" s="8" t="s">
        <v>15298</v>
      </c>
    </row>
    <row r="5057">
      <c r="A5057" s="7">
        <v>2.0033213E7</v>
      </c>
      <c r="B5057" s="8" t="s">
        <v>2471</v>
      </c>
      <c r="C5057" s="8" t="s">
        <v>15299</v>
      </c>
      <c r="D5057" s="8" t="s">
        <v>16</v>
      </c>
      <c r="E5057" s="8" t="s">
        <v>17</v>
      </c>
      <c r="F5057" s="9">
        <v>46046.0</v>
      </c>
      <c r="G5057" s="8" t="s">
        <v>282</v>
      </c>
      <c r="H5057" s="8" t="s">
        <v>71</v>
      </c>
      <c r="I5057" s="8" t="s">
        <v>15300</v>
      </c>
      <c r="J5057" s="8" t="s">
        <v>15301</v>
      </c>
    </row>
    <row r="5058">
      <c r="A5058" s="7">
        <v>2.006071E7</v>
      </c>
      <c r="B5058" s="8" t="s">
        <v>2471</v>
      </c>
      <c r="C5058" s="8" t="s">
        <v>15302</v>
      </c>
      <c r="D5058" s="8" t="s">
        <v>16</v>
      </c>
      <c r="E5058" s="8" t="s">
        <v>17</v>
      </c>
      <c r="F5058" s="9">
        <v>46166.0</v>
      </c>
      <c r="G5058" s="8" t="s">
        <v>1007</v>
      </c>
      <c r="H5058" s="8" t="s">
        <v>1008</v>
      </c>
      <c r="I5058" s="8" t="s">
        <v>15303</v>
      </c>
      <c r="J5058" s="8" t="s">
        <v>15304</v>
      </c>
    </row>
    <row r="5059">
      <c r="A5059" s="7">
        <v>2.0062004E7</v>
      </c>
      <c r="B5059" s="8" t="s">
        <v>2471</v>
      </c>
      <c r="C5059" s="8" t="s">
        <v>15305</v>
      </c>
      <c r="D5059" s="8" t="s">
        <v>16</v>
      </c>
      <c r="E5059" s="8" t="s">
        <v>17</v>
      </c>
      <c r="F5059" s="9">
        <v>46188.0</v>
      </c>
      <c r="G5059" s="8" t="s">
        <v>1366</v>
      </c>
      <c r="H5059" s="8" t="s">
        <v>1367</v>
      </c>
      <c r="I5059" s="8" t="s">
        <v>15306</v>
      </c>
      <c r="J5059" s="8" t="s">
        <v>15307</v>
      </c>
    </row>
    <row r="5060">
      <c r="A5060" s="7">
        <v>2.0061787E7</v>
      </c>
      <c r="B5060" s="8" t="s">
        <v>2471</v>
      </c>
      <c r="C5060" s="8" t="s">
        <v>15308</v>
      </c>
      <c r="D5060" s="8" t="s">
        <v>16</v>
      </c>
      <c r="E5060" s="8" t="s">
        <v>17</v>
      </c>
      <c r="F5060" s="9">
        <v>46184.0</v>
      </c>
      <c r="G5060" s="8" t="s">
        <v>390</v>
      </c>
      <c r="H5060" s="8" t="s">
        <v>391</v>
      </c>
      <c r="I5060" s="8" t="s">
        <v>15309</v>
      </c>
      <c r="J5060" s="8" t="s">
        <v>15310</v>
      </c>
    </row>
    <row r="5061">
      <c r="A5061" s="7">
        <v>2.0054406E7</v>
      </c>
      <c r="B5061" s="8" t="s">
        <v>2471</v>
      </c>
      <c r="C5061" s="8" t="s">
        <v>15311</v>
      </c>
      <c r="D5061" s="8" t="s">
        <v>16</v>
      </c>
      <c r="E5061" s="8" t="s">
        <v>17</v>
      </c>
      <c r="F5061" s="9">
        <v>46143.0</v>
      </c>
      <c r="G5061" s="8" t="s">
        <v>361</v>
      </c>
      <c r="H5061" s="8" t="s">
        <v>362</v>
      </c>
      <c r="I5061" s="8" t="s">
        <v>15312</v>
      </c>
      <c r="J5061" s="8" t="s">
        <v>15313</v>
      </c>
    </row>
    <row r="5062">
      <c r="A5062" s="7">
        <v>2.0053667E7</v>
      </c>
      <c r="B5062" s="8" t="s">
        <v>2471</v>
      </c>
      <c r="C5062" s="8" t="s">
        <v>15314</v>
      </c>
      <c r="D5062" s="8" t="s">
        <v>16</v>
      </c>
      <c r="E5062" s="8" t="s">
        <v>17</v>
      </c>
      <c r="F5062" s="9">
        <v>46122.0</v>
      </c>
      <c r="G5062" s="8" t="s">
        <v>385</v>
      </c>
      <c r="H5062" s="8" t="s">
        <v>386</v>
      </c>
      <c r="I5062" s="8" t="s">
        <v>15315</v>
      </c>
      <c r="J5062" s="8" t="s">
        <v>15316</v>
      </c>
    </row>
    <row r="5063">
      <c r="A5063" s="7">
        <v>2.0052363E7</v>
      </c>
      <c r="B5063" s="8" t="s">
        <v>2471</v>
      </c>
      <c r="C5063" s="8" t="s">
        <v>15317</v>
      </c>
      <c r="D5063" s="8" t="s">
        <v>16</v>
      </c>
      <c r="E5063" s="8" t="s">
        <v>17</v>
      </c>
      <c r="F5063" s="9">
        <v>46117.0</v>
      </c>
      <c r="G5063" s="8" t="s">
        <v>220</v>
      </c>
      <c r="H5063" s="8" t="s">
        <v>221</v>
      </c>
      <c r="I5063" s="8" t="s">
        <v>15318</v>
      </c>
      <c r="J5063" s="8" t="s">
        <v>15319</v>
      </c>
    </row>
    <row r="5064">
      <c r="A5064" s="7">
        <v>2.0041382E7</v>
      </c>
      <c r="B5064" s="8" t="s">
        <v>2471</v>
      </c>
      <c r="C5064" s="8" t="s">
        <v>15320</v>
      </c>
      <c r="D5064" s="8" t="s">
        <v>16</v>
      </c>
      <c r="E5064" s="8" t="s">
        <v>17</v>
      </c>
      <c r="F5064" s="9">
        <v>46096.0</v>
      </c>
      <c r="G5064" s="8" t="s">
        <v>3172</v>
      </c>
      <c r="H5064" s="8" t="s">
        <v>120</v>
      </c>
      <c r="I5064" s="8" t="s">
        <v>15321</v>
      </c>
      <c r="J5064" s="8" t="s">
        <v>15322</v>
      </c>
    </row>
    <row r="5065">
      <c r="A5065" s="7">
        <v>2.0045145E7</v>
      </c>
      <c r="B5065" s="8" t="s">
        <v>2471</v>
      </c>
      <c r="C5065" s="8" t="s">
        <v>15323</v>
      </c>
      <c r="D5065" s="8" t="s">
        <v>16</v>
      </c>
      <c r="E5065" s="8" t="s">
        <v>17</v>
      </c>
      <c r="F5065" s="9">
        <v>46094.0</v>
      </c>
      <c r="G5065" s="8" t="s">
        <v>1045</v>
      </c>
      <c r="H5065" s="8" t="s">
        <v>909</v>
      </c>
      <c r="I5065" s="8" t="s">
        <v>15324</v>
      </c>
      <c r="J5065" s="8" t="s">
        <v>15325</v>
      </c>
    </row>
    <row r="5066">
      <c r="A5066" s="7">
        <v>2.0042264E7</v>
      </c>
      <c r="B5066" s="8" t="s">
        <v>2471</v>
      </c>
      <c r="C5066" s="8" t="s">
        <v>15326</v>
      </c>
      <c r="D5066" s="8" t="s">
        <v>16</v>
      </c>
      <c r="E5066" s="8" t="s">
        <v>17</v>
      </c>
      <c r="F5066" s="9">
        <v>46067.0</v>
      </c>
      <c r="G5066" s="8" t="s">
        <v>59</v>
      </c>
      <c r="H5066" s="8" t="s">
        <v>60</v>
      </c>
      <c r="I5066" s="8" t="s">
        <v>15327</v>
      </c>
      <c r="J5066" s="8" t="s">
        <v>15328</v>
      </c>
    </row>
    <row r="5067">
      <c r="A5067" s="7">
        <v>2.004135E7</v>
      </c>
      <c r="B5067" s="8" t="s">
        <v>2471</v>
      </c>
      <c r="C5067" s="8" t="s">
        <v>15329</v>
      </c>
      <c r="D5067" s="8" t="s">
        <v>16</v>
      </c>
      <c r="E5067" s="8" t="s">
        <v>17</v>
      </c>
      <c r="F5067" s="9">
        <v>46082.0</v>
      </c>
      <c r="G5067" s="8" t="s">
        <v>158</v>
      </c>
      <c r="H5067" s="8" t="s">
        <v>159</v>
      </c>
      <c r="I5067" s="8" t="s">
        <v>15330</v>
      </c>
      <c r="J5067" s="8" t="s">
        <v>15331</v>
      </c>
    </row>
    <row r="5068">
      <c r="A5068" s="7">
        <v>2.0028829E7</v>
      </c>
      <c r="B5068" s="8" t="s">
        <v>2471</v>
      </c>
      <c r="C5068" s="8" t="s">
        <v>15332</v>
      </c>
      <c r="D5068" s="8" t="s">
        <v>16</v>
      </c>
      <c r="E5068" s="8" t="s">
        <v>17</v>
      </c>
      <c r="F5068" s="9">
        <v>46063.0</v>
      </c>
      <c r="G5068" s="8" t="s">
        <v>54</v>
      </c>
      <c r="H5068" s="8" t="s">
        <v>55</v>
      </c>
      <c r="I5068" s="8" t="s">
        <v>15333</v>
      </c>
      <c r="J5068" s="8" t="s">
        <v>15334</v>
      </c>
    </row>
    <row r="5069">
      <c r="A5069" s="7">
        <v>2.006588E7</v>
      </c>
      <c r="B5069" s="8" t="s">
        <v>2471</v>
      </c>
      <c r="C5069" s="8" t="s">
        <v>15335</v>
      </c>
      <c r="D5069" s="8" t="s">
        <v>16</v>
      </c>
      <c r="E5069" s="8" t="s">
        <v>17</v>
      </c>
      <c r="F5069" s="9">
        <v>46177.0</v>
      </c>
      <c r="G5069" s="8" t="s">
        <v>7198</v>
      </c>
      <c r="H5069" s="8" t="s">
        <v>7199</v>
      </c>
      <c r="I5069" s="8" t="s">
        <v>15336</v>
      </c>
      <c r="J5069" s="8" t="s">
        <v>15337</v>
      </c>
    </row>
    <row r="5070">
      <c r="A5070" s="7">
        <v>2.005975E7</v>
      </c>
      <c r="B5070" s="8" t="s">
        <v>2471</v>
      </c>
      <c r="C5070" s="8" t="s">
        <v>15338</v>
      </c>
      <c r="D5070" s="8" t="s">
        <v>16</v>
      </c>
      <c r="E5070" s="8" t="s">
        <v>17</v>
      </c>
      <c r="F5070" s="9">
        <v>46140.0</v>
      </c>
      <c r="G5070" s="8" t="s">
        <v>365</v>
      </c>
      <c r="H5070" s="8" t="s">
        <v>366</v>
      </c>
      <c r="I5070" s="8" t="s">
        <v>15339</v>
      </c>
      <c r="J5070" s="8" t="s">
        <v>15340</v>
      </c>
    </row>
    <row r="5071">
      <c r="A5071" s="7">
        <v>2.0057528E7</v>
      </c>
      <c r="B5071" s="8" t="s">
        <v>2471</v>
      </c>
      <c r="C5071" s="8" t="s">
        <v>15341</v>
      </c>
      <c r="D5071" s="8" t="s">
        <v>16</v>
      </c>
      <c r="E5071" s="8" t="s">
        <v>17</v>
      </c>
      <c r="F5071" s="9">
        <v>46155.0</v>
      </c>
      <c r="G5071" s="8" t="s">
        <v>5030</v>
      </c>
      <c r="H5071" s="8" t="s">
        <v>10431</v>
      </c>
      <c r="I5071" s="8" t="s">
        <v>15342</v>
      </c>
      <c r="J5071" s="8" t="s">
        <v>15343</v>
      </c>
    </row>
    <row r="5072">
      <c r="A5072" s="7">
        <v>2.0058092E7</v>
      </c>
      <c r="B5072" s="8" t="s">
        <v>2471</v>
      </c>
      <c r="C5072" s="8" t="s">
        <v>15344</v>
      </c>
      <c r="D5072" s="8" t="s">
        <v>16</v>
      </c>
      <c r="E5072" s="8" t="s">
        <v>17</v>
      </c>
      <c r="F5072" s="9">
        <v>46143.0</v>
      </c>
      <c r="G5072" s="8" t="s">
        <v>15345</v>
      </c>
      <c r="H5072" s="8" t="s">
        <v>15346</v>
      </c>
      <c r="I5072" s="8" t="s">
        <v>783</v>
      </c>
      <c r="J5072" s="8"/>
    </row>
    <row r="5073">
      <c r="A5073" s="7">
        <v>2.0055399E7</v>
      </c>
      <c r="B5073" s="8" t="s">
        <v>2471</v>
      </c>
      <c r="C5073" s="8" t="s">
        <v>15347</v>
      </c>
      <c r="D5073" s="8" t="s">
        <v>16</v>
      </c>
      <c r="E5073" s="8" t="s">
        <v>17</v>
      </c>
      <c r="F5073" s="9">
        <v>46137.0</v>
      </c>
      <c r="G5073" s="8" t="s">
        <v>1085</v>
      </c>
      <c r="H5073" s="8" t="s">
        <v>1086</v>
      </c>
      <c r="I5073" s="8" t="s">
        <v>15348</v>
      </c>
      <c r="J5073" s="8" t="s">
        <v>15349</v>
      </c>
    </row>
    <row r="5074">
      <c r="A5074" s="7">
        <v>2.0054449E7</v>
      </c>
      <c r="B5074" s="8" t="s">
        <v>2471</v>
      </c>
      <c r="C5074" s="8" t="s">
        <v>15350</v>
      </c>
      <c r="D5074" s="8" t="s">
        <v>16</v>
      </c>
      <c r="E5074" s="8" t="s">
        <v>17</v>
      </c>
      <c r="F5074" s="9">
        <v>46150.0</v>
      </c>
      <c r="G5074" s="8" t="s">
        <v>171</v>
      </c>
      <c r="H5074" s="8" t="s">
        <v>172</v>
      </c>
      <c r="I5074" s="8" t="s">
        <v>15351</v>
      </c>
      <c r="J5074" s="8" t="s">
        <v>15352</v>
      </c>
    </row>
    <row r="5075">
      <c r="A5075" s="7">
        <v>2.0051909E7</v>
      </c>
      <c r="B5075" s="8" t="s">
        <v>2471</v>
      </c>
      <c r="C5075" s="8" t="s">
        <v>15353</v>
      </c>
      <c r="D5075" s="8" t="s">
        <v>16</v>
      </c>
      <c r="E5075" s="8" t="s">
        <v>17</v>
      </c>
      <c r="F5075" s="9">
        <v>46136.0</v>
      </c>
      <c r="G5075" s="8" t="s">
        <v>486</v>
      </c>
      <c r="H5075" s="8" t="s">
        <v>487</v>
      </c>
      <c r="I5075" s="8" t="s">
        <v>15354</v>
      </c>
      <c r="J5075" s="8" t="s">
        <v>15355</v>
      </c>
    </row>
    <row r="5076">
      <c r="A5076" s="7">
        <v>2.0050509E7</v>
      </c>
      <c r="B5076" s="8" t="s">
        <v>2471</v>
      </c>
      <c r="C5076" s="8" t="s">
        <v>15356</v>
      </c>
      <c r="D5076" s="8" t="s">
        <v>16</v>
      </c>
      <c r="E5076" s="8" t="s">
        <v>17</v>
      </c>
      <c r="F5076" s="9">
        <v>46106.0</v>
      </c>
      <c r="G5076" s="8" t="s">
        <v>273</v>
      </c>
      <c r="H5076" s="8" t="s">
        <v>274</v>
      </c>
      <c r="I5076" s="8" t="s">
        <v>15357</v>
      </c>
      <c r="J5076" s="8" t="s">
        <v>15358</v>
      </c>
    </row>
    <row r="5077">
      <c r="A5077" s="7">
        <v>2.0038942E7</v>
      </c>
      <c r="B5077" s="8" t="s">
        <v>2471</v>
      </c>
      <c r="C5077" s="8" t="s">
        <v>15359</v>
      </c>
      <c r="D5077" s="8" t="s">
        <v>16</v>
      </c>
      <c r="E5077" s="8" t="s">
        <v>17</v>
      </c>
      <c r="F5077" s="9">
        <v>46080.0</v>
      </c>
      <c r="G5077" s="8" t="s">
        <v>15360</v>
      </c>
      <c r="H5077" s="8" t="s">
        <v>15361</v>
      </c>
      <c r="I5077" s="8" t="s">
        <v>15362</v>
      </c>
      <c r="J5077" s="8" t="s">
        <v>15363</v>
      </c>
    </row>
    <row r="5078">
      <c r="A5078" s="7">
        <v>2.0037034E7</v>
      </c>
      <c r="B5078" s="8" t="s">
        <v>2471</v>
      </c>
      <c r="C5078" s="8" t="s">
        <v>15364</v>
      </c>
      <c r="D5078" s="8" t="s">
        <v>16</v>
      </c>
      <c r="E5078" s="8" t="s">
        <v>17</v>
      </c>
      <c r="F5078" s="9">
        <v>46061.0</v>
      </c>
      <c r="G5078" s="8" t="s">
        <v>220</v>
      </c>
      <c r="H5078" s="8" t="s">
        <v>221</v>
      </c>
      <c r="I5078" s="8" t="s">
        <v>15365</v>
      </c>
      <c r="J5078" s="8" t="s">
        <v>15366</v>
      </c>
    </row>
    <row r="5079">
      <c r="A5079" s="7">
        <v>2.0034599E7</v>
      </c>
      <c r="B5079" s="8" t="s">
        <v>2471</v>
      </c>
      <c r="C5079" s="8" t="s">
        <v>15367</v>
      </c>
      <c r="D5079" s="8" t="s">
        <v>16</v>
      </c>
      <c r="E5079" s="8" t="s">
        <v>17</v>
      </c>
      <c r="F5079" s="9">
        <v>46056.0</v>
      </c>
      <c r="G5079" s="8" t="s">
        <v>314</v>
      </c>
      <c r="H5079" s="8" t="s">
        <v>315</v>
      </c>
      <c r="I5079" s="8" t="s">
        <v>15368</v>
      </c>
      <c r="J5079" s="8" t="s">
        <v>15369</v>
      </c>
    </row>
    <row r="5080">
      <c r="A5080" s="7">
        <v>2.0071922E7</v>
      </c>
      <c r="B5080" s="8" t="s">
        <v>2471</v>
      </c>
      <c r="C5080" s="8" t="s">
        <v>15370</v>
      </c>
      <c r="D5080" s="8" t="s">
        <v>16</v>
      </c>
      <c r="E5080" s="8" t="s">
        <v>17</v>
      </c>
      <c r="F5080" s="9">
        <v>46190.0</v>
      </c>
      <c r="G5080" s="8" t="s">
        <v>365</v>
      </c>
      <c r="H5080" s="8" t="s">
        <v>366</v>
      </c>
      <c r="I5080" s="8" t="s">
        <v>15371</v>
      </c>
      <c r="J5080" s="8" t="s">
        <v>15372</v>
      </c>
    </row>
    <row r="5081">
      <c r="A5081" s="7">
        <v>2.0061494E7</v>
      </c>
      <c r="B5081" s="8" t="s">
        <v>2471</v>
      </c>
      <c r="C5081" s="8" t="s">
        <v>15373</v>
      </c>
      <c r="D5081" s="8" t="s">
        <v>16</v>
      </c>
      <c r="E5081" s="8" t="s">
        <v>17</v>
      </c>
      <c r="F5081" s="9">
        <v>46188.0</v>
      </c>
      <c r="G5081" s="8" t="s">
        <v>826</v>
      </c>
      <c r="H5081" s="8" t="s">
        <v>7633</v>
      </c>
      <c r="I5081" s="8" t="s">
        <v>15374</v>
      </c>
      <c r="J5081" s="8"/>
    </row>
    <row r="5082">
      <c r="A5082" s="7">
        <v>2.0061494E7</v>
      </c>
      <c r="B5082" s="8" t="s">
        <v>2471</v>
      </c>
      <c r="C5082" s="8" t="s">
        <v>15373</v>
      </c>
      <c r="D5082" s="8" t="s">
        <v>16</v>
      </c>
      <c r="E5082" s="8" t="s">
        <v>17</v>
      </c>
      <c r="F5082" s="9">
        <v>46188.0</v>
      </c>
      <c r="G5082" s="8" t="s">
        <v>826</v>
      </c>
      <c r="H5082" s="8" t="s">
        <v>7633</v>
      </c>
      <c r="I5082" s="8" t="s">
        <v>15375</v>
      </c>
      <c r="J5082" s="8" t="s">
        <v>15376</v>
      </c>
    </row>
    <row r="5083">
      <c r="A5083" s="7">
        <v>2.0060725E7</v>
      </c>
      <c r="B5083" s="8" t="s">
        <v>2471</v>
      </c>
      <c r="C5083" s="8" t="s">
        <v>15377</v>
      </c>
      <c r="D5083" s="8" t="s">
        <v>2136</v>
      </c>
      <c r="E5083" s="8" t="s">
        <v>17</v>
      </c>
      <c r="F5083" s="9">
        <v>46143.0</v>
      </c>
      <c r="G5083" s="8" t="s">
        <v>59</v>
      </c>
      <c r="H5083" s="8" t="s">
        <v>60</v>
      </c>
      <c r="I5083" s="8" t="s">
        <v>15378</v>
      </c>
      <c r="J5083" s="8" t="s">
        <v>15379</v>
      </c>
    </row>
    <row r="5084">
      <c r="A5084" s="7">
        <v>2.0055947E7</v>
      </c>
      <c r="B5084" s="8" t="s">
        <v>2471</v>
      </c>
      <c r="C5084" s="8" t="s">
        <v>15380</v>
      </c>
      <c r="D5084" s="8" t="s">
        <v>16</v>
      </c>
      <c r="E5084" s="8" t="s">
        <v>17</v>
      </c>
      <c r="F5084" s="9">
        <v>46151.0</v>
      </c>
      <c r="G5084" s="8" t="s">
        <v>1344</v>
      </c>
      <c r="H5084" s="8" t="s">
        <v>1345</v>
      </c>
      <c r="I5084" s="8" t="s">
        <v>15381</v>
      </c>
      <c r="J5084" s="8" t="s">
        <v>15382</v>
      </c>
    </row>
    <row r="5085">
      <c r="A5085" s="7">
        <v>2.0050102E7</v>
      </c>
      <c r="B5085" s="8" t="s">
        <v>2471</v>
      </c>
      <c r="C5085" s="8" t="s">
        <v>15383</v>
      </c>
      <c r="D5085" s="8" t="s">
        <v>16</v>
      </c>
      <c r="E5085" s="8" t="s">
        <v>17</v>
      </c>
      <c r="F5085" s="9">
        <v>46121.0</v>
      </c>
      <c r="G5085" s="8" t="s">
        <v>104</v>
      </c>
      <c r="H5085" s="8" t="s">
        <v>105</v>
      </c>
      <c r="I5085" s="8" t="s">
        <v>15384</v>
      </c>
      <c r="J5085" s="8" t="s">
        <v>15385</v>
      </c>
    </row>
    <row r="5086">
      <c r="A5086" s="7">
        <v>2.0048445E7</v>
      </c>
      <c r="B5086" s="8" t="s">
        <v>2471</v>
      </c>
      <c r="C5086" s="8" t="s">
        <v>15386</v>
      </c>
      <c r="D5086" s="8" t="s">
        <v>16</v>
      </c>
      <c r="E5086" s="8" t="s">
        <v>17</v>
      </c>
      <c r="F5086" s="9">
        <v>46100.0</v>
      </c>
      <c r="G5086" s="8" t="s">
        <v>400</v>
      </c>
      <c r="H5086" s="8" t="s">
        <v>401</v>
      </c>
      <c r="I5086" s="8" t="s">
        <v>15387</v>
      </c>
      <c r="J5086" s="8" t="s">
        <v>15388</v>
      </c>
    </row>
    <row r="5087">
      <c r="A5087" s="7">
        <v>2.0044888E7</v>
      </c>
      <c r="B5087" s="8" t="s">
        <v>2471</v>
      </c>
      <c r="C5087" s="8" t="s">
        <v>15389</v>
      </c>
      <c r="D5087" s="8" t="s">
        <v>16</v>
      </c>
      <c r="E5087" s="8" t="s">
        <v>17</v>
      </c>
      <c r="F5087" s="9">
        <v>46096.0</v>
      </c>
      <c r="G5087" s="8" t="s">
        <v>15390</v>
      </c>
      <c r="H5087" s="8" t="s">
        <v>15391</v>
      </c>
      <c r="I5087" s="8" t="s">
        <v>15392</v>
      </c>
      <c r="J5087" s="8" t="s">
        <v>15393</v>
      </c>
    </row>
    <row r="5088">
      <c r="A5088" s="7">
        <v>2.004182E7</v>
      </c>
      <c r="B5088" s="8" t="s">
        <v>2471</v>
      </c>
      <c r="C5088" s="8" t="s">
        <v>15394</v>
      </c>
      <c r="D5088" s="8" t="s">
        <v>16</v>
      </c>
      <c r="E5088" s="8" t="s">
        <v>17</v>
      </c>
      <c r="F5088" s="9">
        <v>46092.0</v>
      </c>
      <c r="G5088" s="8" t="s">
        <v>361</v>
      </c>
      <c r="H5088" s="8" t="s">
        <v>362</v>
      </c>
      <c r="I5088" s="8" t="s">
        <v>15395</v>
      </c>
      <c r="J5088" s="8" t="s">
        <v>15396</v>
      </c>
    </row>
    <row r="5089">
      <c r="A5089" s="7">
        <v>2.00338E7</v>
      </c>
      <c r="B5089" s="8" t="s">
        <v>2471</v>
      </c>
      <c r="C5089" s="8" t="s">
        <v>15397</v>
      </c>
      <c r="D5089" s="8" t="s">
        <v>16</v>
      </c>
      <c r="E5089" s="8" t="s">
        <v>17</v>
      </c>
      <c r="F5089" s="9">
        <v>46060.0</v>
      </c>
      <c r="G5089" s="8" t="s">
        <v>666</v>
      </c>
      <c r="H5089" s="8" t="s">
        <v>667</v>
      </c>
      <c r="I5089" s="8" t="s">
        <v>15398</v>
      </c>
      <c r="J5089" s="8" t="s">
        <v>15399</v>
      </c>
    </row>
    <row r="5090">
      <c r="A5090" s="7">
        <v>2.0035529E7</v>
      </c>
      <c r="B5090" s="8" t="s">
        <v>2471</v>
      </c>
      <c r="C5090" s="8" t="s">
        <v>15400</v>
      </c>
      <c r="D5090" s="8" t="s">
        <v>16</v>
      </c>
      <c r="E5090" s="8" t="s">
        <v>17</v>
      </c>
      <c r="F5090" s="9">
        <v>46039.0</v>
      </c>
      <c r="G5090" s="8" t="s">
        <v>109</v>
      </c>
      <c r="H5090" s="8" t="s">
        <v>110</v>
      </c>
      <c r="I5090" s="8" t="s">
        <v>15401</v>
      </c>
      <c r="J5090" s="8" t="s">
        <v>15402</v>
      </c>
    </row>
    <row r="5091">
      <c r="A5091" s="7">
        <v>2.0068396E7</v>
      </c>
      <c r="B5091" s="8" t="s">
        <v>2471</v>
      </c>
      <c r="C5091" s="8" t="s">
        <v>15403</v>
      </c>
      <c r="D5091" s="8" t="s">
        <v>16</v>
      </c>
      <c r="E5091" s="8" t="s">
        <v>17</v>
      </c>
      <c r="F5091" s="9">
        <v>46182.0</v>
      </c>
      <c r="G5091" s="8" t="s">
        <v>277</v>
      </c>
      <c r="H5091" s="8" t="s">
        <v>278</v>
      </c>
      <c r="I5091" s="8" t="s">
        <v>15404</v>
      </c>
      <c r="J5091" s="8" t="s">
        <v>15405</v>
      </c>
    </row>
    <row r="5092">
      <c r="A5092" s="7">
        <v>2.0064374E7</v>
      </c>
      <c r="B5092" s="8" t="s">
        <v>2471</v>
      </c>
      <c r="C5092" s="8" t="s">
        <v>15406</v>
      </c>
      <c r="D5092" s="8" t="s">
        <v>16</v>
      </c>
      <c r="E5092" s="8" t="s">
        <v>17</v>
      </c>
      <c r="F5092" s="9">
        <v>46186.0</v>
      </c>
      <c r="G5092" s="8" t="s">
        <v>314</v>
      </c>
      <c r="H5092" s="8" t="s">
        <v>315</v>
      </c>
      <c r="I5092" s="8" t="s">
        <v>747</v>
      </c>
      <c r="J5092" s="8" t="s">
        <v>15407</v>
      </c>
    </row>
    <row r="5093">
      <c r="A5093" s="7">
        <v>2.0058098E7</v>
      </c>
      <c r="B5093" s="8" t="s">
        <v>2471</v>
      </c>
      <c r="C5093" s="8" t="s">
        <v>15408</v>
      </c>
      <c r="D5093" s="8" t="s">
        <v>16</v>
      </c>
      <c r="E5093" s="8" t="s">
        <v>17</v>
      </c>
      <c r="F5093" s="9">
        <v>46177.0</v>
      </c>
      <c r="G5093" s="8" t="s">
        <v>826</v>
      </c>
      <c r="H5093" s="8" t="s">
        <v>7633</v>
      </c>
      <c r="I5093" s="8" t="s">
        <v>15409</v>
      </c>
      <c r="J5093" s="8" t="s">
        <v>15410</v>
      </c>
    </row>
    <row r="5094">
      <c r="A5094" s="7">
        <v>2.0063677E7</v>
      </c>
      <c r="B5094" s="8" t="s">
        <v>2471</v>
      </c>
      <c r="C5094" s="8" t="s">
        <v>15411</v>
      </c>
      <c r="D5094" s="8" t="s">
        <v>16</v>
      </c>
      <c r="E5094" s="8" t="s">
        <v>17</v>
      </c>
      <c r="F5094" s="9">
        <v>46182.0</v>
      </c>
      <c r="G5094" s="8" t="s">
        <v>64</v>
      </c>
      <c r="H5094" s="8" t="s">
        <v>65</v>
      </c>
      <c r="I5094" s="8" t="s">
        <v>15412</v>
      </c>
      <c r="J5094" s="8" t="s">
        <v>15413</v>
      </c>
    </row>
    <row r="5095">
      <c r="A5095" s="7">
        <v>2.0062766E7</v>
      </c>
      <c r="B5095" s="8" t="s">
        <v>2471</v>
      </c>
      <c r="C5095" s="8" t="s">
        <v>15414</v>
      </c>
      <c r="D5095" s="8" t="s">
        <v>16</v>
      </c>
      <c r="E5095" s="8" t="s">
        <v>17</v>
      </c>
      <c r="F5095" s="9">
        <v>46164.0</v>
      </c>
      <c r="G5095" s="8" t="s">
        <v>1093</v>
      </c>
      <c r="H5095" s="8" t="s">
        <v>1094</v>
      </c>
      <c r="I5095" s="8" t="s">
        <v>15415</v>
      </c>
      <c r="J5095" s="8" t="s">
        <v>15416</v>
      </c>
    </row>
    <row r="5096">
      <c r="A5096" s="7">
        <v>2.0059964E7</v>
      </c>
      <c r="B5096" s="8" t="s">
        <v>2471</v>
      </c>
      <c r="C5096" s="8" t="s">
        <v>15417</v>
      </c>
      <c r="D5096" s="8" t="s">
        <v>16</v>
      </c>
      <c r="E5096" s="8" t="s">
        <v>17</v>
      </c>
      <c r="F5096" s="9">
        <v>46164.0</v>
      </c>
      <c r="G5096" s="8" t="s">
        <v>11113</v>
      </c>
      <c r="H5096" s="8" t="s">
        <v>11114</v>
      </c>
      <c r="I5096" s="8" t="s">
        <v>15418</v>
      </c>
      <c r="J5096" s="8" t="s">
        <v>15419</v>
      </c>
    </row>
    <row r="5097">
      <c r="A5097" s="7">
        <v>2.0057642E7</v>
      </c>
      <c r="B5097" s="8" t="s">
        <v>2471</v>
      </c>
      <c r="C5097" s="8" t="s">
        <v>15420</v>
      </c>
      <c r="D5097" s="8" t="s">
        <v>16</v>
      </c>
      <c r="E5097" s="8" t="s">
        <v>17</v>
      </c>
      <c r="F5097" s="9">
        <v>46156.0</v>
      </c>
      <c r="G5097" s="8" t="s">
        <v>428</v>
      </c>
      <c r="H5097" s="8" t="s">
        <v>429</v>
      </c>
      <c r="I5097" s="8" t="s">
        <v>15421</v>
      </c>
      <c r="J5097" s="8" t="s">
        <v>15422</v>
      </c>
    </row>
    <row r="5098">
      <c r="A5098" s="7">
        <v>2.0057642E7</v>
      </c>
      <c r="B5098" s="8" t="s">
        <v>2471</v>
      </c>
      <c r="C5098" s="8" t="s">
        <v>15420</v>
      </c>
      <c r="D5098" s="8" t="s">
        <v>16</v>
      </c>
      <c r="E5098" s="8" t="s">
        <v>17</v>
      </c>
      <c r="F5098" s="9">
        <v>46156.0</v>
      </c>
      <c r="G5098" s="8" t="s">
        <v>25</v>
      </c>
      <c r="H5098" s="8" t="s">
        <v>26</v>
      </c>
      <c r="I5098" s="8" t="s">
        <v>15423</v>
      </c>
      <c r="J5098" s="8"/>
    </row>
    <row r="5099">
      <c r="A5099" s="7">
        <v>2.0055082E7</v>
      </c>
      <c r="B5099" s="8" t="s">
        <v>2471</v>
      </c>
      <c r="C5099" s="8" t="s">
        <v>15424</v>
      </c>
      <c r="D5099" s="8" t="s">
        <v>16</v>
      </c>
      <c r="E5099" s="8" t="s">
        <v>17</v>
      </c>
      <c r="F5099" s="9">
        <v>46156.0</v>
      </c>
      <c r="G5099" s="8" t="s">
        <v>436</v>
      </c>
      <c r="H5099" s="8" t="s">
        <v>437</v>
      </c>
      <c r="I5099" s="8" t="s">
        <v>15425</v>
      </c>
      <c r="J5099" s="8" t="s">
        <v>15426</v>
      </c>
    </row>
    <row r="5100">
      <c r="A5100" s="7">
        <v>2.0051637E7</v>
      </c>
      <c r="B5100" s="8" t="s">
        <v>2471</v>
      </c>
      <c r="C5100" s="8" t="s">
        <v>15427</v>
      </c>
      <c r="D5100" s="8" t="s">
        <v>16</v>
      </c>
      <c r="E5100" s="8" t="s">
        <v>17</v>
      </c>
      <c r="F5100" s="9">
        <v>46133.0</v>
      </c>
      <c r="G5100" s="8" t="s">
        <v>15428</v>
      </c>
      <c r="H5100" s="8" t="s">
        <v>15429</v>
      </c>
      <c r="I5100" s="8" t="s">
        <v>15430</v>
      </c>
      <c r="J5100" s="8" t="s">
        <v>15431</v>
      </c>
    </row>
    <row r="5101">
      <c r="A5101" s="7">
        <v>2.0049674E7</v>
      </c>
      <c r="B5101" s="8" t="s">
        <v>2471</v>
      </c>
      <c r="C5101" s="8" t="s">
        <v>15432</v>
      </c>
      <c r="D5101" s="8" t="s">
        <v>16</v>
      </c>
      <c r="E5101" s="8" t="s">
        <v>17</v>
      </c>
      <c r="F5101" s="9">
        <v>46102.0</v>
      </c>
      <c r="G5101" s="8" t="s">
        <v>1949</v>
      </c>
      <c r="H5101" s="8" t="s">
        <v>1950</v>
      </c>
      <c r="I5101" s="8" t="s">
        <v>15433</v>
      </c>
      <c r="J5101" s="8" t="s">
        <v>15434</v>
      </c>
    </row>
    <row r="5102">
      <c r="A5102" s="7">
        <v>2.0049449E7</v>
      </c>
      <c r="B5102" s="8" t="s">
        <v>2471</v>
      </c>
      <c r="C5102" s="8" t="s">
        <v>15435</v>
      </c>
      <c r="D5102" s="8" t="s">
        <v>16</v>
      </c>
      <c r="E5102" s="8" t="s">
        <v>17</v>
      </c>
      <c r="F5102" s="9">
        <v>46118.0</v>
      </c>
      <c r="G5102" s="8" t="s">
        <v>64</v>
      </c>
      <c r="H5102" s="8" t="s">
        <v>65</v>
      </c>
      <c r="I5102" s="8" t="s">
        <v>15436</v>
      </c>
      <c r="J5102" s="8" t="s">
        <v>15437</v>
      </c>
    </row>
    <row r="5103">
      <c r="A5103" s="7">
        <v>2.0044393E7</v>
      </c>
      <c r="B5103" s="8" t="s">
        <v>2471</v>
      </c>
      <c r="C5103" s="8" t="s">
        <v>15438</v>
      </c>
      <c r="D5103" s="8" t="s">
        <v>16</v>
      </c>
      <c r="E5103" s="8" t="s">
        <v>17</v>
      </c>
      <c r="F5103" s="9">
        <v>46093.0</v>
      </c>
      <c r="G5103" s="8" t="s">
        <v>2339</v>
      </c>
      <c r="H5103" s="8" t="s">
        <v>2340</v>
      </c>
      <c r="I5103" s="8" t="s">
        <v>15439</v>
      </c>
      <c r="J5103" s="8" t="s">
        <v>15440</v>
      </c>
    </row>
    <row r="5104">
      <c r="A5104" s="7">
        <v>2.0043966E7</v>
      </c>
      <c r="B5104" s="8" t="s">
        <v>2471</v>
      </c>
      <c r="C5104" s="8" t="s">
        <v>15441</v>
      </c>
      <c r="D5104" s="8" t="s">
        <v>16</v>
      </c>
      <c r="E5104" s="8" t="s">
        <v>17</v>
      </c>
      <c r="F5104" s="9">
        <v>46102.0</v>
      </c>
      <c r="G5104" s="8" t="s">
        <v>721</v>
      </c>
      <c r="H5104" s="8" t="s">
        <v>722</v>
      </c>
      <c r="I5104" s="8" t="s">
        <v>15442</v>
      </c>
      <c r="J5104" s="8" t="s">
        <v>15443</v>
      </c>
    </row>
    <row r="5105">
      <c r="A5105" s="7">
        <v>2.0035045E7</v>
      </c>
      <c r="B5105" s="8" t="s">
        <v>2471</v>
      </c>
      <c r="C5105" s="8" t="s">
        <v>15444</v>
      </c>
      <c r="D5105" s="8" t="s">
        <v>16</v>
      </c>
      <c r="E5105" s="8" t="s">
        <v>17</v>
      </c>
      <c r="F5105" s="9">
        <v>46080.0</v>
      </c>
      <c r="G5105" s="8" t="s">
        <v>436</v>
      </c>
      <c r="H5105" s="8" t="s">
        <v>437</v>
      </c>
      <c r="I5105" s="8" t="s">
        <v>15445</v>
      </c>
      <c r="J5105" s="8" t="s">
        <v>15446</v>
      </c>
    </row>
    <row r="5106">
      <c r="A5106" s="7">
        <v>2.0035045E7</v>
      </c>
      <c r="B5106" s="8" t="s">
        <v>2471</v>
      </c>
      <c r="C5106" s="8" t="s">
        <v>15444</v>
      </c>
      <c r="D5106" s="8" t="s">
        <v>16</v>
      </c>
      <c r="E5106" s="8" t="s">
        <v>17</v>
      </c>
      <c r="F5106" s="9">
        <v>46080.0</v>
      </c>
      <c r="G5106" s="8" t="s">
        <v>365</v>
      </c>
      <c r="H5106" s="8" t="s">
        <v>366</v>
      </c>
      <c r="I5106" s="8" t="s">
        <v>15447</v>
      </c>
      <c r="J5106" s="8" t="s">
        <v>15448</v>
      </c>
    </row>
    <row r="5107">
      <c r="A5107" s="7">
        <v>2.0058956E7</v>
      </c>
      <c r="B5107" s="8" t="s">
        <v>2471</v>
      </c>
      <c r="C5107" s="8" t="s">
        <v>15449</v>
      </c>
      <c r="D5107" s="8" t="s">
        <v>16</v>
      </c>
      <c r="E5107" s="8" t="s">
        <v>17</v>
      </c>
      <c r="F5107" s="9">
        <v>46156.0</v>
      </c>
      <c r="G5107" s="8" t="s">
        <v>3706</v>
      </c>
      <c r="H5107" s="8" t="s">
        <v>3707</v>
      </c>
      <c r="I5107" s="8" t="s">
        <v>15450</v>
      </c>
      <c r="J5107" s="8" t="s">
        <v>15451</v>
      </c>
    </row>
    <row r="5108">
      <c r="A5108" s="7">
        <v>2.0056767E7</v>
      </c>
      <c r="B5108" s="8" t="s">
        <v>2471</v>
      </c>
      <c r="C5108" s="8" t="s">
        <v>15452</v>
      </c>
      <c r="D5108" s="8" t="s">
        <v>16</v>
      </c>
      <c r="E5108" s="8" t="s">
        <v>17</v>
      </c>
      <c r="F5108" s="9">
        <v>46127.0</v>
      </c>
      <c r="G5108" s="8" t="s">
        <v>868</v>
      </c>
      <c r="H5108" s="8" t="s">
        <v>869</v>
      </c>
      <c r="I5108" s="8" t="s">
        <v>15453</v>
      </c>
      <c r="J5108" s="8" t="s">
        <v>15454</v>
      </c>
    </row>
    <row r="5109">
      <c r="A5109" s="7">
        <v>2.0056208E7</v>
      </c>
      <c r="B5109" s="8" t="s">
        <v>2471</v>
      </c>
      <c r="C5109" s="8" t="s">
        <v>15455</v>
      </c>
      <c r="D5109" s="8" t="s">
        <v>16</v>
      </c>
      <c r="E5109" s="8" t="s">
        <v>17</v>
      </c>
      <c r="F5109" s="9">
        <v>46139.0</v>
      </c>
      <c r="G5109" s="8" t="s">
        <v>2666</v>
      </c>
      <c r="H5109" s="8" t="s">
        <v>2667</v>
      </c>
      <c r="I5109" s="8" t="s">
        <v>15456</v>
      </c>
      <c r="J5109" s="8" t="s">
        <v>15457</v>
      </c>
    </row>
    <row r="5110">
      <c r="A5110" s="7">
        <v>2.0051617E7</v>
      </c>
      <c r="B5110" s="8" t="s">
        <v>2471</v>
      </c>
      <c r="C5110" s="8" t="s">
        <v>15458</v>
      </c>
      <c r="D5110" s="8" t="s">
        <v>16</v>
      </c>
      <c r="E5110" s="8" t="s">
        <v>17</v>
      </c>
      <c r="F5110" s="9">
        <v>46141.0</v>
      </c>
      <c r="G5110" s="8" t="s">
        <v>763</v>
      </c>
      <c r="H5110" s="8" t="s">
        <v>764</v>
      </c>
      <c r="I5110" s="8" t="s">
        <v>15459</v>
      </c>
      <c r="J5110" s="8" t="s">
        <v>15460</v>
      </c>
    </row>
    <row r="5111">
      <c r="A5111" s="7">
        <v>2.0052129E7</v>
      </c>
      <c r="B5111" s="8" t="s">
        <v>2471</v>
      </c>
      <c r="C5111" s="8" t="s">
        <v>15461</v>
      </c>
      <c r="D5111" s="8" t="s">
        <v>16</v>
      </c>
      <c r="E5111" s="8" t="s">
        <v>17</v>
      </c>
      <c r="F5111" s="9">
        <v>46122.0</v>
      </c>
      <c r="G5111" s="8" t="s">
        <v>908</v>
      </c>
      <c r="H5111" s="8" t="s">
        <v>909</v>
      </c>
      <c r="I5111" s="8" t="s">
        <v>15462</v>
      </c>
      <c r="J5111" s="8" t="s">
        <v>15463</v>
      </c>
    </row>
    <row r="5112">
      <c r="A5112" s="7">
        <v>2.0044322E7</v>
      </c>
      <c r="B5112" s="8" t="s">
        <v>2471</v>
      </c>
      <c r="C5112" s="8" t="s">
        <v>15464</v>
      </c>
      <c r="D5112" s="8" t="s">
        <v>16</v>
      </c>
      <c r="E5112" s="8" t="s">
        <v>17</v>
      </c>
      <c r="F5112" s="9">
        <v>46095.0</v>
      </c>
      <c r="G5112" s="8" t="s">
        <v>3818</v>
      </c>
      <c r="H5112" s="8" t="s">
        <v>3819</v>
      </c>
      <c r="I5112" s="8" t="s">
        <v>15465</v>
      </c>
      <c r="J5112" s="8" t="s">
        <v>15466</v>
      </c>
    </row>
    <row r="5113">
      <c r="A5113" s="7">
        <v>2.0042281E7</v>
      </c>
      <c r="B5113" s="8" t="s">
        <v>2471</v>
      </c>
      <c r="C5113" s="8" t="s">
        <v>15467</v>
      </c>
      <c r="D5113" s="8" t="s">
        <v>16</v>
      </c>
      <c r="E5113" s="8" t="s">
        <v>17</v>
      </c>
      <c r="F5113" s="9">
        <v>46091.0</v>
      </c>
      <c r="G5113" s="8" t="s">
        <v>436</v>
      </c>
      <c r="H5113" s="8" t="s">
        <v>437</v>
      </c>
      <c r="I5113" s="8" t="s">
        <v>15468</v>
      </c>
      <c r="J5113" s="8" t="s">
        <v>15469</v>
      </c>
    </row>
    <row r="5114">
      <c r="A5114" s="7">
        <v>2.0041846E7</v>
      </c>
      <c r="B5114" s="8" t="s">
        <v>2471</v>
      </c>
      <c r="C5114" s="8" t="s">
        <v>15470</v>
      </c>
      <c r="D5114" s="8" t="s">
        <v>16</v>
      </c>
      <c r="E5114" s="8" t="s">
        <v>17</v>
      </c>
      <c r="F5114" s="9">
        <v>46079.0</v>
      </c>
      <c r="G5114" s="8" t="s">
        <v>822</v>
      </c>
      <c r="H5114" s="8" t="s">
        <v>120</v>
      </c>
      <c r="I5114" s="8" t="s">
        <v>15471</v>
      </c>
      <c r="J5114" s="8" t="s">
        <v>15472</v>
      </c>
    </row>
    <row r="5115">
      <c r="A5115" s="7">
        <v>2.0040931E7</v>
      </c>
      <c r="B5115" s="8" t="s">
        <v>2471</v>
      </c>
      <c r="C5115" s="8" t="s">
        <v>15473</v>
      </c>
      <c r="D5115" s="8" t="s">
        <v>16</v>
      </c>
      <c r="E5115" s="8" t="s">
        <v>17</v>
      </c>
      <c r="F5115" s="9">
        <v>46069.0</v>
      </c>
      <c r="G5115" s="8" t="s">
        <v>3172</v>
      </c>
      <c r="H5115" s="8" t="s">
        <v>120</v>
      </c>
      <c r="I5115" s="8" t="s">
        <v>15474</v>
      </c>
      <c r="J5115" s="8" t="s">
        <v>15475</v>
      </c>
    </row>
    <row r="5116">
      <c r="A5116" s="7">
        <v>2.0037342E7</v>
      </c>
      <c r="B5116" s="8" t="s">
        <v>2471</v>
      </c>
      <c r="C5116" s="8" t="s">
        <v>15476</v>
      </c>
      <c r="D5116" s="8" t="s">
        <v>16</v>
      </c>
      <c r="E5116" s="8" t="s">
        <v>17</v>
      </c>
      <c r="F5116" s="9">
        <v>46083.0</v>
      </c>
      <c r="G5116" s="8" t="s">
        <v>2900</v>
      </c>
      <c r="H5116" s="8" t="s">
        <v>2901</v>
      </c>
      <c r="I5116" s="8" t="s">
        <v>15477</v>
      </c>
      <c r="J5116" s="8" t="s">
        <v>15478</v>
      </c>
    </row>
    <row r="5117">
      <c r="A5117" s="7">
        <v>2.0067775E7</v>
      </c>
      <c r="B5117" s="8" t="s">
        <v>2471</v>
      </c>
      <c r="C5117" s="8" t="s">
        <v>15479</v>
      </c>
      <c r="D5117" s="8" t="s">
        <v>2136</v>
      </c>
      <c r="E5117" s="8" t="s">
        <v>17</v>
      </c>
      <c r="F5117" s="9">
        <v>46172.0</v>
      </c>
      <c r="G5117" s="8" t="s">
        <v>868</v>
      </c>
      <c r="H5117" s="8" t="s">
        <v>869</v>
      </c>
      <c r="I5117" s="8" t="s">
        <v>15480</v>
      </c>
      <c r="J5117" s="8" t="s">
        <v>15481</v>
      </c>
    </row>
    <row r="5118">
      <c r="A5118" s="7">
        <v>2.0066729E7</v>
      </c>
      <c r="B5118" s="8" t="s">
        <v>2471</v>
      </c>
      <c r="C5118" s="8" t="s">
        <v>15482</v>
      </c>
      <c r="D5118" s="8" t="s">
        <v>16</v>
      </c>
      <c r="E5118" s="8" t="s">
        <v>17</v>
      </c>
      <c r="F5118" s="9">
        <v>46191.0</v>
      </c>
      <c r="G5118" s="8" t="s">
        <v>124</v>
      </c>
      <c r="H5118" s="8" t="s">
        <v>125</v>
      </c>
      <c r="I5118" s="8" t="s">
        <v>15483</v>
      </c>
      <c r="J5118" s="8" t="s">
        <v>15484</v>
      </c>
    </row>
    <row r="5119">
      <c r="A5119" s="7">
        <v>2.0065175E7</v>
      </c>
      <c r="B5119" s="8" t="s">
        <v>2471</v>
      </c>
      <c r="C5119" s="8" t="s">
        <v>15485</v>
      </c>
      <c r="D5119" s="8" t="s">
        <v>16</v>
      </c>
      <c r="E5119" s="8" t="s">
        <v>17</v>
      </c>
      <c r="F5119" s="9">
        <v>46177.0</v>
      </c>
      <c r="G5119" s="8" t="s">
        <v>385</v>
      </c>
      <c r="H5119" s="8" t="s">
        <v>386</v>
      </c>
      <c r="I5119" s="8" t="s">
        <v>15486</v>
      </c>
      <c r="J5119" s="8" t="s">
        <v>15487</v>
      </c>
    </row>
    <row r="5120">
      <c r="A5120" s="7">
        <v>2.0062672E7</v>
      </c>
      <c r="B5120" s="8" t="s">
        <v>2471</v>
      </c>
      <c r="C5120" s="8" t="s">
        <v>15488</v>
      </c>
      <c r="D5120" s="8" t="s">
        <v>16</v>
      </c>
      <c r="E5120" s="8" t="s">
        <v>17</v>
      </c>
      <c r="F5120" s="9">
        <v>46190.0</v>
      </c>
      <c r="G5120" s="8" t="s">
        <v>2156</v>
      </c>
      <c r="H5120" s="8" t="s">
        <v>2157</v>
      </c>
      <c r="I5120" s="8" t="s">
        <v>15489</v>
      </c>
      <c r="J5120" s="8" t="s">
        <v>15382</v>
      </c>
    </row>
    <row r="5121">
      <c r="A5121" s="7">
        <v>2.0058994E7</v>
      </c>
      <c r="B5121" s="8" t="s">
        <v>2471</v>
      </c>
      <c r="C5121" s="8" t="s">
        <v>15490</v>
      </c>
      <c r="D5121" s="8" t="s">
        <v>16</v>
      </c>
      <c r="E5121" s="8" t="s">
        <v>17</v>
      </c>
      <c r="F5121" s="9">
        <v>46182.0</v>
      </c>
      <c r="G5121" s="8" t="s">
        <v>721</v>
      </c>
      <c r="H5121" s="8" t="s">
        <v>722</v>
      </c>
      <c r="I5121" s="8" t="s">
        <v>15491</v>
      </c>
      <c r="J5121" s="8" t="s">
        <v>15492</v>
      </c>
    </row>
    <row r="5122">
      <c r="A5122" s="7">
        <v>2.0053358E7</v>
      </c>
      <c r="B5122" s="8" t="s">
        <v>2471</v>
      </c>
      <c r="C5122" s="8" t="s">
        <v>15493</v>
      </c>
      <c r="D5122" s="8" t="s">
        <v>16</v>
      </c>
      <c r="E5122" s="8" t="s">
        <v>700</v>
      </c>
      <c r="F5122" s="9">
        <v>46144.0</v>
      </c>
      <c r="G5122" s="8" t="s">
        <v>15494</v>
      </c>
      <c r="H5122" s="8" t="s">
        <v>15495</v>
      </c>
      <c r="I5122" s="8" t="s">
        <v>15496</v>
      </c>
      <c r="J5122" s="8" t="s">
        <v>15497</v>
      </c>
    </row>
    <row r="5123">
      <c r="A5123" s="7">
        <v>2.005299E7</v>
      </c>
      <c r="B5123" s="8" t="s">
        <v>2471</v>
      </c>
      <c r="C5123" s="8" t="s">
        <v>15498</v>
      </c>
      <c r="D5123" s="8" t="s">
        <v>16</v>
      </c>
      <c r="E5123" s="8" t="s">
        <v>17</v>
      </c>
      <c r="F5123" s="9">
        <v>46129.0</v>
      </c>
      <c r="G5123" s="8" t="s">
        <v>390</v>
      </c>
      <c r="H5123" s="8" t="s">
        <v>391</v>
      </c>
      <c r="I5123" s="8" t="s">
        <v>15499</v>
      </c>
      <c r="J5123" s="8" t="s">
        <v>15500</v>
      </c>
    </row>
    <row r="5124">
      <c r="A5124" s="7">
        <v>2.0052741E7</v>
      </c>
      <c r="B5124" s="8" t="s">
        <v>2471</v>
      </c>
      <c r="C5124" s="8" t="s">
        <v>15501</v>
      </c>
      <c r="D5124" s="8" t="s">
        <v>16</v>
      </c>
      <c r="E5124" s="8" t="s">
        <v>17</v>
      </c>
      <c r="F5124" s="9">
        <v>46135.0</v>
      </c>
      <c r="G5124" s="8" t="s">
        <v>2900</v>
      </c>
      <c r="H5124" s="8" t="s">
        <v>2901</v>
      </c>
      <c r="I5124" s="8" t="s">
        <v>15502</v>
      </c>
      <c r="J5124" s="8" t="s">
        <v>15503</v>
      </c>
    </row>
    <row r="5125">
      <c r="A5125" s="7">
        <v>2.0046914E7</v>
      </c>
      <c r="B5125" s="8" t="s">
        <v>2471</v>
      </c>
      <c r="C5125" s="8" t="s">
        <v>15504</v>
      </c>
      <c r="D5125" s="8" t="s">
        <v>16</v>
      </c>
      <c r="E5125" s="8" t="s">
        <v>17</v>
      </c>
      <c r="F5125" s="9">
        <v>46110.0</v>
      </c>
      <c r="G5125" s="8" t="s">
        <v>314</v>
      </c>
      <c r="H5125" s="8" t="s">
        <v>315</v>
      </c>
      <c r="I5125" s="8" t="s">
        <v>15505</v>
      </c>
      <c r="J5125" s="8" t="s">
        <v>15506</v>
      </c>
    </row>
    <row r="5126">
      <c r="A5126" s="7">
        <v>2.0047094E7</v>
      </c>
      <c r="B5126" s="8" t="s">
        <v>2471</v>
      </c>
      <c r="C5126" s="8" t="s">
        <v>15507</v>
      </c>
      <c r="D5126" s="8" t="s">
        <v>16</v>
      </c>
      <c r="E5126" s="8" t="s">
        <v>17</v>
      </c>
      <c r="F5126" s="9">
        <v>46109.0</v>
      </c>
      <c r="G5126" s="8" t="s">
        <v>1616</v>
      </c>
      <c r="H5126" s="8" t="s">
        <v>1617</v>
      </c>
      <c r="I5126" s="8" t="s">
        <v>15508</v>
      </c>
      <c r="J5126" s="8" t="s">
        <v>15509</v>
      </c>
    </row>
    <row r="5127">
      <c r="A5127" s="7">
        <v>2.0039664E7</v>
      </c>
      <c r="B5127" s="8" t="s">
        <v>2471</v>
      </c>
      <c r="C5127" s="8" t="s">
        <v>15510</v>
      </c>
      <c r="D5127" s="8" t="s">
        <v>16</v>
      </c>
      <c r="E5127" s="8" t="s">
        <v>17</v>
      </c>
      <c r="F5127" s="9">
        <v>46066.0</v>
      </c>
      <c r="G5127" s="8" t="s">
        <v>2486</v>
      </c>
      <c r="H5127" s="8" t="s">
        <v>44</v>
      </c>
      <c r="I5127" s="8" t="s">
        <v>15511</v>
      </c>
      <c r="J5127" s="8" t="s">
        <v>15512</v>
      </c>
    </row>
    <row r="5128">
      <c r="A5128" s="7">
        <v>2.0065816E7</v>
      </c>
      <c r="B5128" s="8" t="s">
        <v>2471</v>
      </c>
      <c r="C5128" s="8" t="s">
        <v>15513</v>
      </c>
      <c r="D5128" s="8" t="s">
        <v>16</v>
      </c>
      <c r="E5128" s="8" t="s">
        <v>17</v>
      </c>
      <c r="F5128" s="9">
        <v>46192.0</v>
      </c>
      <c r="G5128" s="8" t="s">
        <v>1427</v>
      </c>
      <c r="H5128" s="8" t="s">
        <v>1428</v>
      </c>
      <c r="I5128" s="8" t="s">
        <v>15514</v>
      </c>
      <c r="J5128" s="8" t="s">
        <v>15515</v>
      </c>
    </row>
    <row r="5129">
      <c r="A5129" s="7">
        <v>2.0057875E7</v>
      </c>
      <c r="B5129" s="8" t="s">
        <v>2471</v>
      </c>
      <c r="C5129" s="8" t="s">
        <v>15516</v>
      </c>
      <c r="D5129" s="8" t="s">
        <v>16</v>
      </c>
      <c r="E5129" s="8" t="s">
        <v>17</v>
      </c>
      <c r="F5129" s="9">
        <v>46192.0</v>
      </c>
      <c r="G5129" s="8" t="s">
        <v>1508</v>
      </c>
      <c r="H5129" s="8" t="s">
        <v>1509</v>
      </c>
      <c r="I5129" s="8" t="s">
        <v>15517</v>
      </c>
      <c r="J5129" s="8" t="s">
        <v>15518</v>
      </c>
    </row>
    <row r="5130">
      <c r="A5130" s="7">
        <v>2.0054904E7</v>
      </c>
      <c r="B5130" s="8" t="s">
        <v>2471</v>
      </c>
      <c r="C5130" s="8" t="s">
        <v>15519</v>
      </c>
      <c r="D5130" s="8" t="s">
        <v>16</v>
      </c>
      <c r="E5130" s="8" t="s">
        <v>17</v>
      </c>
      <c r="F5130" s="9">
        <v>46140.0</v>
      </c>
      <c r="G5130" s="8" t="s">
        <v>400</v>
      </c>
      <c r="H5130" s="8" t="s">
        <v>2144</v>
      </c>
      <c r="I5130" s="8" t="s">
        <v>15520</v>
      </c>
      <c r="J5130" s="8" t="s">
        <v>15521</v>
      </c>
    </row>
    <row r="5131">
      <c r="A5131" s="7">
        <v>2.0052973E7</v>
      </c>
      <c r="B5131" s="8" t="s">
        <v>2471</v>
      </c>
      <c r="C5131" s="8" t="s">
        <v>15522</v>
      </c>
      <c r="D5131" s="8" t="s">
        <v>16</v>
      </c>
      <c r="E5131" s="8" t="s">
        <v>17</v>
      </c>
      <c r="F5131" s="9">
        <v>46122.0</v>
      </c>
      <c r="G5131" s="8" t="s">
        <v>5450</v>
      </c>
      <c r="H5131" s="8" t="s">
        <v>5451</v>
      </c>
      <c r="I5131" s="8" t="s">
        <v>15523</v>
      </c>
      <c r="J5131" s="8" t="s">
        <v>15524</v>
      </c>
    </row>
    <row r="5132">
      <c r="A5132" s="7">
        <v>2.0048676E7</v>
      </c>
      <c r="B5132" s="8" t="s">
        <v>2471</v>
      </c>
      <c r="C5132" s="8" t="s">
        <v>15525</v>
      </c>
      <c r="D5132" s="8" t="s">
        <v>16</v>
      </c>
      <c r="E5132" s="8" t="s">
        <v>17</v>
      </c>
      <c r="F5132" s="9">
        <v>46129.0</v>
      </c>
      <c r="G5132" s="8" t="s">
        <v>15526</v>
      </c>
      <c r="H5132" s="8" t="s">
        <v>15527</v>
      </c>
      <c r="I5132" s="8" t="s">
        <v>15528</v>
      </c>
      <c r="J5132" s="8" t="s">
        <v>15529</v>
      </c>
    </row>
    <row r="5133">
      <c r="A5133" s="7">
        <v>2.0044021E7</v>
      </c>
      <c r="B5133" s="8" t="s">
        <v>2471</v>
      </c>
      <c r="C5133" s="8" t="s">
        <v>15530</v>
      </c>
      <c r="D5133" s="8" t="s">
        <v>16</v>
      </c>
      <c r="E5133" s="8" t="s">
        <v>17</v>
      </c>
      <c r="F5133" s="9">
        <v>46102.0</v>
      </c>
      <c r="G5133" s="8" t="s">
        <v>14851</v>
      </c>
      <c r="H5133" s="8" t="s">
        <v>14852</v>
      </c>
      <c r="I5133" s="8" t="s">
        <v>15531</v>
      </c>
      <c r="J5133" s="8" t="s">
        <v>15532</v>
      </c>
    </row>
    <row r="5134">
      <c r="A5134" s="7">
        <v>2.004259E7</v>
      </c>
      <c r="B5134" s="8" t="s">
        <v>2471</v>
      </c>
      <c r="C5134" s="8" t="s">
        <v>15533</v>
      </c>
      <c r="D5134" s="8" t="s">
        <v>16</v>
      </c>
      <c r="E5134" s="8" t="s">
        <v>17</v>
      </c>
      <c r="F5134" s="9">
        <v>46091.0</v>
      </c>
      <c r="G5134" s="8" t="s">
        <v>8280</v>
      </c>
      <c r="H5134" s="8" t="s">
        <v>8281</v>
      </c>
      <c r="I5134" s="8" t="s">
        <v>15534</v>
      </c>
      <c r="J5134" s="8" t="s">
        <v>15535</v>
      </c>
    </row>
    <row r="5135">
      <c r="A5135" s="7">
        <v>2.0037387E7</v>
      </c>
      <c r="B5135" s="8" t="s">
        <v>2471</v>
      </c>
      <c r="C5135" s="8" t="s">
        <v>15536</v>
      </c>
      <c r="D5135" s="8" t="s">
        <v>16</v>
      </c>
      <c r="E5135" s="8" t="s">
        <v>17</v>
      </c>
      <c r="F5135" s="9">
        <v>46074.0</v>
      </c>
      <c r="G5135" s="8" t="s">
        <v>1012</v>
      </c>
      <c r="H5135" s="8" t="s">
        <v>1013</v>
      </c>
      <c r="I5135" s="8" t="s">
        <v>15537</v>
      </c>
      <c r="J5135" s="8" t="s">
        <v>15538</v>
      </c>
    </row>
    <row r="5136">
      <c r="A5136" s="7">
        <v>2.0034701E7</v>
      </c>
      <c r="B5136" s="8" t="s">
        <v>2471</v>
      </c>
      <c r="C5136" s="8" t="s">
        <v>15539</v>
      </c>
      <c r="D5136" s="8" t="s">
        <v>16</v>
      </c>
      <c r="E5136" s="8" t="s">
        <v>17</v>
      </c>
      <c r="F5136" s="9">
        <v>46061.0</v>
      </c>
      <c r="G5136" s="8" t="s">
        <v>390</v>
      </c>
      <c r="H5136" s="8" t="s">
        <v>391</v>
      </c>
      <c r="I5136" s="8" t="s">
        <v>15540</v>
      </c>
      <c r="J5136" s="8" t="s">
        <v>15541</v>
      </c>
    </row>
    <row r="5137">
      <c r="A5137" s="7">
        <v>2.0034984E7</v>
      </c>
      <c r="B5137" s="8" t="s">
        <v>2471</v>
      </c>
      <c r="C5137" s="8" t="s">
        <v>15542</v>
      </c>
      <c r="D5137" s="8" t="s">
        <v>16</v>
      </c>
      <c r="E5137" s="8" t="s">
        <v>17</v>
      </c>
      <c r="F5137" s="9">
        <v>46038.0</v>
      </c>
      <c r="G5137" s="8" t="s">
        <v>75</v>
      </c>
      <c r="H5137" s="8" t="s">
        <v>76</v>
      </c>
      <c r="I5137" s="8" t="s">
        <v>15543</v>
      </c>
      <c r="J5137" s="8" t="s">
        <v>15544</v>
      </c>
    </row>
    <row r="5138">
      <c r="A5138" s="7">
        <v>2.0071686E7</v>
      </c>
      <c r="B5138" s="8" t="s">
        <v>2471</v>
      </c>
      <c r="C5138" s="8" t="s">
        <v>15545</v>
      </c>
      <c r="D5138" s="8" t="s">
        <v>2136</v>
      </c>
      <c r="E5138" s="8" t="s">
        <v>17</v>
      </c>
      <c r="F5138" s="9">
        <v>46188.0</v>
      </c>
      <c r="G5138" s="8" t="s">
        <v>846</v>
      </c>
      <c r="H5138" s="8" t="s">
        <v>847</v>
      </c>
      <c r="I5138" s="8" t="s">
        <v>15546</v>
      </c>
      <c r="J5138" s="8" t="s">
        <v>15547</v>
      </c>
    </row>
    <row r="5139">
      <c r="A5139" s="7">
        <v>2.006336E7</v>
      </c>
      <c r="B5139" s="8" t="s">
        <v>2471</v>
      </c>
      <c r="C5139" s="8" t="s">
        <v>15548</v>
      </c>
      <c r="D5139" s="8" t="s">
        <v>16</v>
      </c>
      <c r="E5139" s="8" t="s">
        <v>17</v>
      </c>
      <c r="F5139" s="9">
        <v>46186.0</v>
      </c>
      <c r="G5139" s="8" t="s">
        <v>390</v>
      </c>
      <c r="H5139" s="8" t="s">
        <v>391</v>
      </c>
      <c r="I5139" s="8" t="s">
        <v>15549</v>
      </c>
      <c r="J5139" s="8" t="s">
        <v>15550</v>
      </c>
    </row>
    <row r="5140">
      <c r="A5140" s="7">
        <v>2.0061395E7</v>
      </c>
      <c r="B5140" s="8" t="s">
        <v>2471</v>
      </c>
      <c r="C5140" s="8" t="s">
        <v>15551</v>
      </c>
      <c r="D5140" s="8" t="s">
        <v>16</v>
      </c>
      <c r="E5140" s="8" t="s">
        <v>17</v>
      </c>
      <c r="F5140" s="9">
        <v>46182.0</v>
      </c>
      <c r="G5140" s="8" t="s">
        <v>171</v>
      </c>
      <c r="H5140" s="8" t="s">
        <v>172</v>
      </c>
      <c r="I5140" s="8" t="s">
        <v>15552</v>
      </c>
      <c r="J5140" s="8" t="s">
        <v>15553</v>
      </c>
    </row>
    <row r="5141">
      <c r="A5141" s="7">
        <v>2.0052998E7</v>
      </c>
      <c r="B5141" s="8" t="s">
        <v>2471</v>
      </c>
      <c r="C5141" s="8" t="s">
        <v>15554</v>
      </c>
      <c r="D5141" s="8" t="s">
        <v>16</v>
      </c>
      <c r="E5141" s="8" t="s">
        <v>17</v>
      </c>
      <c r="F5141" s="9">
        <v>46131.0</v>
      </c>
      <c r="G5141" s="8" t="s">
        <v>15555</v>
      </c>
      <c r="H5141" s="8" t="s">
        <v>15556</v>
      </c>
      <c r="I5141" s="8" t="s">
        <v>15557</v>
      </c>
      <c r="J5141" s="8" t="s">
        <v>15558</v>
      </c>
    </row>
    <row r="5142">
      <c r="A5142" s="7">
        <v>2.0042821E7</v>
      </c>
      <c r="B5142" s="8" t="s">
        <v>2471</v>
      </c>
      <c r="C5142" s="8" t="s">
        <v>15559</v>
      </c>
      <c r="D5142" s="8" t="s">
        <v>16</v>
      </c>
      <c r="E5142" s="8" t="s">
        <v>17</v>
      </c>
      <c r="F5142" s="9">
        <v>46116.0</v>
      </c>
      <c r="G5142" s="8" t="s">
        <v>15560</v>
      </c>
      <c r="H5142" s="8" t="s">
        <v>15561</v>
      </c>
      <c r="I5142" s="8" t="s">
        <v>15562</v>
      </c>
      <c r="J5142" s="8"/>
    </row>
    <row r="5143">
      <c r="A5143" s="7">
        <v>2.0042821E7</v>
      </c>
      <c r="B5143" s="8" t="s">
        <v>2471</v>
      </c>
      <c r="C5143" s="8" t="s">
        <v>15559</v>
      </c>
      <c r="D5143" s="8" t="s">
        <v>16</v>
      </c>
      <c r="E5143" s="8" t="s">
        <v>17</v>
      </c>
      <c r="F5143" s="9">
        <v>46116.0</v>
      </c>
      <c r="G5143" s="8" t="s">
        <v>8788</v>
      </c>
      <c r="H5143" s="8" t="s">
        <v>8789</v>
      </c>
      <c r="I5143" s="8" t="s">
        <v>15563</v>
      </c>
      <c r="J5143" s="8"/>
    </row>
    <row r="5144">
      <c r="A5144" s="7">
        <v>2.0041176E7</v>
      </c>
      <c r="B5144" s="8" t="s">
        <v>2471</v>
      </c>
      <c r="C5144" s="8" t="s">
        <v>15564</v>
      </c>
      <c r="D5144" s="8" t="s">
        <v>16</v>
      </c>
      <c r="E5144" s="8" t="s">
        <v>17</v>
      </c>
      <c r="F5144" s="9">
        <v>46074.0</v>
      </c>
      <c r="G5144" s="8" t="s">
        <v>220</v>
      </c>
      <c r="H5144" s="8" t="s">
        <v>221</v>
      </c>
      <c r="I5144" s="8" t="s">
        <v>15565</v>
      </c>
      <c r="J5144" s="8" t="s">
        <v>15566</v>
      </c>
    </row>
    <row r="5145">
      <c r="A5145" s="7">
        <v>2.0040088E7</v>
      </c>
      <c r="B5145" s="8" t="s">
        <v>2471</v>
      </c>
      <c r="C5145" s="8" t="s">
        <v>15567</v>
      </c>
      <c r="D5145" s="8" t="s">
        <v>16</v>
      </c>
      <c r="E5145" s="8" t="s">
        <v>17</v>
      </c>
      <c r="F5145" s="9">
        <v>46077.0</v>
      </c>
      <c r="G5145" s="8" t="s">
        <v>390</v>
      </c>
      <c r="H5145" s="8" t="s">
        <v>391</v>
      </c>
      <c r="I5145" s="8" t="s">
        <v>15568</v>
      </c>
      <c r="J5145" s="8" t="s">
        <v>15569</v>
      </c>
    </row>
    <row r="5146">
      <c r="A5146" s="7">
        <v>2.0037869E7</v>
      </c>
      <c r="B5146" s="8" t="s">
        <v>2471</v>
      </c>
      <c r="C5146" s="8" t="s">
        <v>15570</v>
      </c>
      <c r="D5146" s="8" t="s">
        <v>16</v>
      </c>
      <c r="E5146" s="8" t="s">
        <v>17</v>
      </c>
      <c r="F5146" s="9">
        <v>46049.0</v>
      </c>
      <c r="G5146" s="8" t="s">
        <v>91</v>
      </c>
      <c r="H5146" s="8" t="s">
        <v>92</v>
      </c>
      <c r="I5146" s="8" t="s">
        <v>15571</v>
      </c>
      <c r="J5146" s="8" t="s">
        <v>15572</v>
      </c>
    </row>
    <row r="5147">
      <c r="A5147" s="7">
        <v>2.0064886E7</v>
      </c>
      <c r="B5147" s="8" t="s">
        <v>2471</v>
      </c>
      <c r="C5147" s="8" t="s">
        <v>15573</v>
      </c>
      <c r="D5147" s="8" t="s">
        <v>16</v>
      </c>
      <c r="E5147" s="8" t="s">
        <v>17</v>
      </c>
      <c r="F5147" s="9">
        <v>46189.0</v>
      </c>
      <c r="G5147" s="8" t="s">
        <v>109</v>
      </c>
      <c r="H5147" s="8" t="s">
        <v>110</v>
      </c>
      <c r="I5147" s="8" t="s">
        <v>15574</v>
      </c>
      <c r="J5147" s="8" t="s">
        <v>15575</v>
      </c>
    </row>
    <row r="5148">
      <c r="A5148" s="7">
        <v>2.0061794E7</v>
      </c>
      <c r="B5148" s="8" t="s">
        <v>2471</v>
      </c>
      <c r="C5148" s="8" t="s">
        <v>15576</v>
      </c>
      <c r="D5148" s="8" t="s">
        <v>16</v>
      </c>
      <c r="E5148" s="8" t="s">
        <v>17</v>
      </c>
      <c r="F5148" s="9">
        <v>46192.0</v>
      </c>
      <c r="G5148" s="8" t="s">
        <v>357</v>
      </c>
      <c r="H5148" s="8" t="s">
        <v>358</v>
      </c>
      <c r="I5148" s="8" t="s">
        <v>15577</v>
      </c>
      <c r="J5148" s="8" t="s">
        <v>15578</v>
      </c>
    </row>
    <row r="5149">
      <c r="A5149" s="7">
        <v>2.0056499E7</v>
      </c>
      <c r="B5149" s="8" t="s">
        <v>2471</v>
      </c>
      <c r="C5149" s="8" t="s">
        <v>15579</v>
      </c>
      <c r="D5149" s="8" t="s">
        <v>16</v>
      </c>
      <c r="E5149" s="8" t="s">
        <v>17</v>
      </c>
      <c r="F5149" s="9">
        <v>46148.0</v>
      </c>
      <c r="G5149" s="8" t="s">
        <v>436</v>
      </c>
      <c r="H5149" s="8" t="s">
        <v>437</v>
      </c>
      <c r="I5149" s="8" t="s">
        <v>15580</v>
      </c>
      <c r="J5149" s="8" t="s">
        <v>15581</v>
      </c>
    </row>
    <row r="5150">
      <c r="A5150" s="7">
        <v>2.0048518E7</v>
      </c>
      <c r="B5150" s="8" t="s">
        <v>2471</v>
      </c>
      <c r="C5150" s="8" t="s">
        <v>15582</v>
      </c>
      <c r="D5150" s="8" t="s">
        <v>16</v>
      </c>
      <c r="E5150" s="8" t="s">
        <v>17</v>
      </c>
      <c r="F5150" s="9">
        <v>46124.0</v>
      </c>
      <c r="G5150" s="8" t="s">
        <v>390</v>
      </c>
      <c r="H5150" s="8" t="s">
        <v>391</v>
      </c>
      <c r="I5150" s="8" t="s">
        <v>15583</v>
      </c>
      <c r="J5150" s="8" t="s">
        <v>15584</v>
      </c>
    </row>
    <row r="5151">
      <c r="A5151" s="7">
        <v>2.0046517E7</v>
      </c>
      <c r="B5151" s="8" t="s">
        <v>2471</v>
      </c>
      <c r="C5151" s="8" t="s">
        <v>15585</v>
      </c>
      <c r="D5151" s="8" t="s">
        <v>16</v>
      </c>
      <c r="E5151" s="8" t="s">
        <v>17</v>
      </c>
      <c r="F5151" s="9">
        <v>46107.0</v>
      </c>
      <c r="G5151" s="8" t="s">
        <v>184</v>
      </c>
      <c r="H5151" s="8" t="s">
        <v>185</v>
      </c>
      <c r="I5151" s="8" t="s">
        <v>15586</v>
      </c>
      <c r="J5151" s="8" t="s">
        <v>15587</v>
      </c>
    </row>
    <row r="5152">
      <c r="A5152" s="7">
        <v>2.0044037E7</v>
      </c>
      <c r="B5152" s="8" t="s">
        <v>2471</v>
      </c>
      <c r="C5152" s="8" t="s">
        <v>15588</v>
      </c>
      <c r="D5152" s="8" t="s">
        <v>16</v>
      </c>
      <c r="E5152" s="8" t="s">
        <v>17</v>
      </c>
      <c r="F5152" s="9">
        <v>46099.0</v>
      </c>
      <c r="G5152" s="8" t="s">
        <v>15589</v>
      </c>
      <c r="H5152" s="8" t="s">
        <v>15590</v>
      </c>
      <c r="I5152" s="8" t="s">
        <v>15591</v>
      </c>
      <c r="J5152" s="8" t="s">
        <v>15592</v>
      </c>
    </row>
    <row r="5153">
      <c r="A5153" s="7">
        <v>2.0043307E7</v>
      </c>
      <c r="B5153" s="8" t="s">
        <v>2471</v>
      </c>
      <c r="C5153" s="8" t="s">
        <v>15593</v>
      </c>
      <c r="D5153" s="8" t="s">
        <v>16</v>
      </c>
      <c r="E5153" s="8" t="s">
        <v>17</v>
      </c>
      <c r="F5153" s="9">
        <v>46080.0</v>
      </c>
      <c r="G5153" s="8" t="s">
        <v>873</v>
      </c>
      <c r="H5153" s="8" t="s">
        <v>874</v>
      </c>
      <c r="I5153" s="8" t="s">
        <v>15594</v>
      </c>
      <c r="J5153" s="8" t="s">
        <v>15595</v>
      </c>
    </row>
    <row r="5154">
      <c r="A5154" s="7">
        <v>2.0039045E7</v>
      </c>
      <c r="B5154" s="8" t="s">
        <v>2471</v>
      </c>
      <c r="C5154" s="8" t="s">
        <v>15596</v>
      </c>
      <c r="D5154" s="8" t="s">
        <v>16</v>
      </c>
      <c r="E5154" s="8" t="s">
        <v>17</v>
      </c>
      <c r="F5154" s="9">
        <v>46082.0</v>
      </c>
      <c r="G5154" s="8" t="s">
        <v>314</v>
      </c>
      <c r="H5154" s="8" t="s">
        <v>315</v>
      </c>
      <c r="I5154" s="8" t="s">
        <v>15597</v>
      </c>
      <c r="J5154" s="8" t="s">
        <v>15598</v>
      </c>
    </row>
    <row r="5155">
      <c r="A5155" s="7">
        <v>2.0039927E7</v>
      </c>
      <c r="B5155" s="8" t="s">
        <v>2471</v>
      </c>
      <c r="C5155" s="8" t="s">
        <v>15599</v>
      </c>
      <c r="D5155" s="8" t="s">
        <v>16</v>
      </c>
      <c r="E5155" s="8" t="s">
        <v>17</v>
      </c>
      <c r="F5155" s="9">
        <v>46065.0</v>
      </c>
      <c r="G5155" s="8" t="s">
        <v>365</v>
      </c>
      <c r="H5155" s="8" t="s">
        <v>366</v>
      </c>
      <c r="I5155" s="8" t="s">
        <v>15600</v>
      </c>
      <c r="J5155" s="8" t="s">
        <v>15601</v>
      </c>
    </row>
    <row r="5156">
      <c r="A5156" s="7">
        <v>2.0039071E7</v>
      </c>
      <c r="B5156" s="8" t="s">
        <v>2471</v>
      </c>
      <c r="C5156" s="8" t="s">
        <v>15602</v>
      </c>
      <c r="D5156" s="8" t="s">
        <v>16</v>
      </c>
      <c r="E5156" s="8" t="s">
        <v>17</v>
      </c>
      <c r="F5156" s="9">
        <v>46081.0</v>
      </c>
      <c r="G5156" s="8" t="s">
        <v>378</v>
      </c>
      <c r="H5156" s="8" t="s">
        <v>379</v>
      </c>
      <c r="I5156" s="8" t="s">
        <v>15603</v>
      </c>
      <c r="J5156" s="8" t="s">
        <v>15604</v>
      </c>
    </row>
    <row r="5157">
      <c r="A5157" s="7">
        <v>2.0035632E7</v>
      </c>
      <c r="B5157" s="8" t="s">
        <v>2471</v>
      </c>
      <c r="C5157" s="8" t="s">
        <v>15605</v>
      </c>
      <c r="D5157" s="8" t="s">
        <v>16</v>
      </c>
      <c r="E5157" s="8" t="s">
        <v>17</v>
      </c>
      <c r="F5157" s="9">
        <v>46058.0</v>
      </c>
      <c r="G5157" s="8" t="s">
        <v>436</v>
      </c>
      <c r="H5157" s="8" t="s">
        <v>437</v>
      </c>
      <c r="I5157" s="8" t="s">
        <v>15606</v>
      </c>
      <c r="J5157" s="8" t="s">
        <v>15607</v>
      </c>
    </row>
    <row r="5158">
      <c r="A5158" s="7">
        <v>2.0034637E7</v>
      </c>
      <c r="B5158" s="8" t="s">
        <v>2471</v>
      </c>
      <c r="C5158" s="8" t="s">
        <v>15608</v>
      </c>
      <c r="D5158" s="8" t="s">
        <v>16</v>
      </c>
      <c r="E5158" s="8" t="s">
        <v>17</v>
      </c>
      <c r="F5158" s="9">
        <v>46058.0</v>
      </c>
      <c r="G5158" s="8" t="s">
        <v>522</v>
      </c>
      <c r="H5158" s="8" t="s">
        <v>523</v>
      </c>
      <c r="I5158" s="8" t="s">
        <v>15609</v>
      </c>
      <c r="J5158" s="8" t="s">
        <v>15610</v>
      </c>
    </row>
    <row r="5159">
      <c r="A5159" s="7">
        <v>2.0033894E7</v>
      </c>
      <c r="B5159" s="8" t="s">
        <v>2471</v>
      </c>
      <c r="C5159" s="8" t="s">
        <v>15611</v>
      </c>
      <c r="D5159" s="8" t="s">
        <v>16</v>
      </c>
      <c r="E5159" s="8" t="s">
        <v>17</v>
      </c>
      <c r="F5159" s="9">
        <v>46041.0</v>
      </c>
      <c r="G5159" s="8" t="s">
        <v>352</v>
      </c>
      <c r="H5159" s="8" t="s">
        <v>353</v>
      </c>
      <c r="I5159" s="8" t="s">
        <v>15612</v>
      </c>
      <c r="J5159" s="8" t="s">
        <v>15613</v>
      </c>
    </row>
    <row r="5160">
      <c r="A5160" s="7">
        <v>2.0066739E7</v>
      </c>
      <c r="B5160" s="8" t="s">
        <v>5676</v>
      </c>
      <c r="C5160" s="8" t="s">
        <v>15614</v>
      </c>
      <c r="D5160" s="8" t="s">
        <v>16</v>
      </c>
      <c r="E5160" s="8" t="s">
        <v>17</v>
      </c>
      <c r="F5160" s="9">
        <v>46189.0</v>
      </c>
      <c r="G5160" s="8" t="s">
        <v>1045</v>
      </c>
      <c r="H5160" s="8" t="s">
        <v>909</v>
      </c>
      <c r="I5160" s="8" t="s">
        <v>15615</v>
      </c>
      <c r="J5160" s="8" t="s">
        <v>15616</v>
      </c>
    </row>
    <row r="5161">
      <c r="A5161" s="7">
        <v>2.0035291E7</v>
      </c>
      <c r="B5161" s="8" t="s">
        <v>5676</v>
      </c>
      <c r="C5161" s="8" t="s">
        <v>15617</v>
      </c>
      <c r="D5161" s="8" t="s">
        <v>16</v>
      </c>
      <c r="E5161" s="8" t="s">
        <v>48</v>
      </c>
      <c r="F5161" s="9">
        <v>46128.0</v>
      </c>
      <c r="G5161" s="8" t="s">
        <v>2989</v>
      </c>
      <c r="H5161" s="8" t="s">
        <v>2990</v>
      </c>
      <c r="I5161" s="8" t="s">
        <v>15618</v>
      </c>
      <c r="J5161" s="8"/>
    </row>
    <row r="5162">
      <c r="A5162" s="7">
        <v>2.002335E7</v>
      </c>
      <c r="B5162" s="8" t="s">
        <v>5676</v>
      </c>
      <c r="C5162" s="8" t="s">
        <v>15619</v>
      </c>
      <c r="D5162" s="8" t="s">
        <v>16</v>
      </c>
      <c r="E5162" s="8" t="s">
        <v>17</v>
      </c>
      <c r="F5162" s="9">
        <v>46106.0</v>
      </c>
      <c r="G5162" s="8" t="s">
        <v>1045</v>
      </c>
      <c r="H5162" s="8" t="s">
        <v>909</v>
      </c>
      <c r="I5162" s="8" t="s">
        <v>15620</v>
      </c>
      <c r="J5162" s="8" t="s">
        <v>15621</v>
      </c>
    </row>
    <row r="5163">
      <c r="A5163" s="7">
        <v>2.003103E7</v>
      </c>
      <c r="B5163" s="8" t="s">
        <v>5676</v>
      </c>
      <c r="C5163" s="8" t="s">
        <v>15622</v>
      </c>
      <c r="D5163" s="8" t="s">
        <v>16</v>
      </c>
      <c r="E5163" s="8" t="s">
        <v>17</v>
      </c>
      <c r="F5163" s="9">
        <v>46080.0</v>
      </c>
      <c r="G5163" s="8" t="s">
        <v>2122</v>
      </c>
      <c r="H5163" s="8" t="s">
        <v>2123</v>
      </c>
      <c r="I5163" s="8" t="s">
        <v>15623</v>
      </c>
      <c r="J5163" s="8" t="s">
        <v>15624</v>
      </c>
    </row>
    <row r="5164">
      <c r="A5164" s="7">
        <v>2.0033264E7</v>
      </c>
      <c r="B5164" s="8" t="s">
        <v>5676</v>
      </c>
      <c r="C5164" s="8" t="s">
        <v>15625</v>
      </c>
      <c r="D5164" s="8" t="s">
        <v>16</v>
      </c>
      <c r="E5164" s="8" t="s">
        <v>17</v>
      </c>
      <c r="F5164" s="9">
        <v>46079.0</v>
      </c>
      <c r="G5164" s="8" t="s">
        <v>1110</v>
      </c>
      <c r="H5164" s="8" t="s">
        <v>1111</v>
      </c>
      <c r="I5164" s="8" t="s">
        <v>15626</v>
      </c>
      <c r="J5164" s="8" t="s">
        <v>15627</v>
      </c>
    </row>
    <row r="5165">
      <c r="A5165" s="7">
        <v>2.0036867E7</v>
      </c>
      <c r="B5165" s="8" t="s">
        <v>5676</v>
      </c>
      <c r="C5165" s="8" t="s">
        <v>15628</v>
      </c>
      <c r="D5165" s="8" t="s">
        <v>16</v>
      </c>
      <c r="E5165" s="8" t="s">
        <v>17</v>
      </c>
      <c r="F5165" s="9">
        <v>46057.0</v>
      </c>
      <c r="G5165" s="8" t="s">
        <v>3172</v>
      </c>
      <c r="H5165" s="8" t="s">
        <v>120</v>
      </c>
      <c r="I5165" s="8" t="s">
        <v>15629</v>
      </c>
      <c r="J5165" s="8" t="s">
        <v>15630</v>
      </c>
    </row>
    <row r="5166">
      <c r="A5166" s="7">
        <v>2.0050118E7</v>
      </c>
      <c r="B5166" s="8" t="s">
        <v>5676</v>
      </c>
      <c r="C5166" s="8" t="s">
        <v>15631</v>
      </c>
      <c r="D5166" s="8" t="s">
        <v>16</v>
      </c>
      <c r="E5166" s="8" t="s">
        <v>700</v>
      </c>
      <c r="F5166" s="9">
        <v>46112.0</v>
      </c>
      <c r="G5166" s="8" t="s">
        <v>2486</v>
      </c>
      <c r="H5166" s="8" t="s">
        <v>44</v>
      </c>
      <c r="I5166" s="8" t="s">
        <v>15632</v>
      </c>
      <c r="J5166" s="8" t="s">
        <v>15633</v>
      </c>
    </row>
    <row r="5167">
      <c r="A5167" s="7">
        <v>2.003806E7</v>
      </c>
      <c r="B5167" s="8" t="s">
        <v>5676</v>
      </c>
      <c r="C5167" s="8" t="s">
        <v>15634</v>
      </c>
      <c r="D5167" s="8" t="s">
        <v>16</v>
      </c>
      <c r="E5167" s="8" t="s">
        <v>17</v>
      </c>
      <c r="F5167" s="9">
        <v>46080.0</v>
      </c>
      <c r="G5167" s="8" t="s">
        <v>2625</v>
      </c>
      <c r="H5167" s="8" t="s">
        <v>827</v>
      </c>
      <c r="I5167" s="8" t="s">
        <v>15635</v>
      </c>
      <c r="J5167" s="8" t="s">
        <v>15636</v>
      </c>
    </row>
    <row r="5168">
      <c r="A5168" s="7">
        <v>2.0036589E7</v>
      </c>
      <c r="B5168" s="8" t="s">
        <v>5676</v>
      </c>
      <c r="C5168" s="8" t="s">
        <v>15637</v>
      </c>
      <c r="D5168" s="8" t="s">
        <v>16</v>
      </c>
      <c r="E5168" s="8" t="s">
        <v>17</v>
      </c>
      <c r="F5168" s="9">
        <v>46057.0</v>
      </c>
      <c r="G5168" s="8" t="s">
        <v>282</v>
      </c>
      <c r="H5168" s="8" t="s">
        <v>71</v>
      </c>
      <c r="I5168" s="8" t="s">
        <v>15638</v>
      </c>
      <c r="J5168" s="8" t="s">
        <v>15639</v>
      </c>
    </row>
    <row r="5169">
      <c r="A5169" s="7">
        <v>2.0037079E7</v>
      </c>
      <c r="B5169" s="8" t="s">
        <v>5676</v>
      </c>
      <c r="C5169" s="8" t="s">
        <v>15640</v>
      </c>
      <c r="D5169" s="8" t="s">
        <v>16</v>
      </c>
      <c r="E5169" s="8" t="s">
        <v>48</v>
      </c>
      <c r="F5169" s="9">
        <v>46056.0</v>
      </c>
      <c r="G5169" s="8" t="s">
        <v>15641</v>
      </c>
      <c r="H5169" s="8" t="s">
        <v>15642</v>
      </c>
      <c r="I5169" s="8" t="s">
        <v>15643</v>
      </c>
      <c r="J5169" s="8" t="s">
        <v>15644</v>
      </c>
    </row>
    <row r="5170">
      <c r="A5170" s="7">
        <v>2.0038539E7</v>
      </c>
      <c r="B5170" s="8" t="s">
        <v>5676</v>
      </c>
      <c r="C5170" s="8" t="s">
        <v>15645</v>
      </c>
      <c r="D5170" s="8" t="s">
        <v>16</v>
      </c>
      <c r="E5170" s="8" t="s">
        <v>48</v>
      </c>
      <c r="F5170" s="9">
        <v>46065.0</v>
      </c>
      <c r="G5170" s="8" t="s">
        <v>423</v>
      </c>
      <c r="H5170" s="8" t="s">
        <v>424</v>
      </c>
      <c r="I5170" s="8" t="s">
        <v>15646</v>
      </c>
      <c r="J5170" s="8" t="s">
        <v>15647</v>
      </c>
    </row>
    <row r="5171">
      <c r="A5171" s="7">
        <v>2.0043432E7</v>
      </c>
      <c r="B5171" s="8" t="s">
        <v>5676</v>
      </c>
      <c r="C5171" s="8" t="s">
        <v>15648</v>
      </c>
      <c r="D5171" s="8" t="s">
        <v>16</v>
      </c>
      <c r="E5171" s="8" t="s">
        <v>17</v>
      </c>
      <c r="F5171" s="9">
        <v>46118.0</v>
      </c>
      <c r="G5171" s="8" t="s">
        <v>2122</v>
      </c>
      <c r="H5171" s="8" t="s">
        <v>2123</v>
      </c>
      <c r="I5171" s="8" t="s">
        <v>15649</v>
      </c>
      <c r="J5171" s="8" t="s">
        <v>15650</v>
      </c>
    </row>
    <row r="5172">
      <c r="A5172" s="7">
        <v>2.0043734E7</v>
      </c>
      <c r="B5172" s="8" t="s">
        <v>5676</v>
      </c>
      <c r="C5172" s="8" t="s">
        <v>15651</v>
      </c>
      <c r="D5172" s="8" t="s">
        <v>16</v>
      </c>
      <c r="E5172" s="8" t="s">
        <v>17</v>
      </c>
      <c r="F5172" s="9">
        <v>46122.0</v>
      </c>
      <c r="G5172" s="8" t="s">
        <v>15652</v>
      </c>
      <c r="H5172" s="8" t="s">
        <v>15653</v>
      </c>
      <c r="I5172" s="8" t="s">
        <v>15654</v>
      </c>
      <c r="J5172" s="8" t="s">
        <v>15655</v>
      </c>
    </row>
    <row r="5173">
      <c r="A5173" s="7">
        <v>2.0040348E7</v>
      </c>
      <c r="B5173" s="8" t="s">
        <v>5676</v>
      </c>
      <c r="C5173" s="8" t="s">
        <v>15656</v>
      </c>
      <c r="D5173" s="8" t="s">
        <v>16</v>
      </c>
      <c r="E5173" s="8" t="s">
        <v>17</v>
      </c>
      <c r="F5173" s="9">
        <v>46091.0</v>
      </c>
      <c r="G5173" s="8" t="s">
        <v>4170</v>
      </c>
      <c r="H5173" s="8" t="s">
        <v>1111</v>
      </c>
      <c r="I5173" s="8" t="s">
        <v>15657</v>
      </c>
      <c r="J5173" s="8" t="s">
        <v>15658</v>
      </c>
    </row>
    <row r="5174">
      <c r="A5174" s="7">
        <v>2.0036567E7</v>
      </c>
      <c r="B5174" s="8" t="s">
        <v>5676</v>
      </c>
      <c r="C5174" s="8" t="s">
        <v>15659</v>
      </c>
      <c r="D5174" s="8" t="s">
        <v>16</v>
      </c>
      <c r="E5174" s="8" t="s">
        <v>17</v>
      </c>
      <c r="F5174" s="9">
        <v>46071.0</v>
      </c>
      <c r="G5174" s="8" t="s">
        <v>454</v>
      </c>
      <c r="H5174" s="8" t="s">
        <v>455</v>
      </c>
      <c r="I5174" s="8" t="s">
        <v>15660</v>
      </c>
      <c r="J5174" s="8" t="s">
        <v>15661</v>
      </c>
    </row>
    <row r="5175">
      <c r="A5175" s="7">
        <v>2.0045076E7</v>
      </c>
      <c r="B5175" s="8" t="s">
        <v>5676</v>
      </c>
      <c r="C5175" s="8" t="s">
        <v>15662</v>
      </c>
      <c r="D5175" s="8" t="s">
        <v>16</v>
      </c>
      <c r="E5175" s="8" t="s">
        <v>17</v>
      </c>
      <c r="F5175" s="9">
        <v>46091.0</v>
      </c>
      <c r="G5175" s="8" t="s">
        <v>5030</v>
      </c>
      <c r="H5175" s="8" t="s">
        <v>44</v>
      </c>
      <c r="I5175" s="8" t="s">
        <v>15663</v>
      </c>
      <c r="J5175" s="8" t="s">
        <v>15664</v>
      </c>
    </row>
    <row r="5176">
      <c r="A5176" s="7">
        <v>2.0047509E7</v>
      </c>
      <c r="B5176" s="8" t="s">
        <v>5676</v>
      </c>
      <c r="C5176" s="8" t="s">
        <v>15665</v>
      </c>
      <c r="D5176" s="8" t="s">
        <v>16</v>
      </c>
      <c r="E5176" s="8" t="s">
        <v>700</v>
      </c>
      <c r="F5176" s="9">
        <v>46112.0</v>
      </c>
      <c r="G5176" s="8" t="s">
        <v>400</v>
      </c>
      <c r="H5176" s="8" t="s">
        <v>401</v>
      </c>
      <c r="I5176" s="8" t="s">
        <v>15666</v>
      </c>
      <c r="J5176" s="8" t="s">
        <v>15667</v>
      </c>
    </row>
    <row r="5177">
      <c r="A5177" s="7">
        <v>2.004882E7</v>
      </c>
      <c r="B5177" s="8" t="s">
        <v>5676</v>
      </c>
      <c r="C5177" s="8" t="s">
        <v>15668</v>
      </c>
      <c r="D5177" s="8" t="s">
        <v>16</v>
      </c>
      <c r="E5177" s="8" t="s">
        <v>17</v>
      </c>
      <c r="F5177" s="9">
        <v>46116.0</v>
      </c>
      <c r="G5177" s="8" t="s">
        <v>314</v>
      </c>
      <c r="H5177" s="8" t="s">
        <v>315</v>
      </c>
      <c r="I5177" s="8" t="s">
        <v>1033</v>
      </c>
      <c r="J5177" s="8" t="s">
        <v>15669</v>
      </c>
    </row>
    <row r="5178">
      <c r="A5178" s="7">
        <v>2.003832E7</v>
      </c>
      <c r="B5178" s="8" t="s">
        <v>5676</v>
      </c>
      <c r="C5178" s="8" t="s">
        <v>15670</v>
      </c>
      <c r="D5178" s="8" t="s">
        <v>16</v>
      </c>
      <c r="E5178" s="8" t="s">
        <v>17</v>
      </c>
      <c r="F5178" s="9">
        <v>46080.0</v>
      </c>
      <c r="G5178" s="8" t="s">
        <v>2625</v>
      </c>
      <c r="H5178" s="8" t="s">
        <v>827</v>
      </c>
      <c r="I5178" s="8" t="s">
        <v>15671</v>
      </c>
      <c r="J5178" s="8" t="s">
        <v>15672</v>
      </c>
    </row>
    <row r="5179">
      <c r="A5179" s="7">
        <v>2.0045727E7</v>
      </c>
      <c r="B5179" s="8" t="s">
        <v>5676</v>
      </c>
      <c r="C5179" s="8" t="s">
        <v>15673</v>
      </c>
      <c r="D5179" s="8" t="s">
        <v>16</v>
      </c>
      <c r="E5179" s="8" t="s">
        <v>17</v>
      </c>
      <c r="F5179" s="9">
        <v>46120.0</v>
      </c>
      <c r="G5179" s="8" t="s">
        <v>10073</v>
      </c>
      <c r="H5179" s="8" t="s">
        <v>10074</v>
      </c>
      <c r="I5179" s="8" t="s">
        <v>15674</v>
      </c>
      <c r="J5179" s="8" t="s">
        <v>15675</v>
      </c>
    </row>
    <row r="5180">
      <c r="A5180" s="7">
        <v>2.0024461E7</v>
      </c>
      <c r="B5180" s="8" t="s">
        <v>5676</v>
      </c>
      <c r="C5180" s="8" t="s">
        <v>15676</v>
      </c>
      <c r="D5180" s="8" t="s">
        <v>16</v>
      </c>
      <c r="E5180" s="8" t="s">
        <v>17</v>
      </c>
      <c r="F5180" s="9">
        <v>46064.0</v>
      </c>
      <c r="G5180" s="8" t="s">
        <v>3043</v>
      </c>
      <c r="H5180" s="8" t="s">
        <v>1111</v>
      </c>
      <c r="I5180" s="8" t="s">
        <v>15677</v>
      </c>
      <c r="J5180" s="8" t="s">
        <v>15678</v>
      </c>
    </row>
    <row r="5181">
      <c r="A5181" s="7">
        <v>2.0068677E7</v>
      </c>
      <c r="B5181" s="8" t="s">
        <v>5676</v>
      </c>
      <c r="C5181" s="8" t="s">
        <v>15679</v>
      </c>
      <c r="D5181" s="8" t="s">
        <v>16</v>
      </c>
      <c r="E5181" s="8" t="s">
        <v>17</v>
      </c>
      <c r="F5181" s="9">
        <v>46190.0</v>
      </c>
      <c r="G5181" s="8" t="s">
        <v>5030</v>
      </c>
      <c r="H5181" s="8" t="s">
        <v>10431</v>
      </c>
      <c r="I5181" s="8" t="s">
        <v>15680</v>
      </c>
      <c r="J5181" s="8" t="s">
        <v>15681</v>
      </c>
    </row>
    <row r="5182">
      <c r="A5182" s="7">
        <v>2.0041826E7</v>
      </c>
      <c r="B5182" s="8" t="s">
        <v>5676</v>
      </c>
      <c r="C5182" s="8" t="s">
        <v>15682</v>
      </c>
      <c r="D5182" s="8" t="s">
        <v>16</v>
      </c>
      <c r="E5182" s="8" t="s">
        <v>17</v>
      </c>
      <c r="F5182" s="9">
        <v>46155.0</v>
      </c>
      <c r="G5182" s="8" t="s">
        <v>7637</v>
      </c>
      <c r="H5182" s="8" t="s">
        <v>1111</v>
      </c>
      <c r="I5182" s="8" t="s">
        <v>15683</v>
      </c>
      <c r="J5182" s="8" t="s">
        <v>15684</v>
      </c>
    </row>
    <row r="5183">
      <c r="A5183" s="7">
        <v>2.0040191E7</v>
      </c>
      <c r="B5183" s="8" t="s">
        <v>5676</v>
      </c>
      <c r="C5183" s="8" t="s">
        <v>15685</v>
      </c>
      <c r="D5183" s="8" t="s">
        <v>16</v>
      </c>
      <c r="E5183" s="8" t="s">
        <v>17</v>
      </c>
      <c r="F5183" s="9">
        <v>46191.0</v>
      </c>
      <c r="G5183" s="8" t="s">
        <v>15686</v>
      </c>
      <c r="H5183" s="8" t="s">
        <v>10007</v>
      </c>
      <c r="I5183" s="8" t="s">
        <v>15687</v>
      </c>
      <c r="J5183" s="8"/>
    </row>
    <row r="5184">
      <c r="A5184" s="7">
        <v>2.0040191E7</v>
      </c>
      <c r="B5184" s="8" t="s">
        <v>5676</v>
      </c>
      <c r="C5184" s="8" t="s">
        <v>15685</v>
      </c>
      <c r="D5184" s="8" t="s">
        <v>16</v>
      </c>
      <c r="E5184" s="8" t="s">
        <v>17</v>
      </c>
      <c r="F5184" s="9">
        <v>46191.0</v>
      </c>
      <c r="G5184" s="8" t="s">
        <v>15686</v>
      </c>
      <c r="H5184" s="8" t="s">
        <v>10007</v>
      </c>
      <c r="I5184" s="8" t="s">
        <v>15688</v>
      </c>
      <c r="J5184" s="8" t="s">
        <v>15689</v>
      </c>
    </row>
    <row r="5185">
      <c r="A5185" s="7">
        <v>2.0019678E7</v>
      </c>
      <c r="B5185" s="8" t="s">
        <v>5676</v>
      </c>
      <c r="C5185" s="8" t="s">
        <v>15690</v>
      </c>
      <c r="D5185" s="8" t="s">
        <v>16</v>
      </c>
      <c r="E5185" s="8" t="s">
        <v>17</v>
      </c>
      <c r="F5185" s="9">
        <v>46043.0</v>
      </c>
      <c r="G5185" s="8" t="s">
        <v>1297</v>
      </c>
      <c r="H5185" s="8" t="s">
        <v>827</v>
      </c>
      <c r="I5185" s="8" t="s">
        <v>15691</v>
      </c>
      <c r="J5185" s="8" t="s">
        <v>15692</v>
      </c>
    </row>
    <row r="5186">
      <c r="A5186" s="7">
        <v>2.0050887E7</v>
      </c>
      <c r="B5186" s="8" t="s">
        <v>5676</v>
      </c>
      <c r="C5186" s="8" t="s">
        <v>15693</v>
      </c>
      <c r="D5186" s="8" t="s">
        <v>16</v>
      </c>
      <c r="E5186" s="8" t="s">
        <v>17</v>
      </c>
      <c r="F5186" s="9">
        <v>46155.0</v>
      </c>
      <c r="G5186" s="8" t="s">
        <v>5064</v>
      </c>
      <c r="H5186" s="8" t="s">
        <v>15694</v>
      </c>
      <c r="I5186" s="8" t="s">
        <v>15695</v>
      </c>
      <c r="J5186" s="8" t="s">
        <v>15696</v>
      </c>
    </row>
    <row r="5187">
      <c r="A5187" s="7">
        <v>2.0036611E7</v>
      </c>
      <c r="B5187" s="8" t="s">
        <v>5676</v>
      </c>
      <c r="C5187" s="8" t="s">
        <v>15697</v>
      </c>
      <c r="D5187" s="8" t="s">
        <v>16</v>
      </c>
      <c r="E5187" s="8" t="s">
        <v>17</v>
      </c>
      <c r="F5187" s="9">
        <v>46091.0</v>
      </c>
      <c r="G5187" s="8" t="s">
        <v>1045</v>
      </c>
      <c r="H5187" s="8" t="s">
        <v>909</v>
      </c>
      <c r="I5187" s="8" t="s">
        <v>15698</v>
      </c>
      <c r="J5187" s="8" t="s">
        <v>15699</v>
      </c>
    </row>
    <row r="5188">
      <c r="A5188" s="7">
        <v>2.0035301E7</v>
      </c>
      <c r="B5188" s="8" t="s">
        <v>5676</v>
      </c>
      <c r="C5188" s="8" t="s">
        <v>15700</v>
      </c>
      <c r="D5188" s="8" t="s">
        <v>16</v>
      </c>
      <c r="E5188" s="8" t="s">
        <v>17</v>
      </c>
      <c r="F5188" s="9">
        <v>46050.0</v>
      </c>
      <c r="G5188" s="8" t="s">
        <v>2625</v>
      </c>
      <c r="H5188" s="8" t="s">
        <v>827</v>
      </c>
      <c r="I5188" s="8" t="s">
        <v>15701</v>
      </c>
      <c r="J5188" s="8" t="s">
        <v>15702</v>
      </c>
    </row>
    <row r="5189">
      <c r="A5189" s="7">
        <v>2.0022695E7</v>
      </c>
      <c r="B5189" s="8" t="s">
        <v>5676</v>
      </c>
      <c r="C5189" s="8" t="s">
        <v>15703</v>
      </c>
      <c r="D5189" s="8" t="s">
        <v>16</v>
      </c>
      <c r="E5189" s="8" t="s">
        <v>48</v>
      </c>
      <c r="F5189" s="9">
        <v>46107.0</v>
      </c>
      <c r="G5189" s="8" t="s">
        <v>15704</v>
      </c>
      <c r="H5189" s="8" t="s">
        <v>15705</v>
      </c>
      <c r="I5189" s="8" t="s">
        <v>15706</v>
      </c>
      <c r="J5189" s="8" t="s">
        <v>15707</v>
      </c>
    </row>
    <row r="5190">
      <c r="A5190" s="7">
        <v>2.0038756E7</v>
      </c>
      <c r="B5190" s="8" t="s">
        <v>5676</v>
      </c>
      <c r="C5190" s="8" t="s">
        <v>15708</v>
      </c>
      <c r="D5190" s="8" t="s">
        <v>16</v>
      </c>
      <c r="E5190" s="8" t="s">
        <v>17</v>
      </c>
      <c r="F5190" s="9">
        <v>46069.0</v>
      </c>
      <c r="G5190" s="8" t="s">
        <v>6273</v>
      </c>
      <c r="H5190" s="8" t="s">
        <v>1301</v>
      </c>
      <c r="I5190" s="8" t="s">
        <v>15709</v>
      </c>
      <c r="J5190" s="8" t="s">
        <v>15710</v>
      </c>
    </row>
    <row r="5191">
      <c r="A5191" s="7">
        <v>2.0060262E7</v>
      </c>
      <c r="B5191" s="8" t="s">
        <v>5676</v>
      </c>
      <c r="C5191" s="8" t="s">
        <v>15711</v>
      </c>
      <c r="D5191" s="8" t="s">
        <v>16</v>
      </c>
      <c r="E5191" s="8" t="s">
        <v>17</v>
      </c>
      <c r="F5191" s="9">
        <v>46184.0</v>
      </c>
      <c r="G5191" s="8" t="s">
        <v>994</v>
      </c>
      <c r="H5191" s="8" t="s">
        <v>995</v>
      </c>
      <c r="I5191" s="8" t="s">
        <v>15712</v>
      </c>
      <c r="J5191" s="8" t="s">
        <v>15713</v>
      </c>
    </row>
    <row r="5192">
      <c r="A5192" s="7">
        <v>2.0060262E7</v>
      </c>
      <c r="B5192" s="8" t="s">
        <v>5676</v>
      </c>
      <c r="C5192" s="8" t="s">
        <v>15711</v>
      </c>
      <c r="D5192" s="8" t="s">
        <v>16</v>
      </c>
      <c r="E5192" s="8" t="s">
        <v>17</v>
      </c>
      <c r="F5192" s="9">
        <v>46184.0</v>
      </c>
      <c r="G5192" s="8" t="s">
        <v>14780</v>
      </c>
      <c r="H5192" s="8" t="s">
        <v>14781</v>
      </c>
      <c r="I5192" s="8" t="s">
        <v>15714</v>
      </c>
      <c r="J5192" s="8" t="s">
        <v>15715</v>
      </c>
    </row>
    <row r="5193">
      <c r="A5193" s="7">
        <v>2.0068692E7</v>
      </c>
      <c r="B5193" s="8" t="s">
        <v>5676</v>
      </c>
      <c r="C5193" s="8" t="s">
        <v>15716</v>
      </c>
      <c r="D5193" s="8" t="s">
        <v>16</v>
      </c>
      <c r="E5193" s="8" t="s">
        <v>17</v>
      </c>
      <c r="F5193" s="9">
        <v>46190.0</v>
      </c>
      <c r="G5193" s="8" t="s">
        <v>908</v>
      </c>
      <c r="H5193" s="8" t="s">
        <v>909</v>
      </c>
      <c r="I5193" s="8" t="s">
        <v>15717</v>
      </c>
      <c r="J5193" s="8" t="s">
        <v>15718</v>
      </c>
    </row>
    <row r="5194">
      <c r="A5194" s="7">
        <v>2.0043647E7</v>
      </c>
      <c r="B5194" s="8" t="s">
        <v>5676</v>
      </c>
      <c r="C5194" s="8" t="s">
        <v>15719</v>
      </c>
      <c r="D5194" s="8" t="s">
        <v>16</v>
      </c>
      <c r="E5194" s="8" t="s">
        <v>17</v>
      </c>
      <c r="F5194" s="9">
        <v>46147.0</v>
      </c>
      <c r="G5194" s="8" t="s">
        <v>282</v>
      </c>
      <c r="H5194" s="8" t="s">
        <v>71</v>
      </c>
      <c r="I5194" s="8" t="s">
        <v>15720</v>
      </c>
      <c r="J5194" s="8" t="s">
        <v>15721</v>
      </c>
    </row>
    <row r="5195">
      <c r="A5195" s="7">
        <v>2.0065507E7</v>
      </c>
      <c r="B5195" s="8" t="s">
        <v>2134</v>
      </c>
      <c r="C5195" s="8" t="s">
        <v>15722</v>
      </c>
      <c r="D5195" s="8" t="s">
        <v>16</v>
      </c>
      <c r="E5195" s="8" t="s">
        <v>17</v>
      </c>
      <c r="F5195" s="9">
        <v>46176.0</v>
      </c>
      <c r="G5195" s="8" t="s">
        <v>1007</v>
      </c>
      <c r="H5195" s="8" t="s">
        <v>1008</v>
      </c>
      <c r="I5195" s="8" t="s">
        <v>15723</v>
      </c>
      <c r="J5195" s="8" t="s">
        <v>15724</v>
      </c>
    </row>
    <row r="5196">
      <c r="A5196" s="7">
        <v>2.0063708E7</v>
      </c>
      <c r="B5196" s="8" t="s">
        <v>2134</v>
      </c>
      <c r="C5196" s="8" t="s">
        <v>15725</v>
      </c>
      <c r="D5196" s="8" t="s">
        <v>16</v>
      </c>
      <c r="E5196" s="8" t="s">
        <v>17</v>
      </c>
      <c r="F5196" s="9">
        <v>46172.0</v>
      </c>
      <c r="G5196" s="8" t="s">
        <v>59</v>
      </c>
      <c r="H5196" s="8" t="s">
        <v>60</v>
      </c>
      <c r="I5196" s="8" t="s">
        <v>15726</v>
      </c>
      <c r="J5196" s="8" t="s">
        <v>15727</v>
      </c>
    </row>
    <row r="5197">
      <c r="A5197" s="7">
        <v>2.0063708E7</v>
      </c>
      <c r="B5197" s="8" t="s">
        <v>2134</v>
      </c>
      <c r="C5197" s="8" t="s">
        <v>15725</v>
      </c>
      <c r="D5197" s="8" t="s">
        <v>16</v>
      </c>
      <c r="E5197" s="8" t="s">
        <v>17</v>
      </c>
      <c r="F5197" s="9">
        <v>46172.0</v>
      </c>
      <c r="G5197" s="8" t="s">
        <v>365</v>
      </c>
      <c r="H5197" s="8" t="s">
        <v>366</v>
      </c>
      <c r="I5197" s="8" t="s">
        <v>15728</v>
      </c>
      <c r="J5197" s="8" t="s">
        <v>15729</v>
      </c>
    </row>
    <row r="5198">
      <c r="A5198" s="7">
        <v>2.0060333E7</v>
      </c>
      <c r="B5198" s="8" t="s">
        <v>2134</v>
      </c>
      <c r="C5198" s="8" t="s">
        <v>15730</v>
      </c>
      <c r="D5198" s="8" t="s">
        <v>16</v>
      </c>
      <c r="E5198" s="8" t="s">
        <v>17</v>
      </c>
      <c r="F5198" s="9">
        <v>46149.0</v>
      </c>
      <c r="G5198" s="8" t="s">
        <v>1949</v>
      </c>
      <c r="H5198" s="8" t="s">
        <v>1950</v>
      </c>
      <c r="I5198" s="8" t="s">
        <v>15731</v>
      </c>
      <c r="J5198" s="8" t="s">
        <v>15732</v>
      </c>
    </row>
    <row r="5199">
      <c r="A5199" s="7">
        <v>2.0056245E7</v>
      </c>
      <c r="B5199" s="8" t="s">
        <v>2134</v>
      </c>
      <c r="C5199" s="8" t="s">
        <v>15733</v>
      </c>
      <c r="D5199" s="8" t="s">
        <v>16</v>
      </c>
      <c r="E5199" s="8" t="s">
        <v>17</v>
      </c>
      <c r="F5199" s="9">
        <v>46135.0</v>
      </c>
      <c r="G5199" s="8" t="s">
        <v>1132</v>
      </c>
      <c r="H5199" s="8" t="s">
        <v>1133</v>
      </c>
      <c r="I5199" s="8" t="s">
        <v>15734</v>
      </c>
      <c r="J5199" s="8" t="s">
        <v>15735</v>
      </c>
    </row>
    <row r="5200">
      <c r="A5200" s="7">
        <v>2.0052472E7</v>
      </c>
      <c r="B5200" s="8" t="s">
        <v>2134</v>
      </c>
      <c r="C5200" s="8" t="s">
        <v>15736</v>
      </c>
      <c r="D5200" s="8" t="s">
        <v>16</v>
      </c>
      <c r="E5200" s="8" t="s">
        <v>17</v>
      </c>
      <c r="F5200" s="9">
        <v>46135.0</v>
      </c>
      <c r="G5200" s="8" t="s">
        <v>390</v>
      </c>
      <c r="H5200" s="8" t="s">
        <v>391</v>
      </c>
      <c r="I5200" s="8" t="s">
        <v>15737</v>
      </c>
      <c r="J5200" s="8" t="s">
        <v>15738</v>
      </c>
    </row>
    <row r="5201">
      <c r="A5201" s="7">
        <v>2.0051542E7</v>
      </c>
      <c r="B5201" s="8" t="s">
        <v>2134</v>
      </c>
      <c r="C5201" s="8" t="s">
        <v>15739</v>
      </c>
      <c r="D5201" s="8" t="s">
        <v>16</v>
      </c>
      <c r="E5201" s="8" t="s">
        <v>17</v>
      </c>
      <c r="F5201" s="9">
        <v>46110.0</v>
      </c>
      <c r="G5201" s="8" t="s">
        <v>423</v>
      </c>
      <c r="H5201" s="8" t="s">
        <v>424</v>
      </c>
      <c r="I5201" s="8" t="s">
        <v>15740</v>
      </c>
      <c r="J5201" s="8" t="s">
        <v>15741</v>
      </c>
    </row>
    <row r="5202">
      <c r="A5202" s="7">
        <v>2.004808E7</v>
      </c>
      <c r="B5202" s="8" t="s">
        <v>2134</v>
      </c>
      <c r="C5202" s="8" t="s">
        <v>15742</v>
      </c>
      <c r="D5202" s="8" t="s">
        <v>16</v>
      </c>
      <c r="E5202" s="8" t="s">
        <v>17</v>
      </c>
      <c r="F5202" s="9">
        <v>46109.0</v>
      </c>
      <c r="G5202" s="8" t="s">
        <v>59</v>
      </c>
      <c r="H5202" s="8" t="s">
        <v>60</v>
      </c>
      <c r="I5202" s="8" t="s">
        <v>15743</v>
      </c>
      <c r="J5202" s="8" t="s">
        <v>15744</v>
      </c>
    </row>
    <row r="5203">
      <c r="A5203" s="7">
        <v>2.0039538E7</v>
      </c>
      <c r="B5203" s="8" t="s">
        <v>2134</v>
      </c>
      <c r="C5203" s="8" t="s">
        <v>15745</v>
      </c>
      <c r="D5203" s="8" t="s">
        <v>16</v>
      </c>
      <c r="E5203" s="8" t="s">
        <v>17</v>
      </c>
      <c r="F5203" s="9">
        <v>46083.0</v>
      </c>
      <c r="G5203" s="8" t="s">
        <v>436</v>
      </c>
      <c r="H5203" s="8" t="s">
        <v>437</v>
      </c>
      <c r="I5203" s="8" t="s">
        <v>15746</v>
      </c>
      <c r="J5203" s="8" t="s">
        <v>15747</v>
      </c>
    </row>
    <row r="5204">
      <c r="A5204" s="7">
        <v>2.0033738E7</v>
      </c>
      <c r="B5204" s="8" t="s">
        <v>2134</v>
      </c>
      <c r="C5204" s="8" t="s">
        <v>15748</v>
      </c>
      <c r="D5204" s="8" t="s">
        <v>16</v>
      </c>
      <c r="E5204" s="8" t="s">
        <v>17</v>
      </c>
      <c r="F5204" s="9">
        <v>46061.0</v>
      </c>
      <c r="G5204" s="8" t="s">
        <v>4148</v>
      </c>
      <c r="H5204" s="8" t="s">
        <v>4149</v>
      </c>
      <c r="I5204" s="8" t="s">
        <v>15749</v>
      </c>
      <c r="J5204" s="8" t="s">
        <v>15750</v>
      </c>
    </row>
    <row r="5205">
      <c r="A5205" s="7">
        <v>2.0034302E7</v>
      </c>
      <c r="B5205" s="8" t="s">
        <v>2134</v>
      </c>
      <c r="C5205" s="8" t="s">
        <v>15751</v>
      </c>
      <c r="D5205" s="8" t="s">
        <v>16</v>
      </c>
      <c r="E5205" s="8" t="s">
        <v>17</v>
      </c>
      <c r="F5205" s="9">
        <v>46043.0</v>
      </c>
      <c r="G5205" s="8" t="s">
        <v>34</v>
      </c>
      <c r="H5205" s="8" t="s">
        <v>35</v>
      </c>
      <c r="I5205" s="8" t="s">
        <v>15752</v>
      </c>
      <c r="J5205" s="8" t="s">
        <v>15753</v>
      </c>
    </row>
    <row r="5206">
      <c r="A5206" s="7">
        <v>2.0067565E7</v>
      </c>
      <c r="B5206" s="8" t="s">
        <v>2134</v>
      </c>
      <c r="C5206" s="8" t="s">
        <v>15754</v>
      </c>
      <c r="D5206" s="8" t="s">
        <v>16</v>
      </c>
      <c r="E5206" s="8" t="s">
        <v>17</v>
      </c>
      <c r="F5206" s="9">
        <v>46188.0</v>
      </c>
      <c r="G5206" s="8" t="s">
        <v>59</v>
      </c>
      <c r="H5206" s="8" t="s">
        <v>60</v>
      </c>
      <c r="I5206" s="8" t="s">
        <v>15755</v>
      </c>
      <c r="J5206" s="8" t="s">
        <v>15756</v>
      </c>
    </row>
    <row r="5207">
      <c r="A5207" s="7">
        <v>2.0060697E7</v>
      </c>
      <c r="B5207" s="8" t="s">
        <v>2134</v>
      </c>
      <c r="C5207" s="8" t="s">
        <v>15757</v>
      </c>
      <c r="D5207" s="8" t="s">
        <v>16</v>
      </c>
      <c r="E5207" s="8" t="s">
        <v>17</v>
      </c>
      <c r="F5207" s="9">
        <v>46184.0</v>
      </c>
      <c r="G5207" s="8" t="s">
        <v>436</v>
      </c>
      <c r="H5207" s="8" t="s">
        <v>437</v>
      </c>
      <c r="I5207" s="8" t="s">
        <v>15758</v>
      </c>
      <c r="J5207" s="8" t="s">
        <v>15759</v>
      </c>
    </row>
    <row r="5208">
      <c r="A5208" s="7">
        <v>2.0060339E7</v>
      </c>
      <c r="B5208" s="8" t="s">
        <v>2134</v>
      </c>
      <c r="C5208" s="8" t="s">
        <v>15760</v>
      </c>
      <c r="D5208" s="8" t="s">
        <v>16</v>
      </c>
      <c r="E5208" s="8" t="s">
        <v>17</v>
      </c>
      <c r="F5208" s="9">
        <v>46167.0</v>
      </c>
      <c r="G5208" s="8" t="s">
        <v>3706</v>
      </c>
      <c r="H5208" s="8" t="s">
        <v>3707</v>
      </c>
      <c r="I5208" s="8" t="s">
        <v>15761</v>
      </c>
      <c r="J5208" s="8"/>
    </row>
    <row r="5209">
      <c r="A5209" s="7">
        <v>2.0044093E7</v>
      </c>
      <c r="B5209" s="8" t="s">
        <v>2134</v>
      </c>
      <c r="C5209" s="8" t="s">
        <v>15762</v>
      </c>
      <c r="D5209" s="8" t="s">
        <v>16</v>
      </c>
      <c r="E5209" s="8" t="s">
        <v>17</v>
      </c>
      <c r="F5209" s="9">
        <v>46094.0</v>
      </c>
      <c r="G5209" s="8" t="s">
        <v>171</v>
      </c>
      <c r="H5209" s="8" t="s">
        <v>172</v>
      </c>
      <c r="I5209" s="8" t="s">
        <v>15763</v>
      </c>
      <c r="J5209" s="8" t="s">
        <v>15764</v>
      </c>
    </row>
    <row r="5210">
      <c r="A5210" s="7">
        <v>2.0044236E7</v>
      </c>
      <c r="B5210" s="8" t="s">
        <v>2134</v>
      </c>
      <c r="C5210" s="8" t="s">
        <v>15765</v>
      </c>
      <c r="D5210" s="8" t="s">
        <v>16</v>
      </c>
      <c r="E5210" s="8" t="s">
        <v>17</v>
      </c>
      <c r="F5210" s="9">
        <v>46092.0</v>
      </c>
      <c r="G5210" s="8" t="s">
        <v>1754</v>
      </c>
      <c r="H5210" s="8" t="s">
        <v>1755</v>
      </c>
      <c r="I5210" s="8" t="s">
        <v>15766</v>
      </c>
      <c r="J5210" s="8" t="s">
        <v>15767</v>
      </c>
    </row>
    <row r="5211">
      <c r="A5211" s="7">
        <v>2.004223E7</v>
      </c>
      <c r="B5211" s="8" t="s">
        <v>2134</v>
      </c>
      <c r="C5211" s="8" t="s">
        <v>15768</v>
      </c>
      <c r="D5211" s="8" t="s">
        <v>16</v>
      </c>
      <c r="E5211" s="8" t="s">
        <v>17</v>
      </c>
      <c r="F5211" s="9">
        <v>46087.0</v>
      </c>
      <c r="G5211" s="8" t="s">
        <v>171</v>
      </c>
      <c r="H5211" s="8" t="s">
        <v>172</v>
      </c>
      <c r="I5211" s="8" t="s">
        <v>15769</v>
      </c>
      <c r="J5211" s="8" t="s">
        <v>15770</v>
      </c>
    </row>
    <row r="5212">
      <c r="A5212" s="7">
        <v>2.003837E7</v>
      </c>
      <c r="B5212" s="8" t="s">
        <v>2134</v>
      </c>
      <c r="C5212" s="8" t="s">
        <v>15771</v>
      </c>
      <c r="D5212" s="8" t="s">
        <v>16</v>
      </c>
      <c r="E5212" s="8" t="s">
        <v>17</v>
      </c>
      <c r="F5212" s="9">
        <v>46071.0</v>
      </c>
      <c r="G5212" s="8" t="s">
        <v>613</v>
      </c>
      <c r="H5212" s="8" t="s">
        <v>614</v>
      </c>
      <c r="I5212" s="8" t="s">
        <v>15772</v>
      </c>
      <c r="J5212" s="8" t="s">
        <v>15773</v>
      </c>
    </row>
    <row r="5213">
      <c r="A5213" s="7">
        <v>2.0038328E7</v>
      </c>
      <c r="B5213" s="8" t="s">
        <v>2134</v>
      </c>
      <c r="C5213" s="8" t="s">
        <v>15774</v>
      </c>
      <c r="D5213" s="8" t="s">
        <v>16</v>
      </c>
      <c r="E5213" s="8" t="s">
        <v>17</v>
      </c>
      <c r="F5213" s="9">
        <v>46074.0</v>
      </c>
      <c r="G5213" s="8" t="s">
        <v>390</v>
      </c>
      <c r="H5213" s="8" t="s">
        <v>391</v>
      </c>
      <c r="I5213" s="8" t="s">
        <v>15775</v>
      </c>
      <c r="J5213" s="8" t="s">
        <v>15776</v>
      </c>
    </row>
    <row r="5214">
      <c r="A5214" s="7">
        <v>2.0068891E7</v>
      </c>
      <c r="B5214" s="8" t="s">
        <v>2134</v>
      </c>
      <c r="C5214" s="8" t="s">
        <v>15777</v>
      </c>
      <c r="D5214" s="8" t="s">
        <v>16</v>
      </c>
      <c r="E5214" s="8" t="s">
        <v>17</v>
      </c>
      <c r="F5214" s="9">
        <v>46184.0</v>
      </c>
      <c r="G5214" s="8" t="s">
        <v>365</v>
      </c>
      <c r="H5214" s="8" t="s">
        <v>366</v>
      </c>
      <c r="I5214" s="8" t="s">
        <v>15778</v>
      </c>
      <c r="J5214" s="8" t="s">
        <v>15779</v>
      </c>
    </row>
    <row r="5215">
      <c r="A5215" s="7">
        <v>2.0068852E7</v>
      </c>
      <c r="B5215" s="8" t="s">
        <v>2134</v>
      </c>
      <c r="C5215" s="8" t="s">
        <v>15780</v>
      </c>
      <c r="D5215" s="8" t="s">
        <v>16</v>
      </c>
      <c r="E5215" s="8" t="s">
        <v>17</v>
      </c>
      <c r="F5215" s="9">
        <v>46183.0</v>
      </c>
      <c r="G5215" s="8" t="s">
        <v>882</v>
      </c>
      <c r="H5215" s="8" t="s">
        <v>883</v>
      </c>
      <c r="I5215" s="8" t="s">
        <v>15781</v>
      </c>
      <c r="J5215" s="8" t="s">
        <v>15782</v>
      </c>
    </row>
    <row r="5216">
      <c r="A5216" s="7">
        <v>2.0066755E7</v>
      </c>
      <c r="B5216" s="8" t="s">
        <v>2134</v>
      </c>
      <c r="C5216" s="8" t="s">
        <v>15783</v>
      </c>
      <c r="D5216" s="8" t="s">
        <v>16</v>
      </c>
      <c r="E5216" s="8" t="s">
        <v>17</v>
      </c>
      <c r="F5216" s="9">
        <v>46183.0</v>
      </c>
      <c r="G5216" s="8" t="s">
        <v>247</v>
      </c>
      <c r="H5216" s="8" t="s">
        <v>248</v>
      </c>
      <c r="I5216" s="8" t="s">
        <v>15784</v>
      </c>
      <c r="J5216" s="8" t="s">
        <v>15785</v>
      </c>
    </row>
    <row r="5217">
      <c r="A5217" s="7">
        <v>2.0062325E7</v>
      </c>
      <c r="B5217" s="8" t="s">
        <v>2134</v>
      </c>
      <c r="C5217" s="8" t="s">
        <v>15786</v>
      </c>
      <c r="D5217" s="8" t="s">
        <v>16</v>
      </c>
      <c r="E5217" s="8" t="s">
        <v>17</v>
      </c>
      <c r="F5217" s="9">
        <v>46181.0</v>
      </c>
      <c r="G5217" s="8" t="s">
        <v>601</v>
      </c>
      <c r="H5217" s="8" t="s">
        <v>602</v>
      </c>
      <c r="I5217" s="8" t="s">
        <v>15787</v>
      </c>
      <c r="J5217" s="8" t="s">
        <v>15788</v>
      </c>
    </row>
    <row r="5218">
      <c r="A5218" s="7">
        <v>2.0055122E7</v>
      </c>
      <c r="B5218" s="8" t="s">
        <v>2134</v>
      </c>
      <c r="C5218" s="8" t="s">
        <v>15789</v>
      </c>
      <c r="D5218" s="8" t="s">
        <v>16</v>
      </c>
      <c r="E5218" s="8" t="s">
        <v>17</v>
      </c>
      <c r="F5218" s="9">
        <v>46133.0</v>
      </c>
      <c r="G5218" s="8" t="s">
        <v>2225</v>
      </c>
      <c r="H5218" s="8" t="s">
        <v>2226</v>
      </c>
      <c r="I5218" s="8" t="s">
        <v>15790</v>
      </c>
      <c r="J5218" s="8" t="s">
        <v>15791</v>
      </c>
    </row>
    <row r="5219">
      <c r="A5219" s="7">
        <v>2.005468E7</v>
      </c>
      <c r="B5219" s="8" t="s">
        <v>2134</v>
      </c>
      <c r="C5219" s="8" t="s">
        <v>15792</v>
      </c>
      <c r="D5219" s="8" t="s">
        <v>16</v>
      </c>
      <c r="E5219" s="8" t="s">
        <v>17</v>
      </c>
      <c r="F5219" s="9">
        <v>46140.0</v>
      </c>
      <c r="G5219" s="8" t="s">
        <v>1255</v>
      </c>
      <c r="H5219" s="8" t="s">
        <v>1256</v>
      </c>
      <c r="I5219" s="8" t="s">
        <v>15793</v>
      </c>
      <c r="J5219" s="8" t="s">
        <v>15794</v>
      </c>
    </row>
    <row r="5220">
      <c r="A5220" s="7">
        <v>2.0042877E7</v>
      </c>
      <c r="B5220" s="8" t="s">
        <v>2134</v>
      </c>
      <c r="C5220" s="8" t="s">
        <v>15795</v>
      </c>
      <c r="D5220" s="8" t="s">
        <v>16</v>
      </c>
      <c r="E5220" s="8" t="s">
        <v>17</v>
      </c>
      <c r="F5220" s="9">
        <v>46077.0</v>
      </c>
      <c r="G5220" s="8" t="s">
        <v>365</v>
      </c>
      <c r="H5220" s="8" t="s">
        <v>366</v>
      </c>
      <c r="I5220" s="8" t="s">
        <v>15796</v>
      </c>
      <c r="J5220" s="8" t="s">
        <v>15797</v>
      </c>
    </row>
    <row r="5221">
      <c r="A5221" s="7">
        <v>2.0042883E7</v>
      </c>
      <c r="B5221" s="8" t="s">
        <v>2134</v>
      </c>
      <c r="C5221" s="8" t="s">
        <v>15798</v>
      </c>
      <c r="D5221" s="8" t="s">
        <v>16</v>
      </c>
      <c r="E5221" s="8" t="s">
        <v>17</v>
      </c>
      <c r="F5221" s="9">
        <v>46094.0</v>
      </c>
      <c r="G5221" s="8" t="s">
        <v>436</v>
      </c>
      <c r="H5221" s="8" t="s">
        <v>437</v>
      </c>
      <c r="I5221" s="8" t="s">
        <v>15799</v>
      </c>
      <c r="J5221" s="8" t="s">
        <v>15800</v>
      </c>
    </row>
    <row r="5222">
      <c r="A5222" s="7">
        <v>2.0038556E7</v>
      </c>
      <c r="B5222" s="8" t="s">
        <v>2134</v>
      </c>
      <c r="C5222" s="8" t="s">
        <v>15801</v>
      </c>
      <c r="D5222" s="8" t="s">
        <v>16</v>
      </c>
      <c r="E5222" s="8" t="s">
        <v>17</v>
      </c>
      <c r="F5222" s="9">
        <v>46056.0</v>
      </c>
      <c r="G5222" s="8" t="s">
        <v>385</v>
      </c>
      <c r="H5222" s="8" t="s">
        <v>386</v>
      </c>
      <c r="I5222" s="8" t="s">
        <v>15802</v>
      </c>
      <c r="J5222" s="8" t="s">
        <v>15803</v>
      </c>
    </row>
    <row r="5223">
      <c r="A5223" s="7">
        <v>2.0037507E7</v>
      </c>
      <c r="B5223" s="8" t="s">
        <v>2134</v>
      </c>
      <c r="C5223" s="8" t="s">
        <v>15804</v>
      </c>
      <c r="D5223" s="8" t="s">
        <v>16</v>
      </c>
      <c r="E5223" s="8" t="s">
        <v>17</v>
      </c>
      <c r="F5223" s="9">
        <v>46067.0</v>
      </c>
      <c r="G5223" s="8" t="s">
        <v>436</v>
      </c>
      <c r="H5223" s="8" t="s">
        <v>437</v>
      </c>
      <c r="I5223" s="8" t="s">
        <v>15805</v>
      </c>
      <c r="J5223" s="8" t="s">
        <v>15806</v>
      </c>
    </row>
    <row r="5224">
      <c r="A5224" s="7">
        <v>2.0036167E7</v>
      </c>
      <c r="B5224" s="8" t="s">
        <v>2134</v>
      </c>
      <c r="C5224" s="8" t="s">
        <v>15807</v>
      </c>
      <c r="D5224" s="8" t="s">
        <v>16</v>
      </c>
      <c r="E5224" s="8" t="s">
        <v>17</v>
      </c>
      <c r="F5224" s="9">
        <v>46064.0</v>
      </c>
      <c r="G5224" s="8" t="s">
        <v>396</v>
      </c>
      <c r="H5224" s="8" t="s">
        <v>397</v>
      </c>
      <c r="I5224" s="8" t="s">
        <v>15808</v>
      </c>
      <c r="J5224" s="8" t="s">
        <v>15809</v>
      </c>
    </row>
    <row r="5225">
      <c r="A5225" s="7">
        <v>2.0066855E7</v>
      </c>
      <c r="B5225" s="8" t="s">
        <v>2134</v>
      </c>
      <c r="C5225" s="8" t="s">
        <v>15810</v>
      </c>
      <c r="D5225" s="8" t="s">
        <v>16</v>
      </c>
      <c r="E5225" s="8" t="s">
        <v>17</v>
      </c>
      <c r="F5225" s="9">
        <v>46176.0</v>
      </c>
      <c r="G5225" s="8" t="s">
        <v>365</v>
      </c>
      <c r="H5225" s="8" t="s">
        <v>366</v>
      </c>
      <c r="I5225" s="8" t="s">
        <v>15811</v>
      </c>
      <c r="J5225" s="8" t="s">
        <v>15812</v>
      </c>
    </row>
    <row r="5226">
      <c r="A5226" s="7">
        <v>2.0058084E7</v>
      </c>
      <c r="B5226" s="8" t="s">
        <v>2134</v>
      </c>
      <c r="C5226" s="8" t="s">
        <v>15813</v>
      </c>
      <c r="D5226" s="8" t="s">
        <v>16</v>
      </c>
      <c r="E5226" s="8" t="s">
        <v>17</v>
      </c>
      <c r="F5226" s="9">
        <v>46159.0</v>
      </c>
      <c r="G5226" s="8" t="s">
        <v>601</v>
      </c>
      <c r="H5226" s="8" t="s">
        <v>602</v>
      </c>
      <c r="I5226" s="8" t="s">
        <v>15814</v>
      </c>
      <c r="J5226" s="8" t="s">
        <v>15815</v>
      </c>
    </row>
    <row r="5227">
      <c r="A5227" s="7">
        <v>2.0056386E7</v>
      </c>
      <c r="B5227" s="8" t="s">
        <v>2134</v>
      </c>
      <c r="C5227" s="8" t="s">
        <v>15816</v>
      </c>
      <c r="D5227" s="8" t="s">
        <v>16</v>
      </c>
      <c r="E5227" s="8" t="s">
        <v>17</v>
      </c>
      <c r="F5227" s="9">
        <v>46147.0</v>
      </c>
      <c r="G5227" s="8" t="s">
        <v>171</v>
      </c>
      <c r="H5227" s="8" t="s">
        <v>172</v>
      </c>
      <c r="I5227" s="8" t="s">
        <v>15817</v>
      </c>
      <c r="J5227" s="8" t="s">
        <v>15818</v>
      </c>
    </row>
    <row r="5228">
      <c r="A5228" s="7">
        <v>2.0055227E7</v>
      </c>
      <c r="B5228" s="8" t="s">
        <v>2134</v>
      </c>
      <c r="C5228" s="8" t="s">
        <v>15819</v>
      </c>
      <c r="D5228" s="8" t="s">
        <v>16</v>
      </c>
      <c r="E5228" s="8" t="s">
        <v>17</v>
      </c>
      <c r="F5228" s="9">
        <v>46140.0</v>
      </c>
      <c r="G5228" s="8" t="s">
        <v>132</v>
      </c>
      <c r="H5228" s="8" t="s">
        <v>133</v>
      </c>
      <c r="I5228" s="8" t="s">
        <v>15820</v>
      </c>
      <c r="J5228" s="8" t="s">
        <v>15821</v>
      </c>
    </row>
    <row r="5229">
      <c r="A5229" s="7">
        <v>2.0050514E7</v>
      </c>
      <c r="B5229" s="8" t="s">
        <v>2134</v>
      </c>
      <c r="C5229" s="8" t="s">
        <v>15822</v>
      </c>
      <c r="D5229" s="8" t="s">
        <v>16</v>
      </c>
      <c r="E5229" s="8" t="s">
        <v>17</v>
      </c>
      <c r="F5229" s="9">
        <v>46123.0</v>
      </c>
      <c r="G5229" s="8" t="s">
        <v>390</v>
      </c>
      <c r="H5229" s="8" t="s">
        <v>391</v>
      </c>
      <c r="I5229" s="8" t="s">
        <v>15823</v>
      </c>
      <c r="J5229" s="8"/>
    </row>
    <row r="5230">
      <c r="A5230" s="7">
        <v>2.0042644E7</v>
      </c>
      <c r="B5230" s="8" t="s">
        <v>2134</v>
      </c>
      <c r="C5230" s="8" t="s">
        <v>15824</v>
      </c>
      <c r="D5230" s="8" t="s">
        <v>16</v>
      </c>
      <c r="E5230" s="8" t="s">
        <v>17</v>
      </c>
      <c r="F5230" s="9">
        <v>46091.0</v>
      </c>
      <c r="G5230" s="8" t="s">
        <v>184</v>
      </c>
      <c r="H5230" s="8" t="s">
        <v>185</v>
      </c>
      <c r="I5230" s="8" t="s">
        <v>15825</v>
      </c>
      <c r="J5230" s="8" t="s">
        <v>15826</v>
      </c>
    </row>
    <row r="5231">
      <c r="A5231" s="7">
        <v>2.0041839E7</v>
      </c>
      <c r="B5231" s="8" t="s">
        <v>2134</v>
      </c>
      <c r="C5231" s="8" t="s">
        <v>15827</v>
      </c>
      <c r="D5231" s="8" t="s">
        <v>16</v>
      </c>
      <c r="E5231" s="8" t="s">
        <v>17</v>
      </c>
      <c r="F5231" s="9">
        <v>46079.0</v>
      </c>
      <c r="G5231" s="8" t="s">
        <v>390</v>
      </c>
      <c r="H5231" s="8" t="s">
        <v>391</v>
      </c>
      <c r="I5231" s="8" t="s">
        <v>15828</v>
      </c>
      <c r="J5231" s="8"/>
    </row>
    <row r="5232">
      <c r="A5232" s="7">
        <v>2.0040375E7</v>
      </c>
      <c r="B5232" s="8" t="s">
        <v>2134</v>
      </c>
      <c r="C5232" s="8" t="s">
        <v>15829</v>
      </c>
      <c r="D5232" s="8" t="s">
        <v>16</v>
      </c>
      <c r="E5232" s="8" t="s">
        <v>17</v>
      </c>
      <c r="F5232" s="9">
        <v>46077.0</v>
      </c>
      <c r="G5232" s="8" t="s">
        <v>64</v>
      </c>
      <c r="H5232" s="8" t="s">
        <v>65</v>
      </c>
      <c r="I5232" s="8" t="s">
        <v>15830</v>
      </c>
      <c r="J5232" s="8" t="s">
        <v>15831</v>
      </c>
    </row>
    <row r="5233">
      <c r="A5233" s="7">
        <v>2.0037809E7</v>
      </c>
      <c r="B5233" s="8" t="s">
        <v>2134</v>
      </c>
      <c r="C5233" s="8" t="s">
        <v>15832</v>
      </c>
      <c r="D5233" s="8" t="s">
        <v>16</v>
      </c>
      <c r="E5233" s="8" t="s">
        <v>17</v>
      </c>
      <c r="F5233" s="9">
        <v>46076.0</v>
      </c>
      <c r="G5233" s="8" t="s">
        <v>158</v>
      </c>
      <c r="H5233" s="8" t="s">
        <v>159</v>
      </c>
      <c r="I5233" s="8" t="s">
        <v>15833</v>
      </c>
      <c r="J5233" s="8" t="s">
        <v>15834</v>
      </c>
    </row>
    <row r="5234">
      <c r="A5234" s="7">
        <v>2.0038049E7</v>
      </c>
      <c r="B5234" s="8" t="s">
        <v>2134</v>
      </c>
      <c r="C5234" s="8" t="s">
        <v>15835</v>
      </c>
      <c r="D5234" s="8" t="s">
        <v>16</v>
      </c>
      <c r="E5234" s="8" t="s">
        <v>17</v>
      </c>
      <c r="F5234" s="9">
        <v>46063.0</v>
      </c>
      <c r="G5234" s="8" t="s">
        <v>3965</v>
      </c>
      <c r="H5234" s="8" t="s">
        <v>3966</v>
      </c>
      <c r="I5234" s="8" t="s">
        <v>15836</v>
      </c>
      <c r="J5234" s="8" t="s">
        <v>15837</v>
      </c>
    </row>
    <row r="5235">
      <c r="A5235" s="7">
        <v>2.0035595E7</v>
      </c>
      <c r="B5235" s="8" t="s">
        <v>2134</v>
      </c>
      <c r="C5235" s="8" t="s">
        <v>15838</v>
      </c>
      <c r="D5235" s="8" t="s">
        <v>16</v>
      </c>
      <c r="E5235" s="8" t="s">
        <v>17</v>
      </c>
      <c r="F5235" s="9">
        <v>46063.0</v>
      </c>
      <c r="G5235" s="8" t="s">
        <v>64</v>
      </c>
      <c r="H5235" s="8" t="s">
        <v>65</v>
      </c>
      <c r="I5235" s="8" t="s">
        <v>15839</v>
      </c>
      <c r="J5235" s="8" t="s">
        <v>15840</v>
      </c>
    </row>
    <row r="5236">
      <c r="A5236" s="7">
        <v>2.0067392E7</v>
      </c>
      <c r="B5236" s="8" t="s">
        <v>2134</v>
      </c>
      <c r="C5236" s="8" t="s">
        <v>15841</v>
      </c>
      <c r="D5236" s="8" t="s">
        <v>16</v>
      </c>
      <c r="E5236" s="8" t="s">
        <v>17</v>
      </c>
      <c r="F5236" s="9">
        <v>46174.0</v>
      </c>
      <c r="G5236" s="8" t="s">
        <v>3012</v>
      </c>
      <c r="H5236" s="8" t="s">
        <v>3013</v>
      </c>
      <c r="I5236" s="8" t="s">
        <v>15842</v>
      </c>
      <c r="J5236" s="8" t="s">
        <v>15843</v>
      </c>
    </row>
    <row r="5237">
      <c r="A5237" s="7">
        <v>2.0065878E7</v>
      </c>
      <c r="B5237" s="8" t="s">
        <v>2134</v>
      </c>
      <c r="C5237" s="8" t="s">
        <v>15844</v>
      </c>
      <c r="D5237" s="8" t="s">
        <v>16</v>
      </c>
      <c r="E5237" s="8" t="s">
        <v>17</v>
      </c>
      <c r="F5237" s="9">
        <v>46172.0</v>
      </c>
      <c r="G5237" s="8" t="s">
        <v>400</v>
      </c>
      <c r="H5237" s="8" t="s">
        <v>2144</v>
      </c>
      <c r="I5237" s="8" t="s">
        <v>15845</v>
      </c>
      <c r="J5237" s="8" t="s">
        <v>15846</v>
      </c>
    </row>
    <row r="5238">
      <c r="A5238" s="7">
        <v>2.0062642E7</v>
      </c>
      <c r="B5238" s="8" t="s">
        <v>2134</v>
      </c>
      <c r="C5238" s="8" t="s">
        <v>15847</v>
      </c>
      <c r="D5238" s="8" t="s">
        <v>16</v>
      </c>
      <c r="E5238" s="8" t="s">
        <v>17</v>
      </c>
      <c r="F5238" s="9">
        <v>46163.0</v>
      </c>
      <c r="G5238" s="8" t="s">
        <v>365</v>
      </c>
      <c r="H5238" s="8" t="s">
        <v>366</v>
      </c>
      <c r="I5238" s="8" t="s">
        <v>15848</v>
      </c>
      <c r="J5238" s="8" t="s">
        <v>15849</v>
      </c>
    </row>
    <row r="5239">
      <c r="A5239" s="7">
        <v>2.005608E7</v>
      </c>
      <c r="B5239" s="8" t="s">
        <v>2134</v>
      </c>
      <c r="C5239" s="8" t="s">
        <v>15850</v>
      </c>
      <c r="D5239" s="8" t="s">
        <v>16</v>
      </c>
      <c r="E5239" s="8" t="s">
        <v>17</v>
      </c>
      <c r="F5239" s="9">
        <v>46135.0</v>
      </c>
      <c r="G5239" s="8" t="s">
        <v>220</v>
      </c>
      <c r="H5239" s="8" t="s">
        <v>221</v>
      </c>
      <c r="I5239" s="8" t="s">
        <v>15851</v>
      </c>
      <c r="J5239" s="8" t="s">
        <v>15852</v>
      </c>
    </row>
    <row r="5240">
      <c r="A5240" s="7">
        <v>2.0053695E7</v>
      </c>
      <c r="B5240" s="8" t="s">
        <v>2134</v>
      </c>
      <c r="C5240" s="8" t="s">
        <v>15853</v>
      </c>
      <c r="D5240" s="8" t="s">
        <v>16</v>
      </c>
      <c r="E5240" s="8" t="s">
        <v>17</v>
      </c>
      <c r="F5240" s="9">
        <v>46137.0</v>
      </c>
      <c r="G5240" s="8" t="s">
        <v>15854</v>
      </c>
      <c r="H5240" s="8" t="s">
        <v>15855</v>
      </c>
      <c r="I5240" s="8" t="s">
        <v>15856</v>
      </c>
      <c r="J5240" s="8" t="s">
        <v>15857</v>
      </c>
    </row>
    <row r="5241">
      <c r="A5241" s="7">
        <v>2.004198E7</v>
      </c>
      <c r="B5241" s="8" t="s">
        <v>2134</v>
      </c>
      <c r="C5241" s="8" t="s">
        <v>15858</v>
      </c>
      <c r="D5241" s="8" t="s">
        <v>16</v>
      </c>
      <c r="E5241" s="8" t="s">
        <v>17</v>
      </c>
      <c r="F5241" s="9">
        <v>46083.0</v>
      </c>
      <c r="G5241" s="8" t="s">
        <v>436</v>
      </c>
      <c r="H5241" s="8" t="s">
        <v>437</v>
      </c>
      <c r="I5241" s="8" t="s">
        <v>15859</v>
      </c>
      <c r="J5241" s="8" t="s">
        <v>15860</v>
      </c>
    </row>
    <row r="5242">
      <c r="A5242" s="7">
        <v>2.0035949E7</v>
      </c>
      <c r="B5242" s="8" t="s">
        <v>2134</v>
      </c>
      <c r="C5242" s="8" t="s">
        <v>15861</v>
      </c>
      <c r="D5242" s="8" t="s">
        <v>16</v>
      </c>
      <c r="E5242" s="8" t="s">
        <v>17</v>
      </c>
      <c r="F5242" s="9">
        <v>46062.0</v>
      </c>
      <c r="G5242" s="8" t="s">
        <v>390</v>
      </c>
      <c r="H5242" s="8" t="s">
        <v>391</v>
      </c>
      <c r="I5242" s="8" t="s">
        <v>15862</v>
      </c>
      <c r="J5242" s="8" t="s">
        <v>15863</v>
      </c>
    </row>
    <row r="5243">
      <c r="A5243" s="7">
        <v>2.0035397E7</v>
      </c>
      <c r="B5243" s="8" t="s">
        <v>2134</v>
      </c>
      <c r="C5243" s="8" t="s">
        <v>15864</v>
      </c>
      <c r="D5243" s="8" t="s">
        <v>16</v>
      </c>
      <c r="E5243" s="8" t="s">
        <v>17</v>
      </c>
      <c r="F5243" s="9">
        <v>46057.0</v>
      </c>
      <c r="G5243" s="8" t="s">
        <v>15865</v>
      </c>
      <c r="H5243" s="8" t="s">
        <v>15866</v>
      </c>
      <c r="I5243" s="8" t="s">
        <v>15867</v>
      </c>
      <c r="J5243" s="8" t="s">
        <v>15868</v>
      </c>
    </row>
    <row r="5244">
      <c r="A5244" s="7">
        <v>2.0063155E7</v>
      </c>
      <c r="B5244" s="8" t="s">
        <v>2134</v>
      </c>
      <c r="C5244" s="8" t="s">
        <v>15869</v>
      </c>
      <c r="D5244" s="8" t="s">
        <v>16</v>
      </c>
      <c r="E5244" s="8" t="s">
        <v>17</v>
      </c>
      <c r="F5244" s="9">
        <v>46159.0</v>
      </c>
      <c r="G5244" s="8" t="s">
        <v>352</v>
      </c>
      <c r="H5244" s="8" t="s">
        <v>353</v>
      </c>
      <c r="I5244" s="8" t="s">
        <v>15870</v>
      </c>
      <c r="J5244" s="8" t="s">
        <v>15871</v>
      </c>
    </row>
    <row r="5245">
      <c r="A5245" s="7">
        <v>2.006201E7</v>
      </c>
      <c r="B5245" s="8" t="s">
        <v>2134</v>
      </c>
      <c r="C5245" s="8" t="s">
        <v>15872</v>
      </c>
      <c r="D5245" s="8" t="s">
        <v>16</v>
      </c>
      <c r="E5245" s="8" t="s">
        <v>17</v>
      </c>
      <c r="F5245" s="9">
        <v>46156.0</v>
      </c>
      <c r="G5245" s="8" t="s">
        <v>220</v>
      </c>
      <c r="H5245" s="8" t="s">
        <v>221</v>
      </c>
      <c r="I5245" s="8" t="s">
        <v>15873</v>
      </c>
      <c r="J5245" s="8" t="s">
        <v>15874</v>
      </c>
    </row>
    <row r="5246">
      <c r="A5246" s="7">
        <v>2.0060575E7</v>
      </c>
      <c r="B5246" s="8" t="s">
        <v>2134</v>
      </c>
      <c r="C5246" s="8" t="s">
        <v>15875</v>
      </c>
      <c r="D5246" s="8" t="s">
        <v>16</v>
      </c>
      <c r="E5246" s="8" t="s">
        <v>17</v>
      </c>
      <c r="F5246" s="9">
        <v>46181.0</v>
      </c>
      <c r="G5246" s="8" t="s">
        <v>3291</v>
      </c>
      <c r="H5246" s="8" t="s">
        <v>3292</v>
      </c>
      <c r="I5246" s="8" t="s">
        <v>15876</v>
      </c>
      <c r="J5246" s="8" t="s">
        <v>15877</v>
      </c>
    </row>
    <row r="5247">
      <c r="A5247" s="7">
        <v>2.0058405E7</v>
      </c>
      <c r="B5247" s="8" t="s">
        <v>2134</v>
      </c>
      <c r="C5247" s="8" t="s">
        <v>15878</v>
      </c>
      <c r="D5247" s="8" t="s">
        <v>16</v>
      </c>
      <c r="E5247" s="8" t="s">
        <v>17</v>
      </c>
      <c r="F5247" s="9">
        <v>46183.0</v>
      </c>
      <c r="G5247" s="8" t="s">
        <v>3917</v>
      </c>
      <c r="H5247" s="8" t="s">
        <v>3918</v>
      </c>
      <c r="I5247" s="8" t="s">
        <v>15879</v>
      </c>
      <c r="J5247" s="8" t="s">
        <v>15880</v>
      </c>
    </row>
    <row r="5248">
      <c r="A5248" s="7">
        <v>2.005218E7</v>
      </c>
      <c r="B5248" s="8" t="s">
        <v>2134</v>
      </c>
      <c r="C5248" s="8" t="s">
        <v>15881</v>
      </c>
      <c r="D5248" s="8" t="s">
        <v>16</v>
      </c>
      <c r="E5248" s="8" t="s">
        <v>17</v>
      </c>
      <c r="F5248" s="9">
        <v>46131.0</v>
      </c>
      <c r="G5248" s="8" t="s">
        <v>688</v>
      </c>
      <c r="H5248" s="8" t="s">
        <v>689</v>
      </c>
      <c r="I5248" s="8" t="s">
        <v>15882</v>
      </c>
      <c r="J5248" s="8" t="s">
        <v>15883</v>
      </c>
    </row>
    <row r="5249">
      <c r="A5249" s="7">
        <v>2.0046251E7</v>
      </c>
      <c r="B5249" s="8" t="s">
        <v>2134</v>
      </c>
      <c r="C5249" s="8" t="s">
        <v>15884</v>
      </c>
      <c r="D5249" s="8" t="s">
        <v>16</v>
      </c>
      <c r="E5249" s="8" t="s">
        <v>17</v>
      </c>
      <c r="F5249" s="9">
        <v>46108.0</v>
      </c>
      <c r="G5249" s="8" t="s">
        <v>1085</v>
      </c>
      <c r="H5249" s="8" t="s">
        <v>1086</v>
      </c>
      <c r="I5249" s="8" t="s">
        <v>15885</v>
      </c>
      <c r="J5249" s="8" t="s">
        <v>15886</v>
      </c>
    </row>
    <row r="5250">
      <c r="A5250" s="7">
        <v>2.0044348E7</v>
      </c>
      <c r="B5250" s="8" t="s">
        <v>2134</v>
      </c>
      <c r="C5250" s="8" t="s">
        <v>15887</v>
      </c>
      <c r="D5250" s="8" t="s">
        <v>16</v>
      </c>
      <c r="E5250" s="8" t="s">
        <v>17</v>
      </c>
      <c r="F5250" s="9">
        <v>46094.0</v>
      </c>
      <c r="G5250" s="8" t="s">
        <v>1174</v>
      </c>
      <c r="H5250" s="8" t="s">
        <v>1175</v>
      </c>
      <c r="I5250" s="8" t="s">
        <v>15888</v>
      </c>
      <c r="J5250" s="8" t="s">
        <v>15889</v>
      </c>
    </row>
    <row r="5251">
      <c r="A5251" s="7">
        <v>2.0043442E7</v>
      </c>
      <c r="B5251" s="8" t="s">
        <v>2134</v>
      </c>
      <c r="C5251" s="8" t="s">
        <v>15890</v>
      </c>
      <c r="D5251" s="8" t="s">
        <v>16</v>
      </c>
      <c r="E5251" s="8" t="s">
        <v>17</v>
      </c>
      <c r="F5251" s="9">
        <v>46094.0</v>
      </c>
      <c r="G5251" s="8" t="s">
        <v>436</v>
      </c>
      <c r="H5251" s="8" t="s">
        <v>437</v>
      </c>
      <c r="I5251" s="8" t="s">
        <v>15891</v>
      </c>
      <c r="J5251" s="8" t="s">
        <v>15892</v>
      </c>
    </row>
    <row r="5252">
      <c r="A5252" s="7">
        <v>2.004093E7</v>
      </c>
      <c r="B5252" s="8" t="s">
        <v>2134</v>
      </c>
      <c r="C5252" s="8" t="s">
        <v>15893</v>
      </c>
      <c r="D5252" s="8" t="s">
        <v>16</v>
      </c>
      <c r="E5252" s="8" t="s">
        <v>17</v>
      </c>
      <c r="F5252" s="9">
        <v>46077.0</v>
      </c>
      <c r="G5252" s="8" t="s">
        <v>361</v>
      </c>
      <c r="H5252" s="8" t="s">
        <v>362</v>
      </c>
      <c r="I5252" s="8" t="s">
        <v>15894</v>
      </c>
      <c r="J5252" s="8" t="s">
        <v>15895</v>
      </c>
    </row>
    <row r="5253">
      <c r="A5253" s="7">
        <v>2.0038493E7</v>
      </c>
      <c r="B5253" s="8" t="s">
        <v>2134</v>
      </c>
      <c r="C5253" s="8" t="s">
        <v>15896</v>
      </c>
      <c r="D5253" s="8" t="s">
        <v>16</v>
      </c>
      <c r="E5253" s="8" t="s">
        <v>17</v>
      </c>
      <c r="F5253" s="9">
        <v>46078.0</v>
      </c>
      <c r="G5253" s="8" t="s">
        <v>390</v>
      </c>
      <c r="H5253" s="8" t="s">
        <v>391</v>
      </c>
      <c r="I5253" s="8" t="s">
        <v>15897</v>
      </c>
      <c r="J5253" s="8" t="s">
        <v>15898</v>
      </c>
    </row>
    <row r="5254">
      <c r="A5254" s="7">
        <v>2.0065069E7</v>
      </c>
      <c r="B5254" s="8" t="s">
        <v>2134</v>
      </c>
      <c r="C5254" s="8" t="s">
        <v>15899</v>
      </c>
      <c r="D5254" s="8" t="s">
        <v>16</v>
      </c>
      <c r="E5254" s="8" t="s">
        <v>17</v>
      </c>
      <c r="F5254" s="9">
        <v>46188.0</v>
      </c>
      <c r="G5254" s="8" t="s">
        <v>348</v>
      </c>
      <c r="H5254" s="8" t="s">
        <v>349</v>
      </c>
      <c r="I5254" s="8" t="s">
        <v>15900</v>
      </c>
      <c r="J5254" s="8" t="s">
        <v>15901</v>
      </c>
    </row>
    <row r="5255">
      <c r="A5255" s="7">
        <v>2.0064411E7</v>
      </c>
      <c r="B5255" s="8" t="s">
        <v>2134</v>
      </c>
      <c r="C5255" s="8" t="s">
        <v>15902</v>
      </c>
      <c r="D5255" s="8" t="s">
        <v>16</v>
      </c>
      <c r="E5255" s="8" t="s">
        <v>17</v>
      </c>
      <c r="F5255" s="9">
        <v>46186.0</v>
      </c>
      <c r="G5255" s="8" t="s">
        <v>1049</v>
      </c>
      <c r="H5255" s="8" t="s">
        <v>1050</v>
      </c>
      <c r="I5255" s="8" t="s">
        <v>15903</v>
      </c>
      <c r="J5255" s="8" t="s">
        <v>15904</v>
      </c>
    </row>
    <row r="5256">
      <c r="A5256" s="7">
        <v>2.0059668E7</v>
      </c>
      <c r="B5256" s="8" t="s">
        <v>2134</v>
      </c>
      <c r="C5256" s="8" t="s">
        <v>15905</v>
      </c>
      <c r="D5256" s="8" t="s">
        <v>16</v>
      </c>
      <c r="E5256" s="8" t="s">
        <v>17</v>
      </c>
      <c r="F5256" s="9">
        <v>46151.0</v>
      </c>
      <c r="G5256" s="8" t="s">
        <v>5030</v>
      </c>
      <c r="H5256" s="8" t="s">
        <v>10431</v>
      </c>
      <c r="I5256" s="8" t="s">
        <v>15906</v>
      </c>
      <c r="J5256" s="8" t="s">
        <v>15907</v>
      </c>
    </row>
    <row r="5257">
      <c r="A5257" s="7">
        <v>2.0051544E7</v>
      </c>
      <c r="B5257" s="8" t="s">
        <v>2134</v>
      </c>
      <c r="C5257" s="8" t="s">
        <v>15908</v>
      </c>
      <c r="D5257" s="8" t="s">
        <v>16</v>
      </c>
      <c r="E5257" s="8" t="s">
        <v>17</v>
      </c>
      <c r="F5257" s="9">
        <v>46123.0</v>
      </c>
      <c r="G5257" s="8" t="s">
        <v>390</v>
      </c>
      <c r="H5257" s="8" t="s">
        <v>391</v>
      </c>
      <c r="I5257" s="8" t="s">
        <v>15909</v>
      </c>
      <c r="J5257" s="8" t="s">
        <v>15910</v>
      </c>
    </row>
    <row r="5258">
      <c r="A5258" s="7">
        <v>2.0050953E7</v>
      </c>
      <c r="B5258" s="8" t="s">
        <v>2134</v>
      </c>
      <c r="C5258" s="8" t="s">
        <v>15911</v>
      </c>
      <c r="D5258" s="8" t="s">
        <v>16</v>
      </c>
      <c r="E5258" s="8" t="s">
        <v>17</v>
      </c>
      <c r="F5258" s="9">
        <v>46116.0</v>
      </c>
      <c r="G5258" s="8" t="s">
        <v>1085</v>
      </c>
      <c r="H5258" s="8" t="s">
        <v>1086</v>
      </c>
      <c r="I5258" s="8" t="s">
        <v>15912</v>
      </c>
      <c r="J5258" s="8" t="s">
        <v>15913</v>
      </c>
    </row>
    <row r="5259">
      <c r="A5259" s="7">
        <v>2.0046849E7</v>
      </c>
      <c r="B5259" s="8" t="s">
        <v>2134</v>
      </c>
      <c r="C5259" s="8" t="s">
        <v>15914</v>
      </c>
      <c r="D5259" s="8" t="s">
        <v>16</v>
      </c>
      <c r="E5259" s="8" t="s">
        <v>17</v>
      </c>
      <c r="F5259" s="9">
        <v>46105.0</v>
      </c>
      <c r="G5259" s="8" t="s">
        <v>10055</v>
      </c>
      <c r="H5259" s="8" t="s">
        <v>10056</v>
      </c>
      <c r="I5259" s="8" t="s">
        <v>15915</v>
      </c>
      <c r="J5259" s="8"/>
    </row>
    <row r="5260">
      <c r="A5260" s="7">
        <v>2.0046393E7</v>
      </c>
      <c r="B5260" s="8" t="s">
        <v>2134</v>
      </c>
      <c r="C5260" s="8" t="s">
        <v>15916</v>
      </c>
      <c r="D5260" s="8" t="s">
        <v>16</v>
      </c>
      <c r="E5260" s="8" t="s">
        <v>17</v>
      </c>
      <c r="F5260" s="9">
        <v>46101.0</v>
      </c>
      <c r="G5260" s="8" t="s">
        <v>436</v>
      </c>
      <c r="H5260" s="8" t="s">
        <v>437</v>
      </c>
      <c r="I5260" s="8" t="s">
        <v>15917</v>
      </c>
      <c r="J5260" s="8" t="s">
        <v>15918</v>
      </c>
    </row>
    <row r="5261">
      <c r="A5261" s="7">
        <v>2.0045291E7</v>
      </c>
      <c r="B5261" s="8" t="s">
        <v>2134</v>
      </c>
      <c r="C5261" s="8" t="s">
        <v>15919</v>
      </c>
      <c r="D5261" s="8" t="s">
        <v>16</v>
      </c>
      <c r="E5261" s="8" t="s">
        <v>17</v>
      </c>
      <c r="F5261" s="9">
        <v>46097.0</v>
      </c>
      <c r="G5261" s="8" t="s">
        <v>184</v>
      </c>
      <c r="H5261" s="8" t="s">
        <v>185</v>
      </c>
      <c r="I5261" s="8" t="s">
        <v>15920</v>
      </c>
      <c r="J5261" s="8" t="s">
        <v>15921</v>
      </c>
    </row>
    <row r="5262">
      <c r="A5262" s="7">
        <v>2.0040887E7</v>
      </c>
      <c r="B5262" s="8" t="s">
        <v>2134</v>
      </c>
      <c r="C5262" s="8" t="s">
        <v>15922</v>
      </c>
      <c r="D5262" s="8" t="s">
        <v>16</v>
      </c>
      <c r="E5262" s="8" t="s">
        <v>17</v>
      </c>
      <c r="F5262" s="9">
        <v>46063.0</v>
      </c>
      <c r="G5262" s="8" t="s">
        <v>868</v>
      </c>
      <c r="H5262" s="8" t="s">
        <v>869</v>
      </c>
      <c r="I5262" s="8" t="s">
        <v>15923</v>
      </c>
      <c r="J5262" s="8" t="s">
        <v>15924</v>
      </c>
    </row>
    <row r="5263">
      <c r="A5263" s="7">
        <v>2.0038497E7</v>
      </c>
      <c r="B5263" s="8" t="s">
        <v>2134</v>
      </c>
      <c r="C5263" s="8" t="s">
        <v>15925</v>
      </c>
      <c r="D5263" s="8" t="s">
        <v>16</v>
      </c>
      <c r="E5263" s="8" t="s">
        <v>17</v>
      </c>
      <c r="F5263" s="9">
        <v>46078.0</v>
      </c>
      <c r="G5263" s="8" t="s">
        <v>721</v>
      </c>
      <c r="H5263" s="8" t="s">
        <v>722</v>
      </c>
      <c r="I5263" s="8" t="s">
        <v>15926</v>
      </c>
      <c r="J5263" s="8" t="s">
        <v>15927</v>
      </c>
    </row>
    <row r="5264">
      <c r="A5264" s="7">
        <v>2.0069314E7</v>
      </c>
      <c r="B5264" s="8" t="s">
        <v>2134</v>
      </c>
      <c r="C5264" s="8" t="s">
        <v>15928</v>
      </c>
      <c r="D5264" s="8" t="s">
        <v>16</v>
      </c>
      <c r="E5264" s="8" t="s">
        <v>17</v>
      </c>
      <c r="F5264" s="9">
        <v>46185.0</v>
      </c>
      <c r="G5264" s="8" t="s">
        <v>1461</v>
      </c>
      <c r="H5264" s="8" t="s">
        <v>1462</v>
      </c>
      <c r="I5264" s="8" t="s">
        <v>15929</v>
      </c>
      <c r="J5264" s="8" t="s">
        <v>15930</v>
      </c>
    </row>
    <row r="5265">
      <c r="A5265" s="7">
        <v>2.0061324E7</v>
      </c>
      <c r="B5265" s="8" t="s">
        <v>2134</v>
      </c>
      <c r="C5265" s="8" t="s">
        <v>15931</v>
      </c>
      <c r="D5265" s="8" t="s">
        <v>16</v>
      </c>
      <c r="E5265" s="8" t="s">
        <v>17</v>
      </c>
      <c r="F5265" s="9">
        <v>46184.0</v>
      </c>
      <c r="G5265" s="8" t="s">
        <v>1049</v>
      </c>
      <c r="H5265" s="8" t="s">
        <v>1050</v>
      </c>
      <c r="I5265" s="8" t="s">
        <v>15932</v>
      </c>
      <c r="J5265" s="8" t="s">
        <v>15933</v>
      </c>
    </row>
    <row r="5266">
      <c r="A5266" s="7">
        <v>2.0058045E7</v>
      </c>
      <c r="B5266" s="8" t="s">
        <v>2134</v>
      </c>
      <c r="C5266" s="8" t="s">
        <v>15934</v>
      </c>
      <c r="D5266" s="8" t="s">
        <v>16</v>
      </c>
      <c r="E5266" s="8" t="s">
        <v>17</v>
      </c>
      <c r="F5266" s="9">
        <v>46132.0</v>
      </c>
      <c r="G5266" s="8" t="s">
        <v>365</v>
      </c>
      <c r="H5266" s="8" t="s">
        <v>366</v>
      </c>
      <c r="I5266" s="8" t="s">
        <v>15935</v>
      </c>
      <c r="J5266" s="8" t="s">
        <v>15936</v>
      </c>
    </row>
    <row r="5267">
      <c r="A5267" s="7">
        <v>2.0054754E7</v>
      </c>
      <c r="B5267" s="8" t="s">
        <v>2134</v>
      </c>
      <c r="C5267" s="8" t="s">
        <v>15937</v>
      </c>
      <c r="D5267" s="8" t="s">
        <v>16</v>
      </c>
      <c r="E5267" s="8" t="s">
        <v>17</v>
      </c>
      <c r="F5267" s="9">
        <v>46139.0</v>
      </c>
      <c r="G5267" s="8" t="s">
        <v>132</v>
      </c>
      <c r="H5267" s="8" t="s">
        <v>133</v>
      </c>
      <c r="I5267" s="8" t="s">
        <v>15938</v>
      </c>
      <c r="J5267" s="8" t="s">
        <v>15939</v>
      </c>
    </row>
    <row r="5268">
      <c r="A5268" s="7">
        <v>2.0054216E7</v>
      </c>
      <c r="B5268" s="8" t="s">
        <v>2134</v>
      </c>
      <c r="C5268" s="8" t="s">
        <v>15940</v>
      </c>
      <c r="D5268" s="8" t="s">
        <v>16</v>
      </c>
      <c r="E5268" s="8" t="s">
        <v>17</v>
      </c>
      <c r="F5268" s="9">
        <v>46181.0</v>
      </c>
      <c r="G5268" s="8" t="s">
        <v>436</v>
      </c>
      <c r="H5268" s="8" t="s">
        <v>437</v>
      </c>
      <c r="I5268" s="8" t="s">
        <v>15941</v>
      </c>
      <c r="J5268" s="8"/>
    </row>
    <row r="5269">
      <c r="A5269" s="7">
        <v>2.0054216E7</v>
      </c>
      <c r="B5269" s="8" t="s">
        <v>2134</v>
      </c>
      <c r="C5269" s="8" t="s">
        <v>15940</v>
      </c>
      <c r="D5269" s="8" t="s">
        <v>16</v>
      </c>
      <c r="E5269" s="8" t="s">
        <v>17</v>
      </c>
      <c r="F5269" s="9">
        <v>46181.0</v>
      </c>
      <c r="G5269" s="8" t="s">
        <v>436</v>
      </c>
      <c r="H5269" s="8" t="s">
        <v>437</v>
      </c>
      <c r="I5269" s="8" t="s">
        <v>15942</v>
      </c>
      <c r="J5269" s="8"/>
    </row>
    <row r="5270">
      <c r="A5270" s="7">
        <v>2.004624E7</v>
      </c>
      <c r="B5270" s="8" t="s">
        <v>2134</v>
      </c>
      <c r="C5270" s="8" t="s">
        <v>15943</v>
      </c>
      <c r="D5270" s="8" t="s">
        <v>16</v>
      </c>
      <c r="E5270" s="8" t="s">
        <v>17</v>
      </c>
      <c r="F5270" s="9">
        <v>46098.0</v>
      </c>
      <c r="G5270" s="8" t="s">
        <v>171</v>
      </c>
      <c r="H5270" s="8" t="s">
        <v>172</v>
      </c>
      <c r="I5270" s="8" t="s">
        <v>15944</v>
      </c>
      <c r="J5270" s="8" t="s">
        <v>15945</v>
      </c>
    </row>
    <row r="5271">
      <c r="A5271" s="7">
        <v>2.0042368E7</v>
      </c>
      <c r="B5271" s="8" t="s">
        <v>2134</v>
      </c>
      <c r="C5271" s="8" t="s">
        <v>15946</v>
      </c>
      <c r="D5271" s="8" t="s">
        <v>16</v>
      </c>
      <c r="E5271" s="8" t="s">
        <v>17</v>
      </c>
      <c r="F5271" s="9">
        <v>46087.0</v>
      </c>
      <c r="G5271" s="8" t="s">
        <v>978</v>
      </c>
      <c r="H5271" s="8" t="s">
        <v>979</v>
      </c>
      <c r="I5271" s="8" t="s">
        <v>15947</v>
      </c>
      <c r="J5271" s="8" t="s">
        <v>15948</v>
      </c>
    </row>
    <row r="5272">
      <c r="A5272" s="7">
        <v>2.0045743E7</v>
      </c>
      <c r="B5272" s="8" t="s">
        <v>2134</v>
      </c>
      <c r="C5272" s="8" t="s">
        <v>15949</v>
      </c>
      <c r="D5272" s="8" t="s">
        <v>16</v>
      </c>
      <c r="E5272" s="8" t="s">
        <v>17</v>
      </c>
      <c r="F5272" s="9">
        <v>46103.0</v>
      </c>
      <c r="G5272" s="8" t="s">
        <v>390</v>
      </c>
      <c r="H5272" s="8" t="s">
        <v>391</v>
      </c>
      <c r="I5272" s="8" t="s">
        <v>15950</v>
      </c>
      <c r="J5272" s="8" t="s">
        <v>15951</v>
      </c>
    </row>
    <row r="5273">
      <c r="A5273" s="7">
        <v>2.0042851E7</v>
      </c>
      <c r="B5273" s="8" t="s">
        <v>2134</v>
      </c>
      <c r="C5273" s="8" t="s">
        <v>15952</v>
      </c>
      <c r="D5273" s="8" t="s">
        <v>16</v>
      </c>
      <c r="E5273" s="8" t="s">
        <v>17</v>
      </c>
      <c r="F5273" s="9">
        <v>46081.0</v>
      </c>
      <c r="G5273" s="8" t="s">
        <v>59</v>
      </c>
      <c r="H5273" s="8" t="s">
        <v>60</v>
      </c>
      <c r="I5273" s="8" t="s">
        <v>15953</v>
      </c>
      <c r="J5273" s="8" t="s">
        <v>15954</v>
      </c>
    </row>
    <row r="5274">
      <c r="A5274" s="7">
        <v>2.0041727E7</v>
      </c>
      <c r="B5274" s="8" t="s">
        <v>2134</v>
      </c>
      <c r="C5274" s="8" t="s">
        <v>15955</v>
      </c>
      <c r="D5274" s="8" t="s">
        <v>16</v>
      </c>
      <c r="E5274" s="8" t="s">
        <v>17</v>
      </c>
      <c r="F5274" s="9">
        <v>46081.0</v>
      </c>
      <c r="G5274" s="8" t="s">
        <v>1049</v>
      </c>
      <c r="H5274" s="8" t="s">
        <v>1050</v>
      </c>
      <c r="I5274" s="8" t="s">
        <v>15956</v>
      </c>
      <c r="J5274" s="8" t="s">
        <v>15957</v>
      </c>
    </row>
    <row r="5275">
      <c r="A5275" s="7">
        <v>2.0040845E7</v>
      </c>
      <c r="B5275" s="8" t="s">
        <v>2134</v>
      </c>
      <c r="C5275" s="8" t="s">
        <v>15958</v>
      </c>
      <c r="D5275" s="8" t="s">
        <v>16</v>
      </c>
      <c r="E5275" s="8" t="s">
        <v>17</v>
      </c>
      <c r="F5275" s="9">
        <v>46097.0</v>
      </c>
      <c r="G5275" s="8" t="s">
        <v>390</v>
      </c>
      <c r="H5275" s="8" t="s">
        <v>391</v>
      </c>
      <c r="I5275" s="8" t="s">
        <v>15959</v>
      </c>
      <c r="J5275" s="8" t="s">
        <v>15960</v>
      </c>
    </row>
    <row r="5276">
      <c r="A5276" s="7">
        <v>2.0040845E7</v>
      </c>
      <c r="B5276" s="8" t="s">
        <v>2134</v>
      </c>
      <c r="C5276" s="8" t="s">
        <v>15958</v>
      </c>
      <c r="D5276" s="8" t="s">
        <v>16</v>
      </c>
      <c r="E5276" s="8" t="s">
        <v>17</v>
      </c>
      <c r="F5276" s="9">
        <v>46097.0</v>
      </c>
      <c r="G5276" s="8" t="s">
        <v>390</v>
      </c>
      <c r="H5276" s="8" t="s">
        <v>391</v>
      </c>
      <c r="I5276" s="8" t="s">
        <v>15961</v>
      </c>
      <c r="J5276" s="8" t="s">
        <v>15960</v>
      </c>
    </row>
    <row r="5277">
      <c r="A5277" s="7">
        <v>2.0039159E7</v>
      </c>
      <c r="B5277" s="8" t="s">
        <v>2134</v>
      </c>
      <c r="C5277" s="8" t="s">
        <v>15962</v>
      </c>
      <c r="D5277" s="8" t="s">
        <v>16</v>
      </c>
      <c r="E5277" s="8" t="s">
        <v>17</v>
      </c>
      <c r="F5277" s="9">
        <v>46060.0</v>
      </c>
      <c r="G5277" s="8" t="s">
        <v>282</v>
      </c>
      <c r="H5277" s="8" t="s">
        <v>71</v>
      </c>
      <c r="I5277" s="8" t="s">
        <v>15963</v>
      </c>
      <c r="J5277" s="8" t="s">
        <v>15964</v>
      </c>
    </row>
    <row r="5278">
      <c r="A5278" s="7">
        <v>2.0037518E7</v>
      </c>
      <c r="B5278" s="8" t="s">
        <v>2134</v>
      </c>
      <c r="C5278" s="8" t="s">
        <v>15965</v>
      </c>
      <c r="D5278" s="8" t="s">
        <v>16</v>
      </c>
      <c r="E5278" s="8" t="s">
        <v>17</v>
      </c>
      <c r="F5278" s="9">
        <v>46070.0</v>
      </c>
      <c r="G5278" s="8" t="s">
        <v>561</v>
      </c>
      <c r="H5278" s="8" t="s">
        <v>562</v>
      </c>
      <c r="I5278" s="8" t="s">
        <v>15966</v>
      </c>
      <c r="J5278" s="8"/>
    </row>
    <row r="5279">
      <c r="A5279" s="7">
        <v>2.0037097E7</v>
      </c>
      <c r="B5279" s="8" t="s">
        <v>2134</v>
      </c>
      <c r="C5279" s="8" t="s">
        <v>15967</v>
      </c>
      <c r="D5279" s="8" t="s">
        <v>16</v>
      </c>
      <c r="E5279" s="8" t="s">
        <v>17</v>
      </c>
      <c r="F5279" s="9">
        <v>46088.0</v>
      </c>
      <c r="G5279" s="8" t="s">
        <v>390</v>
      </c>
      <c r="H5279" s="8" t="s">
        <v>391</v>
      </c>
      <c r="I5279" s="8" t="s">
        <v>15968</v>
      </c>
      <c r="J5279" s="8" t="s">
        <v>15969</v>
      </c>
    </row>
    <row r="5280">
      <c r="A5280" s="7">
        <v>2.0037097E7</v>
      </c>
      <c r="B5280" s="8" t="s">
        <v>2134</v>
      </c>
      <c r="C5280" s="8" t="s">
        <v>15967</v>
      </c>
      <c r="D5280" s="8" t="s">
        <v>16</v>
      </c>
      <c r="E5280" s="8" t="s">
        <v>17</v>
      </c>
      <c r="F5280" s="9">
        <v>46088.0</v>
      </c>
      <c r="G5280" s="8" t="s">
        <v>390</v>
      </c>
      <c r="H5280" s="8" t="s">
        <v>391</v>
      </c>
      <c r="I5280" s="8" t="s">
        <v>15970</v>
      </c>
      <c r="J5280" s="8" t="s">
        <v>15969</v>
      </c>
    </row>
    <row r="5281">
      <c r="A5281" s="7">
        <v>2.0036932E7</v>
      </c>
      <c r="B5281" s="8" t="s">
        <v>2134</v>
      </c>
      <c r="C5281" s="8" t="s">
        <v>15971</v>
      </c>
      <c r="D5281" s="8" t="s">
        <v>16</v>
      </c>
      <c r="E5281" s="8" t="s">
        <v>17</v>
      </c>
      <c r="F5281" s="9">
        <v>46062.0</v>
      </c>
      <c r="G5281" s="8" t="s">
        <v>410</v>
      </c>
      <c r="H5281" s="8" t="s">
        <v>411</v>
      </c>
      <c r="I5281" s="8" t="s">
        <v>15972</v>
      </c>
      <c r="J5281" s="8" t="s">
        <v>15973</v>
      </c>
    </row>
    <row r="5282">
      <c r="A5282" s="7">
        <v>2.0036066E7</v>
      </c>
      <c r="B5282" s="8" t="s">
        <v>2134</v>
      </c>
      <c r="C5282" s="8" t="s">
        <v>15974</v>
      </c>
      <c r="D5282" s="8" t="s">
        <v>16</v>
      </c>
      <c r="E5282" s="8" t="s">
        <v>17</v>
      </c>
      <c r="F5282" s="9">
        <v>46055.0</v>
      </c>
      <c r="G5282" s="8" t="s">
        <v>370</v>
      </c>
      <c r="H5282" s="8" t="s">
        <v>371</v>
      </c>
      <c r="I5282" s="8" t="s">
        <v>15975</v>
      </c>
      <c r="J5282" s="8" t="s">
        <v>15976</v>
      </c>
    </row>
    <row r="5283">
      <c r="A5283" s="7">
        <v>2.0059744E7</v>
      </c>
      <c r="B5283" s="8" t="s">
        <v>2134</v>
      </c>
      <c r="C5283" s="8" t="s">
        <v>15977</v>
      </c>
      <c r="D5283" s="8" t="s">
        <v>16</v>
      </c>
      <c r="E5283" s="8" t="s">
        <v>17</v>
      </c>
      <c r="F5283" s="9">
        <v>46179.0</v>
      </c>
      <c r="G5283" s="8" t="s">
        <v>184</v>
      </c>
      <c r="H5283" s="8" t="s">
        <v>185</v>
      </c>
      <c r="I5283" s="8" t="s">
        <v>15978</v>
      </c>
      <c r="J5283" s="8" t="s">
        <v>15979</v>
      </c>
    </row>
    <row r="5284">
      <c r="A5284" s="7">
        <v>2.0059485E7</v>
      </c>
      <c r="B5284" s="8" t="s">
        <v>2134</v>
      </c>
      <c r="C5284" s="8" t="s">
        <v>15980</v>
      </c>
      <c r="D5284" s="8" t="s">
        <v>16</v>
      </c>
      <c r="E5284" s="8" t="s">
        <v>17</v>
      </c>
      <c r="F5284" s="9">
        <v>46139.0</v>
      </c>
      <c r="G5284" s="8" t="s">
        <v>846</v>
      </c>
      <c r="H5284" s="8" t="s">
        <v>847</v>
      </c>
      <c r="I5284" s="8" t="s">
        <v>15981</v>
      </c>
      <c r="J5284" s="8" t="s">
        <v>15982</v>
      </c>
    </row>
    <row r="5285">
      <c r="A5285" s="7">
        <v>2.0058501E7</v>
      </c>
      <c r="B5285" s="8" t="s">
        <v>2134</v>
      </c>
      <c r="C5285" s="8" t="s">
        <v>15983</v>
      </c>
      <c r="D5285" s="8" t="s">
        <v>16</v>
      </c>
      <c r="E5285" s="8" t="s">
        <v>17</v>
      </c>
      <c r="F5285" s="9">
        <v>46189.0</v>
      </c>
      <c r="G5285" s="8" t="s">
        <v>13402</v>
      </c>
      <c r="H5285" s="8" t="s">
        <v>13403</v>
      </c>
      <c r="I5285" s="8" t="s">
        <v>15984</v>
      </c>
      <c r="J5285" s="8" t="s">
        <v>15985</v>
      </c>
    </row>
    <row r="5286">
      <c r="A5286" s="7">
        <v>2.0057661E7</v>
      </c>
      <c r="B5286" s="8" t="s">
        <v>2134</v>
      </c>
      <c r="C5286" s="8" t="s">
        <v>15986</v>
      </c>
      <c r="D5286" s="8" t="s">
        <v>16</v>
      </c>
      <c r="E5286" s="8" t="s">
        <v>17</v>
      </c>
      <c r="F5286" s="9">
        <v>46153.0</v>
      </c>
      <c r="G5286" s="8" t="s">
        <v>1537</v>
      </c>
      <c r="H5286" s="8" t="s">
        <v>1538</v>
      </c>
      <c r="I5286" s="8" t="s">
        <v>15987</v>
      </c>
      <c r="J5286" s="8" t="s">
        <v>15988</v>
      </c>
    </row>
    <row r="5287">
      <c r="A5287" s="7">
        <v>2.0052334E7</v>
      </c>
      <c r="B5287" s="8" t="s">
        <v>2134</v>
      </c>
      <c r="C5287" s="8" t="s">
        <v>15989</v>
      </c>
      <c r="D5287" s="8" t="s">
        <v>16</v>
      </c>
      <c r="E5287" s="8" t="s">
        <v>17</v>
      </c>
      <c r="F5287" s="9">
        <v>46125.0</v>
      </c>
      <c r="G5287" s="8" t="s">
        <v>59</v>
      </c>
      <c r="H5287" s="8" t="s">
        <v>60</v>
      </c>
      <c r="I5287" s="8" t="s">
        <v>15990</v>
      </c>
      <c r="J5287" s="8" t="s">
        <v>15991</v>
      </c>
    </row>
    <row r="5288">
      <c r="A5288" s="7">
        <v>2.0045826E7</v>
      </c>
      <c r="B5288" s="8" t="s">
        <v>2134</v>
      </c>
      <c r="C5288" s="8" t="s">
        <v>15992</v>
      </c>
      <c r="D5288" s="8" t="s">
        <v>16</v>
      </c>
      <c r="E5288" s="8" t="s">
        <v>17</v>
      </c>
      <c r="F5288" s="9">
        <v>46103.0</v>
      </c>
      <c r="G5288" s="8" t="s">
        <v>158</v>
      </c>
      <c r="H5288" s="8" t="s">
        <v>159</v>
      </c>
      <c r="I5288" s="8" t="s">
        <v>15993</v>
      </c>
      <c r="J5288" s="8" t="s">
        <v>15994</v>
      </c>
    </row>
    <row r="5289">
      <c r="A5289" s="7">
        <v>2.003835E7</v>
      </c>
      <c r="B5289" s="8" t="s">
        <v>2134</v>
      </c>
      <c r="C5289" s="8" t="s">
        <v>15995</v>
      </c>
      <c r="D5289" s="8" t="s">
        <v>16</v>
      </c>
      <c r="E5289" s="8" t="s">
        <v>17</v>
      </c>
      <c r="F5289" s="9">
        <v>46051.0</v>
      </c>
      <c r="G5289" s="8" t="s">
        <v>91</v>
      </c>
      <c r="H5289" s="8" t="s">
        <v>92</v>
      </c>
      <c r="I5289" s="8" t="s">
        <v>15996</v>
      </c>
      <c r="J5289" s="8" t="s">
        <v>15997</v>
      </c>
    </row>
    <row r="5290">
      <c r="A5290" s="7">
        <v>2.0035584E7</v>
      </c>
      <c r="B5290" s="8" t="s">
        <v>2134</v>
      </c>
      <c r="C5290" s="8" t="s">
        <v>15998</v>
      </c>
      <c r="D5290" s="8" t="s">
        <v>16</v>
      </c>
      <c r="E5290" s="8" t="s">
        <v>17</v>
      </c>
      <c r="F5290" s="9">
        <v>46060.0</v>
      </c>
      <c r="G5290" s="8" t="s">
        <v>882</v>
      </c>
      <c r="H5290" s="8" t="s">
        <v>883</v>
      </c>
      <c r="I5290" s="8" t="s">
        <v>15999</v>
      </c>
      <c r="J5290" s="8" t="s">
        <v>16000</v>
      </c>
    </row>
    <row r="5291">
      <c r="A5291" s="7">
        <v>2.00344E7</v>
      </c>
      <c r="B5291" s="8" t="s">
        <v>2134</v>
      </c>
      <c r="C5291" s="8" t="s">
        <v>16001</v>
      </c>
      <c r="D5291" s="8" t="s">
        <v>16</v>
      </c>
      <c r="E5291" s="8" t="s">
        <v>17</v>
      </c>
      <c r="F5291" s="9">
        <v>46052.0</v>
      </c>
      <c r="G5291" s="8" t="s">
        <v>16002</v>
      </c>
      <c r="H5291" s="8" t="s">
        <v>16003</v>
      </c>
      <c r="I5291" s="8" t="s">
        <v>16004</v>
      </c>
      <c r="J5291" s="8" t="s">
        <v>16005</v>
      </c>
    </row>
    <row r="5292">
      <c r="A5292" s="7">
        <v>2.0066131E7</v>
      </c>
      <c r="B5292" s="8" t="s">
        <v>2134</v>
      </c>
      <c r="C5292" s="8" t="s">
        <v>16006</v>
      </c>
      <c r="D5292" s="8" t="s">
        <v>16</v>
      </c>
      <c r="E5292" s="8" t="s">
        <v>17</v>
      </c>
      <c r="F5292" s="9">
        <v>46180.0</v>
      </c>
      <c r="G5292" s="8" t="s">
        <v>630</v>
      </c>
      <c r="H5292" s="8" t="s">
        <v>631</v>
      </c>
      <c r="I5292" s="8" t="s">
        <v>16007</v>
      </c>
      <c r="J5292" s="8" t="s">
        <v>16008</v>
      </c>
    </row>
    <row r="5293">
      <c r="A5293" s="7">
        <v>2.0056659E7</v>
      </c>
      <c r="B5293" s="8" t="s">
        <v>2134</v>
      </c>
      <c r="C5293" s="8" t="s">
        <v>16009</v>
      </c>
      <c r="D5293" s="8" t="s">
        <v>16</v>
      </c>
      <c r="E5293" s="8" t="s">
        <v>17</v>
      </c>
      <c r="F5293" s="9">
        <v>46183.0</v>
      </c>
      <c r="G5293" s="8" t="s">
        <v>436</v>
      </c>
      <c r="H5293" s="8" t="s">
        <v>437</v>
      </c>
      <c r="I5293" s="8" t="s">
        <v>16010</v>
      </c>
      <c r="J5293" s="8" t="s">
        <v>16011</v>
      </c>
    </row>
    <row r="5294">
      <c r="A5294" s="7">
        <v>2.0056659E7</v>
      </c>
      <c r="B5294" s="8" t="s">
        <v>2134</v>
      </c>
      <c r="C5294" s="8" t="s">
        <v>16009</v>
      </c>
      <c r="D5294" s="8" t="s">
        <v>16</v>
      </c>
      <c r="E5294" s="8" t="s">
        <v>17</v>
      </c>
      <c r="F5294" s="9">
        <v>46183.0</v>
      </c>
      <c r="G5294" s="8" t="s">
        <v>436</v>
      </c>
      <c r="H5294" s="8" t="s">
        <v>437</v>
      </c>
      <c r="I5294" s="8" t="s">
        <v>16012</v>
      </c>
      <c r="J5294" s="8" t="s">
        <v>16011</v>
      </c>
    </row>
    <row r="5295">
      <c r="A5295" s="7">
        <v>2.005387E7</v>
      </c>
      <c r="B5295" s="8" t="s">
        <v>2134</v>
      </c>
      <c r="C5295" s="8" t="s">
        <v>16013</v>
      </c>
      <c r="D5295" s="8" t="s">
        <v>16</v>
      </c>
      <c r="E5295" s="8" t="s">
        <v>17</v>
      </c>
      <c r="F5295" s="9">
        <v>46142.0</v>
      </c>
      <c r="G5295" s="8" t="s">
        <v>124</v>
      </c>
      <c r="H5295" s="8" t="s">
        <v>125</v>
      </c>
      <c r="I5295" s="8" t="s">
        <v>16014</v>
      </c>
      <c r="J5295" s="8" t="s">
        <v>16015</v>
      </c>
    </row>
    <row r="5296">
      <c r="A5296" s="7">
        <v>2.0053515E7</v>
      </c>
      <c r="B5296" s="8" t="s">
        <v>2134</v>
      </c>
      <c r="C5296" s="8" t="s">
        <v>16016</v>
      </c>
      <c r="D5296" s="8" t="s">
        <v>16</v>
      </c>
      <c r="E5296" s="8" t="s">
        <v>17</v>
      </c>
      <c r="F5296" s="9">
        <v>46129.0</v>
      </c>
      <c r="G5296" s="8" t="s">
        <v>882</v>
      </c>
      <c r="H5296" s="8" t="s">
        <v>883</v>
      </c>
      <c r="I5296" s="8" t="s">
        <v>16017</v>
      </c>
      <c r="J5296" s="8" t="s">
        <v>16018</v>
      </c>
    </row>
    <row r="5297">
      <c r="A5297" s="7">
        <v>2.0051314E7</v>
      </c>
      <c r="B5297" s="8" t="s">
        <v>2134</v>
      </c>
      <c r="C5297" s="8" t="s">
        <v>16019</v>
      </c>
      <c r="D5297" s="8" t="s">
        <v>2136</v>
      </c>
      <c r="E5297" s="8" t="s">
        <v>17</v>
      </c>
      <c r="F5297" s="9">
        <v>46108.0</v>
      </c>
      <c r="G5297" s="8" t="s">
        <v>195</v>
      </c>
      <c r="H5297" s="8" t="s">
        <v>196</v>
      </c>
      <c r="I5297" s="8" t="s">
        <v>16020</v>
      </c>
      <c r="J5297" s="8" t="s">
        <v>16021</v>
      </c>
    </row>
    <row r="5298">
      <c r="A5298" s="7">
        <v>2.0050974E7</v>
      </c>
      <c r="B5298" s="8" t="s">
        <v>2134</v>
      </c>
      <c r="C5298" s="8" t="s">
        <v>16022</v>
      </c>
      <c r="D5298" s="8" t="s">
        <v>16</v>
      </c>
      <c r="E5298" s="8" t="s">
        <v>17</v>
      </c>
      <c r="F5298" s="9">
        <v>46103.0</v>
      </c>
      <c r="G5298" s="8" t="s">
        <v>91</v>
      </c>
      <c r="H5298" s="8" t="s">
        <v>92</v>
      </c>
      <c r="I5298" s="8" t="s">
        <v>16023</v>
      </c>
      <c r="J5298" s="8" t="s">
        <v>16024</v>
      </c>
    </row>
    <row r="5299">
      <c r="A5299" s="7">
        <v>2.0040311E7</v>
      </c>
      <c r="B5299" s="8" t="s">
        <v>2134</v>
      </c>
      <c r="C5299" s="8" t="s">
        <v>16025</v>
      </c>
      <c r="D5299" s="8" t="s">
        <v>16</v>
      </c>
      <c r="E5299" s="8" t="s">
        <v>17</v>
      </c>
      <c r="F5299" s="9">
        <v>46070.0</v>
      </c>
      <c r="G5299" s="8" t="s">
        <v>882</v>
      </c>
      <c r="H5299" s="8" t="s">
        <v>883</v>
      </c>
      <c r="I5299" s="8" t="s">
        <v>16026</v>
      </c>
      <c r="J5299" s="8" t="s">
        <v>16027</v>
      </c>
    </row>
    <row r="5300">
      <c r="A5300" s="7">
        <v>2.0039934E7</v>
      </c>
      <c r="B5300" s="8" t="s">
        <v>2134</v>
      </c>
      <c r="C5300" s="8" t="s">
        <v>16028</v>
      </c>
      <c r="D5300" s="8" t="s">
        <v>16</v>
      </c>
      <c r="E5300" s="8" t="s">
        <v>17</v>
      </c>
      <c r="F5300" s="9">
        <v>46073.0</v>
      </c>
      <c r="G5300" s="8" t="s">
        <v>13899</v>
      </c>
      <c r="H5300" s="8" t="s">
        <v>13900</v>
      </c>
      <c r="I5300" s="8" t="s">
        <v>16029</v>
      </c>
      <c r="J5300" s="8" t="s">
        <v>15868</v>
      </c>
    </row>
    <row r="5301">
      <c r="A5301" s="7">
        <v>2.0062886E7</v>
      </c>
      <c r="B5301" s="8" t="s">
        <v>2134</v>
      </c>
      <c r="C5301" s="8" t="s">
        <v>16030</v>
      </c>
      <c r="D5301" s="8" t="s">
        <v>16</v>
      </c>
      <c r="E5301" s="8" t="s">
        <v>17</v>
      </c>
      <c r="F5301" s="9">
        <v>46164.0</v>
      </c>
      <c r="G5301" s="8" t="s">
        <v>2511</v>
      </c>
      <c r="H5301" s="8" t="s">
        <v>2512</v>
      </c>
      <c r="I5301" s="8" t="s">
        <v>16031</v>
      </c>
      <c r="J5301" s="8" t="s">
        <v>16032</v>
      </c>
    </row>
    <row r="5302">
      <c r="A5302" s="7">
        <v>2.0057474E7</v>
      </c>
      <c r="B5302" s="8" t="s">
        <v>2134</v>
      </c>
      <c r="C5302" s="8" t="s">
        <v>16033</v>
      </c>
      <c r="D5302" s="8" t="s">
        <v>16</v>
      </c>
      <c r="E5302" s="8" t="s">
        <v>17</v>
      </c>
      <c r="F5302" s="9">
        <v>46132.0</v>
      </c>
      <c r="G5302" s="8" t="s">
        <v>59</v>
      </c>
      <c r="H5302" s="8" t="s">
        <v>60</v>
      </c>
      <c r="I5302" s="8" t="s">
        <v>16034</v>
      </c>
      <c r="J5302" s="8" t="s">
        <v>16035</v>
      </c>
    </row>
    <row r="5303">
      <c r="A5303" s="7">
        <v>2.0055942E7</v>
      </c>
      <c r="B5303" s="8" t="s">
        <v>2134</v>
      </c>
      <c r="C5303" s="8" t="s">
        <v>16036</v>
      </c>
      <c r="D5303" s="8" t="s">
        <v>16</v>
      </c>
      <c r="E5303" s="8" t="s">
        <v>17</v>
      </c>
      <c r="F5303" s="9">
        <v>46124.0</v>
      </c>
      <c r="G5303" s="8" t="s">
        <v>59</v>
      </c>
      <c r="H5303" s="8" t="s">
        <v>60</v>
      </c>
      <c r="I5303" s="8" t="s">
        <v>16037</v>
      </c>
      <c r="J5303" s="8" t="s">
        <v>16038</v>
      </c>
    </row>
    <row r="5304">
      <c r="A5304" s="7">
        <v>2.0053215E7</v>
      </c>
      <c r="B5304" s="8" t="s">
        <v>2134</v>
      </c>
      <c r="C5304" s="8" t="s">
        <v>16039</v>
      </c>
      <c r="D5304" s="8" t="s">
        <v>2136</v>
      </c>
      <c r="E5304" s="8" t="s">
        <v>17</v>
      </c>
      <c r="F5304" s="9">
        <v>46110.0</v>
      </c>
      <c r="G5304" s="8" t="s">
        <v>195</v>
      </c>
      <c r="H5304" s="8" t="s">
        <v>196</v>
      </c>
      <c r="I5304" s="8" t="s">
        <v>16040</v>
      </c>
      <c r="J5304" s="8" t="s">
        <v>16041</v>
      </c>
    </row>
    <row r="5305">
      <c r="A5305" s="7">
        <v>2.0047512E7</v>
      </c>
      <c r="B5305" s="8" t="s">
        <v>2134</v>
      </c>
      <c r="C5305" s="8" t="s">
        <v>16042</v>
      </c>
      <c r="D5305" s="8" t="s">
        <v>16</v>
      </c>
      <c r="E5305" s="8" t="s">
        <v>17</v>
      </c>
      <c r="F5305" s="9">
        <v>46106.0</v>
      </c>
      <c r="G5305" s="8" t="s">
        <v>805</v>
      </c>
      <c r="H5305" s="8" t="s">
        <v>806</v>
      </c>
      <c r="I5305" s="8" t="s">
        <v>16043</v>
      </c>
      <c r="J5305" s="8" t="s">
        <v>16044</v>
      </c>
    </row>
    <row r="5306">
      <c r="A5306" s="7">
        <v>2.0036072E7</v>
      </c>
      <c r="B5306" s="8" t="s">
        <v>2134</v>
      </c>
      <c r="C5306" s="8" t="s">
        <v>16045</v>
      </c>
      <c r="D5306" s="8" t="s">
        <v>16</v>
      </c>
      <c r="E5306" s="8" t="s">
        <v>17</v>
      </c>
      <c r="F5306" s="9">
        <v>46050.0</v>
      </c>
      <c r="G5306" s="8" t="s">
        <v>517</v>
      </c>
      <c r="H5306" s="8" t="s">
        <v>518</v>
      </c>
      <c r="I5306" s="8" t="s">
        <v>16046</v>
      </c>
      <c r="J5306" s="8" t="s">
        <v>16047</v>
      </c>
    </row>
    <row r="5307">
      <c r="A5307" s="7">
        <v>2.0063896E7</v>
      </c>
      <c r="B5307" s="8" t="s">
        <v>2134</v>
      </c>
      <c r="C5307" s="8" t="s">
        <v>16048</v>
      </c>
      <c r="D5307" s="8" t="s">
        <v>16</v>
      </c>
      <c r="E5307" s="8" t="s">
        <v>17</v>
      </c>
      <c r="F5307" s="9">
        <v>46192.0</v>
      </c>
      <c r="G5307" s="8" t="s">
        <v>390</v>
      </c>
      <c r="H5307" s="8" t="s">
        <v>391</v>
      </c>
      <c r="I5307" s="8" t="s">
        <v>16049</v>
      </c>
      <c r="J5307" s="8" t="s">
        <v>16050</v>
      </c>
    </row>
    <row r="5308">
      <c r="A5308" s="7">
        <v>2.0063218E7</v>
      </c>
      <c r="B5308" s="8" t="s">
        <v>2134</v>
      </c>
      <c r="C5308" s="8" t="s">
        <v>16051</v>
      </c>
      <c r="D5308" s="8" t="s">
        <v>16</v>
      </c>
      <c r="E5308" s="8" t="s">
        <v>17</v>
      </c>
      <c r="F5308" s="9">
        <v>46161.0</v>
      </c>
      <c r="G5308" s="8" t="s">
        <v>3012</v>
      </c>
      <c r="H5308" s="8" t="s">
        <v>3013</v>
      </c>
      <c r="I5308" s="8" t="s">
        <v>16052</v>
      </c>
      <c r="J5308" s="8" t="s">
        <v>16053</v>
      </c>
    </row>
    <row r="5309">
      <c r="A5309" s="7">
        <v>2.0047461E7</v>
      </c>
      <c r="B5309" s="8" t="s">
        <v>2134</v>
      </c>
      <c r="C5309" s="8" t="s">
        <v>16054</v>
      </c>
      <c r="D5309" s="8" t="s">
        <v>16</v>
      </c>
      <c r="E5309" s="8" t="s">
        <v>17</v>
      </c>
      <c r="F5309" s="9">
        <v>46132.0</v>
      </c>
      <c r="G5309" s="8" t="s">
        <v>1461</v>
      </c>
      <c r="H5309" s="8" t="s">
        <v>1462</v>
      </c>
      <c r="I5309" s="8" t="s">
        <v>16055</v>
      </c>
      <c r="J5309" s="8" t="s">
        <v>16056</v>
      </c>
    </row>
    <row r="5310">
      <c r="A5310" s="7">
        <v>2.004877E7</v>
      </c>
      <c r="B5310" s="8" t="s">
        <v>2134</v>
      </c>
      <c r="C5310" s="8" t="s">
        <v>16057</v>
      </c>
      <c r="D5310" s="8" t="s">
        <v>16</v>
      </c>
      <c r="E5310" s="8" t="s">
        <v>17</v>
      </c>
      <c r="F5310" s="9">
        <v>46113.0</v>
      </c>
      <c r="G5310" s="8" t="s">
        <v>436</v>
      </c>
      <c r="H5310" s="8" t="s">
        <v>437</v>
      </c>
      <c r="I5310" s="8" t="s">
        <v>16058</v>
      </c>
      <c r="J5310" s="8" t="s">
        <v>16059</v>
      </c>
    </row>
    <row r="5311">
      <c r="A5311" s="7">
        <v>2.0047538E7</v>
      </c>
      <c r="B5311" s="8" t="s">
        <v>2134</v>
      </c>
      <c r="C5311" s="8" t="s">
        <v>16060</v>
      </c>
      <c r="D5311" s="8" t="s">
        <v>16</v>
      </c>
      <c r="E5311" s="8" t="s">
        <v>17</v>
      </c>
      <c r="F5311" s="9">
        <v>46109.0</v>
      </c>
      <c r="G5311" s="8" t="s">
        <v>1155</v>
      </c>
      <c r="H5311" s="8" t="s">
        <v>1156</v>
      </c>
      <c r="I5311" s="8" t="s">
        <v>16061</v>
      </c>
      <c r="J5311" s="8" t="s">
        <v>16062</v>
      </c>
    </row>
    <row r="5312">
      <c r="A5312" s="7">
        <v>2.0037362E7</v>
      </c>
      <c r="B5312" s="8" t="s">
        <v>2134</v>
      </c>
      <c r="C5312" s="8" t="s">
        <v>16063</v>
      </c>
      <c r="D5312" s="8" t="s">
        <v>16</v>
      </c>
      <c r="E5312" s="8" t="s">
        <v>17</v>
      </c>
      <c r="F5312" s="9">
        <v>46067.0</v>
      </c>
      <c r="G5312" s="8" t="s">
        <v>378</v>
      </c>
      <c r="H5312" s="8" t="s">
        <v>379</v>
      </c>
      <c r="I5312" s="8" t="s">
        <v>16064</v>
      </c>
      <c r="J5312" s="8" t="s">
        <v>16065</v>
      </c>
    </row>
    <row r="5313">
      <c r="A5313" s="7">
        <v>2.0064877E7</v>
      </c>
      <c r="B5313" s="8" t="s">
        <v>2134</v>
      </c>
      <c r="C5313" s="8" t="s">
        <v>16066</v>
      </c>
      <c r="D5313" s="8" t="s">
        <v>16</v>
      </c>
      <c r="E5313" s="8" t="s">
        <v>17</v>
      </c>
      <c r="F5313" s="9">
        <v>46184.0</v>
      </c>
      <c r="G5313" s="8" t="s">
        <v>59</v>
      </c>
      <c r="H5313" s="8" t="s">
        <v>60</v>
      </c>
      <c r="I5313" s="8" t="s">
        <v>16067</v>
      </c>
      <c r="J5313" s="8" t="s">
        <v>16068</v>
      </c>
    </row>
    <row r="5314">
      <c r="A5314" s="7">
        <v>2.0061965E7</v>
      </c>
      <c r="B5314" s="8" t="s">
        <v>2134</v>
      </c>
      <c r="C5314" s="8" t="s">
        <v>16069</v>
      </c>
      <c r="D5314" s="8" t="s">
        <v>16</v>
      </c>
      <c r="E5314" s="8" t="s">
        <v>17</v>
      </c>
      <c r="F5314" s="9">
        <v>46180.0</v>
      </c>
      <c r="G5314" s="8" t="s">
        <v>486</v>
      </c>
      <c r="H5314" s="8" t="s">
        <v>487</v>
      </c>
      <c r="I5314" s="8" t="s">
        <v>16070</v>
      </c>
      <c r="J5314" s="8" t="s">
        <v>16071</v>
      </c>
    </row>
    <row r="5315">
      <c r="A5315" s="7">
        <v>2.0057043E7</v>
      </c>
      <c r="B5315" s="8" t="s">
        <v>2134</v>
      </c>
      <c r="C5315" s="8" t="s">
        <v>16072</v>
      </c>
      <c r="D5315" s="8" t="s">
        <v>16</v>
      </c>
      <c r="E5315" s="8" t="s">
        <v>17</v>
      </c>
      <c r="F5315" s="9">
        <v>46154.0</v>
      </c>
      <c r="G5315" s="8" t="s">
        <v>390</v>
      </c>
      <c r="H5315" s="8" t="s">
        <v>391</v>
      </c>
      <c r="I5315" s="8" t="s">
        <v>16073</v>
      </c>
      <c r="J5315" s="8" t="s">
        <v>16074</v>
      </c>
    </row>
    <row r="5316">
      <c r="A5316" s="7">
        <v>2.0056121E7</v>
      </c>
      <c r="B5316" s="8" t="s">
        <v>2134</v>
      </c>
      <c r="C5316" s="8" t="s">
        <v>16075</v>
      </c>
      <c r="D5316" s="8" t="s">
        <v>16</v>
      </c>
      <c r="E5316" s="8" t="s">
        <v>17</v>
      </c>
      <c r="F5316" s="9">
        <v>46129.0</v>
      </c>
      <c r="G5316" s="8" t="s">
        <v>365</v>
      </c>
      <c r="H5316" s="8" t="s">
        <v>366</v>
      </c>
      <c r="I5316" s="8" t="s">
        <v>16076</v>
      </c>
      <c r="J5316" s="8" t="s">
        <v>16077</v>
      </c>
    </row>
    <row r="5317">
      <c r="A5317" s="7">
        <v>2.005557E7</v>
      </c>
      <c r="B5317" s="8" t="s">
        <v>2134</v>
      </c>
      <c r="C5317" s="8" t="s">
        <v>16078</v>
      </c>
      <c r="D5317" s="8" t="s">
        <v>16</v>
      </c>
      <c r="E5317" s="8" t="s">
        <v>17</v>
      </c>
      <c r="F5317" s="9">
        <v>46144.0</v>
      </c>
      <c r="G5317" s="8" t="s">
        <v>390</v>
      </c>
      <c r="H5317" s="8" t="s">
        <v>391</v>
      </c>
      <c r="I5317" s="8" t="s">
        <v>16079</v>
      </c>
      <c r="J5317" s="8"/>
    </row>
    <row r="5318">
      <c r="A5318" s="7">
        <v>2.0055083E7</v>
      </c>
      <c r="B5318" s="8" t="s">
        <v>2134</v>
      </c>
      <c r="C5318" s="8" t="s">
        <v>16080</v>
      </c>
      <c r="D5318" s="8" t="s">
        <v>16</v>
      </c>
      <c r="E5318" s="8" t="s">
        <v>17</v>
      </c>
      <c r="F5318" s="9">
        <v>46128.0</v>
      </c>
      <c r="G5318" s="8" t="s">
        <v>16081</v>
      </c>
      <c r="H5318" s="8" t="s">
        <v>16082</v>
      </c>
      <c r="I5318" s="8" t="s">
        <v>16083</v>
      </c>
      <c r="J5318" s="8" t="s">
        <v>16084</v>
      </c>
    </row>
    <row r="5319">
      <c r="A5319" s="7">
        <v>2.0053074E7</v>
      </c>
      <c r="B5319" s="8" t="s">
        <v>2134</v>
      </c>
      <c r="C5319" s="8" t="s">
        <v>16085</v>
      </c>
      <c r="D5319" s="8" t="s">
        <v>16</v>
      </c>
      <c r="E5319" s="8" t="s">
        <v>17</v>
      </c>
      <c r="F5319" s="9">
        <v>46120.0</v>
      </c>
      <c r="G5319" s="8" t="s">
        <v>59</v>
      </c>
      <c r="H5319" s="8" t="s">
        <v>60</v>
      </c>
      <c r="I5319" s="8" t="s">
        <v>16086</v>
      </c>
      <c r="J5319" s="8" t="s">
        <v>16087</v>
      </c>
    </row>
    <row r="5320">
      <c r="A5320" s="7">
        <v>2.0048967E7</v>
      </c>
      <c r="B5320" s="8" t="s">
        <v>2134</v>
      </c>
      <c r="C5320" s="8" t="s">
        <v>16088</v>
      </c>
      <c r="D5320" s="8" t="s">
        <v>16</v>
      </c>
      <c r="E5320" s="8" t="s">
        <v>17</v>
      </c>
      <c r="F5320" s="9">
        <v>46117.0</v>
      </c>
      <c r="G5320" s="8" t="s">
        <v>1427</v>
      </c>
      <c r="H5320" s="8" t="s">
        <v>1428</v>
      </c>
      <c r="I5320" s="8" t="s">
        <v>16089</v>
      </c>
      <c r="J5320" s="8" t="s">
        <v>16090</v>
      </c>
    </row>
    <row r="5321">
      <c r="A5321" s="7">
        <v>2.0046153E7</v>
      </c>
      <c r="B5321" s="8" t="s">
        <v>2134</v>
      </c>
      <c r="C5321" s="8" t="s">
        <v>16091</v>
      </c>
      <c r="D5321" s="8" t="s">
        <v>16</v>
      </c>
      <c r="E5321" s="8" t="s">
        <v>17</v>
      </c>
      <c r="F5321" s="9">
        <v>46087.0</v>
      </c>
      <c r="G5321" s="8" t="s">
        <v>34</v>
      </c>
      <c r="H5321" s="8" t="s">
        <v>35</v>
      </c>
      <c r="I5321" s="8" t="s">
        <v>16092</v>
      </c>
      <c r="J5321" s="8" t="s">
        <v>16093</v>
      </c>
    </row>
    <row r="5322">
      <c r="A5322" s="7">
        <v>2.0042327E7</v>
      </c>
      <c r="B5322" s="8" t="s">
        <v>2134</v>
      </c>
      <c r="C5322" s="8" t="s">
        <v>16094</v>
      </c>
      <c r="D5322" s="8" t="s">
        <v>16</v>
      </c>
      <c r="E5322" s="8" t="s">
        <v>17</v>
      </c>
      <c r="F5322" s="9">
        <v>46087.0</v>
      </c>
      <c r="G5322" s="8" t="s">
        <v>184</v>
      </c>
      <c r="H5322" s="8" t="s">
        <v>185</v>
      </c>
      <c r="I5322" s="8" t="s">
        <v>16095</v>
      </c>
      <c r="J5322" s="8" t="s">
        <v>16096</v>
      </c>
    </row>
    <row r="5323">
      <c r="A5323" s="7">
        <v>2.0041533E7</v>
      </c>
      <c r="B5323" s="8" t="s">
        <v>2134</v>
      </c>
      <c r="C5323" s="8" t="s">
        <v>16097</v>
      </c>
      <c r="D5323" s="8" t="s">
        <v>16</v>
      </c>
      <c r="E5323" s="8" t="s">
        <v>17</v>
      </c>
      <c r="F5323" s="9">
        <v>46080.0</v>
      </c>
      <c r="G5323" s="8" t="s">
        <v>390</v>
      </c>
      <c r="H5323" s="8" t="s">
        <v>391</v>
      </c>
      <c r="I5323" s="8" t="s">
        <v>16098</v>
      </c>
      <c r="J5323" s="8" t="s">
        <v>16099</v>
      </c>
    </row>
    <row r="5324">
      <c r="A5324" s="7">
        <v>2.0038778E7</v>
      </c>
      <c r="B5324" s="8" t="s">
        <v>2134</v>
      </c>
      <c r="C5324" s="8" t="s">
        <v>16100</v>
      </c>
      <c r="D5324" s="8" t="s">
        <v>16</v>
      </c>
      <c r="E5324" s="8" t="s">
        <v>17</v>
      </c>
      <c r="F5324" s="9">
        <v>46067.0</v>
      </c>
      <c r="G5324" s="8" t="s">
        <v>220</v>
      </c>
      <c r="H5324" s="8" t="s">
        <v>221</v>
      </c>
      <c r="I5324" s="8" t="s">
        <v>16101</v>
      </c>
      <c r="J5324" s="8" t="s">
        <v>16102</v>
      </c>
    </row>
    <row r="5325">
      <c r="A5325" s="7">
        <v>2.0036208E7</v>
      </c>
      <c r="B5325" s="8" t="s">
        <v>2134</v>
      </c>
      <c r="C5325" s="8" t="s">
        <v>16103</v>
      </c>
      <c r="D5325" s="8" t="s">
        <v>16</v>
      </c>
      <c r="E5325" s="8" t="s">
        <v>17</v>
      </c>
      <c r="F5325" s="9">
        <v>46056.0</v>
      </c>
      <c r="G5325" s="8" t="s">
        <v>361</v>
      </c>
      <c r="H5325" s="8" t="s">
        <v>362</v>
      </c>
      <c r="I5325" s="8" t="s">
        <v>16104</v>
      </c>
      <c r="J5325" s="8" t="s">
        <v>16105</v>
      </c>
    </row>
    <row r="5326">
      <c r="A5326" s="7">
        <v>2.0033858E7</v>
      </c>
      <c r="B5326" s="8" t="s">
        <v>2134</v>
      </c>
      <c r="C5326" s="8" t="s">
        <v>16106</v>
      </c>
      <c r="D5326" s="8" t="s">
        <v>16</v>
      </c>
      <c r="E5326" s="8" t="s">
        <v>17</v>
      </c>
      <c r="F5326" s="9">
        <v>46039.0</v>
      </c>
      <c r="G5326" s="8" t="s">
        <v>882</v>
      </c>
      <c r="H5326" s="8" t="s">
        <v>883</v>
      </c>
      <c r="I5326" s="8" t="s">
        <v>16107</v>
      </c>
      <c r="J5326" s="8" t="s">
        <v>16108</v>
      </c>
    </row>
    <row r="5327">
      <c r="A5327" s="7">
        <v>2.0064983E7</v>
      </c>
      <c r="B5327" s="8" t="s">
        <v>2134</v>
      </c>
      <c r="C5327" s="8" t="s">
        <v>16109</v>
      </c>
      <c r="D5327" s="8" t="s">
        <v>16</v>
      </c>
      <c r="E5327" s="8" t="s">
        <v>17</v>
      </c>
      <c r="F5327" s="9">
        <v>46189.0</v>
      </c>
      <c r="G5327" s="8" t="s">
        <v>184</v>
      </c>
      <c r="H5327" s="8" t="s">
        <v>185</v>
      </c>
      <c r="I5327" s="8" t="s">
        <v>16110</v>
      </c>
      <c r="J5327" s="8" t="s">
        <v>16111</v>
      </c>
    </row>
    <row r="5328">
      <c r="A5328" s="7">
        <v>2.0064477E7</v>
      </c>
      <c r="B5328" s="8" t="s">
        <v>2134</v>
      </c>
      <c r="C5328" s="8" t="s">
        <v>16112</v>
      </c>
      <c r="D5328" s="8" t="s">
        <v>16</v>
      </c>
      <c r="E5328" s="8" t="s">
        <v>17</v>
      </c>
      <c r="F5328" s="9">
        <v>46192.0</v>
      </c>
      <c r="G5328" s="8" t="s">
        <v>290</v>
      </c>
      <c r="H5328" s="8" t="s">
        <v>291</v>
      </c>
      <c r="I5328" s="8" t="s">
        <v>16113</v>
      </c>
      <c r="J5328" s="8" t="s">
        <v>16114</v>
      </c>
    </row>
    <row r="5329">
      <c r="A5329" s="7">
        <v>2.0062549E7</v>
      </c>
      <c r="B5329" s="8" t="s">
        <v>2134</v>
      </c>
      <c r="C5329" s="8" t="s">
        <v>16115</v>
      </c>
      <c r="D5329" s="8" t="s">
        <v>16</v>
      </c>
      <c r="E5329" s="8" t="s">
        <v>17</v>
      </c>
      <c r="F5329" s="9">
        <v>46172.0</v>
      </c>
      <c r="G5329" s="8" t="s">
        <v>805</v>
      </c>
      <c r="H5329" s="8" t="s">
        <v>806</v>
      </c>
      <c r="I5329" s="8" t="s">
        <v>16116</v>
      </c>
      <c r="J5329" s="8" t="s">
        <v>16117</v>
      </c>
    </row>
    <row r="5330">
      <c r="A5330" s="7">
        <v>2.0059292E7</v>
      </c>
      <c r="B5330" s="8" t="s">
        <v>2134</v>
      </c>
      <c r="C5330" s="8" t="s">
        <v>16118</v>
      </c>
      <c r="D5330" s="8" t="s">
        <v>16</v>
      </c>
      <c r="E5330" s="8" t="s">
        <v>17</v>
      </c>
      <c r="F5330" s="9">
        <v>46182.0</v>
      </c>
      <c r="G5330" s="8" t="s">
        <v>171</v>
      </c>
      <c r="H5330" s="8" t="s">
        <v>172</v>
      </c>
      <c r="I5330" s="8" t="s">
        <v>16119</v>
      </c>
      <c r="J5330" s="8" t="s">
        <v>16120</v>
      </c>
    </row>
    <row r="5331">
      <c r="A5331" s="7">
        <v>2.005924E7</v>
      </c>
      <c r="B5331" s="8" t="s">
        <v>2134</v>
      </c>
      <c r="C5331" s="8" t="s">
        <v>16121</v>
      </c>
      <c r="D5331" s="8" t="s">
        <v>16</v>
      </c>
      <c r="E5331" s="8" t="s">
        <v>17</v>
      </c>
      <c r="F5331" s="9">
        <v>46183.0</v>
      </c>
      <c r="G5331" s="8" t="s">
        <v>522</v>
      </c>
      <c r="H5331" s="8" t="s">
        <v>523</v>
      </c>
      <c r="I5331" s="8" t="s">
        <v>16122</v>
      </c>
      <c r="J5331" s="8" t="s">
        <v>16123</v>
      </c>
    </row>
    <row r="5332">
      <c r="A5332" s="7">
        <v>2.005815E7</v>
      </c>
      <c r="B5332" s="8" t="s">
        <v>2134</v>
      </c>
      <c r="C5332" s="8" t="s">
        <v>16124</v>
      </c>
      <c r="D5332" s="8" t="s">
        <v>16</v>
      </c>
      <c r="E5332" s="8" t="s">
        <v>17</v>
      </c>
      <c r="F5332" s="9">
        <v>46155.0</v>
      </c>
      <c r="G5332" s="8" t="s">
        <v>3572</v>
      </c>
      <c r="H5332" s="8" t="s">
        <v>3573</v>
      </c>
      <c r="I5332" s="8" t="s">
        <v>16125</v>
      </c>
      <c r="J5332" s="8" t="s">
        <v>16126</v>
      </c>
    </row>
    <row r="5333">
      <c r="A5333" s="7">
        <v>2.005815E7</v>
      </c>
      <c r="B5333" s="8" t="s">
        <v>2134</v>
      </c>
      <c r="C5333" s="8" t="s">
        <v>16124</v>
      </c>
      <c r="D5333" s="8" t="s">
        <v>16</v>
      </c>
      <c r="E5333" s="8" t="s">
        <v>17</v>
      </c>
      <c r="F5333" s="9">
        <v>46155.0</v>
      </c>
      <c r="G5333" s="8" t="s">
        <v>543</v>
      </c>
      <c r="H5333" s="8" t="s">
        <v>544</v>
      </c>
      <c r="I5333" s="8" t="s">
        <v>16127</v>
      </c>
      <c r="J5333" s="8" t="s">
        <v>16128</v>
      </c>
    </row>
    <row r="5334">
      <c r="A5334" s="7">
        <v>2.0053172E7</v>
      </c>
      <c r="B5334" s="8" t="s">
        <v>2134</v>
      </c>
      <c r="C5334" s="8" t="s">
        <v>16129</v>
      </c>
      <c r="D5334" s="8" t="s">
        <v>16</v>
      </c>
      <c r="E5334" s="8" t="s">
        <v>17</v>
      </c>
      <c r="F5334" s="9">
        <v>46137.0</v>
      </c>
      <c r="G5334" s="8" t="s">
        <v>601</v>
      </c>
      <c r="H5334" s="8" t="s">
        <v>602</v>
      </c>
      <c r="I5334" s="8" t="s">
        <v>16130</v>
      </c>
      <c r="J5334" s="8" t="s">
        <v>16131</v>
      </c>
    </row>
    <row r="5335">
      <c r="A5335" s="7">
        <v>2.0049163E7</v>
      </c>
      <c r="B5335" s="8" t="s">
        <v>2134</v>
      </c>
      <c r="C5335" s="8" t="s">
        <v>16132</v>
      </c>
      <c r="D5335" s="8" t="s">
        <v>16</v>
      </c>
      <c r="E5335" s="8" t="s">
        <v>17</v>
      </c>
      <c r="F5335" s="9">
        <v>46136.0</v>
      </c>
      <c r="G5335" s="8" t="s">
        <v>1627</v>
      </c>
      <c r="H5335" s="8" t="s">
        <v>1628</v>
      </c>
      <c r="I5335" s="8" t="s">
        <v>16133</v>
      </c>
      <c r="J5335" s="8" t="s">
        <v>16133</v>
      </c>
    </row>
    <row r="5336">
      <c r="A5336" s="7">
        <v>2.0049163E7</v>
      </c>
      <c r="B5336" s="8" t="s">
        <v>2134</v>
      </c>
      <c r="C5336" s="8" t="s">
        <v>16132</v>
      </c>
      <c r="D5336" s="8" t="s">
        <v>16</v>
      </c>
      <c r="E5336" s="8" t="s">
        <v>17</v>
      </c>
      <c r="F5336" s="9">
        <v>46136.0</v>
      </c>
      <c r="G5336" s="8" t="s">
        <v>1627</v>
      </c>
      <c r="H5336" s="8" t="s">
        <v>1628</v>
      </c>
      <c r="I5336" s="8" t="s">
        <v>16134</v>
      </c>
      <c r="J5336" s="8" t="s">
        <v>16135</v>
      </c>
    </row>
    <row r="5337">
      <c r="A5337" s="7">
        <v>2.0045597E7</v>
      </c>
      <c r="B5337" s="8" t="s">
        <v>2134</v>
      </c>
      <c r="C5337" s="8" t="s">
        <v>16136</v>
      </c>
      <c r="D5337" s="8" t="s">
        <v>16</v>
      </c>
      <c r="E5337" s="8" t="s">
        <v>17</v>
      </c>
      <c r="F5337" s="9">
        <v>46098.0</v>
      </c>
      <c r="G5337" s="8" t="s">
        <v>137</v>
      </c>
      <c r="H5337" s="8" t="s">
        <v>138</v>
      </c>
      <c r="I5337" s="8" t="s">
        <v>16137</v>
      </c>
      <c r="J5337" s="8" t="s">
        <v>16138</v>
      </c>
    </row>
    <row r="5338">
      <c r="A5338" s="7">
        <v>2.0044856E7</v>
      </c>
      <c r="B5338" s="8" t="s">
        <v>2134</v>
      </c>
      <c r="C5338" s="8" t="s">
        <v>16139</v>
      </c>
      <c r="D5338" s="8" t="s">
        <v>16</v>
      </c>
      <c r="E5338" s="8" t="s">
        <v>17</v>
      </c>
      <c r="F5338" s="9">
        <v>46077.0</v>
      </c>
      <c r="G5338" s="8" t="s">
        <v>365</v>
      </c>
      <c r="H5338" s="8" t="s">
        <v>366</v>
      </c>
      <c r="I5338" s="8" t="s">
        <v>16140</v>
      </c>
      <c r="J5338" s="8" t="s">
        <v>16141</v>
      </c>
    </row>
    <row r="5339">
      <c r="A5339" s="7">
        <v>2.0041044E7</v>
      </c>
      <c r="B5339" s="8" t="s">
        <v>2134</v>
      </c>
      <c r="C5339" s="8" t="s">
        <v>16142</v>
      </c>
      <c r="D5339" s="8" t="s">
        <v>16</v>
      </c>
      <c r="E5339" s="8" t="s">
        <v>17</v>
      </c>
      <c r="F5339" s="9">
        <v>46081.0</v>
      </c>
      <c r="G5339" s="8" t="s">
        <v>390</v>
      </c>
      <c r="H5339" s="8" t="s">
        <v>391</v>
      </c>
      <c r="I5339" s="8" t="s">
        <v>16143</v>
      </c>
      <c r="J5339" s="8" t="s">
        <v>16144</v>
      </c>
    </row>
    <row r="5340">
      <c r="A5340" s="7">
        <v>2.0037119E7</v>
      </c>
      <c r="B5340" s="8" t="s">
        <v>2134</v>
      </c>
      <c r="C5340" s="8" t="s">
        <v>16145</v>
      </c>
      <c r="D5340" s="8" t="s">
        <v>16</v>
      </c>
      <c r="E5340" s="8" t="s">
        <v>17</v>
      </c>
      <c r="F5340" s="9">
        <v>46060.0</v>
      </c>
      <c r="G5340" s="8" t="s">
        <v>1427</v>
      </c>
      <c r="H5340" s="8" t="s">
        <v>1428</v>
      </c>
      <c r="I5340" s="8" t="s">
        <v>16146</v>
      </c>
      <c r="J5340" s="8" t="s">
        <v>16147</v>
      </c>
    </row>
    <row r="5341">
      <c r="A5341" s="7">
        <v>2.0037119E7</v>
      </c>
      <c r="B5341" s="8" t="s">
        <v>2134</v>
      </c>
      <c r="C5341" s="8" t="s">
        <v>16145</v>
      </c>
      <c r="D5341" s="8" t="s">
        <v>16</v>
      </c>
      <c r="E5341" s="8" t="s">
        <v>17</v>
      </c>
      <c r="F5341" s="9">
        <v>46060.0</v>
      </c>
      <c r="G5341" s="8" t="s">
        <v>16148</v>
      </c>
      <c r="H5341" s="8" t="s">
        <v>16149</v>
      </c>
      <c r="I5341" s="8" t="s">
        <v>16150</v>
      </c>
      <c r="J5341" s="8" t="s">
        <v>16151</v>
      </c>
    </row>
    <row r="5342">
      <c r="A5342" s="7">
        <v>2.0051652E7</v>
      </c>
      <c r="B5342" s="8" t="s">
        <v>2134</v>
      </c>
      <c r="C5342" s="8" t="s">
        <v>16152</v>
      </c>
      <c r="D5342" s="8" t="s">
        <v>16</v>
      </c>
      <c r="E5342" s="8" t="s">
        <v>17</v>
      </c>
      <c r="F5342" s="9">
        <v>46128.0</v>
      </c>
      <c r="G5342" s="8" t="s">
        <v>1557</v>
      </c>
      <c r="H5342" s="8" t="s">
        <v>1558</v>
      </c>
      <c r="I5342" s="8" t="s">
        <v>16153</v>
      </c>
      <c r="J5342" s="8" t="s">
        <v>16154</v>
      </c>
    </row>
    <row r="5343">
      <c r="A5343" s="7">
        <v>2.0050255E7</v>
      </c>
      <c r="B5343" s="8" t="s">
        <v>2134</v>
      </c>
      <c r="C5343" s="8" t="s">
        <v>16155</v>
      </c>
      <c r="D5343" s="8" t="s">
        <v>16</v>
      </c>
      <c r="E5343" s="8" t="s">
        <v>17</v>
      </c>
      <c r="F5343" s="9">
        <v>46119.0</v>
      </c>
      <c r="G5343" s="8" t="s">
        <v>6891</v>
      </c>
      <c r="H5343" s="8" t="s">
        <v>6892</v>
      </c>
      <c r="I5343" s="8" t="s">
        <v>16156</v>
      </c>
      <c r="J5343" s="8" t="s">
        <v>16157</v>
      </c>
    </row>
    <row r="5344">
      <c r="A5344" s="7">
        <v>2.0050214E7</v>
      </c>
      <c r="B5344" s="8" t="s">
        <v>2134</v>
      </c>
      <c r="C5344" s="8" t="s">
        <v>16158</v>
      </c>
      <c r="D5344" s="8" t="s">
        <v>16</v>
      </c>
      <c r="E5344" s="8" t="s">
        <v>17</v>
      </c>
      <c r="F5344" s="9">
        <v>46105.0</v>
      </c>
      <c r="G5344" s="8" t="s">
        <v>3572</v>
      </c>
      <c r="H5344" s="8" t="s">
        <v>3573</v>
      </c>
      <c r="I5344" s="8" t="s">
        <v>16126</v>
      </c>
      <c r="J5344" s="8" t="s">
        <v>16159</v>
      </c>
    </row>
    <row r="5345">
      <c r="A5345" s="7">
        <v>2.004408E7</v>
      </c>
      <c r="B5345" s="8" t="s">
        <v>2134</v>
      </c>
      <c r="C5345" s="8" t="s">
        <v>16160</v>
      </c>
      <c r="D5345" s="8" t="s">
        <v>16</v>
      </c>
      <c r="E5345" s="8" t="s">
        <v>48</v>
      </c>
      <c r="F5345" s="9">
        <v>46100.0</v>
      </c>
      <c r="G5345" s="8" t="s">
        <v>390</v>
      </c>
      <c r="H5345" s="8" t="s">
        <v>391</v>
      </c>
      <c r="I5345" s="8" t="s">
        <v>16161</v>
      </c>
      <c r="J5345" s="8" t="s">
        <v>16162</v>
      </c>
    </row>
    <row r="5346">
      <c r="A5346" s="7">
        <v>2.0037338E7</v>
      </c>
      <c r="B5346" s="8" t="s">
        <v>2134</v>
      </c>
      <c r="C5346" s="8" t="s">
        <v>16163</v>
      </c>
      <c r="D5346" s="8" t="s">
        <v>16</v>
      </c>
      <c r="E5346" s="8" t="s">
        <v>17</v>
      </c>
      <c r="F5346" s="9">
        <v>46070.0</v>
      </c>
      <c r="G5346" s="8" t="s">
        <v>436</v>
      </c>
      <c r="H5346" s="8" t="s">
        <v>437</v>
      </c>
      <c r="I5346" s="8" t="s">
        <v>16164</v>
      </c>
      <c r="J5346" s="8" t="s">
        <v>16165</v>
      </c>
    </row>
    <row r="5347">
      <c r="A5347" s="7">
        <v>2.0067861E7</v>
      </c>
      <c r="B5347" s="8" t="s">
        <v>2134</v>
      </c>
      <c r="C5347" s="8" t="s">
        <v>16166</v>
      </c>
      <c r="D5347" s="8" t="s">
        <v>16</v>
      </c>
      <c r="E5347" s="8" t="s">
        <v>48</v>
      </c>
      <c r="F5347" s="9">
        <v>46185.0</v>
      </c>
      <c r="G5347" s="8" t="s">
        <v>8350</v>
      </c>
      <c r="H5347" s="8" t="s">
        <v>8351</v>
      </c>
      <c r="I5347" s="8" t="s">
        <v>16167</v>
      </c>
      <c r="J5347" s="8" t="s">
        <v>16168</v>
      </c>
    </row>
    <row r="5348">
      <c r="A5348" s="7">
        <v>2.0046104E7</v>
      </c>
      <c r="B5348" s="8" t="s">
        <v>2134</v>
      </c>
      <c r="C5348" s="8" t="s">
        <v>16169</v>
      </c>
      <c r="D5348" s="8" t="s">
        <v>16</v>
      </c>
      <c r="E5348" s="8" t="s">
        <v>17</v>
      </c>
      <c r="F5348" s="9">
        <v>46099.0</v>
      </c>
      <c r="G5348" s="8" t="s">
        <v>132</v>
      </c>
      <c r="H5348" s="8" t="s">
        <v>133</v>
      </c>
      <c r="I5348" s="8" t="s">
        <v>16170</v>
      </c>
      <c r="J5348" s="8" t="s">
        <v>16171</v>
      </c>
    </row>
    <row r="5349">
      <c r="A5349" s="7">
        <v>2.0045576E7</v>
      </c>
      <c r="B5349" s="8" t="s">
        <v>2134</v>
      </c>
      <c r="C5349" s="8" t="s">
        <v>16172</v>
      </c>
      <c r="D5349" s="8" t="s">
        <v>16</v>
      </c>
      <c r="E5349" s="8" t="s">
        <v>17</v>
      </c>
      <c r="F5349" s="9">
        <v>46099.0</v>
      </c>
      <c r="G5349" s="8" t="s">
        <v>158</v>
      </c>
      <c r="H5349" s="8" t="s">
        <v>159</v>
      </c>
      <c r="I5349" s="8" t="s">
        <v>16173</v>
      </c>
      <c r="J5349" s="8" t="s">
        <v>16174</v>
      </c>
    </row>
    <row r="5350">
      <c r="A5350" s="7">
        <v>2.0035405E7</v>
      </c>
      <c r="B5350" s="8" t="s">
        <v>2134</v>
      </c>
      <c r="C5350" s="8" t="s">
        <v>16175</v>
      </c>
      <c r="D5350" s="8" t="s">
        <v>16</v>
      </c>
      <c r="E5350" s="8" t="s">
        <v>17</v>
      </c>
      <c r="F5350" s="9">
        <v>46064.0</v>
      </c>
      <c r="G5350" s="8" t="s">
        <v>2666</v>
      </c>
      <c r="H5350" s="8" t="s">
        <v>2667</v>
      </c>
      <c r="I5350" s="8" t="s">
        <v>16176</v>
      </c>
      <c r="J5350" s="8" t="s">
        <v>16177</v>
      </c>
    </row>
    <row r="5351">
      <c r="A5351" s="7">
        <v>2.0034761E7</v>
      </c>
      <c r="B5351" s="8" t="s">
        <v>2134</v>
      </c>
      <c r="C5351" s="8" t="s">
        <v>16178</v>
      </c>
      <c r="D5351" s="8" t="s">
        <v>16</v>
      </c>
      <c r="E5351" s="8" t="s">
        <v>17</v>
      </c>
      <c r="F5351" s="9">
        <v>46049.0</v>
      </c>
      <c r="G5351" s="8" t="s">
        <v>7407</v>
      </c>
      <c r="H5351" s="8" t="s">
        <v>7408</v>
      </c>
      <c r="I5351" s="8" t="s">
        <v>16179</v>
      </c>
      <c r="J5351" s="8" t="s">
        <v>16180</v>
      </c>
    </row>
    <row r="5352">
      <c r="A5352" s="7">
        <v>2.0034761E7</v>
      </c>
      <c r="B5352" s="8" t="s">
        <v>2134</v>
      </c>
      <c r="C5352" s="8" t="s">
        <v>16178</v>
      </c>
      <c r="D5352" s="8" t="s">
        <v>16</v>
      </c>
      <c r="E5352" s="8" t="s">
        <v>17</v>
      </c>
      <c r="F5352" s="9">
        <v>46049.0</v>
      </c>
      <c r="G5352" s="8" t="s">
        <v>7411</v>
      </c>
      <c r="H5352" s="8" t="s">
        <v>7412</v>
      </c>
      <c r="I5352" s="8" t="s">
        <v>16181</v>
      </c>
      <c r="J5352" s="8" t="s">
        <v>16182</v>
      </c>
    </row>
    <row r="5353">
      <c r="A5353" s="7">
        <v>2.0061306E7</v>
      </c>
      <c r="B5353" s="8" t="s">
        <v>2134</v>
      </c>
      <c r="C5353" s="8" t="s">
        <v>16183</v>
      </c>
      <c r="D5353" s="8" t="s">
        <v>16</v>
      </c>
      <c r="E5353" s="8" t="s">
        <v>17</v>
      </c>
      <c r="F5353" s="9">
        <v>46187.0</v>
      </c>
      <c r="G5353" s="8" t="s">
        <v>171</v>
      </c>
      <c r="H5353" s="8" t="s">
        <v>172</v>
      </c>
      <c r="I5353" s="8" t="s">
        <v>16184</v>
      </c>
      <c r="J5353" s="8" t="s">
        <v>16185</v>
      </c>
    </row>
    <row r="5354">
      <c r="A5354" s="7">
        <v>2.0059751E7</v>
      </c>
      <c r="B5354" s="8" t="s">
        <v>2134</v>
      </c>
      <c r="C5354" s="8" t="s">
        <v>16186</v>
      </c>
      <c r="D5354" s="8" t="s">
        <v>16</v>
      </c>
      <c r="E5354" s="8" t="s">
        <v>17</v>
      </c>
      <c r="F5354" s="9">
        <v>46179.0</v>
      </c>
      <c r="G5354" s="8" t="s">
        <v>171</v>
      </c>
      <c r="H5354" s="8" t="s">
        <v>172</v>
      </c>
      <c r="I5354" s="8" t="s">
        <v>16187</v>
      </c>
      <c r="J5354" s="8" t="s">
        <v>16188</v>
      </c>
    </row>
    <row r="5355">
      <c r="A5355" s="7">
        <v>2.0051631E7</v>
      </c>
      <c r="B5355" s="8" t="s">
        <v>2134</v>
      </c>
      <c r="C5355" s="8" t="s">
        <v>16189</v>
      </c>
      <c r="D5355" s="8" t="s">
        <v>16</v>
      </c>
      <c r="E5355" s="8" t="s">
        <v>17</v>
      </c>
      <c r="F5355" s="9">
        <v>46118.0</v>
      </c>
      <c r="G5355" s="8" t="s">
        <v>390</v>
      </c>
      <c r="H5355" s="8" t="s">
        <v>391</v>
      </c>
      <c r="I5355" s="8" t="s">
        <v>16190</v>
      </c>
      <c r="J5355" s="8" t="s">
        <v>16191</v>
      </c>
    </row>
    <row r="5356">
      <c r="A5356" s="7">
        <v>2.0046453E7</v>
      </c>
      <c r="B5356" s="8" t="s">
        <v>2134</v>
      </c>
      <c r="C5356" s="8" t="s">
        <v>16192</v>
      </c>
      <c r="D5356" s="8" t="s">
        <v>16</v>
      </c>
      <c r="E5356" s="8" t="s">
        <v>17</v>
      </c>
      <c r="F5356" s="9">
        <v>46088.0</v>
      </c>
      <c r="G5356" s="8" t="s">
        <v>365</v>
      </c>
      <c r="H5356" s="8" t="s">
        <v>366</v>
      </c>
      <c r="I5356" s="8" t="s">
        <v>16193</v>
      </c>
      <c r="J5356" s="8" t="s">
        <v>16194</v>
      </c>
    </row>
    <row r="5357">
      <c r="A5357" s="7">
        <v>2.0042239E7</v>
      </c>
      <c r="B5357" s="8" t="s">
        <v>2134</v>
      </c>
      <c r="C5357" s="8" t="s">
        <v>16195</v>
      </c>
      <c r="D5357" s="8" t="s">
        <v>16</v>
      </c>
      <c r="E5357" s="8" t="s">
        <v>17</v>
      </c>
      <c r="F5357" s="9">
        <v>46094.0</v>
      </c>
      <c r="G5357" s="8" t="s">
        <v>378</v>
      </c>
      <c r="H5357" s="8" t="s">
        <v>379</v>
      </c>
      <c r="I5357" s="8" t="s">
        <v>16196</v>
      </c>
      <c r="J5357" s="8" t="s">
        <v>16065</v>
      </c>
    </row>
    <row r="5358">
      <c r="A5358" s="7">
        <v>2.0043561E7</v>
      </c>
      <c r="B5358" s="8" t="s">
        <v>2134</v>
      </c>
      <c r="C5358" s="8" t="s">
        <v>16197</v>
      </c>
      <c r="D5358" s="8" t="s">
        <v>16</v>
      </c>
      <c r="E5358" s="8" t="s">
        <v>17</v>
      </c>
      <c r="F5358" s="9">
        <v>46095.0</v>
      </c>
      <c r="G5358" s="8" t="s">
        <v>59</v>
      </c>
      <c r="H5358" s="8" t="s">
        <v>60</v>
      </c>
      <c r="I5358" s="8" t="s">
        <v>16198</v>
      </c>
      <c r="J5358" s="8" t="s">
        <v>16199</v>
      </c>
    </row>
    <row r="5359">
      <c r="A5359" s="7">
        <v>2.004314E7</v>
      </c>
      <c r="B5359" s="8" t="s">
        <v>2134</v>
      </c>
      <c r="C5359" s="8" t="s">
        <v>16200</v>
      </c>
      <c r="D5359" s="8" t="s">
        <v>16</v>
      </c>
      <c r="E5359" s="8" t="s">
        <v>17</v>
      </c>
      <c r="F5359" s="9">
        <v>46088.0</v>
      </c>
      <c r="G5359" s="8" t="s">
        <v>436</v>
      </c>
      <c r="H5359" s="8" t="s">
        <v>437</v>
      </c>
      <c r="I5359" s="8" t="s">
        <v>16201</v>
      </c>
      <c r="J5359" s="8"/>
    </row>
    <row r="5360">
      <c r="A5360" s="7">
        <v>2.0038333E7</v>
      </c>
      <c r="B5360" s="8" t="s">
        <v>2134</v>
      </c>
      <c r="C5360" s="8" t="s">
        <v>16202</v>
      </c>
      <c r="D5360" s="8" t="s">
        <v>16</v>
      </c>
      <c r="E5360" s="8" t="s">
        <v>17</v>
      </c>
      <c r="F5360" s="9">
        <v>46056.0</v>
      </c>
      <c r="G5360" s="8" t="s">
        <v>3207</v>
      </c>
      <c r="H5360" s="8" t="s">
        <v>3208</v>
      </c>
      <c r="I5360" s="8" t="s">
        <v>16203</v>
      </c>
      <c r="J5360" s="8" t="s">
        <v>16204</v>
      </c>
    </row>
    <row r="5361">
      <c r="A5361" s="7">
        <v>2.0063403E7</v>
      </c>
      <c r="B5361" s="8" t="s">
        <v>2134</v>
      </c>
      <c r="C5361" s="8" t="s">
        <v>16205</v>
      </c>
      <c r="D5361" s="8" t="s">
        <v>16</v>
      </c>
      <c r="E5361" s="8" t="s">
        <v>17</v>
      </c>
      <c r="F5361" s="9">
        <v>46189.0</v>
      </c>
      <c r="G5361" s="8" t="s">
        <v>3012</v>
      </c>
      <c r="H5361" s="8" t="s">
        <v>3013</v>
      </c>
      <c r="I5361" s="8" t="s">
        <v>16206</v>
      </c>
      <c r="J5361" s="8" t="s">
        <v>16207</v>
      </c>
    </row>
    <row r="5362">
      <c r="A5362" s="7">
        <v>2.0063403E7</v>
      </c>
      <c r="B5362" s="8" t="s">
        <v>2134</v>
      </c>
      <c r="C5362" s="8" t="s">
        <v>16205</v>
      </c>
      <c r="D5362" s="8" t="s">
        <v>16</v>
      </c>
      <c r="E5362" s="8" t="s">
        <v>17</v>
      </c>
      <c r="F5362" s="9">
        <v>46189.0</v>
      </c>
      <c r="G5362" s="8" t="s">
        <v>2666</v>
      </c>
      <c r="H5362" s="8" t="s">
        <v>2667</v>
      </c>
      <c r="I5362" s="8" t="s">
        <v>16208</v>
      </c>
      <c r="J5362" s="8" t="s">
        <v>16209</v>
      </c>
    </row>
    <row r="5363">
      <c r="A5363" s="7">
        <v>2.006255E7</v>
      </c>
      <c r="B5363" s="8" t="s">
        <v>2134</v>
      </c>
      <c r="C5363" s="8" t="s">
        <v>16210</v>
      </c>
      <c r="D5363" s="8" t="s">
        <v>16</v>
      </c>
      <c r="E5363" s="8" t="s">
        <v>17</v>
      </c>
      <c r="F5363" s="9">
        <v>46182.0</v>
      </c>
      <c r="G5363" s="8" t="s">
        <v>16211</v>
      </c>
      <c r="H5363" s="8" t="s">
        <v>16212</v>
      </c>
      <c r="I5363" s="8" t="s">
        <v>16213</v>
      </c>
      <c r="J5363" s="8" t="s">
        <v>16214</v>
      </c>
    </row>
    <row r="5364">
      <c r="A5364" s="7">
        <v>2.0061798E7</v>
      </c>
      <c r="B5364" s="8" t="s">
        <v>2134</v>
      </c>
      <c r="C5364" s="8" t="s">
        <v>16215</v>
      </c>
      <c r="D5364" s="8" t="s">
        <v>16</v>
      </c>
      <c r="E5364" s="8" t="s">
        <v>17</v>
      </c>
      <c r="F5364" s="9">
        <v>46154.0</v>
      </c>
      <c r="G5364" s="8" t="s">
        <v>971</v>
      </c>
      <c r="H5364" s="8" t="s">
        <v>972</v>
      </c>
      <c r="I5364" s="8" t="s">
        <v>16216</v>
      </c>
      <c r="J5364" s="8" t="s">
        <v>16217</v>
      </c>
    </row>
    <row r="5365">
      <c r="A5365" s="7">
        <v>2.0058541E7</v>
      </c>
      <c r="B5365" s="8" t="s">
        <v>2134</v>
      </c>
      <c r="C5365" s="8" t="s">
        <v>16218</v>
      </c>
      <c r="D5365" s="8" t="s">
        <v>16</v>
      </c>
      <c r="E5365" s="8" t="s">
        <v>17</v>
      </c>
      <c r="F5365" s="9">
        <v>46182.0</v>
      </c>
      <c r="G5365" s="8" t="s">
        <v>124</v>
      </c>
      <c r="H5365" s="8" t="s">
        <v>125</v>
      </c>
      <c r="I5365" s="8" t="s">
        <v>16219</v>
      </c>
      <c r="J5365" s="8" t="s">
        <v>16220</v>
      </c>
    </row>
    <row r="5366">
      <c r="A5366" s="7">
        <v>2.0051969E7</v>
      </c>
      <c r="B5366" s="8" t="s">
        <v>2134</v>
      </c>
      <c r="C5366" s="8" t="s">
        <v>16221</v>
      </c>
      <c r="D5366" s="8" t="s">
        <v>16</v>
      </c>
      <c r="E5366" s="8" t="s">
        <v>17</v>
      </c>
      <c r="F5366" s="9">
        <v>46132.0</v>
      </c>
      <c r="G5366" s="8" t="s">
        <v>543</v>
      </c>
      <c r="H5366" s="8" t="s">
        <v>544</v>
      </c>
      <c r="I5366" s="8" t="s">
        <v>16128</v>
      </c>
      <c r="J5366" s="8"/>
    </row>
    <row r="5367">
      <c r="A5367" s="7">
        <v>2.0051467E7</v>
      </c>
      <c r="B5367" s="8" t="s">
        <v>2134</v>
      </c>
      <c r="C5367" s="8" t="s">
        <v>16222</v>
      </c>
      <c r="D5367" s="8" t="s">
        <v>16</v>
      </c>
      <c r="E5367" s="8" t="s">
        <v>17</v>
      </c>
      <c r="F5367" s="9">
        <v>46105.0</v>
      </c>
      <c r="G5367" s="8" t="s">
        <v>873</v>
      </c>
      <c r="H5367" s="8" t="s">
        <v>874</v>
      </c>
      <c r="I5367" s="8" t="s">
        <v>16223</v>
      </c>
      <c r="J5367" s="8" t="s">
        <v>16224</v>
      </c>
    </row>
    <row r="5368">
      <c r="A5368" s="7">
        <v>2.0051101E7</v>
      </c>
      <c r="B5368" s="8" t="s">
        <v>2134</v>
      </c>
      <c r="C5368" s="8" t="s">
        <v>16225</v>
      </c>
      <c r="D5368" s="8" t="s">
        <v>16</v>
      </c>
      <c r="E5368" s="8" t="s">
        <v>17</v>
      </c>
      <c r="F5368" s="9">
        <v>46123.0</v>
      </c>
      <c r="G5368" s="8" t="s">
        <v>124</v>
      </c>
      <c r="H5368" s="8" t="s">
        <v>125</v>
      </c>
      <c r="I5368" s="8" t="s">
        <v>16226</v>
      </c>
      <c r="J5368" s="8" t="s">
        <v>15918</v>
      </c>
    </row>
    <row r="5369">
      <c r="A5369" s="7">
        <v>2.0049476E7</v>
      </c>
      <c r="B5369" s="8" t="s">
        <v>2134</v>
      </c>
      <c r="C5369" s="8" t="s">
        <v>16227</v>
      </c>
      <c r="D5369" s="8" t="s">
        <v>16</v>
      </c>
      <c r="E5369" s="8" t="s">
        <v>17</v>
      </c>
      <c r="F5369" s="9">
        <v>46112.0</v>
      </c>
      <c r="G5369" s="8" t="s">
        <v>2714</v>
      </c>
      <c r="H5369" s="8" t="s">
        <v>2715</v>
      </c>
      <c r="I5369" s="8" t="s">
        <v>16228</v>
      </c>
      <c r="J5369" s="8" t="s">
        <v>16065</v>
      </c>
    </row>
    <row r="5370">
      <c r="A5370" s="7">
        <v>2.0045072E7</v>
      </c>
      <c r="B5370" s="8" t="s">
        <v>2134</v>
      </c>
      <c r="C5370" s="8" t="s">
        <v>16229</v>
      </c>
      <c r="D5370" s="8" t="s">
        <v>16</v>
      </c>
      <c r="E5370" s="8" t="s">
        <v>17</v>
      </c>
      <c r="F5370" s="9">
        <v>46085.0</v>
      </c>
      <c r="G5370" s="8" t="s">
        <v>277</v>
      </c>
      <c r="H5370" s="8" t="s">
        <v>278</v>
      </c>
      <c r="I5370" s="8" t="s">
        <v>16230</v>
      </c>
      <c r="J5370" s="8" t="s">
        <v>16231</v>
      </c>
    </row>
    <row r="5371">
      <c r="A5371" s="7">
        <v>2.0039734E7</v>
      </c>
      <c r="B5371" s="8" t="s">
        <v>2134</v>
      </c>
      <c r="C5371" s="8" t="s">
        <v>16232</v>
      </c>
      <c r="D5371" s="8" t="s">
        <v>16</v>
      </c>
      <c r="E5371" s="8" t="s">
        <v>17</v>
      </c>
      <c r="F5371" s="9">
        <v>46066.0</v>
      </c>
      <c r="G5371" s="8" t="s">
        <v>1949</v>
      </c>
      <c r="H5371" s="8" t="s">
        <v>1950</v>
      </c>
      <c r="I5371" s="8" t="s">
        <v>16233</v>
      </c>
      <c r="J5371" s="8" t="s">
        <v>16234</v>
      </c>
    </row>
    <row r="5372">
      <c r="A5372" s="7">
        <v>2.0038245E7</v>
      </c>
      <c r="B5372" s="8" t="s">
        <v>2134</v>
      </c>
      <c r="C5372" s="8" t="s">
        <v>16235</v>
      </c>
      <c r="D5372" s="8" t="s">
        <v>16</v>
      </c>
      <c r="E5372" s="8" t="s">
        <v>17</v>
      </c>
      <c r="F5372" s="9">
        <v>46063.0</v>
      </c>
      <c r="G5372" s="8" t="s">
        <v>1155</v>
      </c>
      <c r="H5372" s="8" t="s">
        <v>1156</v>
      </c>
      <c r="I5372" s="8" t="s">
        <v>16236</v>
      </c>
      <c r="J5372" s="8" t="s">
        <v>16237</v>
      </c>
    </row>
    <row r="5373">
      <c r="A5373" s="7">
        <v>2.0061732E7</v>
      </c>
      <c r="B5373" s="8" t="s">
        <v>2134</v>
      </c>
      <c r="C5373" s="8" t="s">
        <v>16238</v>
      </c>
      <c r="D5373" s="8" t="s">
        <v>16</v>
      </c>
      <c r="E5373" s="8" t="s">
        <v>17</v>
      </c>
      <c r="F5373" s="9">
        <v>46148.0</v>
      </c>
      <c r="G5373" s="8" t="s">
        <v>365</v>
      </c>
      <c r="H5373" s="8" t="s">
        <v>366</v>
      </c>
      <c r="I5373" s="8" t="s">
        <v>16239</v>
      </c>
      <c r="J5373" s="8" t="s">
        <v>16240</v>
      </c>
    </row>
    <row r="5374">
      <c r="A5374" s="7">
        <v>2.0051725E7</v>
      </c>
      <c r="B5374" s="8" t="s">
        <v>2134</v>
      </c>
      <c r="C5374" s="8" t="s">
        <v>16241</v>
      </c>
      <c r="D5374" s="8" t="s">
        <v>16</v>
      </c>
      <c r="E5374" s="8" t="s">
        <v>17</v>
      </c>
      <c r="F5374" s="9">
        <v>46110.0</v>
      </c>
      <c r="G5374" s="8" t="s">
        <v>273</v>
      </c>
      <c r="H5374" s="8" t="s">
        <v>274</v>
      </c>
      <c r="I5374" s="8" t="s">
        <v>16242</v>
      </c>
      <c r="J5374" s="8" t="s">
        <v>16243</v>
      </c>
    </row>
    <row r="5375">
      <c r="A5375" s="7">
        <v>2.004805E7</v>
      </c>
      <c r="B5375" s="8" t="s">
        <v>2134</v>
      </c>
      <c r="C5375" s="8" t="s">
        <v>16244</v>
      </c>
      <c r="D5375" s="8" t="s">
        <v>16</v>
      </c>
      <c r="E5375" s="8" t="s">
        <v>17</v>
      </c>
      <c r="F5375" s="9">
        <v>46099.0</v>
      </c>
      <c r="G5375" s="8" t="s">
        <v>3812</v>
      </c>
      <c r="H5375" s="8" t="s">
        <v>3813</v>
      </c>
      <c r="I5375" s="8" t="s">
        <v>16245</v>
      </c>
      <c r="J5375" s="8" t="s">
        <v>16246</v>
      </c>
    </row>
    <row r="5376">
      <c r="A5376" s="7">
        <v>2.004805E7</v>
      </c>
      <c r="B5376" s="8" t="s">
        <v>2134</v>
      </c>
      <c r="C5376" s="8" t="s">
        <v>16244</v>
      </c>
      <c r="D5376" s="8" t="s">
        <v>16</v>
      </c>
      <c r="E5376" s="8" t="s">
        <v>17</v>
      </c>
      <c r="F5376" s="9">
        <v>46099.0</v>
      </c>
      <c r="G5376" s="8" t="s">
        <v>3572</v>
      </c>
      <c r="H5376" s="8" t="s">
        <v>3573</v>
      </c>
      <c r="I5376" s="8" t="s">
        <v>16247</v>
      </c>
      <c r="J5376" s="8" t="s">
        <v>16248</v>
      </c>
    </row>
    <row r="5377">
      <c r="A5377" s="7">
        <v>2.0044252E7</v>
      </c>
      <c r="B5377" s="8" t="s">
        <v>2134</v>
      </c>
      <c r="C5377" s="8" t="s">
        <v>16249</v>
      </c>
      <c r="D5377" s="8" t="s">
        <v>16</v>
      </c>
      <c r="E5377" s="8" t="s">
        <v>17</v>
      </c>
      <c r="F5377" s="9">
        <v>46094.0</v>
      </c>
      <c r="G5377" s="8" t="s">
        <v>171</v>
      </c>
      <c r="H5377" s="8" t="s">
        <v>172</v>
      </c>
      <c r="I5377" s="8" t="s">
        <v>16250</v>
      </c>
      <c r="J5377" s="8" t="s">
        <v>16251</v>
      </c>
    </row>
    <row r="5378">
      <c r="A5378" s="7">
        <v>2.0043248E7</v>
      </c>
      <c r="B5378" s="8" t="s">
        <v>2134</v>
      </c>
      <c r="C5378" s="8" t="s">
        <v>16252</v>
      </c>
      <c r="D5378" s="8" t="s">
        <v>16</v>
      </c>
      <c r="E5378" s="8" t="s">
        <v>17</v>
      </c>
      <c r="F5378" s="9">
        <v>46087.0</v>
      </c>
      <c r="G5378" s="8" t="s">
        <v>171</v>
      </c>
      <c r="H5378" s="8" t="s">
        <v>172</v>
      </c>
      <c r="I5378" s="8" t="s">
        <v>16253</v>
      </c>
      <c r="J5378" s="8" t="s">
        <v>16254</v>
      </c>
    </row>
    <row r="5379">
      <c r="A5379" s="7">
        <v>2.0035324E7</v>
      </c>
      <c r="B5379" s="8" t="s">
        <v>2134</v>
      </c>
      <c r="C5379" s="8" t="s">
        <v>16255</v>
      </c>
      <c r="D5379" s="8" t="s">
        <v>16</v>
      </c>
      <c r="E5379" s="8" t="s">
        <v>17</v>
      </c>
      <c r="F5379" s="9">
        <v>46060.0</v>
      </c>
      <c r="G5379" s="8" t="s">
        <v>16256</v>
      </c>
      <c r="H5379" s="8" t="s">
        <v>16257</v>
      </c>
      <c r="I5379" s="8" t="s">
        <v>16258</v>
      </c>
      <c r="J5379" s="8" t="s">
        <v>16259</v>
      </c>
    </row>
    <row r="5380">
      <c r="A5380" s="7">
        <v>2.0036021E7</v>
      </c>
      <c r="B5380" s="8" t="s">
        <v>2134</v>
      </c>
      <c r="C5380" s="8" t="s">
        <v>16260</v>
      </c>
      <c r="D5380" s="8" t="s">
        <v>16</v>
      </c>
      <c r="E5380" s="8" t="s">
        <v>17</v>
      </c>
      <c r="F5380" s="9">
        <v>46056.0</v>
      </c>
      <c r="G5380" s="8" t="s">
        <v>15258</v>
      </c>
      <c r="H5380" s="8" t="s">
        <v>15259</v>
      </c>
      <c r="I5380" s="8" t="s">
        <v>16261</v>
      </c>
      <c r="J5380" s="8" t="s">
        <v>16262</v>
      </c>
    </row>
    <row r="5381">
      <c r="A5381" s="7">
        <v>2.0036021E7</v>
      </c>
      <c r="B5381" s="8" t="s">
        <v>2134</v>
      </c>
      <c r="C5381" s="8" t="s">
        <v>16260</v>
      </c>
      <c r="D5381" s="8" t="s">
        <v>16</v>
      </c>
      <c r="E5381" s="8" t="s">
        <v>17</v>
      </c>
      <c r="F5381" s="9">
        <v>46056.0</v>
      </c>
      <c r="G5381" s="8" t="s">
        <v>16263</v>
      </c>
      <c r="H5381" s="8" t="s">
        <v>16264</v>
      </c>
      <c r="I5381" s="8" t="s">
        <v>16265</v>
      </c>
      <c r="J5381" s="8" t="s">
        <v>16266</v>
      </c>
    </row>
    <row r="5382">
      <c r="A5382" s="7">
        <v>2.0035147E7</v>
      </c>
      <c r="B5382" s="8" t="s">
        <v>2134</v>
      </c>
      <c r="C5382" s="8" t="s">
        <v>16267</v>
      </c>
      <c r="D5382" s="8" t="s">
        <v>16</v>
      </c>
      <c r="E5382" s="8" t="s">
        <v>17</v>
      </c>
      <c r="F5382" s="9">
        <v>46052.0</v>
      </c>
      <c r="G5382" s="8" t="s">
        <v>2386</v>
      </c>
      <c r="H5382" s="8" t="s">
        <v>2387</v>
      </c>
      <c r="I5382" s="8" t="s">
        <v>16268</v>
      </c>
      <c r="J5382" s="8" t="s">
        <v>2403</v>
      </c>
    </row>
    <row r="5383">
      <c r="A5383" s="7">
        <v>2.0057312E7</v>
      </c>
      <c r="B5383" s="8" t="s">
        <v>2134</v>
      </c>
      <c r="C5383" s="8" t="s">
        <v>16269</v>
      </c>
      <c r="D5383" s="8" t="s">
        <v>16</v>
      </c>
      <c r="E5383" s="8" t="s">
        <v>17</v>
      </c>
      <c r="F5383" s="9">
        <v>46137.0</v>
      </c>
      <c r="G5383" s="8" t="s">
        <v>1431</v>
      </c>
      <c r="H5383" s="8" t="s">
        <v>1432</v>
      </c>
      <c r="I5383" s="8" t="s">
        <v>16270</v>
      </c>
      <c r="J5383" s="8" t="s">
        <v>16271</v>
      </c>
    </row>
    <row r="5384">
      <c r="A5384" s="7">
        <v>2.0056669E7</v>
      </c>
      <c r="B5384" s="8" t="s">
        <v>2134</v>
      </c>
      <c r="C5384" s="8" t="s">
        <v>16272</v>
      </c>
      <c r="D5384" s="8" t="s">
        <v>16</v>
      </c>
      <c r="E5384" s="8" t="s">
        <v>17</v>
      </c>
      <c r="F5384" s="9">
        <v>46143.0</v>
      </c>
      <c r="G5384" s="8" t="s">
        <v>59</v>
      </c>
      <c r="H5384" s="8" t="s">
        <v>60</v>
      </c>
      <c r="I5384" s="8" t="s">
        <v>16273</v>
      </c>
      <c r="J5384" s="8" t="s">
        <v>16274</v>
      </c>
    </row>
    <row r="5385">
      <c r="A5385" s="7">
        <v>2.0054711E7</v>
      </c>
      <c r="B5385" s="8" t="s">
        <v>2134</v>
      </c>
      <c r="C5385" s="8" t="s">
        <v>16275</v>
      </c>
      <c r="D5385" s="8" t="s">
        <v>16</v>
      </c>
      <c r="E5385" s="8" t="s">
        <v>17</v>
      </c>
      <c r="F5385" s="9">
        <v>46124.0</v>
      </c>
      <c r="G5385" s="8" t="s">
        <v>800</v>
      </c>
      <c r="H5385" s="8" t="s">
        <v>801</v>
      </c>
      <c r="I5385" s="8" t="s">
        <v>16276</v>
      </c>
      <c r="J5385" s="8" t="s">
        <v>16277</v>
      </c>
    </row>
    <row r="5386">
      <c r="A5386" s="7">
        <v>2.0054265E7</v>
      </c>
      <c r="B5386" s="8" t="s">
        <v>2134</v>
      </c>
      <c r="C5386" s="8" t="s">
        <v>16278</v>
      </c>
      <c r="D5386" s="8" t="s">
        <v>16</v>
      </c>
      <c r="E5386" s="8" t="s">
        <v>17</v>
      </c>
      <c r="F5386" s="9">
        <v>46134.0</v>
      </c>
      <c r="G5386" s="8" t="s">
        <v>436</v>
      </c>
      <c r="H5386" s="8" t="s">
        <v>437</v>
      </c>
      <c r="I5386" s="8" t="s">
        <v>16279</v>
      </c>
      <c r="J5386" s="8" t="s">
        <v>16280</v>
      </c>
    </row>
    <row r="5387">
      <c r="A5387" s="7">
        <v>2.0052884E7</v>
      </c>
      <c r="B5387" s="8" t="s">
        <v>2134</v>
      </c>
      <c r="C5387" s="8" t="s">
        <v>16281</v>
      </c>
      <c r="D5387" s="8" t="s">
        <v>16</v>
      </c>
      <c r="E5387" s="8" t="s">
        <v>17</v>
      </c>
      <c r="F5387" s="9">
        <v>46126.0</v>
      </c>
      <c r="G5387" s="8" t="s">
        <v>137</v>
      </c>
      <c r="H5387" s="8" t="s">
        <v>138</v>
      </c>
      <c r="I5387" s="8" t="s">
        <v>16282</v>
      </c>
      <c r="J5387" s="8" t="s">
        <v>16283</v>
      </c>
    </row>
    <row r="5388">
      <c r="A5388" s="7">
        <v>2.0049712E7</v>
      </c>
      <c r="B5388" s="8" t="s">
        <v>2134</v>
      </c>
      <c r="C5388" s="8" t="s">
        <v>16284</v>
      </c>
      <c r="D5388" s="8" t="s">
        <v>16</v>
      </c>
      <c r="E5388" s="8" t="s">
        <v>17</v>
      </c>
      <c r="F5388" s="9">
        <v>46116.0</v>
      </c>
      <c r="G5388" s="8" t="s">
        <v>436</v>
      </c>
      <c r="H5388" s="8" t="s">
        <v>437</v>
      </c>
      <c r="I5388" s="8" t="s">
        <v>16285</v>
      </c>
      <c r="J5388" s="8" t="s">
        <v>16286</v>
      </c>
    </row>
    <row r="5389">
      <c r="A5389" s="7">
        <v>2.0044481E7</v>
      </c>
      <c r="B5389" s="8" t="s">
        <v>2134</v>
      </c>
      <c r="C5389" s="8" t="s">
        <v>16287</v>
      </c>
      <c r="D5389" s="8" t="s">
        <v>16</v>
      </c>
      <c r="E5389" s="8" t="s">
        <v>17</v>
      </c>
      <c r="F5389" s="9">
        <v>46097.0</v>
      </c>
      <c r="G5389" s="8" t="s">
        <v>390</v>
      </c>
      <c r="H5389" s="8" t="s">
        <v>391</v>
      </c>
      <c r="I5389" s="8" t="s">
        <v>16288</v>
      </c>
      <c r="J5389" s="8" t="s">
        <v>16289</v>
      </c>
    </row>
    <row r="5390">
      <c r="A5390" s="7">
        <v>2.004309E7</v>
      </c>
      <c r="B5390" s="8" t="s">
        <v>2134</v>
      </c>
      <c r="C5390" s="8" t="s">
        <v>16290</v>
      </c>
      <c r="D5390" s="8" t="s">
        <v>16</v>
      </c>
      <c r="E5390" s="8" t="s">
        <v>17</v>
      </c>
      <c r="F5390" s="9">
        <v>46081.0</v>
      </c>
      <c r="G5390" s="8" t="s">
        <v>365</v>
      </c>
      <c r="H5390" s="8" t="s">
        <v>366</v>
      </c>
      <c r="I5390" s="8" t="s">
        <v>16291</v>
      </c>
      <c r="J5390" s="8" t="s">
        <v>16292</v>
      </c>
    </row>
    <row r="5391">
      <c r="A5391" s="7">
        <v>2.0041636E7</v>
      </c>
      <c r="B5391" s="8" t="s">
        <v>2134</v>
      </c>
      <c r="C5391" s="8" t="s">
        <v>16293</v>
      </c>
      <c r="D5391" s="8" t="s">
        <v>16</v>
      </c>
      <c r="E5391" s="8" t="s">
        <v>17</v>
      </c>
      <c r="F5391" s="9">
        <v>46082.0</v>
      </c>
      <c r="G5391" s="8" t="s">
        <v>12404</v>
      </c>
      <c r="H5391" s="8" t="s">
        <v>12405</v>
      </c>
      <c r="I5391" s="8" t="s">
        <v>16294</v>
      </c>
      <c r="J5391" s="8" t="s">
        <v>16295</v>
      </c>
    </row>
    <row r="5392">
      <c r="A5392" s="7">
        <v>2.0038621E7</v>
      </c>
      <c r="B5392" s="8" t="s">
        <v>2134</v>
      </c>
      <c r="C5392" s="8" t="s">
        <v>16296</v>
      </c>
      <c r="D5392" s="8" t="s">
        <v>16</v>
      </c>
      <c r="E5392" s="8" t="s">
        <v>17</v>
      </c>
      <c r="F5392" s="9">
        <v>46090.0</v>
      </c>
      <c r="G5392" s="8" t="s">
        <v>1508</v>
      </c>
      <c r="H5392" s="8" t="s">
        <v>1509</v>
      </c>
      <c r="I5392" s="8" t="s">
        <v>16297</v>
      </c>
      <c r="J5392" s="8" t="s">
        <v>16298</v>
      </c>
    </row>
    <row r="5393">
      <c r="A5393" s="7">
        <v>2.0035935E7</v>
      </c>
      <c r="B5393" s="8" t="s">
        <v>2134</v>
      </c>
      <c r="C5393" s="8" t="s">
        <v>16299</v>
      </c>
      <c r="D5393" s="8" t="s">
        <v>16</v>
      </c>
      <c r="E5393" s="8" t="s">
        <v>17</v>
      </c>
      <c r="F5393" s="9">
        <v>46061.0</v>
      </c>
      <c r="G5393" s="8" t="s">
        <v>385</v>
      </c>
      <c r="H5393" s="8" t="s">
        <v>386</v>
      </c>
      <c r="I5393" s="8" t="s">
        <v>16300</v>
      </c>
      <c r="J5393" s="8" t="s">
        <v>16301</v>
      </c>
    </row>
    <row r="5394">
      <c r="A5394" s="7">
        <v>2.0063468E7</v>
      </c>
      <c r="B5394" s="8" t="s">
        <v>2134</v>
      </c>
      <c r="C5394" s="8" t="s">
        <v>16302</v>
      </c>
      <c r="D5394" s="8" t="s">
        <v>16</v>
      </c>
      <c r="E5394" s="8" t="s">
        <v>17</v>
      </c>
      <c r="F5394" s="9">
        <v>46172.0</v>
      </c>
      <c r="G5394" s="8" t="s">
        <v>59</v>
      </c>
      <c r="H5394" s="8" t="s">
        <v>60</v>
      </c>
      <c r="I5394" s="8" t="s">
        <v>16303</v>
      </c>
      <c r="J5394" s="8" t="s">
        <v>16304</v>
      </c>
    </row>
    <row r="5395">
      <c r="A5395" s="7">
        <v>2.0051774E7</v>
      </c>
      <c r="B5395" s="8" t="s">
        <v>2134</v>
      </c>
      <c r="C5395" s="8" t="s">
        <v>16305</v>
      </c>
      <c r="D5395" s="8" t="s">
        <v>16</v>
      </c>
      <c r="E5395" s="8" t="s">
        <v>17</v>
      </c>
      <c r="F5395" s="9">
        <v>46131.0</v>
      </c>
      <c r="G5395" s="8" t="s">
        <v>3118</v>
      </c>
      <c r="H5395" s="8" t="s">
        <v>3119</v>
      </c>
      <c r="I5395" s="8" t="s">
        <v>16306</v>
      </c>
      <c r="J5395" s="8" t="s">
        <v>16307</v>
      </c>
    </row>
    <row r="5396">
      <c r="A5396" s="7">
        <v>2.0051774E7</v>
      </c>
      <c r="B5396" s="8" t="s">
        <v>2134</v>
      </c>
      <c r="C5396" s="8" t="s">
        <v>16305</v>
      </c>
      <c r="D5396" s="8" t="s">
        <v>16</v>
      </c>
      <c r="E5396" s="8" t="s">
        <v>17</v>
      </c>
      <c r="F5396" s="9">
        <v>46131.0</v>
      </c>
      <c r="G5396" s="8" t="s">
        <v>3122</v>
      </c>
      <c r="H5396" s="8" t="s">
        <v>3123</v>
      </c>
      <c r="I5396" s="8" t="s">
        <v>16308</v>
      </c>
      <c r="J5396" s="8" t="s">
        <v>16309</v>
      </c>
    </row>
    <row r="5397">
      <c r="A5397" s="7">
        <v>2.0050895E7</v>
      </c>
      <c r="B5397" s="8" t="s">
        <v>2134</v>
      </c>
      <c r="C5397" s="8" t="s">
        <v>16310</v>
      </c>
      <c r="D5397" s="8" t="s">
        <v>16</v>
      </c>
      <c r="E5397" s="8" t="s">
        <v>17</v>
      </c>
      <c r="F5397" s="9">
        <v>46118.0</v>
      </c>
      <c r="G5397" s="8" t="s">
        <v>688</v>
      </c>
      <c r="H5397" s="8" t="s">
        <v>689</v>
      </c>
      <c r="I5397" s="8" t="s">
        <v>16311</v>
      </c>
      <c r="J5397" s="8" t="s">
        <v>16312</v>
      </c>
    </row>
    <row r="5398">
      <c r="A5398" s="7">
        <v>2.0047635E7</v>
      </c>
      <c r="B5398" s="8" t="s">
        <v>2134</v>
      </c>
      <c r="C5398" s="8" t="s">
        <v>16313</v>
      </c>
      <c r="D5398" s="8" t="s">
        <v>16</v>
      </c>
      <c r="E5398" s="8" t="s">
        <v>17</v>
      </c>
      <c r="F5398" s="9">
        <v>46128.0</v>
      </c>
      <c r="G5398" s="8" t="s">
        <v>1746</v>
      </c>
      <c r="H5398" s="8" t="s">
        <v>4130</v>
      </c>
      <c r="I5398" s="8" t="s">
        <v>16314</v>
      </c>
      <c r="J5398" s="8" t="s">
        <v>16315</v>
      </c>
    </row>
    <row r="5399">
      <c r="A5399" s="7">
        <v>2.0047635E7</v>
      </c>
      <c r="B5399" s="8" t="s">
        <v>2134</v>
      </c>
      <c r="C5399" s="8" t="s">
        <v>16313</v>
      </c>
      <c r="D5399" s="8" t="s">
        <v>16</v>
      </c>
      <c r="E5399" s="8" t="s">
        <v>17</v>
      </c>
      <c r="F5399" s="9">
        <v>46128.0</v>
      </c>
      <c r="G5399" s="8" t="s">
        <v>1045</v>
      </c>
      <c r="H5399" s="8" t="s">
        <v>909</v>
      </c>
      <c r="I5399" s="8" t="s">
        <v>16316</v>
      </c>
      <c r="J5399" s="8" t="s">
        <v>16317</v>
      </c>
    </row>
    <row r="5400">
      <c r="A5400" s="7">
        <v>2.0046528E7</v>
      </c>
      <c r="B5400" s="8" t="s">
        <v>2134</v>
      </c>
      <c r="C5400" s="8" t="s">
        <v>16318</v>
      </c>
      <c r="D5400" s="8" t="s">
        <v>16</v>
      </c>
      <c r="E5400" s="8" t="s">
        <v>17</v>
      </c>
      <c r="F5400" s="9">
        <v>46110.0</v>
      </c>
      <c r="G5400" s="8" t="s">
        <v>1616</v>
      </c>
      <c r="H5400" s="8" t="s">
        <v>1617</v>
      </c>
      <c r="I5400" s="8" t="s">
        <v>16319</v>
      </c>
      <c r="J5400" s="8"/>
    </row>
    <row r="5401">
      <c r="A5401" s="7">
        <v>2.0045095E7</v>
      </c>
      <c r="B5401" s="8" t="s">
        <v>2134</v>
      </c>
      <c r="C5401" s="8" t="s">
        <v>16320</v>
      </c>
      <c r="D5401" s="8" t="s">
        <v>16</v>
      </c>
      <c r="E5401" s="8" t="s">
        <v>17</v>
      </c>
      <c r="F5401" s="9">
        <v>46087.0</v>
      </c>
      <c r="G5401" s="8" t="s">
        <v>365</v>
      </c>
      <c r="H5401" s="8" t="s">
        <v>366</v>
      </c>
      <c r="I5401" s="8" t="s">
        <v>16321</v>
      </c>
      <c r="J5401" s="8" t="s">
        <v>16322</v>
      </c>
    </row>
    <row r="5402">
      <c r="A5402" s="7">
        <v>2.0043207E7</v>
      </c>
      <c r="B5402" s="8" t="s">
        <v>2134</v>
      </c>
      <c r="C5402" s="8" t="s">
        <v>16323</v>
      </c>
      <c r="D5402" s="8" t="s">
        <v>16</v>
      </c>
      <c r="E5402" s="8" t="s">
        <v>17</v>
      </c>
      <c r="F5402" s="9">
        <v>46123.0</v>
      </c>
      <c r="G5402" s="8" t="s">
        <v>390</v>
      </c>
      <c r="H5402" s="8" t="s">
        <v>391</v>
      </c>
      <c r="I5402" s="8" t="s">
        <v>16324</v>
      </c>
      <c r="J5402" s="8" t="s">
        <v>16324</v>
      </c>
    </row>
    <row r="5403">
      <c r="A5403" s="7">
        <v>2.0043207E7</v>
      </c>
      <c r="B5403" s="8" t="s">
        <v>2134</v>
      </c>
      <c r="C5403" s="8" t="s">
        <v>16323</v>
      </c>
      <c r="D5403" s="8" t="s">
        <v>16</v>
      </c>
      <c r="E5403" s="8" t="s">
        <v>17</v>
      </c>
      <c r="F5403" s="9">
        <v>46123.0</v>
      </c>
      <c r="G5403" s="8" t="s">
        <v>390</v>
      </c>
      <c r="H5403" s="8" t="s">
        <v>391</v>
      </c>
      <c r="I5403" s="8" t="s">
        <v>16325</v>
      </c>
      <c r="J5403" s="8" t="s">
        <v>16326</v>
      </c>
    </row>
    <row r="5404">
      <c r="A5404" s="7">
        <v>2.0042582E7</v>
      </c>
      <c r="B5404" s="8" t="s">
        <v>2134</v>
      </c>
      <c r="C5404" s="8" t="s">
        <v>16327</v>
      </c>
      <c r="D5404" s="8" t="s">
        <v>16</v>
      </c>
      <c r="E5404" s="8" t="s">
        <v>17</v>
      </c>
      <c r="F5404" s="9">
        <v>46094.0</v>
      </c>
      <c r="G5404" s="8" t="s">
        <v>171</v>
      </c>
      <c r="H5404" s="8" t="s">
        <v>172</v>
      </c>
      <c r="I5404" s="8" t="s">
        <v>16328</v>
      </c>
      <c r="J5404" s="8" t="s">
        <v>16329</v>
      </c>
    </row>
    <row r="5405">
      <c r="A5405" s="7">
        <v>2.0039534E7</v>
      </c>
      <c r="B5405" s="8" t="s">
        <v>2134</v>
      </c>
      <c r="C5405" s="8" t="s">
        <v>16330</v>
      </c>
      <c r="D5405" s="8" t="s">
        <v>16</v>
      </c>
      <c r="E5405" s="8" t="s">
        <v>17</v>
      </c>
      <c r="F5405" s="9">
        <v>46065.0</v>
      </c>
      <c r="G5405" s="8" t="s">
        <v>852</v>
      </c>
      <c r="H5405" s="8" t="s">
        <v>853</v>
      </c>
      <c r="I5405" s="8" t="s">
        <v>16331</v>
      </c>
      <c r="J5405" s="8" t="s">
        <v>16332</v>
      </c>
    </row>
    <row r="5406">
      <c r="A5406" s="7">
        <v>2.0037093E7</v>
      </c>
      <c r="B5406" s="8" t="s">
        <v>2134</v>
      </c>
      <c r="C5406" s="8" t="s">
        <v>16333</v>
      </c>
      <c r="D5406" s="8" t="s">
        <v>16</v>
      </c>
      <c r="E5406" s="8" t="s">
        <v>17</v>
      </c>
      <c r="F5406" s="9">
        <v>46053.0</v>
      </c>
      <c r="G5406" s="8" t="s">
        <v>220</v>
      </c>
      <c r="H5406" s="8" t="s">
        <v>221</v>
      </c>
      <c r="I5406" s="8" t="s">
        <v>16334</v>
      </c>
      <c r="J5406" s="8" t="s">
        <v>16335</v>
      </c>
    </row>
    <row r="5407">
      <c r="A5407" s="7">
        <v>2.003546E7</v>
      </c>
      <c r="B5407" s="8" t="s">
        <v>2134</v>
      </c>
      <c r="C5407" s="8" t="s">
        <v>16336</v>
      </c>
      <c r="D5407" s="8" t="s">
        <v>16</v>
      </c>
      <c r="E5407" s="8" t="s">
        <v>17</v>
      </c>
      <c r="F5407" s="9">
        <v>46040.0</v>
      </c>
      <c r="G5407" s="8" t="s">
        <v>365</v>
      </c>
      <c r="H5407" s="8" t="s">
        <v>366</v>
      </c>
      <c r="I5407" s="8" t="s">
        <v>16337</v>
      </c>
      <c r="J5407" s="8" t="s">
        <v>16338</v>
      </c>
    </row>
    <row r="5408">
      <c r="A5408" s="7">
        <v>2.0034453E7</v>
      </c>
      <c r="B5408" s="8" t="s">
        <v>2134</v>
      </c>
      <c r="C5408" s="8" t="s">
        <v>16339</v>
      </c>
      <c r="D5408" s="8" t="s">
        <v>16</v>
      </c>
      <c r="E5408" s="8" t="s">
        <v>17</v>
      </c>
      <c r="F5408" s="9">
        <v>46049.0</v>
      </c>
      <c r="G5408" s="8" t="s">
        <v>171</v>
      </c>
      <c r="H5408" s="8" t="s">
        <v>172</v>
      </c>
      <c r="I5408" s="8" t="s">
        <v>16340</v>
      </c>
      <c r="J5408" s="8" t="s">
        <v>16341</v>
      </c>
    </row>
    <row r="5409">
      <c r="A5409" s="7">
        <v>2.0069875E7</v>
      </c>
      <c r="B5409" s="8" t="s">
        <v>2134</v>
      </c>
      <c r="C5409" s="8" t="s">
        <v>16342</v>
      </c>
      <c r="D5409" s="8" t="s">
        <v>16</v>
      </c>
      <c r="E5409" s="8" t="s">
        <v>17</v>
      </c>
      <c r="F5409" s="9">
        <v>46190.0</v>
      </c>
      <c r="G5409" s="8" t="s">
        <v>385</v>
      </c>
      <c r="H5409" s="8" t="s">
        <v>386</v>
      </c>
      <c r="I5409" s="8" t="s">
        <v>16343</v>
      </c>
      <c r="J5409" s="8" t="s">
        <v>16344</v>
      </c>
    </row>
    <row r="5410">
      <c r="A5410" s="7">
        <v>2.0067738E7</v>
      </c>
      <c r="B5410" s="8" t="s">
        <v>2134</v>
      </c>
      <c r="C5410" s="8" t="s">
        <v>16345</v>
      </c>
      <c r="D5410" s="8" t="s">
        <v>16</v>
      </c>
      <c r="E5410" s="8" t="s">
        <v>17</v>
      </c>
      <c r="F5410" s="9">
        <v>46180.0</v>
      </c>
      <c r="G5410" s="8" t="s">
        <v>4850</v>
      </c>
      <c r="H5410" s="8" t="s">
        <v>4851</v>
      </c>
      <c r="I5410" s="8" t="s">
        <v>16346</v>
      </c>
      <c r="J5410" s="8" t="s">
        <v>16347</v>
      </c>
    </row>
    <row r="5411">
      <c r="A5411" s="7">
        <v>2.0055545E7</v>
      </c>
      <c r="B5411" s="8" t="s">
        <v>2134</v>
      </c>
      <c r="C5411" s="8" t="s">
        <v>16348</v>
      </c>
      <c r="D5411" s="8" t="s">
        <v>16</v>
      </c>
      <c r="E5411" s="8" t="s">
        <v>17</v>
      </c>
      <c r="F5411" s="9">
        <v>46125.0</v>
      </c>
      <c r="G5411" s="8" t="s">
        <v>418</v>
      </c>
      <c r="H5411" s="8" t="s">
        <v>419</v>
      </c>
      <c r="I5411" s="8" t="s">
        <v>16349</v>
      </c>
      <c r="J5411" s="8" t="s">
        <v>16350</v>
      </c>
    </row>
    <row r="5412">
      <c r="A5412" s="7">
        <v>2.0051807E7</v>
      </c>
      <c r="B5412" s="8" t="s">
        <v>2134</v>
      </c>
      <c r="C5412" s="8" t="s">
        <v>16351</v>
      </c>
      <c r="D5412" s="8" t="s">
        <v>16</v>
      </c>
      <c r="E5412" s="8" t="s">
        <v>17</v>
      </c>
      <c r="F5412" s="9">
        <v>46125.0</v>
      </c>
      <c r="G5412" s="8" t="s">
        <v>908</v>
      </c>
      <c r="H5412" s="8" t="s">
        <v>909</v>
      </c>
      <c r="I5412" s="8" t="s">
        <v>16352</v>
      </c>
      <c r="J5412" s="8" t="s">
        <v>16353</v>
      </c>
    </row>
    <row r="5413">
      <c r="A5413" s="7">
        <v>2.0049741E7</v>
      </c>
      <c r="B5413" s="8" t="s">
        <v>2134</v>
      </c>
      <c r="C5413" s="8" t="s">
        <v>16354</v>
      </c>
      <c r="D5413" s="8" t="s">
        <v>16</v>
      </c>
      <c r="E5413" s="8" t="s">
        <v>17</v>
      </c>
      <c r="F5413" s="9">
        <v>46134.0</v>
      </c>
      <c r="G5413" s="8" t="s">
        <v>436</v>
      </c>
      <c r="H5413" s="8" t="s">
        <v>437</v>
      </c>
      <c r="I5413" s="8" t="s">
        <v>16355</v>
      </c>
      <c r="J5413" s="8" t="s">
        <v>16356</v>
      </c>
    </row>
    <row r="5414">
      <c r="A5414" s="7">
        <v>2.0049741E7</v>
      </c>
      <c r="B5414" s="8" t="s">
        <v>2134</v>
      </c>
      <c r="C5414" s="8" t="s">
        <v>16354</v>
      </c>
      <c r="D5414" s="8" t="s">
        <v>16</v>
      </c>
      <c r="E5414" s="8" t="s">
        <v>17</v>
      </c>
      <c r="F5414" s="9">
        <v>46134.0</v>
      </c>
      <c r="G5414" s="8" t="s">
        <v>436</v>
      </c>
      <c r="H5414" s="8" t="s">
        <v>437</v>
      </c>
      <c r="I5414" s="8" t="s">
        <v>16220</v>
      </c>
      <c r="J5414" s="8" t="s">
        <v>16356</v>
      </c>
    </row>
    <row r="5415">
      <c r="A5415" s="7">
        <v>2.0047479E7</v>
      </c>
      <c r="B5415" s="8" t="s">
        <v>2134</v>
      </c>
      <c r="C5415" s="8" t="s">
        <v>16357</v>
      </c>
      <c r="D5415" s="8" t="s">
        <v>16</v>
      </c>
      <c r="E5415" s="8" t="s">
        <v>17</v>
      </c>
      <c r="F5415" s="9">
        <v>46103.0</v>
      </c>
      <c r="G5415" s="8" t="s">
        <v>59</v>
      </c>
      <c r="H5415" s="8" t="s">
        <v>60</v>
      </c>
      <c r="I5415" s="8" t="s">
        <v>16358</v>
      </c>
      <c r="J5415" s="8" t="s">
        <v>16359</v>
      </c>
    </row>
    <row r="5416">
      <c r="A5416" s="7">
        <v>2.0040708E7</v>
      </c>
      <c r="B5416" s="8" t="s">
        <v>2134</v>
      </c>
      <c r="C5416" s="8" t="s">
        <v>16360</v>
      </c>
      <c r="D5416" s="8" t="s">
        <v>16</v>
      </c>
      <c r="E5416" s="8" t="s">
        <v>17</v>
      </c>
      <c r="F5416" s="9">
        <v>46073.0</v>
      </c>
      <c r="G5416" s="8" t="s">
        <v>822</v>
      </c>
      <c r="H5416" s="8" t="s">
        <v>120</v>
      </c>
      <c r="I5416" s="8" t="s">
        <v>16361</v>
      </c>
      <c r="J5416" s="8" t="s">
        <v>16362</v>
      </c>
    </row>
    <row r="5417">
      <c r="A5417" s="7">
        <v>2.0035519E7</v>
      </c>
      <c r="B5417" s="8" t="s">
        <v>2134</v>
      </c>
      <c r="C5417" s="8" t="s">
        <v>16363</v>
      </c>
      <c r="D5417" s="8" t="s">
        <v>16</v>
      </c>
      <c r="E5417" s="8" t="s">
        <v>17</v>
      </c>
      <c r="F5417" s="9">
        <v>46057.0</v>
      </c>
      <c r="G5417" s="8" t="s">
        <v>148</v>
      </c>
      <c r="H5417" s="8" t="s">
        <v>149</v>
      </c>
      <c r="I5417" s="8" t="s">
        <v>16364</v>
      </c>
      <c r="J5417" s="8" t="s">
        <v>16365</v>
      </c>
    </row>
    <row r="5418">
      <c r="A5418" s="7">
        <v>2.0066049E7</v>
      </c>
      <c r="B5418" s="8" t="s">
        <v>2134</v>
      </c>
      <c r="C5418" s="8" t="s">
        <v>16366</v>
      </c>
      <c r="D5418" s="8" t="s">
        <v>16</v>
      </c>
      <c r="E5418" s="8" t="s">
        <v>17</v>
      </c>
      <c r="F5418" s="9">
        <v>46176.0</v>
      </c>
      <c r="G5418" s="8" t="s">
        <v>365</v>
      </c>
      <c r="H5418" s="8" t="s">
        <v>366</v>
      </c>
      <c r="I5418" s="8" t="s">
        <v>16367</v>
      </c>
      <c r="J5418" s="8" t="s">
        <v>16368</v>
      </c>
    </row>
    <row r="5419">
      <c r="A5419" s="7">
        <v>2.0061307E7</v>
      </c>
      <c r="B5419" s="8" t="s">
        <v>2134</v>
      </c>
      <c r="C5419" s="8" t="s">
        <v>16369</v>
      </c>
      <c r="D5419" s="8" t="s">
        <v>16</v>
      </c>
      <c r="E5419" s="8" t="s">
        <v>17</v>
      </c>
      <c r="F5419" s="9">
        <v>46165.0</v>
      </c>
      <c r="G5419" s="8" t="s">
        <v>29</v>
      </c>
      <c r="H5419" s="8" t="s">
        <v>30</v>
      </c>
      <c r="I5419" s="8" t="s">
        <v>16370</v>
      </c>
      <c r="J5419" s="8" t="s">
        <v>16371</v>
      </c>
    </row>
    <row r="5420">
      <c r="A5420" s="7">
        <v>2.0056373E7</v>
      </c>
      <c r="B5420" s="8" t="s">
        <v>2134</v>
      </c>
      <c r="C5420" s="8" t="s">
        <v>16372</v>
      </c>
      <c r="D5420" s="8" t="s">
        <v>16</v>
      </c>
      <c r="E5420" s="8" t="s">
        <v>17</v>
      </c>
      <c r="F5420" s="9">
        <v>46146.0</v>
      </c>
      <c r="G5420" s="8" t="s">
        <v>153</v>
      </c>
      <c r="H5420" s="8" t="s">
        <v>154</v>
      </c>
      <c r="I5420" s="8" t="s">
        <v>16373</v>
      </c>
      <c r="J5420" s="8" t="s">
        <v>16374</v>
      </c>
    </row>
    <row r="5421">
      <c r="A5421" s="7">
        <v>2.0054853E7</v>
      </c>
      <c r="B5421" s="8" t="s">
        <v>2134</v>
      </c>
      <c r="C5421" s="8" t="s">
        <v>16375</v>
      </c>
      <c r="D5421" s="8" t="s">
        <v>16</v>
      </c>
      <c r="E5421" s="8" t="s">
        <v>17</v>
      </c>
      <c r="F5421" s="9">
        <v>46140.0</v>
      </c>
      <c r="G5421" s="8" t="s">
        <v>16376</v>
      </c>
      <c r="H5421" s="8" t="s">
        <v>16377</v>
      </c>
      <c r="I5421" s="8" t="s">
        <v>16378</v>
      </c>
      <c r="J5421" s="8" t="s">
        <v>16379</v>
      </c>
    </row>
    <row r="5422">
      <c r="A5422" s="7">
        <v>2.0041882E7</v>
      </c>
      <c r="B5422" s="8" t="s">
        <v>2134</v>
      </c>
      <c r="C5422" s="8" t="s">
        <v>16380</v>
      </c>
      <c r="D5422" s="8" t="s">
        <v>16</v>
      </c>
      <c r="E5422" s="8" t="s">
        <v>17</v>
      </c>
      <c r="F5422" s="9">
        <v>46111.0</v>
      </c>
      <c r="G5422" s="8" t="s">
        <v>158</v>
      </c>
      <c r="H5422" s="8" t="s">
        <v>159</v>
      </c>
      <c r="I5422" s="8" t="s">
        <v>16381</v>
      </c>
      <c r="J5422" s="8" t="s">
        <v>16382</v>
      </c>
    </row>
    <row r="5423">
      <c r="A5423" s="7">
        <v>2.0034648E7</v>
      </c>
      <c r="B5423" s="8" t="s">
        <v>2134</v>
      </c>
      <c r="C5423" s="8" t="s">
        <v>16383</v>
      </c>
      <c r="D5423" s="8" t="s">
        <v>16</v>
      </c>
      <c r="E5423" s="8" t="s">
        <v>17</v>
      </c>
      <c r="F5423" s="9">
        <v>46111.0</v>
      </c>
      <c r="G5423" s="8" t="s">
        <v>158</v>
      </c>
      <c r="H5423" s="8" t="s">
        <v>159</v>
      </c>
      <c r="I5423" s="8" t="s">
        <v>16384</v>
      </c>
      <c r="J5423" s="8" t="s">
        <v>16385</v>
      </c>
    </row>
    <row r="5424">
      <c r="A5424" s="7">
        <v>2.0043711E7</v>
      </c>
      <c r="B5424" s="8" t="s">
        <v>2134</v>
      </c>
      <c r="C5424" s="8" t="s">
        <v>16386</v>
      </c>
      <c r="D5424" s="8" t="s">
        <v>16</v>
      </c>
      <c r="E5424" s="8" t="s">
        <v>17</v>
      </c>
      <c r="F5424" s="9">
        <v>46092.0</v>
      </c>
      <c r="G5424" s="8" t="s">
        <v>132</v>
      </c>
      <c r="H5424" s="8" t="s">
        <v>133</v>
      </c>
      <c r="I5424" s="8" t="s">
        <v>16387</v>
      </c>
      <c r="J5424" s="8" t="s">
        <v>16388</v>
      </c>
    </row>
    <row r="5425">
      <c r="A5425" s="7">
        <v>2.0042131E7</v>
      </c>
      <c r="B5425" s="8" t="s">
        <v>2134</v>
      </c>
      <c r="C5425" s="8" t="s">
        <v>16389</v>
      </c>
      <c r="D5425" s="8" t="s">
        <v>16</v>
      </c>
      <c r="E5425" s="8" t="s">
        <v>17</v>
      </c>
      <c r="F5425" s="9">
        <v>46072.0</v>
      </c>
      <c r="G5425" s="8" t="s">
        <v>365</v>
      </c>
      <c r="H5425" s="8" t="s">
        <v>366</v>
      </c>
      <c r="I5425" s="8" t="s">
        <v>16390</v>
      </c>
      <c r="J5425" s="8" t="s">
        <v>16391</v>
      </c>
    </row>
    <row r="5426">
      <c r="A5426" s="7">
        <v>2.0039578E7</v>
      </c>
      <c r="B5426" s="8" t="s">
        <v>2134</v>
      </c>
      <c r="C5426" s="8" t="s">
        <v>16392</v>
      </c>
      <c r="D5426" s="8" t="s">
        <v>16</v>
      </c>
      <c r="E5426" s="8" t="s">
        <v>17</v>
      </c>
      <c r="F5426" s="9">
        <v>46065.0</v>
      </c>
      <c r="G5426" s="8" t="s">
        <v>365</v>
      </c>
      <c r="H5426" s="8" t="s">
        <v>366</v>
      </c>
      <c r="I5426" s="8" t="s">
        <v>16393</v>
      </c>
      <c r="J5426" s="8" t="s">
        <v>16394</v>
      </c>
    </row>
    <row r="5427">
      <c r="A5427" s="7">
        <v>2.0040104E7</v>
      </c>
      <c r="B5427" s="8" t="s">
        <v>2134</v>
      </c>
      <c r="C5427" s="8" t="s">
        <v>16395</v>
      </c>
      <c r="D5427" s="8" t="s">
        <v>16</v>
      </c>
      <c r="E5427" s="8" t="s">
        <v>17</v>
      </c>
      <c r="F5427" s="9">
        <v>46077.0</v>
      </c>
      <c r="G5427" s="8" t="s">
        <v>436</v>
      </c>
      <c r="H5427" s="8" t="s">
        <v>437</v>
      </c>
      <c r="I5427" s="8" t="s">
        <v>16396</v>
      </c>
      <c r="J5427" s="8" t="s">
        <v>16397</v>
      </c>
    </row>
    <row r="5428">
      <c r="A5428" s="7">
        <v>2.0039042E7</v>
      </c>
      <c r="B5428" s="8" t="s">
        <v>2134</v>
      </c>
      <c r="C5428" s="8" t="s">
        <v>16398</v>
      </c>
      <c r="D5428" s="8" t="s">
        <v>16</v>
      </c>
      <c r="E5428" s="8" t="s">
        <v>17</v>
      </c>
      <c r="F5428" s="9">
        <v>46064.0</v>
      </c>
      <c r="G5428" s="8" t="s">
        <v>385</v>
      </c>
      <c r="H5428" s="8" t="s">
        <v>386</v>
      </c>
      <c r="I5428" s="8" t="s">
        <v>16399</v>
      </c>
      <c r="J5428" s="8" t="s">
        <v>16400</v>
      </c>
    </row>
    <row r="5429">
      <c r="A5429" s="7">
        <v>2.0038781E7</v>
      </c>
      <c r="B5429" s="8" t="s">
        <v>2134</v>
      </c>
      <c r="C5429" s="8" t="s">
        <v>16401</v>
      </c>
      <c r="D5429" s="8" t="s">
        <v>16</v>
      </c>
      <c r="E5429" s="8" t="s">
        <v>17</v>
      </c>
      <c r="F5429" s="9">
        <v>46074.0</v>
      </c>
      <c r="G5429" s="8" t="s">
        <v>1524</v>
      </c>
      <c r="H5429" s="8" t="s">
        <v>1525</v>
      </c>
      <c r="I5429" s="8" t="s">
        <v>16402</v>
      </c>
      <c r="J5429" s="8" t="s">
        <v>16403</v>
      </c>
    </row>
    <row r="5430">
      <c r="A5430" s="7">
        <v>2.0037246E7</v>
      </c>
      <c r="B5430" s="8" t="s">
        <v>2134</v>
      </c>
      <c r="C5430" s="8" t="s">
        <v>16404</v>
      </c>
      <c r="D5430" s="8" t="s">
        <v>16</v>
      </c>
      <c r="E5430" s="8" t="s">
        <v>17</v>
      </c>
      <c r="F5430" s="9">
        <v>46066.0</v>
      </c>
      <c r="G5430" s="8" t="s">
        <v>16405</v>
      </c>
      <c r="H5430" s="8" t="s">
        <v>16406</v>
      </c>
      <c r="I5430" s="8" t="s">
        <v>16407</v>
      </c>
      <c r="J5430" s="8" t="s">
        <v>16408</v>
      </c>
    </row>
    <row r="5431">
      <c r="A5431" s="7">
        <v>2.0035137E7</v>
      </c>
      <c r="B5431" s="8" t="s">
        <v>2134</v>
      </c>
      <c r="C5431" s="8" t="s">
        <v>16409</v>
      </c>
      <c r="D5431" s="8" t="s">
        <v>16</v>
      </c>
      <c r="E5431" s="8" t="s">
        <v>17</v>
      </c>
      <c r="F5431" s="9">
        <v>46063.0</v>
      </c>
      <c r="G5431" s="8" t="s">
        <v>365</v>
      </c>
      <c r="H5431" s="8" t="s">
        <v>366</v>
      </c>
      <c r="I5431" s="8" t="s">
        <v>16410</v>
      </c>
      <c r="J5431" s="8" t="s">
        <v>16411</v>
      </c>
    </row>
    <row r="5432">
      <c r="A5432" s="7">
        <v>2.0063766E7</v>
      </c>
      <c r="B5432" s="8" t="s">
        <v>2134</v>
      </c>
      <c r="C5432" s="8" t="s">
        <v>16412</v>
      </c>
      <c r="D5432" s="8" t="s">
        <v>16</v>
      </c>
      <c r="E5432" s="8" t="s">
        <v>17</v>
      </c>
      <c r="F5432" s="9">
        <v>46185.0</v>
      </c>
      <c r="G5432" s="8" t="s">
        <v>390</v>
      </c>
      <c r="H5432" s="8" t="s">
        <v>391</v>
      </c>
      <c r="I5432" s="8" t="s">
        <v>16413</v>
      </c>
      <c r="J5432" s="8"/>
    </row>
    <row r="5433">
      <c r="A5433" s="7">
        <v>2.0050047E7</v>
      </c>
      <c r="B5433" s="8" t="s">
        <v>2134</v>
      </c>
      <c r="C5433" s="8" t="s">
        <v>16414</v>
      </c>
      <c r="D5433" s="8" t="s">
        <v>16</v>
      </c>
      <c r="E5433" s="8" t="s">
        <v>17</v>
      </c>
      <c r="F5433" s="9">
        <v>46102.0</v>
      </c>
      <c r="G5433" s="8" t="s">
        <v>418</v>
      </c>
      <c r="H5433" s="8" t="s">
        <v>419</v>
      </c>
      <c r="I5433" s="8" t="s">
        <v>16415</v>
      </c>
      <c r="J5433" s="8" t="s">
        <v>16416</v>
      </c>
    </row>
    <row r="5434">
      <c r="A5434" s="7">
        <v>2.004867E7</v>
      </c>
      <c r="B5434" s="8" t="s">
        <v>2134</v>
      </c>
      <c r="C5434" s="8" t="s">
        <v>16417</v>
      </c>
      <c r="D5434" s="8" t="s">
        <v>16</v>
      </c>
      <c r="E5434" s="8" t="s">
        <v>17</v>
      </c>
      <c r="F5434" s="9">
        <v>46118.0</v>
      </c>
      <c r="G5434" s="8" t="s">
        <v>390</v>
      </c>
      <c r="H5434" s="8" t="s">
        <v>391</v>
      </c>
      <c r="I5434" s="8" t="s">
        <v>16418</v>
      </c>
      <c r="J5434" s="8" t="s">
        <v>16419</v>
      </c>
    </row>
    <row r="5435">
      <c r="A5435" s="7">
        <v>2.0070082E7</v>
      </c>
      <c r="B5435" s="8" t="s">
        <v>2134</v>
      </c>
      <c r="C5435" s="8" t="s">
        <v>16420</v>
      </c>
      <c r="D5435" s="8" t="s">
        <v>16</v>
      </c>
      <c r="E5435" s="8" t="s">
        <v>17</v>
      </c>
      <c r="F5435" s="9">
        <v>46193.0</v>
      </c>
      <c r="G5435" s="8" t="s">
        <v>91</v>
      </c>
      <c r="H5435" s="8" t="s">
        <v>92</v>
      </c>
      <c r="I5435" s="8" t="s">
        <v>16421</v>
      </c>
      <c r="J5435" s="8" t="s">
        <v>16422</v>
      </c>
    </row>
    <row r="5436">
      <c r="A5436" s="7">
        <v>2.0066235E7</v>
      </c>
      <c r="B5436" s="8" t="s">
        <v>2134</v>
      </c>
      <c r="C5436" s="8" t="s">
        <v>16423</v>
      </c>
      <c r="D5436" s="8" t="s">
        <v>16</v>
      </c>
      <c r="E5436" s="8" t="s">
        <v>17</v>
      </c>
      <c r="F5436" s="9">
        <v>46176.0</v>
      </c>
      <c r="G5436" s="8" t="s">
        <v>882</v>
      </c>
      <c r="H5436" s="8" t="s">
        <v>883</v>
      </c>
      <c r="I5436" s="8" t="s">
        <v>16424</v>
      </c>
      <c r="J5436" s="8" t="s">
        <v>16425</v>
      </c>
    </row>
    <row r="5437">
      <c r="A5437" s="7">
        <v>2.0062422E7</v>
      </c>
      <c r="B5437" s="8" t="s">
        <v>2134</v>
      </c>
      <c r="C5437" s="8" t="s">
        <v>16426</v>
      </c>
      <c r="D5437" s="8" t="s">
        <v>16</v>
      </c>
      <c r="E5437" s="8" t="s">
        <v>17</v>
      </c>
      <c r="F5437" s="9">
        <v>46165.0</v>
      </c>
      <c r="G5437" s="8" t="s">
        <v>59</v>
      </c>
      <c r="H5437" s="8" t="s">
        <v>60</v>
      </c>
      <c r="I5437" s="8" t="s">
        <v>16427</v>
      </c>
      <c r="J5437" s="8" t="s">
        <v>16428</v>
      </c>
    </row>
    <row r="5438">
      <c r="A5438" s="7">
        <v>2.0061079E7</v>
      </c>
      <c r="B5438" s="8" t="s">
        <v>2134</v>
      </c>
      <c r="C5438" s="8" t="s">
        <v>16429</v>
      </c>
      <c r="D5438" s="8" t="s">
        <v>16</v>
      </c>
      <c r="E5438" s="8" t="s">
        <v>17</v>
      </c>
      <c r="F5438" s="9">
        <v>46183.0</v>
      </c>
      <c r="G5438" s="8" t="s">
        <v>1049</v>
      </c>
      <c r="H5438" s="8" t="s">
        <v>1050</v>
      </c>
      <c r="I5438" s="8" t="s">
        <v>16430</v>
      </c>
      <c r="J5438" s="8" t="s">
        <v>16431</v>
      </c>
    </row>
    <row r="5439">
      <c r="A5439" s="7">
        <v>2.0059058E7</v>
      </c>
      <c r="B5439" s="8" t="s">
        <v>2134</v>
      </c>
      <c r="C5439" s="8" t="s">
        <v>16432</v>
      </c>
      <c r="D5439" s="8" t="s">
        <v>16</v>
      </c>
      <c r="E5439" s="8" t="s">
        <v>17</v>
      </c>
      <c r="F5439" s="9">
        <v>46182.0</v>
      </c>
      <c r="G5439" s="8" t="s">
        <v>324</v>
      </c>
      <c r="H5439" s="8" t="s">
        <v>325</v>
      </c>
      <c r="I5439" s="8" t="s">
        <v>16433</v>
      </c>
      <c r="J5439" s="8" t="s">
        <v>16434</v>
      </c>
    </row>
    <row r="5440">
      <c r="A5440" s="7">
        <v>2.0056842E7</v>
      </c>
      <c r="B5440" s="8" t="s">
        <v>2134</v>
      </c>
      <c r="C5440" s="8" t="s">
        <v>16435</v>
      </c>
      <c r="D5440" s="8" t="s">
        <v>16</v>
      </c>
      <c r="E5440" s="8" t="s">
        <v>17</v>
      </c>
      <c r="F5440" s="9">
        <v>46144.0</v>
      </c>
      <c r="G5440" s="8" t="s">
        <v>826</v>
      </c>
      <c r="H5440" s="8" t="s">
        <v>7633</v>
      </c>
      <c r="I5440" s="8" t="s">
        <v>16436</v>
      </c>
      <c r="J5440" s="8" t="s">
        <v>16437</v>
      </c>
    </row>
    <row r="5441">
      <c r="A5441" s="7">
        <v>2.0051845E7</v>
      </c>
      <c r="B5441" s="8" t="s">
        <v>2134</v>
      </c>
      <c r="C5441" s="8" t="s">
        <v>16438</v>
      </c>
      <c r="D5441" s="8" t="s">
        <v>16</v>
      </c>
      <c r="E5441" s="8" t="s">
        <v>17</v>
      </c>
      <c r="F5441" s="9">
        <v>46111.0</v>
      </c>
      <c r="G5441" s="8" t="s">
        <v>59</v>
      </c>
      <c r="H5441" s="8" t="s">
        <v>60</v>
      </c>
      <c r="I5441" s="8" t="s">
        <v>16439</v>
      </c>
      <c r="J5441" s="8" t="s">
        <v>16440</v>
      </c>
    </row>
    <row r="5442">
      <c r="A5442" s="7">
        <v>2.0046667E7</v>
      </c>
      <c r="B5442" s="8" t="s">
        <v>2134</v>
      </c>
      <c r="C5442" s="8" t="s">
        <v>16441</v>
      </c>
      <c r="D5442" s="8" t="s">
        <v>16</v>
      </c>
      <c r="E5442" s="8" t="s">
        <v>17</v>
      </c>
      <c r="F5442" s="9">
        <v>46108.0</v>
      </c>
      <c r="G5442" s="8" t="s">
        <v>390</v>
      </c>
      <c r="H5442" s="8" t="s">
        <v>391</v>
      </c>
      <c r="I5442" s="8" t="s">
        <v>16442</v>
      </c>
      <c r="J5442" s="8" t="s">
        <v>16283</v>
      </c>
    </row>
    <row r="5443">
      <c r="A5443" s="7">
        <v>2.0044277E7</v>
      </c>
      <c r="B5443" s="8" t="s">
        <v>2134</v>
      </c>
      <c r="C5443" s="8" t="s">
        <v>16443</v>
      </c>
      <c r="D5443" s="8" t="s">
        <v>16</v>
      </c>
      <c r="E5443" s="8" t="s">
        <v>17</v>
      </c>
      <c r="F5443" s="9">
        <v>46098.0</v>
      </c>
      <c r="G5443" s="8" t="s">
        <v>436</v>
      </c>
      <c r="H5443" s="8" t="s">
        <v>437</v>
      </c>
      <c r="I5443" s="8" t="s">
        <v>16445</v>
      </c>
      <c r="J5443" s="8" t="s">
        <v>16446</v>
      </c>
    </row>
    <row r="5444">
      <c r="A5444" s="7">
        <v>2.0036346E7</v>
      </c>
      <c r="B5444" s="8" t="s">
        <v>2134</v>
      </c>
      <c r="C5444" s="8" t="s">
        <v>16447</v>
      </c>
      <c r="D5444" s="8" t="s">
        <v>16</v>
      </c>
      <c r="E5444" s="8" t="s">
        <v>17</v>
      </c>
      <c r="F5444" s="9">
        <v>46057.0</v>
      </c>
      <c r="G5444" s="8" t="s">
        <v>486</v>
      </c>
      <c r="H5444" s="8" t="s">
        <v>487</v>
      </c>
      <c r="I5444" s="8" t="s">
        <v>16448</v>
      </c>
      <c r="J5444" s="8" t="s">
        <v>16449</v>
      </c>
    </row>
    <row r="5445">
      <c r="A5445" s="7">
        <v>2.0064921E7</v>
      </c>
      <c r="B5445" s="8" t="s">
        <v>2134</v>
      </c>
      <c r="C5445" s="8" t="s">
        <v>16450</v>
      </c>
      <c r="D5445" s="8" t="s">
        <v>16</v>
      </c>
      <c r="E5445" s="8" t="s">
        <v>17</v>
      </c>
      <c r="F5445" s="9">
        <v>46187.0</v>
      </c>
      <c r="G5445" s="8" t="s">
        <v>561</v>
      </c>
      <c r="H5445" s="8" t="s">
        <v>562</v>
      </c>
      <c r="I5445" s="8" t="s">
        <v>16451</v>
      </c>
      <c r="J5445" s="8" t="s">
        <v>16452</v>
      </c>
    </row>
    <row r="5446">
      <c r="A5446" s="7">
        <v>2.0063214E7</v>
      </c>
      <c r="B5446" s="8" t="s">
        <v>2134</v>
      </c>
      <c r="C5446" s="8" t="s">
        <v>16453</v>
      </c>
      <c r="D5446" s="8" t="s">
        <v>16</v>
      </c>
      <c r="E5446" s="8" t="s">
        <v>17</v>
      </c>
      <c r="F5446" s="9">
        <v>46183.0</v>
      </c>
      <c r="G5446" s="8" t="s">
        <v>436</v>
      </c>
      <c r="H5446" s="8" t="s">
        <v>437</v>
      </c>
      <c r="I5446" s="8" t="s">
        <v>16454</v>
      </c>
      <c r="J5446" s="8" t="s">
        <v>16455</v>
      </c>
    </row>
    <row r="5447">
      <c r="A5447" s="7">
        <v>2.0052852E7</v>
      </c>
      <c r="B5447" s="8" t="s">
        <v>2134</v>
      </c>
      <c r="C5447" s="8" t="s">
        <v>16456</v>
      </c>
      <c r="D5447" s="8" t="s">
        <v>16</v>
      </c>
      <c r="E5447" s="8" t="s">
        <v>17</v>
      </c>
      <c r="F5447" s="9">
        <v>46141.0</v>
      </c>
      <c r="G5447" s="8" t="s">
        <v>721</v>
      </c>
      <c r="H5447" s="8" t="s">
        <v>722</v>
      </c>
      <c r="I5447" s="8" t="s">
        <v>16457</v>
      </c>
      <c r="J5447" s="8" t="s">
        <v>16458</v>
      </c>
    </row>
    <row r="5448">
      <c r="A5448" s="7">
        <v>2.0049357E7</v>
      </c>
      <c r="B5448" s="8" t="s">
        <v>2134</v>
      </c>
      <c r="C5448" s="8" t="s">
        <v>16459</v>
      </c>
      <c r="D5448" s="8" t="s">
        <v>16</v>
      </c>
      <c r="E5448" s="8" t="s">
        <v>17</v>
      </c>
      <c r="F5448" s="9">
        <v>46116.0</v>
      </c>
      <c r="G5448" s="8" t="s">
        <v>1451</v>
      </c>
      <c r="H5448" s="8" t="s">
        <v>1452</v>
      </c>
      <c r="I5448" s="8" t="s">
        <v>16460</v>
      </c>
      <c r="J5448" s="8"/>
    </row>
    <row r="5449">
      <c r="A5449" s="7">
        <v>2.004735E7</v>
      </c>
      <c r="B5449" s="8" t="s">
        <v>2134</v>
      </c>
      <c r="C5449" s="8" t="s">
        <v>16461</v>
      </c>
      <c r="D5449" s="8" t="s">
        <v>16</v>
      </c>
      <c r="E5449" s="8" t="s">
        <v>17</v>
      </c>
      <c r="F5449" s="9">
        <v>46094.0</v>
      </c>
      <c r="G5449" s="8" t="s">
        <v>365</v>
      </c>
      <c r="H5449" s="8" t="s">
        <v>366</v>
      </c>
      <c r="I5449" s="8" t="s">
        <v>16462</v>
      </c>
      <c r="J5449" s="8" t="s">
        <v>16463</v>
      </c>
    </row>
    <row r="5450">
      <c r="A5450" s="7">
        <v>2.0045581E7</v>
      </c>
      <c r="B5450" s="8" t="s">
        <v>2134</v>
      </c>
      <c r="C5450" s="8" t="s">
        <v>16464</v>
      </c>
      <c r="D5450" s="8" t="s">
        <v>16</v>
      </c>
      <c r="E5450" s="8" t="s">
        <v>17</v>
      </c>
      <c r="F5450" s="9">
        <v>46086.0</v>
      </c>
      <c r="G5450" s="8" t="s">
        <v>1093</v>
      </c>
      <c r="H5450" s="8" t="s">
        <v>1094</v>
      </c>
      <c r="I5450" s="8" t="s">
        <v>16465</v>
      </c>
      <c r="J5450" s="8" t="s">
        <v>16466</v>
      </c>
    </row>
    <row r="5451">
      <c r="A5451" s="7">
        <v>2.0036617E7</v>
      </c>
      <c r="B5451" s="8" t="s">
        <v>2134</v>
      </c>
      <c r="C5451" s="8" t="s">
        <v>16467</v>
      </c>
      <c r="D5451" s="8" t="s">
        <v>16</v>
      </c>
      <c r="E5451" s="8" t="s">
        <v>17</v>
      </c>
      <c r="F5451" s="9">
        <v>46062.0</v>
      </c>
      <c r="G5451" s="8" t="s">
        <v>390</v>
      </c>
      <c r="H5451" s="8" t="s">
        <v>391</v>
      </c>
      <c r="I5451" s="8" t="s">
        <v>16468</v>
      </c>
      <c r="J5451" s="8" t="s">
        <v>16469</v>
      </c>
    </row>
    <row r="5452">
      <c r="A5452" s="7">
        <v>2.003359E7</v>
      </c>
      <c r="B5452" s="8" t="s">
        <v>2134</v>
      </c>
      <c r="C5452" s="8" t="s">
        <v>16470</v>
      </c>
      <c r="D5452" s="8" t="s">
        <v>16</v>
      </c>
      <c r="E5452" s="8" t="s">
        <v>17</v>
      </c>
      <c r="F5452" s="9">
        <v>46052.0</v>
      </c>
      <c r="G5452" s="8" t="s">
        <v>3140</v>
      </c>
      <c r="H5452" s="8" t="s">
        <v>3141</v>
      </c>
      <c r="I5452" s="8" t="s">
        <v>16471</v>
      </c>
      <c r="J5452" s="8" t="s">
        <v>16472</v>
      </c>
    </row>
    <row r="5453">
      <c r="A5453" s="7">
        <v>2.003359E7</v>
      </c>
      <c r="B5453" s="8" t="s">
        <v>2134</v>
      </c>
      <c r="C5453" s="8" t="s">
        <v>16470</v>
      </c>
      <c r="D5453" s="8" t="s">
        <v>16</v>
      </c>
      <c r="E5453" s="8" t="s">
        <v>17</v>
      </c>
      <c r="F5453" s="9">
        <v>46052.0</v>
      </c>
      <c r="G5453" s="8" t="s">
        <v>2589</v>
      </c>
      <c r="H5453" s="8" t="s">
        <v>208</v>
      </c>
      <c r="I5453" s="8" t="s">
        <v>16473</v>
      </c>
      <c r="J5453" s="8" t="s">
        <v>16474</v>
      </c>
    </row>
    <row r="5454">
      <c r="A5454" s="7">
        <v>2.0033479E7</v>
      </c>
      <c r="B5454" s="8" t="s">
        <v>2134</v>
      </c>
      <c r="C5454" s="8" t="s">
        <v>16475</v>
      </c>
      <c r="D5454" s="8" t="s">
        <v>16</v>
      </c>
      <c r="E5454" s="8" t="s">
        <v>17</v>
      </c>
      <c r="F5454" s="9">
        <v>46046.0</v>
      </c>
      <c r="G5454" s="8" t="s">
        <v>16476</v>
      </c>
      <c r="H5454" s="8" t="s">
        <v>3141</v>
      </c>
      <c r="I5454" s="8" t="s">
        <v>16477</v>
      </c>
      <c r="J5454" s="8" t="s">
        <v>16478</v>
      </c>
    </row>
    <row r="5455">
      <c r="A5455" s="7">
        <v>2.0033834E7</v>
      </c>
      <c r="B5455" s="8" t="s">
        <v>2134</v>
      </c>
      <c r="C5455" s="8" t="s">
        <v>16479</v>
      </c>
      <c r="D5455" s="8" t="s">
        <v>16</v>
      </c>
      <c r="E5455" s="8" t="s">
        <v>17</v>
      </c>
      <c r="F5455" s="9">
        <v>46050.0</v>
      </c>
      <c r="G5455" s="8" t="s">
        <v>1049</v>
      </c>
      <c r="H5455" s="8" t="s">
        <v>1050</v>
      </c>
      <c r="I5455" s="8" t="s">
        <v>16480</v>
      </c>
      <c r="J5455" s="8"/>
    </row>
    <row r="5456">
      <c r="A5456" s="7">
        <v>2.0033733E7</v>
      </c>
      <c r="B5456" s="8" t="s">
        <v>2134</v>
      </c>
      <c r="C5456" s="8" t="s">
        <v>16481</v>
      </c>
      <c r="D5456" s="8" t="s">
        <v>16</v>
      </c>
      <c r="E5456" s="8" t="s">
        <v>17</v>
      </c>
      <c r="F5456" s="9">
        <v>46057.0</v>
      </c>
      <c r="G5456" s="8" t="s">
        <v>9726</v>
      </c>
      <c r="H5456" s="8" t="s">
        <v>9727</v>
      </c>
      <c r="I5456" s="8" t="s">
        <v>16482</v>
      </c>
      <c r="J5456" s="8" t="s">
        <v>16483</v>
      </c>
    </row>
    <row r="5457">
      <c r="A5457" s="7">
        <v>2.0055141E7</v>
      </c>
      <c r="B5457" s="8" t="s">
        <v>2134</v>
      </c>
      <c r="C5457" s="8" t="s">
        <v>16484</v>
      </c>
      <c r="D5457" s="8" t="s">
        <v>16</v>
      </c>
      <c r="E5457" s="8" t="s">
        <v>17</v>
      </c>
      <c r="F5457" s="9">
        <v>46146.0</v>
      </c>
      <c r="G5457" s="8" t="s">
        <v>1355</v>
      </c>
      <c r="H5457" s="8" t="s">
        <v>1356</v>
      </c>
      <c r="I5457" s="8" t="s">
        <v>16485</v>
      </c>
      <c r="J5457" s="8" t="s">
        <v>16486</v>
      </c>
    </row>
    <row r="5458">
      <c r="A5458" s="7">
        <v>2.0052307E7</v>
      </c>
      <c r="B5458" s="8" t="s">
        <v>2134</v>
      </c>
      <c r="C5458" s="8" t="s">
        <v>16487</v>
      </c>
      <c r="D5458" s="8" t="s">
        <v>16</v>
      </c>
      <c r="E5458" s="8" t="s">
        <v>17</v>
      </c>
      <c r="F5458" s="9">
        <v>46119.0</v>
      </c>
      <c r="G5458" s="8" t="s">
        <v>385</v>
      </c>
      <c r="H5458" s="8" t="s">
        <v>386</v>
      </c>
      <c r="I5458" s="8" t="s">
        <v>16488</v>
      </c>
      <c r="J5458" s="8" t="s">
        <v>16489</v>
      </c>
    </row>
    <row r="5459">
      <c r="A5459" s="7">
        <v>2.0045373E7</v>
      </c>
      <c r="B5459" s="8" t="s">
        <v>2134</v>
      </c>
      <c r="C5459" s="8" t="s">
        <v>16490</v>
      </c>
      <c r="D5459" s="8" t="s">
        <v>16</v>
      </c>
      <c r="E5459" s="8" t="s">
        <v>17</v>
      </c>
      <c r="F5459" s="9">
        <v>46118.0</v>
      </c>
      <c r="G5459" s="8" t="s">
        <v>16491</v>
      </c>
      <c r="H5459" s="8" t="s">
        <v>16492</v>
      </c>
      <c r="I5459" s="8" t="s">
        <v>16493</v>
      </c>
      <c r="J5459" s="8" t="s">
        <v>16494</v>
      </c>
    </row>
    <row r="5460">
      <c r="A5460" s="7">
        <v>2.0043402E7</v>
      </c>
      <c r="B5460" s="8" t="s">
        <v>2134</v>
      </c>
      <c r="C5460" s="8" t="s">
        <v>16495</v>
      </c>
      <c r="D5460" s="8" t="s">
        <v>16</v>
      </c>
      <c r="E5460" s="8" t="s">
        <v>17</v>
      </c>
      <c r="F5460" s="9">
        <v>46081.0</v>
      </c>
      <c r="G5460" s="8" t="s">
        <v>16496</v>
      </c>
      <c r="H5460" s="8" t="s">
        <v>16497</v>
      </c>
      <c r="I5460" s="8" t="s">
        <v>16498</v>
      </c>
      <c r="J5460" s="8"/>
    </row>
    <row r="5461">
      <c r="A5461" s="7">
        <v>2.0043646E7</v>
      </c>
      <c r="B5461" s="8" t="s">
        <v>2134</v>
      </c>
      <c r="C5461" s="8" t="s">
        <v>16499</v>
      </c>
      <c r="D5461" s="8" t="s">
        <v>16</v>
      </c>
      <c r="E5461" s="8" t="s">
        <v>48</v>
      </c>
      <c r="F5461" s="9">
        <v>46086.0</v>
      </c>
      <c r="G5461" s="8" t="s">
        <v>324</v>
      </c>
      <c r="H5461" s="8" t="s">
        <v>325</v>
      </c>
      <c r="I5461" s="8" t="s">
        <v>16500</v>
      </c>
      <c r="J5461" s="8" t="s">
        <v>16501</v>
      </c>
    </row>
    <row r="5462">
      <c r="A5462" s="7">
        <v>2.0037708E7</v>
      </c>
      <c r="B5462" s="8" t="s">
        <v>2134</v>
      </c>
      <c r="C5462" s="8" t="s">
        <v>16502</v>
      </c>
      <c r="D5462" s="8" t="s">
        <v>16</v>
      </c>
      <c r="E5462" s="8" t="s">
        <v>17</v>
      </c>
      <c r="F5462" s="9">
        <v>46068.0</v>
      </c>
      <c r="G5462" s="8" t="s">
        <v>171</v>
      </c>
      <c r="H5462" s="8" t="s">
        <v>172</v>
      </c>
      <c r="I5462" s="8" t="s">
        <v>16503</v>
      </c>
      <c r="J5462" s="8" t="s">
        <v>16504</v>
      </c>
    </row>
    <row r="5463">
      <c r="A5463" s="7">
        <v>2.0035336E7</v>
      </c>
      <c r="B5463" s="8" t="s">
        <v>2134</v>
      </c>
      <c r="C5463" s="8" t="s">
        <v>16505</v>
      </c>
      <c r="D5463" s="8" t="s">
        <v>16</v>
      </c>
      <c r="E5463" s="8" t="s">
        <v>17</v>
      </c>
      <c r="F5463" s="9">
        <v>46056.0</v>
      </c>
      <c r="G5463" s="8" t="s">
        <v>352</v>
      </c>
      <c r="H5463" s="8" t="s">
        <v>353</v>
      </c>
      <c r="I5463" s="8" t="s">
        <v>16506</v>
      </c>
      <c r="J5463" s="8" t="s">
        <v>16507</v>
      </c>
    </row>
    <row r="5464">
      <c r="A5464" s="7">
        <v>2.0033805E7</v>
      </c>
      <c r="B5464" s="8" t="s">
        <v>2134</v>
      </c>
      <c r="C5464" s="8" t="s">
        <v>16508</v>
      </c>
      <c r="D5464" s="8" t="s">
        <v>16</v>
      </c>
      <c r="E5464" s="8" t="s">
        <v>17</v>
      </c>
      <c r="F5464" s="9">
        <v>46053.0</v>
      </c>
      <c r="G5464" s="8" t="s">
        <v>2666</v>
      </c>
      <c r="H5464" s="8" t="s">
        <v>2667</v>
      </c>
      <c r="I5464" s="8" t="s">
        <v>16509</v>
      </c>
      <c r="J5464" s="8" t="s">
        <v>16510</v>
      </c>
    </row>
    <row r="5465">
      <c r="A5465" s="7">
        <v>2.0051942E7</v>
      </c>
      <c r="B5465" s="8" t="s">
        <v>2134</v>
      </c>
      <c r="C5465" s="8" t="s">
        <v>16511</v>
      </c>
      <c r="D5465" s="8" t="s">
        <v>16</v>
      </c>
      <c r="E5465" s="8" t="s">
        <v>17</v>
      </c>
      <c r="F5465" s="9">
        <v>46118.0</v>
      </c>
      <c r="G5465" s="8" t="s">
        <v>971</v>
      </c>
      <c r="H5465" s="8" t="s">
        <v>972</v>
      </c>
      <c r="I5465" s="8" t="s">
        <v>16512</v>
      </c>
      <c r="J5465" s="8" t="s">
        <v>16513</v>
      </c>
    </row>
    <row r="5466">
      <c r="A5466" s="7">
        <v>2.0051942E7</v>
      </c>
      <c r="B5466" s="8" t="s">
        <v>2134</v>
      </c>
      <c r="C5466" s="8" t="s">
        <v>16511</v>
      </c>
      <c r="D5466" s="8" t="s">
        <v>16</v>
      </c>
      <c r="E5466" s="8" t="s">
        <v>17</v>
      </c>
      <c r="F5466" s="9">
        <v>46118.0</v>
      </c>
      <c r="G5466" s="8" t="s">
        <v>800</v>
      </c>
      <c r="H5466" s="8" t="s">
        <v>801</v>
      </c>
      <c r="I5466" s="8" t="s">
        <v>16514</v>
      </c>
      <c r="J5466" s="8" t="s">
        <v>16515</v>
      </c>
    </row>
    <row r="5467">
      <c r="A5467" s="7">
        <v>2.0051942E7</v>
      </c>
      <c r="B5467" s="8" t="s">
        <v>2134</v>
      </c>
      <c r="C5467" s="8" t="s">
        <v>16511</v>
      </c>
      <c r="D5467" s="8" t="s">
        <v>16</v>
      </c>
      <c r="E5467" s="8" t="s">
        <v>17</v>
      </c>
      <c r="F5467" s="9">
        <v>46118.0</v>
      </c>
      <c r="G5467" s="8" t="s">
        <v>971</v>
      </c>
      <c r="H5467" s="8" t="s">
        <v>972</v>
      </c>
      <c r="I5467" s="8" t="s">
        <v>16516</v>
      </c>
      <c r="J5467" s="8" t="s">
        <v>16513</v>
      </c>
    </row>
    <row r="5468">
      <c r="A5468" s="7">
        <v>2.0051942E7</v>
      </c>
      <c r="B5468" s="8" t="s">
        <v>2134</v>
      </c>
      <c r="C5468" s="8" t="s">
        <v>16511</v>
      </c>
      <c r="D5468" s="8" t="s">
        <v>16</v>
      </c>
      <c r="E5468" s="8" t="s">
        <v>17</v>
      </c>
      <c r="F5468" s="9">
        <v>46118.0</v>
      </c>
      <c r="G5468" s="8" t="s">
        <v>800</v>
      </c>
      <c r="H5468" s="8" t="s">
        <v>801</v>
      </c>
      <c r="I5468" s="8" t="s">
        <v>16517</v>
      </c>
      <c r="J5468" s="8" t="s">
        <v>16515</v>
      </c>
    </row>
    <row r="5469">
      <c r="A5469" s="7">
        <v>2.004889E7</v>
      </c>
      <c r="B5469" s="8" t="s">
        <v>2134</v>
      </c>
      <c r="C5469" s="8" t="s">
        <v>16518</v>
      </c>
      <c r="D5469" s="8" t="s">
        <v>16</v>
      </c>
      <c r="E5469" s="8" t="s">
        <v>17</v>
      </c>
      <c r="F5469" s="9">
        <v>46111.0</v>
      </c>
      <c r="G5469" s="8" t="s">
        <v>184</v>
      </c>
      <c r="H5469" s="8" t="s">
        <v>185</v>
      </c>
      <c r="I5469" s="8" t="s">
        <v>16519</v>
      </c>
      <c r="J5469" s="8" t="s">
        <v>16520</v>
      </c>
    </row>
    <row r="5470">
      <c r="A5470" s="7">
        <v>2.0040146E7</v>
      </c>
      <c r="B5470" s="8" t="s">
        <v>2134</v>
      </c>
      <c r="C5470" s="8" t="s">
        <v>16521</v>
      </c>
      <c r="D5470" s="8" t="s">
        <v>16</v>
      </c>
      <c r="E5470" s="8" t="s">
        <v>17</v>
      </c>
      <c r="F5470" s="9">
        <v>46078.0</v>
      </c>
      <c r="G5470" s="8" t="s">
        <v>390</v>
      </c>
      <c r="H5470" s="8" t="s">
        <v>391</v>
      </c>
      <c r="I5470" s="8" t="s">
        <v>16522</v>
      </c>
      <c r="J5470" s="8" t="s">
        <v>16523</v>
      </c>
    </row>
    <row r="5471">
      <c r="A5471" s="7">
        <v>2.0069526E7</v>
      </c>
      <c r="B5471" s="8" t="s">
        <v>2134</v>
      </c>
      <c r="C5471" s="8" t="s">
        <v>16524</v>
      </c>
      <c r="D5471" s="8" t="s">
        <v>16</v>
      </c>
      <c r="E5471" s="8" t="s">
        <v>17</v>
      </c>
      <c r="F5471" s="9">
        <v>46187.0</v>
      </c>
      <c r="G5471" s="8" t="s">
        <v>273</v>
      </c>
      <c r="H5471" s="8" t="s">
        <v>274</v>
      </c>
      <c r="I5471" s="8" t="s">
        <v>16525</v>
      </c>
      <c r="J5471" s="8" t="s">
        <v>16526</v>
      </c>
    </row>
    <row r="5472">
      <c r="A5472" s="7">
        <v>2.0061925E7</v>
      </c>
      <c r="B5472" s="8" t="s">
        <v>2134</v>
      </c>
      <c r="C5472" s="8" t="s">
        <v>16527</v>
      </c>
      <c r="D5472" s="8" t="s">
        <v>2136</v>
      </c>
      <c r="E5472" s="8" t="s">
        <v>17</v>
      </c>
      <c r="F5472" s="9">
        <v>46149.0</v>
      </c>
      <c r="G5472" s="8" t="s">
        <v>59</v>
      </c>
      <c r="H5472" s="8" t="s">
        <v>60</v>
      </c>
      <c r="I5472" s="8" t="s">
        <v>16528</v>
      </c>
      <c r="J5472" s="8" t="s">
        <v>16529</v>
      </c>
    </row>
    <row r="5473">
      <c r="A5473" s="7">
        <v>2.0051579E7</v>
      </c>
      <c r="B5473" s="8" t="s">
        <v>2134</v>
      </c>
      <c r="C5473" s="8" t="s">
        <v>16530</v>
      </c>
      <c r="D5473" s="8" t="s">
        <v>16</v>
      </c>
      <c r="E5473" s="8" t="s">
        <v>17</v>
      </c>
      <c r="F5473" s="9">
        <v>46117.0</v>
      </c>
      <c r="G5473" s="8" t="s">
        <v>436</v>
      </c>
      <c r="H5473" s="8" t="s">
        <v>437</v>
      </c>
      <c r="I5473" s="8" t="s">
        <v>16531</v>
      </c>
      <c r="J5473" s="8" t="s">
        <v>16532</v>
      </c>
    </row>
    <row r="5474">
      <c r="A5474" s="7">
        <v>2.0050664E7</v>
      </c>
      <c r="B5474" s="8" t="s">
        <v>2134</v>
      </c>
      <c r="C5474" s="8" t="s">
        <v>16533</v>
      </c>
      <c r="D5474" s="8" t="s">
        <v>16</v>
      </c>
      <c r="E5474" s="8" t="s">
        <v>17</v>
      </c>
      <c r="F5474" s="9">
        <v>46120.0</v>
      </c>
      <c r="G5474" s="8" t="s">
        <v>2386</v>
      </c>
      <c r="H5474" s="8" t="s">
        <v>2387</v>
      </c>
      <c r="I5474" s="8" t="s">
        <v>16534</v>
      </c>
      <c r="J5474" s="8" t="s">
        <v>16535</v>
      </c>
    </row>
    <row r="5475">
      <c r="A5475" s="7">
        <v>2.0036575E7</v>
      </c>
      <c r="B5475" s="8" t="s">
        <v>2134</v>
      </c>
      <c r="C5475" s="8" t="s">
        <v>16536</v>
      </c>
      <c r="D5475" s="8" t="s">
        <v>16</v>
      </c>
      <c r="E5475" s="8" t="s">
        <v>17</v>
      </c>
      <c r="F5475" s="9">
        <v>46062.0</v>
      </c>
      <c r="G5475" s="8" t="s">
        <v>137</v>
      </c>
      <c r="H5475" s="8" t="s">
        <v>138</v>
      </c>
      <c r="I5475" s="8" t="s">
        <v>16537</v>
      </c>
      <c r="J5475" s="8" t="s">
        <v>2214</v>
      </c>
    </row>
    <row r="5476">
      <c r="A5476" s="7">
        <v>2.0035489E7</v>
      </c>
      <c r="B5476" s="8" t="s">
        <v>2134</v>
      </c>
      <c r="C5476" s="8" t="s">
        <v>16538</v>
      </c>
      <c r="D5476" s="8" t="s">
        <v>16</v>
      </c>
      <c r="E5476" s="8" t="s">
        <v>17</v>
      </c>
      <c r="F5476" s="9">
        <v>46057.0</v>
      </c>
      <c r="G5476" s="8" t="s">
        <v>390</v>
      </c>
      <c r="H5476" s="8" t="s">
        <v>391</v>
      </c>
      <c r="I5476" s="8" t="s">
        <v>16539</v>
      </c>
      <c r="J5476" s="8" t="s">
        <v>16540</v>
      </c>
    </row>
    <row r="5477">
      <c r="A5477" s="7">
        <v>2.0034791E7</v>
      </c>
      <c r="B5477" s="8" t="s">
        <v>2134</v>
      </c>
      <c r="C5477" s="8" t="s">
        <v>16541</v>
      </c>
      <c r="D5477" s="8" t="s">
        <v>16</v>
      </c>
      <c r="E5477" s="8" t="s">
        <v>17</v>
      </c>
      <c r="F5477" s="9">
        <v>46049.0</v>
      </c>
      <c r="G5477" s="8" t="s">
        <v>124</v>
      </c>
      <c r="H5477" s="8" t="s">
        <v>125</v>
      </c>
      <c r="I5477" s="8" t="s">
        <v>16542</v>
      </c>
      <c r="J5477" s="8" t="s">
        <v>2381</v>
      </c>
    </row>
    <row r="5478">
      <c r="A5478" s="7">
        <v>2.0034048E7</v>
      </c>
      <c r="B5478" s="8" t="s">
        <v>2134</v>
      </c>
      <c r="C5478" s="8" t="s">
        <v>16543</v>
      </c>
      <c r="D5478" s="8" t="s">
        <v>16</v>
      </c>
      <c r="E5478" s="8" t="s">
        <v>17</v>
      </c>
      <c r="F5478" s="9">
        <v>46045.0</v>
      </c>
      <c r="G5478" s="8" t="s">
        <v>5030</v>
      </c>
      <c r="H5478" s="8" t="s">
        <v>44</v>
      </c>
      <c r="I5478" s="8" t="s">
        <v>16544</v>
      </c>
      <c r="J5478" s="8" t="s">
        <v>16545</v>
      </c>
    </row>
    <row r="5479">
      <c r="A5479" s="7">
        <v>2.0068778E7</v>
      </c>
      <c r="B5479" s="8" t="s">
        <v>2134</v>
      </c>
      <c r="C5479" s="8" t="s">
        <v>16546</v>
      </c>
      <c r="D5479" s="8" t="s">
        <v>16</v>
      </c>
      <c r="E5479" s="8" t="s">
        <v>17</v>
      </c>
      <c r="F5479" s="9">
        <v>46183.0</v>
      </c>
      <c r="G5479" s="8" t="s">
        <v>365</v>
      </c>
      <c r="H5479" s="8" t="s">
        <v>366</v>
      </c>
      <c r="I5479" s="8" t="s">
        <v>16547</v>
      </c>
      <c r="J5479" s="8" t="s">
        <v>16548</v>
      </c>
    </row>
    <row r="5480">
      <c r="A5480" s="7">
        <v>2.0060514E7</v>
      </c>
      <c r="B5480" s="8" t="s">
        <v>2134</v>
      </c>
      <c r="C5480" s="8" t="s">
        <v>16549</v>
      </c>
      <c r="D5480" s="8" t="s">
        <v>16</v>
      </c>
      <c r="E5480" s="8" t="s">
        <v>17</v>
      </c>
      <c r="F5480" s="9">
        <v>46143.0</v>
      </c>
      <c r="G5480" s="8" t="s">
        <v>91</v>
      </c>
      <c r="H5480" s="8" t="s">
        <v>92</v>
      </c>
      <c r="I5480" s="8" t="s">
        <v>16550</v>
      </c>
      <c r="J5480" s="8" t="s">
        <v>16551</v>
      </c>
    </row>
    <row r="5481">
      <c r="A5481" s="7">
        <v>2.0052625E7</v>
      </c>
      <c r="B5481" s="8" t="s">
        <v>2134</v>
      </c>
      <c r="C5481" s="8" t="s">
        <v>16552</v>
      </c>
      <c r="D5481" s="8" t="s">
        <v>16</v>
      </c>
      <c r="E5481" s="8" t="s">
        <v>17</v>
      </c>
      <c r="F5481" s="9">
        <v>46126.0</v>
      </c>
      <c r="G5481" s="8" t="s">
        <v>390</v>
      </c>
      <c r="H5481" s="8" t="s">
        <v>391</v>
      </c>
      <c r="I5481" s="8" t="s">
        <v>16553</v>
      </c>
      <c r="J5481" s="8"/>
    </row>
    <row r="5482">
      <c r="A5482" s="7">
        <v>2.0046283E7</v>
      </c>
      <c r="B5482" s="8" t="s">
        <v>2134</v>
      </c>
      <c r="C5482" s="8" t="s">
        <v>16554</v>
      </c>
      <c r="D5482" s="8" t="s">
        <v>16</v>
      </c>
      <c r="E5482" s="8" t="s">
        <v>17</v>
      </c>
      <c r="F5482" s="9">
        <v>46098.0</v>
      </c>
      <c r="G5482" s="8" t="s">
        <v>324</v>
      </c>
      <c r="H5482" s="8" t="s">
        <v>325</v>
      </c>
      <c r="I5482" s="8" t="s">
        <v>16434</v>
      </c>
      <c r="J5482" s="8" t="s">
        <v>16555</v>
      </c>
    </row>
    <row r="5483">
      <c r="A5483" s="7">
        <v>2.0046114E7</v>
      </c>
      <c r="B5483" s="8" t="s">
        <v>2134</v>
      </c>
      <c r="C5483" s="8" t="s">
        <v>16556</v>
      </c>
      <c r="D5483" s="8" t="s">
        <v>16</v>
      </c>
      <c r="E5483" s="8" t="s">
        <v>17</v>
      </c>
      <c r="F5483" s="9">
        <v>46100.0</v>
      </c>
      <c r="G5483" s="8" t="s">
        <v>390</v>
      </c>
      <c r="H5483" s="8" t="s">
        <v>391</v>
      </c>
      <c r="I5483" s="8" t="s">
        <v>16557</v>
      </c>
      <c r="J5483" s="8" t="s">
        <v>16558</v>
      </c>
    </row>
    <row r="5484">
      <c r="A5484" s="7">
        <v>2.0044721E7</v>
      </c>
      <c r="B5484" s="8" t="s">
        <v>2134</v>
      </c>
      <c r="C5484" s="8" t="s">
        <v>16559</v>
      </c>
      <c r="D5484" s="8" t="s">
        <v>16</v>
      </c>
      <c r="E5484" s="8" t="s">
        <v>17</v>
      </c>
      <c r="F5484" s="9">
        <v>46102.0</v>
      </c>
      <c r="G5484" s="8" t="s">
        <v>16405</v>
      </c>
      <c r="H5484" s="8" t="s">
        <v>16406</v>
      </c>
      <c r="I5484" s="8" t="s">
        <v>16560</v>
      </c>
      <c r="J5484" s="8" t="s">
        <v>16561</v>
      </c>
    </row>
    <row r="5485">
      <c r="A5485" s="7">
        <v>2.0044721E7</v>
      </c>
      <c r="B5485" s="8" t="s">
        <v>2134</v>
      </c>
      <c r="C5485" s="8" t="s">
        <v>16559</v>
      </c>
      <c r="D5485" s="8" t="s">
        <v>16</v>
      </c>
      <c r="E5485" s="8" t="s">
        <v>17</v>
      </c>
      <c r="F5485" s="9">
        <v>46102.0</v>
      </c>
      <c r="G5485" s="8" t="s">
        <v>220</v>
      </c>
      <c r="H5485" s="8" t="s">
        <v>221</v>
      </c>
      <c r="I5485" s="8" t="s">
        <v>16562</v>
      </c>
      <c r="J5485" s="8" t="s">
        <v>16563</v>
      </c>
    </row>
    <row r="5486">
      <c r="A5486" s="7">
        <v>2.0043101E7</v>
      </c>
      <c r="B5486" s="8" t="s">
        <v>2134</v>
      </c>
      <c r="C5486" s="8" t="s">
        <v>16564</v>
      </c>
      <c r="D5486" s="8" t="s">
        <v>16</v>
      </c>
      <c r="E5486" s="8" t="s">
        <v>17</v>
      </c>
      <c r="F5486" s="9">
        <v>46094.0</v>
      </c>
      <c r="G5486" s="8" t="s">
        <v>59</v>
      </c>
      <c r="H5486" s="8" t="s">
        <v>60</v>
      </c>
      <c r="I5486" s="8" t="s">
        <v>16565</v>
      </c>
      <c r="J5486" s="8" t="s">
        <v>16566</v>
      </c>
    </row>
    <row r="5487">
      <c r="A5487" s="7">
        <v>2.0042844E7</v>
      </c>
      <c r="B5487" s="8" t="s">
        <v>2134</v>
      </c>
      <c r="C5487" s="8" t="s">
        <v>16567</v>
      </c>
      <c r="D5487" s="8" t="s">
        <v>16</v>
      </c>
      <c r="E5487" s="8" t="s">
        <v>17</v>
      </c>
      <c r="F5487" s="9">
        <v>46092.0</v>
      </c>
      <c r="G5487" s="8" t="s">
        <v>410</v>
      </c>
      <c r="H5487" s="8" t="s">
        <v>411</v>
      </c>
      <c r="I5487" s="8" t="s">
        <v>16568</v>
      </c>
      <c r="J5487" s="8" t="s">
        <v>16569</v>
      </c>
    </row>
    <row r="5488">
      <c r="A5488" s="7">
        <v>2.0066E7</v>
      </c>
      <c r="B5488" s="8" t="s">
        <v>2134</v>
      </c>
      <c r="C5488" s="8" t="s">
        <v>16570</v>
      </c>
      <c r="D5488" s="8" t="s">
        <v>16</v>
      </c>
      <c r="E5488" s="8" t="s">
        <v>17</v>
      </c>
      <c r="F5488" s="9">
        <v>46192.0</v>
      </c>
      <c r="G5488" s="8" t="s">
        <v>410</v>
      </c>
      <c r="H5488" s="8" t="s">
        <v>411</v>
      </c>
      <c r="I5488" s="8" t="s">
        <v>16571</v>
      </c>
      <c r="J5488" s="8" t="s">
        <v>16572</v>
      </c>
    </row>
    <row r="5489">
      <c r="A5489" s="7">
        <v>2.005945E7</v>
      </c>
      <c r="B5489" s="8" t="s">
        <v>2134</v>
      </c>
      <c r="C5489" s="8" t="s">
        <v>16573</v>
      </c>
      <c r="D5489" s="8" t="s">
        <v>16</v>
      </c>
      <c r="E5489" s="8" t="s">
        <v>17</v>
      </c>
      <c r="F5489" s="9">
        <v>46147.0</v>
      </c>
      <c r="G5489" s="8" t="s">
        <v>16574</v>
      </c>
      <c r="H5489" s="8" t="s">
        <v>16575</v>
      </c>
      <c r="I5489" s="8" t="s">
        <v>16576</v>
      </c>
      <c r="J5489" s="8" t="s">
        <v>16577</v>
      </c>
    </row>
    <row r="5490">
      <c r="A5490" s="7">
        <v>2.005012E7</v>
      </c>
      <c r="B5490" s="8" t="s">
        <v>2134</v>
      </c>
      <c r="C5490" s="8" t="s">
        <v>16578</v>
      </c>
      <c r="D5490" s="8" t="s">
        <v>16</v>
      </c>
      <c r="E5490" s="8" t="s">
        <v>17</v>
      </c>
      <c r="F5490" s="9">
        <v>46117.0</v>
      </c>
      <c r="G5490" s="8" t="s">
        <v>9596</v>
      </c>
      <c r="H5490" s="8" t="s">
        <v>9597</v>
      </c>
      <c r="I5490" s="8" t="s">
        <v>16579</v>
      </c>
      <c r="J5490" s="8" t="s">
        <v>16580</v>
      </c>
    </row>
    <row r="5491">
      <c r="A5491" s="7">
        <v>2.0043192E7</v>
      </c>
      <c r="B5491" s="8" t="s">
        <v>2134</v>
      </c>
      <c r="C5491" s="8" t="s">
        <v>16581</v>
      </c>
      <c r="D5491" s="8" t="s">
        <v>16</v>
      </c>
      <c r="E5491" s="8" t="s">
        <v>17</v>
      </c>
      <c r="F5491" s="9">
        <v>46082.0</v>
      </c>
      <c r="G5491" s="8" t="s">
        <v>365</v>
      </c>
      <c r="H5491" s="8" t="s">
        <v>366</v>
      </c>
      <c r="I5491" s="8" t="s">
        <v>16582</v>
      </c>
      <c r="J5491" s="8" t="s">
        <v>16583</v>
      </c>
    </row>
    <row r="5492">
      <c r="A5492" s="7">
        <v>2.0042387E7</v>
      </c>
      <c r="B5492" s="8" t="s">
        <v>2134</v>
      </c>
      <c r="C5492" s="8" t="s">
        <v>16584</v>
      </c>
      <c r="D5492" s="8" t="s">
        <v>16</v>
      </c>
      <c r="E5492" s="8" t="s">
        <v>17</v>
      </c>
      <c r="F5492" s="9">
        <v>46069.0</v>
      </c>
      <c r="G5492" s="8" t="s">
        <v>59</v>
      </c>
      <c r="H5492" s="8" t="s">
        <v>60</v>
      </c>
      <c r="I5492" s="8" t="s">
        <v>16585</v>
      </c>
      <c r="J5492" s="8" t="s">
        <v>16586</v>
      </c>
    </row>
    <row r="5493">
      <c r="A5493" s="7">
        <v>2.0039205E7</v>
      </c>
      <c r="B5493" s="8" t="s">
        <v>2134</v>
      </c>
      <c r="C5493" s="8" t="s">
        <v>16587</v>
      </c>
      <c r="D5493" s="8" t="s">
        <v>16</v>
      </c>
      <c r="E5493" s="8" t="s">
        <v>17</v>
      </c>
      <c r="F5493" s="9">
        <v>46078.0</v>
      </c>
      <c r="G5493" s="8" t="s">
        <v>370</v>
      </c>
      <c r="H5493" s="8" t="s">
        <v>371</v>
      </c>
      <c r="I5493" s="8" t="s">
        <v>16588</v>
      </c>
      <c r="J5493" s="8" t="s">
        <v>16589</v>
      </c>
    </row>
    <row r="5494">
      <c r="A5494" s="7">
        <v>2.0072633E7</v>
      </c>
      <c r="B5494" s="8" t="s">
        <v>5222</v>
      </c>
      <c r="C5494" s="8" t="s">
        <v>16590</v>
      </c>
      <c r="D5494" s="8" t="s">
        <v>2136</v>
      </c>
      <c r="E5494" s="8" t="s">
        <v>17</v>
      </c>
      <c r="F5494" s="9">
        <v>46192.0</v>
      </c>
      <c r="G5494" s="8" t="s">
        <v>1007</v>
      </c>
      <c r="H5494" s="8" t="s">
        <v>1008</v>
      </c>
      <c r="I5494" s="8" t="s">
        <v>16591</v>
      </c>
      <c r="J5494" s="8" t="s">
        <v>16592</v>
      </c>
    </row>
    <row r="5495">
      <c r="A5495" s="7">
        <v>2.0064361E7</v>
      </c>
      <c r="B5495" s="8" t="s">
        <v>5222</v>
      </c>
      <c r="C5495" s="8" t="s">
        <v>16593</v>
      </c>
      <c r="D5495" s="8" t="s">
        <v>16</v>
      </c>
      <c r="E5495" s="8" t="s">
        <v>17</v>
      </c>
      <c r="F5495" s="9">
        <v>46168.0</v>
      </c>
      <c r="G5495" s="8" t="s">
        <v>153</v>
      </c>
      <c r="H5495" s="8" t="s">
        <v>154</v>
      </c>
      <c r="I5495" s="8" t="s">
        <v>16594</v>
      </c>
      <c r="J5495" s="8" t="s">
        <v>16595</v>
      </c>
    </row>
    <row r="5496">
      <c r="A5496" s="7">
        <v>2.0064003E7</v>
      </c>
      <c r="B5496" s="8" t="s">
        <v>5222</v>
      </c>
      <c r="C5496" s="8" t="s">
        <v>16596</v>
      </c>
      <c r="D5496" s="8" t="s">
        <v>16</v>
      </c>
      <c r="E5496" s="8" t="s">
        <v>17</v>
      </c>
      <c r="F5496" s="9">
        <v>46157.0</v>
      </c>
      <c r="G5496" s="8" t="s">
        <v>220</v>
      </c>
      <c r="H5496" s="8" t="s">
        <v>221</v>
      </c>
      <c r="I5496" s="8" t="s">
        <v>16597</v>
      </c>
      <c r="J5496" s="8" t="s">
        <v>16598</v>
      </c>
    </row>
    <row r="5497">
      <c r="A5497" s="7">
        <v>2.0060603E7</v>
      </c>
      <c r="B5497" s="8" t="s">
        <v>5222</v>
      </c>
      <c r="C5497" s="8" t="s">
        <v>16599</v>
      </c>
      <c r="D5497" s="8" t="s">
        <v>16</v>
      </c>
      <c r="E5497" s="8" t="s">
        <v>17</v>
      </c>
      <c r="F5497" s="9">
        <v>46172.0</v>
      </c>
      <c r="G5497" s="8" t="s">
        <v>791</v>
      </c>
      <c r="H5497" s="8" t="s">
        <v>792</v>
      </c>
      <c r="I5497" s="8"/>
      <c r="J5497" s="8" t="s">
        <v>16600</v>
      </c>
    </row>
    <row r="5498">
      <c r="A5498" s="7">
        <v>2.0060603E7</v>
      </c>
      <c r="B5498" s="8" t="s">
        <v>5222</v>
      </c>
      <c r="C5498" s="8" t="s">
        <v>16599</v>
      </c>
      <c r="D5498" s="8" t="s">
        <v>16</v>
      </c>
      <c r="E5498" s="8" t="s">
        <v>17</v>
      </c>
      <c r="F5498" s="9">
        <v>46172.0</v>
      </c>
      <c r="G5498" s="8" t="s">
        <v>1841</v>
      </c>
      <c r="H5498" s="8" t="s">
        <v>1842</v>
      </c>
      <c r="I5498" s="8"/>
      <c r="J5498" s="8" t="s">
        <v>16601</v>
      </c>
    </row>
    <row r="5499">
      <c r="A5499" s="7">
        <v>2.0057811E7</v>
      </c>
      <c r="B5499" s="8" t="s">
        <v>5222</v>
      </c>
      <c r="C5499" s="8" t="s">
        <v>16602</v>
      </c>
      <c r="D5499" s="8" t="s">
        <v>16</v>
      </c>
      <c r="E5499" s="8" t="s">
        <v>17</v>
      </c>
      <c r="F5499" s="9">
        <v>46150.0</v>
      </c>
      <c r="G5499" s="8" t="s">
        <v>5030</v>
      </c>
      <c r="H5499" s="8" t="s">
        <v>10431</v>
      </c>
      <c r="I5499" s="8" t="s">
        <v>16603</v>
      </c>
      <c r="J5499" s="8" t="s">
        <v>16604</v>
      </c>
    </row>
    <row r="5500">
      <c r="A5500" s="7">
        <v>2.0057578E7</v>
      </c>
      <c r="B5500" s="8" t="s">
        <v>5222</v>
      </c>
      <c r="C5500" s="8" t="s">
        <v>16605</v>
      </c>
      <c r="D5500" s="8" t="s">
        <v>16</v>
      </c>
      <c r="E5500" s="8" t="s">
        <v>17</v>
      </c>
      <c r="F5500" s="9">
        <v>46151.0</v>
      </c>
      <c r="G5500" s="8" t="s">
        <v>3224</v>
      </c>
      <c r="H5500" s="8" t="s">
        <v>3225</v>
      </c>
      <c r="I5500" s="8" t="s">
        <v>16606</v>
      </c>
      <c r="J5500" s="8"/>
    </row>
    <row r="5501">
      <c r="A5501" s="7">
        <v>2.0056014E7</v>
      </c>
      <c r="B5501" s="8" t="s">
        <v>5222</v>
      </c>
      <c r="C5501" s="8" t="s">
        <v>16607</v>
      </c>
      <c r="D5501" s="8" t="s">
        <v>16</v>
      </c>
      <c r="E5501" s="8" t="s">
        <v>17</v>
      </c>
      <c r="F5501" s="9">
        <v>46133.0</v>
      </c>
      <c r="G5501" s="8" t="s">
        <v>109</v>
      </c>
      <c r="H5501" s="8" t="s">
        <v>110</v>
      </c>
      <c r="I5501" s="8" t="s">
        <v>16608</v>
      </c>
      <c r="J5501" s="8" t="s">
        <v>16609</v>
      </c>
    </row>
    <row r="5502">
      <c r="A5502" s="7">
        <v>2.0051212E7</v>
      </c>
      <c r="B5502" s="8" t="s">
        <v>5222</v>
      </c>
      <c r="C5502" s="8" t="s">
        <v>16610</v>
      </c>
      <c r="D5502" s="8" t="s">
        <v>16</v>
      </c>
      <c r="E5502" s="8" t="s">
        <v>48</v>
      </c>
      <c r="F5502" s="9">
        <v>46102.0</v>
      </c>
      <c r="G5502" s="8" t="s">
        <v>34</v>
      </c>
      <c r="H5502" s="8" t="s">
        <v>35</v>
      </c>
      <c r="I5502" s="8" t="s">
        <v>16611</v>
      </c>
      <c r="J5502" s="8" t="s">
        <v>16612</v>
      </c>
    </row>
    <row r="5503">
      <c r="A5503" s="7">
        <v>2.0050229E7</v>
      </c>
      <c r="B5503" s="8" t="s">
        <v>5222</v>
      </c>
      <c r="C5503" s="8" t="s">
        <v>16613</v>
      </c>
      <c r="D5503" s="8" t="s">
        <v>16</v>
      </c>
      <c r="E5503" s="8" t="s">
        <v>17</v>
      </c>
      <c r="F5503" s="9">
        <v>46103.0</v>
      </c>
      <c r="G5503" s="8" t="s">
        <v>59</v>
      </c>
      <c r="H5503" s="8" t="s">
        <v>60</v>
      </c>
      <c r="I5503" s="8" t="s">
        <v>16614</v>
      </c>
      <c r="J5503" s="8" t="s">
        <v>16615</v>
      </c>
    </row>
    <row r="5504">
      <c r="A5504" s="7">
        <v>2.0048509E7</v>
      </c>
      <c r="B5504" s="8" t="s">
        <v>5222</v>
      </c>
      <c r="C5504" s="8" t="s">
        <v>16616</v>
      </c>
      <c r="D5504" s="8" t="s">
        <v>16</v>
      </c>
      <c r="E5504" s="8" t="s">
        <v>17</v>
      </c>
      <c r="F5504" s="9">
        <v>46094.0</v>
      </c>
      <c r="G5504" s="8" t="s">
        <v>385</v>
      </c>
      <c r="H5504" s="8" t="s">
        <v>386</v>
      </c>
      <c r="I5504" s="8" t="s">
        <v>16617</v>
      </c>
      <c r="J5504" s="8" t="s">
        <v>16618</v>
      </c>
    </row>
    <row r="5505">
      <c r="A5505" s="7">
        <v>2.0047808E7</v>
      </c>
      <c r="B5505" s="8" t="s">
        <v>5222</v>
      </c>
      <c r="C5505" s="8" t="s">
        <v>16619</v>
      </c>
      <c r="D5505" s="8" t="s">
        <v>16</v>
      </c>
      <c r="E5505" s="8" t="s">
        <v>17</v>
      </c>
      <c r="F5505" s="9">
        <v>46093.0</v>
      </c>
      <c r="G5505" s="8" t="s">
        <v>59</v>
      </c>
      <c r="H5505" s="8" t="s">
        <v>60</v>
      </c>
      <c r="I5505" s="8" t="s">
        <v>16620</v>
      </c>
      <c r="J5505" s="8" t="s">
        <v>16621</v>
      </c>
    </row>
    <row r="5506">
      <c r="A5506" s="7">
        <v>2.0043072E7</v>
      </c>
      <c r="B5506" s="8" t="s">
        <v>5222</v>
      </c>
      <c r="C5506" s="8" t="s">
        <v>16622</v>
      </c>
      <c r="D5506" s="8" t="s">
        <v>16</v>
      </c>
      <c r="E5506" s="8" t="s">
        <v>17</v>
      </c>
      <c r="F5506" s="9">
        <v>46071.0</v>
      </c>
      <c r="G5506" s="8" t="s">
        <v>29</v>
      </c>
      <c r="H5506" s="8" t="s">
        <v>30</v>
      </c>
      <c r="I5506" s="8" t="s">
        <v>16623</v>
      </c>
      <c r="J5506" s="8" t="s">
        <v>1752</v>
      </c>
    </row>
    <row r="5507">
      <c r="A5507" s="7">
        <v>2.0040924E7</v>
      </c>
      <c r="B5507" s="8" t="s">
        <v>5222</v>
      </c>
      <c r="C5507" s="8" t="s">
        <v>16624</v>
      </c>
      <c r="D5507" s="8" t="s">
        <v>16</v>
      </c>
      <c r="E5507" s="8" t="s">
        <v>48</v>
      </c>
      <c r="F5507" s="9">
        <v>46064.0</v>
      </c>
      <c r="G5507" s="8" t="s">
        <v>4209</v>
      </c>
      <c r="H5507" s="8" t="s">
        <v>4210</v>
      </c>
      <c r="I5507" s="8" t="s">
        <v>16625</v>
      </c>
      <c r="J5507" s="8" t="s">
        <v>16626</v>
      </c>
    </row>
    <row r="5508">
      <c r="A5508" s="7">
        <v>2.0068405E7</v>
      </c>
      <c r="B5508" s="8" t="s">
        <v>5222</v>
      </c>
      <c r="C5508" s="8" t="s">
        <v>16627</v>
      </c>
      <c r="D5508" s="8" t="s">
        <v>16</v>
      </c>
      <c r="E5508" s="8" t="s">
        <v>17</v>
      </c>
      <c r="F5508" s="9">
        <v>46178.0</v>
      </c>
      <c r="G5508" s="8" t="s">
        <v>822</v>
      </c>
      <c r="H5508" s="8" t="s">
        <v>3985</v>
      </c>
      <c r="I5508" s="8" t="s">
        <v>16628</v>
      </c>
      <c r="J5508" s="8" t="s">
        <v>16629</v>
      </c>
    </row>
    <row r="5509">
      <c r="A5509" s="7">
        <v>2.0063599E7</v>
      </c>
      <c r="B5509" s="8" t="s">
        <v>5222</v>
      </c>
      <c r="C5509" s="8" t="s">
        <v>16630</v>
      </c>
      <c r="D5509" s="8" t="s">
        <v>16</v>
      </c>
      <c r="E5509" s="8" t="s">
        <v>17</v>
      </c>
      <c r="F5509" s="9">
        <v>46181.0</v>
      </c>
      <c r="G5509" s="8" t="s">
        <v>314</v>
      </c>
      <c r="H5509" s="8" t="s">
        <v>315</v>
      </c>
      <c r="I5509" s="8" t="s">
        <v>16631</v>
      </c>
      <c r="J5509" s="8" t="s">
        <v>16632</v>
      </c>
    </row>
    <row r="5510">
      <c r="A5510" s="7">
        <v>2.0059706E7</v>
      </c>
      <c r="B5510" s="8" t="s">
        <v>5222</v>
      </c>
      <c r="C5510" s="8" t="s">
        <v>16633</v>
      </c>
      <c r="D5510" s="8" t="s">
        <v>2136</v>
      </c>
      <c r="E5510" s="8" t="s">
        <v>17</v>
      </c>
      <c r="F5510" s="9">
        <v>46141.0</v>
      </c>
      <c r="G5510" s="8" t="s">
        <v>153</v>
      </c>
      <c r="H5510" s="8" t="s">
        <v>154</v>
      </c>
      <c r="I5510" s="8" t="s">
        <v>16634</v>
      </c>
      <c r="J5510" s="8" t="s">
        <v>16635</v>
      </c>
    </row>
    <row r="5511">
      <c r="A5511" s="7">
        <v>2.0056892E7</v>
      </c>
      <c r="B5511" s="8" t="s">
        <v>5222</v>
      </c>
      <c r="C5511" s="8" t="s">
        <v>16636</v>
      </c>
      <c r="D5511" s="8" t="s">
        <v>16</v>
      </c>
      <c r="E5511" s="8" t="s">
        <v>17</v>
      </c>
      <c r="F5511" s="9">
        <v>46134.0</v>
      </c>
      <c r="G5511" s="8" t="s">
        <v>234</v>
      </c>
      <c r="H5511" s="8" t="s">
        <v>235</v>
      </c>
      <c r="I5511" s="8" t="s">
        <v>16637</v>
      </c>
      <c r="J5511" s="8" t="s">
        <v>16638</v>
      </c>
    </row>
    <row r="5512">
      <c r="A5512" s="7">
        <v>2.0051122E7</v>
      </c>
      <c r="B5512" s="8" t="s">
        <v>5222</v>
      </c>
      <c r="C5512" s="8" t="s">
        <v>16639</v>
      </c>
      <c r="D5512" s="8" t="s">
        <v>16</v>
      </c>
      <c r="E5512" s="8" t="s">
        <v>17</v>
      </c>
      <c r="F5512" s="9">
        <v>46117.0</v>
      </c>
      <c r="G5512" s="8" t="s">
        <v>1427</v>
      </c>
      <c r="H5512" s="8" t="s">
        <v>1428</v>
      </c>
      <c r="I5512" s="8" t="s">
        <v>16640</v>
      </c>
      <c r="J5512" s="8" t="s">
        <v>16641</v>
      </c>
    </row>
    <row r="5513">
      <c r="A5513" s="7">
        <v>2.0043054E7</v>
      </c>
      <c r="B5513" s="8" t="s">
        <v>5222</v>
      </c>
      <c r="C5513" s="8" t="s">
        <v>16642</v>
      </c>
      <c r="D5513" s="8" t="s">
        <v>16</v>
      </c>
      <c r="E5513" s="8" t="s">
        <v>17</v>
      </c>
      <c r="F5513" s="9">
        <v>46070.0</v>
      </c>
      <c r="G5513" s="8" t="s">
        <v>234</v>
      </c>
      <c r="H5513" s="8" t="s">
        <v>235</v>
      </c>
      <c r="I5513" s="8" t="s">
        <v>16643</v>
      </c>
      <c r="J5513" s="8" t="s">
        <v>16644</v>
      </c>
    </row>
    <row r="5514">
      <c r="A5514" s="7">
        <v>2.0042835E7</v>
      </c>
      <c r="B5514" s="8" t="s">
        <v>5222</v>
      </c>
      <c r="C5514" s="8" t="s">
        <v>16645</v>
      </c>
      <c r="D5514" s="8" t="s">
        <v>16</v>
      </c>
      <c r="E5514" s="8" t="s">
        <v>17</v>
      </c>
      <c r="F5514" s="9">
        <v>46070.0</v>
      </c>
      <c r="G5514" s="8" t="s">
        <v>846</v>
      </c>
      <c r="H5514" s="8" t="s">
        <v>847</v>
      </c>
      <c r="I5514" s="8" t="s">
        <v>16646</v>
      </c>
      <c r="J5514" s="8" t="s">
        <v>16647</v>
      </c>
    </row>
    <row r="5515">
      <c r="A5515" s="7">
        <v>2.0024585E7</v>
      </c>
      <c r="B5515" s="8" t="s">
        <v>5222</v>
      </c>
      <c r="C5515" s="8" t="s">
        <v>16648</v>
      </c>
      <c r="D5515" s="8" t="s">
        <v>16</v>
      </c>
      <c r="E5515" s="8" t="s">
        <v>17</v>
      </c>
      <c r="F5515" s="9">
        <v>46061.0</v>
      </c>
      <c r="G5515" s="8" t="s">
        <v>1045</v>
      </c>
      <c r="H5515" s="8" t="s">
        <v>909</v>
      </c>
      <c r="I5515" s="8" t="s">
        <v>16649</v>
      </c>
      <c r="J5515" s="8" t="s">
        <v>16650</v>
      </c>
    </row>
    <row r="5516">
      <c r="A5516" s="7">
        <v>2.0069304E7</v>
      </c>
      <c r="B5516" s="8" t="s">
        <v>5222</v>
      </c>
      <c r="C5516" s="8" t="s">
        <v>16651</v>
      </c>
      <c r="D5516" s="8" t="s">
        <v>16</v>
      </c>
      <c r="E5516" s="8" t="s">
        <v>17</v>
      </c>
      <c r="F5516" s="9">
        <v>46183.0</v>
      </c>
      <c r="G5516" s="8" t="s">
        <v>3434</v>
      </c>
      <c r="H5516" s="8" t="s">
        <v>16652</v>
      </c>
      <c r="I5516" s="8" t="s">
        <v>16653</v>
      </c>
      <c r="J5516" s="8" t="s">
        <v>16654</v>
      </c>
    </row>
    <row r="5517">
      <c r="A5517" s="7">
        <v>2.0065498E7</v>
      </c>
      <c r="B5517" s="8" t="s">
        <v>5222</v>
      </c>
      <c r="C5517" s="8" t="s">
        <v>16655</v>
      </c>
      <c r="D5517" s="8" t="s">
        <v>16</v>
      </c>
      <c r="E5517" s="8" t="s">
        <v>17</v>
      </c>
      <c r="F5517" s="9">
        <v>46169.0</v>
      </c>
      <c r="G5517" s="8" t="s">
        <v>3434</v>
      </c>
      <c r="H5517" s="8" t="s">
        <v>16652</v>
      </c>
      <c r="I5517" s="8" t="s">
        <v>16656</v>
      </c>
      <c r="J5517" s="8" t="s">
        <v>16657</v>
      </c>
    </row>
    <row r="5518">
      <c r="A5518" s="7">
        <v>2.0065034E7</v>
      </c>
      <c r="B5518" s="8" t="s">
        <v>5222</v>
      </c>
      <c r="C5518" s="8" t="s">
        <v>16658</v>
      </c>
      <c r="D5518" s="8" t="s">
        <v>16</v>
      </c>
      <c r="E5518" s="8" t="s">
        <v>17</v>
      </c>
      <c r="F5518" s="9">
        <v>46190.0</v>
      </c>
      <c r="G5518" s="8" t="s">
        <v>16659</v>
      </c>
      <c r="H5518" s="8" t="s">
        <v>16660</v>
      </c>
      <c r="I5518" s="8" t="s">
        <v>16661</v>
      </c>
      <c r="J5518" s="8" t="s">
        <v>16662</v>
      </c>
    </row>
    <row r="5519">
      <c r="A5519" s="7">
        <v>2.0056426E7</v>
      </c>
      <c r="B5519" s="8" t="s">
        <v>5222</v>
      </c>
      <c r="C5519" s="8" t="s">
        <v>16663</v>
      </c>
      <c r="D5519" s="8" t="s">
        <v>16</v>
      </c>
      <c r="E5519" s="8" t="s">
        <v>17</v>
      </c>
      <c r="F5519" s="9">
        <v>46136.0</v>
      </c>
      <c r="G5519" s="8" t="s">
        <v>2666</v>
      </c>
      <c r="H5519" s="8" t="s">
        <v>2667</v>
      </c>
      <c r="I5519" s="8" t="s">
        <v>16664</v>
      </c>
      <c r="J5519" s="8" t="s">
        <v>16665</v>
      </c>
    </row>
    <row r="5520">
      <c r="A5520" s="7">
        <v>2.005253E7</v>
      </c>
      <c r="B5520" s="8" t="s">
        <v>5222</v>
      </c>
      <c r="C5520" s="8" t="s">
        <v>16666</v>
      </c>
      <c r="D5520" s="8" t="s">
        <v>16</v>
      </c>
      <c r="E5520" s="8" t="s">
        <v>17</v>
      </c>
      <c r="F5520" s="9">
        <v>46109.0</v>
      </c>
      <c r="G5520" s="8" t="s">
        <v>1081</v>
      </c>
      <c r="H5520" s="8" t="s">
        <v>44</v>
      </c>
      <c r="I5520" s="8" t="s">
        <v>16667</v>
      </c>
      <c r="J5520" s="8" t="s">
        <v>16668</v>
      </c>
    </row>
    <row r="5521">
      <c r="A5521" s="7">
        <v>2.0045688E7</v>
      </c>
      <c r="B5521" s="8" t="s">
        <v>5222</v>
      </c>
      <c r="C5521" s="8" t="s">
        <v>16669</v>
      </c>
      <c r="D5521" s="8" t="s">
        <v>16</v>
      </c>
      <c r="E5521" s="8" t="s">
        <v>17</v>
      </c>
      <c r="F5521" s="9">
        <v>46085.0</v>
      </c>
      <c r="G5521" s="8" t="s">
        <v>5030</v>
      </c>
      <c r="H5521" s="8" t="s">
        <v>44</v>
      </c>
      <c r="I5521" s="8" t="s">
        <v>16670</v>
      </c>
      <c r="J5521" s="8" t="s">
        <v>16671</v>
      </c>
    </row>
    <row r="5522">
      <c r="A5522" s="7">
        <v>2.0042232E7</v>
      </c>
      <c r="B5522" s="8" t="s">
        <v>5222</v>
      </c>
      <c r="C5522" s="8" t="s">
        <v>16672</v>
      </c>
      <c r="D5522" s="8" t="s">
        <v>16</v>
      </c>
      <c r="E5522" s="8" t="s">
        <v>17</v>
      </c>
      <c r="F5522" s="9">
        <v>46076.0</v>
      </c>
      <c r="G5522" s="8" t="s">
        <v>12566</v>
      </c>
      <c r="H5522" s="8" t="s">
        <v>12567</v>
      </c>
      <c r="I5522" s="8" t="s">
        <v>16673</v>
      </c>
      <c r="J5522" s="8" t="s">
        <v>16674</v>
      </c>
    </row>
    <row r="5523">
      <c r="A5523" s="7">
        <v>2.007294E7</v>
      </c>
      <c r="B5523" s="8" t="s">
        <v>5222</v>
      </c>
      <c r="C5523" s="8" t="s">
        <v>16675</v>
      </c>
      <c r="D5523" s="8" t="s">
        <v>2136</v>
      </c>
      <c r="E5523" s="8" t="s">
        <v>17</v>
      </c>
      <c r="F5523" s="9">
        <v>46193.0</v>
      </c>
      <c r="G5523" s="8" t="s">
        <v>846</v>
      </c>
      <c r="H5523" s="8" t="s">
        <v>847</v>
      </c>
      <c r="I5523" s="8" t="s">
        <v>16676</v>
      </c>
      <c r="J5523" s="8" t="s">
        <v>16677</v>
      </c>
    </row>
    <row r="5524">
      <c r="A5524" s="7">
        <v>2.0066946E7</v>
      </c>
      <c r="B5524" s="8" t="s">
        <v>5222</v>
      </c>
      <c r="C5524" s="8" t="s">
        <v>16678</v>
      </c>
      <c r="D5524" s="8" t="s">
        <v>16</v>
      </c>
      <c r="E5524" s="8" t="s">
        <v>17</v>
      </c>
      <c r="F5524" s="9">
        <v>46171.0</v>
      </c>
      <c r="G5524" s="8" t="s">
        <v>805</v>
      </c>
      <c r="H5524" s="8" t="s">
        <v>806</v>
      </c>
      <c r="I5524" s="8" t="s">
        <v>16679</v>
      </c>
      <c r="J5524" s="8" t="s">
        <v>16680</v>
      </c>
    </row>
    <row r="5525">
      <c r="A5525" s="7">
        <v>2.006044E7</v>
      </c>
      <c r="B5525" s="8" t="s">
        <v>5222</v>
      </c>
      <c r="C5525" s="8" t="s">
        <v>16681</v>
      </c>
      <c r="D5525" s="8" t="s">
        <v>2136</v>
      </c>
      <c r="E5525" s="8" t="s">
        <v>17</v>
      </c>
      <c r="F5525" s="9">
        <v>46143.0</v>
      </c>
      <c r="G5525" s="8" t="s">
        <v>59</v>
      </c>
      <c r="H5525" s="8" t="s">
        <v>60</v>
      </c>
      <c r="I5525" s="8" t="s">
        <v>16682</v>
      </c>
      <c r="J5525" s="8" t="s">
        <v>16683</v>
      </c>
    </row>
    <row r="5526">
      <c r="A5526" s="7">
        <v>2.0058374E7</v>
      </c>
      <c r="B5526" s="8" t="s">
        <v>5222</v>
      </c>
      <c r="C5526" s="8" t="s">
        <v>16684</v>
      </c>
      <c r="D5526" s="8" t="s">
        <v>16</v>
      </c>
      <c r="E5526" s="8" t="s">
        <v>17</v>
      </c>
      <c r="F5526" s="9">
        <v>46182.0</v>
      </c>
      <c r="G5526" s="8" t="s">
        <v>14948</v>
      </c>
      <c r="H5526" s="8" t="s">
        <v>14949</v>
      </c>
      <c r="I5526" s="8" t="s">
        <v>16685</v>
      </c>
      <c r="J5526" s="8" t="s">
        <v>16686</v>
      </c>
    </row>
    <row r="5527">
      <c r="A5527" s="7">
        <v>2.0056578E7</v>
      </c>
      <c r="B5527" s="8" t="s">
        <v>5222</v>
      </c>
      <c r="C5527" s="8" t="s">
        <v>16687</v>
      </c>
      <c r="D5527" s="8" t="s">
        <v>16</v>
      </c>
      <c r="E5527" s="8" t="s">
        <v>17</v>
      </c>
      <c r="F5527" s="9">
        <v>46177.0</v>
      </c>
      <c r="G5527" s="8" t="s">
        <v>15686</v>
      </c>
      <c r="H5527" s="8" t="s">
        <v>10007</v>
      </c>
      <c r="I5527" s="8" t="s">
        <v>16688</v>
      </c>
      <c r="J5527" s="8" t="s">
        <v>16689</v>
      </c>
    </row>
    <row r="5528">
      <c r="A5528" s="7">
        <v>2.0056576E7</v>
      </c>
      <c r="B5528" s="8" t="s">
        <v>5222</v>
      </c>
      <c r="C5528" s="8" t="s">
        <v>16690</v>
      </c>
      <c r="D5528" s="8" t="s">
        <v>16</v>
      </c>
      <c r="E5528" s="8" t="s">
        <v>17</v>
      </c>
      <c r="F5528" s="9">
        <v>46134.0</v>
      </c>
      <c r="G5528" s="8" t="s">
        <v>9375</v>
      </c>
      <c r="H5528" s="8" t="s">
        <v>9376</v>
      </c>
      <c r="I5528" s="8" t="s">
        <v>16691</v>
      </c>
      <c r="J5528" s="8" t="s">
        <v>16692</v>
      </c>
    </row>
    <row r="5529">
      <c r="A5529" s="7">
        <v>2.0056576E7</v>
      </c>
      <c r="B5529" s="8" t="s">
        <v>5222</v>
      </c>
      <c r="C5529" s="8" t="s">
        <v>16690</v>
      </c>
      <c r="D5529" s="8" t="s">
        <v>16</v>
      </c>
      <c r="E5529" s="8" t="s">
        <v>17</v>
      </c>
      <c r="F5529" s="9">
        <v>46134.0</v>
      </c>
      <c r="G5529" s="8" t="s">
        <v>9383</v>
      </c>
      <c r="H5529" s="8" t="s">
        <v>9384</v>
      </c>
      <c r="I5529" s="8" t="s">
        <v>16693</v>
      </c>
      <c r="J5529" s="8" t="s">
        <v>16694</v>
      </c>
    </row>
    <row r="5530">
      <c r="A5530" s="7">
        <v>2.0049158E7</v>
      </c>
      <c r="B5530" s="8" t="s">
        <v>5222</v>
      </c>
      <c r="C5530" s="8" t="s">
        <v>16695</v>
      </c>
      <c r="D5530" s="8" t="s">
        <v>16</v>
      </c>
      <c r="E5530" s="8" t="s">
        <v>17</v>
      </c>
      <c r="F5530" s="9">
        <v>46099.0</v>
      </c>
      <c r="G5530" s="8" t="s">
        <v>826</v>
      </c>
      <c r="H5530" s="8" t="s">
        <v>827</v>
      </c>
      <c r="I5530" s="8" t="s">
        <v>16696</v>
      </c>
      <c r="J5530" s="8" t="s">
        <v>16697</v>
      </c>
    </row>
    <row r="5531">
      <c r="A5531" s="7">
        <v>2.0049379E7</v>
      </c>
      <c r="B5531" s="8" t="s">
        <v>5222</v>
      </c>
      <c r="C5531" s="8" t="s">
        <v>16698</v>
      </c>
      <c r="D5531" s="8" t="s">
        <v>16</v>
      </c>
      <c r="E5531" s="8" t="s">
        <v>17</v>
      </c>
      <c r="F5531" s="9">
        <v>46096.0</v>
      </c>
      <c r="G5531" s="8" t="s">
        <v>805</v>
      </c>
      <c r="H5531" s="8" t="s">
        <v>806</v>
      </c>
      <c r="I5531" s="8" t="s">
        <v>16699</v>
      </c>
      <c r="J5531" s="8" t="s">
        <v>16700</v>
      </c>
    </row>
    <row r="5532">
      <c r="A5532" s="7">
        <v>2.0044906E7</v>
      </c>
      <c r="B5532" s="8" t="s">
        <v>5222</v>
      </c>
      <c r="C5532" s="8" t="s">
        <v>16701</v>
      </c>
      <c r="D5532" s="8" t="s">
        <v>16</v>
      </c>
      <c r="E5532" s="8" t="s">
        <v>17</v>
      </c>
      <c r="F5532" s="9">
        <v>46101.0</v>
      </c>
      <c r="G5532" s="8" t="s">
        <v>64</v>
      </c>
      <c r="H5532" s="8" t="s">
        <v>65</v>
      </c>
      <c r="I5532" s="8" t="s">
        <v>16702</v>
      </c>
      <c r="J5532" s="8" t="s">
        <v>16703</v>
      </c>
    </row>
    <row r="5533">
      <c r="A5533" s="7">
        <v>2.0042491E7</v>
      </c>
      <c r="B5533" s="8" t="s">
        <v>5222</v>
      </c>
      <c r="C5533" s="8" t="s">
        <v>16704</v>
      </c>
      <c r="D5533" s="8" t="s">
        <v>16</v>
      </c>
      <c r="E5533" s="8" t="s">
        <v>17</v>
      </c>
      <c r="F5533" s="9">
        <v>46078.0</v>
      </c>
      <c r="G5533" s="8" t="s">
        <v>826</v>
      </c>
      <c r="H5533" s="8" t="s">
        <v>827</v>
      </c>
      <c r="I5533" s="8" t="s">
        <v>16705</v>
      </c>
      <c r="J5533" s="8" t="s">
        <v>16706</v>
      </c>
    </row>
    <row r="5534">
      <c r="A5534" s="7">
        <v>2.00383E7</v>
      </c>
      <c r="B5534" s="8" t="s">
        <v>5222</v>
      </c>
      <c r="C5534" s="8" t="s">
        <v>16707</v>
      </c>
      <c r="D5534" s="8" t="s">
        <v>16</v>
      </c>
      <c r="E5534" s="8" t="s">
        <v>17</v>
      </c>
      <c r="F5534" s="9">
        <v>46091.0</v>
      </c>
      <c r="G5534" s="8" t="s">
        <v>3270</v>
      </c>
      <c r="H5534" s="8" t="s">
        <v>3271</v>
      </c>
      <c r="I5534" s="8" t="s">
        <v>16708</v>
      </c>
      <c r="J5534" s="8" t="s">
        <v>16709</v>
      </c>
    </row>
    <row r="5535">
      <c r="A5535" s="7">
        <v>2.0040875E7</v>
      </c>
      <c r="B5535" s="8" t="s">
        <v>5222</v>
      </c>
      <c r="C5535" s="8" t="s">
        <v>16710</v>
      </c>
      <c r="D5535" s="8" t="s">
        <v>16</v>
      </c>
      <c r="E5535" s="8" t="s">
        <v>17</v>
      </c>
      <c r="F5535" s="9">
        <v>46078.0</v>
      </c>
      <c r="G5535" s="8" t="s">
        <v>7637</v>
      </c>
      <c r="H5535" s="8" t="s">
        <v>1111</v>
      </c>
      <c r="I5535" s="8" t="s">
        <v>16711</v>
      </c>
      <c r="J5535" s="8" t="s">
        <v>16712</v>
      </c>
    </row>
    <row r="5536">
      <c r="A5536" s="7">
        <v>2.0033921E7</v>
      </c>
      <c r="B5536" s="8" t="s">
        <v>5222</v>
      </c>
      <c r="C5536" s="8" t="s">
        <v>16713</v>
      </c>
      <c r="D5536" s="8" t="s">
        <v>16</v>
      </c>
      <c r="E5536" s="8" t="s">
        <v>17</v>
      </c>
      <c r="F5536" s="9">
        <v>46036.0</v>
      </c>
      <c r="G5536" s="8" t="s">
        <v>1093</v>
      </c>
      <c r="H5536" s="8" t="s">
        <v>1094</v>
      </c>
      <c r="I5536" s="8" t="s">
        <v>16714</v>
      </c>
      <c r="J5536" s="8" t="s">
        <v>16715</v>
      </c>
    </row>
    <row r="5537">
      <c r="A5537" s="7">
        <v>2.0073107E7</v>
      </c>
      <c r="B5537" s="8" t="s">
        <v>5222</v>
      </c>
      <c r="C5537" s="8" t="s">
        <v>16716</v>
      </c>
      <c r="D5537" s="8" t="s">
        <v>2136</v>
      </c>
      <c r="E5537" s="8" t="s">
        <v>17</v>
      </c>
      <c r="F5537" s="9">
        <v>46193.0</v>
      </c>
      <c r="G5537" s="8" t="s">
        <v>59</v>
      </c>
      <c r="H5537" s="8" t="s">
        <v>60</v>
      </c>
      <c r="I5537" s="8" t="s">
        <v>16717</v>
      </c>
      <c r="J5537" s="8" t="s">
        <v>16718</v>
      </c>
    </row>
    <row r="5538">
      <c r="A5538" s="7">
        <v>2.0062363E7</v>
      </c>
      <c r="B5538" s="8" t="s">
        <v>5222</v>
      </c>
      <c r="C5538" s="8" t="s">
        <v>16719</v>
      </c>
      <c r="D5538" s="8" t="s">
        <v>2136</v>
      </c>
      <c r="E5538" s="8" t="s">
        <v>17</v>
      </c>
      <c r="F5538" s="9">
        <v>46150.0</v>
      </c>
      <c r="G5538" s="8" t="s">
        <v>247</v>
      </c>
      <c r="H5538" s="8" t="s">
        <v>248</v>
      </c>
      <c r="I5538" s="8" t="s">
        <v>16720</v>
      </c>
      <c r="J5538" s="8" t="s">
        <v>16721</v>
      </c>
    </row>
    <row r="5539">
      <c r="A5539" s="7">
        <v>2.0059151E7</v>
      </c>
      <c r="B5539" s="8" t="s">
        <v>5222</v>
      </c>
      <c r="C5539" s="8" t="s">
        <v>16722</v>
      </c>
      <c r="D5539" s="8" t="s">
        <v>16</v>
      </c>
      <c r="E5539" s="8" t="s">
        <v>17</v>
      </c>
      <c r="F5539" s="9">
        <v>46157.0</v>
      </c>
      <c r="G5539" s="8" t="s">
        <v>3136</v>
      </c>
      <c r="H5539" s="8" t="s">
        <v>3137</v>
      </c>
      <c r="I5539" s="8" t="s">
        <v>16723</v>
      </c>
      <c r="J5539" s="8"/>
    </row>
    <row r="5540">
      <c r="A5540" s="7">
        <v>2.0041311E7</v>
      </c>
      <c r="B5540" s="8" t="s">
        <v>5222</v>
      </c>
      <c r="C5540" s="8" t="s">
        <v>16724</v>
      </c>
      <c r="D5540" s="8" t="s">
        <v>16</v>
      </c>
      <c r="E5540" s="8" t="s">
        <v>17</v>
      </c>
      <c r="F5540" s="9">
        <v>46073.0</v>
      </c>
      <c r="G5540" s="8" t="s">
        <v>2511</v>
      </c>
      <c r="H5540" s="8" t="s">
        <v>2512</v>
      </c>
      <c r="I5540" s="8" t="s">
        <v>16725</v>
      </c>
      <c r="J5540" s="8" t="s">
        <v>16726</v>
      </c>
    </row>
    <row r="5541">
      <c r="A5541" s="7">
        <v>2.0041056E7</v>
      </c>
      <c r="B5541" s="8" t="s">
        <v>5222</v>
      </c>
      <c r="C5541" s="8" t="s">
        <v>16727</v>
      </c>
      <c r="D5541" s="8" t="s">
        <v>16</v>
      </c>
      <c r="E5541" s="8" t="s">
        <v>17</v>
      </c>
      <c r="F5541" s="9">
        <v>46089.0</v>
      </c>
      <c r="G5541" s="8" t="s">
        <v>1888</v>
      </c>
      <c r="H5541" s="8" t="s">
        <v>1889</v>
      </c>
      <c r="I5541" s="8" t="s">
        <v>16728</v>
      </c>
      <c r="J5541" s="8" t="s">
        <v>16729</v>
      </c>
    </row>
    <row r="5542">
      <c r="A5542" s="7">
        <v>2.0041056E7</v>
      </c>
      <c r="B5542" s="8" t="s">
        <v>5222</v>
      </c>
      <c r="C5542" s="8" t="s">
        <v>16727</v>
      </c>
      <c r="D5542" s="8" t="s">
        <v>16</v>
      </c>
      <c r="E5542" s="8" t="s">
        <v>17</v>
      </c>
      <c r="F5542" s="9">
        <v>46089.0</v>
      </c>
      <c r="G5542" s="8" t="s">
        <v>846</v>
      </c>
      <c r="H5542" s="8" t="s">
        <v>847</v>
      </c>
      <c r="I5542" s="8" t="s">
        <v>16730</v>
      </c>
      <c r="J5542" s="8" t="s">
        <v>16731</v>
      </c>
    </row>
    <row r="5543">
      <c r="A5543" s="7">
        <v>2.0041056E7</v>
      </c>
      <c r="B5543" s="8" t="s">
        <v>5222</v>
      </c>
      <c r="C5543" s="8" t="s">
        <v>16727</v>
      </c>
      <c r="D5543" s="8" t="s">
        <v>16</v>
      </c>
      <c r="E5543" s="8" t="s">
        <v>17</v>
      </c>
      <c r="F5543" s="9">
        <v>46089.0</v>
      </c>
      <c r="G5543" s="8" t="s">
        <v>91</v>
      </c>
      <c r="H5543" s="8" t="s">
        <v>92</v>
      </c>
      <c r="I5543" s="8" t="s">
        <v>16732</v>
      </c>
      <c r="J5543" s="8" t="s">
        <v>16733</v>
      </c>
    </row>
    <row r="5544">
      <c r="A5544" s="7">
        <v>2.0024733E7</v>
      </c>
      <c r="B5544" s="8" t="s">
        <v>5222</v>
      </c>
      <c r="C5544" s="8" t="s">
        <v>16734</v>
      </c>
      <c r="D5544" s="8" t="s">
        <v>16</v>
      </c>
      <c r="E5544" s="8" t="s">
        <v>69</v>
      </c>
      <c r="F5544" s="9">
        <v>46058.0</v>
      </c>
      <c r="G5544" s="8" t="s">
        <v>3043</v>
      </c>
      <c r="H5544" s="8" t="s">
        <v>1111</v>
      </c>
      <c r="I5544" s="8" t="s">
        <v>16735</v>
      </c>
      <c r="J5544" s="8" t="s">
        <v>16736</v>
      </c>
    </row>
    <row r="5545">
      <c r="A5545" s="7">
        <v>2.0049194E7</v>
      </c>
      <c r="B5545" s="8" t="s">
        <v>5222</v>
      </c>
      <c r="C5545" s="8" t="s">
        <v>16737</v>
      </c>
      <c r="D5545" s="8" t="s">
        <v>16</v>
      </c>
      <c r="E5545" s="8" t="s">
        <v>17</v>
      </c>
      <c r="F5545" s="9">
        <v>46103.0</v>
      </c>
      <c r="G5545" s="8" t="s">
        <v>34</v>
      </c>
      <c r="H5545" s="8" t="s">
        <v>35</v>
      </c>
      <c r="I5545" s="8" t="s">
        <v>16738</v>
      </c>
      <c r="J5545" s="8" t="s">
        <v>16739</v>
      </c>
    </row>
    <row r="5546">
      <c r="A5546" s="7">
        <v>2.0049194E7</v>
      </c>
      <c r="B5546" s="8" t="s">
        <v>5222</v>
      </c>
      <c r="C5546" s="8" t="s">
        <v>16737</v>
      </c>
      <c r="D5546" s="8" t="s">
        <v>16</v>
      </c>
      <c r="E5546" s="8" t="s">
        <v>17</v>
      </c>
      <c r="F5546" s="9">
        <v>46103.0</v>
      </c>
      <c r="G5546" s="8" t="s">
        <v>2511</v>
      </c>
      <c r="H5546" s="8" t="s">
        <v>2512</v>
      </c>
      <c r="I5546" s="8" t="s">
        <v>16740</v>
      </c>
      <c r="J5546" s="8" t="s">
        <v>16741</v>
      </c>
    </row>
    <row r="5547">
      <c r="A5547" s="7">
        <v>2.0048909E7</v>
      </c>
      <c r="B5547" s="8" t="s">
        <v>5222</v>
      </c>
      <c r="C5547" s="8" t="s">
        <v>16742</v>
      </c>
      <c r="D5547" s="8" t="s">
        <v>16</v>
      </c>
      <c r="E5547" s="8" t="s">
        <v>17</v>
      </c>
      <c r="F5547" s="9">
        <v>46108.0</v>
      </c>
      <c r="G5547" s="8" t="s">
        <v>1754</v>
      </c>
      <c r="H5547" s="8" t="s">
        <v>1755</v>
      </c>
      <c r="I5547" s="8" t="s">
        <v>16743</v>
      </c>
      <c r="J5547" s="8" t="s">
        <v>16744</v>
      </c>
    </row>
    <row r="5548">
      <c r="A5548" s="7">
        <v>2.00355E7</v>
      </c>
      <c r="B5548" s="8" t="s">
        <v>5222</v>
      </c>
      <c r="C5548" s="8" t="s">
        <v>16745</v>
      </c>
      <c r="D5548" s="8" t="s">
        <v>16</v>
      </c>
      <c r="E5548" s="8" t="s">
        <v>17</v>
      </c>
      <c r="F5548" s="9">
        <v>46046.0</v>
      </c>
      <c r="G5548" s="8" t="s">
        <v>846</v>
      </c>
      <c r="H5548" s="8" t="s">
        <v>847</v>
      </c>
      <c r="I5548" s="8" t="s">
        <v>16746</v>
      </c>
      <c r="J5548" s="8" t="s">
        <v>16747</v>
      </c>
    </row>
    <row r="5549">
      <c r="A5549" s="7">
        <v>2.0069727E7</v>
      </c>
      <c r="B5549" s="8" t="s">
        <v>5222</v>
      </c>
      <c r="C5549" s="8" t="s">
        <v>16748</v>
      </c>
      <c r="D5549" s="8" t="s">
        <v>16</v>
      </c>
      <c r="E5549" s="8" t="s">
        <v>17</v>
      </c>
      <c r="F5549" s="9">
        <v>46180.0</v>
      </c>
      <c r="G5549" s="8" t="s">
        <v>873</v>
      </c>
      <c r="H5549" s="8" t="s">
        <v>874</v>
      </c>
      <c r="I5549" s="8" t="s">
        <v>16749</v>
      </c>
      <c r="J5549" s="8" t="s">
        <v>16750</v>
      </c>
    </row>
    <row r="5550">
      <c r="A5550" s="7">
        <v>2.0063058E7</v>
      </c>
      <c r="B5550" s="8" t="s">
        <v>5222</v>
      </c>
      <c r="C5550" s="8" t="s">
        <v>16751</v>
      </c>
      <c r="D5550" s="8" t="s">
        <v>16</v>
      </c>
      <c r="E5550" s="8" t="s">
        <v>17</v>
      </c>
      <c r="F5550" s="9">
        <v>46163.0</v>
      </c>
      <c r="G5550" s="8" t="s">
        <v>3200</v>
      </c>
      <c r="H5550" s="8" t="s">
        <v>12909</v>
      </c>
      <c r="I5550" s="8" t="s">
        <v>16752</v>
      </c>
      <c r="J5550" s="8" t="s">
        <v>16753</v>
      </c>
    </row>
    <row r="5551">
      <c r="A5551" s="7">
        <v>2.0060441E7</v>
      </c>
      <c r="B5551" s="8" t="s">
        <v>5222</v>
      </c>
      <c r="C5551" s="8" t="s">
        <v>16754</v>
      </c>
      <c r="D5551" s="8" t="s">
        <v>16</v>
      </c>
      <c r="E5551" s="8" t="s">
        <v>17</v>
      </c>
      <c r="F5551" s="9">
        <v>46143.0</v>
      </c>
      <c r="G5551" s="8" t="s">
        <v>385</v>
      </c>
      <c r="H5551" s="8" t="s">
        <v>386</v>
      </c>
      <c r="I5551" s="8" t="s">
        <v>16755</v>
      </c>
      <c r="J5551" s="8" t="s">
        <v>16756</v>
      </c>
    </row>
    <row r="5552">
      <c r="A5552" s="7">
        <v>2.0058114E7</v>
      </c>
      <c r="B5552" s="8" t="s">
        <v>5222</v>
      </c>
      <c r="C5552" s="8" t="s">
        <v>16757</v>
      </c>
      <c r="D5552" s="8" t="s">
        <v>16</v>
      </c>
      <c r="E5552" s="8" t="s">
        <v>17</v>
      </c>
      <c r="F5552" s="9">
        <v>46133.0</v>
      </c>
      <c r="G5552" s="8" t="s">
        <v>91</v>
      </c>
      <c r="H5552" s="8" t="s">
        <v>92</v>
      </c>
      <c r="I5552" s="8" t="s">
        <v>16758</v>
      </c>
      <c r="J5552" s="8" t="s">
        <v>16759</v>
      </c>
    </row>
    <row r="5553">
      <c r="A5553" s="7">
        <v>2.0050465E7</v>
      </c>
      <c r="B5553" s="8" t="s">
        <v>5222</v>
      </c>
      <c r="C5553" s="8" t="s">
        <v>16760</v>
      </c>
      <c r="D5553" s="8" t="s">
        <v>16</v>
      </c>
      <c r="E5553" s="8" t="s">
        <v>17</v>
      </c>
      <c r="F5553" s="9">
        <v>46102.0</v>
      </c>
      <c r="G5553" s="8" t="s">
        <v>517</v>
      </c>
      <c r="H5553" s="8" t="s">
        <v>518</v>
      </c>
      <c r="I5553" s="8" t="s">
        <v>16761</v>
      </c>
      <c r="J5553" s="8" t="s">
        <v>16762</v>
      </c>
    </row>
    <row r="5554">
      <c r="A5554" s="7">
        <v>2.0049323E7</v>
      </c>
      <c r="B5554" s="8" t="s">
        <v>5222</v>
      </c>
      <c r="C5554" s="8" t="s">
        <v>16763</v>
      </c>
      <c r="D5554" s="8" t="s">
        <v>16</v>
      </c>
      <c r="E5554" s="8" t="s">
        <v>17</v>
      </c>
      <c r="F5554" s="9">
        <v>46100.0</v>
      </c>
      <c r="G5554" s="8" t="s">
        <v>1557</v>
      </c>
      <c r="H5554" s="8" t="s">
        <v>1558</v>
      </c>
      <c r="I5554" s="8" t="s">
        <v>16764</v>
      </c>
      <c r="J5554" s="8" t="s">
        <v>16765</v>
      </c>
    </row>
    <row r="5555">
      <c r="A5555" s="7">
        <v>2.003667E7</v>
      </c>
      <c r="B5555" s="8" t="s">
        <v>5222</v>
      </c>
      <c r="C5555" s="8" t="s">
        <v>16766</v>
      </c>
      <c r="D5555" s="8" t="s">
        <v>16</v>
      </c>
      <c r="E5555" s="8" t="s">
        <v>17</v>
      </c>
      <c r="F5555" s="9">
        <v>46056.0</v>
      </c>
      <c r="G5555" s="8" t="s">
        <v>59</v>
      </c>
      <c r="H5555" s="8" t="s">
        <v>60</v>
      </c>
      <c r="I5555" s="8" t="s">
        <v>16767</v>
      </c>
      <c r="J5555" s="8" t="s">
        <v>16768</v>
      </c>
    </row>
    <row r="5556">
      <c r="A5556" s="7">
        <v>2.0036592E7</v>
      </c>
      <c r="B5556" s="8" t="s">
        <v>5222</v>
      </c>
      <c r="C5556" s="8" t="s">
        <v>16769</v>
      </c>
      <c r="D5556" s="8" t="s">
        <v>16</v>
      </c>
      <c r="E5556" s="8" t="s">
        <v>48</v>
      </c>
      <c r="F5556" s="9">
        <v>46048.0</v>
      </c>
      <c r="G5556" s="8" t="s">
        <v>846</v>
      </c>
      <c r="H5556" s="8" t="s">
        <v>847</v>
      </c>
      <c r="I5556" s="8" t="s">
        <v>16770</v>
      </c>
      <c r="J5556" s="8" t="s">
        <v>16771</v>
      </c>
    </row>
    <row r="5557">
      <c r="A5557" s="7">
        <v>2.0036592E7</v>
      </c>
      <c r="B5557" s="8" t="s">
        <v>5222</v>
      </c>
      <c r="C5557" s="8" t="s">
        <v>16772</v>
      </c>
      <c r="D5557" s="8" t="s">
        <v>16</v>
      </c>
      <c r="E5557" s="8" t="s">
        <v>17</v>
      </c>
      <c r="F5557" s="9">
        <v>46064.0</v>
      </c>
      <c r="G5557" s="8" t="s">
        <v>846</v>
      </c>
      <c r="H5557" s="8" t="s">
        <v>847</v>
      </c>
      <c r="I5557" s="8"/>
      <c r="J5557" s="8" t="s">
        <v>16771</v>
      </c>
    </row>
    <row r="5558">
      <c r="A5558" s="7">
        <v>2.0061832E7</v>
      </c>
      <c r="B5558" s="8" t="s">
        <v>5222</v>
      </c>
      <c r="C5558" s="8" t="s">
        <v>16773</v>
      </c>
      <c r="D5558" s="8" t="s">
        <v>16</v>
      </c>
      <c r="E5558" s="8" t="s">
        <v>17</v>
      </c>
      <c r="F5558" s="9">
        <v>46176.0</v>
      </c>
      <c r="G5558" s="8" t="s">
        <v>7407</v>
      </c>
      <c r="H5558" s="8" t="s">
        <v>7408</v>
      </c>
      <c r="I5558" s="8" t="s">
        <v>16774</v>
      </c>
      <c r="J5558" s="8" t="s">
        <v>16775</v>
      </c>
    </row>
    <row r="5559">
      <c r="A5559" s="7">
        <v>2.0061832E7</v>
      </c>
      <c r="B5559" s="8" t="s">
        <v>5222</v>
      </c>
      <c r="C5559" s="8" t="s">
        <v>16773</v>
      </c>
      <c r="D5559" s="8" t="s">
        <v>16</v>
      </c>
      <c r="E5559" s="8" t="s">
        <v>17</v>
      </c>
      <c r="F5559" s="9">
        <v>46176.0</v>
      </c>
      <c r="G5559" s="8" t="s">
        <v>7411</v>
      </c>
      <c r="H5559" s="8" t="s">
        <v>7412</v>
      </c>
      <c r="I5559" s="8" t="s">
        <v>16776</v>
      </c>
      <c r="J5559" s="8" t="s">
        <v>16777</v>
      </c>
    </row>
    <row r="5560">
      <c r="A5560" s="7">
        <v>2.00606E7</v>
      </c>
      <c r="B5560" s="8" t="s">
        <v>5222</v>
      </c>
      <c r="C5560" s="8" t="s">
        <v>16778</v>
      </c>
      <c r="D5560" s="8" t="s">
        <v>2136</v>
      </c>
      <c r="E5560" s="8" t="s">
        <v>17</v>
      </c>
      <c r="F5560" s="9">
        <v>46144.0</v>
      </c>
      <c r="G5560" s="8" t="s">
        <v>59</v>
      </c>
      <c r="H5560" s="8" t="s">
        <v>60</v>
      </c>
      <c r="I5560" s="8" t="s">
        <v>16779</v>
      </c>
      <c r="J5560" s="8" t="s">
        <v>16780</v>
      </c>
    </row>
    <row r="5561">
      <c r="A5561" s="7">
        <v>2.0052878E7</v>
      </c>
      <c r="B5561" s="8" t="s">
        <v>5222</v>
      </c>
      <c r="C5561" s="8" t="s">
        <v>16781</v>
      </c>
      <c r="D5561" s="8" t="s">
        <v>16</v>
      </c>
      <c r="E5561" s="8" t="s">
        <v>17</v>
      </c>
      <c r="F5561" s="9">
        <v>46109.0</v>
      </c>
      <c r="G5561" s="8" t="s">
        <v>846</v>
      </c>
      <c r="H5561" s="8" t="s">
        <v>847</v>
      </c>
      <c r="I5561" s="8" t="s">
        <v>16782</v>
      </c>
      <c r="J5561" s="8" t="s">
        <v>16783</v>
      </c>
    </row>
    <row r="5562">
      <c r="A5562" s="7">
        <v>2.0048513E7</v>
      </c>
      <c r="B5562" s="8" t="s">
        <v>5222</v>
      </c>
      <c r="C5562" s="8" t="s">
        <v>16784</v>
      </c>
      <c r="D5562" s="8" t="s">
        <v>16</v>
      </c>
      <c r="E5562" s="8" t="s">
        <v>17</v>
      </c>
      <c r="F5562" s="9">
        <v>46095.0</v>
      </c>
      <c r="G5562" s="8" t="s">
        <v>1093</v>
      </c>
      <c r="H5562" s="8" t="s">
        <v>1094</v>
      </c>
      <c r="I5562" s="8" t="s">
        <v>16785</v>
      </c>
      <c r="J5562" s="8" t="s">
        <v>16786</v>
      </c>
    </row>
    <row r="5563">
      <c r="A5563" s="7">
        <v>2.0047608E7</v>
      </c>
      <c r="B5563" s="8" t="s">
        <v>5222</v>
      </c>
      <c r="C5563" s="8" t="s">
        <v>16787</v>
      </c>
      <c r="D5563" s="8" t="s">
        <v>16</v>
      </c>
      <c r="E5563" s="8" t="s">
        <v>17</v>
      </c>
      <c r="F5563" s="9">
        <v>46091.0</v>
      </c>
      <c r="G5563" s="8" t="s">
        <v>385</v>
      </c>
      <c r="H5563" s="8" t="s">
        <v>386</v>
      </c>
      <c r="I5563" s="8" t="s">
        <v>16788</v>
      </c>
      <c r="J5563" s="8" t="s">
        <v>16789</v>
      </c>
    </row>
    <row r="5564">
      <c r="A5564" s="7">
        <v>2.004075E7</v>
      </c>
      <c r="B5564" s="8" t="s">
        <v>5222</v>
      </c>
      <c r="C5564" s="8" t="s">
        <v>16790</v>
      </c>
      <c r="D5564" s="8" t="s">
        <v>16</v>
      </c>
      <c r="E5564" s="8" t="s">
        <v>17</v>
      </c>
      <c r="F5564" s="9">
        <v>46072.0</v>
      </c>
      <c r="G5564" s="8" t="s">
        <v>29</v>
      </c>
      <c r="H5564" s="8" t="s">
        <v>30</v>
      </c>
      <c r="I5564" s="8" t="s">
        <v>16791</v>
      </c>
      <c r="J5564" s="8" t="s">
        <v>16792</v>
      </c>
    </row>
    <row r="5565">
      <c r="A5565" s="7">
        <v>2.004075E7</v>
      </c>
      <c r="B5565" s="8" t="s">
        <v>5222</v>
      </c>
      <c r="C5565" s="8" t="s">
        <v>16790</v>
      </c>
      <c r="D5565" s="8" t="s">
        <v>16</v>
      </c>
      <c r="E5565" s="8" t="s">
        <v>17</v>
      </c>
      <c r="F5565" s="9">
        <v>46072.0</v>
      </c>
      <c r="G5565" s="8" t="s">
        <v>978</v>
      </c>
      <c r="H5565" s="8" t="s">
        <v>979</v>
      </c>
      <c r="I5565" s="8" t="s">
        <v>16793</v>
      </c>
      <c r="J5565" s="8" t="s">
        <v>16794</v>
      </c>
    </row>
    <row r="5566">
      <c r="A5566" s="7">
        <v>2.0035963E7</v>
      </c>
      <c r="B5566" s="8" t="s">
        <v>5222</v>
      </c>
      <c r="C5566" s="8" t="s">
        <v>16795</v>
      </c>
      <c r="D5566" s="8" t="s">
        <v>16</v>
      </c>
      <c r="E5566" s="8" t="s">
        <v>17</v>
      </c>
      <c r="F5566" s="9">
        <v>46043.0</v>
      </c>
      <c r="G5566" s="8" t="s">
        <v>3812</v>
      </c>
      <c r="H5566" s="8" t="s">
        <v>3813</v>
      </c>
      <c r="I5566" s="8" t="s">
        <v>16796</v>
      </c>
      <c r="J5566" s="8" t="s">
        <v>16797</v>
      </c>
    </row>
    <row r="5567">
      <c r="A5567" s="7">
        <v>2.0070097E7</v>
      </c>
      <c r="B5567" s="8" t="s">
        <v>5222</v>
      </c>
      <c r="C5567" s="8" t="s">
        <v>16798</v>
      </c>
      <c r="D5567" s="8" t="s">
        <v>16</v>
      </c>
      <c r="E5567" s="8" t="s">
        <v>17</v>
      </c>
      <c r="F5567" s="9">
        <v>46192.0</v>
      </c>
      <c r="G5567" s="8" t="s">
        <v>400</v>
      </c>
      <c r="H5567" s="8" t="s">
        <v>2144</v>
      </c>
      <c r="I5567" s="8" t="s">
        <v>16799</v>
      </c>
      <c r="J5567" s="8" t="s">
        <v>16800</v>
      </c>
    </row>
    <row r="5568">
      <c r="A5568" s="7">
        <v>2.0056394E7</v>
      </c>
      <c r="B5568" s="8" t="s">
        <v>5222</v>
      </c>
      <c r="C5568" s="8" t="s">
        <v>16801</v>
      </c>
      <c r="D5568" s="8" t="s">
        <v>16</v>
      </c>
      <c r="E5568" s="8" t="s">
        <v>17</v>
      </c>
      <c r="F5568" s="9">
        <v>46128.0</v>
      </c>
      <c r="G5568" s="8" t="s">
        <v>59</v>
      </c>
      <c r="H5568" s="8" t="s">
        <v>60</v>
      </c>
      <c r="I5568" s="8" t="s">
        <v>16802</v>
      </c>
      <c r="J5568" s="8" t="s">
        <v>16803</v>
      </c>
    </row>
    <row r="5569">
      <c r="A5569" s="7">
        <v>2.0047233E7</v>
      </c>
      <c r="B5569" s="8" t="s">
        <v>5222</v>
      </c>
      <c r="C5569" s="8" t="s">
        <v>16804</v>
      </c>
      <c r="D5569" s="8" t="s">
        <v>16</v>
      </c>
      <c r="E5569" s="8" t="s">
        <v>17</v>
      </c>
      <c r="F5569" s="9">
        <v>46103.0</v>
      </c>
      <c r="G5569" s="8" t="s">
        <v>171</v>
      </c>
      <c r="H5569" s="8" t="s">
        <v>172</v>
      </c>
      <c r="I5569" s="8" t="s">
        <v>16805</v>
      </c>
      <c r="J5569" s="8" t="s">
        <v>16806</v>
      </c>
    </row>
    <row r="5570">
      <c r="A5570" s="7">
        <v>2.0043141E7</v>
      </c>
      <c r="B5570" s="8" t="s">
        <v>5222</v>
      </c>
      <c r="C5570" s="8" t="s">
        <v>16807</v>
      </c>
      <c r="D5570" s="8" t="s">
        <v>16</v>
      </c>
      <c r="E5570" s="8" t="s">
        <v>17</v>
      </c>
      <c r="F5570" s="9">
        <v>46095.0</v>
      </c>
      <c r="G5570" s="8" t="s">
        <v>428</v>
      </c>
      <c r="H5570" s="8" t="s">
        <v>429</v>
      </c>
      <c r="I5570" s="8" t="s">
        <v>16808</v>
      </c>
      <c r="J5570" s="8" t="s">
        <v>16809</v>
      </c>
    </row>
    <row r="5571">
      <c r="A5571" s="7">
        <v>2.0043219E7</v>
      </c>
      <c r="B5571" s="8" t="s">
        <v>5222</v>
      </c>
      <c r="C5571" s="8" t="s">
        <v>16810</v>
      </c>
      <c r="D5571" s="8" t="s">
        <v>16</v>
      </c>
      <c r="E5571" s="8" t="s">
        <v>17</v>
      </c>
      <c r="F5571" s="9">
        <v>46071.0</v>
      </c>
      <c r="G5571" s="8" t="s">
        <v>59</v>
      </c>
      <c r="H5571" s="8" t="s">
        <v>60</v>
      </c>
      <c r="I5571" s="8" t="s">
        <v>16811</v>
      </c>
      <c r="J5571" s="8" t="s">
        <v>16812</v>
      </c>
    </row>
    <row r="5572">
      <c r="A5572" s="7">
        <v>2.0040917E7</v>
      </c>
      <c r="B5572" s="8" t="s">
        <v>5222</v>
      </c>
      <c r="C5572" s="8" t="s">
        <v>16813</v>
      </c>
      <c r="D5572" s="8" t="s">
        <v>16</v>
      </c>
      <c r="E5572" s="8" t="s">
        <v>17</v>
      </c>
      <c r="F5572" s="9">
        <v>46074.0</v>
      </c>
      <c r="G5572" s="8" t="s">
        <v>195</v>
      </c>
      <c r="H5572" s="8" t="s">
        <v>196</v>
      </c>
      <c r="I5572" s="8" t="s">
        <v>16814</v>
      </c>
      <c r="J5572" s="8" t="s">
        <v>16815</v>
      </c>
    </row>
    <row r="5573">
      <c r="A5573" s="7">
        <v>2.0036868E7</v>
      </c>
      <c r="B5573" s="8" t="s">
        <v>5222</v>
      </c>
      <c r="C5573" s="8" t="s">
        <v>16816</v>
      </c>
      <c r="D5573" s="8" t="s">
        <v>16</v>
      </c>
      <c r="E5573" s="8" t="s">
        <v>17</v>
      </c>
      <c r="F5573" s="9">
        <v>46055.0</v>
      </c>
      <c r="G5573" s="8" t="s">
        <v>59</v>
      </c>
      <c r="H5573" s="8" t="s">
        <v>60</v>
      </c>
      <c r="I5573" s="8" t="s">
        <v>16817</v>
      </c>
      <c r="J5573" s="8" t="s">
        <v>16818</v>
      </c>
    </row>
    <row r="5574">
      <c r="A5574" s="7">
        <v>2.0033226E7</v>
      </c>
      <c r="B5574" s="8" t="s">
        <v>5222</v>
      </c>
      <c r="C5574" s="8" t="s">
        <v>16819</v>
      </c>
      <c r="D5574" s="8" t="s">
        <v>16</v>
      </c>
      <c r="E5574" s="8" t="s">
        <v>17</v>
      </c>
      <c r="F5574" s="9">
        <v>46043.0</v>
      </c>
      <c r="G5574" s="8" t="s">
        <v>247</v>
      </c>
      <c r="H5574" s="8" t="s">
        <v>248</v>
      </c>
      <c r="I5574" s="8" t="s">
        <v>16820</v>
      </c>
      <c r="J5574" s="8" t="s">
        <v>16821</v>
      </c>
    </row>
    <row r="5575">
      <c r="A5575" s="7">
        <v>2.007032E7</v>
      </c>
      <c r="B5575" s="8" t="s">
        <v>5222</v>
      </c>
      <c r="C5575" s="8" t="s">
        <v>16822</v>
      </c>
      <c r="D5575" s="8" t="s">
        <v>16</v>
      </c>
      <c r="E5575" s="8" t="s">
        <v>17</v>
      </c>
      <c r="F5575" s="9">
        <v>46190.0</v>
      </c>
      <c r="G5575" s="8" t="s">
        <v>1557</v>
      </c>
      <c r="H5575" s="8" t="s">
        <v>1558</v>
      </c>
      <c r="I5575" s="8" t="s">
        <v>16823</v>
      </c>
      <c r="J5575" s="8" t="s">
        <v>16824</v>
      </c>
    </row>
    <row r="5576">
      <c r="A5576" s="7">
        <v>2.0061219E7</v>
      </c>
      <c r="B5576" s="8" t="s">
        <v>5222</v>
      </c>
      <c r="C5576" s="8" t="s">
        <v>16825</v>
      </c>
      <c r="D5576" s="8" t="s">
        <v>16</v>
      </c>
      <c r="E5576" s="8" t="s">
        <v>17</v>
      </c>
      <c r="F5576" s="9">
        <v>46168.0</v>
      </c>
      <c r="G5576" s="8" t="s">
        <v>791</v>
      </c>
      <c r="H5576" s="8" t="s">
        <v>792</v>
      </c>
      <c r="I5576" s="8" t="s">
        <v>16826</v>
      </c>
      <c r="J5576" s="8" t="s">
        <v>16827</v>
      </c>
    </row>
    <row r="5577">
      <c r="A5577" s="7">
        <v>2.0061219E7</v>
      </c>
      <c r="B5577" s="8" t="s">
        <v>5222</v>
      </c>
      <c r="C5577" s="8" t="s">
        <v>16825</v>
      </c>
      <c r="D5577" s="8" t="s">
        <v>16</v>
      </c>
      <c r="E5577" s="8" t="s">
        <v>17</v>
      </c>
      <c r="F5577" s="9">
        <v>46168.0</v>
      </c>
      <c r="G5577" s="8" t="s">
        <v>1841</v>
      </c>
      <c r="H5577" s="8" t="s">
        <v>1842</v>
      </c>
      <c r="I5577" s="8"/>
      <c r="J5577" s="8" t="s">
        <v>16828</v>
      </c>
    </row>
    <row r="5578">
      <c r="A5578" s="7">
        <v>2.0058023E7</v>
      </c>
      <c r="B5578" s="8" t="s">
        <v>5222</v>
      </c>
      <c r="C5578" s="8" t="s">
        <v>16829</v>
      </c>
      <c r="D5578" s="8" t="s">
        <v>16</v>
      </c>
      <c r="E5578" s="8" t="s">
        <v>17</v>
      </c>
      <c r="F5578" s="9">
        <v>46153.0</v>
      </c>
      <c r="G5578" s="8" t="s">
        <v>791</v>
      </c>
      <c r="H5578" s="8" t="s">
        <v>792</v>
      </c>
      <c r="I5578" s="8" t="s">
        <v>16830</v>
      </c>
      <c r="J5578" s="8" t="s">
        <v>1752</v>
      </c>
    </row>
    <row r="5579">
      <c r="A5579" s="7">
        <v>2.0055267E7</v>
      </c>
      <c r="B5579" s="8" t="s">
        <v>5222</v>
      </c>
      <c r="C5579" s="8" t="s">
        <v>16831</v>
      </c>
      <c r="D5579" s="8" t="s">
        <v>16</v>
      </c>
      <c r="E5579" s="8" t="s">
        <v>17</v>
      </c>
      <c r="F5579" s="9">
        <v>46121.0</v>
      </c>
      <c r="G5579" s="8" t="s">
        <v>385</v>
      </c>
      <c r="H5579" s="8" t="s">
        <v>386</v>
      </c>
      <c r="I5579" s="8" t="s">
        <v>16832</v>
      </c>
      <c r="J5579" s="8" t="s">
        <v>16833</v>
      </c>
    </row>
    <row r="5580">
      <c r="A5580" s="7">
        <v>2.0053459E7</v>
      </c>
      <c r="B5580" s="8" t="s">
        <v>5222</v>
      </c>
      <c r="C5580" s="8" t="s">
        <v>16834</v>
      </c>
      <c r="D5580" s="8" t="s">
        <v>16</v>
      </c>
      <c r="E5580" s="8" t="s">
        <v>17</v>
      </c>
      <c r="F5580" s="9">
        <v>46117.0</v>
      </c>
      <c r="G5580" s="8" t="s">
        <v>428</v>
      </c>
      <c r="H5580" s="8" t="s">
        <v>429</v>
      </c>
      <c r="I5580" s="8" t="s">
        <v>16835</v>
      </c>
      <c r="J5580" s="8" t="s">
        <v>16836</v>
      </c>
    </row>
    <row r="5581">
      <c r="A5581" s="7">
        <v>2.0046296E7</v>
      </c>
      <c r="B5581" s="8" t="s">
        <v>5222</v>
      </c>
      <c r="C5581" s="8" t="s">
        <v>16837</v>
      </c>
      <c r="D5581" s="8" t="s">
        <v>16</v>
      </c>
      <c r="E5581" s="8" t="s">
        <v>17</v>
      </c>
      <c r="F5581" s="9">
        <v>46103.0</v>
      </c>
      <c r="G5581" s="8" t="s">
        <v>16838</v>
      </c>
      <c r="H5581" s="8" t="s">
        <v>16839</v>
      </c>
      <c r="I5581" s="8" t="s">
        <v>16840</v>
      </c>
      <c r="J5581" s="8" t="s">
        <v>16841</v>
      </c>
    </row>
    <row r="5582">
      <c r="A5582" s="7">
        <v>2.003283E7</v>
      </c>
      <c r="B5582" s="8" t="s">
        <v>5222</v>
      </c>
      <c r="C5582" s="8" t="s">
        <v>16842</v>
      </c>
      <c r="D5582" s="8" t="s">
        <v>16</v>
      </c>
      <c r="E5582" s="8" t="s">
        <v>17</v>
      </c>
      <c r="F5582" s="9">
        <v>46045.0</v>
      </c>
      <c r="G5582" s="8" t="s">
        <v>34</v>
      </c>
      <c r="H5582" s="8" t="s">
        <v>35</v>
      </c>
      <c r="I5582" s="8" t="s">
        <v>16739</v>
      </c>
      <c r="J5582" s="8" t="s">
        <v>16843</v>
      </c>
    </row>
    <row r="5583">
      <c r="A5583" s="7">
        <v>2.0035628E7</v>
      </c>
      <c r="B5583" s="8" t="s">
        <v>5222</v>
      </c>
      <c r="C5583" s="8" t="s">
        <v>16844</v>
      </c>
      <c r="D5583" s="8" t="s">
        <v>16</v>
      </c>
      <c r="E5583" s="8" t="s">
        <v>17</v>
      </c>
      <c r="F5583" s="9">
        <v>46047.0</v>
      </c>
      <c r="G5583" s="8" t="s">
        <v>109</v>
      </c>
      <c r="H5583" s="8" t="s">
        <v>110</v>
      </c>
      <c r="I5583" s="8" t="s">
        <v>16845</v>
      </c>
      <c r="J5583" s="8" t="s">
        <v>16846</v>
      </c>
    </row>
    <row r="5584">
      <c r="A5584" s="7">
        <v>2.0034351E7</v>
      </c>
      <c r="B5584" s="8" t="s">
        <v>5222</v>
      </c>
      <c r="C5584" s="8" t="s">
        <v>16847</v>
      </c>
      <c r="D5584" s="8" t="s">
        <v>16</v>
      </c>
      <c r="E5584" s="8" t="s">
        <v>17</v>
      </c>
      <c r="F5584" s="9">
        <v>46037.0</v>
      </c>
      <c r="G5584" s="8" t="s">
        <v>91</v>
      </c>
      <c r="H5584" s="8" t="s">
        <v>92</v>
      </c>
      <c r="I5584" s="8" t="s">
        <v>16848</v>
      </c>
      <c r="J5584" s="8" t="s">
        <v>16849</v>
      </c>
    </row>
    <row r="5585">
      <c r="A5585" s="7">
        <v>2.0065213E7</v>
      </c>
      <c r="B5585" s="8" t="s">
        <v>5222</v>
      </c>
      <c r="C5585" s="8" t="s">
        <v>16850</v>
      </c>
      <c r="D5585" s="8" t="s">
        <v>16</v>
      </c>
      <c r="E5585" s="8" t="s">
        <v>17</v>
      </c>
      <c r="F5585" s="9">
        <v>46162.0</v>
      </c>
      <c r="G5585" s="8" t="s">
        <v>91</v>
      </c>
      <c r="H5585" s="8" t="s">
        <v>92</v>
      </c>
      <c r="I5585" s="8" t="s">
        <v>16851</v>
      </c>
      <c r="J5585" s="8" t="s">
        <v>16852</v>
      </c>
    </row>
    <row r="5586">
      <c r="A5586" s="7">
        <v>2.0060753E7</v>
      </c>
      <c r="B5586" s="8" t="s">
        <v>5222</v>
      </c>
      <c r="C5586" s="8" t="s">
        <v>16853</v>
      </c>
      <c r="D5586" s="8" t="s">
        <v>16</v>
      </c>
      <c r="E5586" s="8" t="s">
        <v>17</v>
      </c>
      <c r="F5586" s="9">
        <v>46155.0</v>
      </c>
      <c r="G5586" s="8" t="s">
        <v>2605</v>
      </c>
      <c r="H5586" s="8" t="s">
        <v>2606</v>
      </c>
      <c r="I5586" s="8" t="s">
        <v>16854</v>
      </c>
      <c r="J5586" s="8" t="s">
        <v>1752</v>
      </c>
    </row>
    <row r="5587">
      <c r="A5587" s="7">
        <v>2.0060104E7</v>
      </c>
      <c r="B5587" s="8" t="s">
        <v>5222</v>
      </c>
      <c r="C5587" s="8" t="s">
        <v>16855</v>
      </c>
      <c r="D5587" s="8" t="s">
        <v>16</v>
      </c>
      <c r="E5587" s="8" t="s">
        <v>17</v>
      </c>
      <c r="F5587" s="9">
        <v>46145.0</v>
      </c>
      <c r="G5587" s="8" t="s">
        <v>1132</v>
      </c>
      <c r="H5587" s="8" t="s">
        <v>1133</v>
      </c>
      <c r="I5587" s="8" t="s">
        <v>16856</v>
      </c>
      <c r="J5587" s="8" t="s">
        <v>16857</v>
      </c>
    </row>
    <row r="5588">
      <c r="A5588" s="7">
        <v>2.0043321E7</v>
      </c>
      <c r="B5588" s="8" t="s">
        <v>5222</v>
      </c>
      <c r="C5588" s="8" t="s">
        <v>16858</v>
      </c>
      <c r="D5588" s="8" t="s">
        <v>16</v>
      </c>
      <c r="E5588" s="8" t="s">
        <v>17</v>
      </c>
      <c r="F5588" s="9">
        <v>46073.0</v>
      </c>
      <c r="G5588" s="8" t="s">
        <v>91</v>
      </c>
      <c r="H5588" s="8" t="s">
        <v>92</v>
      </c>
      <c r="I5588" s="8" t="s">
        <v>16859</v>
      </c>
      <c r="J5588" s="8" t="s">
        <v>16860</v>
      </c>
    </row>
    <row r="5589">
      <c r="A5589" s="7">
        <v>2.0042687E7</v>
      </c>
      <c r="B5589" s="8" t="s">
        <v>5222</v>
      </c>
      <c r="C5589" s="8" t="s">
        <v>16861</v>
      </c>
      <c r="D5589" s="8" t="s">
        <v>16</v>
      </c>
      <c r="E5589" s="8" t="s">
        <v>17</v>
      </c>
      <c r="F5589" s="9">
        <v>46075.0</v>
      </c>
      <c r="G5589" s="8" t="s">
        <v>1132</v>
      </c>
      <c r="H5589" s="8" t="s">
        <v>1133</v>
      </c>
      <c r="I5589" s="8" t="s">
        <v>16862</v>
      </c>
      <c r="J5589" s="8" t="s">
        <v>16863</v>
      </c>
    </row>
    <row r="5590">
      <c r="A5590" s="7">
        <v>2.0061834E7</v>
      </c>
      <c r="B5590" s="8" t="s">
        <v>5222</v>
      </c>
      <c r="C5590" s="8" t="s">
        <v>16864</v>
      </c>
      <c r="D5590" s="8" t="s">
        <v>16</v>
      </c>
      <c r="E5590" s="8" t="s">
        <v>17</v>
      </c>
      <c r="F5590" s="9">
        <v>46160.0</v>
      </c>
      <c r="G5590" s="8" t="s">
        <v>2511</v>
      </c>
      <c r="H5590" s="8" t="s">
        <v>2512</v>
      </c>
      <c r="I5590" s="8" t="s">
        <v>16865</v>
      </c>
      <c r="J5590" s="8" t="s">
        <v>16866</v>
      </c>
    </row>
    <row r="5591">
      <c r="A5591" s="7">
        <v>2.0056017E7</v>
      </c>
      <c r="B5591" s="8" t="s">
        <v>5222</v>
      </c>
      <c r="C5591" s="8" t="s">
        <v>16867</v>
      </c>
      <c r="D5591" s="8" t="s">
        <v>16</v>
      </c>
      <c r="E5591" s="8" t="s">
        <v>17</v>
      </c>
      <c r="F5591" s="9">
        <v>46130.0</v>
      </c>
      <c r="G5591" s="8" t="s">
        <v>1132</v>
      </c>
      <c r="H5591" s="8" t="s">
        <v>1133</v>
      </c>
      <c r="I5591" s="8" t="s">
        <v>16868</v>
      </c>
      <c r="J5591" s="8" t="s">
        <v>16869</v>
      </c>
    </row>
    <row r="5592">
      <c r="A5592" s="7">
        <v>2.0063352E7</v>
      </c>
      <c r="B5592" s="8" t="s">
        <v>5222</v>
      </c>
      <c r="C5592" s="8" t="s">
        <v>16870</v>
      </c>
      <c r="D5592" s="8" t="s">
        <v>16</v>
      </c>
      <c r="E5592" s="8" t="s">
        <v>17</v>
      </c>
      <c r="F5592" s="9">
        <v>46155.0</v>
      </c>
      <c r="G5592" s="8" t="s">
        <v>978</v>
      </c>
      <c r="H5592" s="8" t="s">
        <v>979</v>
      </c>
      <c r="I5592" s="8" t="s">
        <v>16871</v>
      </c>
      <c r="J5592" s="8" t="s">
        <v>16872</v>
      </c>
    </row>
    <row r="5593">
      <c r="A5593" s="7">
        <v>2.0062093E7</v>
      </c>
      <c r="B5593" s="8" t="s">
        <v>5222</v>
      </c>
      <c r="C5593" s="8" t="s">
        <v>16873</v>
      </c>
      <c r="D5593" s="8" t="s">
        <v>16</v>
      </c>
      <c r="E5593" s="8" t="s">
        <v>17</v>
      </c>
      <c r="F5593" s="9">
        <v>46179.0</v>
      </c>
      <c r="G5593" s="8" t="s">
        <v>16874</v>
      </c>
      <c r="H5593" s="8" t="s">
        <v>16875</v>
      </c>
      <c r="I5593" s="8" t="s">
        <v>16876</v>
      </c>
      <c r="J5593" s="8" t="s">
        <v>16877</v>
      </c>
    </row>
    <row r="5594">
      <c r="A5594" s="7">
        <v>2.0006894E7</v>
      </c>
      <c r="B5594" s="8" t="s">
        <v>5222</v>
      </c>
      <c r="C5594" s="8" t="s">
        <v>16878</v>
      </c>
      <c r="D5594" s="8" t="s">
        <v>16</v>
      </c>
      <c r="E5594" s="8" t="s">
        <v>48</v>
      </c>
      <c r="F5594" s="9">
        <v>46147.0</v>
      </c>
      <c r="G5594" s="8" t="s">
        <v>846</v>
      </c>
      <c r="H5594" s="8" t="s">
        <v>847</v>
      </c>
      <c r="I5594" s="8"/>
      <c r="J5594" s="8" t="s">
        <v>16879</v>
      </c>
    </row>
    <row r="5595">
      <c r="A5595" s="7">
        <v>2.0006894E7</v>
      </c>
      <c r="B5595" s="8" t="s">
        <v>5222</v>
      </c>
      <c r="C5595" s="8" t="s">
        <v>16878</v>
      </c>
      <c r="D5595" s="8" t="s">
        <v>16</v>
      </c>
      <c r="E5595" s="8" t="s">
        <v>48</v>
      </c>
      <c r="F5595" s="9">
        <v>46147.0</v>
      </c>
      <c r="G5595" s="8" t="s">
        <v>91</v>
      </c>
      <c r="H5595" s="8" t="s">
        <v>92</v>
      </c>
      <c r="I5595" s="8" t="s">
        <v>16880</v>
      </c>
      <c r="J5595" s="8" t="s">
        <v>16881</v>
      </c>
    </row>
    <row r="5596">
      <c r="A5596" s="7">
        <v>2.0006894E7</v>
      </c>
      <c r="B5596" s="8" t="s">
        <v>5222</v>
      </c>
      <c r="C5596" s="8" t="s">
        <v>16878</v>
      </c>
      <c r="D5596" s="8" t="s">
        <v>16</v>
      </c>
      <c r="E5596" s="8" t="s">
        <v>48</v>
      </c>
      <c r="F5596" s="9">
        <v>46147.0</v>
      </c>
      <c r="G5596" s="8" t="s">
        <v>91</v>
      </c>
      <c r="H5596" s="8" t="s">
        <v>92</v>
      </c>
      <c r="I5596" s="8" t="s">
        <v>16880</v>
      </c>
      <c r="J5596" s="8" t="s">
        <v>16882</v>
      </c>
    </row>
    <row r="5597">
      <c r="A5597" s="7">
        <v>2.006119E7</v>
      </c>
      <c r="B5597" s="8" t="s">
        <v>5222</v>
      </c>
      <c r="C5597" s="8" t="s">
        <v>16883</v>
      </c>
      <c r="D5597" s="8" t="s">
        <v>2136</v>
      </c>
      <c r="E5597" s="8" t="s">
        <v>17</v>
      </c>
      <c r="F5597" s="9">
        <v>46145.0</v>
      </c>
      <c r="G5597" s="8" t="s">
        <v>234</v>
      </c>
      <c r="H5597" s="8" t="s">
        <v>235</v>
      </c>
      <c r="I5597" s="8" t="s">
        <v>16884</v>
      </c>
      <c r="J5597" s="8" t="s">
        <v>16885</v>
      </c>
    </row>
    <row r="5598">
      <c r="A5598" s="7">
        <v>2.0058162E7</v>
      </c>
      <c r="B5598" s="8" t="s">
        <v>5222</v>
      </c>
      <c r="C5598" s="8" t="s">
        <v>16886</v>
      </c>
      <c r="D5598" s="8" t="s">
        <v>16</v>
      </c>
      <c r="E5598" s="8" t="s">
        <v>17</v>
      </c>
      <c r="F5598" s="9">
        <v>46143.0</v>
      </c>
      <c r="G5598" s="8" t="s">
        <v>7961</v>
      </c>
      <c r="H5598" s="8" t="s">
        <v>16887</v>
      </c>
      <c r="I5598" s="8" t="s">
        <v>16888</v>
      </c>
      <c r="J5598" s="8" t="s">
        <v>16889</v>
      </c>
    </row>
    <row r="5599">
      <c r="A5599" s="7">
        <v>2.0058019E7</v>
      </c>
      <c r="B5599" s="8" t="s">
        <v>5222</v>
      </c>
      <c r="C5599" s="8" t="s">
        <v>16890</v>
      </c>
      <c r="D5599" s="8" t="s">
        <v>16</v>
      </c>
      <c r="E5599" s="8" t="s">
        <v>17</v>
      </c>
      <c r="F5599" s="9">
        <v>46133.0</v>
      </c>
      <c r="G5599" s="8" t="s">
        <v>59</v>
      </c>
      <c r="H5599" s="8" t="s">
        <v>60</v>
      </c>
      <c r="I5599" s="8" t="s">
        <v>16891</v>
      </c>
      <c r="J5599" s="8" t="s">
        <v>16892</v>
      </c>
    </row>
    <row r="5600">
      <c r="A5600" s="7">
        <v>2.0057165E7</v>
      </c>
      <c r="B5600" s="8" t="s">
        <v>5222</v>
      </c>
      <c r="C5600" s="8" t="s">
        <v>16893</v>
      </c>
      <c r="D5600" s="8" t="s">
        <v>16</v>
      </c>
      <c r="E5600" s="8" t="s">
        <v>17</v>
      </c>
      <c r="F5600" s="9">
        <v>46139.0</v>
      </c>
      <c r="G5600" s="8" t="s">
        <v>282</v>
      </c>
      <c r="H5600" s="8" t="s">
        <v>3005</v>
      </c>
      <c r="I5600" s="8" t="s">
        <v>16894</v>
      </c>
      <c r="J5600" s="8" t="s">
        <v>16895</v>
      </c>
    </row>
    <row r="5601">
      <c r="A5601" s="7">
        <v>2.0057165E7</v>
      </c>
      <c r="B5601" s="8" t="s">
        <v>5222</v>
      </c>
      <c r="C5601" s="8" t="s">
        <v>16893</v>
      </c>
      <c r="D5601" s="8" t="s">
        <v>16</v>
      </c>
      <c r="E5601" s="8" t="s">
        <v>17</v>
      </c>
      <c r="F5601" s="9">
        <v>46139.0</v>
      </c>
      <c r="G5601" s="8" t="s">
        <v>908</v>
      </c>
      <c r="H5601" s="8" t="s">
        <v>909</v>
      </c>
      <c r="I5601" s="8" t="s">
        <v>16896</v>
      </c>
      <c r="J5601" s="8" t="s">
        <v>16897</v>
      </c>
    </row>
    <row r="5602">
      <c r="A5602" s="7">
        <v>2.0057165E7</v>
      </c>
      <c r="B5602" s="8" t="s">
        <v>5222</v>
      </c>
      <c r="C5602" s="8" t="s">
        <v>16893</v>
      </c>
      <c r="D5602" s="8" t="s">
        <v>16</v>
      </c>
      <c r="E5602" s="8" t="s">
        <v>17</v>
      </c>
      <c r="F5602" s="9">
        <v>46139.0</v>
      </c>
      <c r="G5602" s="8" t="s">
        <v>282</v>
      </c>
      <c r="H5602" s="8" t="s">
        <v>3005</v>
      </c>
      <c r="I5602" s="8" t="s">
        <v>16898</v>
      </c>
      <c r="J5602" s="8" t="s">
        <v>16894</v>
      </c>
    </row>
    <row r="5603">
      <c r="A5603" s="7">
        <v>2.0056412E7</v>
      </c>
      <c r="B5603" s="8" t="s">
        <v>5222</v>
      </c>
      <c r="C5603" s="8" t="s">
        <v>16899</v>
      </c>
      <c r="D5603" s="8" t="s">
        <v>16</v>
      </c>
      <c r="E5603" s="8" t="s">
        <v>17</v>
      </c>
      <c r="F5603" s="9">
        <v>46130.0</v>
      </c>
      <c r="G5603" s="8" t="s">
        <v>11282</v>
      </c>
      <c r="H5603" s="8" t="s">
        <v>11283</v>
      </c>
      <c r="I5603" s="8" t="s">
        <v>16900</v>
      </c>
      <c r="J5603" s="8" t="s">
        <v>16901</v>
      </c>
    </row>
    <row r="5604">
      <c r="A5604" s="7">
        <v>2.0053728E7</v>
      </c>
      <c r="B5604" s="8" t="s">
        <v>5222</v>
      </c>
      <c r="C5604" s="8" t="s">
        <v>16902</v>
      </c>
      <c r="D5604" s="8" t="s">
        <v>16</v>
      </c>
      <c r="E5604" s="8" t="s">
        <v>17</v>
      </c>
      <c r="F5604" s="9">
        <v>46134.0</v>
      </c>
      <c r="G5604" s="8" t="s">
        <v>64</v>
      </c>
      <c r="H5604" s="8" t="s">
        <v>65</v>
      </c>
      <c r="I5604" s="8" t="s">
        <v>16903</v>
      </c>
      <c r="J5604" s="8" t="s">
        <v>16904</v>
      </c>
    </row>
    <row r="5605">
      <c r="A5605" s="7">
        <v>2.0043288E7</v>
      </c>
      <c r="B5605" s="8" t="s">
        <v>5222</v>
      </c>
      <c r="C5605" s="8" t="s">
        <v>16905</v>
      </c>
      <c r="D5605" s="8" t="s">
        <v>16</v>
      </c>
      <c r="E5605" s="8" t="s">
        <v>17</v>
      </c>
      <c r="F5605" s="9">
        <v>46071.0</v>
      </c>
      <c r="G5605" s="8" t="s">
        <v>339</v>
      </c>
      <c r="H5605" s="8" t="s">
        <v>340</v>
      </c>
      <c r="I5605" s="8" t="s">
        <v>16906</v>
      </c>
      <c r="J5605" s="8" t="s">
        <v>16907</v>
      </c>
    </row>
    <row r="5606">
      <c r="A5606" s="7">
        <v>2.0062359E7</v>
      </c>
      <c r="B5606" s="8" t="s">
        <v>5222</v>
      </c>
      <c r="C5606" s="8" t="s">
        <v>16908</v>
      </c>
      <c r="D5606" s="8" t="s">
        <v>16</v>
      </c>
      <c r="E5606" s="8" t="s">
        <v>17</v>
      </c>
      <c r="F5606" s="9">
        <v>46153.0</v>
      </c>
      <c r="G5606" s="8" t="s">
        <v>91</v>
      </c>
      <c r="H5606" s="8" t="s">
        <v>92</v>
      </c>
      <c r="I5606" s="8" t="s">
        <v>16909</v>
      </c>
      <c r="J5606" s="8" t="s">
        <v>16910</v>
      </c>
    </row>
    <row r="5607">
      <c r="A5607" s="7">
        <v>2.0062657E7</v>
      </c>
      <c r="B5607" s="8" t="s">
        <v>5222</v>
      </c>
      <c r="C5607" s="8" t="s">
        <v>16911</v>
      </c>
      <c r="D5607" s="8" t="s">
        <v>16</v>
      </c>
      <c r="E5607" s="8" t="s">
        <v>17</v>
      </c>
      <c r="F5607" s="9">
        <v>46155.0</v>
      </c>
      <c r="G5607" s="8" t="s">
        <v>400</v>
      </c>
      <c r="H5607" s="8" t="s">
        <v>2144</v>
      </c>
      <c r="I5607" s="8" t="s">
        <v>16912</v>
      </c>
      <c r="J5607" s="8" t="s">
        <v>16913</v>
      </c>
    </row>
    <row r="5608">
      <c r="A5608" s="7">
        <v>2.0046441E7</v>
      </c>
      <c r="B5608" s="8" t="s">
        <v>5222</v>
      </c>
      <c r="C5608" s="8" t="s">
        <v>16914</v>
      </c>
      <c r="D5608" s="8" t="s">
        <v>16</v>
      </c>
      <c r="E5608" s="8" t="s">
        <v>17</v>
      </c>
      <c r="F5608" s="9">
        <v>46084.0</v>
      </c>
      <c r="G5608" s="8" t="s">
        <v>385</v>
      </c>
      <c r="H5608" s="8" t="s">
        <v>386</v>
      </c>
      <c r="I5608" s="8" t="s">
        <v>16915</v>
      </c>
      <c r="J5608" s="8" t="s">
        <v>16916</v>
      </c>
    </row>
    <row r="5609">
      <c r="A5609" s="7">
        <v>2.0035409E7</v>
      </c>
      <c r="B5609" s="8" t="s">
        <v>5222</v>
      </c>
      <c r="C5609" s="8" t="s">
        <v>16917</v>
      </c>
      <c r="D5609" s="8" t="s">
        <v>16</v>
      </c>
      <c r="E5609" s="8" t="s">
        <v>17</v>
      </c>
      <c r="F5609" s="9">
        <v>46049.0</v>
      </c>
      <c r="G5609" s="8" t="s">
        <v>109</v>
      </c>
      <c r="H5609" s="8" t="s">
        <v>110</v>
      </c>
      <c r="I5609" s="8" t="s">
        <v>16918</v>
      </c>
      <c r="J5609" s="8" t="s">
        <v>16919</v>
      </c>
    </row>
    <row r="5610">
      <c r="A5610" s="7">
        <v>2.0035409E7</v>
      </c>
      <c r="B5610" s="8" t="s">
        <v>5222</v>
      </c>
      <c r="C5610" s="8" t="s">
        <v>16917</v>
      </c>
      <c r="D5610" s="8" t="s">
        <v>16</v>
      </c>
      <c r="E5610" s="8" t="s">
        <v>17</v>
      </c>
      <c r="F5610" s="9">
        <v>46049.0</v>
      </c>
      <c r="G5610" s="8" t="s">
        <v>10640</v>
      </c>
      <c r="H5610" s="8" t="s">
        <v>10641</v>
      </c>
      <c r="I5610" s="8" t="s">
        <v>16920</v>
      </c>
      <c r="J5610" s="8" t="s">
        <v>16921</v>
      </c>
    </row>
    <row r="5611">
      <c r="A5611" s="7">
        <v>2.0035312E7</v>
      </c>
      <c r="B5611" s="8" t="s">
        <v>5222</v>
      </c>
      <c r="C5611" s="8" t="s">
        <v>16922</v>
      </c>
      <c r="D5611" s="8" t="s">
        <v>16</v>
      </c>
      <c r="E5611" s="8" t="s">
        <v>17</v>
      </c>
      <c r="F5611" s="9">
        <v>46042.0</v>
      </c>
      <c r="G5611" s="8" t="s">
        <v>1110</v>
      </c>
      <c r="H5611" s="8" t="s">
        <v>1111</v>
      </c>
      <c r="I5611" s="8" t="s">
        <v>16923</v>
      </c>
      <c r="J5611" s="8" t="s">
        <v>16924</v>
      </c>
    </row>
    <row r="5612">
      <c r="A5612" s="7">
        <v>2.0049651E7</v>
      </c>
      <c r="B5612" s="8" t="s">
        <v>5222</v>
      </c>
      <c r="C5612" s="8" t="s">
        <v>16925</v>
      </c>
      <c r="D5612" s="8" t="s">
        <v>16</v>
      </c>
      <c r="E5612" s="8" t="s">
        <v>17</v>
      </c>
      <c r="F5612" s="9">
        <v>46096.0</v>
      </c>
      <c r="G5612" s="8" t="s">
        <v>978</v>
      </c>
      <c r="H5612" s="8" t="s">
        <v>979</v>
      </c>
      <c r="I5612" s="8" t="s">
        <v>16926</v>
      </c>
      <c r="J5612" s="8" t="s">
        <v>16927</v>
      </c>
    </row>
    <row r="5613">
      <c r="A5613" s="7">
        <v>2.0043302E7</v>
      </c>
      <c r="B5613" s="8" t="s">
        <v>5222</v>
      </c>
      <c r="C5613" s="8" t="s">
        <v>16928</v>
      </c>
      <c r="D5613" s="8" t="s">
        <v>16</v>
      </c>
      <c r="E5613" s="8" t="s">
        <v>17</v>
      </c>
      <c r="F5613" s="9">
        <v>46075.0</v>
      </c>
      <c r="G5613" s="8" t="s">
        <v>400</v>
      </c>
      <c r="H5613" s="8" t="s">
        <v>401</v>
      </c>
      <c r="I5613" s="8" t="s">
        <v>16929</v>
      </c>
      <c r="J5613" s="8" t="s">
        <v>16930</v>
      </c>
    </row>
    <row r="5614">
      <c r="A5614" s="7">
        <v>2.0042779E7</v>
      </c>
      <c r="B5614" s="8" t="s">
        <v>5222</v>
      </c>
      <c r="C5614" s="8" t="s">
        <v>16931</v>
      </c>
      <c r="D5614" s="8" t="s">
        <v>16</v>
      </c>
      <c r="E5614" s="8" t="s">
        <v>17</v>
      </c>
      <c r="F5614" s="9">
        <v>46073.0</v>
      </c>
      <c r="G5614" s="8" t="s">
        <v>220</v>
      </c>
      <c r="H5614" s="8" t="s">
        <v>221</v>
      </c>
      <c r="I5614" s="8" t="s">
        <v>16932</v>
      </c>
      <c r="J5614" s="8" t="s">
        <v>16933</v>
      </c>
    </row>
    <row r="5615">
      <c r="A5615" s="7">
        <v>2.0041045E7</v>
      </c>
      <c r="B5615" s="8" t="s">
        <v>5222</v>
      </c>
      <c r="C5615" s="8" t="s">
        <v>16934</v>
      </c>
      <c r="D5615" s="8" t="s">
        <v>16</v>
      </c>
      <c r="E5615" s="8" t="s">
        <v>17</v>
      </c>
      <c r="F5615" s="9">
        <v>46069.0</v>
      </c>
      <c r="G5615" s="8" t="s">
        <v>91</v>
      </c>
      <c r="H5615" s="8" t="s">
        <v>92</v>
      </c>
      <c r="I5615" s="8" t="s">
        <v>16935</v>
      </c>
      <c r="J5615" s="8" t="s">
        <v>16936</v>
      </c>
    </row>
    <row r="5616">
      <c r="A5616" s="7">
        <v>2.003964E7</v>
      </c>
      <c r="B5616" s="8" t="s">
        <v>5222</v>
      </c>
      <c r="C5616" s="8" t="s">
        <v>16937</v>
      </c>
      <c r="D5616" s="8" t="s">
        <v>16</v>
      </c>
      <c r="E5616" s="8" t="s">
        <v>17</v>
      </c>
      <c r="F5616" s="9">
        <v>46068.0</v>
      </c>
      <c r="G5616" s="8" t="s">
        <v>1045</v>
      </c>
      <c r="H5616" s="8" t="s">
        <v>909</v>
      </c>
      <c r="I5616" s="8" t="s">
        <v>16938</v>
      </c>
      <c r="J5616" s="8" t="s">
        <v>16939</v>
      </c>
    </row>
    <row r="5617">
      <c r="A5617" s="7">
        <v>2.0037451E7</v>
      </c>
      <c r="B5617" s="8" t="s">
        <v>5222</v>
      </c>
      <c r="C5617" s="8" t="s">
        <v>16940</v>
      </c>
      <c r="D5617" s="8" t="s">
        <v>16</v>
      </c>
      <c r="E5617" s="8" t="s">
        <v>17</v>
      </c>
      <c r="F5617" s="9">
        <v>46093.0</v>
      </c>
      <c r="G5617" s="8" t="s">
        <v>4037</v>
      </c>
      <c r="H5617" s="8" t="s">
        <v>4038</v>
      </c>
      <c r="I5617" s="8" t="s">
        <v>16941</v>
      </c>
      <c r="J5617" s="8" t="s">
        <v>16942</v>
      </c>
    </row>
    <row r="5618">
      <c r="A5618" s="7">
        <v>2.0068684E7</v>
      </c>
      <c r="B5618" s="8" t="s">
        <v>5222</v>
      </c>
      <c r="C5618" s="8" t="s">
        <v>16943</v>
      </c>
      <c r="D5618" s="8" t="s">
        <v>16</v>
      </c>
      <c r="E5618" s="8" t="s">
        <v>17</v>
      </c>
      <c r="F5618" s="9">
        <v>46182.0</v>
      </c>
      <c r="G5618" s="8" t="s">
        <v>923</v>
      </c>
      <c r="H5618" s="8" t="s">
        <v>7274</v>
      </c>
      <c r="I5618" s="8" t="s">
        <v>16944</v>
      </c>
      <c r="J5618" s="8" t="s">
        <v>16945</v>
      </c>
    </row>
    <row r="5619">
      <c r="A5619" s="7">
        <v>2.0059576E7</v>
      </c>
      <c r="B5619" s="8" t="s">
        <v>5222</v>
      </c>
      <c r="C5619" s="8" t="s">
        <v>16946</v>
      </c>
      <c r="D5619" s="8" t="s">
        <v>16</v>
      </c>
      <c r="E5619" s="8" t="s">
        <v>17</v>
      </c>
      <c r="F5619" s="9">
        <v>46139.0</v>
      </c>
      <c r="G5619" s="8" t="s">
        <v>220</v>
      </c>
      <c r="H5619" s="8" t="s">
        <v>221</v>
      </c>
      <c r="I5619" s="8" t="s">
        <v>16947</v>
      </c>
      <c r="J5619" s="8" t="s">
        <v>16948</v>
      </c>
    </row>
    <row r="5620">
      <c r="A5620" s="7">
        <v>2.0051318E7</v>
      </c>
      <c r="B5620" s="8" t="s">
        <v>5222</v>
      </c>
      <c r="C5620" s="8" t="s">
        <v>16949</v>
      </c>
      <c r="D5620" s="8" t="s">
        <v>16</v>
      </c>
      <c r="E5620" s="8" t="s">
        <v>17</v>
      </c>
      <c r="F5620" s="9">
        <v>46102.0</v>
      </c>
      <c r="G5620" s="8" t="s">
        <v>91</v>
      </c>
      <c r="H5620" s="8" t="s">
        <v>92</v>
      </c>
      <c r="I5620" s="8" t="s">
        <v>16950</v>
      </c>
      <c r="J5620" s="8" t="s">
        <v>16951</v>
      </c>
    </row>
    <row r="5621">
      <c r="A5621" s="7">
        <v>2.0043438E7</v>
      </c>
      <c r="B5621" s="8" t="s">
        <v>5222</v>
      </c>
      <c r="C5621" s="8" t="s">
        <v>16952</v>
      </c>
      <c r="D5621" s="8" t="s">
        <v>16</v>
      </c>
      <c r="E5621" s="8" t="s">
        <v>17</v>
      </c>
      <c r="F5621" s="9">
        <v>46090.0</v>
      </c>
      <c r="G5621" s="8" t="s">
        <v>297</v>
      </c>
      <c r="H5621" s="8" t="s">
        <v>298</v>
      </c>
      <c r="I5621" s="8" t="s">
        <v>16953</v>
      </c>
      <c r="J5621" s="8" t="s">
        <v>16954</v>
      </c>
    </row>
    <row r="5622">
      <c r="A5622" s="7">
        <v>2.0038532E7</v>
      </c>
      <c r="B5622" s="8" t="s">
        <v>5222</v>
      </c>
      <c r="C5622" s="8" t="s">
        <v>16955</v>
      </c>
      <c r="D5622" s="8" t="s">
        <v>16</v>
      </c>
      <c r="E5622" s="8" t="s">
        <v>17</v>
      </c>
      <c r="F5622" s="9">
        <v>46057.0</v>
      </c>
      <c r="G5622" s="8" t="s">
        <v>11113</v>
      </c>
      <c r="H5622" s="8" t="s">
        <v>11114</v>
      </c>
      <c r="I5622" s="8" t="s">
        <v>16956</v>
      </c>
      <c r="J5622" s="8" t="s">
        <v>16957</v>
      </c>
    </row>
    <row r="5623">
      <c r="A5623" s="7">
        <v>2.006847E7</v>
      </c>
      <c r="B5623" s="8" t="s">
        <v>5222</v>
      </c>
      <c r="C5623" s="8" t="s">
        <v>16958</v>
      </c>
      <c r="D5623" s="8" t="s">
        <v>16</v>
      </c>
      <c r="E5623" s="8" t="s">
        <v>17</v>
      </c>
      <c r="F5623" s="9">
        <v>46175.0</v>
      </c>
      <c r="G5623" s="8" t="s">
        <v>385</v>
      </c>
      <c r="H5623" s="8" t="s">
        <v>386</v>
      </c>
      <c r="I5623" s="8" t="s">
        <v>16959</v>
      </c>
      <c r="J5623" s="8" t="s">
        <v>16960</v>
      </c>
    </row>
    <row r="5624">
      <c r="A5624" s="7">
        <v>2.0055253E7</v>
      </c>
      <c r="B5624" s="8" t="s">
        <v>5222</v>
      </c>
      <c r="C5624" s="8" t="s">
        <v>16961</v>
      </c>
      <c r="D5624" s="8" t="s">
        <v>16</v>
      </c>
      <c r="E5624" s="8" t="s">
        <v>17</v>
      </c>
      <c r="F5624" s="9">
        <v>46139.0</v>
      </c>
      <c r="G5624" s="8" t="s">
        <v>282</v>
      </c>
      <c r="H5624" s="8" t="s">
        <v>3005</v>
      </c>
      <c r="I5624" s="8" t="s">
        <v>16962</v>
      </c>
      <c r="J5624" s="8" t="s">
        <v>16963</v>
      </c>
    </row>
    <row r="5625">
      <c r="A5625" s="7">
        <v>2.0055253E7</v>
      </c>
      <c r="B5625" s="8" t="s">
        <v>5222</v>
      </c>
      <c r="C5625" s="8" t="s">
        <v>16961</v>
      </c>
      <c r="D5625" s="8" t="s">
        <v>16</v>
      </c>
      <c r="E5625" s="8" t="s">
        <v>17</v>
      </c>
      <c r="F5625" s="9">
        <v>46139.0</v>
      </c>
      <c r="G5625" s="8" t="s">
        <v>3008</v>
      </c>
      <c r="H5625" s="8" t="s">
        <v>3009</v>
      </c>
      <c r="I5625" s="8" t="s">
        <v>16964</v>
      </c>
      <c r="J5625" s="8"/>
    </row>
    <row r="5626">
      <c r="A5626" s="7">
        <v>2.0055253E7</v>
      </c>
      <c r="B5626" s="8" t="s">
        <v>5222</v>
      </c>
      <c r="C5626" s="8" t="s">
        <v>16961</v>
      </c>
      <c r="D5626" s="8" t="s">
        <v>16</v>
      </c>
      <c r="E5626" s="8" t="s">
        <v>17</v>
      </c>
      <c r="F5626" s="9">
        <v>46139.0</v>
      </c>
      <c r="G5626" s="8" t="s">
        <v>282</v>
      </c>
      <c r="H5626" s="8" t="s">
        <v>3005</v>
      </c>
      <c r="I5626" s="8" t="s">
        <v>16965</v>
      </c>
      <c r="J5626" s="8" t="s">
        <v>16962</v>
      </c>
    </row>
    <row r="5627">
      <c r="A5627" s="7">
        <v>2.0055253E7</v>
      </c>
      <c r="B5627" s="8" t="s">
        <v>5222</v>
      </c>
      <c r="C5627" s="8" t="s">
        <v>16961</v>
      </c>
      <c r="D5627" s="8" t="s">
        <v>16</v>
      </c>
      <c r="E5627" s="8" t="s">
        <v>17</v>
      </c>
      <c r="F5627" s="9">
        <v>46139.0</v>
      </c>
      <c r="G5627" s="8" t="s">
        <v>3008</v>
      </c>
      <c r="H5627" s="8" t="s">
        <v>3009</v>
      </c>
      <c r="I5627" s="8" t="s">
        <v>16966</v>
      </c>
      <c r="J5627" s="8"/>
    </row>
    <row r="5628">
      <c r="A5628" s="7">
        <v>2.004407E7</v>
      </c>
      <c r="B5628" s="8" t="s">
        <v>5222</v>
      </c>
      <c r="C5628" s="8" t="s">
        <v>16967</v>
      </c>
      <c r="D5628" s="8" t="s">
        <v>16</v>
      </c>
      <c r="E5628" s="8" t="s">
        <v>17</v>
      </c>
      <c r="F5628" s="9">
        <v>46078.0</v>
      </c>
      <c r="G5628" s="8" t="s">
        <v>822</v>
      </c>
      <c r="H5628" s="8" t="s">
        <v>120</v>
      </c>
      <c r="I5628" s="8" t="s">
        <v>16968</v>
      </c>
      <c r="J5628" s="8" t="s">
        <v>16969</v>
      </c>
    </row>
    <row r="5629">
      <c r="A5629" s="7">
        <v>2.0035348E7</v>
      </c>
      <c r="B5629" s="8" t="s">
        <v>5222</v>
      </c>
      <c r="C5629" s="8" t="s">
        <v>16970</v>
      </c>
      <c r="D5629" s="8" t="s">
        <v>16</v>
      </c>
      <c r="E5629" s="8" t="s">
        <v>17</v>
      </c>
      <c r="F5629" s="9">
        <v>46044.0</v>
      </c>
      <c r="G5629" s="8" t="s">
        <v>34</v>
      </c>
      <c r="H5629" s="8" t="s">
        <v>35</v>
      </c>
      <c r="I5629" s="8" t="s">
        <v>16971</v>
      </c>
      <c r="J5629" s="8" t="s">
        <v>16972</v>
      </c>
    </row>
    <row r="5630">
      <c r="A5630" s="7">
        <v>2.0069665E7</v>
      </c>
      <c r="B5630" s="8" t="s">
        <v>5222</v>
      </c>
      <c r="C5630" s="8" t="s">
        <v>16973</v>
      </c>
      <c r="D5630" s="8" t="s">
        <v>16</v>
      </c>
      <c r="E5630" s="8" t="s">
        <v>17</v>
      </c>
      <c r="F5630" s="9">
        <v>46191.0</v>
      </c>
      <c r="G5630" s="8" t="s">
        <v>247</v>
      </c>
      <c r="H5630" s="8" t="s">
        <v>248</v>
      </c>
      <c r="I5630" s="8" t="s">
        <v>16974</v>
      </c>
      <c r="J5630" s="8" t="s">
        <v>16975</v>
      </c>
    </row>
    <row r="5631">
      <c r="A5631" s="7">
        <v>2.0066359E7</v>
      </c>
      <c r="B5631" s="8" t="s">
        <v>5222</v>
      </c>
      <c r="C5631" s="8" t="s">
        <v>16976</v>
      </c>
      <c r="D5631" s="8" t="s">
        <v>16</v>
      </c>
      <c r="E5631" s="8" t="s">
        <v>17</v>
      </c>
      <c r="F5631" s="9">
        <v>46174.0</v>
      </c>
      <c r="G5631" s="8" t="s">
        <v>1532</v>
      </c>
      <c r="H5631" s="8" t="s">
        <v>1533</v>
      </c>
      <c r="I5631" s="8" t="s">
        <v>16977</v>
      </c>
      <c r="J5631" s="8" t="s">
        <v>16978</v>
      </c>
    </row>
    <row r="5632">
      <c r="A5632" s="7">
        <v>2.0059903E7</v>
      </c>
      <c r="B5632" s="8" t="s">
        <v>5222</v>
      </c>
      <c r="C5632" s="8" t="s">
        <v>16979</v>
      </c>
      <c r="D5632" s="8" t="s">
        <v>16</v>
      </c>
      <c r="E5632" s="8" t="s">
        <v>17</v>
      </c>
      <c r="F5632" s="9">
        <v>46164.0</v>
      </c>
      <c r="G5632" s="8" t="s">
        <v>16980</v>
      </c>
      <c r="H5632" s="8" t="s">
        <v>16981</v>
      </c>
      <c r="I5632" s="8" t="s">
        <v>16982</v>
      </c>
      <c r="J5632" s="8" t="s">
        <v>16983</v>
      </c>
    </row>
    <row r="5633">
      <c r="A5633" s="7">
        <v>2.0059239E7</v>
      </c>
      <c r="B5633" s="8" t="s">
        <v>5222</v>
      </c>
      <c r="C5633" s="8" t="s">
        <v>16984</v>
      </c>
      <c r="D5633" s="8" t="s">
        <v>16</v>
      </c>
      <c r="E5633" s="8" t="s">
        <v>17</v>
      </c>
      <c r="F5633" s="9">
        <v>46142.0</v>
      </c>
      <c r="G5633" s="8" t="s">
        <v>109</v>
      </c>
      <c r="H5633" s="8" t="s">
        <v>110</v>
      </c>
      <c r="I5633" s="8" t="s">
        <v>16985</v>
      </c>
      <c r="J5633" s="8" t="s">
        <v>16986</v>
      </c>
    </row>
    <row r="5634">
      <c r="A5634" s="7">
        <v>2.005962E7</v>
      </c>
      <c r="B5634" s="8" t="s">
        <v>5222</v>
      </c>
      <c r="C5634" s="8" t="s">
        <v>16987</v>
      </c>
      <c r="D5634" s="8" t="s">
        <v>16</v>
      </c>
      <c r="E5634" s="8" t="s">
        <v>17</v>
      </c>
      <c r="F5634" s="9">
        <v>46142.0</v>
      </c>
      <c r="G5634" s="8" t="s">
        <v>220</v>
      </c>
      <c r="H5634" s="8" t="s">
        <v>221</v>
      </c>
      <c r="I5634" s="8" t="s">
        <v>16988</v>
      </c>
      <c r="J5634" s="8" t="s">
        <v>16989</v>
      </c>
    </row>
    <row r="5635">
      <c r="A5635" s="7">
        <v>2.0043693E7</v>
      </c>
      <c r="B5635" s="8" t="s">
        <v>5222</v>
      </c>
      <c r="C5635" s="8" t="s">
        <v>16990</v>
      </c>
      <c r="D5635" s="8" t="s">
        <v>16</v>
      </c>
      <c r="E5635" s="8" t="s">
        <v>17</v>
      </c>
      <c r="F5635" s="9">
        <v>46079.0</v>
      </c>
      <c r="G5635" s="8" t="s">
        <v>385</v>
      </c>
      <c r="H5635" s="8" t="s">
        <v>386</v>
      </c>
      <c r="I5635" s="8" t="s">
        <v>16991</v>
      </c>
      <c r="J5635" s="8" t="s">
        <v>16992</v>
      </c>
    </row>
    <row r="5636">
      <c r="A5636" s="7">
        <v>2.0041193E7</v>
      </c>
      <c r="B5636" s="8" t="s">
        <v>5222</v>
      </c>
      <c r="C5636" s="8" t="s">
        <v>16993</v>
      </c>
      <c r="D5636" s="8" t="s">
        <v>16</v>
      </c>
      <c r="E5636" s="8" t="s">
        <v>17</v>
      </c>
      <c r="F5636" s="9">
        <v>46090.0</v>
      </c>
      <c r="G5636" s="8" t="s">
        <v>846</v>
      </c>
      <c r="H5636" s="8" t="s">
        <v>847</v>
      </c>
      <c r="I5636" s="8" t="s">
        <v>16994</v>
      </c>
      <c r="J5636" s="8" t="s">
        <v>16995</v>
      </c>
    </row>
    <row r="5637">
      <c r="A5637" s="7">
        <v>2.0061118E7</v>
      </c>
      <c r="B5637" s="8" t="s">
        <v>5222</v>
      </c>
      <c r="C5637" s="8" t="s">
        <v>16996</v>
      </c>
      <c r="D5637" s="8" t="s">
        <v>16</v>
      </c>
      <c r="E5637" s="8" t="s">
        <v>17</v>
      </c>
      <c r="F5637" s="9">
        <v>46182.0</v>
      </c>
      <c r="G5637" s="8" t="s">
        <v>16997</v>
      </c>
      <c r="H5637" s="8" t="s">
        <v>16998</v>
      </c>
      <c r="I5637" s="8" t="s">
        <v>16999</v>
      </c>
      <c r="J5637" s="8" t="s">
        <v>17000</v>
      </c>
    </row>
    <row r="5638">
      <c r="A5638" s="7">
        <v>2.0054616E7</v>
      </c>
      <c r="B5638" s="8" t="s">
        <v>5222</v>
      </c>
      <c r="C5638" s="8" t="s">
        <v>17001</v>
      </c>
      <c r="D5638" s="8" t="s">
        <v>16</v>
      </c>
      <c r="E5638" s="8" t="s">
        <v>700</v>
      </c>
      <c r="F5638" s="9">
        <v>46136.0</v>
      </c>
      <c r="G5638" s="8" t="s">
        <v>3706</v>
      </c>
      <c r="H5638" s="8" t="s">
        <v>3707</v>
      </c>
      <c r="I5638" s="8" t="s">
        <v>17002</v>
      </c>
      <c r="J5638" s="8"/>
    </row>
    <row r="5639">
      <c r="A5639" s="7">
        <v>2.0044469E7</v>
      </c>
      <c r="B5639" s="8" t="s">
        <v>5222</v>
      </c>
      <c r="C5639" s="8" t="s">
        <v>17003</v>
      </c>
      <c r="D5639" s="8" t="s">
        <v>16</v>
      </c>
      <c r="E5639" s="8" t="s">
        <v>17</v>
      </c>
      <c r="F5639" s="9">
        <v>46078.0</v>
      </c>
      <c r="G5639" s="8" t="s">
        <v>882</v>
      </c>
      <c r="H5639" s="8" t="s">
        <v>883</v>
      </c>
      <c r="I5639" s="8" t="s">
        <v>17004</v>
      </c>
      <c r="J5639" s="8" t="s">
        <v>17005</v>
      </c>
    </row>
    <row r="5640">
      <c r="A5640" s="7">
        <v>2.004308E7</v>
      </c>
      <c r="B5640" s="8" t="s">
        <v>5222</v>
      </c>
      <c r="C5640" s="8" t="s">
        <v>17006</v>
      </c>
      <c r="D5640" s="8" t="s">
        <v>16</v>
      </c>
      <c r="E5640" s="8" t="s">
        <v>17</v>
      </c>
      <c r="F5640" s="9">
        <v>46076.0</v>
      </c>
      <c r="G5640" s="8" t="s">
        <v>220</v>
      </c>
      <c r="H5640" s="8" t="s">
        <v>221</v>
      </c>
      <c r="I5640" s="8" t="s">
        <v>17007</v>
      </c>
      <c r="J5640" s="8" t="s">
        <v>17008</v>
      </c>
    </row>
    <row r="5641">
      <c r="A5641" s="7">
        <v>2.004308E7</v>
      </c>
      <c r="B5641" s="8" t="s">
        <v>5222</v>
      </c>
      <c r="C5641" s="8" t="s">
        <v>17006</v>
      </c>
      <c r="D5641" s="8" t="s">
        <v>16</v>
      </c>
      <c r="E5641" s="8" t="s">
        <v>17</v>
      </c>
      <c r="F5641" s="9">
        <v>46076.0</v>
      </c>
      <c r="G5641" s="8" t="s">
        <v>17009</v>
      </c>
      <c r="H5641" s="8" t="s">
        <v>17010</v>
      </c>
      <c r="I5641" s="8" t="s">
        <v>17011</v>
      </c>
      <c r="J5641" s="8" t="s">
        <v>17012</v>
      </c>
    </row>
    <row r="5642">
      <c r="A5642" s="7">
        <v>2.0034708E7</v>
      </c>
      <c r="B5642" s="8" t="s">
        <v>5222</v>
      </c>
      <c r="C5642" s="8" t="s">
        <v>17013</v>
      </c>
      <c r="D5642" s="8" t="s">
        <v>16</v>
      </c>
      <c r="E5642" s="8" t="s">
        <v>17</v>
      </c>
      <c r="F5642" s="9">
        <v>46054.0</v>
      </c>
      <c r="G5642" s="8" t="s">
        <v>846</v>
      </c>
      <c r="H5642" s="8" t="s">
        <v>847</v>
      </c>
      <c r="I5642" s="8" t="s">
        <v>17014</v>
      </c>
      <c r="J5642" s="8" t="s">
        <v>17015</v>
      </c>
    </row>
    <row r="5643">
      <c r="A5643" s="7">
        <v>2.0071888E7</v>
      </c>
      <c r="B5643" s="8" t="s">
        <v>5222</v>
      </c>
      <c r="C5643" s="8" t="s">
        <v>17016</v>
      </c>
      <c r="D5643" s="8" t="s">
        <v>16</v>
      </c>
      <c r="E5643" s="8" t="s">
        <v>69</v>
      </c>
      <c r="F5643" s="9">
        <v>46191.0</v>
      </c>
      <c r="G5643" s="8" t="s">
        <v>109</v>
      </c>
      <c r="H5643" s="8" t="s">
        <v>110</v>
      </c>
      <c r="I5643" s="8" t="s">
        <v>17017</v>
      </c>
      <c r="J5643" s="8" t="s">
        <v>17018</v>
      </c>
    </row>
    <row r="5644">
      <c r="A5644" s="7">
        <v>2.0059024E7</v>
      </c>
      <c r="B5644" s="8" t="s">
        <v>5222</v>
      </c>
      <c r="C5644" s="8" t="s">
        <v>17019</v>
      </c>
      <c r="D5644" s="8" t="s">
        <v>16</v>
      </c>
      <c r="E5644" s="8" t="s">
        <v>17</v>
      </c>
      <c r="F5644" s="9">
        <v>46146.0</v>
      </c>
      <c r="G5644" s="8" t="s">
        <v>17020</v>
      </c>
      <c r="H5644" s="8" t="s">
        <v>17021</v>
      </c>
      <c r="I5644" s="8" t="s">
        <v>17022</v>
      </c>
      <c r="J5644" s="8" t="s">
        <v>17023</v>
      </c>
    </row>
    <row r="5645">
      <c r="A5645" s="7">
        <v>2.0059024E7</v>
      </c>
      <c r="B5645" s="8" t="s">
        <v>5222</v>
      </c>
      <c r="C5645" s="8" t="s">
        <v>17019</v>
      </c>
      <c r="D5645" s="8" t="s">
        <v>16</v>
      </c>
      <c r="E5645" s="8" t="s">
        <v>17</v>
      </c>
      <c r="F5645" s="9">
        <v>46146.0</v>
      </c>
      <c r="G5645" s="8" t="s">
        <v>1431</v>
      </c>
      <c r="H5645" s="8" t="s">
        <v>1432</v>
      </c>
      <c r="I5645" s="8" t="s">
        <v>17024</v>
      </c>
      <c r="J5645" s="8" t="s">
        <v>17025</v>
      </c>
    </row>
    <row r="5646">
      <c r="A5646" s="7">
        <v>2.0059024E7</v>
      </c>
      <c r="B5646" s="8" t="s">
        <v>5222</v>
      </c>
      <c r="C5646" s="8" t="s">
        <v>17019</v>
      </c>
      <c r="D5646" s="8" t="s">
        <v>16</v>
      </c>
      <c r="E5646" s="8" t="s">
        <v>17</v>
      </c>
      <c r="F5646" s="9">
        <v>46146.0</v>
      </c>
      <c r="G5646" s="8" t="s">
        <v>418</v>
      </c>
      <c r="H5646" s="8" t="s">
        <v>419</v>
      </c>
      <c r="I5646" s="8" t="s">
        <v>17026</v>
      </c>
      <c r="J5646" s="8" t="s">
        <v>17027</v>
      </c>
    </row>
    <row r="5647">
      <c r="A5647" s="7">
        <v>2.0052965E7</v>
      </c>
      <c r="B5647" s="8" t="s">
        <v>5222</v>
      </c>
      <c r="C5647" s="8" t="s">
        <v>17028</v>
      </c>
      <c r="D5647" s="8" t="s">
        <v>16</v>
      </c>
      <c r="E5647" s="8" t="s">
        <v>17</v>
      </c>
      <c r="F5647" s="9">
        <v>46110.0</v>
      </c>
      <c r="G5647" s="8" t="s">
        <v>59</v>
      </c>
      <c r="H5647" s="8" t="s">
        <v>60</v>
      </c>
      <c r="I5647" s="8" t="s">
        <v>17029</v>
      </c>
      <c r="J5647" s="8" t="s">
        <v>17030</v>
      </c>
    </row>
    <row r="5648">
      <c r="A5648" s="7">
        <v>2.0049768E7</v>
      </c>
      <c r="B5648" s="8" t="s">
        <v>5222</v>
      </c>
      <c r="C5648" s="8" t="s">
        <v>17031</v>
      </c>
      <c r="D5648" s="8" t="s">
        <v>16</v>
      </c>
      <c r="E5648" s="8" t="s">
        <v>17</v>
      </c>
      <c r="F5648" s="9">
        <v>46116.0</v>
      </c>
      <c r="G5648" s="8" t="s">
        <v>158</v>
      </c>
      <c r="H5648" s="8" t="s">
        <v>159</v>
      </c>
      <c r="I5648" s="8" t="s">
        <v>17032</v>
      </c>
      <c r="J5648" s="8" t="s">
        <v>17033</v>
      </c>
    </row>
    <row r="5649">
      <c r="A5649" s="7">
        <v>2.0038373E7</v>
      </c>
      <c r="B5649" s="8" t="s">
        <v>5222</v>
      </c>
      <c r="C5649" s="8" t="s">
        <v>17034</v>
      </c>
      <c r="D5649" s="8" t="s">
        <v>16</v>
      </c>
      <c r="E5649" s="8" t="s">
        <v>17</v>
      </c>
      <c r="F5649" s="9">
        <v>46059.0</v>
      </c>
      <c r="G5649" s="8" t="s">
        <v>3093</v>
      </c>
      <c r="H5649" s="8" t="s">
        <v>3094</v>
      </c>
      <c r="I5649" s="8" t="s">
        <v>17035</v>
      </c>
      <c r="J5649" s="8" t="s">
        <v>17036</v>
      </c>
    </row>
    <row r="5650">
      <c r="A5650" s="7">
        <v>2.0035159E7</v>
      </c>
      <c r="B5650" s="8" t="s">
        <v>5222</v>
      </c>
      <c r="C5650" s="8" t="s">
        <v>17037</v>
      </c>
      <c r="D5650" s="8" t="s">
        <v>16</v>
      </c>
      <c r="E5650" s="8" t="s">
        <v>17</v>
      </c>
      <c r="F5650" s="9">
        <v>46049.0</v>
      </c>
      <c r="G5650" s="8" t="s">
        <v>2339</v>
      </c>
      <c r="H5650" s="8" t="s">
        <v>2340</v>
      </c>
      <c r="I5650" s="8" t="s">
        <v>17038</v>
      </c>
      <c r="J5650" s="8" t="s">
        <v>17039</v>
      </c>
    </row>
    <row r="5651">
      <c r="A5651" s="7">
        <v>2.0066733E7</v>
      </c>
      <c r="B5651" s="8" t="s">
        <v>5222</v>
      </c>
      <c r="C5651" s="8" t="s">
        <v>17040</v>
      </c>
      <c r="D5651" s="8" t="s">
        <v>16</v>
      </c>
      <c r="E5651" s="8" t="s">
        <v>700</v>
      </c>
      <c r="F5651" s="9">
        <v>46174.0</v>
      </c>
      <c r="G5651" s="8" t="s">
        <v>17041</v>
      </c>
      <c r="H5651" s="8" t="s">
        <v>17042</v>
      </c>
      <c r="I5651" s="8" t="s">
        <v>17043</v>
      </c>
      <c r="J5651" s="8"/>
    </row>
    <row r="5652">
      <c r="A5652" s="7">
        <v>2.0050547E7</v>
      </c>
      <c r="B5652" s="8" t="s">
        <v>5222</v>
      </c>
      <c r="C5652" s="8" t="s">
        <v>17044</v>
      </c>
      <c r="D5652" s="8" t="s">
        <v>16</v>
      </c>
      <c r="E5652" s="8" t="s">
        <v>17</v>
      </c>
      <c r="F5652" s="9">
        <v>46099.0</v>
      </c>
      <c r="G5652" s="8" t="s">
        <v>91</v>
      </c>
      <c r="H5652" s="8" t="s">
        <v>92</v>
      </c>
      <c r="I5652" s="8" t="s">
        <v>17045</v>
      </c>
      <c r="J5652" s="8" t="s">
        <v>17046</v>
      </c>
    </row>
    <row r="5653">
      <c r="A5653" s="7">
        <v>2.0040834E7</v>
      </c>
      <c r="B5653" s="8" t="s">
        <v>5222</v>
      </c>
      <c r="C5653" s="8" t="s">
        <v>17047</v>
      </c>
      <c r="D5653" s="8" t="s">
        <v>16</v>
      </c>
      <c r="E5653" s="8" t="s">
        <v>17</v>
      </c>
      <c r="F5653" s="9">
        <v>46073.0</v>
      </c>
      <c r="G5653" s="8" t="s">
        <v>64</v>
      </c>
      <c r="H5653" s="8" t="s">
        <v>65</v>
      </c>
      <c r="I5653" s="8" t="s">
        <v>17048</v>
      </c>
      <c r="J5653" s="8" t="s">
        <v>17049</v>
      </c>
    </row>
    <row r="5654">
      <c r="A5654" s="7">
        <v>2.0068014E7</v>
      </c>
      <c r="B5654" s="8" t="s">
        <v>5222</v>
      </c>
      <c r="C5654" s="8" t="s">
        <v>17050</v>
      </c>
      <c r="D5654" s="8" t="s">
        <v>16</v>
      </c>
      <c r="E5654" s="8" t="s">
        <v>17</v>
      </c>
      <c r="F5654" s="9">
        <v>46182.0</v>
      </c>
      <c r="G5654" s="8" t="s">
        <v>34</v>
      </c>
      <c r="H5654" s="8" t="s">
        <v>35</v>
      </c>
      <c r="I5654" s="8" t="s">
        <v>17051</v>
      </c>
      <c r="J5654" s="8" t="s">
        <v>17052</v>
      </c>
    </row>
    <row r="5655">
      <c r="A5655" s="7">
        <v>2.0061476E7</v>
      </c>
      <c r="B5655" s="8" t="s">
        <v>5222</v>
      </c>
      <c r="C5655" s="8" t="s">
        <v>17053</v>
      </c>
      <c r="D5655" s="8" t="s">
        <v>16</v>
      </c>
      <c r="E5655" s="8" t="s">
        <v>17</v>
      </c>
      <c r="F5655" s="9">
        <v>46150.0</v>
      </c>
      <c r="G5655" s="8" t="s">
        <v>385</v>
      </c>
      <c r="H5655" s="8" t="s">
        <v>386</v>
      </c>
      <c r="I5655" s="8" t="s">
        <v>17054</v>
      </c>
      <c r="J5655" s="8" t="s">
        <v>17055</v>
      </c>
    </row>
    <row r="5656">
      <c r="A5656" s="7">
        <v>2.0057395E7</v>
      </c>
      <c r="B5656" s="8" t="s">
        <v>5222</v>
      </c>
      <c r="C5656" s="8" t="s">
        <v>17056</v>
      </c>
      <c r="D5656" s="8" t="s">
        <v>16</v>
      </c>
      <c r="E5656" s="8" t="s">
        <v>17</v>
      </c>
      <c r="F5656" s="9">
        <v>46135.0</v>
      </c>
      <c r="G5656" s="8" t="s">
        <v>9567</v>
      </c>
      <c r="H5656" s="8" t="s">
        <v>9568</v>
      </c>
      <c r="I5656" s="8" t="s">
        <v>17057</v>
      </c>
      <c r="J5656" s="8" t="s">
        <v>17058</v>
      </c>
    </row>
    <row r="5657">
      <c r="A5657" s="7">
        <v>2.0057395E7</v>
      </c>
      <c r="B5657" s="8" t="s">
        <v>5222</v>
      </c>
      <c r="C5657" s="8" t="s">
        <v>17056</v>
      </c>
      <c r="D5657" s="8" t="s">
        <v>16</v>
      </c>
      <c r="E5657" s="8" t="s">
        <v>17</v>
      </c>
      <c r="F5657" s="9">
        <v>46135.0</v>
      </c>
      <c r="G5657" s="8" t="s">
        <v>9383</v>
      </c>
      <c r="H5657" s="8" t="s">
        <v>9384</v>
      </c>
      <c r="I5657" s="8" t="s">
        <v>17059</v>
      </c>
      <c r="J5657" s="8" t="s">
        <v>17060</v>
      </c>
    </row>
    <row r="5658">
      <c r="A5658" s="7">
        <v>2.0035747E7</v>
      </c>
      <c r="B5658" s="8" t="s">
        <v>5222</v>
      </c>
      <c r="C5658" s="8" t="s">
        <v>17061</v>
      </c>
      <c r="D5658" s="8" t="s">
        <v>16</v>
      </c>
      <c r="E5658" s="8" t="s">
        <v>17</v>
      </c>
      <c r="F5658" s="9">
        <v>46042.0</v>
      </c>
      <c r="G5658" s="8" t="s">
        <v>826</v>
      </c>
      <c r="H5658" s="8" t="s">
        <v>827</v>
      </c>
      <c r="I5658" s="8" t="s">
        <v>17062</v>
      </c>
      <c r="J5658" s="8" t="s">
        <v>17063</v>
      </c>
    </row>
    <row r="5659">
      <c r="A5659" s="7">
        <v>2.0071248E7</v>
      </c>
      <c r="B5659" s="8" t="s">
        <v>5222</v>
      </c>
      <c r="C5659" s="8" t="s">
        <v>17064</v>
      </c>
      <c r="D5659" s="8" t="s">
        <v>16</v>
      </c>
      <c r="E5659" s="8" t="s">
        <v>17</v>
      </c>
      <c r="F5659" s="9">
        <v>46193.0</v>
      </c>
      <c r="G5659" s="8" t="s">
        <v>423</v>
      </c>
      <c r="H5659" s="8" t="s">
        <v>6351</v>
      </c>
      <c r="I5659" s="8" t="s">
        <v>17065</v>
      </c>
      <c r="J5659" s="8" t="s">
        <v>17066</v>
      </c>
    </row>
    <row r="5660">
      <c r="A5660" s="7">
        <v>2.0063594E7</v>
      </c>
      <c r="B5660" s="8" t="s">
        <v>5222</v>
      </c>
      <c r="C5660" s="8" t="s">
        <v>17067</v>
      </c>
      <c r="D5660" s="8" t="s">
        <v>16</v>
      </c>
      <c r="E5660" s="8" t="s">
        <v>17</v>
      </c>
      <c r="F5660" s="9">
        <v>46157.0</v>
      </c>
      <c r="G5660" s="8" t="s">
        <v>1949</v>
      </c>
      <c r="H5660" s="8" t="s">
        <v>1950</v>
      </c>
      <c r="I5660" s="8" t="s">
        <v>17068</v>
      </c>
      <c r="J5660" s="8" t="s">
        <v>17069</v>
      </c>
    </row>
    <row r="5661">
      <c r="A5661" s="7">
        <v>2.0059901E7</v>
      </c>
      <c r="B5661" s="8" t="s">
        <v>5222</v>
      </c>
      <c r="C5661" s="8" t="s">
        <v>17070</v>
      </c>
      <c r="D5661" s="8" t="s">
        <v>16</v>
      </c>
      <c r="E5661" s="8" t="s">
        <v>17</v>
      </c>
      <c r="F5661" s="9">
        <v>46141.0</v>
      </c>
      <c r="G5661" s="8" t="s">
        <v>234</v>
      </c>
      <c r="H5661" s="8" t="s">
        <v>235</v>
      </c>
      <c r="I5661" s="8" t="s">
        <v>17071</v>
      </c>
      <c r="J5661" s="8" t="s">
        <v>17072</v>
      </c>
    </row>
    <row r="5662">
      <c r="A5662" s="7">
        <v>2.0051354E7</v>
      </c>
      <c r="B5662" s="8" t="s">
        <v>5222</v>
      </c>
      <c r="C5662" s="8" t="s">
        <v>17073</v>
      </c>
      <c r="D5662" s="8" t="s">
        <v>16</v>
      </c>
      <c r="E5662" s="8" t="s">
        <v>17</v>
      </c>
      <c r="F5662" s="9">
        <v>46106.0</v>
      </c>
      <c r="G5662" s="8" t="s">
        <v>220</v>
      </c>
      <c r="H5662" s="8" t="s">
        <v>221</v>
      </c>
      <c r="I5662" s="8" t="s">
        <v>17074</v>
      </c>
      <c r="J5662" s="8" t="s">
        <v>17075</v>
      </c>
    </row>
    <row r="5663">
      <c r="A5663" s="7">
        <v>2.0051354E7</v>
      </c>
      <c r="B5663" s="8" t="s">
        <v>5222</v>
      </c>
      <c r="C5663" s="8" t="s">
        <v>17073</v>
      </c>
      <c r="D5663" s="8" t="s">
        <v>16</v>
      </c>
      <c r="E5663" s="8" t="s">
        <v>17</v>
      </c>
      <c r="F5663" s="9">
        <v>46106.0</v>
      </c>
      <c r="G5663" s="8" t="s">
        <v>277</v>
      </c>
      <c r="H5663" s="8" t="s">
        <v>278</v>
      </c>
      <c r="I5663" s="8" t="s">
        <v>17076</v>
      </c>
      <c r="J5663" s="8" t="s">
        <v>17077</v>
      </c>
    </row>
    <row r="5664">
      <c r="A5664" s="7">
        <v>2.0072431E7</v>
      </c>
      <c r="B5664" s="8" t="s">
        <v>5222</v>
      </c>
      <c r="C5664" s="8" t="s">
        <v>17078</v>
      </c>
      <c r="D5664" s="8" t="s">
        <v>16</v>
      </c>
      <c r="E5664" s="8" t="s">
        <v>17</v>
      </c>
      <c r="F5664" s="9">
        <v>46191.0</v>
      </c>
      <c r="G5664" s="8" t="s">
        <v>3585</v>
      </c>
      <c r="H5664" s="8" t="s">
        <v>3586</v>
      </c>
      <c r="I5664" s="8" t="s">
        <v>17079</v>
      </c>
      <c r="J5664" s="8" t="s">
        <v>17080</v>
      </c>
    </row>
    <row r="5665">
      <c r="A5665" s="7">
        <v>2.0059204E7</v>
      </c>
      <c r="B5665" s="8" t="s">
        <v>5222</v>
      </c>
      <c r="C5665" s="8" t="s">
        <v>17081</v>
      </c>
      <c r="D5665" s="8" t="s">
        <v>16</v>
      </c>
      <c r="E5665" s="8" t="s">
        <v>17</v>
      </c>
      <c r="F5665" s="9">
        <v>46138.0</v>
      </c>
      <c r="G5665" s="8" t="s">
        <v>365</v>
      </c>
      <c r="H5665" s="8" t="s">
        <v>366</v>
      </c>
      <c r="I5665" s="8" t="s">
        <v>17082</v>
      </c>
      <c r="J5665" s="8" t="s">
        <v>17083</v>
      </c>
    </row>
    <row r="5666">
      <c r="A5666" s="7">
        <v>2.0050227E7</v>
      </c>
      <c r="B5666" s="8" t="s">
        <v>5222</v>
      </c>
      <c r="C5666" s="8" t="s">
        <v>17084</v>
      </c>
      <c r="D5666" s="8" t="s">
        <v>16</v>
      </c>
      <c r="E5666" s="8" t="s">
        <v>17</v>
      </c>
      <c r="F5666" s="9">
        <v>46124.0</v>
      </c>
      <c r="G5666" s="8" t="s">
        <v>1085</v>
      </c>
      <c r="H5666" s="8" t="s">
        <v>1086</v>
      </c>
      <c r="I5666" s="8" t="s">
        <v>17085</v>
      </c>
      <c r="J5666" s="8" t="s">
        <v>17086</v>
      </c>
    </row>
    <row r="5667">
      <c r="A5667" s="7">
        <v>2.0050226E7</v>
      </c>
      <c r="B5667" s="8" t="s">
        <v>5222</v>
      </c>
      <c r="C5667" s="8" t="s">
        <v>17087</v>
      </c>
      <c r="D5667" s="8" t="s">
        <v>16</v>
      </c>
      <c r="E5667" s="8" t="s">
        <v>17</v>
      </c>
      <c r="F5667" s="9">
        <v>46107.0</v>
      </c>
      <c r="G5667" s="8" t="s">
        <v>49</v>
      </c>
      <c r="H5667" s="8" t="s">
        <v>50</v>
      </c>
      <c r="I5667" s="8" t="s">
        <v>17088</v>
      </c>
      <c r="J5667" s="8" t="s">
        <v>17089</v>
      </c>
    </row>
    <row r="5668">
      <c r="A5668" s="7">
        <v>2.0045671E7</v>
      </c>
      <c r="B5668" s="8" t="s">
        <v>5222</v>
      </c>
      <c r="C5668" s="8" t="s">
        <v>17090</v>
      </c>
      <c r="D5668" s="8" t="s">
        <v>16</v>
      </c>
      <c r="E5668" s="8" t="s">
        <v>17</v>
      </c>
      <c r="F5668" s="9">
        <v>46101.0</v>
      </c>
      <c r="G5668" s="8" t="s">
        <v>15390</v>
      </c>
      <c r="H5668" s="8" t="s">
        <v>15391</v>
      </c>
      <c r="I5668" s="8" t="s">
        <v>17091</v>
      </c>
      <c r="J5668" s="8" t="s">
        <v>17092</v>
      </c>
    </row>
    <row r="5669">
      <c r="A5669" s="7">
        <v>2.0045156E7</v>
      </c>
      <c r="B5669" s="8" t="s">
        <v>5222</v>
      </c>
      <c r="C5669" s="8" t="s">
        <v>17093</v>
      </c>
      <c r="D5669" s="8" t="s">
        <v>16</v>
      </c>
      <c r="E5669" s="8" t="s">
        <v>17</v>
      </c>
      <c r="F5669" s="9">
        <v>46083.0</v>
      </c>
      <c r="G5669" s="8" t="s">
        <v>423</v>
      </c>
      <c r="H5669" s="8" t="s">
        <v>424</v>
      </c>
      <c r="I5669" s="8" t="s">
        <v>17094</v>
      </c>
      <c r="J5669" s="8" t="s">
        <v>17095</v>
      </c>
    </row>
    <row r="5670">
      <c r="A5670" s="7">
        <v>2.0037439E7</v>
      </c>
      <c r="B5670" s="8" t="s">
        <v>5222</v>
      </c>
      <c r="C5670" s="8" t="s">
        <v>17096</v>
      </c>
      <c r="D5670" s="8" t="s">
        <v>16</v>
      </c>
      <c r="E5670" s="8" t="s">
        <v>17</v>
      </c>
      <c r="F5670" s="9">
        <v>46060.0</v>
      </c>
      <c r="G5670" s="8" t="s">
        <v>29</v>
      </c>
      <c r="H5670" s="8" t="s">
        <v>30</v>
      </c>
      <c r="I5670" s="8" t="s">
        <v>17097</v>
      </c>
      <c r="J5670" s="8" t="s">
        <v>17098</v>
      </c>
    </row>
    <row r="5671">
      <c r="A5671" s="7">
        <v>2.0066541E7</v>
      </c>
      <c r="B5671" s="8" t="s">
        <v>5222</v>
      </c>
      <c r="C5671" s="8" t="s">
        <v>17099</v>
      </c>
      <c r="D5671" s="8" t="s">
        <v>16</v>
      </c>
      <c r="E5671" s="8" t="s">
        <v>17</v>
      </c>
      <c r="F5671" s="9">
        <v>46174.0</v>
      </c>
      <c r="G5671" s="8" t="s">
        <v>59</v>
      </c>
      <c r="H5671" s="8" t="s">
        <v>60</v>
      </c>
      <c r="I5671" s="8" t="s">
        <v>17100</v>
      </c>
      <c r="J5671" s="8" t="s">
        <v>17101</v>
      </c>
    </row>
    <row r="5672">
      <c r="A5672" s="7">
        <v>2.0064803E7</v>
      </c>
      <c r="B5672" s="8" t="s">
        <v>5222</v>
      </c>
      <c r="C5672" s="8" t="s">
        <v>17102</v>
      </c>
      <c r="D5672" s="8" t="s">
        <v>16</v>
      </c>
      <c r="E5672" s="8" t="s">
        <v>17</v>
      </c>
      <c r="F5672" s="9">
        <v>46167.0</v>
      </c>
      <c r="G5672" s="8" t="s">
        <v>59</v>
      </c>
      <c r="H5672" s="8" t="s">
        <v>60</v>
      </c>
      <c r="I5672" s="8" t="s">
        <v>17103</v>
      </c>
      <c r="J5672" s="8" t="s">
        <v>17104</v>
      </c>
    </row>
    <row r="5673">
      <c r="A5673" s="7">
        <v>2.0060066E7</v>
      </c>
      <c r="B5673" s="8" t="s">
        <v>5222</v>
      </c>
      <c r="C5673" s="8" t="s">
        <v>17105</v>
      </c>
      <c r="D5673" s="8" t="s">
        <v>16</v>
      </c>
      <c r="E5673" s="8" t="s">
        <v>17</v>
      </c>
      <c r="F5673" s="9">
        <v>46147.0</v>
      </c>
      <c r="G5673" s="8" t="s">
        <v>923</v>
      </c>
      <c r="H5673" s="8" t="s">
        <v>7274</v>
      </c>
      <c r="I5673" s="8" t="s">
        <v>17106</v>
      </c>
      <c r="J5673" s="8" t="s">
        <v>17107</v>
      </c>
    </row>
    <row r="5674">
      <c r="A5674" s="7">
        <v>2.0035971E7</v>
      </c>
      <c r="B5674" s="8" t="s">
        <v>5222</v>
      </c>
      <c r="C5674" s="8" t="s">
        <v>17108</v>
      </c>
      <c r="D5674" s="8" t="s">
        <v>16</v>
      </c>
      <c r="E5674" s="8" t="s">
        <v>17</v>
      </c>
      <c r="F5674" s="9">
        <v>46043.0</v>
      </c>
      <c r="G5674" s="8" t="s">
        <v>759</v>
      </c>
      <c r="H5674" s="8" t="s">
        <v>760</v>
      </c>
      <c r="I5674" s="8" t="s">
        <v>17109</v>
      </c>
      <c r="J5674" s="8" t="s">
        <v>17110</v>
      </c>
    </row>
    <row r="5675">
      <c r="A5675" s="7">
        <v>2.0062374E7</v>
      </c>
      <c r="B5675" s="8" t="s">
        <v>5222</v>
      </c>
      <c r="C5675" s="8" t="s">
        <v>17111</v>
      </c>
      <c r="D5675" s="8" t="s">
        <v>16</v>
      </c>
      <c r="E5675" s="8" t="s">
        <v>17</v>
      </c>
      <c r="F5675" s="9">
        <v>46179.0</v>
      </c>
      <c r="G5675" s="8" t="s">
        <v>791</v>
      </c>
      <c r="H5675" s="8" t="s">
        <v>792</v>
      </c>
      <c r="I5675" s="8"/>
      <c r="J5675" s="8" t="s">
        <v>17112</v>
      </c>
    </row>
    <row r="5676">
      <c r="A5676" s="7">
        <v>2.0062374E7</v>
      </c>
      <c r="B5676" s="8" t="s">
        <v>5222</v>
      </c>
      <c r="C5676" s="8" t="s">
        <v>17111</v>
      </c>
      <c r="D5676" s="8" t="s">
        <v>16</v>
      </c>
      <c r="E5676" s="8" t="s">
        <v>17</v>
      </c>
      <c r="F5676" s="9">
        <v>46179.0</v>
      </c>
      <c r="G5676" s="8" t="s">
        <v>1841</v>
      </c>
      <c r="H5676" s="8" t="s">
        <v>1842</v>
      </c>
      <c r="I5676" s="8"/>
      <c r="J5676" s="8" t="s">
        <v>17113</v>
      </c>
    </row>
    <row r="5677">
      <c r="A5677" s="7">
        <v>2.0058634E7</v>
      </c>
      <c r="B5677" s="8" t="s">
        <v>5222</v>
      </c>
      <c r="C5677" s="8" t="s">
        <v>17114</v>
      </c>
      <c r="D5677" s="8" t="s">
        <v>16</v>
      </c>
      <c r="E5677" s="8" t="s">
        <v>17</v>
      </c>
      <c r="F5677" s="9">
        <v>46139.0</v>
      </c>
      <c r="G5677" s="8" t="s">
        <v>428</v>
      </c>
      <c r="H5677" s="8" t="s">
        <v>429</v>
      </c>
      <c r="I5677" s="8" t="s">
        <v>17115</v>
      </c>
      <c r="J5677" s="8"/>
    </row>
    <row r="5678">
      <c r="A5678" s="7">
        <v>2.0049771E7</v>
      </c>
      <c r="B5678" s="8" t="s">
        <v>5222</v>
      </c>
      <c r="C5678" s="8" t="s">
        <v>17116</v>
      </c>
      <c r="D5678" s="8" t="s">
        <v>16</v>
      </c>
      <c r="E5678" s="8" t="s">
        <v>17</v>
      </c>
      <c r="F5678" s="9">
        <v>46100.0</v>
      </c>
      <c r="G5678" s="8" t="s">
        <v>504</v>
      </c>
      <c r="H5678" s="8" t="s">
        <v>505</v>
      </c>
      <c r="I5678" s="8" t="s">
        <v>17117</v>
      </c>
      <c r="J5678" s="8" t="s">
        <v>17118</v>
      </c>
    </row>
    <row r="5679">
      <c r="A5679" s="7">
        <v>2.0049249E7</v>
      </c>
      <c r="B5679" s="8" t="s">
        <v>5222</v>
      </c>
      <c r="C5679" s="8" t="s">
        <v>17119</v>
      </c>
      <c r="D5679" s="8" t="s">
        <v>16</v>
      </c>
      <c r="E5679" s="8" t="s">
        <v>17</v>
      </c>
      <c r="F5679" s="9">
        <v>46099.0</v>
      </c>
      <c r="G5679" s="8" t="s">
        <v>385</v>
      </c>
      <c r="H5679" s="8" t="s">
        <v>386</v>
      </c>
      <c r="I5679" s="8" t="s">
        <v>17120</v>
      </c>
      <c r="J5679" s="8" t="s">
        <v>17121</v>
      </c>
    </row>
    <row r="5680">
      <c r="A5680" s="7">
        <v>2.0045877E7</v>
      </c>
      <c r="B5680" s="8" t="s">
        <v>5222</v>
      </c>
      <c r="C5680" s="8" t="s">
        <v>17122</v>
      </c>
      <c r="D5680" s="8" t="s">
        <v>16</v>
      </c>
      <c r="E5680" s="8" t="s">
        <v>17</v>
      </c>
      <c r="F5680" s="9">
        <v>46089.0</v>
      </c>
      <c r="G5680" s="8" t="s">
        <v>234</v>
      </c>
      <c r="H5680" s="8" t="s">
        <v>235</v>
      </c>
      <c r="I5680" s="8" t="s">
        <v>17123</v>
      </c>
      <c r="J5680" s="8" t="s">
        <v>17124</v>
      </c>
    </row>
    <row r="5681">
      <c r="A5681" s="7">
        <v>2.0031696E7</v>
      </c>
      <c r="B5681" s="8" t="s">
        <v>5222</v>
      </c>
      <c r="C5681" s="8" t="s">
        <v>17125</v>
      </c>
      <c r="D5681" s="8" t="s">
        <v>16</v>
      </c>
      <c r="E5681" s="8" t="s">
        <v>17</v>
      </c>
      <c r="F5681" s="9">
        <v>46038.0</v>
      </c>
      <c r="G5681" s="8" t="s">
        <v>54</v>
      </c>
      <c r="H5681" s="8" t="s">
        <v>55</v>
      </c>
      <c r="I5681" s="8" t="s">
        <v>17126</v>
      </c>
      <c r="J5681" s="8" t="s">
        <v>17127</v>
      </c>
    </row>
    <row r="5682">
      <c r="A5682" s="7">
        <v>2.0033794E7</v>
      </c>
      <c r="B5682" s="8" t="s">
        <v>5222</v>
      </c>
      <c r="C5682" s="8" t="s">
        <v>17128</v>
      </c>
      <c r="D5682" s="8" t="s">
        <v>16</v>
      </c>
      <c r="E5682" s="8" t="s">
        <v>17</v>
      </c>
      <c r="F5682" s="9">
        <v>46036.0</v>
      </c>
      <c r="G5682" s="8" t="s">
        <v>14780</v>
      </c>
      <c r="H5682" s="8" t="s">
        <v>3431</v>
      </c>
      <c r="I5682" s="8" t="s">
        <v>17129</v>
      </c>
      <c r="J5682" s="8" t="s">
        <v>17130</v>
      </c>
    </row>
    <row r="5683">
      <c r="A5683" s="7">
        <v>2.0049914E7</v>
      </c>
      <c r="B5683" s="8" t="s">
        <v>5222</v>
      </c>
      <c r="C5683" s="8" t="s">
        <v>17131</v>
      </c>
      <c r="D5683" s="8" t="s">
        <v>16</v>
      </c>
      <c r="E5683" s="8" t="s">
        <v>17</v>
      </c>
      <c r="F5683" s="9">
        <v>46117.0</v>
      </c>
      <c r="G5683" s="8" t="s">
        <v>3140</v>
      </c>
      <c r="H5683" s="8" t="s">
        <v>3141</v>
      </c>
      <c r="I5683" s="8" t="s">
        <v>17132</v>
      </c>
      <c r="J5683" s="8" t="s">
        <v>17133</v>
      </c>
    </row>
    <row r="5684">
      <c r="A5684" s="7">
        <v>2.0047997E7</v>
      </c>
      <c r="B5684" s="8" t="s">
        <v>5222</v>
      </c>
      <c r="C5684" s="8" t="s">
        <v>17134</v>
      </c>
      <c r="D5684" s="8" t="s">
        <v>16</v>
      </c>
      <c r="E5684" s="8" t="s">
        <v>700</v>
      </c>
      <c r="F5684" s="9">
        <v>46090.0</v>
      </c>
      <c r="G5684" s="8" t="s">
        <v>234</v>
      </c>
      <c r="H5684" s="8" t="s">
        <v>235</v>
      </c>
      <c r="I5684" s="8" t="s">
        <v>17135</v>
      </c>
      <c r="J5684" s="8" t="s">
        <v>17136</v>
      </c>
    </row>
    <row r="5685">
      <c r="A5685" s="7">
        <v>2.0060102E7</v>
      </c>
      <c r="B5685" s="8" t="s">
        <v>5222</v>
      </c>
      <c r="C5685" s="8" t="s">
        <v>17137</v>
      </c>
      <c r="D5685" s="8" t="s">
        <v>16</v>
      </c>
      <c r="E5685" s="8" t="s">
        <v>17</v>
      </c>
      <c r="F5685" s="9">
        <v>46182.0</v>
      </c>
      <c r="G5685" s="8" t="s">
        <v>1998</v>
      </c>
      <c r="H5685" s="8" t="s">
        <v>1999</v>
      </c>
      <c r="I5685" s="8" t="s">
        <v>17138</v>
      </c>
      <c r="J5685" s="8" t="s">
        <v>17139</v>
      </c>
    </row>
    <row r="5686">
      <c r="A5686" s="7">
        <v>2.0058413E7</v>
      </c>
      <c r="B5686" s="8" t="s">
        <v>5222</v>
      </c>
      <c r="C5686" s="8" t="s">
        <v>17140</v>
      </c>
      <c r="D5686" s="8" t="s">
        <v>16</v>
      </c>
      <c r="E5686" s="8" t="s">
        <v>17</v>
      </c>
      <c r="F5686" s="9">
        <v>46145.0</v>
      </c>
      <c r="G5686" s="8" t="s">
        <v>1391</v>
      </c>
      <c r="H5686" s="8" t="s">
        <v>1392</v>
      </c>
      <c r="I5686" s="8" t="s">
        <v>17141</v>
      </c>
      <c r="J5686" s="8" t="s">
        <v>17142</v>
      </c>
    </row>
    <row r="5687">
      <c r="A5687" s="7">
        <v>2.005769E7</v>
      </c>
      <c r="B5687" s="8" t="s">
        <v>5222</v>
      </c>
      <c r="C5687" s="8" t="s">
        <v>17143</v>
      </c>
      <c r="D5687" s="8" t="s">
        <v>16</v>
      </c>
      <c r="E5687" s="8" t="s">
        <v>17</v>
      </c>
      <c r="F5687" s="9">
        <v>46131.0</v>
      </c>
      <c r="G5687" s="8" t="s">
        <v>220</v>
      </c>
      <c r="H5687" s="8" t="s">
        <v>221</v>
      </c>
      <c r="I5687" s="8" t="s">
        <v>17144</v>
      </c>
      <c r="J5687" s="8" t="s">
        <v>17145</v>
      </c>
    </row>
    <row r="5688">
      <c r="A5688" s="7">
        <v>2.0052842E7</v>
      </c>
      <c r="B5688" s="8" t="s">
        <v>5222</v>
      </c>
      <c r="C5688" s="8" t="s">
        <v>17146</v>
      </c>
      <c r="D5688" s="8" t="s">
        <v>16</v>
      </c>
      <c r="E5688" s="8" t="s">
        <v>17</v>
      </c>
      <c r="F5688" s="9">
        <v>46108.0</v>
      </c>
      <c r="G5688" s="8" t="s">
        <v>59</v>
      </c>
      <c r="H5688" s="8" t="s">
        <v>60</v>
      </c>
      <c r="I5688" s="8" t="s">
        <v>17147</v>
      </c>
      <c r="J5688" s="8" t="s">
        <v>17148</v>
      </c>
    </row>
    <row r="5689">
      <c r="A5689" s="7">
        <v>2.0044775E7</v>
      </c>
      <c r="B5689" s="8" t="s">
        <v>5222</v>
      </c>
      <c r="C5689" s="8" t="s">
        <v>17149</v>
      </c>
      <c r="D5689" s="8" t="s">
        <v>16</v>
      </c>
      <c r="E5689" s="8" t="s">
        <v>17</v>
      </c>
      <c r="F5689" s="9">
        <v>46077.0</v>
      </c>
      <c r="G5689" s="8" t="s">
        <v>234</v>
      </c>
      <c r="H5689" s="8" t="s">
        <v>235</v>
      </c>
      <c r="I5689" s="8" t="s">
        <v>17150</v>
      </c>
      <c r="J5689" s="8" t="s">
        <v>17151</v>
      </c>
    </row>
    <row r="5690">
      <c r="A5690" s="7">
        <v>2.0040567E7</v>
      </c>
      <c r="B5690" s="8" t="s">
        <v>5222</v>
      </c>
      <c r="C5690" s="8" t="s">
        <v>17152</v>
      </c>
      <c r="D5690" s="8" t="s">
        <v>16</v>
      </c>
      <c r="E5690" s="8" t="s">
        <v>17</v>
      </c>
      <c r="F5690" s="9">
        <v>46078.0</v>
      </c>
      <c r="G5690" s="8" t="s">
        <v>4579</v>
      </c>
      <c r="H5690" s="8" t="s">
        <v>4580</v>
      </c>
      <c r="I5690" s="8" t="s">
        <v>17153</v>
      </c>
      <c r="J5690" s="8" t="s">
        <v>17154</v>
      </c>
    </row>
    <row r="5691">
      <c r="A5691" s="7">
        <v>2.0037666E7</v>
      </c>
      <c r="B5691" s="8" t="s">
        <v>5222</v>
      </c>
      <c r="C5691" s="8" t="s">
        <v>17155</v>
      </c>
      <c r="D5691" s="8" t="s">
        <v>16</v>
      </c>
      <c r="E5691" s="8" t="s">
        <v>48</v>
      </c>
      <c r="F5691" s="9">
        <v>46066.0</v>
      </c>
      <c r="G5691" s="8" t="s">
        <v>59</v>
      </c>
      <c r="H5691" s="8" t="s">
        <v>60</v>
      </c>
      <c r="I5691" s="8" t="s">
        <v>17156</v>
      </c>
      <c r="J5691" s="8" t="s">
        <v>1752</v>
      </c>
    </row>
    <row r="5692">
      <c r="A5692" s="7">
        <v>2.0068901E7</v>
      </c>
      <c r="B5692" s="8" t="s">
        <v>5222</v>
      </c>
      <c r="C5692" s="8" t="s">
        <v>17157</v>
      </c>
      <c r="D5692" s="8" t="s">
        <v>16</v>
      </c>
      <c r="E5692" s="8" t="s">
        <v>17</v>
      </c>
      <c r="F5692" s="9">
        <v>46189.0</v>
      </c>
      <c r="G5692" s="8" t="s">
        <v>234</v>
      </c>
      <c r="H5692" s="8" t="s">
        <v>235</v>
      </c>
      <c r="I5692" s="8" t="s">
        <v>17158</v>
      </c>
      <c r="J5692" s="8" t="s">
        <v>17159</v>
      </c>
    </row>
    <row r="5693">
      <c r="A5693" s="7">
        <v>2.0061207E7</v>
      </c>
      <c r="B5693" s="8" t="s">
        <v>5222</v>
      </c>
      <c r="C5693" s="8" t="s">
        <v>17160</v>
      </c>
      <c r="D5693" s="8" t="s">
        <v>16</v>
      </c>
      <c r="E5693" s="8" t="s">
        <v>17</v>
      </c>
      <c r="F5693" s="9">
        <v>46150.0</v>
      </c>
      <c r="G5693" s="8" t="s">
        <v>908</v>
      </c>
      <c r="H5693" s="8" t="s">
        <v>909</v>
      </c>
      <c r="I5693" s="8" t="s">
        <v>17161</v>
      </c>
      <c r="J5693" s="8" t="s">
        <v>17162</v>
      </c>
    </row>
    <row r="5694">
      <c r="A5694" s="7">
        <v>2.0059513E7</v>
      </c>
      <c r="B5694" s="8" t="s">
        <v>5222</v>
      </c>
      <c r="C5694" s="8" t="s">
        <v>17163</v>
      </c>
      <c r="D5694" s="8" t="s">
        <v>16</v>
      </c>
      <c r="E5694" s="8" t="s">
        <v>17</v>
      </c>
      <c r="F5694" s="9">
        <v>46143.0</v>
      </c>
      <c r="G5694" s="8" t="s">
        <v>17164</v>
      </c>
      <c r="H5694" s="8" t="s">
        <v>17165</v>
      </c>
      <c r="I5694" s="8" t="s">
        <v>17166</v>
      </c>
      <c r="J5694" s="8" t="s">
        <v>17167</v>
      </c>
    </row>
    <row r="5695">
      <c r="A5695" s="7">
        <v>2.0059004E7</v>
      </c>
      <c r="B5695" s="8" t="s">
        <v>5222</v>
      </c>
      <c r="C5695" s="8" t="s">
        <v>17168</v>
      </c>
      <c r="D5695" s="8" t="s">
        <v>16</v>
      </c>
      <c r="E5695" s="8" t="s">
        <v>700</v>
      </c>
      <c r="F5695" s="9">
        <v>46154.0</v>
      </c>
      <c r="G5695" s="8" t="s">
        <v>6228</v>
      </c>
      <c r="H5695" s="8" t="s">
        <v>6229</v>
      </c>
      <c r="I5695" s="8" t="s">
        <v>17169</v>
      </c>
      <c r="J5695" s="8"/>
    </row>
    <row r="5696">
      <c r="A5696" s="7">
        <v>2.0058018E7</v>
      </c>
      <c r="B5696" s="8" t="s">
        <v>5222</v>
      </c>
      <c r="C5696" s="8" t="s">
        <v>17170</v>
      </c>
      <c r="D5696" s="8" t="s">
        <v>16</v>
      </c>
      <c r="E5696" s="8" t="s">
        <v>17</v>
      </c>
      <c r="F5696" s="9">
        <v>46139.0</v>
      </c>
      <c r="G5696" s="8" t="s">
        <v>109</v>
      </c>
      <c r="H5696" s="8" t="s">
        <v>110</v>
      </c>
      <c r="I5696" s="8" t="s">
        <v>17171</v>
      </c>
      <c r="J5696" s="8" t="s">
        <v>17172</v>
      </c>
    </row>
    <row r="5697">
      <c r="A5697" s="7">
        <v>2.0056769E7</v>
      </c>
      <c r="B5697" s="8" t="s">
        <v>5222</v>
      </c>
      <c r="C5697" s="8" t="s">
        <v>17173</v>
      </c>
      <c r="D5697" s="8" t="s">
        <v>16</v>
      </c>
      <c r="E5697" s="8" t="s">
        <v>17</v>
      </c>
      <c r="F5697" s="9">
        <v>46128.0</v>
      </c>
      <c r="G5697" s="8" t="s">
        <v>339</v>
      </c>
      <c r="H5697" s="8" t="s">
        <v>340</v>
      </c>
      <c r="I5697" s="8" t="s">
        <v>17174</v>
      </c>
      <c r="J5697" s="8" t="s">
        <v>17175</v>
      </c>
    </row>
    <row r="5698">
      <c r="A5698" s="7">
        <v>2.0052849E7</v>
      </c>
      <c r="B5698" s="8" t="s">
        <v>5222</v>
      </c>
      <c r="C5698" s="8" t="s">
        <v>17176</v>
      </c>
      <c r="D5698" s="8" t="s">
        <v>16</v>
      </c>
      <c r="E5698" s="8" t="s">
        <v>17</v>
      </c>
      <c r="F5698" s="9">
        <v>46113.0</v>
      </c>
      <c r="G5698" s="8" t="s">
        <v>282</v>
      </c>
      <c r="H5698" s="8" t="s">
        <v>71</v>
      </c>
      <c r="I5698" s="8" t="s">
        <v>17177</v>
      </c>
      <c r="J5698" s="8" t="s">
        <v>17178</v>
      </c>
    </row>
    <row r="5699">
      <c r="A5699" s="7">
        <v>2.0052399E7</v>
      </c>
      <c r="B5699" s="8" t="s">
        <v>5222</v>
      </c>
      <c r="C5699" s="8" t="s">
        <v>17179</v>
      </c>
      <c r="D5699" s="8" t="s">
        <v>16</v>
      </c>
      <c r="E5699" s="8" t="s">
        <v>17</v>
      </c>
      <c r="F5699" s="9">
        <v>46108.0</v>
      </c>
      <c r="G5699" s="8" t="s">
        <v>1949</v>
      </c>
      <c r="H5699" s="8" t="s">
        <v>1950</v>
      </c>
      <c r="I5699" s="8" t="s">
        <v>17180</v>
      </c>
      <c r="J5699" s="8" t="s">
        <v>17181</v>
      </c>
    </row>
    <row r="5700">
      <c r="A5700" s="7">
        <v>2.0044836E7</v>
      </c>
      <c r="B5700" s="8" t="s">
        <v>5222</v>
      </c>
      <c r="C5700" s="8" t="s">
        <v>17182</v>
      </c>
      <c r="D5700" s="8" t="s">
        <v>16</v>
      </c>
      <c r="E5700" s="8" t="s">
        <v>17</v>
      </c>
      <c r="F5700" s="9">
        <v>46093.0</v>
      </c>
      <c r="G5700" s="8" t="s">
        <v>846</v>
      </c>
      <c r="H5700" s="8" t="s">
        <v>847</v>
      </c>
      <c r="I5700" s="8" t="s">
        <v>17183</v>
      </c>
      <c r="J5700" s="8" t="s">
        <v>17184</v>
      </c>
    </row>
    <row r="5701">
      <c r="A5701" s="7">
        <v>2.0041387E7</v>
      </c>
      <c r="B5701" s="8" t="s">
        <v>5222</v>
      </c>
      <c r="C5701" s="8" t="s">
        <v>17185</v>
      </c>
      <c r="D5701" s="8" t="s">
        <v>16</v>
      </c>
      <c r="E5701" s="8" t="s">
        <v>17</v>
      </c>
      <c r="F5701" s="9">
        <v>46073.0</v>
      </c>
      <c r="G5701" s="8" t="s">
        <v>826</v>
      </c>
      <c r="H5701" s="8" t="s">
        <v>827</v>
      </c>
      <c r="I5701" s="8" t="s">
        <v>17186</v>
      </c>
      <c r="J5701" s="8" t="s">
        <v>17187</v>
      </c>
    </row>
    <row r="5702">
      <c r="A5702" s="7">
        <v>2.0062546E7</v>
      </c>
      <c r="B5702" s="8" t="s">
        <v>14</v>
      </c>
      <c r="C5702" s="8" t="s">
        <v>17188</v>
      </c>
      <c r="D5702" s="8" t="s">
        <v>16</v>
      </c>
      <c r="E5702" s="8" t="s">
        <v>17</v>
      </c>
      <c r="F5702" s="9">
        <v>46181.0</v>
      </c>
      <c r="G5702" s="8" t="s">
        <v>2486</v>
      </c>
      <c r="H5702" s="8" t="s">
        <v>2487</v>
      </c>
      <c r="I5702" s="8" t="s">
        <v>17189</v>
      </c>
      <c r="J5702" s="8" t="s">
        <v>17190</v>
      </c>
    </row>
    <row r="5703">
      <c r="A5703" s="7">
        <v>2.0065024E7</v>
      </c>
      <c r="B5703" s="8" t="s">
        <v>14</v>
      </c>
      <c r="C5703" s="8" t="s">
        <v>17191</v>
      </c>
      <c r="D5703" s="8" t="s">
        <v>16</v>
      </c>
      <c r="E5703" s="8" t="s">
        <v>17</v>
      </c>
      <c r="F5703" s="9">
        <v>46163.0</v>
      </c>
      <c r="G5703" s="8" t="s">
        <v>3012</v>
      </c>
      <c r="H5703" s="8" t="s">
        <v>3013</v>
      </c>
      <c r="I5703" s="8" t="s">
        <v>17192</v>
      </c>
      <c r="J5703" s="8" t="s">
        <v>17193</v>
      </c>
    </row>
    <row r="5704">
      <c r="A5704" s="7">
        <v>2.006244E7</v>
      </c>
      <c r="B5704" s="8" t="s">
        <v>14</v>
      </c>
      <c r="C5704" s="8" t="s">
        <v>17194</v>
      </c>
      <c r="D5704" s="8" t="s">
        <v>16</v>
      </c>
      <c r="E5704" s="8" t="s">
        <v>17</v>
      </c>
      <c r="F5704" s="9">
        <v>46157.0</v>
      </c>
      <c r="G5704" s="8" t="s">
        <v>109</v>
      </c>
      <c r="H5704" s="8" t="s">
        <v>110</v>
      </c>
      <c r="I5704" s="8" t="s">
        <v>17195</v>
      </c>
      <c r="J5704" s="8" t="s">
        <v>17196</v>
      </c>
    </row>
    <row r="5705">
      <c r="A5705" s="7">
        <v>2.0062734E7</v>
      </c>
      <c r="B5705" s="8" t="s">
        <v>14</v>
      </c>
      <c r="C5705" s="8" t="s">
        <v>17197</v>
      </c>
      <c r="D5705" s="8" t="s">
        <v>2136</v>
      </c>
      <c r="E5705" s="8" t="s">
        <v>17</v>
      </c>
      <c r="F5705" s="9">
        <v>46151.0</v>
      </c>
      <c r="G5705" s="8" t="s">
        <v>2294</v>
      </c>
      <c r="H5705" s="8" t="s">
        <v>2295</v>
      </c>
      <c r="I5705" s="8" t="s">
        <v>17198</v>
      </c>
      <c r="J5705" s="8" t="s">
        <v>17199</v>
      </c>
    </row>
    <row r="5706">
      <c r="A5706" s="7">
        <v>2.0056213E7</v>
      </c>
      <c r="B5706" s="8" t="s">
        <v>14</v>
      </c>
      <c r="C5706" s="8" t="s">
        <v>17200</v>
      </c>
      <c r="D5706" s="8" t="s">
        <v>16</v>
      </c>
      <c r="E5706" s="8" t="s">
        <v>17</v>
      </c>
      <c r="F5706" s="9">
        <v>46141.0</v>
      </c>
      <c r="G5706" s="8" t="s">
        <v>3709</v>
      </c>
      <c r="H5706" s="8" t="s">
        <v>3710</v>
      </c>
      <c r="I5706" s="8" t="s">
        <v>17201</v>
      </c>
      <c r="J5706" s="8" t="s">
        <v>17202</v>
      </c>
    </row>
    <row r="5707">
      <c r="A5707" s="7">
        <v>2.0056213E7</v>
      </c>
      <c r="B5707" s="8" t="s">
        <v>14</v>
      </c>
      <c r="C5707" s="8" t="s">
        <v>17200</v>
      </c>
      <c r="D5707" s="8" t="s">
        <v>16</v>
      </c>
      <c r="E5707" s="8" t="s">
        <v>17</v>
      </c>
      <c r="F5707" s="9">
        <v>46141.0</v>
      </c>
      <c r="G5707" s="8" t="s">
        <v>207</v>
      </c>
      <c r="H5707" s="8" t="s">
        <v>7341</v>
      </c>
      <c r="I5707" s="8" t="s">
        <v>17203</v>
      </c>
      <c r="J5707" s="8" t="s">
        <v>17204</v>
      </c>
    </row>
    <row r="5708">
      <c r="A5708" s="7">
        <v>2.0056327E7</v>
      </c>
      <c r="B5708" s="8" t="s">
        <v>14</v>
      </c>
      <c r="C5708" s="8" t="s">
        <v>17205</v>
      </c>
      <c r="D5708" s="8" t="s">
        <v>16</v>
      </c>
      <c r="E5708" s="8" t="s">
        <v>17</v>
      </c>
      <c r="F5708" s="9">
        <v>46125.0</v>
      </c>
      <c r="G5708" s="8" t="s">
        <v>247</v>
      </c>
      <c r="H5708" s="8" t="s">
        <v>248</v>
      </c>
      <c r="I5708" s="8" t="s">
        <v>17206</v>
      </c>
      <c r="J5708" s="8" t="s">
        <v>17207</v>
      </c>
    </row>
    <row r="5709">
      <c r="A5709" s="7">
        <v>2.0040165E7</v>
      </c>
      <c r="B5709" s="8" t="s">
        <v>14</v>
      </c>
      <c r="C5709" s="8" t="s">
        <v>17208</v>
      </c>
      <c r="D5709" s="8" t="s">
        <v>16</v>
      </c>
      <c r="E5709" s="8" t="s">
        <v>17</v>
      </c>
      <c r="F5709" s="9">
        <v>46077.0</v>
      </c>
      <c r="G5709" s="8" t="s">
        <v>17164</v>
      </c>
      <c r="H5709" s="8" t="s">
        <v>71</v>
      </c>
      <c r="I5709" s="8" t="s">
        <v>17209</v>
      </c>
      <c r="J5709" s="8" t="s">
        <v>17210</v>
      </c>
    </row>
    <row r="5710">
      <c r="A5710" s="7">
        <v>2.0042936E7</v>
      </c>
      <c r="B5710" s="8" t="s">
        <v>14</v>
      </c>
      <c r="C5710" s="8" t="s">
        <v>17211</v>
      </c>
      <c r="D5710" s="8" t="s">
        <v>16</v>
      </c>
      <c r="E5710" s="8" t="s">
        <v>17</v>
      </c>
      <c r="F5710" s="9">
        <v>46086.0</v>
      </c>
      <c r="G5710" s="8" t="s">
        <v>17212</v>
      </c>
      <c r="H5710" s="8" t="s">
        <v>3410</v>
      </c>
      <c r="I5710" s="8"/>
      <c r="J5710" s="8" t="s">
        <v>17213</v>
      </c>
    </row>
    <row r="5711">
      <c r="A5711" s="7">
        <v>2.0040379E7</v>
      </c>
      <c r="B5711" s="8" t="s">
        <v>14</v>
      </c>
      <c r="C5711" s="8" t="s">
        <v>17214</v>
      </c>
      <c r="D5711" s="8" t="s">
        <v>16</v>
      </c>
      <c r="E5711" s="8" t="s">
        <v>17</v>
      </c>
      <c r="F5711" s="9">
        <v>46067.0</v>
      </c>
      <c r="G5711" s="8" t="s">
        <v>3172</v>
      </c>
      <c r="H5711" s="8" t="s">
        <v>120</v>
      </c>
      <c r="I5711" s="8" t="s">
        <v>17215</v>
      </c>
      <c r="J5711" s="8" t="s">
        <v>17216</v>
      </c>
    </row>
    <row r="5712">
      <c r="A5712" s="7">
        <v>2.0039061E7</v>
      </c>
      <c r="B5712" s="8" t="s">
        <v>14</v>
      </c>
      <c r="C5712" s="8" t="s">
        <v>17217</v>
      </c>
      <c r="D5712" s="8" t="s">
        <v>16</v>
      </c>
      <c r="E5712" s="8" t="s">
        <v>17</v>
      </c>
      <c r="F5712" s="9">
        <v>46065.0</v>
      </c>
      <c r="G5712" s="8" t="s">
        <v>109</v>
      </c>
      <c r="H5712" s="8" t="s">
        <v>110</v>
      </c>
      <c r="I5712" s="8" t="s">
        <v>17218</v>
      </c>
      <c r="J5712" s="8" t="s">
        <v>17219</v>
      </c>
    </row>
    <row r="5713">
      <c r="A5713" s="7">
        <v>2.0037905E7</v>
      </c>
      <c r="B5713" s="8" t="s">
        <v>14</v>
      </c>
      <c r="C5713" s="8" t="s">
        <v>17220</v>
      </c>
      <c r="D5713" s="8" t="s">
        <v>16</v>
      </c>
      <c r="E5713" s="8" t="s">
        <v>17</v>
      </c>
      <c r="F5713" s="9">
        <v>46059.0</v>
      </c>
      <c r="G5713" s="8" t="s">
        <v>846</v>
      </c>
      <c r="H5713" s="8" t="s">
        <v>847</v>
      </c>
      <c r="I5713" s="8" t="s">
        <v>17221</v>
      </c>
      <c r="J5713" s="8" t="s">
        <v>17222</v>
      </c>
    </row>
    <row r="5714">
      <c r="A5714" s="7">
        <v>2.0038381E7</v>
      </c>
      <c r="B5714" s="8" t="s">
        <v>14</v>
      </c>
      <c r="C5714" s="8" t="s">
        <v>17223</v>
      </c>
      <c r="D5714" s="8" t="s">
        <v>16</v>
      </c>
      <c r="E5714" s="8" t="s">
        <v>17</v>
      </c>
      <c r="F5714" s="9">
        <v>46066.0</v>
      </c>
      <c r="G5714" s="8" t="s">
        <v>247</v>
      </c>
      <c r="H5714" s="8" t="s">
        <v>248</v>
      </c>
      <c r="I5714" s="8" t="s">
        <v>17224</v>
      </c>
      <c r="J5714" s="8" t="s">
        <v>17225</v>
      </c>
    </row>
    <row r="5715">
      <c r="A5715" s="7">
        <v>2.003599E7</v>
      </c>
      <c r="B5715" s="8" t="s">
        <v>14</v>
      </c>
      <c r="C5715" s="8" t="s">
        <v>17226</v>
      </c>
      <c r="D5715" s="8" t="s">
        <v>16</v>
      </c>
      <c r="E5715" s="8" t="s">
        <v>17</v>
      </c>
      <c r="F5715" s="9">
        <v>46049.0</v>
      </c>
      <c r="G5715" s="8" t="s">
        <v>805</v>
      </c>
      <c r="H5715" s="8" t="s">
        <v>806</v>
      </c>
      <c r="I5715" s="8" t="s">
        <v>17227</v>
      </c>
      <c r="J5715" s="8" t="s">
        <v>17228</v>
      </c>
    </row>
    <row r="5716">
      <c r="A5716" s="7">
        <v>2.0064312E7</v>
      </c>
      <c r="B5716" s="8" t="s">
        <v>14</v>
      </c>
      <c r="C5716" s="8" t="s">
        <v>17229</v>
      </c>
      <c r="D5716" s="8" t="s">
        <v>16</v>
      </c>
      <c r="E5716" s="8" t="s">
        <v>17</v>
      </c>
      <c r="F5716" s="9">
        <v>46185.0</v>
      </c>
      <c r="G5716" s="8" t="s">
        <v>17230</v>
      </c>
      <c r="H5716" s="8" t="s">
        <v>17231</v>
      </c>
      <c r="I5716" s="8" t="s">
        <v>17232</v>
      </c>
      <c r="J5716" s="8" t="s">
        <v>17233</v>
      </c>
    </row>
    <row r="5717">
      <c r="A5717" s="7">
        <v>2.0062084E7</v>
      </c>
      <c r="B5717" s="8" t="s">
        <v>14</v>
      </c>
      <c r="C5717" s="8" t="s">
        <v>17234</v>
      </c>
      <c r="D5717" s="8" t="s">
        <v>16</v>
      </c>
      <c r="E5717" s="8" t="s">
        <v>17</v>
      </c>
      <c r="F5717" s="9">
        <v>46159.0</v>
      </c>
      <c r="G5717" s="8" t="s">
        <v>2122</v>
      </c>
      <c r="H5717" s="8" t="s">
        <v>17235</v>
      </c>
      <c r="I5717" s="8" t="s">
        <v>17236</v>
      </c>
      <c r="J5717" s="8" t="s">
        <v>17237</v>
      </c>
    </row>
    <row r="5718">
      <c r="A5718" s="7">
        <v>2.0060833E7</v>
      </c>
      <c r="B5718" s="8" t="s">
        <v>14</v>
      </c>
      <c r="C5718" s="8" t="s">
        <v>17238</v>
      </c>
      <c r="D5718" s="8" t="s">
        <v>2136</v>
      </c>
      <c r="E5718" s="8" t="s">
        <v>17</v>
      </c>
      <c r="F5718" s="9">
        <v>46144.0</v>
      </c>
      <c r="G5718" s="8" t="s">
        <v>59</v>
      </c>
      <c r="H5718" s="8" t="s">
        <v>60</v>
      </c>
      <c r="I5718" s="8" t="s">
        <v>17239</v>
      </c>
      <c r="J5718" s="8" t="s">
        <v>17240</v>
      </c>
    </row>
    <row r="5719">
      <c r="A5719" s="7">
        <v>2.0059922E7</v>
      </c>
      <c r="B5719" s="8" t="s">
        <v>14</v>
      </c>
      <c r="C5719" s="8" t="s">
        <v>17241</v>
      </c>
      <c r="D5719" s="8" t="s">
        <v>16</v>
      </c>
      <c r="E5719" s="8" t="s">
        <v>17</v>
      </c>
      <c r="F5719" s="9">
        <v>46140.0</v>
      </c>
      <c r="G5719" s="8" t="s">
        <v>868</v>
      </c>
      <c r="H5719" s="8" t="s">
        <v>869</v>
      </c>
      <c r="I5719" s="8" t="s">
        <v>17242</v>
      </c>
      <c r="J5719" s="8" t="s">
        <v>17243</v>
      </c>
    </row>
    <row r="5720">
      <c r="A5720" s="7">
        <v>2.0055405E7</v>
      </c>
      <c r="B5720" s="8" t="s">
        <v>14</v>
      </c>
      <c r="C5720" s="8" t="s">
        <v>17244</v>
      </c>
      <c r="D5720" s="8" t="s">
        <v>16</v>
      </c>
      <c r="E5720" s="8" t="s">
        <v>17</v>
      </c>
      <c r="F5720" s="9">
        <v>46122.0</v>
      </c>
      <c r="G5720" s="8" t="s">
        <v>3585</v>
      </c>
      <c r="H5720" s="8" t="s">
        <v>3586</v>
      </c>
      <c r="I5720" s="8" t="s">
        <v>17245</v>
      </c>
      <c r="J5720" s="8" t="s">
        <v>17246</v>
      </c>
    </row>
    <row r="5721">
      <c r="A5721" s="7">
        <v>2.0051152E7</v>
      </c>
      <c r="B5721" s="8" t="s">
        <v>14</v>
      </c>
      <c r="C5721" s="8" t="s">
        <v>17247</v>
      </c>
      <c r="D5721" s="8" t="s">
        <v>16</v>
      </c>
      <c r="E5721" s="8" t="s">
        <v>17</v>
      </c>
      <c r="F5721" s="9">
        <v>46120.0</v>
      </c>
      <c r="G5721" s="8" t="s">
        <v>454</v>
      </c>
      <c r="H5721" s="8" t="s">
        <v>455</v>
      </c>
      <c r="I5721" s="8" t="s">
        <v>17248</v>
      </c>
      <c r="J5721" s="8" t="s">
        <v>17249</v>
      </c>
    </row>
    <row r="5722">
      <c r="A5722" s="7">
        <v>2.0052064E7</v>
      </c>
      <c r="B5722" s="8" t="s">
        <v>14</v>
      </c>
      <c r="C5722" s="8" t="s">
        <v>17250</v>
      </c>
      <c r="D5722" s="8" t="s">
        <v>16</v>
      </c>
      <c r="E5722" s="8" t="s">
        <v>17</v>
      </c>
      <c r="F5722" s="9">
        <v>46105.0</v>
      </c>
      <c r="G5722" s="8" t="s">
        <v>153</v>
      </c>
      <c r="H5722" s="8" t="s">
        <v>154</v>
      </c>
      <c r="I5722" s="8" t="s">
        <v>17251</v>
      </c>
      <c r="J5722" s="8" t="s">
        <v>17252</v>
      </c>
    </row>
    <row r="5723">
      <c r="A5723" s="7">
        <v>2.004556E7</v>
      </c>
      <c r="B5723" s="8" t="s">
        <v>14</v>
      </c>
      <c r="C5723" s="8" t="s">
        <v>17253</v>
      </c>
      <c r="D5723" s="8" t="s">
        <v>16</v>
      </c>
      <c r="E5723" s="8" t="s">
        <v>17</v>
      </c>
      <c r="F5723" s="9">
        <v>46126.0</v>
      </c>
      <c r="G5723" s="8" t="s">
        <v>109</v>
      </c>
      <c r="H5723" s="8" t="s">
        <v>110</v>
      </c>
      <c r="I5723" s="8" t="s">
        <v>17254</v>
      </c>
      <c r="J5723" s="8" t="s">
        <v>17255</v>
      </c>
    </row>
    <row r="5724">
      <c r="A5724" s="7">
        <v>2.00387E7</v>
      </c>
      <c r="B5724" s="8" t="s">
        <v>14</v>
      </c>
      <c r="C5724" s="8" t="s">
        <v>17256</v>
      </c>
      <c r="D5724" s="8" t="s">
        <v>16</v>
      </c>
      <c r="E5724" s="8" t="s">
        <v>17</v>
      </c>
      <c r="F5724" s="9">
        <v>46058.0</v>
      </c>
      <c r="G5724" s="8" t="s">
        <v>17257</v>
      </c>
      <c r="H5724" s="8" t="s">
        <v>17258</v>
      </c>
      <c r="I5724" s="8" t="s">
        <v>17259</v>
      </c>
      <c r="J5724" s="8" t="s">
        <v>17260</v>
      </c>
    </row>
    <row r="5725">
      <c r="A5725" s="7">
        <v>2.0029946E7</v>
      </c>
      <c r="B5725" s="8" t="s">
        <v>14</v>
      </c>
      <c r="C5725" s="8" t="s">
        <v>17261</v>
      </c>
      <c r="D5725" s="8" t="s">
        <v>16</v>
      </c>
      <c r="E5725" s="8" t="s">
        <v>17</v>
      </c>
      <c r="F5725" s="9">
        <v>46052.0</v>
      </c>
      <c r="G5725" s="8" t="s">
        <v>6756</v>
      </c>
      <c r="H5725" s="8" t="s">
        <v>614</v>
      </c>
      <c r="I5725" s="8" t="s">
        <v>17262</v>
      </c>
      <c r="J5725" s="8" t="s">
        <v>17263</v>
      </c>
    </row>
    <row r="5726">
      <c r="A5726" s="7">
        <v>2.0034157E7</v>
      </c>
      <c r="B5726" s="8" t="s">
        <v>14</v>
      </c>
      <c r="C5726" s="8" t="s">
        <v>17264</v>
      </c>
      <c r="D5726" s="8" t="s">
        <v>16</v>
      </c>
      <c r="E5726" s="8" t="s">
        <v>17</v>
      </c>
      <c r="F5726" s="9">
        <v>46054.0</v>
      </c>
      <c r="G5726" s="8" t="s">
        <v>454</v>
      </c>
      <c r="H5726" s="8" t="s">
        <v>455</v>
      </c>
      <c r="I5726" s="8" t="s">
        <v>17265</v>
      </c>
      <c r="J5726" s="8" t="s">
        <v>17266</v>
      </c>
    </row>
    <row r="5727">
      <c r="A5727" s="7">
        <v>2.0034446E7</v>
      </c>
      <c r="B5727" s="8" t="s">
        <v>14</v>
      </c>
      <c r="C5727" s="8" t="s">
        <v>17267</v>
      </c>
      <c r="D5727" s="8" t="s">
        <v>16</v>
      </c>
      <c r="E5727" s="8" t="s">
        <v>17</v>
      </c>
      <c r="F5727" s="9">
        <v>46038.0</v>
      </c>
      <c r="G5727" s="8" t="s">
        <v>423</v>
      </c>
      <c r="H5727" s="8" t="s">
        <v>424</v>
      </c>
      <c r="I5727" s="8" t="s">
        <v>17268</v>
      </c>
      <c r="J5727" s="8" t="s">
        <v>17269</v>
      </c>
    </row>
    <row r="5728">
      <c r="A5728" s="7">
        <v>2.0034277E7</v>
      </c>
      <c r="B5728" s="8" t="s">
        <v>14</v>
      </c>
      <c r="C5728" s="8" t="s">
        <v>17270</v>
      </c>
      <c r="D5728" s="8" t="s">
        <v>16</v>
      </c>
      <c r="E5728" s="8" t="s">
        <v>17</v>
      </c>
      <c r="F5728" s="9">
        <v>46035.0</v>
      </c>
      <c r="G5728" s="8" t="s">
        <v>3207</v>
      </c>
      <c r="H5728" s="8" t="s">
        <v>3208</v>
      </c>
      <c r="I5728" s="8" t="s">
        <v>17271</v>
      </c>
      <c r="J5728" s="8" t="s">
        <v>17272</v>
      </c>
    </row>
    <row r="5729">
      <c r="A5729" s="7">
        <v>2.0033902E7</v>
      </c>
      <c r="B5729" s="8" t="s">
        <v>14</v>
      </c>
      <c r="C5729" s="8" t="s">
        <v>17273</v>
      </c>
      <c r="D5729" s="8" t="s">
        <v>16</v>
      </c>
      <c r="E5729" s="8" t="s">
        <v>17</v>
      </c>
      <c r="F5729" s="9">
        <v>46039.0</v>
      </c>
      <c r="G5729" s="8" t="s">
        <v>195</v>
      </c>
      <c r="H5729" s="8" t="s">
        <v>196</v>
      </c>
      <c r="I5729" s="8" t="s">
        <v>17274</v>
      </c>
      <c r="J5729" s="8" t="s">
        <v>17275</v>
      </c>
    </row>
    <row r="5730">
      <c r="A5730" s="7">
        <v>2.0066499E7</v>
      </c>
      <c r="B5730" s="8" t="s">
        <v>14</v>
      </c>
      <c r="C5730" s="8" t="s">
        <v>17276</v>
      </c>
      <c r="D5730" s="8" t="s">
        <v>16</v>
      </c>
      <c r="E5730" s="8" t="s">
        <v>17</v>
      </c>
      <c r="F5730" s="9">
        <v>46177.0</v>
      </c>
      <c r="G5730" s="8" t="s">
        <v>109</v>
      </c>
      <c r="H5730" s="8" t="s">
        <v>110</v>
      </c>
      <c r="I5730" s="8" t="s">
        <v>17277</v>
      </c>
      <c r="J5730" s="8" t="s">
        <v>17278</v>
      </c>
    </row>
    <row r="5731">
      <c r="A5731" s="7">
        <v>2.0066499E7</v>
      </c>
      <c r="B5731" s="8" t="s">
        <v>14</v>
      </c>
      <c r="C5731" s="8" t="s">
        <v>17276</v>
      </c>
      <c r="D5731" s="8" t="s">
        <v>16</v>
      </c>
      <c r="E5731" s="8" t="s">
        <v>17</v>
      </c>
      <c r="F5731" s="9">
        <v>46177.0</v>
      </c>
      <c r="G5731" s="8" t="s">
        <v>10640</v>
      </c>
      <c r="H5731" s="8" t="s">
        <v>10641</v>
      </c>
      <c r="I5731" s="8" t="s">
        <v>17279</v>
      </c>
      <c r="J5731" s="8" t="s">
        <v>17280</v>
      </c>
    </row>
    <row r="5732">
      <c r="A5732" s="7">
        <v>2.0058409E7</v>
      </c>
      <c r="B5732" s="8" t="s">
        <v>14</v>
      </c>
      <c r="C5732" s="8" t="s">
        <v>17281</v>
      </c>
      <c r="D5732" s="8" t="s">
        <v>16</v>
      </c>
      <c r="E5732" s="8" t="s">
        <v>17</v>
      </c>
      <c r="F5732" s="9">
        <v>46162.0</v>
      </c>
      <c r="G5732" s="8" t="s">
        <v>3008</v>
      </c>
      <c r="H5732" s="8" t="s">
        <v>3009</v>
      </c>
      <c r="I5732" s="8" t="s">
        <v>17282</v>
      </c>
      <c r="J5732" s="8"/>
    </row>
    <row r="5733">
      <c r="A5733" s="7">
        <v>2.0058409E7</v>
      </c>
      <c r="B5733" s="8" t="s">
        <v>14</v>
      </c>
      <c r="C5733" s="8" t="s">
        <v>17281</v>
      </c>
      <c r="D5733" s="8" t="s">
        <v>16</v>
      </c>
      <c r="E5733" s="8" t="s">
        <v>17</v>
      </c>
      <c r="F5733" s="9">
        <v>46162.0</v>
      </c>
      <c r="G5733" s="8" t="s">
        <v>282</v>
      </c>
      <c r="H5733" s="8" t="s">
        <v>3005</v>
      </c>
      <c r="I5733" s="8" t="s">
        <v>17283</v>
      </c>
      <c r="J5733" s="8" t="s">
        <v>17284</v>
      </c>
    </row>
    <row r="5734">
      <c r="A5734" s="7">
        <v>2.0061702E7</v>
      </c>
      <c r="B5734" s="8" t="s">
        <v>14</v>
      </c>
      <c r="C5734" s="8" t="s">
        <v>17285</v>
      </c>
      <c r="D5734" s="8" t="s">
        <v>16</v>
      </c>
      <c r="E5734" s="8" t="s">
        <v>17</v>
      </c>
      <c r="F5734" s="9">
        <v>46186.0</v>
      </c>
      <c r="G5734" s="8" t="s">
        <v>370</v>
      </c>
      <c r="H5734" s="8" t="s">
        <v>371</v>
      </c>
      <c r="I5734" s="8" t="s">
        <v>17286</v>
      </c>
      <c r="J5734" s="8" t="s">
        <v>17287</v>
      </c>
    </row>
    <row r="5735">
      <c r="A5735" s="7">
        <v>2.0059229E7</v>
      </c>
      <c r="B5735" s="8" t="s">
        <v>14</v>
      </c>
      <c r="C5735" s="8" t="s">
        <v>17288</v>
      </c>
      <c r="D5735" s="8" t="s">
        <v>16</v>
      </c>
      <c r="E5735" s="8" t="s">
        <v>700</v>
      </c>
      <c r="F5735" s="9">
        <v>46187.0</v>
      </c>
      <c r="G5735" s="8" t="s">
        <v>158</v>
      </c>
      <c r="H5735" s="8" t="s">
        <v>159</v>
      </c>
      <c r="I5735" s="8" t="s">
        <v>17289</v>
      </c>
      <c r="J5735" s="8" t="s">
        <v>17290</v>
      </c>
    </row>
    <row r="5736">
      <c r="A5736" s="7">
        <v>2.0055138E7</v>
      </c>
      <c r="B5736" s="8" t="s">
        <v>14</v>
      </c>
      <c r="C5736" s="8" t="s">
        <v>17291</v>
      </c>
      <c r="D5736" s="8" t="s">
        <v>16</v>
      </c>
      <c r="E5736" s="8" t="s">
        <v>17</v>
      </c>
      <c r="F5736" s="9">
        <v>46143.0</v>
      </c>
      <c r="G5736" s="8" t="s">
        <v>2724</v>
      </c>
      <c r="H5736" s="8" t="s">
        <v>2725</v>
      </c>
      <c r="I5736" s="8" t="s">
        <v>17292</v>
      </c>
      <c r="J5736" s="8" t="s">
        <v>17293</v>
      </c>
    </row>
    <row r="5737">
      <c r="A5737" s="7">
        <v>2.0053079E7</v>
      </c>
      <c r="B5737" s="8" t="s">
        <v>14</v>
      </c>
      <c r="C5737" s="8" t="s">
        <v>17294</v>
      </c>
      <c r="D5737" s="8" t="s">
        <v>16</v>
      </c>
      <c r="E5737" s="8" t="s">
        <v>17</v>
      </c>
      <c r="F5737" s="9">
        <v>46136.0</v>
      </c>
      <c r="G5737" s="8" t="s">
        <v>3093</v>
      </c>
      <c r="H5737" s="8" t="s">
        <v>3094</v>
      </c>
      <c r="I5737" s="8" t="s">
        <v>17295</v>
      </c>
      <c r="J5737" s="8" t="s">
        <v>17296</v>
      </c>
    </row>
    <row r="5738">
      <c r="A5738" s="7">
        <v>2.0049193E7</v>
      </c>
      <c r="B5738" s="8" t="s">
        <v>14</v>
      </c>
      <c r="C5738" s="8" t="s">
        <v>17297</v>
      </c>
      <c r="D5738" s="8" t="s">
        <v>16</v>
      </c>
      <c r="E5738" s="8" t="s">
        <v>17</v>
      </c>
      <c r="F5738" s="9">
        <v>46119.0</v>
      </c>
      <c r="G5738" s="8" t="s">
        <v>1045</v>
      </c>
      <c r="H5738" s="8" t="s">
        <v>909</v>
      </c>
      <c r="I5738" s="8" t="s">
        <v>17298</v>
      </c>
      <c r="J5738" s="8" t="s">
        <v>17299</v>
      </c>
    </row>
    <row r="5739">
      <c r="A5739" s="7">
        <v>2.0051386E7</v>
      </c>
      <c r="B5739" s="8" t="s">
        <v>14</v>
      </c>
      <c r="C5739" s="8" t="s">
        <v>17300</v>
      </c>
      <c r="D5739" s="8" t="s">
        <v>16</v>
      </c>
      <c r="E5739" s="8" t="s">
        <v>17</v>
      </c>
      <c r="F5739" s="9">
        <v>46116.0</v>
      </c>
      <c r="G5739" s="8" t="s">
        <v>59</v>
      </c>
      <c r="H5739" s="8" t="s">
        <v>60</v>
      </c>
      <c r="I5739" s="8" t="s">
        <v>17301</v>
      </c>
      <c r="J5739" s="8" t="s">
        <v>17302</v>
      </c>
    </row>
    <row r="5740">
      <c r="A5740" s="7">
        <v>2.0049762E7</v>
      </c>
      <c r="B5740" s="8" t="s">
        <v>14</v>
      </c>
      <c r="C5740" s="8" t="s">
        <v>17303</v>
      </c>
      <c r="D5740" s="8" t="s">
        <v>16</v>
      </c>
      <c r="E5740" s="8" t="s">
        <v>17</v>
      </c>
      <c r="F5740" s="9">
        <v>46109.0</v>
      </c>
      <c r="G5740" s="8" t="s">
        <v>75</v>
      </c>
      <c r="H5740" s="8" t="s">
        <v>76</v>
      </c>
      <c r="I5740" s="8" t="s">
        <v>17304</v>
      </c>
      <c r="J5740" s="8" t="s">
        <v>17305</v>
      </c>
    </row>
    <row r="5741">
      <c r="A5741" s="7">
        <v>2.0050902E7</v>
      </c>
      <c r="B5741" s="8" t="s">
        <v>14</v>
      </c>
      <c r="C5741" s="8" t="s">
        <v>17306</v>
      </c>
      <c r="D5741" s="8" t="s">
        <v>16</v>
      </c>
      <c r="E5741" s="8" t="s">
        <v>17</v>
      </c>
      <c r="F5741" s="9">
        <v>46111.0</v>
      </c>
      <c r="G5741" s="8" t="s">
        <v>2486</v>
      </c>
      <c r="H5741" s="8" t="s">
        <v>44</v>
      </c>
      <c r="I5741" s="8" t="s">
        <v>17307</v>
      </c>
      <c r="J5741" s="8" t="s">
        <v>17308</v>
      </c>
    </row>
    <row r="5742">
      <c r="A5742" s="7">
        <v>2.0043018E7</v>
      </c>
      <c r="B5742" s="8" t="s">
        <v>14</v>
      </c>
      <c r="C5742" s="8" t="s">
        <v>17309</v>
      </c>
      <c r="D5742" s="8" t="s">
        <v>16</v>
      </c>
      <c r="E5742" s="8" t="s">
        <v>48</v>
      </c>
      <c r="F5742" s="9">
        <v>46107.0</v>
      </c>
      <c r="G5742" s="8" t="s">
        <v>3153</v>
      </c>
      <c r="H5742" s="8" t="s">
        <v>3154</v>
      </c>
      <c r="I5742" s="8" t="s">
        <v>17310</v>
      </c>
      <c r="J5742" s="8" t="s">
        <v>17311</v>
      </c>
    </row>
    <row r="5743">
      <c r="A5743" s="7">
        <v>2.0043018E7</v>
      </c>
      <c r="B5743" s="8" t="s">
        <v>14</v>
      </c>
      <c r="C5743" s="8" t="s">
        <v>17309</v>
      </c>
      <c r="D5743" s="8" t="s">
        <v>16</v>
      </c>
      <c r="E5743" s="8" t="s">
        <v>48</v>
      </c>
      <c r="F5743" s="9">
        <v>46107.0</v>
      </c>
      <c r="G5743" s="8" t="s">
        <v>3153</v>
      </c>
      <c r="H5743" s="8" t="s">
        <v>3154</v>
      </c>
      <c r="I5743" s="8" t="s">
        <v>17312</v>
      </c>
      <c r="J5743" s="8" t="s">
        <v>17311</v>
      </c>
    </row>
    <row r="5744">
      <c r="A5744" s="7">
        <v>2.004356E7</v>
      </c>
      <c r="B5744" s="8" t="s">
        <v>14</v>
      </c>
      <c r="C5744" s="8" t="s">
        <v>17313</v>
      </c>
      <c r="D5744" s="8" t="s">
        <v>16</v>
      </c>
      <c r="E5744" s="8" t="s">
        <v>17</v>
      </c>
      <c r="F5744" s="9">
        <v>46092.0</v>
      </c>
      <c r="G5744" s="8" t="s">
        <v>148</v>
      </c>
      <c r="H5744" s="8" t="s">
        <v>149</v>
      </c>
      <c r="I5744" s="8" t="s">
        <v>17314</v>
      </c>
      <c r="J5744" s="8" t="s">
        <v>17315</v>
      </c>
    </row>
    <row r="5745">
      <c r="A5745" s="7">
        <v>2.0043428E7</v>
      </c>
      <c r="B5745" s="8" t="s">
        <v>14</v>
      </c>
      <c r="C5745" s="8" t="s">
        <v>17316</v>
      </c>
      <c r="D5745" s="8" t="s">
        <v>16</v>
      </c>
      <c r="E5745" s="8" t="s">
        <v>17</v>
      </c>
      <c r="F5745" s="9">
        <v>46093.0</v>
      </c>
      <c r="G5745" s="8" t="s">
        <v>601</v>
      </c>
      <c r="H5745" s="8" t="s">
        <v>602</v>
      </c>
      <c r="I5745" s="8" t="s">
        <v>17317</v>
      </c>
      <c r="J5745" s="8" t="s">
        <v>17318</v>
      </c>
    </row>
    <row r="5746">
      <c r="A5746" s="7">
        <v>2.004292E7</v>
      </c>
      <c r="B5746" s="8" t="s">
        <v>14</v>
      </c>
      <c r="C5746" s="8" t="s">
        <v>17319</v>
      </c>
      <c r="D5746" s="8" t="s">
        <v>16</v>
      </c>
      <c r="E5746" s="8" t="s">
        <v>17</v>
      </c>
      <c r="F5746" s="9">
        <v>46088.0</v>
      </c>
      <c r="G5746" s="8" t="s">
        <v>158</v>
      </c>
      <c r="H5746" s="8" t="s">
        <v>159</v>
      </c>
      <c r="I5746" s="8" t="s">
        <v>17320</v>
      </c>
      <c r="J5746" s="8" t="s">
        <v>17321</v>
      </c>
    </row>
    <row r="5747">
      <c r="A5747" s="7">
        <v>2.0041207E7</v>
      </c>
      <c r="B5747" s="8" t="s">
        <v>14</v>
      </c>
      <c r="C5747" s="8" t="s">
        <v>17322</v>
      </c>
      <c r="D5747" s="8" t="s">
        <v>16</v>
      </c>
      <c r="E5747" s="8" t="s">
        <v>17</v>
      </c>
      <c r="F5747" s="9">
        <v>46085.0</v>
      </c>
      <c r="G5747" s="8" t="s">
        <v>2181</v>
      </c>
      <c r="H5747" s="8" t="s">
        <v>2182</v>
      </c>
      <c r="I5747" s="8" t="s">
        <v>17323</v>
      </c>
      <c r="J5747" s="8" t="s">
        <v>17324</v>
      </c>
    </row>
    <row r="5748">
      <c r="A5748" s="7">
        <v>2.0072938E7</v>
      </c>
      <c r="B5748" s="8" t="s">
        <v>14</v>
      </c>
      <c r="C5748" s="8" t="s">
        <v>17325</v>
      </c>
      <c r="D5748" s="8" t="s">
        <v>2136</v>
      </c>
      <c r="E5748" s="8" t="s">
        <v>17</v>
      </c>
      <c r="F5748" s="9">
        <v>46193.0</v>
      </c>
      <c r="G5748" s="8" t="s">
        <v>59</v>
      </c>
      <c r="H5748" s="8" t="s">
        <v>60</v>
      </c>
      <c r="I5748" s="8" t="s">
        <v>17326</v>
      </c>
      <c r="J5748" s="8" t="s">
        <v>17327</v>
      </c>
    </row>
    <row r="5749">
      <c r="A5749" s="7">
        <v>2.0070808E7</v>
      </c>
      <c r="B5749" s="8" t="s">
        <v>14</v>
      </c>
      <c r="C5749" s="8" t="s">
        <v>17328</v>
      </c>
      <c r="D5749" s="8" t="s">
        <v>16</v>
      </c>
      <c r="E5749" s="8" t="s">
        <v>17</v>
      </c>
      <c r="F5749" s="9">
        <v>46186.0</v>
      </c>
      <c r="G5749" s="8" t="s">
        <v>873</v>
      </c>
      <c r="H5749" s="8" t="s">
        <v>874</v>
      </c>
      <c r="I5749" s="8" t="s">
        <v>17329</v>
      </c>
      <c r="J5749" s="8" t="s">
        <v>17330</v>
      </c>
    </row>
    <row r="5750">
      <c r="A5750" s="7">
        <v>2.0069235E7</v>
      </c>
      <c r="B5750" s="8" t="s">
        <v>14</v>
      </c>
      <c r="C5750" s="8" t="s">
        <v>17331</v>
      </c>
      <c r="D5750" s="8" t="s">
        <v>2136</v>
      </c>
      <c r="E5750" s="8" t="s">
        <v>17</v>
      </c>
      <c r="F5750" s="9">
        <v>46180.0</v>
      </c>
      <c r="G5750" s="8" t="s">
        <v>846</v>
      </c>
      <c r="H5750" s="8" t="s">
        <v>847</v>
      </c>
      <c r="I5750" s="8" t="s">
        <v>17332</v>
      </c>
      <c r="J5750" s="8" t="s">
        <v>17333</v>
      </c>
    </row>
    <row r="5751">
      <c r="A5751" s="7">
        <v>2.006452E7</v>
      </c>
      <c r="B5751" s="8" t="s">
        <v>14</v>
      </c>
      <c r="C5751" s="8" t="s">
        <v>17334</v>
      </c>
      <c r="D5751" s="8" t="s">
        <v>16</v>
      </c>
      <c r="E5751" s="8" t="s">
        <v>17</v>
      </c>
      <c r="F5751" s="9">
        <v>46167.0</v>
      </c>
      <c r="G5751" s="8" t="s">
        <v>17335</v>
      </c>
      <c r="H5751" s="8" t="s">
        <v>71</v>
      </c>
      <c r="I5751" s="8" t="s">
        <v>17336</v>
      </c>
      <c r="J5751" s="8" t="s">
        <v>17337</v>
      </c>
    </row>
    <row r="5752">
      <c r="A5752" s="7">
        <v>2.0064269E7</v>
      </c>
      <c r="B5752" s="8" t="s">
        <v>14</v>
      </c>
      <c r="C5752" s="8" t="s">
        <v>17338</v>
      </c>
      <c r="D5752" s="8" t="s">
        <v>16</v>
      </c>
      <c r="E5752" s="8" t="s">
        <v>17</v>
      </c>
      <c r="F5752" s="9">
        <v>46168.0</v>
      </c>
      <c r="G5752" s="8" t="s">
        <v>247</v>
      </c>
      <c r="H5752" s="8" t="s">
        <v>248</v>
      </c>
      <c r="I5752" s="8" t="s">
        <v>17339</v>
      </c>
      <c r="J5752" s="8" t="s">
        <v>17340</v>
      </c>
    </row>
    <row r="5753">
      <c r="A5753" s="7">
        <v>2.0062377E7</v>
      </c>
      <c r="B5753" s="8" t="s">
        <v>14</v>
      </c>
      <c r="C5753" s="8" t="s">
        <v>17341</v>
      </c>
      <c r="D5753" s="8" t="s">
        <v>16</v>
      </c>
      <c r="E5753" s="8" t="s">
        <v>17</v>
      </c>
      <c r="F5753" s="9">
        <v>46181.0</v>
      </c>
      <c r="G5753" s="8" t="s">
        <v>17342</v>
      </c>
      <c r="H5753" s="8" t="s">
        <v>17343</v>
      </c>
      <c r="I5753" s="8" t="s">
        <v>17344</v>
      </c>
      <c r="J5753" s="8" t="s">
        <v>17345</v>
      </c>
    </row>
    <row r="5754">
      <c r="A5754" s="7">
        <v>2.0062795E7</v>
      </c>
      <c r="B5754" s="8" t="s">
        <v>14</v>
      </c>
      <c r="C5754" s="8" t="s">
        <v>17346</v>
      </c>
      <c r="D5754" s="8" t="s">
        <v>2136</v>
      </c>
      <c r="E5754" s="8" t="s">
        <v>17</v>
      </c>
      <c r="F5754" s="9">
        <v>46152.0</v>
      </c>
      <c r="G5754" s="8" t="s">
        <v>339</v>
      </c>
      <c r="H5754" s="8" t="s">
        <v>340</v>
      </c>
      <c r="I5754" s="8" t="s">
        <v>17347</v>
      </c>
      <c r="J5754" s="8" t="s">
        <v>17348</v>
      </c>
    </row>
    <row r="5755">
      <c r="A5755" s="7">
        <v>2.0062088E7</v>
      </c>
      <c r="B5755" s="8" t="s">
        <v>14</v>
      </c>
      <c r="C5755" s="8" t="s">
        <v>17349</v>
      </c>
      <c r="D5755" s="8" t="s">
        <v>2136</v>
      </c>
      <c r="E5755" s="8" t="s">
        <v>17</v>
      </c>
      <c r="F5755" s="9">
        <v>46149.0</v>
      </c>
      <c r="G5755" s="8" t="s">
        <v>339</v>
      </c>
      <c r="H5755" s="8" t="s">
        <v>340</v>
      </c>
      <c r="I5755" s="8" t="s">
        <v>17350</v>
      </c>
      <c r="J5755" s="8" t="s">
        <v>17351</v>
      </c>
    </row>
    <row r="5756">
      <c r="A5756" s="7">
        <v>2.0051806E7</v>
      </c>
      <c r="B5756" s="8" t="s">
        <v>14</v>
      </c>
      <c r="C5756" s="8" t="s">
        <v>17352</v>
      </c>
      <c r="D5756" s="8" t="s">
        <v>16</v>
      </c>
      <c r="E5756" s="8" t="s">
        <v>17</v>
      </c>
      <c r="F5756" s="9">
        <v>46109.0</v>
      </c>
      <c r="G5756" s="8" t="s">
        <v>1969</v>
      </c>
      <c r="H5756" s="8" t="s">
        <v>1970</v>
      </c>
      <c r="I5756" s="8" t="s">
        <v>17353</v>
      </c>
      <c r="J5756" s="8" t="s">
        <v>17354</v>
      </c>
    </row>
    <row r="5757">
      <c r="A5757" s="7">
        <v>2.0043202E7</v>
      </c>
      <c r="B5757" s="8" t="s">
        <v>14</v>
      </c>
      <c r="C5757" s="8" t="s">
        <v>17355</v>
      </c>
      <c r="D5757" s="8" t="s">
        <v>2136</v>
      </c>
      <c r="E5757" s="8" t="s">
        <v>17</v>
      </c>
      <c r="F5757" s="9">
        <v>46070.0</v>
      </c>
      <c r="G5757" s="8" t="s">
        <v>195</v>
      </c>
      <c r="H5757" s="8" t="s">
        <v>196</v>
      </c>
      <c r="I5757" s="8" t="s">
        <v>17356</v>
      </c>
      <c r="J5757" s="8" t="s">
        <v>17357</v>
      </c>
    </row>
    <row r="5758">
      <c r="A5758" s="7">
        <v>2.0038514E7</v>
      </c>
      <c r="B5758" s="8" t="s">
        <v>14</v>
      </c>
      <c r="C5758" s="8" t="s">
        <v>17358</v>
      </c>
      <c r="D5758" s="8" t="s">
        <v>16</v>
      </c>
      <c r="E5758" s="8" t="s">
        <v>17</v>
      </c>
      <c r="F5758" s="9">
        <v>46061.0</v>
      </c>
      <c r="G5758" s="8" t="s">
        <v>17359</v>
      </c>
      <c r="H5758" s="8" t="s">
        <v>17360</v>
      </c>
      <c r="I5758" s="8" t="s">
        <v>17361</v>
      </c>
      <c r="J5758" s="8" t="s">
        <v>17362</v>
      </c>
    </row>
    <row r="5759">
      <c r="A5759" s="7">
        <v>2.0036171E7</v>
      </c>
      <c r="B5759" s="8" t="s">
        <v>14</v>
      </c>
      <c r="C5759" s="8" t="s">
        <v>17363</v>
      </c>
      <c r="D5759" s="8" t="s">
        <v>16</v>
      </c>
      <c r="E5759" s="8" t="s">
        <v>17</v>
      </c>
      <c r="F5759" s="9">
        <v>46061.0</v>
      </c>
      <c r="G5759" s="8" t="s">
        <v>643</v>
      </c>
      <c r="H5759" s="8" t="s">
        <v>644</v>
      </c>
      <c r="I5759" s="8" t="s">
        <v>17364</v>
      </c>
      <c r="J5759" s="8" t="s">
        <v>17365</v>
      </c>
    </row>
    <row r="5760">
      <c r="A5760" s="7">
        <v>2.0037428E7</v>
      </c>
      <c r="B5760" s="8" t="s">
        <v>14</v>
      </c>
      <c r="C5760" s="8" t="s">
        <v>17366</v>
      </c>
      <c r="D5760" s="8" t="s">
        <v>16</v>
      </c>
      <c r="E5760" s="8" t="s">
        <v>17</v>
      </c>
      <c r="F5760" s="9">
        <v>46050.0</v>
      </c>
      <c r="G5760" s="8" t="s">
        <v>873</v>
      </c>
      <c r="H5760" s="8" t="s">
        <v>874</v>
      </c>
      <c r="I5760" s="8" t="s">
        <v>17367</v>
      </c>
      <c r="J5760" s="8" t="s">
        <v>17368</v>
      </c>
    </row>
    <row r="5761">
      <c r="A5761" s="7">
        <v>2.006137E7</v>
      </c>
      <c r="B5761" s="8" t="s">
        <v>14</v>
      </c>
      <c r="C5761" s="8" t="s">
        <v>17369</v>
      </c>
      <c r="D5761" s="8" t="s">
        <v>2136</v>
      </c>
      <c r="E5761" s="8" t="s">
        <v>17</v>
      </c>
      <c r="F5761" s="9">
        <v>46148.0</v>
      </c>
      <c r="G5761" s="8" t="s">
        <v>29</v>
      </c>
      <c r="H5761" s="8" t="s">
        <v>30</v>
      </c>
      <c r="I5761" s="8" t="s">
        <v>17370</v>
      </c>
      <c r="J5761" s="8" t="s">
        <v>17371</v>
      </c>
    </row>
    <row r="5762">
      <c r="A5762" s="7">
        <v>2.0050663E7</v>
      </c>
      <c r="B5762" s="8" t="s">
        <v>14</v>
      </c>
      <c r="C5762" s="8" t="s">
        <v>17372</v>
      </c>
      <c r="D5762" s="8" t="s">
        <v>16</v>
      </c>
      <c r="E5762" s="8" t="s">
        <v>17</v>
      </c>
      <c r="F5762" s="9">
        <v>46112.0</v>
      </c>
      <c r="G5762" s="8" t="s">
        <v>282</v>
      </c>
      <c r="H5762" s="8" t="s">
        <v>71</v>
      </c>
      <c r="I5762" s="8" t="s">
        <v>17373</v>
      </c>
      <c r="J5762" s="8" t="s">
        <v>17374</v>
      </c>
    </row>
    <row r="5763">
      <c r="A5763" s="7">
        <v>2.0050518E7</v>
      </c>
      <c r="B5763" s="8" t="s">
        <v>14</v>
      </c>
      <c r="C5763" s="8" t="s">
        <v>17375</v>
      </c>
      <c r="D5763" s="8" t="s">
        <v>16</v>
      </c>
      <c r="E5763" s="8" t="s">
        <v>17</v>
      </c>
      <c r="F5763" s="9">
        <v>46099.0</v>
      </c>
      <c r="G5763" s="8" t="s">
        <v>59</v>
      </c>
      <c r="H5763" s="8" t="s">
        <v>60</v>
      </c>
      <c r="I5763" s="8" t="s">
        <v>17376</v>
      </c>
      <c r="J5763" s="8" t="s">
        <v>17377</v>
      </c>
    </row>
    <row r="5764">
      <c r="A5764" s="7">
        <v>2.0045047E7</v>
      </c>
      <c r="B5764" s="8" t="s">
        <v>14</v>
      </c>
      <c r="C5764" s="8" t="s">
        <v>17378</v>
      </c>
      <c r="D5764" s="8" t="s">
        <v>16</v>
      </c>
      <c r="E5764" s="8" t="s">
        <v>17</v>
      </c>
      <c r="F5764" s="9">
        <v>46077.0</v>
      </c>
      <c r="G5764" s="8" t="s">
        <v>234</v>
      </c>
      <c r="H5764" s="8" t="s">
        <v>235</v>
      </c>
      <c r="I5764" s="8" t="s">
        <v>17379</v>
      </c>
      <c r="J5764" s="8" t="s">
        <v>17380</v>
      </c>
    </row>
    <row r="5765">
      <c r="A5765" s="7">
        <v>2.0027293E7</v>
      </c>
      <c r="B5765" s="8" t="s">
        <v>14</v>
      </c>
      <c r="C5765" s="8" t="s">
        <v>17381</v>
      </c>
      <c r="D5765" s="8" t="s">
        <v>16</v>
      </c>
      <c r="E5765" s="8" t="s">
        <v>17</v>
      </c>
      <c r="F5765" s="9">
        <v>46094.0</v>
      </c>
      <c r="G5765" s="8" t="s">
        <v>3709</v>
      </c>
      <c r="H5765" s="8" t="s">
        <v>3710</v>
      </c>
      <c r="I5765" s="8" t="s">
        <v>17382</v>
      </c>
      <c r="J5765" s="8" t="s">
        <v>17383</v>
      </c>
    </row>
    <row r="5766">
      <c r="A5766" s="7">
        <v>2.0042682E7</v>
      </c>
      <c r="B5766" s="8" t="s">
        <v>14</v>
      </c>
      <c r="C5766" s="8" t="s">
        <v>17384</v>
      </c>
      <c r="D5766" s="8" t="s">
        <v>16</v>
      </c>
      <c r="E5766" s="8" t="s">
        <v>17</v>
      </c>
      <c r="F5766" s="9">
        <v>46069.0</v>
      </c>
      <c r="G5766" s="8" t="s">
        <v>234</v>
      </c>
      <c r="H5766" s="8" t="s">
        <v>235</v>
      </c>
      <c r="I5766" s="8" t="s">
        <v>17385</v>
      </c>
      <c r="J5766" s="8" t="s">
        <v>17386</v>
      </c>
    </row>
    <row r="5767">
      <c r="A5767" s="7">
        <v>2.004046E7</v>
      </c>
      <c r="B5767" s="8" t="s">
        <v>14</v>
      </c>
      <c r="C5767" s="8" t="s">
        <v>17387</v>
      </c>
      <c r="D5767" s="8" t="s">
        <v>16</v>
      </c>
      <c r="E5767" s="8" t="s">
        <v>17</v>
      </c>
      <c r="F5767" s="9">
        <v>46065.0</v>
      </c>
      <c r="G5767" s="8" t="s">
        <v>17388</v>
      </c>
      <c r="H5767" s="8" t="s">
        <v>17389</v>
      </c>
      <c r="I5767" s="8" t="s">
        <v>17390</v>
      </c>
      <c r="J5767" s="8" t="s">
        <v>17391</v>
      </c>
    </row>
    <row r="5768">
      <c r="A5768" s="7">
        <v>2.0039666E7</v>
      </c>
      <c r="B5768" s="8" t="s">
        <v>14</v>
      </c>
      <c r="C5768" s="8" t="s">
        <v>17392</v>
      </c>
      <c r="D5768" s="8" t="s">
        <v>2136</v>
      </c>
      <c r="E5768" s="8" t="s">
        <v>17</v>
      </c>
      <c r="F5768" s="9">
        <v>46057.0</v>
      </c>
      <c r="G5768" s="8" t="s">
        <v>109</v>
      </c>
      <c r="H5768" s="8" t="s">
        <v>110</v>
      </c>
      <c r="I5768" s="8" t="s">
        <v>17393</v>
      </c>
      <c r="J5768" s="8" t="s">
        <v>17394</v>
      </c>
    </row>
    <row r="5769">
      <c r="A5769" s="7">
        <v>2.0037123E7</v>
      </c>
      <c r="B5769" s="8" t="s">
        <v>14</v>
      </c>
      <c r="C5769" s="8" t="s">
        <v>17395</v>
      </c>
      <c r="D5769" s="8" t="s">
        <v>16</v>
      </c>
      <c r="E5769" s="8" t="s">
        <v>17</v>
      </c>
      <c r="F5769" s="9">
        <v>46060.0</v>
      </c>
      <c r="G5769" s="8" t="s">
        <v>314</v>
      </c>
      <c r="H5769" s="8" t="s">
        <v>315</v>
      </c>
      <c r="I5769" s="8" t="s">
        <v>17396</v>
      </c>
      <c r="J5769" s="8" t="s">
        <v>17397</v>
      </c>
    </row>
    <row r="5770">
      <c r="A5770" s="7">
        <v>2.003517E7</v>
      </c>
      <c r="B5770" s="8" t="s">
        <v>14</v>
      </c>
      <c r="C5770" s="8" t="s">
        <v>17398</v>
      </c>
      <c r="D5770" s="8" t="s">
        <v>16</v>
      </c>
      <c r="E5770" s="8" t="s">
        <v>17</v>
      </c>
      <c r="F5770" s="9">
        <v>46052.0</v>
      </c>
      <c r="G5770" s="8" t="s">
        <v>385</v>
      </c>
      <c r="H5770" s="8" t="s">
        <v>386</v>
      </c>
      <c r="I5770" s="8" t="s">
        <v>17399</v>
      </c>
      <c r="J5770" s="8" t="s">
        <v>17400</v>
      </c>
    </row>
    <row r="5771">
      <c r="A5771" s="7">
        <v>2.0037442E7</v>
      </c>
      <c r="B5771" s="8" t="s">
        <v>14</v>
      </c>
      <c r="C5771" s="8" t="s">
        <v>17401</v>
      </c>
      <c r="D5771" s="8" t="s">
        <v>16</v>
      </c>
      <c r="E5771" s="8" t="s">
        <v>17</v>
      </c>
      <c r="F5771" s="9">
        <v>46050.0</v>
      </c>
      <c r="G5771" s="8" t="s">
        <v>59</v>
      </c>
      <c r="H5771" s="8" t="s">
        <v>60</v>
      </c>
      <c r="I5771" s="8" t="s">
        <v>17402</v>
      </c>
      <c r="J5771" s="8" t="s">
        <v>17403</v>
      </c>
    </row>
    <row r="5772">
      <c r="A5772" s="7">
        <v>2.0033017E7</v>
      </c>
      <c r="B5772" s="8" t="s">
        <v>14</v>
      </c>
      <c r="C5772" s="8" t="s">
        <v>17404</v>
      </c>
      <c r="D5772" s="8" t="s">
        <v>16</v>
      </c>
      <c r="E5772" s="8" t="s">
        <v>17</v>
      </c>
      <c r="F5772" s="9">
        <v>46044.0</v>
      </c>
      <c r="G5772" s="8" t="s">
        <v>805</v>
      </c>
      <c r="H5772" s="8" t="s">
        <v>806</v>
      </c>
      <c r="I5772" s="8" t="s">
        <v>17405</v>
      </c>
      <c r="J5772" s="8" t="s">
        <v>17406</v>
      </c>
    </row>
    <row r="5773">
      <c r="A5773" s="7">
        <v>2.0063845E7</v>
      </c>
      <c r="B5773" s="8" t="s">
        <v>14</v>
      </c>
      <c r="C5773" s="8" t="s">
        <v>17407</v>
      </c>
      <c r="D5773" s="8" t="s">
        <v>2136</v>
      </c>
      <c r="E5773" s="8" t="s">
        <v>17</v>
      </c>
      <c r="F5773" s="9">
        <v>46156.0</v>
      </c>
      <c r="G5773" s="8" t="s">
        <v>339</v>
      </c>
      <c r="H5773" s="8" t="s">
        <v>340</v>
      </c>
      <c r="I5773" s="8" t="s">
        <v>17408</v>
      </c>
      <c r="J5773" s="8" t="s">
        <v>17409</v>
      </c>
    </row>
    <row r="5774">
      <c r="A5774" s="7">
        <v>2.0062649E7</v>
      </c>
      <c r="B5774" s="8" t="s">
        <v>14</v>
      </c>
      <c r="C5774" s="8" t="s">
        <v>17410</v>
      </c>
      <c r="D5774" s="8" t="s">
        <v>2136</v>
      </c>
      <c r="E5774" s="8" t="s">
        <v>17</v>
      </c>
      <c r="F5774" s="9">
        <v>46151.0</v>
      </c>
      <c r="G5774" s="8" t="s">
        <v>59</v>
      </c>
      <c r="H5774" s="8" t="s">
        <v>60</v>
      </c>
      <c r="I5774" s="8" t="s">
        <v>17411</v>
      </c>
      <c r="J5774" s="8" t="s">
        <v>17412</v>
      </c>
    </row>
    <row r="5775">
      <c r="A5775" s="7">
        <v>2.0061444E7</v>
      </c>
      <c r="B5775" s="8" t="s">
        <v>14</v>
      </c>
      <c r="C5775" s="8" t="s">
        <v>17413</v>
      </c>
      <c r="D5775" s="8" t="s">
        <v>2136</v>
      </c>
      <c r="E5775" s="8" t="s">
        <v>17</v>
      </c>
      <c r="F5775" s="9">
        <v>46146.0</v>
      </c>
      <c r="G5775" s="8" t="s">
        <v>59</v>
      </c>
      <c r="H5775" s="8" t="s">
        <v>60</v>
      </c>
      <c r="I5775" s="8" t="s">
        <v>17414</v>
      </c>
      <c r="J5775" s="8" t="s">
        <v>17415</v>
      </c>
    </row>
    <row r="5776">
      <c r="A5776" s="7">
        <v>2.006132E7</v>
      </c>
      <c r="B5776" s="8" t="s">
        <v>14</v>
      </c>
      <c r="C5776" s="8" t="s">
        <v>17416</v>
      </c>
      <c r="D5776" s="8" t="s">
        <v>16</v>
      </c>
      <c r="E5776" s="8" t="s">
        <v>17</v>
      </c>
      <c r="F5776" s="9">
        <v>46165.0</v>
      </c>
      <c r="G5776" s="8" t="s">
        <v>2989</v>
      </c>
      <c r="H5776" s="8" t="s">
        <v>2990</v>
      </c>
      <c r="I5776" s="8" t="s">
        <v>17417</v>
      </c>
      <c r="J5776" s="8" t="s">
        <v>17418</v>
      </c>
    </row>
    <row r="5777">
      <c r="A5777" s="7">
        <v>2.0059116E7</v>
      </c>
      <c r="B5777" s="8" t="s">
        <v>14</v>
      </c>
      <c r="C5777" s="8" t="s">
        <v>17419</v>
      </c>
      <c r="D5777" s="8" t="s">
        <v>16</v>
      </c>
      <c r="E5777" s="8" t="s">
        <v>17</v>
      </c>
      <c r="F5777" s="9">
        <v>46146.0</v>
      </c>
      <c r="G5777" s="8" t="s">
        <v>109</v>
      </c>
      <c r="H5777" s="8" t="s">
        <v>110</v>
      </c>
      <c r="I5777" s="8" t="s">
        <v>17420</v>
      </c>
      <c r="J5777" s="8" t="s">
        <v>17421</v>
      </c>
    </row>
    <row r="5778">
      <c r="A5778" s="7">
        <v>2.0058044E7</v>
      </c>
      <c r="B5778" s="8" t="s">
        <v>14</v>
      </c>
      <c r="C5778" s="8" t="s">
        <v>17422</v>
      </c>
      <c r="D5778" s="8" t="s">
        <v>16</v>
      </c>
      <c r="E5778" s="8" t="s">
        <v>17</v>
      </c>
      <c r="F5778" s="9">
        <v>46177.0</v>
      </c>
      <c r="G5778" s="8" t="s">
        <v>410</v>
      </c>
      <c r="H5778" s="8" t="s">
        <v>411</v>
      </c>
      <c r="I5778" s="8" t="s">
        <v>17423</v>
      </c>
      <c r="J5778" s="8" t="s">
        <v>17424</v>
      </c>
    </row>
    <row r="5779">
      <c r="A5779" s="7">
        <v>2.005035E7</v>
      </c>
      <c r="B5779" s="8" t="s">
        <v>14</v>
      </c>
      <c r="C5779" s="8" t="s">
        <v>17425</v>
      </c>
      <c r="D5779" s="8" t="s">
        <v>16</v>
      </c>
      <c r="E5779" s="8" t="s">
        <v>17</v>
      </c>
      <c r="F5779" s="9">
        <v>46127.0</v>
      </c>
      <c r="G5779" s="8" t="s">
        <v>49</v>
      </c>
      <c r="H5779" s="8" t="s">
        <v>50</v>
      </c>
      <c r="I5779" s="8" t="s">
        <v>17426</v>
      </c>
      <c r="J5779" s="8" t="s">
        <v>17427</v>
      </c>
    </row>
    <row r="5780">
      <c r="A5780" s="7">
        <v>2.004626E7</v>
      </c>
      <c r="B5780" s="8" t="s">
        <v>14</v>
      </c>
      <c r="C5780" s="8" t="s">
        <v>17428</v>
      </c>
      <c r="D5780" s="8" t="s">
        <v>16</v>
      </c>
      <c r="E5780" s="8" t="s">
        <v>17</v>
      </c>
      <c r="F5780" s="9">
        <v>46094.0</v>
      </c>
      <c r="G5780" s="8" t="s">
        <v>3572</v>
      </c>
      <c r="H5780" s="8" t="s">
        <v>3573</v>
      </c>
      <c r="I5780" s="8" t="s">
        <v>17429</v>
      </c>
      <c r="J5780" s="8" t="s">
        <v>17430</v>
      </c>
    </row>
    <row r="5781">
      <c r="A5781" s="7">
        <v>2.004626E7</v>
      </c>
      <c r="B5781" s="8" t="s">
        <v>14</v>
      </c>
      <c r="C5781" s="8" t="s">
        <v>17428</v>
      </c>
      <c r="D5781" s="8" t="s">
        <v>16</v>
      </c>
      <c r="E5781" s="8" t="s">
        <v>17</v>
      </c>
      <c r="F5781" s="9">
        <v>46094.0</v>
      </c>
      <c r="G5781" s="8" t="s">
        <v>3572</v>
      </c>
      <c r="H5781" s="8" t="s">
        <v>3573</v>
      </c>
      <c r="I5781" s="8" t="s">
        <v>17431</v>
      </c>
      <c r="J5781" s="8" t="s">
        <v>17430</v>
      </c>
    </row>
    <row r="5782">
      <c r="A5782" s="7">
        <v>2.0042411E7</v>
      </c>
      <c r="B5782" s="8" t="s">
        <v>14</v>
      </c>
      <c r="C5782" s="8" t="s">
        <v>17432</v>
      </c>
      <c r="D5782" s="8" t="s">
        <v>16</v>
      </c>
      <c r="E5782" s="8" t="s">
        <v>17</v>
      </c>
      <c r="F5782" s="9">
        <v>46081.0</v>
      </c>
      <c r="G5782" s="8" t="s">
        <v>400</v>
      </c>
      <c r="H5782" s="8" t="s">
        <v>401</v>
      </c>
      <c r="I5782" s="8" t="s">
        <v>17433</v>
      </c>
      <c r="J5782" s="8" t="s">
        <v>17434</v>
      </c>
    </row>
    <row r="5783">
      <c r="A5783" s="7">
        <v>2.0042589E7</v>
      </c>
      <c r="B5783" s="8" t="s">
        <v>14</v>
      </c>
      <c r="C5783" s="8" t="s">
        <v>17435</v>
      </c>
      <c r="D5783" s="8" t="s">
        <v>16</v>
      </c>
      <c r="E5783" s="8" t="s">
        <v>17</v>
      </c>
      <c r="F5783" s="9">
        <v>46085.0</v>
      </c>
      <c r="G5783" s="8" t="s">
        <v>324</v>
      </c>
      <c r="H5783" s="8" t="s">
        <v>325</v>
      </c>
      <c r="I5783" s="8" t="s">
        <v>17436</v>
      </c>
      <c r="J5783" s="8" t="s">
        <v>17437</v>
      </c>
    </row>
    <row r="5784">
      <c r="A5784" s="7">
        <v>2.0040367E7</v>
      </c>
      <c r="B5784" s="8" t="s">
        <v>14</v>
      </c>
      <c r="C5784" s="8" t="s">
        <v>17438</v>
      </c>
      <c r="D5784" s="8" t="s">
        <v>16</v>
      </c>
      <c r="E5784" s="8" t="s">
        <v>17</v>
      </c>
      <c r="F5784" s="9">
        <v>46072.0</v>
      </c>
      <c r="G5784" s="8" t="s">
        <v>805</v>
      </c>
      <c r="H5784" s="8" t="s">
        <v>806</v>
      </c>
      <c r="I5784" s="8" t="s">
        <v>17439</v>
      </c>
      <c r="J5784" s="8" t="s">
        <v>17440</v>
      </c>
    </row>
    <row r="5785">
      <c r="A5785" s="7">
        <v>2.0039742E7</v>
      </c>
      <c r="B5785" s="8" t="s">
        <v>14</v>
      </c>
      <c r="C5785" s="8" t="s">
        <v>17441</v>
      </c>
      <c r="D5785" s="8" t="s">
        <v>16</v>
      </c>
      <c r="E5785" s="8" t="s">
        <v>17</v>
      </c>
      <c r="F5785" s="9">
        <v>46074.0</v>
      </c>
      <c r="G5785" s="8" t="s">
        <v>64</v>
      </c>
      <c r="H5785" s="8" t="s">
        <v>65</v>
      </c>
      <c r="I5785" s="8" t="s">
        <v>17442</v>
      </c>
      <c r="J5785" s="8" t="s">
        <v>17443</v>
      </c>
    </row>
    <row r="5786">
      <c r="A5786" s="7">
        <v>2.0039631E7</v>
      </c>
      <c r="B5786" s="8" t="s">
        <v>14</v>
      </c>
      <c r="C5786" s="8" t="s">
        <v>17444</v>
      </c>
      <c r="D5786" s="8" t="s">
        <v>16</v>
      </c>
      <c r="E5786" s="8" t="s">
        <v>17</v>
      </c>
      <c r="F5786" s="9">
        <v>46056.0</v>
      </c>
      <c r="G5786" s="8" t="s">
        <v>59</v>
      </c>
      <c r="H5786" s="8" t="s">
        <v>60</v>
      </c>
      <c r="I5786" s="8" t="s">
        <v>17445</v>
      </c>
      <c r="J5786" s="8" t="s">
        <v>17446</v>
      </c>
    </row>
    <row r="5787">
      <c r="A5787" s="7">
        <v>2.0038858E7</v>
      </c>
      <c r="B5787" s="8" t="s">
        <v>14</v>
      </c>
      <c r="C5787" s="8" t="s">
        <v>17447</v>
      </c>
      <c r="D5787" s="8" t="s">
        <v>16</v>
      </c>
      <c r="E5787" s="8" t="s">
        <v>17</v>
      </c>
      <c r="F5787" s="9">
        <v>46070.0</v>
      </c>
      <c r="G5787" s="8" t="s">
        <v>601</v>
      </c>
      <c r="H5787" s="8" t="s">
        <v>602</v>
      </c>
      <c r="I5787" s="8" t="s">
        <v>17448</v>
      </c>
      <c r="J5787" s="8" t="s">
        <v>17449</v>
      </c>
    </row>
    <row r="5788">
      <c r="A5788" s="7">
        <v>2.0037306E7</v>
      </c>
      <c r="B5788" s="8" t="s">
        <v>14</v>
      </c>
      <c r="C5788" s="8" t="s">
        <v>17450</v>
      </c>
      <c r="D5788" s="8" t="s">
        <v>16</v>
      </c>
      <c r="E5788" s="8" t="s">
        <v>17</v>
      </c>
      <c r="F5788" s="9">
        <v>46063.0</v>
      </c>
      <c r="G5788" s="8" t="s">
        <v>34</v>
      </c>
      <c r="H5788" s="8" t="s">
        <v>35</v>
      </c>
      <c r="I5788" s="8" t="s">
        <v>17451</v>
      </c>
      <c r="J5788" s="8" t="s">
        <v>17452</v>
      </c>
    </row>
    <row r="5789">
      <c r="A5789" s="7">
        <v>2.003782E7</v>
      </c>
      <c r="B5789" s="8" t="s">
        <v>14</v>
      </c>
      <c r="C5789" s="8" t="s">
        <v>17453</v>
      </c>
      <c r="D5789" s="8" t="s">
        <v>16</v>
      </c>
      <c r="E5789" s="8" t="s">
        <v>17</v>
      </c>
      <c r="F5789" s="9">
        <v>46059.0</v>
      </c>
      <c r="G5789" s="8" t="s">
        <v>75</v>
      </c>
      <c r="H5789" s="8" t="s">
        <v>76</v>
      </c>
      <c r="I5789" s="8" t="s">
        <v>17454</v>
      </c>
      <c r="J5789" s="8" t="s">
        <v>17455</v>
      </c>
    </row>
    <row r="5790">
      <c r="A5790" s="7">
        <v>2.0035004E7</v>
      </c>
      <c r="B5790" s="8" t="s">
        <v>14</v>
      </c>
      <c r="C5790" s="8" t="s">
        <v>17456</v>
      </c>
      <c r="D5790" s="8" t="s">
        <v>16</v>
      </c>
      <c r="E5790" s="8" t="s">
        <v>17</v>
      </c>
      <c r="F5790" s="9">
        <v>46056.0</v>
      </c>
      <c r="G5790" s="8" t="s">
        <v>1537</v>
      </c>
      <c r="H5790" s="8" t="s">
        <v>1538</v>
      </c>
      <c r="I5790" s="8" t="s">
        <v>17457</v>
      </c>
      <c r="J5790" s="8" t="s">
        <v>17458</v>
      </c>
    </row>
    <row r="5791">
      <c r="A5791" s="7">
        <v>2.0030092E7</v>
      </c>
      <c r="B5791" s="8" t="s">
        <v>14</v>
      </c>
      <c r="C5791" s="8" t="s">
        <v>17459</v>
      </c>
      <c r="D5791" s="8" t="s">
        <v>16</v>
      </c>
      <c r="E5791" s="8" t="s">
        <v>17</v>
      </c>
      <c r="F5791" s="9">
        <v>46050.0</v>
      </c>
      <c r="G5791" s="8" t="s">
        <v>247</v>
      </c>
      <c r="H5791" s="8" t="s">
        <v>248</v>
      </c>
      <c r="I5791" s="8" t="s">
        <v>17460</v>
      </c>
      <c r="J5791" s="8" t="s">
        <v>17461</v>
      </c>
    </row>
    <row r="5792">
      <c r="A5792" s="7">
        <v>2.0030092E7</v>
      </c>
      <c r="B5792" s="8" t="s">
        <v>14</v>
      </c>
      <c r="C5792" s="8" t="s">
        <v>17459</v>
      </c>
      <c r="D5792" s="8" t="s">
        <v>16</v>
      </c>
      <c r="E5792" s="8" t="s">
        <v>17</v>
      </c>
      <c r="F5792" s="9">
        <v>46050.0</v>
      </c>
      <c r="G5792" s="8" t="s">
        <v>10195</v>
      </c>
      <c r="H5792" s="8" t="s">
        <v>10196</v>
      </c>
      <c r="I5792" s="8" t="s">
        <v>17462</v>
      </c>
      <c r="J5792" s="8" t="s">
        <v>17463</v>
      </c>
    </row>
    <row r="5793">
      <c r="A5793" s="7">
        <v>2.0069243E7</v>
      </c>
      <c r="B5793" s="8" t="s">
        <v>14</v>
      </c>
      <c r="C5793" s="8" t="s">
        <v>17464</v>
      </c>
      <c r="D5793" s="8" t="s">
        <v>16</v>
      </c>
      <c r="E5793" s="8" t="s">
        <v>17</v>
      </c>
      <c r="F5793" s="9">
        <v>46193.0</v>
      </c>
      <c r="G5793" s="8" t="s">
        <v>908</v>
      </c>
      <c r="H5793" s="8" t="s">
        <v>909</v>
      </c>
      <c r="I5793" s="8" t="s">
        <v>17465</v>
      </c>
      <c r="J5793" s="8" t="s">
        <v>17466</v>
      </c>
    </row>
    <row r="5794">
      <c r="A5794" s="7">
        <v>2.0068067E7</v>
      </c>
      <c r="B5794" s="8" t="s">
        <v>14</v>
      </c>
      <c r="C5794" s="8" t="s">
        <v>17467</v>
      </c>
      <c r="D5794" s="8" t="s">
        <v>16</v>
      </c>
      <c r="E5794" s="8" t="s">
        <v>17</v>
      </c>
      <c r="F5794" s="9">
        <v>46179.0</v>
      </c>
      <c r="G5794" s="8" t="s">
        <v>59</v>
      </c>
      <c r="H5794" s="8" t="s">
        <v>60</v>
      </c>
      <c r="I5794" s="8" t="s">
        <v>17468</v>
      </c>
      <c r="J5794" s="8" t="s">
        <v>17469</v>
      </c>
    </row>
    <row r="5795">
      <c r="A5795" s="7">
        <v>2.0063527E7</v>
      </c>
      <c r="B5795" s="8" t="s">
        <v>14</v>
      </c>
      <c r="C5795" s="8" t="s">
        <v>17470</v>
      </c>
      <c r="D5795" s="8" t="s">
        <v>16</v>
      </c>
      <c r="E5795" s="8" t="s">
        <v>17</v>
      </c>
      <c r="F5795" s="9">
        <v>46163.0</v>
      </c>
      <c r="G5795" s="8" t="s">
        <v>109</v>
      </c>
      <c r="H5795" s="8" t="s">
        <v>110</v>
      </c>
      <c r="I5795" s="8" t="s">
        <v>17471</v>
      </c>
      <c r="J5795" s="8" t="s">
        <v>17472</v>
      </c>
    </row>
    <row r="5796">
      <c r="A5796" s="7">
        <v>2.0058821E7</v>
      </c>
      <c r="B5796" s="8" t="s">
        <v>14</v>
      </c>
      <c r="C5796" s="8" t="s">
        <v>17473</v>
      </c>
      <c r="D5796" s="8" t="s">
        <v>16</v>
      </c>
      <c r="E5796" s="8" t="s">
        <v>17</v>
      </c>
      <c r="F5796" s="9">
        <v>46177.0</v>
      </c>
      <c r="G5796" s="8" t="s">
        <v>361</v>
      </c>
      <c r="H5796" s="8" t="s">
        <v>362</v>
      </c>
      <c r="I5796" s="8" t="s">
        <v>17474</v>
      </c>
      <c r="J5796" s="8" t="s">
        <v>17475</v>
      </c>
    </row>
    <row r="5797">
      <c r="A5797" s="7">
        <v>2.0058932E7</v>
      </c>
      <c r="B5797" s="8" t="s">
        <v>14</v>
      </c>
      <c r="C5797" s="8" t="s">
        <v>17476</v>
      </c>
      <c r="D5797" s="8" t="s">
        <v>16</v>
      </c>
      <c r="E5797" s="8" t="s">
        <v>17</v>
      </c>
      <c r="F5797" s="9">
        <v>46136.0</v>
      </c>
      <c r="G5797" s="8" t="s">
        <v>247</v>
      </c>
      <c r="H5797" s="8" t="s">
        <v>248</v>
      </c>
      <c r="I5797" s="8" t="s">
        <v>17477</v>
      </c>
      <c r="J5797" s="8" t="s">
        <v>17478</v>
      </c>
    </row>
    <row r="5798">
      <c r="A5798" s="7">
        <v>2.0051462E7</v>
      </c>
      <c r="B5798" s="8" t="s">
        <v>14</v>
      </c>
      <c r="C5798" s="8" t="s">
        <v>17479</v>
      </c>
      <c r="D5798" s="8" t="s">
        <v>16</v>
      </c>
      <c r="E5798" s="8" t="s">
        <v>17</v>
      </c>
      <c r="F5798" s="9">
        <v>46120.0</v>
      </c>
      <c r="G5798" s="8" t="s">
        <v>3797</v>
      </c>
      <c r="H5798" s="8" t="s">
        <v>3410</v>
      </c>
      <c r="I5798" s="8" t="s">
        <v>17480</v>
      </c>
      <c r="J5798" s="8" t="s">
        <v>17481</v>
      </c>
    </row>
    <row r="5799">
      <c r="A5799" s="7">
        <v>2.0048958E7</v>
      </c>
      <c r="B5799" s="8" t="s">
        <v>14</v>
      </c>
      <c r="C5799" s="8" t="s">
        <v>17482</v>
      </c>
      <c r="D5799" s="8" t="s">
        <v>16</v>
      </c>
      <c r="E5799" s="8" t="s">
        <v>17</v>
      </c>
      <c r="F5799" s="9">
        <v>46104.0</v>
      </c>
      <c r="G5799" s="8" t="s">
        <v>54</v>
      </c>
      <c r="H5799" s="8" t="s">
        <v>55</v>
      </c>
      <c r="I5799" s="8" t="s">
        <v>17483</v>
      </c>
      <c r="J5799" s="8" t="s">
        <v>17484</v>
      </c>
    </row>
    <row r="5800">
      <c r="A5800" s="7">
        <v>2.004897E7</v>
      </c>
      <c r="B5800" s="8" t="s">
        <v>14</v>
      </c>
      <c r="C5800" s="8" t="s">
        <v>17485</v>
      </c>
      <c r="D5800" s="8" t="s">
        <v>16</v>
      </c>
      <c r="E5800" s="8" t="s">
        <v>17</v>
      </c>
      <c r="F5800" s="9">
        <v>46112.0</v>
      </c>
      <c r="G5800" s="8" t="s">
        <v>158</v>
      </c>
      <c r="H5800" s="8" t="s">
        <v>159</v>
      </c>
      <c r="I5800" s="8" t="s">
        <v>17486</v>
      </c>
      <c r="J5800" s="8" t="s">
        <v>17487</v>
      </c>
    </row>
    <row r="5801">
      <c r="A5801" s="7">
        <v>2.0039842E7</v>
      </c>
      <c r="B5801" s="8" t="s">
        <v>14</v>
      </c>
      <c r="C5801" s="8" t="s">
        <v>17488</v>
      </c>
      <c r="D5801" s="8" t="s">
        <v>16</v>
      </c>
      <c r="E5801" s="8" t="s">
        <v>17</v>
      </c>
      <c r="F5801" s="9">
        <v>46069.0</v>
      </c>
      <c r="G5801" s="8" t="s">
        <v>234</v>
      </c>
      <c r="H5801" s="8" t="s">
        <v>235</v>
      </c>
      <c r="I5801" s="8" t="s">
        <v>17489</v>
      </c>
      <c r="J5801" s="8" t="s">
        <v>17490</v>
      </c>
    </row>
    <row r="5802">
      <c r="A5802" s="7">
        <v>2.0037344E7</v>
      </c>
      <c r="B5802" s="8" t="s">
        <v>14</v>
      </c>
      <c r="C5802" s="8" t="s">
        <v>17491</v>
      </c>
      <c r="D5802" s="8" t="s">
        <v>16</v>
      </c>
      <c r="E5802" s="8" t="s">
        <v>17</v>
      </c>
      <c r="F5802" s="9">
        <v>46053.0</v>
      </c>
      <c r="G5802" s="8" t="s">
        <v>91</v>
      </c>
      <c r="H5802" s="8" t="s">
        <v>92</v>
      </c>
      <c r="I5802" s="8" t="s">
        <v>17492</v>
      </c>
      <c r="J5802" s="8" t="s">
        <v>17493</v>
      </c>
    </row>
    <row r="5803">
      <c r="A5803" s="7">
        <v>2.0067068E7</v>
      </c>
      <c r="B5803" s="8" t="s">
        <v>14</v>
      </c>
      <c r="C5803" s="8" t="s">
        <v>17494</v>
      </c>
      <c r="D5803" s="8" t="s">
        <v>2136</v>
      </c>
      <c r="E5803" s="8" t="s">
        <v>17</v>
      </c>
      <c r="F5803" s="9">
        <v>46169.0</v>
      </c>
      <c r="G5803" s="8" t="s">
        <v>1007</v>
      </c>
      <c r="H5803" s="8" t="s">
        <v>1008</v>
      </c>
      <c r="I5803" s="8" t="s">
        <v>17495</v>
      </c>
      <c r="J5803" s="8" t="s">
        <v>17496</v>
      </c>
    </row>
    <row r="5804">
      <c r="A5804" s="7">
        <v>2.0064813E7</v>
      </c>
      <c r="B5804" s="8" t="s">
        <v>14</v>
      </c>
      <c r="C5804" s="8" t="s">
        <v>17497</v>
      </c>
      <c r="D5804" s="8" t="s">
        <v>2136</v>
      </c>
      <c r="E5804" s="8" t="s">
        <v>17</v>
      </c>
      <c r="F5804" s="9">
        <v>46160.0</v>
      </c>
      <c r="G5804" s="8" t="s">
        <v>234</v>
      </c>
      <c r="H5804" s="8" t="s">
        <v>235</v>
      </c>
      <c r="I5804" s="8" t="s">
        <v>17498</v>
      </c>
      <c r="J5804" s="8" t="s">
        <v>17499</v>
      </c>
    </row>
    <row r="5805">
      <c r="A5805" s="7">
        <v>2.0058135E7</v>
      </c>
      <c r="B5805" s="8" t="s">
        <v>14</v>
      </c>
      <c r="C5805" s="8" t="s">
        <v>17500</v>
      </c>
      <c r="D5805" s="8" t="s">
        <v>16</v>
      </c>
      <c r="E5805" s="8" t="s">
        <v>17</v>
      </c>
      <c r="F5805" s="9">
        <v>46144.0</v>
      </c>
      <c r="G5805" s="8" t="s">
        <v>91</v>
      </c>
      <c r="H5805" s="8" t="s">
        <v>92</v>
      </c>
      <c r="I5805" s="8" t="s">
        <v>17501</v>
      </c>
      <c r="J5805" s="8" t="s">
        <v>17502</v>
      </c>
    </row>
    <row r="5806">
      <c r="A5806" s="7">
        <v>2.005959E7</v>
      </c>
      <c r="B5806" s="8" t="s">
        <v>14</v>
      </c>
      <c r="C5806" s="8" t="s">
        <v>17503</v>
      </c>
      <c r="D5806" s="8" t="s">
        <v>16</v>
      </c>
      <c r="E5806" s="8" t="s">
        <v>17</v>
      </c>
      <c r="F5806" s="9">
        <v>46159.0</v>
      </c>
      <c r="G5806" s="8" t="s">
        <v>3133</v>
      </c>
      <c r="H5806" s="8" t="s">
        <v>3134</v>
      </c>
      <c r="I5806" s="8" t="s">
        <v>17504</v>
      </c>
      <c r="J5806" s="8"/>
    </row>
    <row r="5807">
      <c r="A5807" s="7">
        <v>2.0056357E7</v>
      </c>
      <c r="B5807" s="8" t="s">
        <v>14</v>
      </c>
      <c r="C5807" s="8" t="s">
        <v>17505</v>
      </c>
      <c r="D5807" s="8" t="s">
        <v>16</v>
      </c>
      <c r="E5807" s="8" t="s">
        <v>17</v>
      </c>
      <c r="F5807" s="9">
        <v>46125.0</v>
      </c>
      <c r="G5807" s="8" t="s">
        <v>59</v>
      </c>
      <c r="H5807" s="8" t="s">
        <v>60</v>
      </c>
      <c r="I5807" s="8" t="s">
        <v>17506</v>
      </c>
      <c r="J5807" s="8" t="s">
        <v>17507</v>
      </c>
    </row>
    <row r="5808">
      <c r="A5808" s="7">
        <v>2.0051217E7</v>
      </c>
      <c r="B5808" s="8" t="s">
        <v>14</v>
      </c>
      <c r="C5808" s="8" t="s">
        <v>17508</v>
      </c>
      <c r="D5808" s="8" t="s">
        <v>16</v>
      </c>
      <c r="E5808" s="8" t="s">
        <v>17</v>
      </c>
      <c r="F5808" s="9">
        <v>46118.0</v>
      </c>
      <c r="G5808" s="8" t="s">
        <v>826</v>
      </c>
      <c r="H5808" s="8" t="s">
        <v>827</v>
      </c>
      <c r="I5808" s="8" t="s">
        <v>17509</v>
      </c>
      <c r="J5808" s="8" t="s">
        <v>17510</v>
      </c>
    </row>
    <row r="5809">
      <c r="A5809" s="7">
        <v>2.0051289E7</v>
      </c>
      <c r="B5809" s="8" t="s">
        <v>14</v>
      </c>
      <c r="C5809" s="8" t="s">
        <v>17511</v>
      </c>
      <c r="D5809" s="8" t="s">
        <v>16</v>
      </c>
      <c r="E5809" s="8" t="s">
        <v>17</v>
      </c>
      <c r="F5809" s="9">
        <v>46102.0</v>
      </c>
      <c r="G5809" s="8" t="s">
        <v>59</v>
      </c>
      <c r="H5809" s="8" t="s">
        <v>60</v>
      </c>
      <c r="I5809" s="8" t="s">
        <v>17512</v>
      </c>
      <c r="J5809" s="8" t="s">
        <v>17513</v>
      </c>
    </row>
    <row r="5810">
      <c r="A5810" s="7">
        <v>2.0049061E7</v>
      </c>
      <c r="B5810" s="8" t="s">
        <v>14</v>
      </c>
      <c r="C5810" s="8" t="s">
        <v>17514</v>
      </c>
      <c r="D5810" s="8" t="s">
        <v>16</v>
      </c>
      <c r="E5810" s="8" t="s">
        <v>17</v>
      </c>
      <c r="F5810" s="9">
        <v>46096.0</v>
      </c>
      <c r="G5810" s="8" t="s">
        <v>59</v>
      </c>
      <c r="H5810" s="8" t="s">
        <v>60</v>
      </c>
      <c r="I5810" s="8" t="s">
        <v>17515</v>
      </c>
      <c r="J5810" s="8" t="s">
        <v>17516</v>
      </c>
    </row>
    <row r="5811">
      <c r="A5811" s="7">
        <v>2.0048844E7</v>
      </c>
      <c r="B5811" s="8" t="s">
        <v>14</v>
      </c>
      <c r="C5811" s="8" t="s">
        <v>17517</v>
      </c>
      <c r="D5811" s="8" t="s">
        <v>16</v>
      </c>
      <c r="E5811" s="8" t="s">
        <v>17</v>
      </c>
      <c r="F5811" s="9">
        <v>46092.0</v>
      </c>
      <c r="G5811" s="8" t="s">
        <v>868</v>
      </c>
      <c r="H5811" s="8" t="s">
        <v>869</v>
      </c>
      <c r="I5811" s="8" t="s">
        <v>17518</v>
      </c>
      <c r="J5811" s="8" t="s">
        <v>17519</v>
      </c>
    </row>
    <row r="5812">
      <c r="A5812" s="7">
        <v>2.0048575E7</v>
      </c>
      <c r="B5812" s="8" t="s">
        <v>14</v>
      </c>
      <c r="C5812" s="8" t="s">
        <v>17520</v>
      </c>
      <c r="D5812" s="8" t="s">
        <v>16</v>
      </c>
      <c r="E5812" s="8" t="s">
        <v>17</v>
      </c>
      <c r="F5812" s="9">
        <v>46091.0</v>
      </c>
      <c r="G5812" s="8" t="s">
        <v>339</v>
      </c>
      <c r="H5812" s="8" t="s">
        <v>340</v>
      </c>
      <c r="I5812" s="8" t="s">
        <v>17521</v>
      </c>
      <c r="J5812" s="8" t="s">
        <v>17522</v>
      </c>
    </row>
    <row r="5813">
      <c r="A5813" s="7">
        <v>2.0046536E7</v>
      </c>
      <c r="B5813" s="8" t="s">
        <v>14</v>
      </c>
      <c r="C5813" s="8" t="s">
        <v>17523</v>
      </c>
      <c r="D5813" s="8" t="s">
        <v>16</v>
      </c>
      <c r="E5813" s="8" t="s">
        <v>17</v>
      </c>
      <c r="F5813" s="9">
        <v>46093.0</v>
      </c>
      <c r="G5813" s="8" t="s">
        <v>34</v>
      </c>
      <c r="H5813" s="8" t="s">
        <v>35</v>
      </c>
      <c r="I5813" s="8" t="s">
        <v>17524</v>
      </c>
      <c r="J5813" s="8" t="s">
        <v>17525</v>
      </c>
    </row>
    <row r="5814">
      <c r="A5814" s="7">
        <v>2.0046536E7</v>
      </c>
      <c r="B5814" s="8" t="s">
        <v>14</v>
      </c>
      <c r="C5814" s="8" t="s">
        <v>17523</v>
      </c>
      <c r="D5814" s="8" t="s">
        <v>16</v>
      </c>
      <c r="E5814" s="8" t="s">
        <v>17</v>
      </c>
      <c r="F5814" s="9">
        <v>46093.0</v>
      </c>
      <c r="G5814" s="8" t="s">
        <v>5046</v>
      </c>
      <c r="H5814" s="8" t="s">
        <v>5047</v>
      </c>
      <c r="I5814" s="8" t="s">
        <v>17526</v>
      </c>
      <c r="J5814" s="8" t="s">
        <v>17527</v>
      </c>
    </row>
    <row r="5815">
      <c r="A5815" s="7">
        <v>2.0042869E7</v>
      </c>
      <c r="B5815" s="8" t="s">
        <v>14</v>
      </c>
      <c r="C5815" s="8" t="s">
        <v>17528</v>
      </c>
      <c r="D5815" s="8" t="s">
        <v>16</v>
      </c>
      <c r="E5815" s="8" t="s">
        <v>17</v>
      </c>
      <c r="F5815" s="9">
        <v>46074.0</v>
      </c>
      <c r="G5815" s="8" t="s">
        <v>91</v>
      </c>
      <c r="H5815" s="8" t="s">
        <v>92</v>
      </c>
      <c r="I5815" s="8" t="s">
        <v>17529</v>
      </c>
      <c r="J5815" s="8" t="s">
        <v>17530</v>
      </c>
    </row>
    <row r="5816">
      <c r="A5816" s="7">
        <v>2.0033637E7</v>
      </c>
      <c r="B5816" s="8" t="s">
        <v>14</v>
      </c>
      <c r="C5816" s="8" t="s">
        <v>17531</v>
      </c>
      <c r="D5816" s="8" t="s">
        <v>16</v>
      </c>
      <c r="E5816" s="8" t="s">
        <v>17</v>
      </c>
      <c r="F5816" s="9">
        <v>46054.0</v>
      </c>
      <c r="G5816" s="8" t="s">
        <v>5425</v>
      </c>
      <c r="H5816" s="8" t="s">
        <v>120</v>
      </c>
      <c r="I5816" s="8" t="s">
        <v>17532</v>
      </c>
      <c r="J5816" s="8" t="s">
        <v>17533</v>
      </c>
    </row>
    <row r="5817">
      <c r="A5817" s="7">
        <v>2.0035263E7</v>
      </c>
      <c r="B5817" s="8" t="s">
        <v>14</v>
      </c>
      <c r="C5817" s="8" t="s">
        <v>17534</v>
      </c>
      <c r="D5817" s="8" t="s">
        <v>16</v>
      </c>
      <c r="E5817" s="8" t="s">
        <v>17</v>
      </c>
      <c r="F5817" s="9">
        <v>46046.0</v>
      </c>
      <c r="G5817" s="8" t="s">
        <v>91</v>
      </c>
      <c r="H5817" s="8" t="s">
        <v>92</v>
      </c>
      <c r="I5817" s="8" t="s">
        <v>17535</v>
      </c>
      <c r="J5817" s="8" t="s">
        <v>17536</v>
      </c>
    </row>
    <row r="5818">
      <c r="A5818" s="7">
        <v>2.0033079E7</v>
      </c>
      <c r="B5818" s="8" t="s">
        <v>14</v>
      </c>
      <c r="C5818" s="8" t="s">
        <v>17537</v>
      </c>
      <c r="D5818" s="8" t="s">
        <v>16</v>
      </c>
      <c r="E5818" s="8" t="s">
        <v>17</v>
      </c>
      <c r="F5818" s="9">
        <v>46036.0</v>
      </c>
      <c r="G5818" s="8" t="s">
        <v>91</v>
      </c>
      <c r="H5818" s="8" t="s">
        <v>92</v>
      </c>
      <c r="I5818" s="8" t="s">
        <v>17538</v>
      </c>
      <c r="J5818" s="8" t="s">
        <v>17539</v>
      </c>
    </row>
    <row r="5819">
      <c r="A5819" s="7">
        <v>2.0072978E7</v>
      </c>
      <c r="B5819" s="8" t="s">
        <v>14</v>
      </c>
      <c r="C5819" s="8" t="s">
        <v>17540</v>
      </c>
      <c r="D5819" s="8" t="s">
        <v>2136</v>
      </c>
      <c r="E5819" s="8" t="s">
        <v>17</v>
      </c>
      <c r="F5819" s="9">
        <v>46193.0</v>
      </c>
      <c r="G5819" s="8" t="s">
        <v>339</v>
      </c>
      <c r="H5819" s="8" t="s">
        <v>340</v>
      </c>
      <c r="I5819" s="8" t="s">
        <v>17541</v>
      </c>
      <c r="J5819" s="8" t="s">
        <v>17542</v>
      </c>
    </row>
    <row r="5820">
      <c r="A5820" s="7">
        <v>2.0072716E7</v>
      </c>
      <c r="B5820" s="8" t="s">
        <v>14</v>
      </c>
      <c r="C5820" s="8" t="s">
        <v>17543</v>
      </c>
      <c r="D5820" s="8" t="s">
        <v>2136</v>
      </c>
      <c r="E5820" s="8" t="s">
        <v>17</v>
      </c>
      <c r="F5820" s="9">
        <v>46192.0</v>
      </c>
      <c r="G5820" s="8" t="s">
        <v>805</v>
      </c>
      <c r="H5820" s="8" t="s">
        <v>806</v>
      </c>
      <c r="I5820" s="8" t="s">
        <v>17544</v>
      </c>
      <c r="J5820" s="8" t="s">
        <v>17545</v>
      </c>
    </row>
    <row r="5821">
      <c r="A5821" s="7">
        <v>2.0056577E7</v>
      </c>
      <c r="B5821" s="8" t="s">
        <v>14</v>
      </c>
      <c r="C5821" s="8" t="s">
        <v>17546</v>
      </c>
      <c r="D5821" s="8" t="s">
        <v>16</v>
      </c>
      <c r="E5821" s="8" t="s">
        <v>17</v>
      </c>
      <c r="F5821" s="9">
        <v>46126.0</v>
      </c>
      <c r="G5821" s="8" t="s">
        <v>339</v>
      </c>
      <c r="H5821" s="8" t="s">
        <v>340</v>
      </c>
      <c r="I5821" s="8" t="s">
        <v>17547</v>
      </c>
      <c r="J5821" s="8" t="s">
        <v>17548</v>
      </c>
    </row>
    <row r="5822">
      <c r="A5822" s="7">
        <v>2.0055461E7</v>
      </c>
      <c r="B5822" s="8" t="s">
        <v>14</v>
      </c>
      <c r="C5822" s="8" t="s">
        <v>17549</v>
      </c>
      <c r="D5822" s="8" t="s">
        <v>16</v>
      </c>
      <c r="E5822" s="8" t="s">
        <v>17</v>
      </c>
      <c r="F5822" s="9">
        <v>46122.0</v>
      </c>
      <c r="G5822" s="8" t="s">
        <v>1007</v>
      </c>
      <c r="H5822" s="8" t="s">
        <v>1008</v>
      </c>
      <c r="I5822" s="8" t="s">
        <v>17550</v>
      </c>
      <c r="J5822" s="8" t="s">
        <v>17551</v>
      </c>
    </row>
    <row r="5823">
      <c r="A5823" s="7">
        <v>2.0053453E7</v>
      </c>
      <c r="B5823" s="8" t="s">
        <v>14</v>
      </c>
      <c r="C5823" s="8" t="s">
        <v>17552</v>
      </c>
      <c r="D5823" s="8" t="s">
        <v>16</v>
      </c>
      <c r="E5823" s="8" t="s">
        <v>17</v>
      </c>
      <c r="F5823" s="9">
        <v>46111.0</v>
      </c>
      <c r="G5823" s="8" t="s">
        <v>220</v>
      </c>
      <c r="H5823" s="8" t="s">
        <v>221</v>
      </c>
      <c r="I5823" s="8" t="s">
        <v>17553</v>
      </c>
      <c r="J5823" s="8" t="s">
        <v>17554</v>
      </c>
    </row>
    <row r="5824">
      <c r="A5824" s="7">
        <v>2.0053062E7</v>
      </c>
      <c r="B5824" s="8" t="s">
        <v>14</v>
      </c>
      <c r="C5824" s="8" t="s">
        <v>17555</v>
      </c>
      <c r="D5824" s="8" t="s">
        <v>16</v>
      </c>
      <c r="E5824" s="8" t="s">
        <v>17</v>
      </c>
      <c r="F5824" s="9">
        <v>46109.0</v>
      </c>
      <c r="G5824" s="8" t="s">
        <v>385</v>
      </c>
      <c r="H5824" s="8" t="s">
        <v>386</v>
      </c>
      <c r="I5824" s="8" t="s">
        <v>17556</v>
      </c>
      <c r="J5824" s="8" t="s">
        <v>17557</v>
      </c>
    </row>
    <row r="5825">
      <c r="A5825" s="7">
        <v>2.0050046E7</v>
      </c>
      <c r="B5825" s="8" t="s">
        <v>14</v>
      </c>
      <c r="C5825" s="8" t="s">
        <v>17558</v>
      </c>
      <c r="D5825" s="8" t="s">
        <v>16</v>
      </c>
      <c r="E5825" s="8" t="s">
        <v>48</v>
      </c>
      <c r="F5825" s="9">
        <v>46101.0</v>
      </c>
      <c r="G5825" s="8" t="s">
        <v>91</v>
      </c>
      <c r="H5825" s="8" t="s">
        <v>92</v>
      </c>
      <c r="I5825" s="8" t="s">
        <v>17559</v>
      </c>
      <c r="J5825" s="8" t="s">
        <v>17560</v>
      </c>
    </row>
    <row r="5826">
      <c r="A5826" s="7">
        <v>2.0049791E7</v>
      </c>
      <c r="B5826" s="8" t="s">
        <v>14</v>
      </c>
      <c r="C5826" s="8" t="s">
        <v>17561</v>
      </c>
      <c r="D5826" s="8" t="s">
        <v>16</v>
      </c>
      <c r="E5826" s="8" t="s">
        <v>17</v>
      </c>
      <c r="F5826" s="9">
        <v>46112.0</v>
      </c>
      <c r="G5826" s="8" t="s">
        <v>2989</v>
      </c>
      <c r="H5826" s="8" t="s">
        <v>2990</v>
      </c>
      <c r="I5826" s="8" t="s">
        <v>17562</v>
      </c>
      <c r="J5826" s="8" t="s">
        <v>17563</v>
      </c>
    </row>
    <row r="5827">
      <c r="A5827" s="7">
        <v>2.0039175E7</v>
      </c>
      <c r="B5827" s="8" t="s">
        <v>14</v>
      </c>
      <c r="C5827" s="8" t="s">
        <v>17564</v>
      </c>
      <c r="D5827" s="8" t="s">
        <v>16</v>
      </c>
      <c r="E5827" s="8" t="s">
        <v>17</v>
      </c>
      <c r="F5827" s="9">
        <v>46108.0</v>
      </c>
      <c r="G5827" s="8" t="s">
        <v>2170</v>
      </c>
      <c r="H5827" s="8" t="s">
        <v>2171</v>
      </c>
      <c r="I5827" s="8" t="s">
        <v>17565</v>
      </c>
      <c r="J5827" s="8" t="s">
        <v>17566</v>
      </c>
    </row>
    <row r="5828">
      <c r="A5828" s="7">
        <v>2.0049574E7</v>
      </c>
      <c r="B5828" s="8" t="s">
        <v>14</v>
      </c>
      <c r="C5828" s="8" t="s">
        <v>17567</v>
      </c>
      <c r="D5828" s="8" t="s">
        <v>2136</v>
      </c>
      <c r="E5828" s="8" t="s">
        <v>17</v>
      </c>
      <c r="F5828" s="9">
        <v>46095.0</v>
      </c>
      <c r="G5828" s="8" t="s">
        <v>195</v>
      </c>
      <c r="H5828" s="8" t="s">
        <v>196</v>
      </c>
      <c r="I5828" s="8" t="s">
        <v>17568</v>
      </c>
      <c r="J5828" s="8" t="s">
        <v>17569</v>
      </c>
    </row>
    <row r="5829">
      <c r="A5829" s="7">
        <v>2.0047174E7</v>
      </c>
      <c r="B5829" s="8" t="s">
        <v>14</v>
      </c>
      <c r="C5829" s="8" t="s">
        <v>17570</v>
      </c>
      <c r="D5829" s="8" t="s">
        <v>16</v>
      </c>
      <c r="E5829" s="8" t="s">
        <v>700</v>
      </c>
      <c r="F5829" s="9">
        <v>46107.0</v>
      </c>
      <c r="G5829" s="8" t="s">
        <v>109</v>
      </c>
      <c r="H5829" s="8" t="s">
        <v>110</v>
      </c>
      <c r="I5829" s="8" t="s">
        <v>17571</v>
      </c>
      <c r="J5829" s="8" t="s">
        <v>17572</v>
      </c>
    </row>
    <row r="5830">
      <c r="A5830" s="7">
        <v>2.0042934E7</v>
      </c>
      <c r="B5830" s="8" t="s">
        <v>14</v>
      </c>
      <c r="C5830" s="8" t="s">
        <v>17573</v>
      </c>
      <c r="D5830" s="8" t="s">
        <v>16</v>
      </c>
      <c r="E5830" s="8" t="s">
        <v>17</v>
      </c>
      <c r="F5830" s="9">
        <v>46072.0</v>
      </c>
      <c r="G5830" s="8" t="s">
        <v>247</v>
      </c>
      <c r="H5830" s="8" t="s">
        <v>248</v>
      </c>
      <c r="I5830" s="8" t="s">
        <v>17574</v>
      </c>
      <c r="J5830" s="8" t="s">
        <v>17575</v>
      </c>
    </row>
    <row r="5831">
      <c r="A5831" s="7">
        <v>2.0040581E7</v>
      </c>
      <c r="B5831" s="8" t="s">
        <v>14</v>
      </c>
      <c r="C5831" s="8" t="s">
        <v>17576</v>
      </c>
      <c r="D5831" s="8" t="s">
        <v>16</v>
      </c>
      <c r="E5831" s="8" t="s">
        <v>17</v>
      </c>
      <c r="F5831" s="9">
        <v>46070.0</v>
      </c>
      <c r="G5831" s="8" t="s">
        <v>385</v>
      </c>
      <c r="H5831" s="8" t="s">
        <v>386</v>
      </c>
      <c r="I5831" s="8" t="s">
        <v>17577</v>
      </c>
      <c r="J5831" s="8" t="s">
        <v>17578</v>
      </c>
    </row>
    <row r="5832">
      <c r="A5832" s="7">
        <v>2.0037593E7</v>
      </c>
      <c r="B5832" s="8" t="s">
        <v>14</v>
      </c>
      <c r="C5832" s="8" t="s">
        <v>17579</v>
      </c>
      <c r="D5832" s="8" t="s">
        <v>16</v>
      </c>
      <c r="E5832" s="8" t="s">
        <v>17</v>
      </c>
      <c r="F5832" s="9">
        <v>46067.0</v>
      </c>
      <c r="G5832" s="8" t="s">
        <v>6072</v>
      </c>
      <c r="H5832" s="8" t="s">
        <v>6073</v>
      </c>
      <c r="I5832" s="8" t="s">
        <v>17580</v>
      </c>
      <c r="J5832" s="8" t="s">
        <v>17581</v>
      </c>
    </row>
    <row r="5833">
      <c r="A5833" s="7">
        <v>2.0033579E7</v>
      </c>
      <c r="B5833" s="8" t="s">
        <v>14</v>
      </c>
      <c r="C5833" s="8" t="s">
        <v>17582</v>
      </c>
      <c r="D5833" s="8" t="s">
        <v>16</v>
      </c>
      <c r="E5833" s="8" t="s">
        <v>17</v>
      </c>
      <c r="F5833" s="9">
        <v>46037.0</v>
      </c>
      <c r="G5833" s="8" t="s">
        <v>91</v>
      </c>
      <c r="H5833" s="8" t="s">
        <v>92</v>
      </c>
      <c r="I5833" s="8" t="s">
        <v>17583</v>
      </c>
      <c r="J5833" s="8" t="s">
        <v>17584</v>
      </c>
    </row>
    <row r="5834">
      <c r="A5834" s="7">
        <v>2.0069609E7</v>
      </c>
      <c r="B5834" s="8" t="s">
        <v>14</v>
      </c>
      <c r="C5834" s="8" t="s">
        <v>17585</v>
      </c>
      <c r="D5834" s="8" t="s">
        <v>16</v>
      </c>
      <c r="E5834" s="8" t="s">
        <v>17</v>
      </c>
      <c r="F5834" s="9">
        <v>46183.0</v>
      </c>
      <c r="G5834" s="8" t="s">
        <v>1285</v>
      </c>
      <c r="H5834" s="8" t="s">
        <v>1286</v>
      </c>
      <c r="I5834" s="8" t="s">
        <v>17586</v>
      </c>
      <c r="J5834" s="8" t="s">
        <v>17587</v>
      </c>
    </row>
    <row r="5835">
      <c r="A5835" s="7">
        <v>2.00691E7</v>
      </c>
      <c r="B5835" s="8" t="s">
        <v>14</v>
      </c>
      <c r="C5835" s="8" t="s">
        <v>17588</v>
      </c>
      <c r="D5835" s="8" t="s">
        <v>16</v>
      </c>
      <c r="E5835" s="8" t="s">
        <v>17</v>
      </c>
      <c r="F5835" s="9">
        <v>46188.0</v>
      </c>
      <c r="G5835" s="8" t="s">
        <v>1007</v>
      </c>
      <c r="H5835" s="8" t="s">
        <v>1008</v>
      </c>
      <c r="I5835" s="8" t="s">
        <v>17589</v>
      </c>
      <c r="J5835" s="8" t="s">
        <v>17590</v>
      </c>
    </row>
    <row r="5836">
      <c r="A5836" s="7">
        <v>2.0065729E7</v>
      </c>
      <c r="B5836" s="8" t="s">
        <v>14</v>
      </c>
      <c r="C5836" s="8" t="s">
        <v>17591</v>
      </c>
      <c r="D5836" s="8" t="s">
        <v>16</v>
      </c>
      <c r="E5836" s="8" t="s">
        <v>17</v>
      </c>
      <c r="F5836" s="9">
        <v>46188.0</v>
      </c>
      <c r="G5836" s="8" t="s">
        <v>5030</v>
      </c>
      <c r="H5836" s="8" t="s">
        <v>10431</v>
      </c>
      <c r="I5836" s="8" t="s">
        <v>17592</v>
      </c>
      <c r="J5836" s="8" t="s">
        <v>17593</v>
      </c>
    </row>
    <row r="5837">
      <c r="A5837" s="7">
        <v>2.00637E7</v>
      </c>
      <c r="B5837" s="8" t="s">
        <v>14</v>
      </c>
      <c r="C5837" s="8" t="s">
        <v>17594</v>
      </c>
      <c r="D5837" s="8" t="s">
        <v>16</v>
      </c>
      <c r="E5837" s="8" t="s">
        <v>17</v>
      </c>
      <c r="F5837" s="9">
        <v>46156.0</v>
      </c>
      <c r="G5837" s="8" t="s">
        <v>34</v>
      </c>
      <c r="H5837" s="8" t="s">
        <v>35</v>
      </c>
      <c r="I5837" s="8" t="s">
        <v>17595</v>
      </c>
      <c r="J5837" s="8" t="s">
        <v>17596</v>
      </c>
    </row>
    <row r="5838">
      <c r="A5838" s="7">
        <v>2.0060887E7</v>
      </c>
      <c r="B5838" s="8" t="s">
        <v>14</v>
      </c>
      <c r="C5838" s="8" t="s">
        <v>17597</v>
      </c>
      <c r="D5838" s="8" t="s">
        <v>2136</v>
      </c>
      <c r="E5838" s="8" t="s">
        <v>48</v>
      </c>
      <c r="F5838" s="9">
        <v>46144.0</v>
      </c>
      <c r="G5838" s="8" t="s">
        <v>247</v>
      </c>
      <c r="H5838" s="8" t="s">
        <v>248</v>
      </c>
      <c r="I5838" s="8" t="s">
        <v>17598</v>
      </c>
      <c r="J5838" s="8" t="s">
        <v>17599</v>
      </c>
    </row>
    <row r="5839">
      <c r="A5839" s="7">
        <v>2.0057597E7</v>
      </c>
      <c r="B5839" s="8" t="s">
        <v>14</v>
      </c>
      <c r="C5839" s="8" t="s">
        <v>17600</v>
      </c>
      <c r="D5839" s="8" t="s">
        <v>16</v>
      </c>
      <c r="E5839" s="8" t="s">
        <v>17</v>
      </c>
      <c r="F5839" s="9">
        <v>46138.0</v>
      </c>
      <c r="G5839" s="8" t="s">
        <v>109</v>
      </c>
      <c r="H5839" s="8" t="s">
        <v>110</v>
      </c>
      <c r="I5839" s="8" t="s">
        <v>17601</v>
      </c>
      <c r="J5839" s="8" t="s">
        <v>17602</v>
      </c>
    </row>
    <row r="5840">
      <c r="A5840" s="7">
        <v>2.0056445E7</v>
      </c>
      <c r="B5840" s="8" t="s">
        <v>14</v>
      </c>
      <c r="C5840" s="8" t="s">
        <v>17603</v>
      </c>
      <c r="D5840" s="8" t="s">
        <v>16</v>
      </c>
      <c r="E5840" s="8" t="s">
        <v>17</v>
      </c>
      <c r="F5840" s="9">
        <v>46134.0</v>
      </c>
      <c r="G5840" s="8" t="s">
        <v>75</v>
      </c>
      <c r="H5840" s="8" t="s">
        <v>76</v>
      </c>
      <c r="I5840" s="8" t="s">
        <v>17604</v>
      </c>
      <c r="J5840" s="8" t="s">
        <v>17605</v>
      </c>
    </row>
    <row r="5841">
      <c r="A5841" s="7">
        <v>2.0054544E7</v>
      </c>
      <c r="B5841" s="8" t="s">
        <v>14</v>
      </c>
      <c r="C5841" s="8" t="s">
        <v>17606</v>
      </c>
      <c r="D5841" s="8" t="s">
        <v>16</v>
      </c>
      <c r="E5841" s="8" t="s">
        <v>17</v>
      </c>
      <c r="F5841" s="9">
        <v>46128.0</v>
      </c>
      <c r="G5841" s="8" t="s">
        <v>3207</v>
      </c>
      <c r="H5841" s="8" t="s">
        <v>3208</v>
      </c>
      <c r="I5841" s="8" t="s">
        <v>17607</v>
      </c>
      <c r="J5841" s="8" t="s">
        <v>17608</v>
      </c>
    </row>
    <row r="5842">
      <c r="A5842" s="7">
        <v>2.0043554E7</v>
      </c>
      <c r="B5842" s="8" t="s">
        <v>14</v>
      </c>
      <c r="C5842" s="8" t="s">
        <v>17609</v>
      </c>
      <c r="D5842" s="8" t="s">
        <v>16</v>
      </c>
      <c r="E5842" s="8" t="s">
        <v>17</v>
      </c>
      <c r="F5842" s="9">
        <v>46085.0</v>
      </c>
      <c r="G5842" s="8" t="s">
        <v>91</v>
      </c>
      <c r="H5842" s="8" t="s">
        <v>92</v>
      </c>
      <c r="I5842" s="8" t="s">
        <v>17610</v>
      </c>
      <c r="J5842" s="8" t="s">
        <v>17611</v>
      </c>
    </row>
    <row r="5843">
      <c r="A5843" s="7">
        <v>2.0044732E7</v>
      </c>
      <c r="B5843" s="8" t="s">
        <v>14</v>
      </c>
      <c r="C5843" s="8" t="s">
        <v>17612</v>
      </c>
      <c r="D5843" s="8" t="s">
        <v>16</v>
      </c>
      <c r="E5843" s="8" t="s">
        <v>17</v>
      </c>
      <c r="F5843" s="9">
        <v>46076.0</v>
      </c>
      <c r="G5843" s="8" t="s">
        <v>59</v>
      </c>
      <c r="H5843" s="8" t="s">
        <v>60</v>
      </c>
      <c r="I5843" s="8" t="s">
        <v>17613</v>
      </c>
      <c r="J5843" s="8" t="s">
        <v>17614</v>
      </c>
    </row>
    <row r="5844">
      <c r="A5844" s="7">
        <v>2.0038934E7</v>
      </c>
      <c r="B5844" s="8" t="s">
        <v>14</v>
      </c>
      <c r="C5844" s="8" t="s">
        <v>17615</v>
      </c>
      <c r="D5844" s="8" t="s">
        <v>16</v>
      </c>
      <c r="E5844" s="8" t="s">
        <v>17</v>
      </c>
      <c r="F5844" s="9">
        <v>46056.0</v>
      </c>
      <c r="G5844" s="8" t="s">
        <v>846</v>
      </c>
      <c r="H5844" s="8" t="s">
        <v>847</v>
      </c>
      <c r="I5844" s="8" t="s">
        <v>17616</v>
      </c>
      <c r="J5844" s="8" t="s">
        <v>17617</v>
      </c>
    </row>
    <row r="5845">
      <c r="A5845" s="7">
        <v>2.0037239E7</v>
      </c>
      <c r="B5845" s="8" t="s">
        <v>14</v>
      </c>
      <c r="C5845" s="8" t="s">
        <v>17618</v>
      </c>
      <c r="D5845" s="8" t="s">
        <v>16</v>
      </c>
      <c r="E5845" s="8" t="s">
        <v>17</v>
      </c>
      <c r="F5845" s="9">
        <v>46046.0</v>
      </c>
      <c r="G5845" s="8" t="s">
        <v>846</v>
      </c>
      <c r="H5845" s="8" t="s">
        <v>847</v>
      </c>
      <c r="I5845" s="8" t="s">
        <v>17619</v>
      </c>
      <c r="J5845" s="8" t="s">
        <v>17620</v>
      </c>
    </row>
    <row r="5846">
      <c r="A5846" s="7">
        <v>2.0026005E7</v>
      </c>
      <c r="B5846" s="8" t="s">
        <v>14</v>
      </c>
      <c r="C5846" s="8" t="s">
        <v>17621</v>
      </c>
      <c r="D5846" s="8" t="s">
        <v>16</v>
      </c>
      <c r="E5846" s="8" t="s">
        <v>17</v>
      </c>
      <c r="F5846" s="9">
        <v>46060.0</v>
      </c>
      <c r="G5846" s="8" t="s">
        <v>654</v>
      </c>
      <c r="H5846" s="8" t="s">
        <v>655</v>
      </c>
      <c r="I5846" s="8" t="s">
        <v>17622</v>
      </c>
      <c r="J5846" s="8"/>
    </row>
    <row r="5847">
      <c r="A5847" s="7">
        <v>2.0035521E7</v>
      </c>
      <c r="B5847" s="8" t="s">
        <v>14</v>
      </c>
      <c r="C5847" s="8" t="s">
        <v>17623</v>
      </c>
      <c r="D5847" s="8" t="s">
        <v>16</v>
      </c>
      <c r="E5847" s="8" t="s">
        <v>17</v>
      </c>
      <c r="F5847" s="9">
        <v>46046.0</v>
      </c>
      <c r="G5847" s="8" t="s">
        <v>385</v>
      </c>
      <c r="H5847" s="8" t="s">
        <v>386</v>
      </c>
      <c r="I5847" s="8" t="s">
        <v>17624</v>
      </c>
      <c r="J5847" s="8" t="s">
        <v>17625</v>
      </c>
    </row>
    <row r="5848">
      <c r="A5848" s="7">
        <v>2.0033723E7</v>
      </c>
      <c r="B5848" s="8" t="s">
        <v>14</v>
      </c>
      <c r="C5848" s="8" t="s">
        <v>17626</v>
      </c>
      <c r="D5848" s="8" t="s">
        <v>16</v>
      </c>
      <c r="E5848" s="8" t="s">
        <v>17</v>
      </c>
      <c r="F5848" s="9">
        <v>46053.0</v>
      </c>
      <c r="G5848" s="8" t="s">
        <v>826</v>
      </c>
      <c r="H5848" s="8" t="s">
        <v>827</v>
      </c>
      <c r="I5848" s="8" t="s">
        <v>17627</v>
      </c>
      <c r="J5848" s="8" t="s">
        <v>17628</v>
      </c>
    </row>
    <row r="5849">
      <c r="A5849" s="7">
        <v>2.0035225E7</v>
      </c>
      <c r="B5849" s="8" t="s">
        <v>14</v>
      </c>
      <c r="C5849" s="8" t="s">
        <v>17629</v>
      </c>
      <c r="D5849" s="8" t="s">
        <v>16</v>
      </c>
      <c r="E5849" s="8" t="s">
        <v>17</v>
      </c>
      <c r="F5849" s="9">
        <v>46038.0</v>
      </c>
      <c r="G5849" s="8" t="s">
        <v>868</v>
      </c>
      <c r="H5849" s="8" t="s">
        <v>869</v>
      </c>
      <c r="I5849" s="8" t="s">
        <v>17630</v>
      </c>
      <c r="J5849" s="8" t="s">
        <v>17631</v>
      </c>
    </row>
    <row r="5850">
      <c r="A5850" s="7">
        <v>2.007152E7</v>
      </c>
      <c r="B5850" s="8" t="s">
        <v>14</v>
      </c>
      <c r="C5850" s="8" t="s">
        <v>17632</v>
      </c>
      <c r="D5850" s="8" t="s">
        <v>16</v>
      </c>
      <c r="E5850" s="8" t="s">
        <v>17</v>
      </c>
      <c r="F5850" s="9">
        <v>46193.0</v>
      </c>
      <c r="G5850" s="8" t="s">
        <v>282</v>
      </c>
      <c r="H5850" s="8" t="s">
        <v>3005</v>
      </c>
      <c r="I5850" s="8" t="s">
        <v>17633</v>
      </c>
      <c r="J5850" s="8" t="s">
        <v>17634</v>
      </c>
    </row>
    <row r="5851">
      <c r="A5851" s="7">
        <v>2.0071974E7</v>
      </c>
      <c r="B5851" s="8" t="s">
        <v>14</v>
      </c>
      <c r="C5851" s="8" t="s">
        <v>17635</v>
      </c>
      <c r="D5851" s="8" t="s">
        <v>2136</v>
      </c>
      <c r="E5851" s="8" t="s">
        <v>17</v>
      </c>
      <c r="F5851" s="9">
        <v>46189.0</v>
      </c>
      <c r="G5851" s="8" t="s">
        <v>247</v>
      </c>
      <c r="H5851" s="8" t="s">
        <v>248</v>
      </c>
      <c r="I5851" s="8" t="s">
        <v>17636</v>
      </c>
      <c r="J5851" s="8" t="s">
        <v>17637</v>
      </c>
    </row>
    <row r="5852">
      <c r="A5852" s="7">
        <v>2.0069227E7</v>
      </c>
      <c r="B5852" s="8" t="s">
        <v>14</v>
      </c>
      <c r="C5852" s="8" t="s">
        <v>17638</v>
      </c>
      <c r="D5852" s="8" t="s">
        <v>2136</v>
      </c>
      <c r="E5852" s="8" t="s">
        <v>17</v>
      </c>
      <c r="F5852" s="9">
        <v>46180.0</v>
      </c>
      <c r="G5852" s="8" t="s">
        <v>2497</v>
      </c>
      <c r="H5852" s="8" t="s">
        <v>2498</v>
      </c>
      <c r="I5852" s="8" t="s">
        <v>17639</v>
      </c>
      <c r="J5852" s="8" t="s">
        <v>17640</v>
      </c>
    </row>
    <row r="5853">
      <c r="A5853" s="7">
        <v>2.0059387E7</v>
      </c>
      <c r="B5853" s="8" t="s">
        <v>14</v>
      </c>
      <c r="C5853" s="8" t="s">
        <v>17641</v>
      </c>
      <c r="D5853" s="8" t="s">
        <v>16</v>
      </c>
      <c r="E5853" s="8" t="s">
        <v>17</v>
      </c>
      <c r="F5853" s="9">
        <v>46168.0</v>
      </c>
      <c r="G5853" s="8" t="s">
        <v>428</v>
      </c>
      <c r="H5853" s="8" t="s">
        <v>429</v>
      </c>
      <c r="I5853" s="8" t="s">
        <v>17642</v>
      </c>
      <c r="J5853" s="8" t="s">
        <v>17643</v>
      </c>
    </row>
    <row r="5854">
      <c r="A5854" s="7">
        <v>2.0055671E7</v>
      </c>
      <c r="B5854" s="8" t="s">
        <v>14</v>
      </c>
      <c r="C5854" s="8" t="s">
        <v>17644</v>
      </c>
      <c r="D5854" s="8" t="s">
        <v>16</v>
      </c>
      <c r="E5854" s="8" t="s">
        <v>17</v>
      </c>
      <c r="F5854" s="9">
        <v>46142.0</v>
      </c>
      <c r="G5854" s="8" t="s">
        <v>5570</v>
      </c>
      <c r="H5854" s="8" t="s">
        <v>5571</v>
      </c>
      <c r="I5854" s="8" t="s">
        <v>17645</v>
      </c>
      <c r="J5854" s="8"/>
    </row>
    <row r="5855">
      <c r="A5855" s="7">
        <v>2.0053902E7</v>
      </c>
      <c r="B5855" s="8" t="s">
        <v>14</v>
      </c>
      <c r="C5855" s="8" t="s">
        <v>17646</v>
      </c>
      <c r="D5855" s="8" t="s">
        <v>16</v>
      </c>
      <c r="E5855" s="8" t="s">
        <v>17</v>
      </c>
      <c r="F5855" s="9">
        <v>46136.0</v>
      </c>
      <c r="G5855" s="8" t="s">
        <v>1818</v>
      </c>
      <c r="H5855" s="8" t="s">
        <v>1819</v>
      </c>
      <c r="I5855" s="8" t="s">
        <v>17647</v>
      </c>
      <c r="J5855" s="8" t="s">
        <v>17648</v>
      </c>
    </row>
    <row r="5856">
      <c r="A5856" s="7">
        <v>2.0053902E7</v>
      </c>
      <c r="B5856" s="8" t="s">
        <v>14</v>
      </c>
      <c r="C5856" s="8" t="s">
        <v>17646</v>
      </c>
      <c r="D5856" s="8" t="s">
        <v>16</v>
      </c>
      <c r="E5856" s="8" t="s">
        <v>17</v>
      </c>
      <c r="F5856" s="9">
        <v>46136.0</v>
      </c>
      <c r="G5856" s="8" t="s">
        <v>17649</v>
      </c>
      <c r="H5856" s="8" t="s">
        <v>17650</v>
      </c>
      <c r="I5856" s="8" t="s">
        <v>17651</v>
      </c>
      <c r="J5856" s="8" t="s">
        <v>17652</v>
      </c>
    </row>
    <row r="5857">
      <c r="A5857" s="7">
        <v>2.0050359E7</v>
      </c>
      <c r="B5857" s="8" t="s">
        <v>14</v>
      </c>
      <c r="C5857" s="8" t="s">
        <v>17653</v>
      </c>
      <c r="D5857" s="8" t="s">
        <v>2136</v>
      </c>
      <c r="E5857" s="8" t="s">
        <v>17</v>
      </c>
      <c r="F5857" s="9">
        <v>46099.0</v>
      </c>
      <c r="G5857" s="8" t="s">
        <v>3207</v>
      </c>
      <c r="H5857" s="8" t="s">
        <v>3208</v>
      </c>
      <c r="I5857" s="8" t="s">
        <v>17654</v>
      </c>
      <c r="J5857" s="8" t="s">
        <v>17655</v>
      </c>
    </row>
    <row r="5858">
      <c r="A5858" s="7">
        <v>2.0047002E7</v>
      </c>
      <c r="B5858" s="8" t="s">
        <v>14</v>
      </c>
      <c r="C5858" s="8" t="s">
        <v>17656</v>
      </c>
      <c r="D5858" s="8" t="s">
        <v>16</v>
      </c>
      <c r="E5858" s="8" t="s">
        <v>17</v>
      </c>
      <c r="F5858" s="9">
        <v>46105.0</v>
      </c>
      <c r="G5858" s="8" t="s">
        <v>3012</v>
      </c>
      <c r="H5858" s="8" t="s">
        <v>3013</v>
      </c>
      <c r="I5858" s="8" t="s">
        <v>17657</v>
      </c>
      <c r="J5858" s="8" t="s">
        <v>17658</v>
      </c>
    </row>
    <row r="5859">
      <c r="A5859" s="7">
        <v>2.0048342E7</v>
      </c>
      <c r="B5859" s="8" t="s">
        <v>14</v>
      </c>
      <c r="C5859" s="8" t="s">
        <v>17659</v>
      </c>
      <c r="D5859" s="8" t="s">
        <v>16</v>
      </c>
      <c r="E5859" s="8" t="s">
        <v>17</v>
      </c>
      <c r="F5859" s="9">
        <v>46099.0</v>
      </c>
      <c r="G5859" s="8" t="s">
        <v>34</v>
      </c>
      <c r="H5859" s="8" t="s">
        <v>35</v>
      </c>
      <c r="I5859" s="8" t="s">
        <v>17660</v>
      </c>
      <c r="J5859" s="8" t="s">
        <v>17661</v>
      </c>
    </row>
    <row r="5860">
      <c r="A5860" s="7">
        <v>2.0046581E7</v>
      </c>
      <c r="B5860" s="8" t="s">
        <v>14</v>
      </c>
      <c r="C5860" s="8" t="s">
        <v>17662</v>
      </c>
      <c r="D5860" s="8" t="s">
        <v>16</v>
      </c>
      <c r="E5860" s="8" t="s">
        <v>17</v>
      </c>
      <c r="F5860" s="9">
        <v>46083.0</v>
      </c>
      <c r="G5860" s="8" t="s">
        <v>846</v>
      </c>
      <c r="H5860" s="8" t="s">
        <v>847</v>
      </c>
      <c r="I5860" s="8" t="s">
        <v>17663</v>
      </c>
      <c r="J5860" s="8" t="s">
        <v>17664</v>
      </c>
    </row>
    <row r="5861">
      <c r="A5861" s="7">
        <v>2.0045077E7</v>
      </c>
      <c r="B5861" s="8" t="s">
        <v>14</v>
      </c>
      <c r="C5861" s="8" t="s">
        <v>17665</v>
      </c>
      <c r="D5861" s="8" t="s">
        <v>16</v>
      </c>
      <c r="E5861" s="8" t="s">
        <v>17</v>
      </c>
      <c r="F5861" s="9">
        <v>46087.0</v>
      </c>
      <c r="G5861" s="8" t="s">
        <v>49</v>
      </c>
      <c r="H5861" s="8" t="s">
        <v>50</v>
      </c>
      <c r="I5861" s="8" t="s">
        <v>17666</v>
      </c>
      <c r="J5861" s="8" t="s">
        <v>17667</v>
      </c>
    </row>
    <row r="5862">
      <c r="A5862" s="7">
        <v>2.0044387E7</v>
      </c>
      <c r="B5862" s="8" t="s">
        <v>14</v>
      </c>
      <c r="C5862" s="8" t="s">
        <v>17668</v>
      </c>
      <c r="D5862" s="8" t="s">
        <v>2136</v>
      </c>
      <c r="E5862" s="8" t="s">
        <v>17</v>
      </c>
      <c r="F5862" s="9">
        <v>46081.0</v>
      </c>
      <c r="G5862" s="8" t="s">
        <v>109</v>
      </c>
      <c r="H5862" s="8" t="s">
        <v>110</v>
      </c>
      <c r="I5862" s="8" t="s">
        <v>17669</v>
      </c>
      <c r="J5862" s="8" t="s">
        <v>17670</v>
      </c>
    </row>
    <row r="5863">
      <c r="A5863" s="7">
        <v>2.0043733E7</v>
      </c>
      <c r="B5863" s="8" t="s">
        <v>14</v>
      </c>
      <c r="C5863" s="8" t="s">
        <v>17671</v>
      </c>
      <c r="D5863" s="8" t="s">
        <v>16</v>
      </c>
      <c r="E5863" s="8" t="s">
        <v>17</v>
      </c>
      <c r="F5863" s="9">
        <v>46073.0</v>
      </c>
      <c r="G5863" s="8" t="s">
        <v>805</v>
      </c>
      <c r="H5863" s="8" t="s">
        <v>806</v>
      </c>
      <c r="I5863" s="8" t="s">
        <v>17672</v>
      </c>
      <c r="J5863" s="8" t="s">
        <v>17673</v>
      </c>
    </row>
    <row r="5864">
      <c r="A5864" s="7">
        <v>2.0038472E7</v>
      </c>
      <c r="B5864" s="8" t="s">
        <v>14</v>
      </c>
      <c r="C5864" s="8" t="s">
        <v>17674</v>
      </c>
      <c r="D5864" s="8" t="s">
        <v>16</v>
      </c>
      <c r="E5864" s="8" t="s">
        <v>17</v>
      </c>
      <c r="F5864" s="9">
        <v>46075.0</v>
      </c>
      <c r="G5864" s="8" t="s">
        <v>3709</v>
      </c>
      <c r="H5864" s="8" t="s">
        <v>3710</v>
      </c>
      <c r="I5864" s="8" t="s">
        <v>17675</v>
      </c>
      <c r="J5864" s="8" t="s">
        <v>17676</v>
      </c>
    </row>
    <row r="5865">
      <c r="A5865" s="7">
        <v>2.0038472E7</v>
      </c>
      <c r="B5865" s="8" t="s">
        <v>14</v>
      </c>
      <c r="C5865" s="8" t="s">
        <v>17674</v>
      </c>
      <c r="D5865" s="8" t="s">
        <v>16</v>
      </c>
      <c r="E5865" s="8" t="s">
        <v>17</v>
      </c>
      <c r="F5865" s="9">
        <v>46075.0</v>
      </c>
      <c r="G5865" s="8" t="s">
        <v>207</v>
      </c>
      <c r="H5865" s="8" t="s">
        <v>208</v>
      </c>
      <c r="I5865" s="8" t="s">
        <v>17677</v>
      </c>
      <c r="J5865" s="8" t="s">
        <v>17678</v>
      </c>
    </row>
    <row r="5866">
      <c r="A5866" s="7">
        <v>2.003775E7</v>
      </c>
      <c r="B5866" s="8" t="s">
        <v>14</v>
      </c>
      <c r="C5866" s="8" t="s">
        <v>17679</v>
      </c>
      <c r="D5866" s="8" t="s">
        <v>16</v>
      </c>
      <c r="E5866" s="8" t="s">
        <v>17</v>
      </c>
      <c r="F5866" s="9">
        <v>46062.0</v>
      </c>
      <c r="G5866" s="8" t="s">
        <v>29</v>
      </c>
      <c r="H5866" s="8" t="s">
        <v>30</v>
      </c>
      <c r="I5866" s="8" t="s">
        <v>17680</v>
      </c>
      <c r="J5866" s="8" t="s">
        <v>17681</v>
      </c>
    </row>
    <row r="5867">
      <c r="A5867" s="7">
        <v>2.0066038E7</v>
      </c>
      <c r="B5867" s="8" t="s">
        <v>14</v>
      </c>
      <c r="C5867" s="8" t="s">
        <v>17682</v>
      </c>
      <c r="D5867" s="8" t="s">
        <v>16</v>
      </c>
      <c r="E5867" s="8" t="s">
        <v>17</v>
      </c>
      <c r="F5867" s="9">
        <v>46189.0</v>
      </c>
      <c r="G5867" s="8" t="s">
        <v>34</v>
      </c>
      <c r="H5867" s="8" t="s">
        <v>35</v>
      </c>
      <c r="I5867" s="8" t="s">
        <v>17683</v>
      </c>
      <c r="J5867" s="8" t="s">
        <v>17684</v>
      </c>
    </row>
    <row r="5868">
      <c r="A5868" s="7">
        <v>2.0066038E7</v>
      </c>
      <c r="B5868" s="8" t="s">
        <v>14</v>
      </c>
      <c r="C5868" s="8" t="s">
        <v>17682</v>
      </c>
      <c r="D5868" s="8" t="s">
        <v>16</v>
      </c>
      <c r="E5868" s="8" t="s">
        <v>17</v>
      </c>
      <c r="F5868" s="9">
        <v>46189.0</v>
      </c>
      <c r="G5868" s="8" t="s">
        <v>6038</v>
      </c>
      <c r="H5868" s="8" t="s">
        <v>6039</v>
      </c>
      <c r="I5868" s="8" t="s">
        <v>17685</v>
      </c>
      <c r="J5868" s="8" t="s">
        <v>17686</v>
      </c>
    </row>
    <row r="5869">
      <c r="A5869" s="7">
        <v>2.0063883E7</v>
      </c>
      <c r="B5869" s="8" t="s">
        <v>14</v>
      </c>
      <c r="C5869" s="8" t="s">
        <v>17687</v>
      </c>
      <c r="D5869" s="8" t="s">
        <v>16</v>
      </c>
      <c r="E5869" s="8" t="s">
        <v>17</v>
      </c>
      <c r="F5869" s="9">
        <v>46186.0</v>
      </c>
      <c r="G5869" s="8" t="s">
        <v>5030</v>
      </c>
      <c r="H5869" s="8" t="s">
        <v>10431</v>
      </c>
      <c r="I5869" s="8" t="s">
        <v>17688</v>
      </c>
      <c r="J5869" s="8" t="s">
        <v>17689</v>
      </c>
    </row>
    <row r="5870">
      <c r="A5870" s="7">
        <v>2.0068411E7</v>
      </c>
      <c r="B5870" s="8" t="s">
        <v>14</v>
      </c>
      <c r="C5870" s="8" t="s">
        <v>17690</v>
      </c>
      <c r="D5870" s="8" t="s">
        <v>16</v>
      </c>
      <c r="E5870" s="8" t="s">
        <v>17</v>
      </c>
      <c r="F5870" s="9">
        <v>46178.0</v>
      </c>
      <c r="G5870" s="8" t="s">
        <v>59</v>
      </c>
      <c r="H5870" s="8" t="s">
        <v>60</v>
      </c>
      <c r="I5870" s="8" t="s">
        <v>17691</v>
      </c>
      <c r="J5870" s="8" t="s">
        <v>17692</v>
      </c>
    </row>
    <row r="5871">
      <c r="A5871" s="7">
        <v>2.0061078E7</v>
      </c>
      <c r="B5871" s="8" t="s">
        <v>14</v>
      </c>
      <c r="C5871" s="8" t="s">
        <v>17693</v>
      </c>
      <c r="D5871" s="8" t="s">
        <v>16</v>
      </c>
      <c r="E5871" s="8" t="s">
        <v>17</v>
      </c>
      <c r="F5871" s="9">
        <v>46158.0</v>
      </c>
      <c r="G5871" s="8" t="s">
        <v>195</v>
      </c>
      <c r="H5871" s="8" t="s">
        <v>196</v>
      </c>
      <c r="I5871" s="8" t="s">
        <v>17694</v>
      </c>
      <c r="J5871" s="8" t="s">
        <v>17695</v>
      </c>
    </row>
    <row r="5872">
      <c r="A5872" s="7">
        <v>2.0061938E7</v>
      </c>
      <c r="B5872" s="8" t="s">
        <v>14</v>
      </c>
      <c r="C5872" s="8" t="s">
        <v>17696</v>
      </c>
      <c r="D5872" s="8" t="s">
        <v>16</v>
      </c>
      <c r="E5872" s="8" t="s">
        <v>17</v>
      </c>
      <c r="F5872" s="9">
        <v>46158.0</v>
      </c>
      <c r="G5872" s="8" t="s">
        <v>59</v>
      </c>
      <c r="H5872" s="8" t="s">
        <v>60</v>
      </c>
      <c r="I5872" s="8" t="s">
        <v>17697</v>
      </c>
      <c r="J5872" s="8" t="s">
        <v>17698</v>
      </c>
    </row>
    <row r="5873">
      <c r="A5873" s="7">
        <v>2.0055756E7</v>
      </c>
      <c r="B5873" s="8" t="s">
        <v>14</v>
      </c>
      <c r="C5873" s="8" t="s">
        <v>17699</v>
      </c>
      <c r="D5873" s="8" t="s">
        <v>16</v>
      </c>
      <c r="E5873" s="8" t="s">
        <v>17</v>
      </c>
      <c r="F5873" s="9">
        <v>46143.0</v>
      </c>
      <c r="G5873" s="8" t="s">
        <v>791</v>
      </c>
      <c r="H5873" s="8" t="s">
        <v>792</v>
      </c>
      <c r="I5873" s="8" t="s">
        <v>17700</v>
      </c>
      <c r="J5873" s="8"/>
    </row>
    <row r="5874">
      <c r="A5874" s="7">
        <v>2.0053709E7</v>
      </c>
      <c r="B5874" s="8" t="s">
        <v>14</v>
      </c>
      <c r="C5874" s="8" t="s">
        <v>17701</v>
      </c>
      <c r="D5874" s="8" t="s">
        <v>16</v>
      </c>
      <c r="E5874" s="8" t="s">
        <v>17</v>
      </c>
      <c r="F5874" s="9">
        <v>46118.0</v>
      </c>
      <c r="G5874" s="8" t="s">
        <v>1911</v>
      </c>
      <c r="H5874" s="8" t="s">
        <v>1912</v>
      </c>
      <c r="I5874" s="8" t="s">
        <v>17702</v>
      </c>
      <c r="J5874" s="8" t="s">
        <v>17703</v>
      </c>
    </row>
    <row r="5875">
      <c r="A5875" s="7">
        <v>2.0049728E7</v>
      </c>
      <c r="B5875" s="8" t="s">
        <v>14</v>
      </c>
      <c r="C5875" s="8" t="s">
        <v>17704</v>
      </c>
      <c r="D5875" s="8" t="s">
        <v>16</v>
      </c>
      <c r="E5875" s="8" t="s">
        <v>17</v>
      </c>
      <c r="F5875" s="9">
        <v>46108.0</v>
      </c>
      <c r="G5875" s="8" t="s">
        <v>153</v>
      </c>
      <c r="H5875" s="8" t="s">
        <v>154</v>
      </c>
      <c r="I5875" s="8" t="s">
        <v>17705</v>
      </c>
      <c r="J5875" s="8" t="s">
        <v>17706</v>
      </c>
    </row>
    <row r="5876">
      <c r="A5876" s="7">
        <v>2.0050692E7</v>
      </c>
      <c r="B5876" s="8" t="s">
        <v>14</v>
      </c>
      <c r="C5876" s="8" t="s">
        <v>17707</v>
      </c>
      <c r="D5876" s="8" t="s">
        <v>2136</v>
      </c>
      <c r="E5876" s="8" t="s">
        <v>17</v>
      </c>
      <c r="F5876" s="9">
        <v>46103.0</v>
      </c>
      <c r="G5876" s="8" t="s">
        <v>195</v>
      </c>
      <c r="H5876" s="8" t="s">
        <v>196</v>
      </c>
      <c r="I5876" s="8" t="s">
        <v>17708</v>
      </c>
      <c r="J5876" s="8" t="s">
        <v>17709</v>
      </c>
    </row>
    <row r="5877">
      <c r="A5877" s="7">
        <v>2.0043158E7</v>
      </c>
      <c r="B5877" s="8" t="s">
        <v>14</v>
      </c>
      <c r="C5877" s="8" t="s">
        <v>17710</v>
      </c>
      <c r="D5877" s="8" t="s">
        <v>2136</v>
      </c>
      <c r="E5877" s="8" t="s">
        <v>17</v>
      </c>
      <c r="F5877" s="9">
        <v>46071.0</v>
      </c>
      <c r="G5877" s="8" t="s">
        <v>2294</v>
      </c>
      <c r="H5877" s="8" t="s">
        <v>2295</v>
      </c>
      <c r="I5877" s="8" t="s">
        <v>17711</v>
      </c>
      <c r="J5877" s="8" t="s">
        <v>17712</v>
      </c>
    </row>
    <row r="5878">
      <c r="A5878" s="7">
        <v>2.0035398E7</v>
      </c>
      <c r="B5878" s="8" t="s">
        <v>14</v>
      </c>
      <c r="C5878" s="8" t="s">
        <v>17713</v>
      </c>
      <c r="D5878" s="8" t="s">
        <v>16</v>
      </c>
      <c r="E5878" s="8" t="s">
        <v>17</v>
      </c>
      <c r="F5878" s="9">
        <v>46061.0</v>
      </c>
      <c r="G5878" s="8" t="s">
        <v>2339</v>
      </c>
      <c r="H5878" s="8" t="s">
        <v>2340</v>
      </c>
      <c r="I5878" s="8" t="s">
        <v>17714</v>
      </c>
      <c r="J5878" s="8" t="s">
        <v>17715</v>
      </c>
    </row>
    <row r="5879">
      <c r="A5879" s="7">
        <v>2.0072207E7</v>
      </c>
      <c r="B5879" s="8" t="s">
        <v>14</v>
      </c>
      <c r="C5879" s="8" t="s">
        <v>17716</v>
      </c>
      <c r="D5879" s="8" t="s">
        <v>2136</v>
      </c>
      <c r="E5879" s="8" t="s">
        <v>17</v>
      </c>
      <c r="F5879" s="9">
        <v>46190.0</v>
      </c>
      <c r="G5879" s="8" t="s">
        <v>805</v>
      </c>
      <c r="H5879" s="8" t="s">
        <v>806</v>
      </c>
      <c r="I5879" s="8" t="s">
        <v>17717</v>
      </c>
      <c r="J5879" s="8" t="s">
        <v>17718</v>
      </c>
    </row>
    <row r="5880">
      <c r="A5880" s="7">
        <v>2.0066599E7</v>
      </c>
      <c r="B5880" s="8" t="s">
        <v>14</v>
      </c>
      <c r="C5880" s="8" t="s">
        <v>17719</v>
      </c>
      <c r="D5880" s="8" t="s">
        <v>16</v>
      </c>
      <c r="E5880" s="8" t="s">
        <v>17</v>
      </c>
      <c r="F5880" s="9">
        <v>46169.0</v>
      </c>
      <c r="G5880" s="8" t="s">
        <v>220</v>
      </c>
      <c r="H5880" s="8" t="s">
        <v>221</v>
      </c>
      <c r="I5880" s="8" t="s">
        <v>17720</v>
      </c>
      <c r="J5880" s="8" t="s">
        <v>17721</v>
      </c>
    </row>
    <row r="5881">
      <c r="A5881" s="7">
        <v>2.0062481E7</v>
      </c>
      <c r="B5881" s="8" t="s">
        <v>14</v>
      </c>
      <c r="C5881" s="8" t="s">
        <v>17722</v>
      </c>
      <c r="D5881" s="8" t="s">
        <v>2136</v>
      </c>
      <c r="E5881" s="8" t="s">
        <v>17</v>
      </c>
      <c r="F5881" s="9">
        <v>46150.0</v>
      </c>
      <c r="G5881" s="8" t="s">
        <v>59</v>
      </c>
      <c r="H5881" s="8" t="s">
        <v>60</v>
      </c>
      <c r="I5881" s="8" t="s">
        <v>17723</v>
      </c>
      <c r="J5881" s="8" t="s">
        <v>17724</v>
      </c>
    </row>
    <row r="5882">
      <c r="A5882" s="7">
        <v>2.0060505E7</v>
      </c>
      <c r="B5882" s="8" t="s">
        <v>14</v>
      </c>
      <c r="C5882" s="8" t="s">
        <v>17725</v>
      </c>
      <c r="D5882" s="8" t="s">
        <v>16</v>
      </c>
      <c r="E5882" s="8" t="s">
        <v>17</v>
      </c>
      <c r="F5882" s="9">
        <v>46177.0</v>
      </c>
      <c r="G5882" s="8" t="s">
        <v>17726</v>
      </c>
      <c r="H5882" s="8" t="s">
        <v>2622</v>
      </c>
      <c r="I5882" s="8" t="s">
        <v>17727</v>
      </c>
      <c r="J5882" s="8" t="s">
        <v>17728</v>
      </c>
    </row>
    <row r="5883">
      <c r="A5883" s="7">
        <v>2.0059395E7</v>
      </c>
      <c r="B5883" s="8" t="s">
        <v>14</v>
      </c>
      <c r="C5883" s="8" t="s">
        <v>17729</v>
      </c>
      <c r="D5883" s="8" t="s">
        <v>16</v>
      </c>
      <c r="E5883" s="8" t="s">
        <v>17</v>
      </c>
      <c r="F5883" s="9">
        <v>46154.0</v>
      </c>
      <c r="G5883" s="8" t="s">
        <v>247</v>
      </c>
      <c r="H5883" s="8" t="s">
        <v>248</v>
      </c>
      <c r="I5883" s="8" t="s">
        <v>17730</v>
      </c>
      <c r="J5883" s="8" t="s">
        <v>17731</v>
      </c>
    </row>
    <row r="5884">
      <c r="A5884" s="7">
        <v>2.0054114E7</v>
      </c>
      <c r="B5884" s="8" t="s">
        <v>14</v>
      </c>
      <c r="C5884" s="8" t="s">
        <v>17732</v>
      </c>
      <c r="D5884" s="8" t="s">
        <v>16</v>
      </c>
      <c r="E5884" s="8" t="s">
        <v>17</v>
      </c>
      <c r="F5884" s="9">
        <v>46116.0</v>
      </c>
      <c r="G5884" s="8" t="s">
        <v>247</v>
      </c>
      <c r="H5884" s="8" t="s">
        <v>248</v>
      </c>
      <c r="I5884" s="8" t="s">
        <v>17733</v>
      </c>
      <c r="J5884" s="8" t="s">
        <v>17734</v>
      </c>
    </row>
    <row r="5885">
      <c r="A5885" s="7">
        <v>2.0043282E7</v>
      </c>
      <c r="B5885" s="8" t="s">
        <v>14</v>
      </c>
      <c r="C5885" s="8" t="s">
        <v>17735</v>
      </c>
      <c r="D5885" s="8" t="s">
        <v>16</v>
      </c>
      <c r="E5885" s="8" t="s">
        <v>17</v>
      </c>
      <c r="F5885" s="9">
        <v>46090.0</v>
      </c>
      <c r="G5885" s="8" t="s">
        <v>978</v>
      </c>
      <c r="H5885" s="8" t="s">
        <v>979</v>
      </c>
      <c r="I5885" s="8" t="s">
        <v>17736</v>
      </c>
      <c r="J5885" s="8" t="s">
        <v>17737</v>
      </c>
    </row>
    <row r="5886">
      <c r="A5886" s="7">
        <v>2.0040103E7</v>
      </c>
      <c r="B5886" s="8" t="s">
        <v>14</v>
      </c>
      <c r="C5886" s="8" t="s">
        <v>17738</v>
      </c>
      <c r="D5886" s="8" t="s">
        <v>16</v>
      </c>
      <c r="E5886" s="8" t="s">
        <v>17</v>
      </c>
      <c r="F5886" s="9">
        <v>46083.0</v>
      </c>
      <c r="G5886" s="8" t="s">
        <v>1045</v>
      </c>
      <c r="H5886" s="8" t="s">
        <v>909</v>
      </c>
      <c r="I5886" s="8" t="s">
        <v>17739</v>
      </c>
      <c r="J5886" s="8" t="s">
        <v>17740</v>
      </c>
    </row>
    <row r="5887">
      <c r="A5887" s="7">
        <v>2.0040809E7</v>
      </c>
      <c r="B5887" s="8" t="s">
        <v>14</v>
      </c>
      <c r="C5887" s="8" t="s">
        <v>17741</v>
      </c>
      <c r="D5887" s="8" t="s">
        <v>16</v>
      </c>
      <c r="E5887" s="8" t="s">
        <v>17</v>
      </c>
      <c r="F5887" s="9">
        <v>46067.0</v>
      </c>
      <c r="G5887" s="8" t="s">
        <v>385</v>
      </c>
      <c r="H5887" s="8" t="s">
        <v>386</v>
      </c>
      <c r="I5887" s="8" t="s">
        <v>17742</v>
      </c>
      <c r="J5887" s="8" t="s">
        <v>17743</v>
      </c>
    </row>
    <row r="5888">
      <c r="A5888" s="7">
        <v>2.0039018E7</v>
      </c>
      <c r="B5888" s="8" t="s">
        <v>14</v>
      </c>
      <c r="C5888" s="8" t="s">
        <v>17744</v>
      </c>
      <c r="D5888" s="8" t="s">
        <v>16</v>
      </c>
      <c r="E5888" s="8" t="s">
        <v>17</v>
      </c>
      <c r="F5888" s="9">
        <v>46060.0</v>
      </c>
      <c r="G5888" s="8" t="s">
        <v>400</v>
      </c>
      <c r="H5888" s="8" t="s">
        <v>401</v>
      </c>
      <c r="I5888" s="8" t="s">
        <v>17745</v>
      </c>
      <c r="J5888" s="8" t="s">
        <v>17746</v>
      </c>
    </row>
    <row r="5889">
      <c r="A5889" s="7">
        <v>2.0034311E7</v>
      </c>
      <c r="B5889" s="8" t="s">
        <v>14</v>
      </c>
      <c r="C5889" s="8" t="s">
        <v>17747</v>
      </c>
      <c r="D5889" s="8" t="s">
        <v>16</v>
      </c>
      <c r="E5889" s="8" t="s">
        <v>17</v>
      </c>
      <c r="F5889" s="9">
        <v>46047.0</v>
      </c>
      <c r="G5889" s="8" t="s">
        <v>1461</v>
      </c>
      <c r="H5889" s="8" t="s">
        <v>1462</v>
      </c>
      <c r="I5889" s="8" t="s">
        <v>17748</v>
      </c>
      <c r="J5889" s="8" t="s">
        <v>17749</v>
      </c>
    </row>
    <row r="5890">
      <c r="A5890" s="7">
        <v>2.0055393E7</v>
      </c>
      <c r="B5890" s="8" t="s">
        <v>14</v>
      </c>
      <c r="C5890" s="8" t="s">
        <v>17750</v>
      </c>
      <c r="D5890" s="8" t="s">
        <v>16</v>
      </c>
      <c r="E5890" s="8" t="s">
        <v>17</v>
      </c>
      <c r="F5890" s="9">
        <v>46121.0</v>
      </c>
      <c r="G5890" s="8" t="s">
        <v>59</v>
      </c>
      <c r="H5890" s="8" t="s">
        <v>60</v>
      </c>
      <c r="I5890" s="8" t="s">
        <v>17751</v>
      </c>
      <c r="J5890" s="8" t="s">
        <v>17752</v>
      </c>
    </row>
    <row r="5891">
      <c r="A5891" s="7">
        <v>2.0051492E7</v>
      </c>
      <c r="B5891" s="8" t="s">
        <v>14</v>
      </c>
      <c r="C5891" s="8" t="s">
        <v>17753</v>
      </c>
      <c r="D5891" s="8" t="s">
        <v>16</v>
      </c>
      <c r="E5891" s="8" t="s">
        <v>17</v>
      </c>
      <c r="F5891" s="9">
        <v>46108.0</v>
      </c>
      <c r="G5891" s="8" t="s">
        <v>1093</v>
      </c>
      <c r="H5891" s="8" t="s">
        <v>1094</v>
      </c>
      <c r="I5891" s="8" t="s">
        <v>17754</v>
      </c>
      <c r="J5891" s="8" t="s">
        <v>17755</v>
      </c>
    </row>
    <row r="5892">
      <c r="A5892" s="7">
        <v>2.0050136E7</v>
      </c>
      <c r="B5892" s="8" t="s">
        <v>14</v>
      </c>
      <c r="C5892" s="8" t="s">
        <v>17756</v>
      </c>
      <c r="D5892" s="8" t="s">
        <v>16</v>
      </c>
      <c r="E5892" s="8" t="s">
        <v>17</v>
      </c>
      <c r="F5892" s="9">
        <v>46108.0</v>
      </c>
      <c r="G5892" s="8" t="s">
        <v>908</v>
      </c>
      <c r="H5892" s="8" t="s">
        <v>909</v>
      </c>
      <c r="I5892" s="8" t="s">
        <v>17757</v>
      </c>
      <c r="J5892" s="8" t="s">
        <v>17758</v>
      </c>
    </row>
    <row r="5893">
      <c r="A5893" s="7">
        <v>2.0047464E7</v>
      </c>
      <c r="B5893" s="8" t="s">
        <v>14</v>
      </c>
      <c r="C5893" s="8" t="s">
        <v>17759</v>
      </c>
      <c r="D5893" s="8" t="s">
        <v>16</v>
      </c>
      <c r="E5893" s="8" t="s">
        <v>17</v>
      </c>
      <c r="F5893" s="9">
        <v>46110.0</v>
      </c>
      <c r="G5893" s="8" t="s">
        <v>17760</v>
      </c>
      <c r="H5893" s="8" t="s">
        <v>17761</v>
      </c>
      <c r="I5893" s="8" t="s">
        <v>17762</v>
      </c>
      <c r="J5893" s="8" t="s">
        <v>17763</v>
      </c>
    </row>
    <row r="5894">
      <c r="A5894" s="7">
        <v>2.0047464E7</v>
      </c>
      <c r="B5894" s="8" t="s">
        <v>14</v>
      </c>
      <c r="C5894" s="8" t="s">
        <v>17759</v>
      </c>
      <c r="D5894" s="8" t="s">
        <v>16</v>
      </c>
      <c r="E5894" s="8" t="s">
        <v>17</v>
      </c>
      <c r="F5894" s="9">
        <v>46110.0</v>
      </c>
      <c r="G5894" s="8" t="s">
        <v>247</v>
      </c>
      <c r="H5894" s="8" t="s">
        <v>248</v>
      </c>
      <c r="I5894" s="8" t="s">
        <v>17764</v>
      </c>
      <c r="J5894" s="8" t="s">
        <v>17765</v>
      </c>
    </row>
    <row r="5895">
      <c r="A5895" s="7">
        <v>2.0046103E7</v>
      </c>
      <c r="B5895" s="8" t="s">
        <v>14</v>
      </c>
      <c r="C5895" s="8" t="s">
        <v>17766</v>
      </c>
      <c r="D5895" s="8" t="s">
        <v>16</v>
      </c>
      <c r="E5895" s="8" t="s">
        <v>17</v>
      </c>
      <c r="F5895" s="9">
        <v>46083.0</v>
      </c>
      <c r="G5895" s="8" t="s">
        <v>234</v>
      </c>
      <c r="H5895" s="8" t="s">
        <v>235</v>
      </c>
      <c r="I5895" s="8" t="s">
        <v>17767</v>
      </c>
      <c r="J5895" s="8" t="s">
        <v>17768</v>
      </c>
    </row>
    <row r="5896">
      <c r="A5896" s="7">
        <v>2.0043563E7</v>
      </c>
      <c r="B5896" s="8" t="s">
        <v>14</v>
      </c>
      <c r="C5896" s="8" t="s">
        <v>17769</v>
      </c>
      <c r="D5896" s="8" t="s">
        <v>16</v>
      </c>
      <c r="E5896" s="8" t="s">
        <v>69</v>
      </c>
      <c r="F5896" s="9">
        <v>46079.0</v>
      </c>
      <c r="G5896" s="8" t="s">
        <v>1949</v>
      </c>
      <c r="H5896" s="8" t="s">
        <v>1950</v>
      </c>
      <c r="I5896" s="8" t="s">
        <v>17770</v>
      </c>
      <c r="J5896" s="8" t="s">
        <v>17771</v>
      </c>
    </row>
    <row r="5897">
      <c r="A5897" s="7">
        <v>2.0043563E7</v>
      </c>
      <c r="B5897" s="8" t="s">
        <v>14</v>
      </c>
      <c r="C5897" s="8" t="s">
        <v>17772</v>
      </c>
      <c r="D5897" s="8" t="s">
        <v>16</v>
      </c>
      <c r="E5897" s="8" t="s">
        <v>17</v>
      </c>
      <c r="F5897" s="9">
        <v>46088.0</v>
      </c>
      <c r="G5897" s="8" t="s">
        <v>1949</v>
      </c>
      <c r="H5897" s="8" t="s">
        <v>1950</v>
      </c>
      <c r="I5897" s="8"/>
      <c r="J5897" s="8" t="s">
        <v>17771</v>
      </c>
    </row>
    <row r="5898">
      <c r="A5898" s="7">
        <v>2.0039892E7</v>
      </c>
      <c r="B5898" s="8" t="s">
        <v>14</v>
      </c>
      <c r="C5898" s="8" t="s">
        <v>17773</v>
      </c>
      <c r="D5898" s="8" t="s">
        <v>16</v>
      </c>
      <c r="E5898" s="8" t="s">
        <v>17</v>
      </c>
      <c r="F5898" s="9">
        <v>46064.0</v>
      </c>
      <c r="G5898" s="8" t="s">
        <v>220</v>
      </c>
      <c r="H5898" s="8" t="s">
        <v>221</v>
      </c>
      <c r="I5898" s="8" t="s">
        <v>17774</v>
      </c>
      <c r="J5898" s="8" t="s">
        <v>17775</v>
      </c>
    </row>
    <row r="5899">
      <c r="A5899" s="7">
        <v>2.0037629E7</v>
      </c>
      <c r="B5899" s="8" t="s">
        <v>14</v>
      </c>
      <c r="C5899" s="8" t="s">
        <v>17776</v>
      </c>
      <c r="D5899" s="8" t="s">
        <v>16</v>
      </c>
      <c r="E5899" s="8" t="s">
        <v>17</v>
      </c>
      <c r="F5899" s="9">
        <v>46075.0</v>
      </c>
      <c r="G5899" s="8" t="s">
        <v>908</v>
      </c>
      <c r="H5899" s="8" t="s">
        <v>909</v>
      </c>
      <c r="I5899" s="8" t="s">
        <v>17777</v>
      </c>
      <c r="J5899" s="8" t="s">
        <v>17778</v>
      </c>
    </row>
    <row r="5900">
      <c r="A5900" s="7">
        <v>2.0039371E7</v>
      </c>
      <c r="B5900" s="8" t="s">
        <v>14</v>
      </c>
      <c r="C5900" s="8" t="s">
        <v>17779</v>
      </c>
      <c r="D5900" s="8" t="s">
        <v>16</v>
      </c>
      <c r="E5900" s="8" t="s">
        <v>17</v>
      </c>
      <c r="F5900" s="9">
        <v>46074.0</v>
      </c>
      <c r="G5900" s="8" t="s">
        <v>1355</v>
      </c>
      <c r="H5900" s="8" t="s">
        <v>1356</v>
      </c>
      <c r="I5900" s="8" t="s">
        <v>17780</v>
      </c>
      <c r="J5900" s="8" t="s">
        <v>17781</v>
      </c>
    </row>
    <row r="5901">
      <c r="A5901" s="7">
        <v>2.0035017E7</v>
      </c>
      <c r="B5901" s="8" t="s">
        <v>14</v>
      </c>
      <c r="C5901" s="8" t="s">
        <v>17782</v>
      </c>
      <c r="D5901" s="8" t="s">
        <v>16</v>
      </c>
      <c r="E5901" s="8" t="s">
        <v>17</v>
      </c>
      <c r="F5901" s="9">
        <v>46066.0</v>
      </c>
      <c r="G5901" s="8" t="s">
        <v>54</v>
      </c>
      <c r="H5901" s="8" t="s">
        <v>55</v>
      </c>
      <c r="I5901" s="8" t="s">
        <v>17783</v>
      </c>
      <c r="J5901" s="8" t="s">
        <v>17784</v>
      </c>
    </row>
    <row r="5902">
      <c r="A5902" s="7">
        <v>2.0037358E7</v>
      </c>
      <c r="B5902" s="8" t="s">
        <v>14</v>
      </c>
      <c r="C5902" s="8" t="s">
        <v>17785</v>
      </c>
      <c r="D5902" s="8" t="s">
        <v>16</v>
      </c>
      <c r="E5902" s="8" t="s">
        <v>17</v>
      </c>
      <c r="F5902" s="9">
        <v>46046.0</v>
      </c>
      <c r="G5902" s="8" t="s">
        <v>339</v>
      </c>
      <c r="H5902" s="8" t="s">
        <v>340</v>
      </c>
      <c r="I5902" s="8" t="s">
        <v>17786</v>
      </c>
      <c r="J5902" s="8" t="s">
        <v>17787</v>
      </c>
    </row>
    <row r="5903">
      <c r="A5903" s="7">
        <v>2.007083E7</v>
      </c>
      <c r="B5903" s="8" t="s">
        <v>14</v>
      </c>
      <c r="C5903" s="8" t="s">
        <v>17788</v>
      </c>
      <c r="D5903" s="8" t="s">
        <v>2136</v>
      </c>
      <c r="E5903" s="8" t="s">
        <v>17</v>
      </c>
      <c r="F5903" s="9">
        <v>46188.0</v>
      </c>
      <c r="G5903" s="8" t="s">
        <v>59</v>
      </c>
      <c r="H5903" s="8" t="s">
        <v>60</v>
      </c>
      <c r="I5903" s="8" t="s">
        <v>17789</v>
      </c>
      <c r="J5903" s="8" t="s">
        <v>17790</v>
      </c>
    </row>
    <row r="5904">
      <c r="A5904" s="7">
        <v>2.0066362E7</v>
      </c>
      <c r="B5904" s="8" t="s">
        <v>14</v>
      </c>
      <c r="C5904" s="8" t="s">
        <v>17791</v>
      </c>
      <c r="D5904" s="8" t="s">
        <v>16</v>
      </c>
      <c r="E5904" s="8" t="s">
        <v>17</v>
      </c>
      <c r="F5904" s="9">
        <v>46177.0</v>
      </c>
      <c r="G5904" s="8" t="s">
        <v>49</v>
      </c>
      <c r="H5904" s="8" t="s">
        <v>50</v>
      </c>
      <c r="I5904" s="8" t="s">
        <v>17792</v>
      </c>
      <c r="J5904" s="8" t="s">
        <v>17793</v>
      </c>
    </row>
    <row r="5905">
      <c r="A5905" s="7">
        <v>2.0063235E7</v>
      </c>
      <c r="B5905" s="8" t="s">
        <v>14</v>
      </c>
      <c r="C5905" s="8" t="s">
        <v>17794</v>
      </c>
      <c r="D5905" s="8" t="s">
        <v>2136</v>
      </c>
      <c r="E5905" s="8" t="s">
        <v>17</v>
      </c>
      <c r="F5905" s="9">
        <v>46153.0</v>
      </c>
      <c r="G5905" s="8" t="s">
        <v>3992</v>
      </c>
      <c r="H5905" s="8" t="s">
        <v>3993</v>
      </c>
      <c r="I5905" s="8" t="s">
        <v>17795</v>
      </c>
      <c r="J5905" s="8" t="s">
        <v>17796</v>
      </c>
    </row>
    <row r="5906">
      <c r="A5906" s="7">
        <v>2.0062218E7</v>
      </c>
      <c r="B5906" s="8" t="s">
        <v>14</v>
      </c>
      <c r="C5906" s="8" t="s">
        <v>17797</v>
      </c>
      <c r="D5906" s="8" t="s">
        <v>16</v>
      </c>
      <c r="E5906" s="8" t="s">
        <v>48</v>
      </c>
      <c r="F5906" s="9">
        <v>46166.0</v>
      </c>
      <c r="G5906" s="8" t="s">
        <v>17798</v>
      </c>
      <c r="H5906" s="8" t="s">
        <v>17799</v>
      </c>
      <c r="I5906" s="8" t="s">
        <v>17800</v>
      </c>
      <c r="J5906" s="8"/>
    </row>
    <row r="5907">
      <c r="A5907" s="7">
        <v>2.006153E7</v>
      </c>
      <c r="B5907" s="8" t="s">
        <v>14</v>
      </c>
      <c r="C5907" s="8" t="s">
        <v>17801</v>
      </c>
      <c r="D5907" s="8" t="s">
        <v>16</v>
      </c>
      <c r="E5907" s="8" t="s">
        <v>17</v>
      </c>
      <c r="F5907" s="9">
        <v>46186.0</v>
      </c>
      <c r="G5907" s="8" t="s">
        <v>184</v>
      </c>
      <c r="H5907" s="8" t="s">
        <v>185</v>
      </c>
      <c r="I5907" s="8" t="s">
        <v>17802</v>
      </c>
      <c r="J5907" s="8" t="s">
        <v>17803</v>
      </c>
    </row>
    <row r="5908">
      <c r="A5908" s="7">
        <v>2.0057912E7</v>
      </c>
      <c r="B5908" s="8" t="s">
        <v>14</v>
      </c>
      <c r="C5908" s="8" t="s">
        <v>17804</v>
      </c>
      <c r="D5908" s="8" t="s">
        <v>16</v>
      </c>
      <c r="E5908" s="8" t="s">
        <v>17</v>
      </c>
      <c r="F5908" s="9">
        <v>46180.0</v>
      </c>
      <c r="G5908" s="8" t="s">
        <v>361</v>
      </c>
      <c r="H5908" s="8" t="s">
        <v>362</v>
      </c>
      <c r="I5908" s="8" t="s">
        <v>17805</v>
      </c>
      <c r="J5908" s="8" t="s">
        <v>17806</v>
      </c>
    </row>
    <row r="5909">
      <c r="A5909" s="7">
        <v>2.0060008E7</v>
      </c>
      <c r="B5909" s="8" t="s">
        <v>14</v>
      </c>
      <c r="C5909" s="8" t="s">
        <v>17807</v>
      </c>
      <c r="D5909" s="8" t="s">
        <v>16</v>
      </c>
      <c r="E5909" s="8" t="s">
        <v>17</v>
      </c>
      <c r="F5909" s="9">
        <v>46140.0</v>
      </c>
      <c r="G5909" s="8" t="s">
        <v>805</v>
      </c>
      <c r="H5909" s="8" t="s">
        <v>806</v>
      </c>
      <c r="I5909" s="8" t="s">
        <v>17808</v>
      </c>
      <c r="J5909" s="8" t="s">
        <v>17809</v>
      </c>
    </row>
    <row r="5910">
      <c r="A5910" s="7">
        <v>2.0057535E7</v>
      </c>
      <c r="B5910" s="8" t="s">
        <v>14</v>
      </c>
      <c r="C5910" s="8" t="s">
        <v>17810</v>
      </c>
      <c r="D5910" s="8" t="s">
        <v>16</v>
      </c>
      <c r="E5910" s="8" t="s">
        <v>17</v>
      </c>
      <c r="F5910" s="9">
        <v>46132.0</v>
      </c>
      <c r="G5910" s="8" t="s">
        <v>339</v>
      </c>
      <c r="H5910" s="8" t="s">
        <v>340</v>
      </c>
      <c r="I5910" s="8" t="s">
        <v>17811</v>
      </c>
      <c r="J5910" s="8" t="s">
        <v>17812</v>
      </c>
    </row>
    <row r="5911">
      <c r="A5911" s="7">
        <v>2.0056565E7</v>
      </c>
      <c r="B5911" s="8" t="s">
        <v>14</v>
      </c>
      <c r="C5911" s="8" t="s">
        <v>17813</v>
      </c>
      <c r="D5911" s="8" t="s">
        <v>16</v>
      </c>
      <c r="E5911" s="8" t="s">
        <v>17</v>
      </c>
      <c r="F5911" s="9">
        <v>46135.0</v>
      </c>
      <c r="G5911" s="8" t="s">
        <v>17814</v>
      </c>
      <c r="H5911" s="8" t="s">
        <v>17815</v>
      </c>
      <c r="I5911" s="8" t="s">
        <v>17816</v>
      </c>
      <c r="J5911" s="8" t="s">
        <v>17817</v>
      </c>
    </row>
    <row r="5912">
      <c r="A5912" s="7">
        <v>2.0056565E7</v>
      </c>
      <c r="B5912" s="8" t="s">
        <v>14</v>
      </c>
      <c r="C5912" s="8" t="s">
        <v>17813</v>
      </c>
      <c r="D5912" s="8" t="s">
        <v>16</v>
      </c>
      <c r="E5912" s="8" t="s">
        <v>17</v>
      </c>
      <c r="F5912" s="9">
        <v>46135.0</v>
      </c>
      <c r="G5912" s="8" t="s">
        <v>8642</v>
      </c>
      <c r="H5912" s="8" t="s">
        <v>8643</v>
      </c>
      <c r="I5912" s="8" t="s">
        <v>17818</v>
      </c>
      <c r="J5912" s="8" t="s">
        <v>17819</v>
      </c>
    </row>
    <row r="5913">
      <c r="A5913" s="7">
        <v>2.0054404E7</v>
      </c>
      <c r="B5913" s="8" t="s">
        <v>14</v>
      </c>
      <c r="C5913" s="8" t="s">
        <v>17820</v>
      </c>
      <c r="D5913" s="8" t="s">
        <v>16</v>
      </c>
      <c r="E5913" s="8" t="s">
        <v>17</v>
      </c>
      <c r="F5913" s="9">
        <v>46123.0</v>
      </c>
      <c r="G5913" s="8" t="s">
        <v>91</v>
      </c>
      <c r="H5913" s="8" t="s">
        <v>92</v>
      </c>
      <c r="I5913" s="8" t="s">
        <v>17821</v>
      </c>
      <c r="J5913" s="8" t="s">
        <v>17822</v>
      </c>
    </row>
    <row r="5914">
      <c r="A5914" s="7">
        <v>2.0048208E7</v>
      </c>
      <c r="B5914" s="8" t="s">
        <v>14</v>
      </c>
      <c r="C5914" s="8" t="s">
        <v>17823</v>
      </c>
      <c r="D5914" s="8" t="s">
        <v>16</v>
      </c>
      <c r="E5914" s="8" t="s">
        <v>700</v>
      </c>
      <c r="F5914" s="9">
        <v>46117.0</v>
      </c>
      <c r="G5914" s="8" t="s">
        <v>2181</v>
      </c>
      <c r="H5914" s="8" t="s">
        <v>2182</v>
      </c>
      <c r="I5914" s="8" t="s">
        <v>17824</v>
      </c>
      <c r="J5914" s="8" t="s">
        <v>17825</v>
      </c>
    </row>
    <row r="5915">
      <c r="A5915" s="7">
        <v>2.004888E7</v>
      </c>
      <c r="B5915" s="8" t="s">
        <v>14</v>
      </c>
      <c r="C5915" s="8" t="s">
        <v>17826</v>
      </c>
      <c r="D5915" s="8" t="s">
        <v>16</v>
      </c>
      <c r="E5915" s="8" t="s">
        <v>17</v>
      </c>
      <c r="F5915" s="9">
        <v>46092.0</v>
      </c>
      <c r="G5915" s="8" t="s">
        <v>234</v>
      </c>
      <c r="H5915" s="8" t="s">
        <v>235</v>
      </c>
      <c r="I5915" s="8" t="s">
        <v>17827</v>
      </c>
      <c r="J5915" s="8" t="s">
        <v>17828</v>
      </c>
    </row>
    <row r="5916">
      <c r="A5916" s="7">
        <v>2.0046831E7</v>
      </c>
      <c r="B5916" s="8" t="s">
        <v>14</v>
      </c>
      <c r="C5916" s="8" t="s">
        <v>17829</v>
      </c>
      <c r="D5916" s="8" t="s">
        <v>16</v>
      </c>
      <c r="E5916" s="8" t="s">
        <v>17</v>
      </c>
      <c r="F5916" s="9">
        <v>46107.0</v>
      </c>
      <c r="G5916" s="8" t="s">
        <v>314</v>
      </c>
      <c r="H5916" s="8" t="s">
        <v>315</v>
      </c>
      <c r="I5916" s="8" t="s">
        <v>17830</v>
      </c>
      <c r="J5916" s="8" t="s">
        <v>17831</v>
      </c>
    </row>
    <row r="5917">
      <c r="A5917" s="7">
        <v>2.0037599E7</v>
      </c>
      <c r="B5917" s="8" t="s">
        <v>14</v>
      </c>
      <c r="C5917" s="8" t="s">
        <v>17832</v>
      </c>
      <c r="D5917" s="8" t="s">
        <v>16</v>
      </c>
      <c r="E5917" s="8" t="s">
        <v>17</v>
      </c>
      <c r="F5917" s="9">
        <v>46061.0</v>
      </c>
      <c r="G5917" s="8" t="s">
        <v>339</v>
      </c>
      <c r="H5917" s="8" t="s">
        <v>340</v>
      </c>
      <c r="I5917" s="8" t="s">
        <v>17833</v>
      </c>
      <c r="J5917" s="8" t="s">
        <v>17834</v>
      </c>
    </row>
    <row r="5918">
      <c r="A5918" s="7">
        <v>2.0035101E7</v>
      </c>
      <c r="B5918" s="8" t="s">
        <v>14</v>
      </c>
      <c r="C5918" s="8" t="s">
        <v>17835</v>
      </c>
      <c r="D5918" s="8" t="s">
        <v>16</v>
      </c>
      <c r="E5918" s="8" t="s">
        <v>17</v>
      </c>
      <c r="F5918" s="9">
        <v>46050.0</v>
      </c>
      <c r="G5918" s="8" t="s">
        <v>234</v>
      </c>
      <c r="H5918" s="8" t="s">
        <v>235</v>
      </c>
      <c r="I5918" s="8" t="s">
        <v>17836</v>
      </c>
      <c r="J5918" s="8" t="s">
        <v>17837</v>
      </c>
    </row>
    <row r="5919">
      <c r="A5919" s="7">
        <v>2.0034104E7</v>
      </c>
      <c r="B5919" s="8" t="s">
        <v>14</v>
      </c>
      <c r="C5919" s="8" t="s">
        <v>17838</v>
      </c>
      <c r="D5919" s="8" t="s">
        <v>16</v>
      </c>
      <c r="E5919" s="8" t="s">
        <v>17</v>
      </c>
      <c r="F5919" s="9">
        <v>46048.0</v>
      </c>
      <c r="G5919" s="8" t="s">
        <v>1431</v>
      </c>
      <c r="H5919" s="8" t="s">
        <v>1432</v>
      </c>
      <c r="I5919" s="8" t="s">
        <v>17839</v>
      </c>
      <c r="J5919" s="8" t="s">
        <v>17840</v>
      </c>
    </row>
    <row r="5920">
      <c r="A5920" s="7">
        <v>2.0008176E7</v>
      </c>
      <c r="B5920" s="8" t="s">
        <v>14</v>
      </c>
      <c r="C5920" s="8" t="s">
        <v>17841</v>
      </c>
      <c r="D5920" s="8" t="s">
        <v>16</v>
      </c>
      <c r="E5920" s="8" t="s">
        <v>17</v>
      </c>
      <c r="F5920" s="9">
        <v>46179.0</v>
      </c>
      <c r="G5920" s="8" t="s">
        <v>613</v>
      </c>
      <c r="H5920" s="8" t="s">
        <v>614</v>
      </c>
      <c r="I5920" s="8" t="s">
        <v>17842</v>
      </c>
      <c r="J5920" s="8" t="s">
        <v>17843</v>
      </c>
    </row>
    <row r="5921">
      <c r="A5921" s="7">
        <v>2.0062771E7</v>
      </c>
      <c r="B5921" s="8" t="s">
        <v>14</v>
      </c>
      <c r="C5921" s="8" t="s">
        <v>17844</v>
      </c>
      <c r="D5921" s="8" t="s">
        <v>2136</v>
      </c>
      <c r="E5921" s="8" t="s">
        <v>17</v>
      </c>
      <c r="F5921" s="9">
        <v>46151.0</v>
      </c>
      <c r="G5921" s="8" t="s">
        <v>153</v>
      </c>
      <c r="H5921" s="8" t="s">
        <v>154</v>
      </c>
      <c r="I5921" s="8" t="s">
        <v>17845</v>
      </c>
      <c r="J5921" s="8" t="s">
        <v>17846</v>
      </c>
    </row>
    <row r="5922">
      <c r="A5922" s="7">
        <v>2.0061826E7</v>
      </c>
      <c r="B5922" s="8" t="s">
        <v>14</v>
      </c>
      <c r="C5922" s="8" t="s">
        <v>17847</v>
      </c>
      <c r="D5922" s="8" t="s">
        <v>16</v>
      </c>
      <c r="E5922" s="8" t="s">
        <v>17</v>
      </c>
      <c r="F5922" s="9">
        <v>46151.0</v>
      </c>
      <c r="G5922" s="8" t="s">
        <v>234</v>
      </c>
      <c r="H5922" s="8" t="s">
        <v>235</v>
      </c>
      <c r="I5922" s="8" t="s">
        <v>17848</v>
      </c>
      <c r="J5922" s="8" t="s">
        <v>17849</v>
      </c>
    </row>
    <row r="5923">
      <c r="A5923" s="7">
        <v>2.0061826E7</v>
      </c>
      <c r="B5923" s="8" t="s">
        <v>14</v>
      </c>
      <c r="C5923" s="8" t="s">
        <v>17847</v>
      </c>
      <c r="D5923" s="8" t="s">
        <v>16</v>
      </c>
      <c r="E5923" s="8" t="s">
        <v>17</v>
      </c>
      <c r="F5923" s="9">
        <v>46151.0</v>
      </c>
      <c r="G5923" s="8" t="s">
        <v>3255</v>
      </c>
      <c r="H5923" s="8" t="s">
        <v>3256</v>
      </c>
      <c r="I5923" s="8" t="s">
        <v>17850</v>
      </c>
      <c r="J5923" s="8" t="s">
        <v>17851</v>
      </c>
    </row>
    <row r="5924">
      <c r="A5924" s="7">
        <v>2.0060626E7</v>
      </c>
      <c r="B5924" s="8" t="s">
        <v>14</v>
      </c>
      <c r="C5924" s="8" t="s">
        <v>17852</v>
      </c>
      <c r="D5924" s="8" t="s">
        <v>2136</v>
      </c>
      <c r="E5924" s="8" t="s">
        <v>17</v>
      </c>
      <c r="F5924" s="9">
        <v>46143.0</v>
      </c>
      <c r="G5924" s="8" t="s">
        <v>846</v>
      </c>
      <c r="H5924" s="8" t="s">
        <v>847</v>
      </c>
      <c r="I5924" s="8" t="s">
        <v>17853</v>
      </c>
      <c r="J5924" s="8" t="s">
        <v>17854</v>
      </c>
    </row>
    <row r="5925">
      <c r="A5925" s="7">
        <v>2.0057567E7</v>
      </c>
      <c r="B5925" s="8" t="s">
        <v>14</v>
      </c>
      <c r="C5925" s="8" t="s">
        <v>17855</v>
      </c>
      <c r="D5925" s="8" t="s">
        <v>16</v>
      </c>
      <c r="E5925" s="8" t="s">
        <v>17</v>
      </c>
      <c r="F5925" s="9">
        <v>46130.0</v>
      </c>
      <c r="G5925" s="8" t="s">
        <v>846</v>
      </c>
      <c r="H5925" s="8" t="s">
        <v>847</v>
      </c>
      <c r="I5925" s="8" t="s">
        <v>17856</v>
      </c>
      <c r="J5925" s="8" t="s">
        <v>17857</v>
      </c>
    </row>
    <row r="5926">
      <c r="A5926" s="7">
        <v>2.0050603E7</v>
      </c>
      <c r="B5926" s="8" t="s">
        <v>14</v>
      </c>
      <c r="C5926" s="8" t="s">
        <v>17858</v>
      </c>
      <c r="D5926" s="8" t="s">
        <v>16</v>
      </c>
      <c r="E5926" s="8" t="s">
        <v>17</v>
      </c>
      <c r="F5926" s="9">
        <v>46144.0</v>
      </c>
      <c r="G5926" s="8" t="s">
        <v>17859</v>
      </c>
      <c r="H5926" s="8" t="s">
        <v>17860</v>
      </c>
      <c r="I5926" s="8" t="s">
        <v>17861</v>
      </c>
      <c r="J5926" s="8"/>
    </row>
    <row r="5927">
      <c r="A5927" s="7">
        <v>2.0050603E7</v>
      </c>
      <c r="B5927" s="8" t="s">
        <v>14</v>
      </c>
      <c r="C5927" s="8" t="s">
        <v>17858</v>
      </c>
      <c r="D5927" s="8" t="s">
        <v>16</v>
      </c>
      <c r="E5927" s="8" t="s">
        <v>17</v>
      </c>
      <c r="F5927" s="9">
        <v>46144.0</v>
      </c>
      <c r="G5927" s="8" t="s">
        <v>10268</v>
      </c>
      <c r="H5927" s="8" t="s">
        <v>10269</v>
      </c>
      <c r="I5927" s="8" t="s">
        <v>17862</v>
      </c>
      <c r="J5927" s="8" t="s">
        <v>17863</v>
      </c>
    </row>
    <row r="5928">
      <c r="A5928" s="7">
        <v>2.0047554E7</v>
      </c>
      <c r="B5928" s="8" t="s">
        <v>14</v>
      </c>
      <c r="C5928" s="8" t="s">
        <v>17864</v>
      </c>
      <c r="D5928" s="8" t="s">
        <v>16</v>
      </c>
      <c r="E5928" s="8" t="s">
        <v>17</v>
      </c>
      <c r="F5928" s="9">
        <v>46087.0</v>
      </c>
      <c r="G5928" s="8" t="s">
        <v>59</v>
      </c>
      <c r="H5928" s="8" t="s">
        <v>60</v>
      </c>
      <c r="I5928" s="8" t="s">
        <v>17865</v>
      </c>
      <c r="J5928" s="8" t="s">
        <v>17866</v>
      </c>
    </row>
    <row r="5929">
      <c r="A5929" s="7">
        <v>2.0040606E7</v>
      </c>
      <c r="B5929" s="8" t="s">
        <v>14</v>
      </c>
      <c r="C5929" s="8" t="s">
        <v>17867</v>
      </c>
      <c r="D5929" s="8" t="s">
        <v>16</v>
      </c>
      <c r="E5929" s="8" t="s">
        <v>17</v>
      </c>
      <c r="F5929" s="9">
        <v>46065.0</v>
      </c>
      <c r="G5929" s="8" t="s">
        <v>59</v>
      </c>
      <c r="H5929" s="8" t="s">
        <v>60</v>
      </c>
      <c r="I5929" s="8" t="s">
        <v>17868</v>
      </c>
      <c r="J5929" s="8" t="s">
        <v>17869</v>
      </c>
    </row>
    <row r="5930">
      <c r="A5930" s="7">
        <v>2.0038247E7</v>
      </c>
      <c r="B5930" s="8" t="s">
        <v>14</v>
      </c>
      <c r="C5930" s="8" t="s">
        <v>17870</v>
      </c>
      <c r="D5930" s="8" t="s">
        <v>16</v>
      </c>
      <c r="E5930" s="8" t="s">
        <v>17</v>
      </c>
      <c r="F5930" s="9">
        <v>46060.0</v>
      </c>
      <c r="G5930" s="8" t="s">
        <v>826</v>
      </c>
      <c r="H5930" s="8" t="s">
        <v>827</v>
      </c>
      <c r="I5930" s="8" t="s">
        <v>17871</v>
      </c>
      <c r="J5930" s="8" t="s">
        <v>17872</v>
      </c>
    </row>
    <row r="5931">
      <c r="A5931" s="7">
        <v>2.0072245E7</v>
      </c>
      <c r="B5931" s="8" t="s">
        <v>14</v>
      </c>
      <c r="C5931" s="8" t="s">
        <v>17873</v>
      </c>
      <c r="D5931" s="8" t="s">
        <v>2136</v>
      </c>
      <c r="E5931" s="8" t="s">
        <v>17</v>
      </c>
      <c r="F5931" s="9">
        <v>46190.0</v>
      </c>
      <c r="G5931" s="8" t="s">
        <v>339</v>
      </c>
      <c r="H5931" s="8" t="s">
        <v>340</v>
      </c>
      <c r="I5931" s="8" t="s">
        <v>17874</v>
      </c>
      <c r="J5931" s="8" t="s">
        <v>17875</v>
      </c>
    </row>
    <row r="5932">
      <c r="A5932" s="7">
        <v>2.0071676E7</v>
      </c>
      <c r="B5932" s="8" t="s">
        <v>14</v>
      </c>
      <c r="C5932" s="8" t="s">
        <v>17876</v>
      </c>
      <c r="D5932" s="8" t="s">
        <v>2136</v>
      </c>
      <c r="E5932" s="8" t="s">
        <v>17</v>
      </c>
      <c r="F5932" s="9">
        <v>46188.0</v>
      </c>
      <c r="G5932" s="8" t="s">
        <v>247</v>
      </c>
      <c r="H5932" s="8" t="s">
        <v>248</v>
      </c>
      <c r="I5932" s="8" t="s">
        <v>17877</v>
      </c>
      <c r="J5932" s="8" t="s">
        <v>17878</v>
      </c>
    </row>
    <row r="5933">
      <c r="A5933" s="7">
        <v>2.006648E7</v>
      </c>
      <c r="B5933" s="8" t="s">
        <v>14</v>
      </c>
      <c r="C5933" s="8" t="s">
        <v>17879</v>
      </c>
      <c r="D5933" s="8" t="s">
        <v>2136</v>
      </c>
      <c r="E5933" s="8" t="s">
        <v>17</v>
      </c>
      <c r="F5933" s="9">
        <v>46167.0</v>
      </c>
      <c r="G5933" s="8" t="s">
        <v>868</v>
      </c>
      <c r="H5933" s="8" t="s">
        <v>869</v>
      </c>
      <c r="I5933" s="8" t="s">
        <v>17880</v>
      </c>
      <c r="J5933" s="8" t="s">
        <v>17881</v>
      </c>
    </row>
    <row r="5934">
      <c r="A5934" s="7">
        <v>2.0063294E7</v>
      </c>
      <c r="B5934" s="8" t="s">
        <v>14</v>
      </c>
      <c r="C5934" s="8" t="s">
        <v>17882</v>
      </c>
      <c r="D5934" s="8" t="s">
        <v>16</v>
      </c>
      <c r="E5934" s="8" t="s">
        <v>17</v>
      </c>
      <c r="F5934" s="9">
        <v>46160.0</v>
      </c>
      <c r="G5934" s="8" t="s">
        <v>59</v>
      </c>
      <c r="H5934" s="8" t="s">
        <v>60</v>
      </c>
      <c r="I5934" s="8" t="s">
        <v>17883</v>
      </c>
      <c r="J5934" s="8" t="s">
        <v>17884</v>
      </c>
    </row>
    <row r="5935">
      <c r="A5935" s="7">
        <v>2.0056398E7</v>
      </c>
      <c r="B5935" s="8" t="s">
        <v>14</v>
      </c>
      <c r="C5935" s="8" t="s">
        <v>17885</v>
      </c>
      <c r="D5935" s="8" t="s">
        <v>16</v>
      </c>
      <c r="E5935" s="8" t="s">
        <v>17</v>
      </c>
      <c r="F5935" s="9">
        <v>46126.0</v>
      </c>
      <c r="G5935" s="8" t="s">
        <v>247</v>
      </c>
      <c r="H5935" s="8" t="s">
        <v>248</v>
      </c>
      <c r="I5935" s="8" t="s">
        <v>17886</v>
      </c>
      <c r="J5935" s="8" t="s">
        <v>17887</v>
      </c>
    </row>
    <row r="5936">
      <c r="A5936" s="7">
        <v>2.0055493E7</v>
      </c>
      <c r="B5936" s="8" t="s">
        <v>14</v>
      </c>
      <c r="C5936" s="8" t="s">
        <v>17888</v>
      </c>
      <c r="D5936" s="8" t="s">
        <v>16</v>
      </c>
      <c r="E5936" s="8" t="s">
        <v>17</v>
      </c>
      <c r="F5936" s="9">
        <v>46123.0</v>
      </c>
      <c r="G5936" s="8" t="s">
        <v>153</v>
      </c>
      <c r="H5936" s="8" t="s">
        <v>154</v>
      </c>
      <c r="I5936" s="8" t="s">
        <v>17889</v>
      </c>
      <c r="J5936" s="8" t="s">
        <v>17890</v>
      </c>
    </row>
    <row r="5937">
      <c r="A5937" s="7">
        <v>2.0055411E7</v>
      </c>
      <c r="B5937" s="8" t="s">
        <v>14</v>
      </c>
      <c r="C5937" s="8" t="s">
        <v>17891</v>
      </c>
      <c r="D5937" s="8" t="s">
        <v>16</v>
      </c>
      <c r="E5937" s="8" t="s">
        <v>17</v>
      </c>
      <c r="F5937" s="9">
        <v>46122.0</v>
      </c>
      <c r="G5937" s="8" t="s">
        <v>882</v>
      </c>
      <c r="H5937" s="8" t="s">
        <v>883</v>
      </c>
      <c r="I5937" s="8" t="s">
        <v>17892</v>
      </c>
      <c r="J5937" s="8" t="s">
        <v>17893</v>
      </c>
    </row>
    <row r="5938">
      <c r="A5938" s="7">
        <v>2.0053295E7</v>
      </c>
      <c r="B5938" s="8" t="s">
        <v>14</v>
      </c>
      <c r="C5938" s="8" t="s">
        <v>17894</v>
      </c>
      <c r="D5938" s="8" t="s">
        <v>16</v>
      </c>
      <c r="E5938" s="8" t="s">
        <v>17</v>
      </c>
      <c r="F5938" s="9">
        <v>46135.0</v>
      </c>
      <c r="G5938" s="8" t="s">
        <v>303</v>
      </c>
      <c r="H5938" s="8" t="s">
        <v>304</v>
      </c>
      <c r="I5938" s="8" t="s">
        <v>17895</v>
      </c>
      <c r="J5938" s="8" t="s">
        <v>17896</v>
      </c>
    </row>
    <row r="5939">
      <c r="A5939" s="7">
        <v>2.005266E7</v>
      </c>
      <c r="B5939" s="8" t="s">
        <v>14</v>
      </c>
      <c r="C5939" s="8" t="s">
        <v>17897</v>
      </c>
      <c r="D5939" s="8" t="s">
        <v>16</v>
      </c>
      <c r="E5939" s="8" t="s">
        <v>17</v>
      </c>
      <c r="F5939" s="9">
        <v>46112.0</v>
      </c>
      <c r="G5939" s="8" t="s">
        <v>873</v>
      </c>
      <c r="H5939" s="8" t="s">
        <v>874</v>
      </c>
      <c r="I5939" s="8" t="s">
        <v>17898</v>
      </c>
      <c r="J5939" s="8" t="s">
        <v>17899</v>
      </c>
    </row>
    <row r="5940">
      <c r="A5940" s="7">
        <v>2.0051636E7</v>
      </c>
      <c r="B5940" s="8" t="s">
        <v>14</v>
      </c>
      <c r="C5940" s="8" t="s">
        <v>17900</v>
      </c>
      <c r="D5940" s="8" t="s">
        <v>16</v>
      </c>
      <c r="E5940" s="8" t="s">
        <v>17</v>
      </c>
      <c r="F5940" s="9">
        <v>46119.0</v>
      </c>
      <c r="G5940" s="8" t="s">
        <v>49</v>
      </c>
      <c r="H5940" s="8" t="s">
        <v>50</v>
      </c>
      <c r="I5940" s="8" t="s">
        <v>17901</v>
      </c>
      <c r="J5940" s="8" t="s">
        <v>17902</v>
      </c>
    </row>
    <row r="5941">
      <c r="A5941" s="7">
        <v>2.0037475E7</v>
      </c>
      <c r="B5941" s="8" t="s">
        <v>14</v>
      </c>
      <c r="C5941" s="8" t="s">
        <v>17903</v>
      </c>
      <c r="D5941" s="8" t="s">
        <v>16</v>
      </c>
      <c r="E5941" s="8" t="s">
        <v>17</v>
      </c>
      <c r="F5941" s="9">
        <v>46057.0</v>
      </c>
      <c r="G5941" s="8" t="s">
        <v>234</v>
      </c>
      <c r="H5941" s="8" t="s">
        <v>235</v>
      </c>
      <c r="I5941" s="8" t="s">
        <v>17904</v>
      </c>
      <c r="J5941" s="8" t="s">
        <v>17905</v>
      </c>
    </row>
    <row r="5942">
      <c r="A5942" s="7">
        <v>2.0032246E7</v>
      </c>
      <c r="B5942" s="8" t="s">
        <v>14</v>
      </c>
      <c r="C5942" s="8" t="s">
        <v>17906</v>
      </c>
      <c r="D5942" s="8" t="s">
        <v>16</v>
      </c>
      <c r="E5942" s="8" t="s">
        <v>17</v>
      </c>
      <c r="F5942" s="9">
        <v>46050.0</v>
      </c>
      <c r="G5942" s="8" t="s">
        <v>49</v>
      </c>
      <c r="H5942" s="8" t="s">
        <v>50</v>
      </c>
      <c r="I5942" s="8" t="s">
        <v>17907</v>
      </c>
      <c r="J5942" s="8"/>
    </row>
    <row r="5943">
      <c r="A5943" s="7">
        <v>2.0035157E7</v>
      </c>
      <c r="B5943" s="8" t="s">
        <v>14</v>
      </c>
      <c r="C5943" s="8" t="s">
        <v>17908</v>
      </c>
      <c r="D5943" s="8" t="s">
        <v>16</v>
      </c>
      <c r="E5943" s="8" t="s">
        <v>17</v>
      </c>
      <c r="F5943" s="9">
        <v>46038.0</v>
      </c>
      <c r="G5943" s="8" t="s">
        <v>59</v>
      </c>
      <c r="H5943" s="8" t="s">
        <v>60</v>
      </c>
      <c r="I5943" s="8" t="s">
        <v>17909</v>
      </c>
      <c r="J5943" s="8" t="s">
        <v>17910</v>
      </c>
    </row>
    <row r="5944">
      <c r="A5944" s="7">
        <v>2.0069548E7</v>
      </c>
      <c r="B5944" s="8" t="s">
        <v>14</v>
      </c>
      <c r="C5944" s="8" t="s">
        <v>17911</v>
      </c>
      <c r="D5944" s="8" t="s">
        <v>16</v>
      </c>
      <c r="E5944" s="8" t="s">
        <v>17</v>
      </c>
      <c r="F5944" s="9">
        <v>46190.0</v>
      </c>
      <c r="G5944" s="8" t="s">
        <v>109</v>
      </c>
      <c r="H5944" s="8" t="s">
        <v>110</v>
      </c>
      <c r="I5944" s="8" t="s">
        <v>17912</v>
      </c>
      <c r="J5944" s="8" t="s">
        <v>17913</v>
      </c>
    </row>
    <row r="5945">
      <c r="A5945" s="7">
        <v>2.006343E7</v>
      </c>
      <c r="B5945" s="8" t="s">
        <v>14</v>
      </c>
      <c r="C5945" s="8" t="s">
        <v>17914</v>
      </c>
      <c r="D5945" s="8" t="s">
        <v>2136</v>
      </c>
      <c r="E5945" s="8" t="s">
        <v>17</v>
      </c>
      <c r="F5945" s="9">
        <v>46154.0</v>
      </c>
      <c r="G5945" s="8" t="s">
        <v>805</v>
      </c>
      <c r="H5945" s="8" t="s">
        <v>806</v>
      </c>
      <c r="I5945" s="8" t="s">
        <v>17915</v>
      </c>
      <c r="J5945" s="8" t="s">
        <v>17916</v>
      </c>
    </row>
    <row r="5946">
      <c r="A5946" s="7">
        <v>2.005892E7</v>
      </c>
      <c r="B5946" s="8" t="s">
        <v>14</v>
      </c>
      <c r="C5946" s="8" t="s">
        <v>17917</v>
      </c>
      <c r="D5946" s="8" t="s">
        <v>16</v>
      </c>
      <c r="E5946" s="8" t="s">
        <v>17</v>
      </c>
      <c r="F5946" s="9">
        <v>46136.0</v>
      </c>
      <c r="G5946" s="8" t="s">
        <v>247</v>
      </c>
      <c r="H5946" s="8" t="s">
        <v>248</v>
      </c>
      <c r="I5946" s="8" t="s">
        <v>17918</v>
      </c>
      <c r="J5946" s="8" t="s">
        <v>17919</v>
      </c>
    </row>
    <row r="5947">
      <c r="A5947" s="7">
        <v>2.0058113E7</v>
      </c>
      <c r="B5947" s="8" t="s">
        <v>14</v>
      </c>
      <c r="C5947" s="8" t="s">
        <v>17920</v>
      </c>
      <c r="D5947" s="8" t="s">
        <v>16</v>
      </c>
      <c r="E5947" s="8" t="s">
        <v>17</v>
      </c>
      <c r="F5947" s="9">
        <v>46133.0</v>
      </c>
      <c r="G5947" s="8" t="s">
        <v>59</v>
      </c>
      <c r="H5947" s="8" t="s">
        <v>60</v>
      </c>
      <c r="I5947" s="8" t="s">
        <v>17921</v>
      </c>
      <c r="J5947" s="8" t="s">
        <v>17922</v>
      </c>
    </row>
    <row r="5948">
      <c r="A5948" s="7">
        <v>2.0044235E7</v>
      </c>
      <c r="B5948" s="8" t="s">
        <v>14</v>
      </c>
      <c r="C5948" s="8" t="s">
        <v>17923</v>
      </c>
      <c r="D5948" s="8" t="s">
        <v>16</v>
      </c>
      <c r="E5948" s="8" t="s">
        <v>17</v>
      </c>
      <c r="F5948" s="9">
        <v>46085.0</v>
      </c>
      <c r="G5948" s="8" t="s">
        <v>59</v>
      </c>
      <c r="H5948" s="8" t="s">
        <v>60</v>
      </c>
      <c r="I5948" s="8" t="s">
        <v>17924</v>
      </c>
      <c r="J5948" s="8" t="s">
        <v>17925</v>
      </c>
    </row>
    <row r="5949">
      <c r="A5949" s="7">
        <v>2.0042077E7</v>
      </c>
      <c r="B5949" s="8" t="s">
        <v>14</v>
      </c>
      <c r="C5949" s="8" t="s">
        <v>17926</v>
      </c>
      <c r="D5949" s="8" t="s">
        <v>16</v>
      </c>
      <c r="E5949" s="8" t="s">
        <v>17</v>
      </c>
      <c r="F5949" s="9">
        <v>46072.0</v>
      </c>
      <c r="G5949" s="8" t="s">
        <v>6577</v>
      </c>
      <c r="H5949" s="8" t="s">
        <v>6578</v>
      </c>
      <c r="I5949" s="8"/>
      <c r="J5949" s="8" t="s">
        <v>17927</v>
      </c>
    </row>
    <row r="5950">
      <c r="A5950" s="7">
        <v>2.004224E7</v>
      </c>
      <c r="B5950" s="8" t="s">
        <v>14</v>
      </c>
      <c r="C5950" s="8" t="s">
        <v>17928</v>
      </c>
      <c r="D5950" s="8" t="s">
        <v>2136</v>
      </c>
      <c r="E5950" s="8" t="s">
        <v>17</v>
      </c>
      <c r="F5950" s="9">
        <v>46067.0</v>
      </c>
      <c r="G5950" s="8" t="s">
        <v>3207</v>
      </c>
      <c r="H5950" s="8" t="s">
        <v>3208</v>
      </c>
      <c r="I5950" s="8" t="s">
        <v>17929</v>
      </c>
      <c r="J5950" s="8" t="s">
        <v>17930</v>
      </c>
    </row>
    <row r="5951">
      <c r="A5951" s="7">
        <v>2.0040756E7</v>
      </c>
      <c r="B5951" s="8" t="s">
        <v>14</v>
      </c>
      <c r="C5951" s="8" t="s">
        <v>17931</v>
      </c>
      <c r="D5951" s="8" t="s">
        <v>16</v>
      </c>
      <c r="E5951" s="8" t="s">
        <v>17</v>
      </c>
      <c r="F5951" s="9">
        <v>46075.0</v>
      </c>
      <c r="G5951" s="8" t="s">
        <v>247</v>
      </c>
      <c r="H5951" s="8" t="s">
        <v>248</v>
      </c>
      <c r="I5951" s="8" t="s">
        <v>17932</v>
      </c>
      <c r="J5951" s="8" t="s">
        <v>17933</v>
      </c>
    </row>
    <row r="5952">
      <c r="A5952" s="7">
        <v>2.003375E7</v>
      </c>
      <c r="B5952" s="8" t="s">
        <v>14</v>
      </c>
      <c r="C5952" s="8" t="s">
        <v>17934</v>
      </c>
      <c r="D5952" s="8" t="s">
        <v>16</v>
      </c>
      <c r="E5952" s="8" t="s">
        <v>17</v>
      </c>
      <c r="F5952" s="9">
        <v>46097.0</v>
      </c>
      <c r="G5952" s="8" t="s">
        <v>4980</v>
      </c>
      <c r="H5952" s="8" t="s">
        <v>4981</v>
      </c>
      <c r="I5952" s="8" t="s">
        <v>17935</v>
      </c>
      <c r="J5952" s="8" t="s">
        <v>17936</v>
      </c>
    </row>
    <row r="5953">
      <c r="A5953" s="7">
        <v>2.0034459E7</v>
      </c>
      <c r="B5953" s="8" t="s">
        <v>14</v>
      </c>
      <c r="C5953" s="8" t="s">
        <v>17937</v>
      </c>
      <c r="D5953" s="8" t="s">
        <v>16</v>
      </c>
      <c r="E5953" s="8" t="s">
        <v>17</v>
      </c>
      <c r="F5953" s="9">
        <v>46042.0</v>
      </c>
      <c r="G5953" s="8" t="s">
        <v>75</v>
      </c>
      <c r="H5953" s="8" t="s">
        <v>76</v>
      </c>
      <c r="I5953" s="8" t="s">
        <v>17938</v>
      </c>
      <c r="J5953" s="8" t="s">
        <v>17939</v>
      </c>
    </row>
    <row r="5954">
      <c r="A5954" s="7">
        <v>2.0033837E7</v>
      </c>
      <c r="B5954" s="8" t="s">
        <v>14</v>
      </c>
      <c r="C5954" s="8" t="s">
        <v>17940</v>
      </c>
      <c r="D5954" s="8" t="s">
        <v>16</v>
      </c>
      <c r="E5954" s="8" t="s">
        <v>17</v>
      </c>
      <c r="F5954" s="9">
        <v>46042.0</v>
      </c>
      <c r="G5954" s="8" t="s">
        <v>873</v>
      </c>
      <c r="H5954" s="8" t="s">
        <v>874</v>
      </c>
      <c r="I5954" s="8" t="s">
        <v>17941</v>
      </c>
      <c r="J5954" s="8" t="s">
        <v>17942</v>
      </c>
    </row>
    <row r="5955">
      <c r="A5955" s="7">
        <v>2.003141E7</v>
      </c>
      <c r="B5955" s="8" t="s">
        <v>14</v>
      </c>
      <c r="C5955" s="8" t="s">
        <v>17943</v>
      </c>
      <c r="D5955" s="8" t="s">
        <v>16</v>
      </c>
      <c r="E5955" s="8" t="s">
        <v>17</v>
      </c>
      <c r="F5955" s="9">
        <v>46052.0</v>
      </c>
      <c r="G5955" s="8" t="s">
        <v>1998</v>
      </c>
      <c r="H5955" s="8" t="s">
        <v>1999</v>
      </c>
      <c r="I5955" s="8" t="s">
        <v>17944</v>
      </c>
      <c r="J5955" s="8" t="s">
        <v>17945</v>
      </c>
    </row>
    <row r="5956">
      <c r="A5956" s="7">
        <v>2.0069518E7</v>
      </c>
      <c r="B5956" s="8" t="s">
        <v>14</v>
      </c>
      <c r="C5956" s="8" t="s">
        <v>17946</v>
      </c>
      <c r="D5956" s="8" t="s">
        <v>16</v>
      </c>
      <c r="E5956" s="8" t="s">
        <v>17</v>
      </c>
      <c r="F5956" s="9">
        <v>46186.0</v>
      </c>
      <c r="G5956" s="8" t="s">
        <v>109</v>
      </c>
      <c r="H5956" s="8" t="s">
        <v>110</v>
      </c>
      <c r="I5956" s="8" t="s">
        <v>17947</v>
      </c>
      <c r="J5956" s="8" t="s">
        <v>17948</v>
      </c>
    </row>
    <row r="5957">
      <c r="A5957" s="7">
        <v>2.0064086E7</v>
      </c>
      <c r="B5957" s="8" t="s">
        <v>14</v>
      </c>
      <c r="C5957" s="8" t="s">
        <v>17949</v>
      </c>
      <c r="D5957" s="8" t="s">
        <v>16</v>
      </c>
      <c r="E5957" s="8" t="s">
        <v>17</v>
      </c>
      <c r="F5957" s="9">
        <v>46164.0</v>
      </c>
      <c r="G5957" s="8" t="s">
        <v>59</v>
      </c>
      <c r="H5957" s="8" t="s">
        <v>60</v>
      </c>
      <c r="I5957" s="8" t="s">
        <v>17950</v>
      </c>
      <c r="J5957" s="8" t="s">
        <v>17951</v>
      </c>
    </row>
    <row r="5958">
      <c r="A5958" s="7">
        <v>2.0057261E7</v>
      </c>
      <c r="B5958" s="8" t="s">
        <v>14</v>
      </c>
      <c r="C5958" s="8" t="s">
        <v>17952</v>
      </c>
      <c r="D5958" s="8" t="s">
        <v>16</v>
      </c>
      <c r="E5958" s="8" t="s">
        <v>17</v>
      </c>
      <c r="F5958" s="9">
        <v>46179.0</v>
      </c>
      <c r="G5958" s="8" t="s">
        <v>17953</v>
      </c>
      <c r="H5958" s="8" t="s">
        <v>17954</v>
      </c>
      <c r="I5958" s="8" t="s">
        <v>17955</v>
      </c>
      <c r="J5958" s="8" t="s">
        <v>17956</v>
      </c>
    </row>
    <row r="5959">
      <c r="A5959" s="7">
        <v>2.0057627E7</v>
      </c>
      <c r="B5959" s="8" t="s">
        <v>14</v>
      </c>
      <c r="C5959" s="8" t="s">
        <v>17957</v>
      </c>
      <c r="D5959" s="8" t="s">
        <v>16</v>
      </c>
      <c r="E5959" s="8" t="s">
        <v>17</v>
      </c>
      <c r="F5959" s="9">
        <v>46141.0</v>
      </c>
      <c r="G5959" s="8" t="s">
        <v>630</v>
      </c>
      <c r="H5959" s="8" t="s">
        <v>631</v>
      </c>
      <c r="I5959" s="8" t="s">
        <v>17958</v>
      </c>
      <c r="J5959" s="8" t="s">
        <v>17959</v>
      </c>
    </row>
    <row r="5960">
      <c r="A5960" s="7">
        <v>2.0054615E7</v>
      </c>
      <c r="B5960" s="8" t="s">
        <v>14</v>
      </c>
      <c r="C5960" s="8" t="s">
        <v>17960</v>
      </c>
      <c r="D5960" s="8" t="s">
        <v>16</v>
      </c>
      <c r="E5960" s="8" t="s">
        <v>17</v>
      </c>
      <c r="F5960" s="9">
        <v>46118.0</v>
      </c>
      <c r="G5960" s="8" t="s">
        <v>868</v>
      </c>
      <c r="H5960" s="8" t="s">
        <v>869</v>
      </c>
      <c r="I5960" s="8" t="s">
        <v>17961</v>
      </c>
      <c r="J5960" s="8" t="s">
        <v>17962</v>
      </c>
    </row>
    <row r="5961">
      <c r="A5961" s="7">
        <v>2.0052798E7</v>
      </c>
      <c r="B5961" s="8" t="s">
        <v>14</v>
      </c>
      <c r="C5961" s="8" t="s">
        <v>17963</v>
      </c>
      <c r="D5961" s="8" t="s">
        <v>16</v>
      </c>
      <c r="E5961" s="8" t="s">
        <v>17</v>
      </c>
      <c r="F5961" s="9">
        <v>46120.0</v>
      </c>
      <c r="G5961" s="8" t="s">
        <v>5317</v>
      </c>
      <c r="H5961" s="8" t="s">
        <v>5318</v>
      </c>
      <c r="I5961" s="8" t="s">
        <v>17964</v>
      </c>
      <c r="J5961" s="8" t="s">
        <v>17965</v>
      </c>
    </row>
    <row r="5962">
      <c r="A5962" s="7">
        <v>2.0052458E7</v>
      </c>
      <c r="B5962" s="8" t="s">
        <v>14</v>
      </c>
      <c r="C5962" s="8" t="s">
        <v>17966</v>
      </c>
      <c r="D5962" s="8" t="s">
        <v>16</v>
      </c>
      <c r="E5962" s="8" t="s">
        <v>17</v>
      </c>
      <c r="F5962" s="9">
        <v>46107.0</v>
      </c>
      <c r="G5962" s="8" t="s">
        <v>868</v>
      </c>
      <c r="H5962" s="8" t="s">
        <v>869</v>
      </c>
      <c r="I5962" s="8" t="s">
        <v>17967</v>
      </c>
      <c r="J5962" s="8" t="s">
        <v>17968</v>
      </c>
    </row>
    <row r="5963">
      <c r="A5963" s="7">
        <v>2.0051087E7</v>
      </c>
      <c r="B5963" s="8" t="s">
        <v>14</v>
      </c>
      <c r="C5963" s="8" t="s">
        <v>17969</v>
      </c>
      <c r="D5963" s="8" t="s">
        <v>2136</v>
      </c>
      <c r="E5963" s="8" t="s">
        <v>17</v>
      </c>
      <c r="F5963" s="9">
        <v>46101.0</v>
      </c>
      <c r="G5963" s="8" t="s">
        <v>195</v>
      </c>
      <c r="H5963" s="8" t="s">
        <v>196</v>
      </c>
      <c r="I5963" s="8" t="s">
        <v>17970</v>
      </c>
      <c r="J5963" s="8" t="s">
        <v>17971</v>
      </c>
    </row>
    <row r="5964">
      <c r="A5964" s="7">
        <v>2.0050645E7</v>
      </c>
      <c r="B5964" s="8" t="s">
        <v>14</v>
      </c>
      <c r="C5964" s="8" t="s">
        <v>17972</v>
      </c>
      <c r="D5964" s="8" t="s">
        <v>16</v>
      </c>
      <c r="E5964" s="8" t="s">
        <v>17</v>
      </c>
      <c r="F5964" s="9">
        <v>46102.0</v>
      </c>
      <c r="G5964" s="8" t="s">
        <v>234</v>
      </c>
      <c r="H5964" s="8" t="s">
        <v>235</v>
      </c>
      <c r="I5964" s="8" t="s">
        <v>17973</v>
      </c>
      <c r="J5964" s="8" t="s">
        <v>17974</v>
      </c>
    </row>
    <row r="5965">
      <c r="A5965" s="7">
        <v>2.004796E7</v>
      </c>
      <c r="B5965" s="8" t="s">
        <v>14</v>
      </c>
      <c r="C5965" s="8" t="s">
        <v>17975</v>
      </c>
      <c r="D5965" s="8" t="s">
        <v>16</v>
      </c>
      <c r="E5965" s="8" t="s">
        <v>17</v>
      </c>
      <c r="F5965" s="9">
        <v>46108.0</v>
      </c>
      <c r="G5965" s="8" t="s">
        <v>18</v>
      </c>
      <c r="H5965" s="8" t="s">
        <v>19</v>
      </c>
      <c r="I5965" s="8" t="s">
        <v>17976</v>
      </c>
      <c r="J5965" s="8" t="s">
        <v>142</v>
      </c>
    </row>
    <row r="5966">
      <c r="A5966" s="7">
        <v>2.0047828E7</v>
      </c>
      <c r="B5966" s="8" t="s">
        <v>14</v>
      </c>
      <c r="C5966" s="8" t="s">
        <v>17977</v>
      </c>
      <c r="D5966" s="8" t="s">
        <v>16</v>
      </c>
      <c r="E5966" s="8" t="s">
        <v>17</v>
      </c>
      <c r="F5966" s="9">
        <v>46091.0</v>
      </c>
      <c r="G5966" s="8" t="s">
        <v>234</v>
      </c>
      <c r="H5966" s="8" t="s">
        <v>235</v>
      </c>
      <c r="I5966" s="8" t="s">
        <v>17978</v>
      </c>
      <c r="J5966" s="8" t="s">
        <v>17979</v>
      </c>
    </row>
    <row r="5967">
      <c r="A5967" s="7">
        <v>2.0047828E7</v>
      </c>
      <c r="B5967" s="8" t="s">
        <v>14</v>
      </c>
      <c r="C5967" s="8" t="s">
        <v>17977</v>
      </c>
      <c r="D5967" s="8" t="s">
        <v>16</v>
      </c>
      <c r="E5967" s="8" t="s">
        <v>17</v>
      </c>
      <c r="F5967" s="9">
        <v>46091.0</v>
      </c>
      <c r="G5967" s="8" t="s">
        <v>3255</v>
      </c>
      <c r="H5967" s="8" t="s">
        <v>3256</v>
      </c>
      <c r="I5967" s="8" t="s">
        <v>17980</v>
      </c>
      <c r="J5967" s="8" t="s">
        <v>17981</v>
      </c>
    </row>
    <row r="5968">
      <c r="A5968" s="7">
        <v>2.0042197E7</v>
      </c>
      <c r="B5968" s="8" t="s">
        <v>14</v>
      </c>
      <c r="C5968" s="8" t="s">
        <v>17982</v>
      </c>
      <c r="D5968" s="8" t="s">
        <v>16</v>
      </c>
      <c r="E5968" s="8" t="s">
        <v>17</v>
      </c>
      <c r="F5968" s="9">
        <v>46083.0</v>
      </c>
      <c r="G5968" s="8" t="s">
        <v>1854</v>
      </c>
      <c r="H5968" s="8" t="s">
        <v>44</v>
      </c>
      <c r="I5968" s="8" t="s">
        <v>17983</v>
      </c>
      <c r="J5968" s="8" t="s">
        <v>17984</v>
      </c>
    </row>
    <row r="5969">
      <c r="A5969" s="7">
        <v>2.0043098E7</v>
      </c>
      <c r="B5969" s="8" t="s">
        <v>14</v>
      </c>
      <c r="C5969" s="8" t="s">
        <v>17985</v>
      </c>
      <c r="D5969" s="8" t="s">
        <v>16</v>
      </c>
      <c r="E5969" s="8" t="s">
        <v>17</v>
      </c>
      <c r="F5969" s="9">
        <v>46070.0</v>
      </c>
      <c r="G5969" s="8" t="s">
        <v>234</v>
      </c>
      <c r="H5969" s="8" t="s">
        <v>235</v>
      </c>
      <c r="I5969" s="8" t="s">
        <v>17986</v>
      </c>
      <c r="J5969" s="8" t="s">
        <v>17987</v>
      </c>
    </row>
    <row r="5970">
      <c r="A5970" s="7">
        <v>2.0042574E7</v>
      </c>
      <c r="B5970" s="8" t="s">
        <v>14</v>
      </c>
      <c r="C5970" s="8" t="s">
        <v>17988</v>
      </c>
      <c r="D5970" s="8" t="s">
        <v>16</v>
      </c>
      <c r="E5970" s="8" t="s">
        <v>17</v>
      </c>
      <c r="F5970" s="9">
        <v>46075.0</v>
      </c>
      <c r="G5970" s="8" t="s">
        <v>91</v>
      </c>
      <c r="H5970" s="8" t="s">
        <v>92</v>
      </c>
      <c r="I5970" s="8" t="s">
        <v>17989</v>
      </c>
      <c r="J5970" s="8" t="s">
        <v>17990</v>
      </c>
    </row>
    <row r="5971">
      <c r="A5971" s="7">
        <v>2.0036518E7</v>
      </c>
      <c r="B5971" s="8" t="s">
        <v>14</v>
      </c>
      <c r="C5971" s="8" t="s">
        <v>17991</v>
      </c>
      <c r="D5971" s="8" t="s">
        <v>16</v>
      </c>
      <c r="E5971" s="8" t="s">
        <v>17</v>
      </c>
      <c r="F5971" s="9">
        <v>46044.0</v>
      </c>
      <c r="G5971" s="8" t="s">
        <v>846</v>
      </c>
      <c r="H5971" s="8" t="s">
        <v>847</v>
      </c>
      <c r="I5971" s="8" t="s">
        <v>17992</v>
      </c>
      <c r="J5971" s="8" t="s">
        <v>17993</v>
      </c>
    </row>
    <row r="5972">
      <c r="A5972" s="7">
        <v>2.0034338E7</v>
      </c>
      <c r="B5972" s="8" t="s">
        <v>14</v>
      </c>
      <c r="C5972" s="8" t="s">
        <v>17994</v>
      </c>
      <c r="D5972" s="8" t="s">
        <v>16</v>
      </c>
      <c r="E5972" s="8" t="s">
        <v>17</v>
      </c>
      <c r="F5972" s="9">
        <v>46051.0</v>
      </c>
      <c r="G5972" s="8" t="s">
        <v>17995</v>
      </c>
      <c r="H5972" s="8" t="s">
        <v>17996</v>
      </c>
      <c r="I5972" s="8" t="s">
        <v>17997</v>
      </c>
      <c r="J5972" s="8" t="s">
        <v>17998</v>
      </c>
    </row>
    <row r="5973">
      <c r="A5973" s="7">
        <v>2.0067876E7</v>
      </c>
      <c r="B5973" s="8" t="s">
        <v>14</v>
      </c>
      <c r="C5973" s="8" t="s">
        <v>17999</v>
      </c>
      <c r="D5973" s="8" t="s">
        <v>16</v>
      </c>
      <c r="E5973" s="8" t="s">
        <v>17</v>
      </c>
      <c r="F5973" s="9">
        <v>46173.0</v>
      </c>
      <c r="G5973" s="8" t="s">
        <v>220</v>
      </c>
      <c r="H5973" s="8" t="s">
        <v>221</v>
      </c>
      <c r="I5973" s="8" t="s">
        <v>18000</v>
      </c>
      <c r="J5973" s="8" t="s">
        <v>18001</v>
      </c>
    </row>
    <row r="5974">
      <c r="A5974" s="7">
        <v>2.0060246E7</v>
      </c>
      <c r="B5974" s="8" t="s">
        <v>14</v>
      </c>
      <c r="C5974" s="8" t="s">
        <v>18002</v>
      </c>
      <c r="D5974" s="8" t="s">
        <v>16</v>
      </c>
      <c r="E5974" s="8" t="s">
        <v>17</v>
      </c>
      <c r="F5974" s="9">
        <v>46141.0</v>
      </c>
      <c r="G5974" s="8" t="s">
        <v>220</v>
      </c>
      <c r="H5974" s="8" t="s">
        <v>221</v>
      </c>
      <c r="I5974" s="8" t="s">
        <v>18003</v>
      </c>
      <c r="J5974" s="8" t="s">
        <v>18004</v>
      </c>
    </row>
    <row r="5975">
      <c r="A5975" s="7">
        <v>2.0059977E7</v>
      </c>
      <c r="B5975" s="8" t="s">
        <v>14</v>
      </c>
      <c r="C5975" s="8" t="s">
        <v>18005</v>
      </c>
      <c r="D5975" s="8" t="s">
        <v>16</v>
      </c>
      <c r="E5975" s="8" t="s">
        <v>17</v>
      </c>
      <c r="F5975" s="9">
        <v>46140.0</v>
      </c>
      <c r="G5975" s="8" t="s">
        <v>59</v>
      </c>
      <c r="H5975" s="8" t="s">
        <v>60</v>
      </c>
      <c r="I5975" s="8" t="s">
        <v>18006</v>
      </c>
      <c r="J5975" s="8" t="s">
        <v>18007</v>
      </c>
    </row>
    <row r="5976">
      <c r="A5976" s="7">
        <v>2.0058604E7</v>
      </c>
      <c r="B5976" s="8" t="s">
        <v>14</v>
      </c>
      <c r="C5976" s="8" t="s">
        <v>18008</v>
      </c>
      <c r="D5976" s="8" t="s">
        <v>16</v>
      </c>
      <c r="E5976" s="8" t="s">
        <v>17</v>
      </c>
      <c r="F5976" s="9">
        <v>46137.0</v>
      </c>
      <c r="G5976" s="8" t="s">
        <v>805</v>
      </c>
      <c r="H5976" s="8" t="s">
        <v>806</v>
      </c>
      <c r="I5976" s="8" t="s">
        <v>18009</v>
      </c>
      <c r="J5976" s="8" t="s">
        <v>18010</v>
      </c>
    </row>
    <row r="5977">
      <c r="A5977" s="7">
        <v>2.005573E7</v>
      </c>
      <c r="B5977" s="8" t="s">
        <v>14</v>
      </c>
      <c r="C5977" s="8" t="s">
        <v>18011</v>
      </c>
      <c r="D5977" s="8" t="s">
        <v>16</v>
      </c>
      <c r="E5977" s="8" t="s">
        <v>17</v>
      </c>
      <c r="F5977" s="9">
        <v>46123.0</v>
      </c>
      <c r="G5977" s="8" t="s">
        <v>846</v>
      </c>
      <c r="H5977" s="8" t="s">
        <v>847</v>
      </c>
      <c r="I5977" s="8" t="s">
        <v>18012</v>
      </c>
      <c r="J5977" s="8" t="s">
        <v>18013</v>
      </c>
    </row>
    <row r="5978">
      <c r="A5978" s="7">
        <v>2.0049874E7</v>
      </c>
      <c r="B5978" s="8" t="s">
        <v>14</v>
      </c>
      <c r="C5978" s="8" t="s">
        <v>18014</v>
      </c>
      <c r="D5978" s="8" t="s">
        <v>16</v>
      </c>
      <c r="E5978" s="8" t="s">
        <v>17</v>
      </c>
      <c r="F5978" s="9">
        <v>46136.0</v>
      </c>
      <c r="G5978" s="8" t="s">
        <v>1813</v>
      </c>
      <c r="H5978" s="8" t="s">
        <v>1814</v>
      </c>
      <c r="I5978" s="8" t="s">
        <v>18015</v>
      </c>
      <c r="J5978" s="8" t="s">
        <v>18016</v>
      </c>
    </row>
    <row r="5979">
      <c r="A5979" s="7">
        <v>2.0052795E7</v>
      </c>
      <c r="B5979" s="8" t="s">
        <v>14</v>
      </c>
      <c r="C5979" s="8" t="s">
        <v>18017</v>
      </c>
      <c r="D5979" s="8" t="s">
        <v>16</v>
      </c>
      <c r="E5979" s="8" t="s">
        <v>17</v>
      </c>
      <c r="F5979" s="9">
        <v>46128.0</v>
      </c>
      <c r="G5979" s="8" t="s">
        <v>1297</v>
      </c>
      <c r="H5979" s="8" t="s">
        <v>7978</v>
      </c>
      <c r="I5979" s="8" t="s">
        <v>18018</v>
      </c>
      <c r="J5979" s="8" t="s">
        <v>18019</v>
      </c>
    </row>
    <row r="5980">
      <c r="A5980" s="7">
        <v>2.0044857E7</v>
      </c>
      <c r="B5980" s="8" t="s">
        <v>14</v>
      </c>
      <c r="C5980" s="8" t="s">
        <v>18020</v>
      </c>
      <c r="D5980" s="8" t="s">
        <v>16</v>
      </c>
      <c r="E5980" s="8" t="s">
        <v>17</v>
      </c>
      <c r="F5980" s="9">
        <v>46086.0</v>
      </c>
      <c r="G5980" s="8" t="s">
        <v>3500</v>
      </c>
      <c r="H5980" s="8" t="s">
        <v>3501</v>
      </c>
      <c r="I5980" s="8" t="s">
        <v>18021</v>
      </c>
      <c r="J5980" s="8" t="s">
        <v>18022</v>
      </c>
    </row>
    <row r="5981">
      <c r="A5981" s="7">
        <v>2.0040624E7</v>
      </c>
      <c r="B5981" s="8" t="s">
        <v>14</v>
      </c>
      <c r="C5981" s="8" t="s">
        <v>18023</v>
      </c>
      <c r="D5981" s="8" t="s">
        <v>16</v>
      </c>
      <c r="E5981" s="8" t="s">
        <v>17</v>
      </c>
      <c r="F5981" s="9">
        <v>46088.0</v>
      </c>
      <c r="G5981" s="8" t="s">
        <v>7961</v>
      </c>
      <c r="H5981" s="8" t="s">
        <v>7962</v>
      </c>
      <c r="I5981" s="8" t="s">
        <v>18024</v>
      </c>
      <c r="J5981" s="8" t="s">
        <v>18025</v>
      </c>
    </row>
    <row r="5982">
      <c r="A5982" s="7">
        <v>2.004E7</v>
      </c>
      <c r="B5982" s="8" t="s">
        <v>14</v>
      </c>
      <c r="C5982" s="8" t="s">
        <v>18026</v>
      </c>
      <c r="D5982" s="8" t="s">
        <v>16</v>
      </c>
      <c r="E5982" s="8" t="s">
        <v>17</v>
      </c>
      <c r="F5982" s="9">
        <v>46065.0</v>
      </c>
      <c r="G5982" s="8" t="s">
        <v>220</v>
      </c>
      <c r="H5982" s="8" t="s">
        <v>221</v>
      </c>
      <c r="I5982" s="8" t="s">
        <v>18027</v>
      </c>
      <c r="J5982" s="8" t="s">
        <v>18028</v>
      </c>
    </row>
    <row r="5983">
      <c r="A5983" s="7">
        <v>2.0034405E7</v>
      </c>
      <c r="B5983" s="8" t="s">
        <v>14</v>
      </c>
      <c r="C5983" s="8" t="s">
        <v>18029</v>
      </c>
      <c r="D5983" s="8" t="s">
        <v>16</v>
      </c>
      <c r="E5983" s="8" t="s">
        <v>17</v>
      </c>
      <c r="F5983" s="9">
        <v>46056.0</v>
      </c>
      <c r="G5983" s="8" t="s">
        <v>2447</v>
      </c>
      <c r="H5983" s="8" t="s">
        <v>2448</v>
      </c>
      <c r="I5983" s="8" t="s">
        <v>18030</v>
      </c>
      <c r="J5983" s="8" t="s">
        <v>18031</v>
      </c>
    </row>
    <row r="5984">
      <c r="A5984" s="7">
        <v>2.0069983E7</v>
      </c>
      <c r="B5984" s="8" t="s">
        <v>14</v>
      </c>
      <c r="C5984" s="8" t="s">
        <v>18032</v>
      </c>
      <c r="D5984" s="8" t="s">
        <v>16</v>
      </c>
      <c r="E5984" s="8" t="s">
        <v>17</v>
      </c>
      <c r="F5984" s="9">
        <v>46190.0</v>
      </c>
      <c r="G5984" s="8" t="s">
        <v>3012</v>
      </c>
      <c r="H5984" s="8" t="s">
        <v>3013</v>
      </c>
      <c r="I5984" s="8" t="s">
        <v>18033</v>
      </c>
      <c r="J5984" s="8" t="s">
        <v>18034</v>
      </c>
    </row>
    <row r="5985">
      <c r="A5985" s="7">
        <v>2.0066873E7</v>
      </c>
      <c r="B5985" s="8" t="s">
        <v>14</v>
      </c>
      <c r="C5985" s="8" t="s">
        <v>18035</v>
      </c>
      <c r="D5985" s="8" t="s">
        <v>16</v>
      </c>
      <c r="E5985" s="8" t="s">
        <v>17</v>
      </c>
      <c r="F5985" s="9">
        <v>46175.0</v>
      </c>
      <c r="G5985" s="8" t="s">
        <v>247</v>
      </c>
      <c r="H5985" s="8" t="s">
        <v>248</v>
      </c>
      <c r="I5985" s="8" t="s">
        <v>18036</v>
      </c>
      <c r="J5985" s="8" t="s">
        <v>18037</v>
      </c>
    </row>
    <row r="5986">
      <c r="A5986" s="7">
        <v>2.0063228E7</v>
      </c>
      <c r="B5986" s="8" t="s">
        <v>14</v>
      </c>
      <c r="C5986" s="8" t="s">
        <v>18038</v>
      </c>
      <c r="D5986" s="8" t="s">
        <v>2136</v>
      </c>
      <c r="E5986" s="8" t="s">
        <v>17</v>
      </c>
      <c r="F5986" s="9">
        <v>46153.0</v>
      </c>
      <c r="G5986" s="8" t="s">
        <v>846</v>
      </c>
      <c r="H5986" s="8" t="s">
        <v>847</v>
      </c>
      <c r="I5986" s="8" t="s">
        <v>18039</v>
      </c>
      <c r="J5986" s="8" t="s">
        <v>18040</v>
      </c>
    </row>
    <row r="5987">
      <c r="A5987" s="7">
        <v>2.0062166E7</v>
      </c>
      <c r="B5987" s="8" t="s">
        <v>14</v>
      </c>
      <c r="C5987" s="8" t="s">
        <v>18041</v>
      </c>
      <c r="D5987" s="8" t="s">
        <v>16</v>
      </c>
      <c r="E5987" s="8" t="s">
        <v>17</v>
      </c>
      <c r="F5987" s="9">
        <v>46179.0</v>
      </c>
      <c r="G5987" s="8" t="s">
        <v>643</v>
      </c>
      <c r="H5987" s="8" t="s">
        <v>644</v>
      </c>
      <c r="I5987" s="8" t="s">
        <v>18042</v>
      </c>
      <c r="J5987" s="8" t="s">
        <v>18043</v>
      </c>
    </row>
    <row r="5988">
      <c r="A5988" s="7">
        <v>2.0061841E7</v>
      </c>
      <c r="B5988" s="8" t="s">
        <v>14</v>
      </c>
      <c r="C5988" s="8" t="s">
        <v>18044</v>
      </c>
      <c r="D5988" s="8" t="s">
        <v>2136</v>
      </c>
      <c r="E5988" s="8" t="s">
        <v>17</v>
      </c>
      <c r="F5988" s="9">
        <v>46148.0</v>
      </c>
      <c r="G5988" s="8" t="s">
        <v>59</v>
      </c>
      <c r="H5988" s="8" t="s">
        <v>60</v>
      </c>
      <c r="I5988" s="8" t="s">
        <v>18045</v>
      </c>
      <c r="J5988" s="8" t="s">
        <v>18046</v>
      </c>
    </row>
    <row r="5989">
      <c r="A5989" s="7">
        <v>2.0060509E7</v>
      </c>
      <c r="B5989" s="8" t="s">
        <v>14</v>
      </c>
      <c r="C5989" s="8" t="s">
        <v>18047</v>
      </c>
      <c r="D5989" s="8" t="s">
        <v>16</v>
      </c>
      <c r="E5989" s="8" t="s">
        <v>17</v>
      </c>
      <c r="F5989" s="9">
        <v>46142.0</v>
      </c>
      <c r="G5989" s="8" t="s">
        <v>34</v>
      </c>
      <c r="H5989" s="8" t="s">
        <v>35</v>
      </c>
      <c r="I5989" s="8" t="s">
        <v>18048</v>
      </c>
      <c r="J5989" s="8" t="s">
        <v>18049</v>
      </c>
    </row>
    <row r="5990">
      <c r="A5990" s="7">
        <v>2.0059531E7</v>
      </c>
      <c r="B5990" s="8" t="s">
        <v>14</v>
      </c>
      <c r="C5990" s="8" t="s">
        <v>18050</v>
      </c>
      <c r="D5990" s="8" t="s">
        <v>16</v>
      </c>
      <c r="E5990" s="8" t="s">
        <v>17</v>
      </c>
      <c r="F5990" s="9">
        <v>46146.0</v>
      </c>
      <c r="G5990" s="8" t="s">
        <v>59</v>
      </c>
      <c r="H5990" s="8" t="s">
        <v>60</v>
      </c>
      <c r="I5990" s="8" t="s">
        <v>18051</v>
      </c>
      <c r="J5990" s="8" t="s">
        <v>18052</v>
      </c>
    </row>
    <row r="5991">
      <c r="A5991" s="7">
        <v>2.005806E7</v>
      </c>
      <c r="B5991" s="8" t="s">
        <v>14</v>
      </c>
      <c r="C5991" s="8" t="s">
        <v>18053</v>
      </c>
      <c r="D5991" s="8" t="s">
        <v>16</v>
      </c>
      <c r="E5991" s="8" t="s">
        <v>17</v>
      </c>
      <c r="F5991" s="9">
        <v>46132.0</v>
      </c>
      <c r="G5991" s="8" t="s">
        <v>59</v>
      </c>
      <c r="H5991" s="8" t="s">
        <v>60</v>
      </c>
      <c r="I5991" s="8" t="s">
        <v>18054</v>
      </c>
      <c r="J5991" s="8" t="s">
        <v>18055</v>
      </c>
    </row>
    <row r="5992">
      <c r="A5992" s="7">
        <v>2.0050542E7</v>
      </c>
      <c r="B5992" s="8" t="s">
        <v>14</v>
      </c>
      <c r="C5992" s="8" t="s">
        <v>18056</v>
      </c>
      <c r="D5992" s="8" t="s">
        <v>16</v>
      </c>
      <c r="E5992" s="8" t="s">
        <v>17</v>
      </c>
      <c r="F5992" s="9">
        <v>46106.0</v>
      </c>
      <c r="G5992" s="8" t="s">
        <v>12305</v>
      </c>
      <c r="H5992" s="8" t="s">
        <v>12306</v>
      </c>
      <c r="I5992" s="8" t="s">
        <v>18057</v>
      </c>
      <c r="J5992" s="8" t="s">
        <v>18058</v>
      </c>
    </row>
    <row r="5993">
      <c r="A5993" s="7">
        <v>2.0048446E7</v>
      </c>
      <c r="B5993" s="8" t="s">
        <v>14</v>
      </c>
      <c r="C5993" s="8" t="s">
        <v>18059</v>
      </c>
      <c r="D5993" s="8" t="s">
        <v>16</v>
      </c>
      <c r="E5993" s="8" t="s">
        <v>17</v>
      </c>
      <c r="F5993" s="9">
        <v>46100.0</v>
      </c>
      <c r="G5993" s="8" t="s">
        <v>1746</v>
      </c>
      <c r="H5993" s="8" t="s">
        <v>4130</v>
      </c>
      <c r="I5993" s="8" t="s">
        <v>18060</v>
      </c>
      <c r="J5993" s="8" t="s">
        <v>18061</v>
      </c>
    </row>
    <row r="5994">
      <c r="A5994" s="7">
        <v>2.0042598E7</v>
      </c>
      <c r="B5994" s="8" t="s">
        <v>14</v>
      </c>
      <c r="C5994" s="8" t="s">
        <v>18062</v>
      </c>
      <c r="D5994" s="8" t="s">
        <v>16</v>
      </c>
      <c r="E5994" s="8" t="s">
        <v>17</v>
      </c>
      <c r="F5994" s="9">
        <v>46081.0</v>
      </c>
      <c r="G5994" s="8" t="s">
        <v>17760</v>
      </c>
      <c r="H5994" s="8" t="s">
        <v>17761</v>
      </c>
      <c r="I5994" s="8" t="s">
        <v>18063</v>
      </c>
      <c r="J5994" s="8" t="s">
        <v>18064</v>
      </c>
    </row>
    <row r="5995">
      <c r="A5995" s="7">
        <v>2.0042598E7</v>
      </c>
      <c r="B5995" s="8" t="s">
        <v>14</v>
      </c>
      <c r="C5995" s="8" t="s">
        <v>18062</v>
      </c>
      <c r="D5995" s="8" t="s">
        <v>16</v>
      </c>
      <c r="E5995" s="8" t="s">
        <v>17</v>
      </c>
      <c r="F5995" s="9">
        <v>46081.0</v>
      </c>
      <c r="G5995" s="8" t="s">
        <v>247</v>
      </c>
      <c r="H5995" s="8" t="s">
        <v>248</v>
      </c>
      <c r="I5995" s="8" t="s">
        <v>18065</v>
      </c>
      <c r="J5995" s="8" t="s">
        <v>18066</v>
      </c>
    </row>
    <row r="5996">
      <c r="A5996" s="7">
        <v>2.0042959E7</v>
      </c>
      <c r="B5996" s="8" t="s">
        <v>14</v>
      </c>
      <c r="C5996" s="8" t="s">
        <v>18067</v>
      </c>
      <c r="D5996" s="8" t="s">
        <v>16</v>
      </c>
      <c r="E5996" s="8" t="s">
        <v>17</v>
      </c>
      <c r="F5996" s="9">
        <v>46090.0</v>
      </c>
      <c r="G5996" s="8" t="s">
        <v>5192</v>
      </c>
      <c r="H5996" s="8" t="s">
        <v>5193</v>
      </c>
      <c r="I5996" s="8" t="s">
        <v>18068</v>
      </c>
      <c r="J5996" s="8" t="s">
        <v>18069</v>
      </c>
    </row>
    <row r="5997">
      <c r="A5997" s="7">
        <v>2.0038954E7</v>
      </c>
      <c r="B5997" s="8" t="s">
        <v>14</v>
      </c>
      <c r="C5997" s="8" t="s">
        <v>18070</v>
      </c>
      <c r="D5997" s="8" t="s">
        <v>16</v>
      </c>
      <c r="E5997" s="8" t="s">
        <v>17</v>
      </c>
      <c r="F5997" s="9">
        <v>46059.0</v>
      </c>
      <c r="G5997" s="8" t="s">
        <v>1132</v>
      </c>
      <c r="H5997" s="8" t="s">
        <v>1133</v>
      </c>
      <c r="I5997" s="8" t="s">
        <v>18071</v>
      </c>
      <c r="J5997" s="8" t="s">
        <v>18072</v>
      </c>
    </row>
    <row r="5998">
      <c r="A5998" s="7">
        <v>2.0038208E7</v>
      </c>
      <c r="B5998" s="8" t="s">
        <v>14</v>
      </c>
      <c r="C5998" s="8" t="s">
        <v>18073</v>
      </c>
      <c r="D5998" s="8" t="s">
        <v>16</v>
      </c>
      <c r="E5998" s="8" t="s">
        <v>17</v>
      </c>
      <c r="F5998" s="9">
        <v>46066.0</v>
      </c>
      <c r="G5998" s="8" t="s">
        <v>822</v>
      </c>
      <c r="H5998" s="8" t="s">
        <v>120</v>
      </c>
      <c r="I5998" s="8" t="s">
        <v>18074</v>
      </c>
      <c r="J5998" s="8" t="s">
        <v>18075</v>
      </c>
    </row>
    <row r="5999">
      <c r="A5999" s="7">
        <v>2.0034859E7</v>
      </c>
      <c r="B5999" s="8" t="s">
        <v>14</v>
      </c>
      <c r="C5999" s="8" t="s">
        <v>18076</v>
      </c>
      <c r="D5999" s="8" t="s">
        <v>16</v>
      </c>
      <c r="E5999" s="8" t="s">
        <v>17</v>
      </c>
      <c r="F5999" s="9">
        <v>46057.0</v>
      </c>
      <c r="G5999" s="8" t="s">
        <v>6142</v>
      </c>
      <c r="H5999" s="8" t="s">
        <v>7962</v>
      </c>
      <c r="I5999" s="8" t="s">
        <v>18077</v>
      </c>
      <c r="J5999" s="8" t="s">
        <v>18078</v>
      </c>
    </row>
    <row r="6000">
      <c r="A6000" s="7">
        <v>2.003704E7</v>
      </c>
      <c r="B6000" s="8" t="s">
        <v>14</v>
      </c>
      <c r="C6000" s="8" t="s">
        <v>18079</v>
      </c>
      <c r="D6000" s="8" t="s">
        <v>16</v>
      </c>
      <c r="E6000" s="8" t="s">
        <v>17</v>
      </c>
      <c r="F6000" s="9">
        <v>46045.0</v>
      </c>
      <c r="G6000" s="8" t="s">
        <v>195</v>
      </c>
      <c r="H6000" s="8" t="s">
        <v>196</v>
      </c>
      <c r="I6000" s="8" t="s">
        <v>18080</v>
      </c>
      <c r="J6000" s="8" t="s">
        <v>18081</v>
      </c>
    </row>
    <row r="6001">
      <c r="A6001" s="7">
        <v>2.0035075E7</v>
      </c>
      <c r="B6001" s="8" t="s">
        <v>14</v>
      </c>
      <c r="C6001" s="8" t="s">
        <v>18082</v>
      </c>
      <c r="D6001" s="8" t="s">
        <v>16</v>
      </c>
      <c r="E6001" s="8" t="s">
        <v>17</v>
      </c>
      <c r="F6001" s="9">
        <v>46053.0</v>
      </c>
      <c r="G6001" s="8" t="s">
        <v>805</v>
      </c>
      <c r="H6001" s="8" t="s">
        <v>806</v>
      </c>
      <c r="I6001" s="8" t="s">
        <v>18083</v>
      </c>
      <c r="J6001" s="8" t="s">
        <v>18084</v>
      </c>
    </row>
    <row r="6002">
      <c r="A6002" s="7">
        <v>2.0033653E7</v>
      </c>
      <c r="B6002" s="8" t="s">
        <v>14</v>
      </c>
      <c r="C6002" s="8" t="s">
        <v>18085</v>
      </c>
      <c r="D6002" s="8" t="s">
        <v>16</v>
      </c>
      <c r="E6002" s="8" t="s">
        <v>17</v>
      </c>
      <c r="F6002" s="9">
        <v>46039.0</v>
      </c>
      <c r="G6002" s="8" t="s">
        <v>1110</v>
      </c>
      <c r="H6002" s="8" t="s">
        <v>1111</v>
      </c>
      <c r="I6002" s="8" t="s">
        <v>18086</v>
      </c>
      <c r="J6002" s="8" t="s">
        <v>18087</v>
      </c>
    </row>
    <row r="6003">
      <c r="A6003" s="7">
        <v>2.0068625E7</v>
      </c>
      <c r="B6003" s="8" t="s">
        <v>14</v>
      </c>
      <c r="C6003" s="8" t="s">
        <v>18088</v>
      </c>
      <c r="D6003" s="8" t="s">
        <v>16</v>
      </c>
      <c r="E6003" s="8" t="s">
        <v>17</v>
      </c>
      <c r="F6003" s="9">
        <v>46185.0</v>
      </c>
      <c r="G6003" s="8" t="s">
        <v>423</v>
      </c>
      <c r="H6003" s="8" t="s">
        <v>6351</v>
      </c>
      <c r="I6003" s="8" t="s">
        <v>18089</v>
      </c>
      <c r="J6003" s="8" t="s">
        <v>18090</v>
      </c>
    </row>
    <row r="6004">
      <c r="A6004" s="7">
        <v>2.006466E7</v>
      </c>
      <c r="B6004" s="8" t="s">
        <v>14</v>
      </c>
      <c r="C6004" s="8" t="s">
        <v>18091</v>
      </c>
      <c r="D6004" s="8" t="s">
        <v>16</v>
      </c>
      <c r="E6004" s="8" t="s">
        <v>17</v>
      </c>
      <c r="F6004" s="9">
        <v>46169.0</v>
      </c>
      <c r="G6004" s="8" t="s">
        <v>247</v>
      </c>
      <c r="H6004" s="8" t="s">
        <v>248</v>
      </c>
      <c r="I6004" s="8" t="s">
        <v>18092</v>
      </c>
      <c r="J6004" s="8" t="s">
        <v>18093</v>
      </c>
    </row>
    <row r="6005">
      <c r="A6005" s="7">
        <v>2.0063613E7</v>
      </c>
      <c r="B6005" s="8" t="s">
        <v>14</v>
      </c>
      <c r="C6005" s="8" t="s">
        <v>18094</v>
      </c>
      <c r="D6005" s="8" t="s">
        <v>16</v>
      </c>
      <c r="E6005" s="8" t="s">
        <v>17</v>
      </c>
      <c r="F6005" s="9">
        <v>46165.0</v>
      </c>
      <c r="G6005" s="8" t="s">
        <v>109</v>
      </c>
      <c r="H6005" s="8" t="s">
        <v>110</v>
      </c>
      <c r="I6005" s="8" t="s">
        <v>18095</v>
      </c>
      <c r="J6005" s="8" t="s">
        <v>18096</v>
      </c>
    </row>
    <row r="6006">
      <c r="A6006" s="7">
        <v>2.0063613E7</v>
      </c>
      <c r="B6006" s="8" t="s">
        <v>14</v>
      </c>
      <c r="C6006" s="8" t="s">
        <v>18094</v>
      </c>
      <c r="D6006" s="8" t="s">
        <v>16</v>
      </c>
      <c r="E6006" s="8" t="s">
        <v>17</v>
      </c>
      <c r="F6006" s="9">
        <v>46165.0</v>
      </c>
      <c r="G6006" s="8" t="s">
        <v>18097</v>
      </c>
      <c r="H6006" s="8" t="s">
        <v>18098</v>
      </c>
      <c r="I6006" s="8" t="s">
        <v>18099</v>
      </c>
      <c r="J6006" s="8" t="s">
        <v>18100</v>
      </c>
    </row>
    <row r="6007">
      <c r="A6007" s="7">
        <v>2.0056678E7</v>
      </c>
      <c r="B6007" s="8" t="s">
        <v>14</v>
      </c>
      <c r="C6007" s="8" t="s">
        <v>18101</v>
      </c>
      <c r="D6007" s="8" t="s">
        <v>16</v>
      </c>
      <c r="E6007" s="8" t="s">
        <v>17</v>
      </c>
      <c r="F6007" s="9">
        <v>46135.0</v>
      </c>
      <c r="G6007" s="8" t="s">
        <v>1132</v>
      </c>
      <c r="H6007" s="8" t="s">
        <v>1133</v>
      </c>
      <c r="I6007" s="8" t="s">
        <v>18102</v>
      </c>
      <c r="J6007" s="8" t="s">
        <v>18103</v>
      </c>
    </row>
    <row r="6008">
      <c r="A6008" s="7">
        <v>2.0056678E7</v>
      </c>
      <c r="B6008" s="8" t="s">
        <v>14</v>
      </c>
      <c r="C6008" s="8" t="s">
        <v>18101</v>
      </c>
      <c r="D6008" s="8" t="s">
        <v>16</v>
      </c>
      <c r="E6008" s="8" t="s">
        <v>17</v>
      </c>
      <c r="F6008" s="9">
        <v>46135.0</v>
      </c>
      <c r="G6008" s="8" t="s">
        <v>13242</v>
      </c>
      <c r="H6008" s="8" t="s">
        <v>13243</v>
      </c>
      <c r="I6008" s="8" t="s">
        <v>18104</v>
      </c>
      <c r="J6008" s="8" t="s">
        <v>18105</v>
      </c>
    </row>
    <row r="6009">
      <c r="A6009" s="7">
        <v>2.0055866E7</v>
      </c>
      <c r="B6009" s="8" t="s">
        <v>14</v>
      </c>
      <c r="C6009" s="8" t="s">
        <v>18106</v>
      </c>
      <c r="D6009" s="8" t="s">
        <v>16</v>
      </c>
      <c r="E6009" s="8" t="s">
        <v>17</v>
      </c>
      <c r="F6009" s="9">
        <v>46179.0</v>
      </c>
      <c r="G6009" s="8" t="s">
        <v>10006</v>
      </c>
      <c r="H6009" s="8" t="s">
        <v>10007</v>
      </c>
      <c r="I6009" s="8" t="s">
        <v>18107</v>
      </c>
      <c r="J6009" s="8" t="s">
        <v>18108</v>
      </c>
    </row>
    <row r="6010">
      <c r="A6010" s="7">
        <v>2.0055866E7</v>
      </c>
      <c r="B6010" s="8" t="s">
        <v>14</v>
      </c>
      <c r="C6010" s="8" t="s">
        <v>18106</v>
      </c>
      <c r="D6010" s="8" t="s">
        <v>16</v>
      </c>
      <c r="E6010" s="8" t="s">
        <v>17</v>
      </c>
      <c r="F6010" s="9">
        <v>46179.0</v>
      </c>
      <c r="G6010" s="8" t="s">
        <v>12613</v>
      </c>
      <c r="H6010" s="8" t="s">
        <v>18109</v>
      </c>
      <c r="I6010" s="8" t="s">
        <v>18110</v>
      </c>
      <c r="J6010" s="8" t="s">
        <v>18111</v>
      </c>
    </row>
    <row r="6011">
      <c r="A6011" s="7">
        <v>2.0055866E7</v>
      </c>
      <c r="B6011" s="8" t="s">
        <v>14</v>
      </c>
      <c r="C6011" s="8" t="s">
        <v>18106</v>
      </c>
      <c r="D6011" s="8" t="s">
        <v>16</v>
      </c>
      <c r="E6011" s="8" t="s">
        <v>17</v>
      </c>
      <c r="F6011" s="9">
        <v>46179.0</v>
      </c>
      <c r="G6011" s="8" t="s">
        <v>10006</v>
      </c>
      <c r="H6011" s="8" t="s">
        <v>10007</v>
      </c>
      <c r="I6011" s="8" t="s">
        <v>18112</v>
      </c>
      <c r="J6011" s="8" t="s">
        <v>18107</v>
      </c>
    </row>
    <row r="6012">
      <c r="A6012" s="7">
        <v>2.0051844E7</v>
      </c>
      <c r="B6012" s="8" t="s">
        <v>14</v>
      </c>
      <c r="C6012" s="8" t="s">
        <v>18113</v>
      </c>
      <c r="D6012" s="8" t="s">
        <v>16</v>
      </c>
      <c r="E6012" s="8" t="s">
        <v>17</v>
      </c>
      <c r="F6012" s="9">
        <v>46112.0</v>
      </c>
      <c r="G6012" s="8" t="s">
        <v>2236</v>
      </c>
      <c r="H6012" s="8" t="s">
        <v>2237</v>
      </c>
      <c r="I6012" s="8" t="s">
        <v>18114</v>
      </c>
      <c r="J6012" s="8" t="s">
        <v>18115</v>
      </c>
    </row>
    <row r="6013">
      <c r="A6013" s="7">
        <v>2.005018E7</v>
      </c>
      <c r="B6013" s="8" t="s">
        <v>14</v>
      </c>
      <c r="C6013" s="8" t="s">
        <v>18116</v>
      </c>
      <c r="D6013" s="8" t="s">
        <v>16</v>
      </c>
      <c r="E6013" s="8" t="s">
        <v>17</v>
      </c>
      <c r="F6013" s="9">
        <v>46101.0</v>
      </c>
      <c r="G6013" s="8" t="s">
        <v>29</v>
      </c>
      <c r="H6013" s="8" t="s">
        <v>30</v>
      </c>
      <c r="I6013" s="8" t="s">
        <v>18117</v>
      </c>
      <c r="J6013" s="8" t="s">
        <v>18118</v>
      </c>
    </row>
    <row r="6014">
      <c r="A6014" s="7">
        <v>2.0050096E7</v>
      </c>
      <c r="B6014" s="8" t="s">
        <v>14</v>
      </c>
      <c r="C6014" s="8" t="s">
        <v>18119</v>
      </c>
      <c r="D6014" s="8" t="s">
        <v>16</v>
      </c>
      <c r="E6014" s="8" t="s">
        <v>17</v>
      </c>
      <c r="F6014" s="9">
        <v>46097.0</v>
      </c>
      <c r="G6014" s="8" t="s">
        <v>846</v>
      </c>
      <c r="H6014" s="8" t="s">
        <v>847</v>
      </c>
      <c r="I6014" s="8" t="s">
        <v>18120</v>
      </c>
      <c r="J6014" s="8" t="s">
        <v>18121</v>
      </c>
    </row>
    <row r="6015">
      <c r="A6015" s="7">
        <v>2.0049645E7</v>
      </c>
      <c r="B6015" s="8" t="s">
        <v>14</v>
      </c>
      <c r="C6015" s="8" t="s">
        <v>18122</v>
      </c>
      <c r="D6015" s="8" t="s">
        <v>16</v>
      </c>
      <c r="E6015" s="8" t="s">
        <v>17</v>
      </c>
      <c r="F6015" s="9">
        <v>46095.0</v>
      </c>
      <c r="G6015" s="8" t="s">
        <v>247</v>
      </c>
      <c r="H6015" s="8" t="s">
        <v>248</v>
      </c>
      <c r="I6015" s="8" t="s">
        <v>18123</v>
      </c>
      <c r="J6015" s="8" t="s">
        <v>18124</v>
      </c>
    </row>
    <row r="6016">
      <c r="A6016" s="7">
        <v>2.0046892E7</v>
      </c>
      <c r="B6016" s="8" t="s">
        <v>14</v>
      </c>
      <c r="C6016" s="8" t="s">
        <v>18125</v>
      </c>
      <c r="D6016" s="8" t="s">
        <v>16</v>
      </c>
      <c r="E6016" s="8" t="s">
        <v>17</v>
      </c>
      <c r="F6016" s="9">
        <v>46084.0</v>
      </c>
      <c r="G6016" s="8" t="s">
        <v>868</v>
      </c>
      <c r="H6016" s="8" t="s">
        <v>869</v>
      </c>
      <c r="I6016" s="8" t="s">
        <v>18126</v>
      </c>
      <c r="J6016" s="8" t="s">
        <v>18127</v>
      </c>
    </row>
    <row r="6017">
      <c r="A6017" s="7">
        <v>2.0043251E7</v>
      </c>
      <c r="B6017" s="8" t="s">
        <v>14</v>
      </c>
      <c r="C6017" s="8" t="s">
        <v>18128</v>
      </c>
      <c r="D6017" s="8" t="s">
        <v>16</v>
      </c>
      <c r="E6017" s="8" t="s">
        <v>17</v>
      </c>
      <c r="F6017" s="9">
        <v>46103.0</v>
      </c>
      <c r="G6017" s="8" t="s">
        <v>18129</v>
      </c>
      <c r="H6017" s="8" t="s">
        <v>18130</v>
      </c>
      <c r="I6017" s="8" t="s">
        <v>18131</v>
      </c>
      <c r="J6017" s="8" t="s">
        <v>18132</v>
      </c>
    </row>
    <row r="6018">
      <c r="A6018" s="7">
        <v>2.0061939E7</v>
      </c>
      <c r="B6018" s="8" t="s">
        <v>14</v>
      </c>
      <c r="C6018" s="8" t="s">
        <v>18133</v>
      </c>
      <c r="D6018" s="8" t="s">
        <v>16</v>
      </c>
      <c r="E6018" s="8" t="s">
        <v>17</v>
      </c>
      <c r="F6018" s="9">
        <v>46148.0</v>
      </c>
      <c r="G6018" s="8" t="s">
        <v>34</v>
      </c>
      <c r="H6018" s="8" t="s">
        <v>35</v>
      </c>
      <c r="I6018" s="8" t="s">
        <v>18134</v>
      </c>
      <c r="J6018" s="8" t="s">
        <v>18135</v>
      </c>
    </row>
    <row r="6019">
      <c r="A6019" s="7">
        <v>2.0057549E7</v>
      </c>
      <c r="B6019" s="8" t="s">
        <v>14</v>
      </c>
      <c r="C6019" s="8" t="s">
        <v>18136</v>
      </c>
      <c r="D6019" s="8" t="s">
        <v>16</v>
      </c>
      <c r="E6019" s="8" t="s">
        <v>17</v>
      </c>
      <c r="F6019" s="9">
        <v>46151.0</v>
      </c>
      <c r="G6019" s="8" t="s">
        <v>171</v>
      </c>
      <c r="H6019" s="8" t="s">
        <v>172</v>
      </c>
      <c r="I6019" s="8" t="s">
        <v>18137</v>
      </c>
      <c r="J6019" s="8" t="s">
        <v>18138</v>
      </c>
    </row>
    <row r="6020">
      <c r="A6020" s="7">
        <v>2.0056309E7</v>
      </c>
      <c r="B6020" s="8" t="s">
        <v>14</v>
      </c>
      <c r="C6020" s="8" t="s">
        <v>18139</v>
      </c>
      <c r="D6020" s="8" t="s">
        <v>16</v>
      </c>
      <c r="E6020" s="8" t="s">
        <v>17</v>
      </c>
      <c r="F6020" s="9">
        <v>46126.0</v>
      </c>
      <c r="G6020" s="8" t="s">
        <v>59</v>
      </c>
      <c r="H6020" s="8" t="s">
        <v>60</v>
      </c>
      <c r="I6020" s="8" t="s">
        <v>18140</v>
      </c>
      <c r="J6020" s="8" t="s">
        <v>18141</v>
      </c>
    </row>
    <row r="6021">
      <c r="A6021" s="7">
        <v>2.0053906E7</v>
      </c>
      <c r="B6021" s="8" t="s">
        <v>14</v>
      </c>
      <c r="C6021" s="8" t="s">
        <v>18142</v>
      </c>
      <c r="D6021" s="8" t="s">
        <v>16</v>
      </c>
      <c r="E6021" s="8" t="s">
        <v>17</v>
      </c>
      <c r="F6021" s="9">
        <v>46136.0</v>
      </c>
      <c r="G6021" s="8" t="s">
        <v>18143</v>
      </c>
      <c r="H6021" s="8" t="s">
        <v>18144</v>
      </c>
      <c r="I6021" s="8" t="s">
        <v>18145</v>
      </c>
      <c r="J6021" s="8" t="s">
        <v>18146</v>
      </c>
    </row>
    <row r="6022">
      <c r="A6022" s="7">
        <v>2.0053906E7</v>
      </c>
      <c r="B6022" s="8" t="s">
        <v>14</v>
      </c>
      <c r="C6022" s="8" t="s">
        <v>18142</v>
      </c>
      <c r="D6022" s="8" t="s">
        <v>16</v>
      </c>
      <c r="E6022" s="8" t="s">
        <v>17</v>
      </c>
      <c r="F6022" s="9">
        <v>46136.0</v>
      </c>
      <c r="G6022" s="8" t="s">
        <v>18147</v>
      </c>
      <c r="H6022" s="8" t="s">
        <v>18148</v>
      </c>
      <c r="I6022" s="8" t="s">
        <v>18149</v>
      </c>
      <c r="J6022" s="8" t="s">
        <v>18150</v>
      </c>
    </row>
    <row r="6023">
      <c r="A6023" s="7">
        <v>2.0050376E7</v>
      </c>
      <c r="B6023" s="8" t="s">
        <v>14</v>
      </c>
      <c r="C6023" s="8" t="s">
        <v>18151</v>
      </c>
      <c r="D6023" s="8" t="s">
        <v>16</v>
      </c>
      <c r="E6023" s="8" t="s">
        <v>17</v>
      </c>
      <c r="F6023" s="9">
        <v>46112.0</v>
      </c>
      <c r="G6023" s="8" t="s">
        <v>54</v>
      </c>
      <c r="H6023" s="8" t="s">
        <v>55</v>
      </c>
      <c r="I6023" s="8" t="s">
        <v>18152</v>
      </c>
      <c r="J6023" s="8" t="s">
        <v>18153</v>
      </c>
    </row>
    <row r="6024">
      <c r="A6024" s="7">
        <v>2.0048407E7</v>
      </c>
      <c r="B6024" s="8" t="s">
        <v>14</v>
      </c>
      <c r="C6024" s="8" t="s">
        <v>18154</v>
      </c>
      <c r="D6024" s="8" t="s">
        <v>2136</v>
      </c>
      <c r="E6024" s="8" t="s">
        <v>17</v>
      </c>
      <c r="F6024" s="9">
        <v>46092.0</v>
      </c>
      <c r="G6024" s="8" t="s">
        <v>75</v>
      </c>
      <c r="H6024" s="8" t="s">
        <v>76</v>
      </c>
      <c r="I6024" s="8" t="s">
        <v>18155</v>
      </c>
      <c r="J6024" s="8" t="s">
        <v>18156</v>
      </c>
    </row>
    <row r="6025">
      <c r="A6025" s="7">
        <v>2.0047234E7</v>
      </c>
      <c r="B6025" s="8" t="s">
        <v>14</v>
      </c>
      <c r="C6025" s="8" t="s">
        <v>18157</v>
      </c>
      <c r="D6025" s="8" t="s">
        <v>16</v>
      </c>
      <c r="E6025" s="8" t="s">
        <v>17</v>
      </c>
      <c r="F6025" s="9">
        <v>46093.0</v>
      </c>
      <c r="G6025" s="8" t="s">
        <v>3812</v>
      </c>
      <c r="H6025" s="8" t="s">
        <v>3813</v>
      </c>
      <c r="I6025" s="8" t="s">
        <v>18158</v>
      </c>
      <c r="J6025" s="8" t="s">
        <v>18159</v>
      </c>
    </row>
    <row r="6026">
      <c r="A6026" s="7">
        <v>2.0045167E7</v>
      </c>
      <c r="B6026" s="8" t="s">
        <v>14</v>
      </c>
      <c r="C6026" s="8" t="s">
        <v>18160</v>
      </c>
      <c r="D6026" s="8" t="s">
        <v>16</v>
      </c>
      <c r="E6026" s="8" t="s">
        <v>17</v>
      </c>
      <c r="F6026" s="9">
        <v>46084.0</v>
      </c>
      <c r="G6026" s="8" t="s">
        <v>91</v>
      </c>
      <c r="H6026" s="8" t="s">
        <v>92</v>
      </c>
      <c r="I6026" s="8" t="s">
        <v>18161</v>
      </c>
      <c r="J6026" s="8" t="s">
        <v>18162</v>
      </c>
    </row>
    <row r="6027">
      <c r="A6027" s="7">
        <v>2.0043539E7</v>
      </c>
      <c r="B6027" s="8" t="s">
        <v>14</v>
      </c>
      <c r="C6027" s="8" t="s">
        <v>18163</v>
      </c>
      <c r="D6027" s="8" t="s">
        <v>16</v>
      </c>
      <c r="E6027" s="8" t="s">
        <v>17</v>
      </c>
      <c r="F6027" s="9">
        <v>46073.0</v>
      </c>
      <c r="G6027" s="8" t="s">
        <v>805</v>
      </c>
      <c r="H6027" s="8" t="s">
        <v>806</v>
      </c>
      <c r="I6027" s="8" t="s">
        <v>18164</v>
      </c>
      <c r="J6027" s="8" t="s">
        <v>18165</v>
      </c>
    </row>
    <row r="6028">
      <c r="A6028" s="7">
        <v>2.0041295E7</v>
      </c>
      <c r="B6028" s="8" t="s">
        <v>14</v>
      </c>
      <c r="C6028" s="8" t="s">
        <v>18166</v>
      </c>
      <c r="D6028" s="8" t="s">
        <v>16</v>
      </c>
      <c r="E6028" s="8" t="s">
        <v>17</v>
      </c>
      <c r="F6028" s="9">
        <v>46072.0</v>
      </c>
      <c r="G6028" s="8" t="s">
        <v>630</v>
      </c>
      <c r="H6028" s="8" t="s">
        <v>631</v>
      </c>
      <c r="I6028" s="8" t="s">
        <v>18167</v>
      </c>
      <c r="J6028" s="8" t="s">
        <v>18168</v>
      </c>
    </row>
    <row r="6029">
      <c r="A6029" s="7">
        <v>2.0040462E7</v>
      </c>
      <c r="B6029" s="8" t="s">
        <v>14</v>
      </c>
      <c r="C6029" s="8" t="s">
        <v>18169</v>
      </c>
      <c r="D6029" s="8" t="s">
        <v>16</v>
      </c>
      <c r="E6029" s="8" t="s">
        <v>17</v>
      </c>
      <c r="F6029" s="9">
        <v>46078.0</v>
      </c>
      <c r="G6029" s="8" t="s">
        <v>171</v>
      </c>
      <c r="H6029" s="8" t="s">
        <v>172</v>
      </c>
      <c r="I6029" s="8" t="s">
        <v>18170</v>
      </c>
      <c r="J6029" s="8" t="s">
        <v>18171</v>
      </c>
    </row>
    <row r="6030">
      <c r="A6030" s="7">
        <v>2.0037908E7</v>
      </c>
      <c r="B6030" s="8" t="s">
        <v>14</v>
      </c>
      <c r="C6030" s="8" t="s">
        <v>18172</v>
      </c>
      <c r="D6030" s="8" t="s">
        <v>16</v>
      </c>
      <c r="E6030" s="8" t="s">
        <v>17</v>
      </c>
      <c r="F6030" s="9">
        <v>46059.0</v>
      </c>
      <c r="G6030" s="8" t="s">
        <v>59</v>
      </c>
      <c r="H6030" s="8" t="s">
        <v>60</v>
      </c>
      <c r="I6030" s="8" t="s">
        <v>18173</v>
      </c>
      <c r="J6030" s="8" t="s">
        <v>18174</v>
      </c>
    </row>
    <row r="6031">
      <c r="A6031" s="7">
        <v>2.0038366E7</v>
      </c>
      <c r="B6031" s="8" t="s">
        <v>14</v>
      </c>
      <c r="C6031" s="8" t="s">
        <v>18175</v>
      </c>
      <c r="D6031" s="8" t="s">
        <v>16</v>
      </c>
      <c r="E6031" s="8" t="s">
        <v>17</v>
      </c>
      <c r="F6031" s="9">
        <v>46079.0</v>
      </c>
      <c r="G6031" s="8" t="s">
        <v>18176</v>
      </c>
      <c r="H6031" s="8" t="s">
        <v>18177</v>
      </c>
      <c r="I6031" s="8" t="s">
        <v>18178</v>
      </c>
      <c r="J6031" s="8" t="s">
        <v>18179</v>
      </c>
    </row>
    <row r="6032">
      <c r="A6032" s="7">
        <v>2.0035828E7</v>
      </c>
      <c r="B6032" s="8" t="s">
        <v>14</v>
      </c>
      <c r="C6032" s="8" t="s">
        <v>18180</v>
      </c>
      <c r="D6032" s="8" t="s">
        <v>16</v>
      </c>
      <c r="E6032" s="8" t="s">
        <v>17</v>
      </c>
      <c r="F6032" s="9">
        <v>46063.0</v>
      </c>
      <c r="G6032" s="8" t="s">
        <v>18181</v>
      </c>
      <c r="H6032" s="8" t="s">
        <v>18182</v>
      </c>
      <c r="I6032" s="8" t="s">
        <v>18183</v>
      </c>
      <c r="J6032" s="8" t="s">
        <v>18184</v>
      </c>
    </row>
    <row r="6033">
      <c r="A6033" s="7">
        <v>2.0034304E7</v>
      </c>
      <c r="B6033" s="8" t="s">
        <v>14</v>
      </c>
      <c r="C6033" s="8" t="s">
        <v>18185</v>
      </c>
      <c r="D6033" s="8" t="s">
        <v>16</v>
      </c>
      <c r="E6033" s="8" t="s">
        <v>17</v>
      </c>
      <c r="F6033" s="9">
        <v>46054.0</v>
      </c>
      <c r="G6033" s="8" t="s">
        <v>1023</v>
      </c>
      <c r="H6033" s="8" t="s">
        <v>1024</v>
      </c>
      <c r="I6033" s="8" t="s">
        <v>18186</v>
      </c>
      <c r="J6033" s="8" t="s">
        <v>18187</v>
      </c>
    </row>
    <row r="6034">
      <c r="A6034" s="7">
        <v>2.0072412E7</v>
      </c>
      <c r="B6034" s="8" t="s">
        <v>14</v>
      </c>
      <c r="C6034" s="8" t="s">
        <v>18188</v>
      </c>
      <c r="D6034" s="8" t="s">
        <v>2136</v>
      </c>
      <c r="E6034" s="8" t="s">
        <v>17</v>
      </c>
      <c r="F6034" s="9">
        <v>46193.0</v>
      </c>
      <c r="G6034" s="8" t="s">
        <v>59</v>
      </c>
      <c r="H6034" s="8" t="s">
        <v>60</v>
      </c>
      <c r="I6034" s="8" t="s">
        <v>18189</v>
      </c>
      <c r="J6034" s="8" t="s">
        <v>18190</v>
      </c>
    </row>
    <row r="6035">
      <c r="A6035" s="7">
        <v>2.0068249E7</v>
      </c>
      <c r="B6035" s="8" t="s">
        <v>14</v>
      </c>
      <c r="C6035" s="8" t="s">
        <v>18191</v>
      </c>
      <c r="D6035" s="8" t="s">
        <v>16</v>
      </c>
      <c r="E6035" s="8" t="s">
        <v>17</v>
      </c>
      <c r="F6035" s="9">
        <v>46177.0</v>
      </c>
      <c r="G6035" s="8" t="s">
        <v>385</v>
      </c>
      <c r="H6035" s="8" t="s">
        <v>386</v>
      </c>
      <c r="I6035" s="8" t="s">
        <v>18192</v>
      </c>
      <c r="J6035" s="8" t="s">
        <v>18193</v>
      </c>
    </row>
    <row r="6036">
      <c r="A6036" s="7">
        <v>2.0065073E7</v>
      </c>
      <c r="B6036" s="8" t="s">
        <v>14</v>
      </c>
      <c r="C6036" s="8" t="s">
        <v>18194</v>
      </c>
      <c r="D6036" s="8" t="s">
        <v>2136</v>
      </c>
      <c r="E6036" s="8" t="s">
        <v>17</v>
      </c>
      <c r="F6036" s="9">
        <v>46161.0</v>
      </c>
      <c r="G6036" s="8" t="s">
        <v>2294</v>
      </c>
      <c r="H6036" s="8" t="s">
        <v>2295</v>
      </c>
      <c r="I6036" s="8" t="s">
        <v>18195</v>
      </c>
      <c r="J6036" s="8" t="s">
        <v>18196</v>
      </c>
    </row>
    <row r="6037">
      <c r="A6037" s="7">
        <v>2.0056928E7</v>
      </c>
      <c r="B6037" s="8" t="s">
        <v>14</v>
      </c>
      <c r="C6037" s="8" t="s">
        <v>18197</v>
      </c>
      <c r="D6037" s="8" t="s">
        <v>16</v>
      </c>
      <c r="E6037" s="8" t="s">
        <v>17</v>
      </c>
      <c r="F6037" s="9">
        <v>46151.0</v>
      </c>
      <c r="G6037" s="8" t="s">
        <v>171</v>
      </c>
      <c r="H6037" s="8" t="s">
        <v>172</v>
      </c>
      <c r="I6037" s="8" t="s">
        <v>18198</v>
      </c>
      <c r="J6037" s="8" t="s">
        <v>18199</v>
      </c>
    </row>
    <row r="6038">
      <c r="A6038" s="7">
        <v>2.0056042E7</v>
      </c>
      <c r="B6038" s="8" t="s">
        <v>14</v>
      </c>
      <c r="C6038" s="8" t="s">
        <v>18200</v>
      </c>
      <c r="D6038" s="8" t="s">
        <v>16</v>
      </c>
      <c r="E6038" s="8" t="s">
        <v>17</v>
      </c>
      <c r="F6038" s="9">
        <v>46179.0</v>
      </c>
      <c r="G6038" s="8" t="s">
        <v>18201</v>
      </c>
      <c r="H6038" s="8" t="s">
        <v>18202</v>
      </c>
      <c r="I6038" s="8" t="s">
        <v>18203</v>
      </c>
      <c r="J6038" s="8"/>
    </row>
    <row r="6039">
      <c r="A6039" s="7">
        <v>2.0056042E7</v>
      </c>
      <c r="B6039" s="8" t="s">
        <v>14</v>
      </c>
      <c r="C6039" s="8" t="s">
        <v>18200</v>
      </c>
      <c r="D6039" s="8" t="s">
        <v>16</v>
      </c>
      <c r="E6039" s="8" t="s">
        <v>17</v>
      </c>
      <c r="F6039" s="9">
        <v>46179.0</v>
      </c>
      <c r="G6039" s="8" t="s">
        <v>18204</v>
      </c>
      <c r="H6039" s="8" t="s">
        <v>18205</v>
      </c>
      <c r="I6039" s="8" t="s">
        <v>18206</v>
      </c>
      <c r="J6039" s="8"/>
    </row>
    <row r="6040">
      <c r="A6040" s="7">
        <v>2.0056042E7</v>
      </c>
      <c r="B6040" s="8" t="s">
        <v>14</v>
      </c>
      <c r="C6040" s="8" t="s">
        <v>18200</v>
      </c>
      <c r="D6040" s="8" t="s">
        <v>16</v>
      </c>
      <c r="E6040" s="8" t="s">
        <v>17</v>
      </c>
      <c r="F6040" s="9">
        <v>46179.0</v>
      </c>
      <c r="G6040" s="8" t="s">
        <v>3093</v>
      </c>
      <c r="H6040" s="8" t="s">
        <v>3094</v>
      </c>
      <c r="I6040" s="8" t="s">
        <v>18207</v>
      </c>
      <c r="J6040" s="8" t="s">
        <v>18208</v>
      </c>
    </row>
    <row r="6041">
      <c r="A6041" s="7">
        <v>2.0053403E7</v>
      </c>
      <c r="B6041" s="8" t="s">
        <v>14</v>
      </c>
      <c r="C6041" s="8" t="s">
        <v>18209</v>
      </c>
      <c r="D6041" s="8" t="s">
        <v>16</v>
      </c>
      <c r="E6041" s="8" t="s">
        <v>17</v>
      </c>
      <c r="F6041" s="9">
        <v>46111.0</v>
      </c>
      <c r="G6041" s="8" t="s">
        <v>868</v>
      </c>
      <c r="H6041" s="8" t="s">
        <v>869</v>
      </c>
      <c r="I6041" s="8" t="s">
        <v>18210</v>
      </c>
      <c r="J6041" s="8" t="s">
        <v>18211</v>
      </c>
    </row>
    <row r="6042">
      <c r="A6042" s="7">
        <v>2.005303E7</v>
      </c>
      <c r="B6042" s="8" t="s">
        <v>14</v>
      </c>
      <c r="C6042" s="8" t="s">
        <v>18212</v>
      </c>
      <c r="D6042" s="8" t="s">
        <v>16</v>
      </c>
      <c r="E6042" s="8" t="s">
        <v>17</v>
      </c>
      <c r="F6042" s="9">
        <v>46109.0</v>
      </c>
      <c r="G6042" s="8" t="s">
        <v>59</v>
      </c>
      <c r="H6042" s="8" t="s">
        <v>60</v>
      </c>
      <c r="I6042" s="8" t="s">
        <v>18213</v>
      </c>
      <c r="J6042" s="8" t="s">
        <v>18214</v>
      </c>
    </row>
    <row r="6043">
      <c r="A6043" s="7">
        <v>2.0033101E7</v>
      </c>
      <c r="B6043" s="8" t="s">
        <v>14</v>
      </c>
      <c r="C6043" s="8" t="s">
        <v>18215</v>
      </c>
      <c r="D6043" s="8" t="s">
        <v>16</v>
      </c>
      <c r="E6043" s="8" t="s">
        <v>17</v>
      </c>
      <c r="F6043" s="9">
        <v>46098.0</v>
      </c>
      <c r="G6043" s="8" t="s">
        <v>822</v>
      </c>
      <c r="H6043" s="8" t="s">
        <v>120</v>
      </c>
      <c r="I6043" s="8" t="s">
        <v>18216</v>
      </c>
      <c r="J6043" s="8" t="s">
        <v>18217</v>
      </c>
    </row>
    <row r="6044">
      <c r="A6044" s="7">
        <v>2.0044084E7</v>
      </c>
      <c r="B6044" s="8" t="s">
        <v>14</v>
      </c>
      <c r="C6044" s="8" t="s">
        <v>18218</v>
      </c>
      <c r="D6044" s="8" t="s">
        <v>16</v>
      </c>
      <c r="E6044" s="8" t="s">
        <v>17</v>
      </c>
      <c r="F6044" s="9">
        <v>46100.0</v>
      </c>
      <c r="G6044" s="8" t="s">
        <v>16211</v>
      </c>
      <c r="H6044" s="8" t="s">
        <v>16212</v>
      </c>
      <c r="I6044" s="8" t="s">
        <v>18219</v>
      </c>
      <c r="J6044" s="8" t="s">
        <v>18220</v>
      </c>
    </row>
    <row r="6045">
      <c r="A6045" s="7">
        <v>2.0042123E7</v>
      </c>
      <c r="B6045" s="8" t="s">
        <v>14</v>
      </c>
      <c r="C6045" s="8" t="s">
        <v>18221</v>
      </c>
      <c r="D6045" s="8" t="s">
        <v>16</v>
      </c>
      <c r="E6045" s="8" t="s">
        <v>17</v>
      </c>
      <c r="F6045" s="9">
        <v>46073.0</v>
      </c>
      <c r="G6045" s="8" t="s">
        <v>1285</v>
      </c>
      <c r="H6045" s="8" t="s">
        <v>1286</v>
      </c>
      <c r="I6045" s="8" t="s">
        <v>18222</v>
      </c>
      <c r="J6045" s="8" t="s">
        <v>18223</v>
      </c>
    </row>
    <row r="6046">
      <c r="A6046" s="7">
        <v>2.0040694E7</v>
      </c>
      <c r="B6046" s="8" t="s">
        <v>14</v>
      </c>
      <c r="C6046" s="8" t="s">
        <v>18224</v>
      </c>
      <c r="D6046" s="8" t="s">
        <v>16</v>
      </c>
      <c r="E6046" s="8" t="s">
        <v>17</v>
      </c>
      <c r="F6046" s="9">
        <v>46087.0</v>
      </c>
      <c r="G6046" s="8" t="s">
        <v>18225</v>
      </c>
      <c r="H6046" s="8" t="s">
        <v>7712</v>
      </c>
      <c r="I6046" s="8" t="s">
        <v>18226</v>
      </c>
      <c r="J6046" s="8" t="s">
        <v>18227</v>
      </c>
    </row>
    <row r="6047">
      <c r="A6047" s="7">
        <v>2.003725E7</v>
      </c>
      <c r="B6047" s="8" t="s">
        <v>14</v>
      </c>
      <c r="C6047" s="8" t="s">
        <v>18228</v>
      </c>
      <c r="D6047" s="8" t="s">
        <v>16</v>
      </c>
      <c r="E6047" s="8" t="s">
        <v>17</v>
      </c>
      <c r="F6047" s="9">
        <v>46058.0</v>
      </c>
      <c r="G6047" s="8" t="s">
        <v>2724</v>
      </c>
      <c r="H6047" s="8" t="s">
        <v>2725</v>
      </c>
      <c r="I6047" s="8" t="s">
        <v>18229</v>
      </c>
      <c r="J6047" s="8" t="s">
        <v>18230</v>
      </c>
    </row>
    <row r="6048">
      <c r="A6048" s="7">
        <v>2.0036292E7</v>
      </c>
      <c r="B6048" s="8" t="s">
        <v>14</v>
      </c>
      <c r="C6048" s="8" t="s">
        <v>18231</v>
      </c>
      <c r="D6048" s="8" t="s">
        <v>16</v>
      </c>
      <c r="E6048" s="8" t="s">
        <v>17</v>
      </c>
      <c r="F6048" s="9">
        <v>46044.0</v>
      </c>
      <c r="G6048" s="8" t="s">
        <v>109</v>
      </c>
      <c r="H6048" s="8" t="s">
        <v>110</v>
      </c>
      <c r="I6048" s="8" t="s">
        <v>18232</v>
      </c>
      <c r="J6048" s="8" t="s">
        <v>18233</v>
      </c>
    </row>
    <row r="6049">
      <c r="A6049" s="7">
        <v>2.0036292E7</v>
      </c>
      <c r="B6049" s="8" t="s">
        <v>14</v>
      </c>
      <c r="C6049" s="8" t="s">
        <v>18231</v>
      </c>
      <c r="D6049" s="8" t="s">
        <v>16</v>
      </c>
      <c r="E6049" s="8" t="s">
        <v>17</v>
      </c>
      <c r="F6049" s="9">
        <v>46044.0</v>
      </c>
      <c r="G6049" s="8" t="s">
        <v>7038</v>
      </c>
      <c r="H6049" s="8" t="s">
        <v>7039</v>
      </c>
      <c r="I6049" s="8" t="s">
        <v>18234</v>
      </c>
      <c r="J6049" s="8" t="s">
        <v>18235</v>
      </c>
    </row>
    <row r="6050">
      <c r="A6050" s="7">
        <v>2.0034268E7</v>
      </c>
      <c r="B6050" s="8" t="s">
        <v>14</v>
      </c>
      <c r="C6050" s="8" t="s">
        <v>18236</v>
      </c>
      <c r="D6050" s="8" t="s">
        <v>16</v>
      </c>
      <c r="E6050" s="8" t="s">
        <v>17</v>
      </c>
      <c r="F6050" s="9">
        <v>46055.0</v>
      </c>
      <c r="G6050" s="8" t="s">
        <v>357</v>
      </c>
      <c r="H6050" s="8" t="s">
        <v>358</v>
      </c>
      <c r="I6050" s="8" t="s">
        <v>18237</v>
      </c>
      <c r="J6050" s="8" t="s">
        <v>18238</v>
      </c>
    </row>
    <row r="6051">
      <c r="A6051" s="7">
        <v>2.0071169E7</v>
      </c>
      <c r="B6051" s="8" t="s">
        <v>14</v>
      </c>
      <c r="C6051" s="8" t="s">
        <v>18239</v>
      </c>
      <c r="D6051" s="8" t="s">
        <v>16</v>
      </c>
      <c r="E6051" s="8" t="s">
        <v>17</v>
      </c>
      <c r="F6051" s="9">
        <v>46193.0</v>
      </c>
      <c r="G6051" s="8" t="s">
        <v>109</v>
      </c>
      <c r="H6051" s="8" t="s">
        <v>110</v>
      </c>
      <c r="I6051" s="8" t="s">
        <v>18240</v>
      </c>
      <c r="J6051" s="8" t="s">
        <v>18241</v>
      </c>
    </row>
    <row r="6052">
      <c r="A6052" s="7">
        <v>2.0061917E7</v>
      </c>
      <c r="B6052" s="8" t="s">
        <v>14</v>
      </c>
      <c r="C6052" s="8" t="s">
        <v>18242</v>
      </c>
      <c r="D6052" s="8" t="s">
        <v>16</v>
      </c>
      <c r="E6052" s="8" t="s">
        <v>17</v>
      </c>
      <c r="F6052" s="9">
        <v>46177.0</v>
      </c>
      <c r="G6052" s="8" t="s">
        <v>357</v>
      </c>
      <c r="H6052" s="8" t="s">
        <v>358</v>
      </c>
      <c r="I6052" s="8" t="s">
        <v>18243</v>
      </c>
      <c r="J6052" s="8" t="s">
        <v>18244</v>
      </c>
    </row>
    <row r="6053">
      <c r="A6053" s="7">
        <v>2.0061414E7</v>
      </c>
      <c r="B6053" s="8" t="s">
        <v>14</v>
      </c>
      <c r="C6053" s="8" t="s">
        <v>18245</v>
      </c>
      <c r="D6053" s="8" t="s">
        <v>2136</v>
      </c>
      <c r="E6053" s="8" t="s">
        <v>17</v>
      </c>
      <c r="F6053" s="9">
        <v>46146.0</v>
      </c>
      <c r="G6053" s="8" t="s">
        <v>247</v>
      </c>
      <c r="H6053" s="8" t="s">
        <v>248</v>
      </c>
      <c r="I6053" s="8" t="s">
        <v>18246</v>
      </c>
      <c r="J6053" s="8" t="s">
        <v>18247</v>
      </c>
    </row>
    <row r="6054">
      <c r="A6054" s="7">
        <v>2.0058163E7</v>
      </c>
      <c r="B6054" s="8" t="s">
        <v>14</v>
      </c>
      <c r="C6054" s="8" t="s">
        <v>18248</v>
      </c>
      <c r="D6054" s="8" t="s">
        <v>16</v>
      </c>
      <c r="E6054" s="8" t="s">
        <v>17</v>
      </c>
      <c r="F6054" s="9">
        <v>46148.0</v>
      </c>
      <c r="G6054" s="8" t="s">
        <v>18249</v>
      </c>
      <c r="H6054" s="8" t="s">
        <v>18250</v>
      </c>
      <c r="I6054" s="8" t="s">
        <v>18251</v>
      </c>
      <c r="J6054" s="8"/>
    </row>
    <row r="6055">
      <c r="A6055" s="7">
        <v>2.0057718E7</v>
      </c>
      <c r="B6055" s="8" t="s">
        <v>14</v>
      </c>
      <c r="C6055" s="8" t="s">
        <v>18252</v>
      </c>
      <c r="D6055" s="8" t="s">
        <v>16</v>
      </c>
      <c r="E6055" s="8" t="s">
        <v>17</v>
      </c>
      <c r="F6055" s="9">
        <v>46133.0</v>
      </c>
      <c r="G6055" s="8" t="s">
        <v>805</v>
      </c>
      <c r="H6055" s="8" t="s">
        <v>806</v>
      </c>
      <c r="I6055" s="8" t="s">
        <v>18253</v>
      </c>
      <c r="J6055" s="8" t="s">
        <v>18254</v>
      </c>
    </row>
    <row r="6056">
      <c r="A6056" s="7">
        <v>2.0057573E7</v>
      </c>
      <c r="B6056" s="8" t="s">
        <v>14</v>
      </c>
      <c r="C6056" s="8" t="s">
        <v>18255</v>
      </c>
      <c r="D6056" s="8" t="s">
        <v>16</v>
      </c>
      <c r="E6056" s="8" t="s">
        <v>17</v>
      </c>
      <c r="F6056" s="9">
        <v>46162.0</v>
      </c>
      <c r="G6056" s="8" t="s">
        <v>158</v>
      </c>
      <c r="H6056" s="8" t="s">
        <v>159</v>
      </c>
      <c r="I6056" s="8" t="s">
        <v>18256</v>
      </c>
      <c r="J6056" s="8" t="s">
        <v>18257</v>
      </c>
    </row>
    <row r="6057">
      <c r="A6057" s="7">
        <v>2.0055528E7</v>
      </c>
      <c r="B6057" s="8" t="s">
        <v>14</v>
      </c>
      <c r="C6057" s="8" t="s">
        <v>18258</v>
      </c>
      <c r="D6057" s="8" t="s">
        <v>16</v>
      </c>
      <c r="E6057" s="8" t="s">
        <v>17</v>
      </c>
      <c r="F6057" s="9">
        <v>46128.0</v>
      </c>
      <c r="G6057" s="8" t="s">
        <v>1132</v>
      </c>
      <c r="H6057" s="8" t="s">
        <v>1133</v>
      </c>
      <c r="I6057" s="8" t="s">
        <v>18259</v>
      </c>
      <c r="J6057" s="8" t="s">
        <v>18260</v>
      </c>
    </row>
    <row r="6058">
      <c r="A6058" s="7">
        <v>2.0052513E7</v>
      </c>
      <c r="B6058" s="8" t="s">
        <v>14</v>
      </c>
      <c r="C6058" s="8" t="s">
        <v>18261</v>
      </c>
      <c r="D6058" s="8" t="s">
        <v>16</v>
      </c>
      <c r="E6058" s="8" t="s">
        <v>17</v>
      </c>
      <c r="F6058" s="9">
        <v>46127.0</v>
      </c>
      <c r="G6058" s="8" t="s">
        <v>18262</v>
      </c>
      <c r="H6058" s="8" t="s">
        <v>18263</v>
      </c>
      <c r="I6058" s="8" t="s">
        <v>18264</v>
      </c>
      <c r="J6058" s="8" t="s">
        <v>18265</v>
      </c>
    </row>
    <row r="6059">
      <c r="A6059" s="7">
        <v>2.0052348E7</v>
      </c>
      <c r="B6059" s="8" t="s">
        <v>14</v>
      </c>
      <c r="C6059" s="8" t="s">
        <v>18266</v>
      </c>
      <c r="D6059" s="8" t="s">
        <v>2136</v>
      </c>
      <c r="E6059" s="8" t="s">
        <v>17</v>
      </c>
      <c r="F6059" s="9">
        <v>46106.0</v>
      </c>
      <c r="G6059" s="8" t="s">
        <v>2294</v>
      </c>
      <c r="H6059" s="8" t="s">
        <v>2295</v>
      </c>
      <c r="I6059" s="8" t="s">
        <v>18267</v>
      </c>
      <c r="J6059" s="8" t="s">
        <v>18268</v>
      </c>
    </row>
    <row r="6060">
      <c r="A6060" s="7">
        <v>2.0044652E7</v>
      </c>
      <c r="B6060" s="8" t="s">
        <v>14</v>
      </c>
      <c r="C6060" s="8" t="s">
        <v>18269</v>
      </c>
      <c r="D6060" s="8" t="s">
        <v>16</v>
      </c>
      <c r="E6060" s="8" t="s">
        <v>17</v>
      </c>
      <c r="F6060" s="9">
        <v>46091.0</v>
      </c>
      <c r="G6060" s="8" t="s">
        <v>34</v>
      </c>
      <c r="H6060" s="8" t="s">
        <v>35</v>
      </c>
      <c r="I6060" s="8" t="s">
        <v>18270</v>
      </c>
      <c r="J6060" s="8" t="s">
        <v>18271</v>
      </c>
    </row>
    <row r="6061">
      <c r="A6061" s="7">
        <v>2.0043544E7</v>
      </c>
      <c r="B6061" s="8" t="s">
        <v>14</v>
      </c>
      <c r="C6061" s="8" t="s">
        <v>18272</v>
      </c>
      <c r="D6061" s="8" t="s">
        <v>16</v>
      </c>
      <c r="E6061" s="8" t="s">
        <v>17</v>
      </c>
      <c r="F6061" s="9">
        <v>46072.0</v>
      </c>
      <c r="G6061" s="8" t="s">
        <v>339</v>
      </c>
      <c r="H6061" s="8" t="s">
        <v>340</v>
      </c>
      <c r="I6061" s="8" t="s">
        <v>18273</v>
      </c>
      <c r="J6061" s="8" t="s">
        <v>18274</v>
      </c>
    </row>
    <row r="6062">
      <c r="A6062" s="7">
        <v>2.0040084E7</v>
      </c>
      <c r="B6062" s="8" t="s">
        <v>14</v>
      </c>
      <c r="C6062" s="8" t="s">
        <v>18275</v>
      </c>
      <c r="D6062" s="8" t="s">
        <v>16</v>
      </c>
      <c r="E6062" s="8" t="s">
        <v>17</v>
      </c>
      <c r="F6062" s="9">
        <v>46068.0</v>
      </c>
      <c r="G6062" s="8" t="s">
        <v>29</v>
      </c>
      <c r="H6062" s="8" t="s">
        <v>30</v>
      </c>
      <c r="I6062" s="8" t="s">
        <v>18276</v>
      </c>
      <c r="J6062" s="8" t="s">
        <v>18277</v>
      </c>
    </row>
    <row r="6063">
      <c r="A6063" s="7">
        <v>2.0036534E7</v>
      </c>
      <c r="B6063" s="8" t="s">
        <v>14</v>
      </c>
      <c r="C6063" s="8" t="s">
        <v>18278</v>
      </c>
      <c r="D6063" s="8" t="s">
        <v>16</v>
      </c>
      <c r="E6063" s="8" t="s">
        <v>17</v>
      </c>
      <c r="F6063" s="9">
        <v>46054.0</v>
      </c>
      <c r="G6063" s="8" t="s">
        <v>882</v>
      </c>
      <c r="H6063" s="8" t="s">
        <v>883</v>
      </c>
      <c r="I6063" s="8" t="s">
        <v>18279</v>
      </c>
      <c r="J6063" s="8" t="s">
        <v>18280</v>
      </c>
    </row>
    <row r="6064">
      <c r="A6064" s="7">
        <v>2.0035782E7</v>
      </c>
      <c r="B6064" s="8" t="s">
        <v>14</v>
      </c>
      <c r="C6064" s="8" t="s">
        <v>18281</v>
      </c>
      <c r="D6064" s="8" t="s">
        <v>16</v>
      </c>
      <c r="E6064" s="8" t="s">
        <v>17</v>
      </c>
      <c r="F6064" s="9">
        <v>46066.0</v>
      </c>
      <c r="G6064" s="8" t="s">
        <v>171</v>
      </c>
      <c r="H6064" s="8" t="s">
        <v>172</v>
      </c>
      <c r="I6064" s="8" t="s">
        <v>18282</v>
      </c>
      <c r="J6064" s="8" t="s">
        <v>18283</v>
      </c>
    </row>
    <row r="6065">
      <c r="A6065" s="7">
        <v>2.0036586E7</v>
      </c>
      <c r="B6065" s="8" t="s">
        <v>14</v>
      </c>
      <c r="C6065" s="8" t="s">
        <v>18284</v>
      </c>
      <c r="D6065" s="8" t="s">
        <v>16</v>
      </c>
      <c r="E6065" s="8" t="s">
        <v>17</v>
      </c>
      <c r="F6065" s="9">
        <v>46053.0</v>
      </c>
      <c r="G6065" s="8" t="s">
        <v>1045</v>
      </c>
      <c r="H6065" s="8" t="s">
        <v>909</v>
      </c>
      <c r="I6065" s="8" t="s">
        <v>18285</v>
      </c>
      <c r="J6065" s="8" t="s">
        <v>18286</v>
      </c>
    </row>
    <row r="6066">
      <c r="A6066" s="7">
        <v>2.0032443E7</v>
      </c>
      <c r="B6066" s="8" t="s">
        <v>14</v>
      </c>
      <c r="C6066" s="8" t="s">
        <v>18287</v>
      </c>
      <c r="D6066" s="8" t="s">
        <v>16</v>
      </c>
      <c r="E6066" s="8" t="s">
        <v>17</v>
      </c>
      <c r="F6066" s="9">
        <v>46036.0</v>
      </c>
      <c r="G6066" s="8" t="s">
        <v>59</v>
      </c>
      <c r="H6066" s="8" t="s">
        <v>60</v>
      </c>
      <c r="I6066" s="8" t="s">
        <v>18288</v>
      </c>
      <c r="J6066" s="8" t="s">
        <v>18289</v>
      </c>
    </row>
    <row r="6067">
      <c r="A6067" s="7">
        <v>2.0061888E7</v>
      </c>
      <c r="B6067" s="8" t="s">
        <v>14</v>
      </c>
      <c r="C6067" s="8" t="s">
        <v>18290</v>
      </c>
      <c r="D6067" s="8" t="s">
        <v>16</v>
      </c>
      <c r="E6067" s="8" t="s">
        <v>17</v>
      </c>
      <c r="F6067" s="9">
        <v>46156.0</v>
      </c>
      <c r="G6067" s="8" t="s">
        <v>59</v>
      </c>
      <c r="H6067" s="8" t="s">
        <v>60</v>
      </c>
      <c r="I6067" s="8" t="s">
        <v>18291</v>
      </c>
      <c r="J6067" s="8" t="s">
        <v>18292</v>
      </c>
    </row>
    <row r="6068">
      <c r="A6068" s="7">
        <v>2.0061646E7</v>
      </c>
      <c r="B6068" s="8" t="s">
        <v>14</v>
      </c>
      <c r="C6068" s="8" t="s">
        <v>18293</v>
      </c>
      <c r="D6068" s="8" t="s">
        <v>16</v>
      </c>
      <c r="E6068" s="8" t="s">
        <v>17</v>
      </c>
      <c r="F6068" s="9">
        <v>46147.0</v>
      </c>
      <c r="G6068" s="8" t="s">
        <v>868</v>
      </c>
      <c r="H6068" s="8" t="s">
        <v>869</v>
      </c>
      <c r="I6068" s="8" t="s">
        <v>18294</v>
      </c>
      <c r="J6068" s="8" t="s">
        <v>18295</v>
      </c>
    </row>
    <row r="6069">
      <c r="A6069" s="7">
        <v>2.0061646E7</v>
      </c>
      <c r="B6069" s="8" t="s">
        <v>14</v>
      </c>
      <c r="C6069" s="8" t="s">
        <v>18293</v>
      </c>
      <c r="D6069" s="8" t="s">
        <v>16</v>
      </c>
      <c r="E6069" s="8" t="s">
        <v>17</v>
      </c>
      <c r="F6069" s="9">
        <v>46147.0</v>
      </c>
      <c r="G6069" s="8" t="s">
        <v>1391</v>
      </c>
      <c r="H6069" s="8" t="s">
        <v>1392</v>
      </c>
      <c r="I6069" s="8" t="s">
        <v>18296</v>
      </c>
      <c r="J6069" s="8" t="s">
        <v>18297</v>
      </c>
    </row>
    <row r="6070">
      <c r="A6070" s="7">
        <v>2.0058777E7</v>
      </c>
      <c r="B6070" s="8" t="s">
        <v>14</v>
      </c>
      <c r="C6070" s="8" t="s">
        <v>18298</v>
      </c>
      <c r="D6070" s="8" t="s">
        <v>16</v>
      </c>
      <c r="E6070" s="8" t="s">
        <v>17</v>
      </c>
      <c r="F6070" s="9">
        <v>46159.0</v>
      </c>
      <c r="G6070" s="8" t="s">
        <v>3390</v>
      </c>
      <c r="H6070" s="8" t="s">
        <v>8492</v>
      </c>
      <c r="I6070" s="8" t="s">
        <v>18299</v>
      </c>
      <c r="J6070" s="8"/>
    </row>
    <row r="6071">
      <c r="A6071" s="7">
        <v>2.0058777E7</v>
      </c>
      <c r="B6071" s="8" t="s">
        <v>14</v>
      </c>
      <c r="C6071" s="8" t="s">
        <v>18298</v>
      </c>
      <c r="D6071" s="8" t="s">
        <v>16</v>
      </c>
      <c r="E6071" s="8" t="s">
        <v>17</v>
      </c>
      <c r="F6071" s="9">
        <v>46159.0</v>
      </c>
      <c r="G6071" s="8" t="s">
        <v>2625</v>
      </c>
      <c r="H6071" s="8" t="s">
        <v>3001</v>
      </c>
      <c r="I6071" s="8" t="s">
        <v>18300</v>
      </c>
      <c r="J6071" s="8" t="s">
        <v>18301</v>
      </c>
    </row>
    <row r="6072">
      <c r="A6072" s="7">
        <v>2.0060465E7</v>
      </c>
      <c r="B6072" s="8" t="s">
        <v>14</v>
      </c>
      <c r="C6072" s="8" t="s">
        <v>18302</v>
      </c>
      <c r="D6072" s="8" t="s">
        <v>16</v>
      </c>
      <c r="E6072" s="8" t="s">
        <v>17</v>
      </c>
      <c r="F6072" s="9">
        <v>46149.0</v>
      </c>
      <c r="G6072" s="8" t="s">
        <v>49</v>
      </c>
      <c r="H6072" s="8" t="s">
        <v>50</v>
      </c>
      <c r="I6072" s="8" t="s">
        <v>18303</v>
      </c>
      <c r="J6072" s="8"/>
    </row>
    <row r="6073">
      <c r="A6073" s="7">
        <v>2.0057224E7</v>
      </c>
      <c r="B6073" s="8" t="s">
        <v>14</v>
      </c>
      <c r="C6073" s="8" t="s">
        <v>18304</v>
      </c>
      <c r="D6073" s="8" t="s">
        <v>16</v>
      </c>
      <c r="E6073" s="8" t="s">
        <v>17</v>
      </c>
      <c r="F6073" s="9">
        <v>46129.0</v>
      </c>
      <c r="G6073" s="8" t="s">
        <v>234</v>
      </c>
      <c r="H6073" s="8" t="s">
        <v>235</v>
      </c>
      <c r="I6073" s="8" t="s">
        <v>18305</v>
      </c>
      <c r="J6073" s="8" t="s">
        <v>18306</v>
      </c>
    </row>
    <row r="6074">
      <c r="A6074" s="7">
        <v>2.0051692E7</v>
      </c>
      <c r="B6074" s="8" t="s">
        <v>14</v>
      </c>
      <c r="C6074" s="8" t="s">
        <v>18307</v>
      </c>
      <c r="D6074" s="8" t="s">
        <v>16</v>
      </c>
      <c r="E6074" s="8" t="s">
        <v>17</v>
      </c>
      <c r="F6074" s="9">
        <v>46119.0</v>
      </c>
      <c r="G6074" s="8" t="s">
        <v>64</v>
      </c>
      <c r="H6074" s="8" t="s">
        <v>65</v>
      </c>
      <c r="I6074" s="8" t="s">
        <v>18308</v>
      </c>
      <c r="J6074" s="8" t="s">
        <v>18309</v>
      </c>
    </row>
    <row r="6075">
      <c r="A6075" s="7">
        <v>2.0049149E7</v>
      </c>
      <c r="B6075" s="8" t="s">
        <v>14</v>
      </c>
      <c r="C6075" s="8" t="s">
        <v>18310</v>
      </c>
      <c r="D6075" s="8" t="s">
        <v>16</v>
      </c>
      <c r="E6075" s="8" t="s">
        <v>17</v>
      </c>
      <c r="F6075" s="9">
        <v>46093.0</v>
      </c>
      <c r="G6075" s="8" t="s">
        <v>846</v>
      </c>
      <c r="H6075" s="8" t="s">
        <v>847</v>
      </c>
      <c r="I6075" s="8" t="s">
        <v>18311</v>
      </c>
      <c r="J6075" s="8" t="s">
        <v>18312</v>
      </c>
    </row>
    <row r="6076">
      <c r="A6076" s="7">
        <v>2.0042699E7</v>
      </c>
      <c r="B6076" s="8" t="s">
        <v>14</v>
      </c>
      <c r="C6076" s="8" t="s">
        <v>18313</v>
      </c>
      <c r="D6076" s="8" t="s">
        <v>16</v>
      </c>
      <c r="E6076" s="8" t="s">
        <v>17</v>
      </c>
      <c r="F6076" s="9">
        <v>46079.0</v>
      </c>
      <c r="G6076" s="8" t="s">
        <v>59</v>
      </c>
      <c r="H6076" s="8" t="s">
        <v>60</v>
      </c>
      <c r="I6076" s="8" t="s">
        <v>18314</v>
      </c>
      <c r="J6076" s="8" t="s">
        <v>18315</v>
      </c>
    </row>
    <row r="6077">
      <c r="A6077" s="7">
        <v>2.0036955E7</v>
      </c>
      <c r="B6077" s="8" t="s">
        <v>14</v>
      </c>
      <c r="C6077" s="8" t="s">
        <v>18316</v>
      </c>
      <c r="D6077" s="8" t="s">
        <v>16</v>
      </c>
      <c r="E6077" s="8" t="s">
        <v>17</v>
      </c>
      <c r="F6077" s="9">
        <v>46091.0</v>
      </c>
      <c r="G6077" s="8" t="s">
        <v>1174</v>
      </c>
      <c r="H6077" s="8" t="s">
        <v>1175</v>
      </c>
      <c r="I6077" s="8" t="s">
        <v>18317</v>
      </c>
      <c r="J6077" s="8" t="s">
        <v>18318</v>
      </c>
    </row>
    <row r="6078">
      <c r="A6078" s="7">
        <v>2.004142E7</v>
      </c>
      <c r="B6078" s="8" t="s">
        <v>14</v>
      </c>
      <c r="C6078" s="8" t="s">
        <v>18319</v>
      </c>
      <c r="D6078" s="8" t="s">
        <v>16</v>
      </c>
      <c r="E6078" s="8" t="s">
        <v>17</v>
      </c>
      <c r="F6078" s="9">
        <v>46072.0</v>
      </c>
      <c r="G6078" s="8" t="s">
        <v>59</v>
      </c>
      <c r="H6078" s="8" t="s">
        <v>60</v>
      </c>
      <c r="I6078" s="8" t="s">
        <v>18320</v>
      </c>
      <c r="J6078" s="8" t="s">
        <v>18321</v>
      </c>
    </row>
    <row r="6079">
      <c r="A6079" s="7">
        <v>2.004174E7</v>
      </c>
      <c r="B6079" s="8" t="s">
        <v>14</v>
      </c>
      <c r="C6079" s="8" t="s">
        <v>18322</v>
      </c>
      <c r="D6079" s="8" t="s">
        <v>16</v>
      </c>
      <c r="E6079" s="8" t="s">
        <v>17</v>
      </c>
      <c r="F6079" s="9">
        <v>46069.0</v>
      </c>
      <c r="G6079" s="8" t="s">
        <v>846</v>
      </c>
      <c r="H6079" s="8" t="s">
        <v>847</v>
      </c>
      <c r="I6079" s="8" t="s">
        <v>18323</v>
      </c>
      <c r="J6079" s="8" t="s">
        <v>18324</v>
      </c>
    </row>
    <row r="6080">
      <c r="A6080" s="7">
        <v>2.003914E7</v>
      </c>
      <c r="B6080" s="8" t="s">
        <v>14</v>
      </c>
      <c r="C6080" s="8" t="s">
        <v>18325</v>
      </c>
      <c r="D6080" s="8" t="s">
        <v>16</v>
      </c>
      <c r="E6080" s="8" t="s">
        <v>17</v>
      </c>
      <c r="F6080" s="9">
        <v>46061.0</v>
      </c>
      <c r="G6080" s="8" t="s">
        <v>59</v>
      </c>
      <c r="H6080" s="8" t="s">
        <v>60</v>
      </c>
      <c r="I6080" s="8" t="s">
        <v>18326</v>
      </c>
      <c r="J6080" s="8" t="s">
        <v>18327</v>
      </c>
    </row>
    <row r="6081">
      <c r="A6081" s="7">
        <v>2.0033854E7</v>
      </c>
      <c r="B6081" s="8" t="s">
        <v>14</v>
      </c>
      <c r="C6081" s="8" t="s">
        <v>18328</v>
      </c>
      <c r="D6081" s="8" t="s">
        <v>16</v>
      </c>
      <c r="E6081" s="8" t="s">
        <v>17</v>
      </c>
      <c r="F6081" s="9">
        <v>46035.0</v>
      </c>
      <c r="G6081" s="8" t="s">
        <v>339</v>
      </c>
      <c r="H6081" s="8" t="s">
        <v>340</v>
      </c>
      <c r="I6081" s="8" t="s">
        <v>18329</v>
      </c>
      <c r="J6081" s="8" t="s">
        <v>18330</v>
      </c>
    </row>
    <row r="6082">
      <c r="A6082" s="7">
        <v>2.0067258E7</v>
      </c>
      <c r="B6082" s="8" t="s">
        <v>14</v>
      </c>
      <c r="C6082" s="8" t="s">
        <v>18331</v>
      </c>
      <c r="D6082" s="8" t="s">
        <v>2136</v>
      </c>
      <c r="E6082" s="8" t="s">
        <v>17</v>
      </c>
      <c r="F6082" s="9">
        <v>46170.0</v>
      </c>
      <c r="G6082" s="8" t="s">
        <v>339</v>
      </c>
      <c r="H6082" s="8" t="s">
        <v>340</v>
      </c>
      <c r="I6082" s="8" t="s">
        <v>18332</v>
      </c>
      <c r="J6082" s="8" t="s">
        <v>18333</v>
      </c>
    </row>
    <row r="6083">
      <c r="A6083" s="7">
        <v>2.0040356E7</v>
      </c>
      <c r="B6083" s="8" t="s">
        <v>14</v>
      </c>
      <c r="C6083" s="8" t="s">
        <v>18334</v>
      </c>
      <c r="D6083" s="8" t="s">
        <v>16</v>
      </c>
      <c r="E6083" s="8" t="s">
        <v>17</v>
      </c>
      <c r="F6083" s="9">
        <v>46183.0</v>
      </c>
      <c r="G6083" s="8" t="s">
        <v>1045</v>
      </c>
      <c r="H6083" s="8" t="s">
        <v>909</v>
      </c>
      <c r="I6083" s="8" t="s">
        <v>18335</v>
      </c>
      <c r="J6083" s="8" t="s">
        <v>18336</v>
      </c>
    </row>
    <row r="6084">
      <c r="A6084" s="7">
        <v>2.0065241E7</v>
      </c>
      <c r="B6084" s="8" t="s">
        <v>14</v>
      </c>
      <c r="C6084" s="8" t="s">
        <v>18337</v>
      </c>
      <c r="D6084" s="8" t="s">
        <v>16</v>
      </c>
      <c r="E6084" s="8" t="s">
        <v>17</v>
      </c>
      <c r="F6084" s="9">
        <v>46167.0</v>
      </c>
      <c r="G6084" s="8" t="s">
        <v>34</v>
      </c>
      <c r="H6084" s="8" t="s">
        <v>35</v>
      </c>
      <c r="I6084" s="8" t="s">
        <v>18338</v>
      </c>
      <c r="J6084" s="8" t="s">
        <v>18339</v>
      </c>
    </row>
    <row r="6085">
      <c r="A6085" s="7">
        <v>2.0064903E7</v>
      </c>
      <c r="B6085" s="8" t="s">
        <v>14</v>
      </c>
      <c r="C6085" s="8" t="s">
        <v>18340</v>
      </c>
      <c r="D6085" s="8" t="s">
        <v>2136</v>
      </c>
      <c r="E6085" s="8" t="s">
        <v>17</v>
      </c>
      <c r="F6085" s="9">
        <v>46160.0</v>
      </c>
      <c r="G6085" s="8" t="s">
        <v>234</v>
      </c>
      <c r="H6085" s="8" t="s">
        <v>235</v>
      </c>
      <c r="I6085" s="8" t="s">
        <v>18341</v>
      </c>
      <c r="J6085" s="8" t="s">
        <v>18342</v>
      </c>
    </row>
    <row r="6086">
      <c r="A6086" s="7">
        <v>2.0062389E7</v>
      </c>
      <c r="B6086" s="8" t="s">
        <v>14</v>
      </c>
      <c r="C6086" s="8" t="s">
        <v>18343</v>
      </c>
      <c r="D6086" s="8" t="s">
        <v>2136</v>
      </c>
      <c r="E6086" s="8" t="s">
        <v>17</v>
      </c>
      <c r="F6086" s="9">
        <v>46150.0</v>
      </c>
      <c r="G6086" s="8" t="s">
        <v>846</v>
      </c>
      <c r="H6086" s="8" t="s">
        <v>847</v>
      </c>
      <c r="I6086" s="8" t="s">
        <v>18344</v>
      </c>
      <c r="J6086" s="8" t="s">
        <v>18345</v>
      </c>
    </row>
    <row r="6087">
      <c r="A6087" s="7">
        <v>2.0060768E7</v>
      </c>
      <c r="B6087" s="8" t="s">
        <v>14</v>
      </c>
      <c r="C6087" s="8" t="s">
        <v>18346</v>
      </c>
      <c r="D6087" s="8" t="s">
        <v>16</v>
      </c>
      <c r="E6087" s="8" t="s">
        <v>17</v>
      </c>
      <c r="F6087" s="9">
        <v>46170.0</v>
      </c>
      <c r="G6087" s="8" t="s">
        <v>64</v>
      </c>
      <c r="H6087" s="8" t="s">
        <v>65</v>
      </c>
      <c r="I6087" s="8" t="s">
        <v>18347</v>
      </c>
      <c r="J6087" s="8" t="s">
        <v>18348</v>
      </c>
    </row>
    <row r="6088">
      <c r="A6088" s="7">
        <v>2.005069E7</v>
      </c>
      <c r="B6088" s="8" t="s">
        <v>14</v>
      </c>
      <c r="C6088" s="8" t="s">
        <v>18349</v>
      </c>
      <c r="D6088" s="8" t="s">
        <v>16</v>
      </c>
      <c r="E6088" s="8" t="s">
        <v>17</v>
      </c>
      <c r="F6088" s="9">
        <v>46112.0</v>
      </c>
      <c r="G6088" s="8" t="s">
        <v>75</v>
      </c>
      <c r="H6088" s="8" t="s">
        <v>76</v>
      </c>
      <c r="I6088" s="8" t="s">
        <v>18350</v>
      </c>
      <c r="J6088" s="8" t="s">
        <v>18351</v>
      </c>
    </row>
    <row r="6089">
      <c r="A6089" s="7">
        <v>2.0051162E7</v>
      </c>
      <c r="B6089" s="8" t="s">
        <v>14</v>
      </c>
      <c r="C6089" s="8" t="s">
        <v>18352</v>
      </c>
      <c r="D6089" s="8" t="s">
        <v>16</v>
      </c>
      <c r="E6089" s="8" t="s">
        <v>17</v>
      </c>
      <c r="F6089" s="9">
        <v>46103.0</v>
      </c>
      <c r="G6089" s="8" t="s">
        <v>59</v>
      </c>
      <c r="H6089" s="8" t="s">
        <v>60</v>
      </c>
      <c r="I6089" s="8" t="s">
        <v>18353</v>
      </c>
      <c r="J6089" s="8" t="s">
        <v>18354</v>
      </c>
    </row>
    <row r="6090">
      <c r="A6090" s="7">
        <v>2.0039696E7</v>
      </c>
      <c r="B6090" s="8" t="s">
        <v>14</v>
      </c>
      <c r="C6090" s="8" t="s">
        <v>18355</v>
      </c>
      <c r="D6090" s="8" t="s">
        <v>16</v>
      </c>
      <c r="E6090" s="8" t="s">
        <v>17</v>
      </c>
      <c r="F6090" s="9">
        <v>46080.0</v>
      </c>
      <c r="G6090" s="8" t="s">
        <v>428</v>
      </c>
      <c r="H6090" s="8" t="s">
        <v>429</v>
      </c>
      <c r="I6090" s="8" t="s">
        <v>18356</v>
      </c>
      <c r="J6090" s="8" t="s">
        <v>18357</v>
      </c>
    </row>
    <row r="6091">
      <c r="A6091" s="7">
        <v>2.0039671E7</v>
      </c>
      <c r="B6091" s="8" t="s">
        <v>14</v>
      </c>
      <c r="C6091" s="8" t="s">
        <v>18358</v>
      </c>
      <c r="D6091" s="8" t="s">
        <v>16</v>
      </c>
      <c r="E6091" s="8" t="s">
        <v>17</v>
      </c>
      <c r="F6091" s="9">
        <v>46077.0</v>
      </c>
      <c r="G6091" s="8" t="s">
        <v>184</v>
      </c>
      <c r="H6091" s="8" t="s">
        <v>185</v>
      </c>
      <c r="I6091" s="8" t="s">
        <v>18359</v>
      </c>
      <c r="J6091" s="8" t="s">
        <v>18360</v>
      </c>
    </row>
    <row r="6092">
      <c r="A6092" s="7">
        <v>2.0039875E7</v>
      </c>
      <c r="B6092" s="8" t="s">
        <v>14</v>
      </c>
      <c r="C6092" s="8" t="s">
        <v>18361</v>
      </c>
      <c r="D6092" s="8" t="s">
        <v>16</v>
      </c>
      <c r="E6092" s="8" t="s">
        <v>17</v>
      </c>
      <c r="F6092" s="9">
        <v>46057.0</v>
      </c>
      <c r="G6092" s="8" t="s">
        <v>846</v>
      </c>
      <c r="H6092" s="8" t="s">
        <v>847</v>
      </c>
      <c r="I6092" s="8" t="s">
        <v>18362</v>
      </c>
      <c r="J6092" s="8" t="s">
        <v>18363</v>
      </c>
    </row>
    <row r="6093">
      <c r="A6093" s="7">
        <v>2.0032509E7</v>
      </c>
      <c r="B6093" s="8" t="s">
        <v>14</v>
      </c>
      <c r="C6093" s="8" t="s">
        <v>18364</v>
      </c>
      <c r="D6093" s="8" t="s">
        <v>16</v>
      </c>
      <c r="E6093" s="8" t="s">
        <v>17</v>
      </c>
      <c r="F6093" s="9">
        <v>46051.0</v>
      </c>
      <c r="G6093" s="8" t="s">
        <v>978</v>
      </c>
      <c r="H6093" s="8" t="s">
        <v>979</v>
      </c>
      <c r="I6093" s="8" t="s">
        <v>18365</v>
      </c>
      <c r="J6093" s="8" t="s">
        <v>18366</v>
      </c>
    </row>
    <row r="6094">
      <c r="A6094" s="7">
        <v>2.003627E7</v>
      </c>
      <c r="B6094" s="8" t="s">
        <v>14</v>
      </c>
      <c r="C6094" s="8" t="s">
        <v>18367</v>
      </c>
      <c r="D6094" s="8" t="s">
        <v>16</v>
      </c>
      <c r="E6094" s="8" t="s">
        <v>17</v>
      </c>
      <c r="F6094" s="9">
        <v>46042.0</v>
      </c>
      <c r="G6094" s="8" t="s">
        <v>195</v>
      </c>
      <c r="H6094" s="8" t="s">
        <v>196</v>
      </c>
      <c r="I6094" s="8" t="s">
        <v>18368</v>
      </c>
      <c r="J6094" s="8" t="s">
        <v>18369</v>
      </c>
    </row>
    <row r="6095">
      <c r="A6095" s="7">
        <v>2.0067002E7</v>
      </c>
      <c r="B6095" s="8" t="s">
        <v>14</v>
      </c>
      <c r="C6095" s="8" t="s">
        <v>18370</v>
      </c>
      <c r="D6095" s="8" t="s">
        <v>2136</v>
      </c>
      <c r="E6095" s="8" t="s">
        <v>17</v>
      </c>
      <c r="F6095" s="9">
        <v>46169.0</v>
      </c>
      <c r="G6095" s="8" t="s">
        <v>868</v>
      </c>
      <c r="H6095" s="8" t="s">
        <v>869</v>
      </c>
      <c r="I6095" s="8" t="s">
        <v>18371</v>
      </c>
      <c r="J6095" s="8" t="s">
        <v>18372</v>
      </c>
    </row>
    <row r="6096">
      <c r="A6096" s="7">
        <v>2.0065559E7</v>
      </c>
      <c r="B6096" s="8" t="s">
        <v>14</v>
      </c>
      <c r="C6096" s="8" t="s">
        <v>18373</v>
      </c>
      <c r="D6096" s="8" t="s">
        <v>16</v>
      </c>
      <c r="E6096" s="8" t="s">
        <v>17</v>
      </c>
      <c r="F6096" s="9">
        <v>46172.0</v>
      </c>
      <c r="G6096" s="8" t="s">
        <v>153</v>
      </c>
      <c r="H6096" s="8" t="s">
        <v>154</v>
      </c>
      <c r="I6096" s="8" t="s">
        <v>18374</v>
      </c>
      <c r="J6096" s="8" t="s">
        <v>18375</v>
      </c>
    </row>
    <row r="6097">
      <c r="A6097" s="7">
        <v>2.0061678E7</v>
      </c>
      <c r="B6097" s="8" t="s">
        <v>14</v>
      </c>
      <c r="C6097" s="8" t="s">
        <v>18376</v>
      </c>
      <c r="D6097" s="8" t="s">
        <v>16</v>
      </c>
      <c r="E6097" s="8" t="s">
        <v>17</v>
      </c>
      <c r="F6097" s="9">
        <v>46158.0</v>
      </c>
      <c r="G6097" s="8" t="s">
        <v>908</v>
      </c>
      <c r="H6097" s="8" t="s">
        <v>909</v>
      </c>
      <c r="I6097" s="8" t="s">
        <v>18377</v>
      </c>
      <c r="J6097" s="8" t="s">
        <v>18378</v>
      </c>
    </row>
    <row r="6098">
      <c r="A6098" s="7">
        <v>2.0062072E7</v>
      </c>
      <c r="B6098" s="8" t="s">
        <v>14</v>
      </c>
      <c r="C6098" s="8" t="s">
        <v>18379</v>
      </c>
      <c r="D6098" s="8" t="s">
        <v>2136</v>
      </c>
      <c r="E6098" s="8" t="s">
        <v>17</v>
      </c>
      <c r="F6098" s="9">
        <v>46149.0</v>
      </c>
      <c r="G6098" s="8" t="s">
        <v>805</v>
      </c>
      <c r="H6098" s="8" t="s">
        <v>806</v>
      </c>
      <c r="I6098" s="8" t="s">
        <v>18380</v>
      </c>
      <c r="J6098" s="8" t="s">
        <v>18381</v>
      </c>
    </row>
    <row r="6099">
      <c r="A6099" s="7">
        <v>2.0060558E7</v>
      </c>
      <c r="B6099" s="8" t="s">
        <v>14</v>
      </c>
      <c r="C6099" s="8" t="s">
        <v>18382</v>
      </c>
      <c r="D6099" s="8" t="s">
        <v>16</v>
      </c>
      <c r="E6099" s="8" t="s">
        <v>17</v>
      </c>
      <c r="F6099" s="9">
        <v>46151.0</v>
      </c>
      <c r="G6099" s="8" t="s">
        <v>12390</v>
      </c>
      <c r="H6099" s="8" t="s">
        <v>12391</v>
      </c>
      <c r="I6099" s="8" t="s">
        <v>18383</v>
      </c>
      <c r="J6099" s="8" t="s">
        <v>18384</v>
      </c>
    </row>
    <row r="6100">
      <c r="A6100" s="7">
        <v>2.0057619E7</v>
      </c>
      <c r="B6100" s="8" t="s">
        <v>14</v>
      </c>
      <c r="C6100" s="8" t="s">
        <v>18385</v>
      </c>
      <c r="D6100" s="8" t="s">
        <v>16</v>
      </c>
      <c r="E6100" s="8" t="s">
        <v>17</v>
      </c>
      <c r="F6100" s="9">
        <v>46137.0</v>
      </c>
      <c r="G6100" s="8" t="s">
        <v>504</v>
      </c>
      <c r="H6100" s="8" t="s">
        <v>505</v>
      </c>
      <c r="I6100" s="8" t="s">
        <v>18386</v>
      </c>
      <c r="J6100" s="8" t="s">
        <v>18387</v>
      </c>
    </row>
    <row r="6101">
      <c r="A6101" s="7">
        <v>2.0053687E7</v>
      </c>
      <c r="B6101" s="8" t="s">
        <v>14</v>
      </c>
      <c r="C6101" s="8" t="s">
        <v>18388</v>
      </c>
      <c r="D6101" s="8" t="s">
        <v>16</v>
      </c>
      <c r="E6101" s="8" t="s">
        <v>17</v>
      </c>
      <c r="F6101" s="9">
        <v>46123.0</v>
      </c>
      <c r="G6101" s="8" t="s">
        <v>4850</v>
      </c>
      <c r="H6101" s="8" t="s">
        <v>4851</v>
      </c>
      <c r="I6101" s="8" t="s">
        <v>18389</v>
      </c>
      <c r="J6101" s="8" t="s">
        <v>18390</v>
      </c>
    </row>
    <row r="6102">
      <c r="A6102" s="7">
        <v>2.0053198E7</v>
      </c>
      <c r="B6102" s="8" t="s">
        <v>14</v>
      </c>
      <c r="C6102" s="8" t="s">
        <v>18391</v>
      </c>
      <c r="D6102" s="8" t="s">
        <v>16</v>
      </c>
      <c r="E6102" s="8" t="s">
        <v>17</v>
      </c>
      <c r="F6102" s="9">
        <v>46112.0</v>
      </c>
      <c r="G6102" s="8" t="s">
        <v>59</v>
      </c>
      <c r="H6102" s="8" t="s">
        <v>60</v>
      </c>
      <c r="I6102" s="8" t="s">
        <v>18392</v>
      </c>
      <c r="J6102" s="8" t="s">
        <v>18393</v>
      </c>
    </row>
    <row r="6103">
      <c r="A6103" s="7">
        <v>2.0045534E7</v>
      </c>
      <c r="B6103" s="8" t="s">
        <v>14</v>
      </c>
      <c r="C6103" s="8" t="s">
        <v>18394</v>
      </c>
      <c r="D6103" s="8" t="s">
        <v>16</v>
      </c>
      <c r="E6103" s="8" t="s">
        <v>17</v>
      </c>
      <c r="F6103" s="9">
        <v>46104.0</v>
      </c>
      <c r="G6103" s="8" t="s">
        <v>7354</v>
      </c>
      <c r="H6103" s="8" t="s">
        <v>7355</v>
      </c>
      <c r="I6103" s="8" t="s">
        <v>18395</v>
      </c>
      <c r="J6103" s="8" t="s">
        <v>18396</v>
      </c>
    </row>
    <row r="6104">
      <c r="A6104" s="7">
        <v>2.0045514E7</v>
      </c>
      <c r="B6104" s="8" t="s">
        <v>14</v>
      </c>
      <c r="C6104" s="8" t="s">
        <v>18397</v>
      </c>
      <c r="D6104" s="8" t="s">
        <v>16</v>
      </c>
      <c r="E6104" s="8" t="s">
        <v>17</v>
      </c>
      <c r="F6104" s="9">
        <v>46085.0</v>
      </c>
      <c r="G6104" s="8" t="s">
        <v>220</v>
      </c>
      <c r="H6104" s="8" t="s">
        <v>221</v>
      </c>
      <c r="I6104" s="8" t="s">
        <v>18398</v>
      </c>
      <c r="J6104" s="8" t="s">
        <v>18399</v>
      </c>
    </row>
    <row r="6105">
      <c r="A6105" s="7">
        <v>2.0044118E7</v>
      </c>
      <c r="B6105" s="8" t="s">
        <v>14</v>
      </c>
      <c r="C6105" s="8" t="s">
        <v>18400</v>
      </c>
      <c r="D6105" s="8" t="s">
        <v>16</v>
      </c>
      <c r="E6105" s="8" t="s">
        <v>17</v>
      </c>
      <c r="F6105" s="9">
        <v>46079.0</v>
      </c>
      <c r="G6105" s="8" t="s">
        <v>49</v>
      </c>
      <c r="H6105" s="8" t="s">
        <v>50</v>
      </c>
      <c r="I6105" s="8" t="s">
        <v>18401</v>
      </c>
      <c r="J6105" s="8" t="s">
        <v>18402</v>
      </c>
    </row>
    <row r="6106">
      <c r="A6106" s="7">
        <v>2.004215E7</v>
      </c>
      <c r="B6106" s="8" t="s">
        <v>14</v>
      </c>
      <c r="C6106" s="8" t="s">
        <v>18403</v>
      </c>
      <c r="D6106" s="8" t="s">
        <v>16</v>
      </c>
      <c r="E6106" s="8" t="s">
        <v>17</v>
      </c>
      <c r="F6106" s="9">
        <v>46073.0</v>
      </c>
      <c r="G6106" s="8" t="s">
        <v>59</v>
      </c>
      <c r="H6106" s="8" t="s">
        <v>60</v>
      </c>
      <c r="I6106" s="8" t="s">
        <v>18404</v>
      </c>
      <c r="J6106" s="8" t="s">
        <v>18405</v>
      </c>
    </row>
    <row r="6107">
      <c r="A6107" s="7">
        <v>2.0041832E7</v>
      </c>
      <c r="B6107" s="8" t="s">
        <v>14</v>
      </c>
      <c r="C6107" s="8" t="s">
        <v>18406</v>
      </c>
      <c r="D6107" s="8" t="s">
        <v>16</v>
      </c>
      <c r="E6107" s="8" t="s">
        <v>17</v>
      </c>
      <c r="F6107" s="9">
        <v>46075.0</v>
      </c>
      <c r="G6107" s="8" t="s">
        <v>1557</v>
      </c>
      <c r="H6107" s="8" t="s">
        <v>1558</v>
      </c>
      <c r="I6107" s="8" t="s">
        <v>18407</v>
      </c>
      <c r="J6107" s="8" t="s">
        <v>18408</v>
      </c>
    </row>
    <row r="6108">
      <c r="A6108" s="7">
        <v>2.0039995E7</v>
      </c>
      <c r="B6108" s="8" t="s">
        <v>14</v>
      </c>
      <c r="C6108" s="8" t="s">
        <v>18409</v>
      </c>
      <c r="D6108" s="8" t="s">
        <v>16</v>
      </c>
      <c r="E6108" s="8" t="s">
        <v>17</v>
      </c>
      <c r="F6108" s="9">
        <v>46068.0</v>
      </c>
      <c r="G6108" s="8" t="s">
        <v>247</v>
      </c>
      <c r="H6108" s="8" t="s">
        <v>248</v>
      </c>
      <c r="I6108" s="8" t="s">
        <v>18410</v>
      </c>
      <c r="J6108" s="8" t="s">
        <v>18411</v>
      </c>
    </row>
    <row r="6109">
      <c r="A6109" s="7">
        <v>2.0038948E7</v>
      </c>
      <c r="B6109" s="8" t="s">
        <v>14</v>
      </c>
      <c r="C6109" s="8" t="s">
        <v>18412</v>
      </c>
      <c r="D6109" s="8" t="s">
        <v>16</v>
      </c>
      <c r="E6109" s="8" t="s">
        <v>17</v>
      </c>
      <c r="F6109" s="9">
        <v>46055.0</v>
      </c>
      <c r="G6109" s="8" t="s">
        <v>195</v>
      </c>
      <c r="H6109" s="8" t="s">
        <v>196</v>
      </c>
      <c r="I6109" s="8" t="s">
        <v>18413</v>
      </c>
      <c r="J6109" s="8" t="s">
        <v>18414</v>
      </c>
    </row>
    <row r="6110">
      <c r="A6110" s="7">
        <v>2.0035633E7</v>
      </c>
      <c r="B6110" s="8" t="s">
        <v>14</v>
      </c>
      <c r="C6110" s="8" t="s">
        <v>18415</v>
      </c>
      <c r="D6110" s="8" t="s">
        <v>16</v>
      </c>
      <c r="E6110" s="8" t="s">
        <v>17</v>
      </c>
      <c r="F6110" s="9">
        <v>46041.0</v>
      </c>
      <c r="G6110" s="8" t="s">
        <v>846</v>
      </c>
      <c r="H6110" s="8" t="s">
        <v>847</v>
      </c>
      <c r="I6110" s="8" t="s">
        <v>18416</v>
      </c>
      <c r="J6110" s="8" t="s">
        <v>18417</v>
      </c>
    </row>
    <row r="6111">
      <c r="A6111" s="7">
        <v>2.0033302E7</v>
      </c>
      <c r="B6111" s="8" t="s">
        <v>14</v>
      </c>
      <c r="C6111" s="8" t="s">
        <v>18418</v>
      </c>
      <c r="D6111" s="8" t="s">
        <v>16</v>
      </c>
      <c r="E6111" s="8" t="s">
        <v>17</v>
      </c>
      <c r="F6111" s="9">
        <v>46056.0</v>
      </c>
      <c r="G6111" s="8" t="s">
        <v>410</v>
      </c>
      <c r="H6111" s="8" t="s">
        <v>411</v>
      </c>
      <c r="I6111" s="8" t="s">
        <v>18419</v>
      </c>
      <c r="J6111" s="8" t="s">
        <v>18420</v>
      </c>
    </row>
    <row r="6112">
      <c r="A6112" s="7">
        <v>2.0033052E7</v>
      </c>
      <c r="B6112" s="8" t="s">
        <v>14</v>
      </c>
      <c r="C6112" s="8" t="s">
        <v>18421</v>
      </c>
      <c r="D6112" s="8" t="s">
        <v>16</v>
      </c>
      <c r="E6112" s="8" t="s">
        <v>17</v>
      </c>
      <c r="F6112" s="9">
        <v>46046.0</v>
      </c>
      <c r="G6112" s="8" t="s">
        <v>234</v>
      </c>
      <c r="H6112" s="8" t="s">
        <v>235</v>
      </c>
      <c r="I6112" s="8" t="s">
        <v>18422</v>
      </c>
      <c r="J6112" s="8" t="s">
        <v>18423</v>
      </c>
    </row>
    <row r="6113">
      <c r="A6113" s="7">
        <v>2.0033052E7</v>
      </c>
      <c r="B6113" s="8" t="s">
        <v>14</v>
      </c>
      <c r="C6113" s="8" t="s">
        <v>18421</v>
      </c>
      <c r="D6113" s="8" t="s">
        <v>16</v>
      </c>
      <c r="E6113" s="8" t="s">
        <v>17</v>
      </c>
      <c r="F6113" s="9">
        <v>46046.0</v>
      </c>
      <c r="G6113" s="8" t="s">
        <v>3255</v>
      </c>
      <c r="H6113" s="8" t="s">
        <v>3256</v>
      </c>
      <c r="I6113" s="8" t="s">
        <v>18424</v>
      </c>
      <c r="J6113" s="8" t="s">
        <v>18425</v>
      </c>
    </row>
    <row r="6114">
      <c r="A6114" s="7">
        <v>2.007271E7</v>
      </c>
      <c r="B6114" s="8" t="s">
        <v>14</v>
      </c>
      <c r="C6114" s="8" t="s">
        <v>18426</v>
      </c>
      <c r="D6114" s="8" t="s">
        <v>2136</v>
      </c>
      <c r="E6114" s="8" t="s">
        <v>17</v>
      </c>
      <c r="F6114" s="9">
        <v>46192.0</v>
      </c>
      <c r="G6114" s="8" t="s">
        <v>59</v>
      </c>
      <c r="H6114" s="8" t="s">
        <v>60</v>
      </c>
      <c r="I6114" s="8" t="s">
        <v>18427</v>
      </c>
      <c r="J6114" s="8" t="s">
        <v>18428</v>
      </c>
    </row>
    <row r="6115">
      <c r="A6115" s="7">
        <v>2.0068116E7</v>
      </c>
      <c r="B6115" s="8" t="s">
        <v>14</v>
      </c>
      <c r="C6115" s="8" t="s">
        <v>18429</v>
      </c>
      <c r="D6115" s="8" t="s">
        <v>16</v>
      </c>
      <c r="E6115" s="8" t="s">
        <v>17</v>
      </c>
      <c r="F6115" s="9">
        <v>46183.0</v>
      </c>
      <c r="G6115" s="8" t="s">
        <v>195</v>
      </c>
      <c r="H6115" s="8" t="s">
        <v>196</v>
      </c>
      <c r="I6115" s="8" t="s">
        <v>18430</v>
      </c>
      <c r="J6115" s="8" t="s">
        <v>18431</v>
      </c>
    </row>
    <row r="6116">
      <c r="A6116" s="7">
        <v>2.0065177E7</v>
      </c>
      <c r="B6116" s="8" t="s">
        <v>14</v>
      </c>
      <c r="C6116" s="8" t="s">
        <v>18432</v>
      </c>
      <c r="D6116" s="8" t="s">
        <v>16</v>
      </c>
      <c r="E6116" s="8" t="s">
        <v>17</v>
      </c>
      <c r="F6116" s="9">
        <v>46161.0</v>
      </c>
      <c r="G6116" s="8" t="s">
        <v>220</v>
      </c>
      <c r="H6116" s="8" t="s">
        <v>221</v>
      </c>
      <c r="I6116" s="8" t="s">
        <v>18433</v>
      </c>
      <c r="J6116" s="8" t="s">
        <v>18434</v>
      </c>
    </row>
    <row r="6117">
      <c r="A6117" s="7">
        <v>2.0059045E7</v>
      </c>
      <c r="B6117" s="8" t="s">
        <v>14</v>
      </c>
      <c r="C6117" s="8" t="s">
        <v>18435</v>
      </c>
      <c r="D6117" s="8" t="s">
        <v>16</v>
      </c>
      <c r="E6117" s="8" t="s">
        <v>17</v>
      </c>
      <c r="F6117" s="9">
        <v>46138.0</v>
      </c>
      <c r="G6117" s="8" t="s">
        <v>805</v>
      </c>
      <c r="H6117" s="8" t="s">
        <v>806</v>
      </c>
      <c r="I6117" s="8" t="s">
        <v>18436</v>
      </c>
      <c r="J6117" s="8" t="s">
        <v>18437</v>
      </c>
    </row>
    <row r="6118">
      <c r="A6118" s="7">
        <v>2.0057328E7</v>
      </c>
      <c r="B6118" s="8" t="s">
        <v>14</v>
      </c>
      <c r="C6118" s="8" t="s">
        <v>18438</v>
      </c>
      <c r="D6118" s="8" t="s">
        <v>16</v>
      </c>
      <c r="E6118" s="8" t="s">
        <v>17</v>
      </c>
      <c r="F6118" s="9">
        <v>46130.0</v>
      </c>
      <c r="G6118" s="8" t="s">
        <v>59</v>
      </c>
      <c r="H6118" s="8" t="s">
        <v>60</v>
      </c>
      <c r="I6118" s="8" t="s">
        <v>18439</v>
      </c>
      <c r="J6118" s="8" t="s">
        <v>18440</v>
      </c>
    </row>
    <row r="6119">
      <c r="A6119" s="7">
        <v>2.0056414E7</v>
      </c>
      <c r="B6119" s="8" t="s">
        <v>14</v>
      </c>
      <c r="C6119" s="8" t="s">
        <v>18441</v>
      </c>
      <c r="D6119" s="8" t="s">
        <v>16</v>
      </c>
      <c r="E6119" s="8" t="s">
        <v>17</v>
      </c>
      <c r="F6119" s="9">
        <v>46146.0</v>
      </c>
      <c r="G6119" s="8" t="s">
        <v>594</v>
      </c>
      <c r="H6119" s="8" t="s">
        <v>595</v>
      </c>
      <c r="I6119" s="8" t="s">
        <v>18442</v>
      </c>
      <c r="J6119" s="8" t="s">
        <v>18443</v>
      </c>
    </row>
    <row r="6120">
      <c r="A6120" s="7">
        <v>2.0055943E7</v>
      </c>
      <c r="B6120" s="8" t="s">
        <v>14</v>
      </c>
      <c r="C6120" s="8" t="s">
        <v>18444</v>
      </c>
      <c r="D6120" s="8" t="s">
        <v>16</v>
      </c>
      <c r="E6120" s="8" t="s">
        <v>17</v>
      </c>
      <c r="F6120" s="9">
        <v>46123.0</v>
      </c>
      <c r="G6120" s="8" t="s">
        <v>59</v>
      </c>
      <c r="H6120" s="8" t="s">
        <v>60</v>
      </c>
      <c r="I6120" s="8" t="s">
        <v>18445</v>
      </c>
      <c r="J6120" s="8" t="s">
        <v>18446</v>
      </c>
    </row>
    <row r="6121">
      <c r="A6121" s="7">
        <v>2.0053041E7</v>
      </c>
      <c r="B6121" s="8" t="s">
        <v>14</v>
      </c>
      <c r="C6121" s="8" t="s">
        <v>18447</v>
      </c>
      <c r="D6121" s="8" t="s">
        <v>16</v>
      </c>
      <c r="E6121" s="8" t="s">
        <v>17</v>
      </c>
      <c r="F6121" s="9">
        <v>46109.0</v>
      </c>
      <c r="G6121" s="8" t="s">
        <v>59</v>
      </c>
      <c r="H6121" s="8" t="s">
        <v>60</v>
      </c>
      <c r="I6121" s="8" t="s">
        <v>18448</v>
      </c>
      <c r="J6121" s="8" t="s">
        <v>18449</v>
      </c>
    </row>
    <row r="6122">
      <c r="A6122" s="7">
        <v>2.0047429E7</v>
      </c>
      <c r="B6122" s="8" t="s">
        <v>14</v>
      </c>
      <c r="C6122" s="8" t="s">
        <v>18450</v>
      </c>
      <c r="D6122" s="8" t="s">
        <v>16</v>
      </c>
      <c r="E6122" s="8" t="s">
        <v>17</v>
      </c>
      <c r="F6122" s="9">
        <v>46086.0</v>
      </c>
      <c r="G6122" s="8" t="s">
        <v>59</v>
      </c>
      <c r="H6122" s="8" t="s">
        <v>60</v>
      </c>
      <c r="I6122" s="8" t="s">
        <v>18451</v>
      </c>
      <c r="J6122" s="8" t="s">
        <v>18452</v>
      </c>
    </row>
    <row r="6123">
      <c r="A6123" s="7">
        <v>2.0023478E7</v>
      </c>
      <c r="B6123" s="8" t="s">
        <v>14</v>
      </c>
      <c r="C6123" s="8" t="s">
        <v>18453</v>
      </c>
      <c r="D6123" s="8" t="s">
        <v>16</v>
      </c>
      <c r="E6123" s="8" t="s">
        <v>17</v>
      </c>
      <c r="F6123" s="9">
        <v>46108.0</v>
      </c>
      <c r="G6123" s="8" t="s">
        <v>2202</v>
      </c>
      <c r="H6123" s="8" t="s">
        <v>2203</v>
      </c>
      <c r="I6123" s="8" t="s">
        <v>18454</v>
      </c>
      <c r="J6123" s="8"/>
    </row>
    <row r="6124">
      <c r="A6124" s="7">
        <v>2.0046854E7</v>
      </c>
      <c r="B6124" s="8" t="s">
        <v>14</v>
      </c>
      <c r="C6124" s="8" t="s">
        <v>18455</v>
      </c>
      <c r="D6124" s="8" t="s">
        <v>16</v>
      </c>
      <c r="E6124" s="8" t="s">
        <v>17</v>
      </c>
      <c r="F6124" s="9">
        <v>46084.0</v>
      </c>
      <c r="G6124" s="8" t="s">
        <v>805</v>
      </c>
      <c r="H6124" s="8" t="s">
        <v>806</v>
      </c>
      <c r="I6124" s="8" t="s">
        <v>18456</v>
      </c>
      <c r="J6124" s="8" t="s">
        <v>18457</v>
      </c>
    </row>
    <row r="6125">
      <c r="A6125" s="7">
        <v>2.0035846E7</v>
      </c>
      <c r="B6125" s="8" t="s">
        <v>14</v>
      </c>
      <c r="C6125" s="8" t="s">
        <v>18458</v>
      </c>
      <c r="D6125" s="8" t="s">
        <v>16</v>
      </c>
      <c r="E6125" s="8" t="s">
        <v>17</v>
      </c>
      <c r="F6125" s="9">
        <v>46088.0</v>
      </c>
      <c r="G6125" s="8" t="s">
        <v>13956</v>
      </c>
      <c r="H6125" s="8" t="s">
        <v>13957</v>
      </c>
      <c r="I6125" s="8" t="s">
        <v>18459</v>
      </c>
      <c r="J6125" s="8" t="s">
        <v>18460</v>
      </c>
    </row>
    <row r="6126">
      <c r="A6126" s="7">
        <v>2.0035846E7</v>
      </c>
      <c r="B6126" s="8" t="s">
        <v>14</v>
      </c>
      <c r="C6126" s="8" t="s">
        <v>18458</v>
      </c>
      <c r="D6126" s="8" t="s">
        <v>16</v>
      </c>
      <c r="E6126" s="8" t="s">
        <v>17</v>
      </c>
      <c r="F6126" s="9">
        <v>46088.0</v>
      </c>
      <c r="G6126" s="8" t="s">
        <v>1132</v>
      </c>
      <c r="H6126" s="8" t="s">
        <v>1133</v>
      </c>
      <c r="I6126" s="8" t="s">
        <v>18461</v>
      </c>
      <c r="J6126" s="8" t="s">
        <v>18462</v>
      </c>
    </row>
    <row r="6127">
      <c r="A6127" s="7">
        <v>2.00433E7</v>
      </c>
      <c r="B6127" s="8" t="s">
        <v>14</v>
      </c>
      <c r="C6127" s="8" t="s">
        <v>18463</v>
      </c>
      <c r="D6127" s="8" t="s">
        <v>16</v>
      </c>
      <c r="E6127" s="8" t="s">
        <v>17</v>
      </c>
      <c r="F6127" s="9">
        <v>46075.0</v>
      </c>
      <c r="G6127" s="8" t="s">
        <v>59</v>
      </c>
      <c r="H6127" s="8" t="s">
        <v>60</v>
      </c>
      <c r="I6127" s="8" t="s">
        <v>18464</v>
      </c>
      <c r="J6127" s="8" t="s">
        <v>18465</v>
      </c>
    </row>
    <row r="6128">
      <c r="A6128" s="7">
        <v>2.0039994E7</v>
      </c>
      <c r="B6128" s="8" t="s">
        <v>14</v>
      </c>
      <c r="C6128" s="8" t="s">
        <v>18466</v>
      </c>
      <c r="D6128" s="8" t="s">
        <v>16</v>
      </c>
      <c r="E6128" s="8" t="s">
        <v>17</v>
      </c>
      <c r="F6128" s="9">
        <v>46066.0</v>
      </c>
      <c r="G6128" s="8" t="s">
        <v>385</v>
      </c>
      <c r="H6128" s="8" t="s">
        <v>386</v>
      </c>
      <c r="I6128" s="8" t="s">
        <v>18467</v>
      </c>
      <c r="J6128" s="8" t="s">
        <v>18468</v>
      </c>
    </row>
    <row r="6129">
      <c r="A6129" s="7">
        <v>2.0039256E7</v>
      </c>
      <c r="B6129" s="8" t="s">
        <v>14</v>
      </c>
      <c r="C6129" s="8" t="s">
        <v>18469</v>
      </c>
      <c r="D6129" s="8" t="s">
        <v>16</v>
      </c>
      <c r="E6129" s="8" t="s">
        <v>17</v>
      </c>
      <c r="F6129" s="9">
        <v>46067.0</v>
      </c>
      <c r="G6129" s="8" t="s">
        <v>630</v>
      </c>
      <c r="H6129" s="8" t="s">
        <v>631</v>
      </c>
      <c r="I6129" s="8" t="s">
        <v>18470</v>
      </c>
      <c r="J6129" s="8" t="s">
        <v>18471</v>
      </c>
    </row>
    <row r="6130">
      <c r="A6130" s="7">
        <v>2.0033248E7</v>
      </c>
      <c r="B6130" s="8" t="s">
        <v>14</v>
      </c>
      <c r="C6130" s="8" t="s">
        <v>18472</v>
      </c>
      <c r="D6130" s="8" t="s">
        <v>16</v>
      </c>
      <c r="E6130" s="8" t="s">
        <v>17</v>
      </c>
      <c r="F6130" s="9">
        <v>46060.0</v>
      </c>
      <c r="G6130" s="8" t="s">
        <v>70</v>
      </c>
      <c r="H6130" s="8" t="s">
        <v>71</v>
      </c>
      <c r="I6130" s="8" t="s">
        <v>18473</v>
      </c>
      <c r="J6130" s="8" t="s">
        <v>18474</v>
      </c>
    </row>
    <row r="6131">
      <c r="A6131" s="7">
        <v>2.0035142E7</v>
      </c>
      <c r="B6131" s="8" t="s">
        <v>14</v>
      </c>
      <c r="C6131" s="8" t="s">
        <v>18475</v>
      </c>
      <c r="D6131" s="8" t="s">
        <v>16</v>
      </c>
      <c r="E6131" s="8" t="s">
        <v>17</v>
      </c>
      <c r="F6131" s="9">
        <v>46055.0</v>
      </c>
      <c r="G6131" s="8" t="s">
        <v>314</v>
      </c>
      <c r="H6131" s="8" t="s">
        <v>315</v>
      </c>
      <c r="I6131" s="8" t="s">
        <v>18476</v>
      </c>
      <c r="J6131" s="8" t="s">
        <v>4089</v>
      </c>
    </row>
    <row r="6132">
      <c r="A6132" s="7">
        <v>2.0034228E7</v>
      </c>
      <c r="B6132" s="8" t="s">
        <v>14</v>
      </c>
      <c r="C6132" s="8" t="s">
        <v>18477</v>
      </c>
      <c r="D6132" s="8" t="s">
        <v>16</v>
      </c>
      <c r="E6132" s="8" t="s">
        <v>17</v>
      </c>
      <c r="F6132" s="9">
        <v>46056.0</v>
      </c>
      <c r="G6132" s="8" t="s">
        <v>158</v>
      </c>
      <c r="H6132" s="8" t="s">
        <v>159</v>
      </c>
      <c r="I6132" s="8" t="s">
        <v>18478</v>
      </c>
      <c r="J6132" s="8" t="s">
        <v>18479</v>
      </c>
    </row>
    <row r="6133">
      <c r="A6133" s="7">
        <v>2.0032386E7</v>
      </c>
      <c r="B6133" s="8" t="s">
        <v>14</v>
      </c>
      <c r="C6133" s="8" t="s">
        <v>18480</v>
      </c>
      <c r="D6133" s="8" t="s">
        <v>16</v>
      </c>
      <c r="E6133" s="8" t="s">
        <v>17</v>
      </c>
      <c r="F6133" s="9">
        <v>46060.0</v>
      </c>
      <c r="G6133" s="8" t="s">
        <v>314</v>
      </c>
      <c r="H6133" s="8" t="s">
        <v>315</v>
      </c>
      <c r="I6133" s="8" t="s">
        <v>18481</v>
      </c>
      <c r="J6133" s="8" t="s">
        <v>18482</v>
      </c>
    </row>
    <row r="6134">
      <c r="A6134" s="7">
        <v>2.0032386E7</v>
      </c>
      <c r="B6134" s="8" t="s">
        <v>14</v>
      </c>
      <c r="C6134" s="8" t="s">
        <v>18480</v>
      </c>
      <c r="D6134" s="8" t="s">
        <v>16</v>
      </c>
      <c r="E6134" s="8" t="s">
        <v>17</v>
      </c>
      <c r="F6134" s="9">
        <v>46060.0</v>
      </c>
      <c r="G6134" s="8" t="s">
        <v>314</v>
      </c>
      <c r="H6134" s="8" t="s">
        <v>315</v>
      </c>
      <c r="I6134" s="8"/>
      <c r="J6134" s="8" t="s">
        <v>18482</v>
      </c>
    </row>
    <row r="6135">
      <c r="A6135" s="7">
        <v>2.0033069E7</v>
      </c>
      <c r="B6135" s="8" t="s">
        <v>14</v>
      </c>
      <c r="C6135" s="8" t="s">
        <v>18483</v>
      </c>
      <c r="D6135" s="8" t="s">
        <v>16</v>
      </c>
      <c r="E6135" s="8" t="s">
        <v>17</v>
      </c>
      <c r="F6135" s="9">
        <v>46036.0</v>
      </c>
      <c r="G6135" s="8" t="s">
        <v>91</v>
      </c>
      <c r="H6135" s="8" t="s">
        <v>92</v>
      </c>
      <c r="I6135" s="8" t="s">
        <v>18484</v>
      </c>
      <c r="J6135" s="8" t="s">
        <v>18485</v>
      </c>
    </row>
    <row r="6136">
      <c r="A6136" s="7">
        <v>2.0063687E7</v>
      </c>
      <c r="B6136" s="8" t="s">
        <v>14</v>
      </c>
      <c r="C6136" s="8" t="s">
        <v>18486</v>
      </c>
      <c r="D6136" s="8" t="s">
        <v>16</v>
      </c>
      <c r="E6136" s="8" t="s">
        <v>17</v>
      </c>
      <c r="F6136" s="9">
        <v>46171.0</v>
      </c>
      <c r="G6136" s="8" t="s">
        <v>2589</v>
      </c>
      <c r="H6136" s="8" t="s">
        <v>18487</v>
      </c>
      <c r="I6136" s="8" t="s">
        <v>18488</v>
      </c>
      <c r="J6136" s="8" t="s">
        <v>18489</v>
      </c>
    </row>
    <row r="6137">
      <c r="A6137" s="7">
        <v>2.0063687E7</v>
      </c>
      <c r="B6137" s="8" t="s">
        <v>14</v>
      </c>
      <c r="C6137" s="8" t="s">
        <v>18486</v>
      </c>
      <c r="D6137" s="8" t="s">
        <v>16</v>
      </c>
      <c r="E6137" s="8" t="s">
        <v>17</v>
      </c>
      <c r="F6137" s="9">
        <v>46171.0</v>
      </c>
      <c r="G6137" s="8" t="s">
        <v>826</v>
      </c>
      <c r="H6137" s="8" t="s">
        <v>7633</v>
      </c>
      <c r="I6137" s="8" t="s">
        <v>18490</v>
      </c>
      <c r="J6137" s="8" t="s">
        <v>18491</v>
      </c>
    </row>
    <row r="6138">
      <c r="A6138" s="7">
        <v>2.0063998E7</v>
      </c>
      <c r="B6138" s="8" t="s">
        <v>14</v>
      </c>
      <c r="C6138" s="8" t="s">
        <v>18492</v>
      </c>
      <c r="D6138" s="8" t="s">
        <v>16</v>
      </c>
      <c r="E6138" s="8" t="s">
        <v>17</v>
      </c>
      <c r="F6138" s="9">
        <v>46169.0</v>
      </c>
      <c r="G6138" s="8" t="s">
        <v>3027</v>
      </c>
      <c r="H6138" s="8" t="s">
        <v>909</v>
      </c>
      <c r="I6138" s="8" t="s">
        <v>18493</v>
      </c>
      <c r="J6138" s="8" t="s">
        <v>18494</v>
      </c>
    </row>
    <row r="6139">
      <c r="A6139" s="7">
        <v>2.0059241E7</v>
      </c>
      <c r="B6139" s="8" t="s">
        <v>14</v>
      </c>
      <c r="C6139" s="8" t="s">
        <v>18495</v>
      </c>
      <c r="D6139" s="8" t="s">
        <v>16</v>
      </c>
      <c r="E6139" s="8" t="s">
        <v>17</v>
      </c>
      <c r="F6139" s="9">
        <v>46155.0</v>
      </c>
      <c r="G6139" s="8" t="s">
        <v>1285</v>
      </c>
      <c r="H6139" s="8" t="s">
        <v>1286</v>
      </c>
      <c r="I6139" s="8" t="s">
        <v>18496</v>
      </c>
      <c r="J6139" s="8" t="s">
        <v>18497</v>
      </c>
    </row>
    <row r="6140">
      <c r="A6140" s="7">
        <v>2.0059061E7</v>
      </c>
      <c r="B6140" s="8" t="s">
        <v>14</v>
      </c>
      <c r="C6140" s="8" t="s">
        <v>18498</v>
      </c>
      <c r="D6140" s="8" t="s">
        <v>16</v>
      </c>
      <c r="E6140" s="8" t="s">
        <v>17</v>
      </c>
      <c r="F6140" s="9">
        <v>46161.0</v>
      </c>
      <c r="G6140" s="8" t="s">
        <v>3136</v>
      </c>
      <c r="H6140" s="8" t="s">
        <v>3137</v>
      </c>
      <c r="I6140" s="8" t="s">
        <v>18499</v>
      </c>
      <c r="J6140" s="8"/>
    </row>
    <row r="6141">
      <c r="A6141" s="7">
        <v>2.0056306E7</v>
      </c>
      <c r="B6141" s="8" t="s">
        <v>14</v>
      </c>
      <c r="C6141" s="8" t="s">
        <v>18500</v>
      </c>
      <c r="D6141" s="8" t="s">
        <v>16</v>
      </c>
      <c r="E6141" s="8" t="s">
        <v>17</v>
      </c>
      <c r="F6141" s="9">
        <v>46134.0</v>
      </c>
      <c r="G6141" s="8" t="s">
        <v>109</v>
      </c>
      <c r="H6141" s="8" t="s">
        <v>110</v>
      </c>
      <c r="I6141" s="8" t="s">
        <v>18501</v>
      </c>
      <c r="J6141" s="8" t="s">
        <v>18502</v>
      </c>
    </row>
    <row r="6142">
      <c r="A6142" s="7">
        <v>2.0051032E7</v>
      </c>
      <c r="B6142" s="8" t="s">
        <v>14</v>
      </c>
      <c r="C6142" s="8" t="s">
        <v>18503</v>
      </c>
      <c r="D6142" s="8" t="s">
        <v>16</v>
      </c>
      <c r="E6142" s="8" t="s">
        <v>17</v>
      </c>
      <c r="F6142" s="9">
        <v>46102.0</v>
      </c>
      <c r="G6142" s="8" t="s">
        <v>868</v>
      </c>
      <c r="H6142" s="8" t="s">
        <v>869</v>
      </c>
      <c r="I6142" s="8" t="s">
        <v>18504</v>
      </c>
      <c r="J6142" s="8" t="s">
        <v>18505</v>
      </c>
    </row>
    <row r="6143">
      <c r="A6143" s="7">
        <v>2.0051032E7</v>
      </c>
      <c r="B6143" s="8" t="s">
        <v>14</v>
      </c>
      <c r="C6143" s="8" t="s">
        <v>18503</v>
      </c>
      <c r="D6143" s="8" t="s">
        <v>16</v>
      </c>
      <c r="E6143" s="8" t="s">
        <v>17</v>
      </c>
      <c r="F6143" s="9">
        <v>46102.0</v>
      </c>
      <c r="G6143" s="8" t="s">
        <v>1391</v>
      </c>
      <c r="H6143" s="8" t="s">
        <v>1392</v>
      </c>
      <c r="I6143" s="8" t="s">
        <v>18506</v>
      </c>
      <c r="J6143" s="8" t="s">
        <v>18507</v>
      </c>
    </row>
    <row r="6144">
      <c r="A6144" s="7">
        <v>2.0042114E7</v>
      </c>
      <c r="B6144" s="8" t="s">
        <v>14</v>
      </c>
      <c r="C6144" s="8" t="s">
        <v>18508</v>
      </c>
      <c r="D6144" s="8" t="s">
        <v>16</v>
      </c>
      <c r="E6144" s="8" t="s">
        <v>17</v>
      </c>
      <c r="F6144" s="9">
        <v>46069.0</v>
      </c>
      <c r="G6144" s="8" t="s">
        <v>846</v>
      </c>
      <c r="H6144" s="8" t="s">
        <v>847</v>
      </c>
      <c r="I6144" s="8" t="s">
        <v>18509</v>
      </c>
      <c r="J6144" s="8" t="s">
        <v>18510</v>
      </c>
    </row>
    <row r="6145">
      <c r="A6145" s="7">
        <v>2.0040566E7</v>
      </c>
      <c r="B6145" s="8" t="s">
        <v>14</v>
      </c>
      <c r="C6145" s="8" t="s">
        <v>18511</v>
      </c>
      <c r="D6145" s="8" t="s">
        <v>16</v>
      </c>
      <c r="E6145" s="8" t="s">
        <v>17</v>
      </c>
      <c r="F6145" s="9">
        <v>46060.0</v>
      </c>
      <c r="G6145" s="8" t="s">
        <v>339</v>
      </c>
      <c r="H6145" s="8" t="s">
        <v>340</v>
      </c>
      <c r="I6145" s="8" t="s">
        <v>18512</v>
      </c>
      <c r="J6145" s="8" t="s">
        <v>18513</v>
      </c>
    </row>
    <row r="6146">
      <c r="A6146" s="7">
        <v>2.0029789E7</v>
      </c>
      <c r="B6146" s="8" t="s">
        <v>14</v>
      </c>
      <c r="C6146" s="8" t="s">
        <v>18514</v>
      </c>
      <c r="D6146" s="8" t="s">
        <v>16</v>
      </c>
      <c r="E6146" s="8" t="s">
        <v>17</v>
      </c>
      <c r="F6146" s="9">
        <v>46067.0</v>
      </c>
      <c r="G6146" s="8" t="s">
        <v>374</v>
      </c>
      <c r="H6146" s="8" t="s">
        <v>375</v>
      </c>
      <c r="I6146" s="8" t="s">
        <v>18515</v>
      </c>
      <c r="J6146" s="8" t="s">
        <v>18516</v>
      </c>
    </row>
    <row r="6147">
      <c r="A6147" s="7">
        <v>2.0036573E7</v>
      </c>
      <c r="B6147" s="8" t="s">
        <v>14</v>
      </c>
      <c r="C6147" s="8" t="s">
        <v>18517</v>
      </c>
      <c r="D6147" s="8" t="s">
        <v>16</v>
      </c>
      <c r="E6147" s="8" t="s">
        <v>17</v>
      </c>
      <c r="F6147" s="9">
        <v>46057.0</v>
      </c>
      <c r="G6147" s="8" t="s">
        <v>10195</v>
      </c>
      <c r="H6147" s="8" t="s">
        <v>10196</v>
      </c>
      <c r="I6147" s="8" t="s">
        <v>18518</v>
      </c>
      <c r="J6147" s="8" t="s">
        <v>18519</v>
      </c>
    </row>
    <row r="6148">
      <c r="A6148" s="7">
        <v>2.0037444E7</v>
      </c>
      <c r="B6148" s="8" t="s">
        <v>14</v>
      </c>
      <c r="C6148" s="8" t="s">
        <v>18520</v>
      </c>
      <c r="D6148" s="8" t="s">
        <v>16</v>
      </c>
      <c r="E6148" s="8" t="s">
        <v>17</v>
      </c>
      <c r="F6148" s="9">
        <v>46050.0</v>
      </c>
      <c r="G6148" s="8" t="s">
        <v>195</v>
      </c>
      <c r="H6148" s="8" t="s">
        <v>196</v>
      </c>
      <c r="I6148" s="8" t="s">
        <v>18521</v>
      </c>
      <c r="J6148" s="8" t="s">
        <v>18522</v>
      </c>
    </row>
    <row r="6149">
      <c r="A6149" s="7">
        <v>2.0032351E7</v>
      </c>
      <c r="B6149" s="8" t="s">
        <v>14</v>
      </c>
      <c r="C6149" s="8" t="s">
        <v>18523</v>
      </c>
      <c r="D6149" s="8" t="s">
        <v>16</v>
      </c>
      <c r="E6149" s="8" t="s">
        <v>17</v>
      </c>
      <c r="F6149" s="9">
        <v>46046.0</v>
      </c>
      <c r="G6149" s="8" t="s">
        <v>423</v>
      </c>
      <c r="H6149" s="8" t="s">
        <v>424</v>
      </c>
      <c r="I6149" s="8" t="s">
        <v>18524</v>
      </c>
      <c r="J6149" s="8" t="s">
        <v>18525</v>
      </c>
    </row>
    <row r="6150">
      <c r="A6150" s="7">
        <v>2.0056649E7</v>
      </c>
      <c r="B6150" s="8" t="s">
        <v>14</v>
      </c>
      <c r="C6150" s="8" t="s">
        <v>18526</v>
      </c>
      <c r="D6150" s="8" t="s">
        <v>16</v>
      </c>
      <c r="E6150" s="8" t="s">
        <v>17</v>
      </c>
      <c r="F6150" s="9">
        <v>46152.0</v>
      </c>
      <c r="G6150" s="8" t="s">
        <v>923</v>
      </c>
      <c r="H6150" s="8" t="s">
        <v>7274</v>
      </c>
      <c r="I6150" s="8" t="s">
        <v>18527</v>
      </c>
      <c r="J6150" s="8" t="s">
        <v>18528</v>
      </c>
    </row>
    <row r="6151">
      <c r="A6151" s="7">
        <v>2.0060396E7</v>
      </c>
      <c r="B6151" s="8" t="s">
        <v>14</v>
      </c>
      <c r="C6151" s="8" t="s">
        <v>18529</v>
      </c>
      <c r="D6151" s="8" t="s">
        <v>2136</v>
      </c>
      <c r="E6151" s="8" t="s">
        <v>17</v>
      </c>
      <c r="F6151" s="9">
        <v>46142.0</v>
      </c>
      <c r="G6151" s="8" t="s">
        <v>805</v>
      </c>
      <c r="H6151" s="8" t="s">
        <v>806</v>
      </c>
      <c r="I6151" s="8" t="s">
        <v>18530</v>
      </c>
      <c r="J6151" s="8" t="s">
        <v>18531</v>
      </c>
    </row>
    <row r="6152">
      <c r="A6152" s="7">
        <v>2.0054683E7</v>
      </c>
      <c r="B6152" s="8" t="s">
        <v>14</v>
      </c>
      <c r="C6152" s="8" t="s">
        <v>18532</v>
      </c>
      <c r="D6152" s="8" t="s">
        <v>16</v>
      </c>
      <c r="E6152" s="8" t="s">
        <v>48</v>
      </c>
      <c r="F6152" s="9">
        <v>46181.0</v>
      </c>
      <c r="G6152" s="8" t="s">
        <v>454</v>
      </c>
      <c r="H6152" s="8" t="s">
        <v>455</v>
      </c>
      <c r="I6152" s="8" t="s">
        <v>18533</v>
      </c>
      <c r="J6152" s="8" t="s">
        <v>18534</v>
      </c>
    </row>
    <row r="6153">
      <c r="A6153" s="7">
        <v>2.0054683E7</v>
      </c>
      <c r="B6153" s="8" t="s">
        <v>14</v>
      </c>
      <c r="C6153" s="8" t="s">
        <v>18532</v>
      </c>
      <c r="D6153" s="8" t="s">
        <v>16</v>
      </c>
      <c r="E6153" s="8" t="s">
        <v>48</v>
      </c>
      <c r="F6153" s="9">
        <v>46181.0</v>
      </c>
      <c r="G6153" s="8" t="s">
        <v>5105</v>
      </c>
      <c r="H6153" s="8" t="s">
        <v>909</v>
      </c>
      <c r="I6153" s="8" t="s">
        <v>18535</v>
      </c>
      <c r="J6153" s="8" t="s">
        <v>18536</v>
      </c>
    </row>
    <row r="6154">
      <c r="A6154" s="7">
        <v>2.0054683E7</v>
      </c>
      <c r="B6154" s="8" t="s">
        <v>14</v>
      </c>
      <c r="C6154" s="8" t="s">
        <v>18532</v>
      </c>
      <c r="D6154" s="8" t="s">
        <v>16</v>
      </c>
      <c r="E6154" s="8" t="s">
        <v>48</v>
      </c>
      <c r="F6154" s="9">
        <v>46181.0</v>
      </c>
      <c r="G6154" s="8" t="s">
        <v>923</v>
      </c>
      <c r="H6154" s="8" t="s">
        <v>7274</v>
      </c>
      <c r="I6154" s="8" t="s">
        <v>18537</v>
      </c>
      <c r="J6154" s="8" t="s">
        <v>18538</v>
      </c>
    </row>
    <row r="6155">
      <c r="A6155" s="7">
        <v>2.0054683E7</v>
      </c>
      <c r="B6155" s="8" t="s">
        <v>14</v>
      </c>
      <c r="C6155" s="8" t="s">
        <v>18532</v>
      </c>
      <c r="D6155" s="8" t="s">
        <v>16</v>
      </c>
      <c r="E6155" s="8" t="s">
        <v>48</v>
      </c>
      <c r="F6155" s="9">
        <v>46181.0</v>
      </c>
      <c r="G6155" s="8" t="s">
        <v>18539</v>
      </c>
      <c r="H6155" s="8" t="s">
        <v>18540</v>
      </c>
      <c r="I6155" s="8" t="s">
        <v>18541</v>
      </c>
      <c r="J6155" s="8"/>
    </row>
    <row r="6156">
      <c r="A6156" s="7">
        <v>2.0054683E7</v>
      </c>
      <c r="B6156" s="8" t="s">
        <v>14</v>
      </c>
      <c r="C6156" s="8" t="s">
        <v>18532</v>
      </c>
      <c r="D6156" s="8" t="s">
        <v>16</v>
      </c>
      <c r="E6156" s="8" t="s">
        <v>48</v>
      </c>
      <c r="F6156" s="9">
        <v>46181.0</v>
      </c>
      <c r="G6156" s="8" t="s">
        <v>12069</v>
      </c>
      <c r="H6156" s="8" t="s">
        <v>13200</v>
      </c>
      <c r="I6156" s="8" t="s">
        <v>18542</v>
      </c>
      <c r="J6156" s="8"/>
    </row>
    <row r="6157">
      <c r="A6157" s="7">
        <v>2.0054683E7</v>
      </c>
      <c r="B6157" s="8" t="s">
        <v>14</v>
      </c>
      <c r="C6157" s="8" t="s">
        <v>18532</v>
      </c>
      <c r="D6157" s="8" t="s">
        <v>16</v>
      </c>
      <c r="E6157" s="8" t="s">
        <v>48</v>
      </c>
      <c r="F6157" s="9">
        <v>46181.0</v>
      </c>
      <c r="G6157" s="8" t="s">
        <v>18543</v>
      </c>
      <c r="H6157" s="8" t="s">
        <v>18544</v>
      </c>
      <c r="I6157" s="8" t="s">
        <v>18545</v>
      </c>
      <c r="J6157" s="8"/>
    </row>
    <row r="6158">
      <c r="A6158" s="7">
        <v>2.0051274E7</v>
      </c>
      <c r="B6158" s="8" t="s">
        <v>14</v>
      </c>
      <c r="C6158" s="8" t="s">
        <v>18546</v>
      </c>
      <c r="D6158" s="8" t="s">
        <v>16</v>
      </c>
      <c r="E6158" s="8" t="s">
        <v>17</v>
      </c>
      <c r="F6158" s="9">
        <v>46102.0</v>
      </c>
      <c r="G6158" s="8" t="s">
        <v>247</v>
      </c>
      <c r="H6158" s="8" t="s">
        <v>248</v>
      </c>
      <c r="I6158" s="8" t="s">
        <v>18547</v>
      </c>
      <c r="J6158" s="8" t="s">
        <v>18548</v>
      </c>
    </row>
    <row r="6159">
      <c r="A6159" s="7">
        <v>2.0049705E7</v>
      </c>
      <c r="B6159" s="8" t="s">
        <v>14</v>
      </c>
      <c r="C6159" s="8" t="s">
        <v>18549</v>
      </c>
      <c r="D6159" s="8" t="s">
        <v>16</v>
      </c>
      <c r="E6159" s="8" t="s">
        <v>17</v>
      </c>
      <c r="F6159" s="9">
        <v>46101.0</v>
      </c>
      <c r="G6159" s="8" t="s">
        <v>4850</v>
      </c>
      <c r="H6159" s="8" t="s">
        <v>4851</v>
      </c>
      <c r="I6159" s="8" t="s">
        <v>18550</v>
      </c>
      <c r="J6159" s="8" t="s">
        <v>18551</v>
      </c>
    </row>
    <row r="6160">
      <c r="A6160" s="7">
        <v>2.0047453E7</v>
      </c>
      <c r="B6160" s="8" t="s">
        <v>14</v>
      </c>
      <c r="C6160" s="8" t="s">
        <v>18552</v>
      </c>
      <c r="D6160" s="8" t="s">
        <v>16</v>
      </c>
      <c r="E6160" s="8" t="s">
        <v>17</v>
      </c>
      <c r="F6160" s="9">
        <v>46095.0</v>
      </c>
      <c r="G6160" s="8" t="s">
        <v>220</v>
      </c>
      <c r="H6160" s="8" t="s">
        <v>221</v>
      </c>
      <c r="I6160" s="8" t="s">
        <v>18553</v>
      </c>
      <c r="J6160" s="8" t="s">
        <v>18554</v>
      </c>
    </row>
    <row r="6161">
      <c r="A6161" s="7">
        <v>2.0041064E7</v>
      </c>
      <c r="B6161" s="8" t="s">
        <v>14</v>
      </c>
      <c r="C6161" s="8" t="s">
        <v>18555</v>
      </c>
      <c r="D6161" s="8" t="s">
        <v>16</v>
      </c>
      <c r="E6161" s="8" t="s">
        <v>48</v>
      </c>
      <c r="F6161" s="9">
        <v>46101.0</v>
      </c>
      <c r="G6161" s="8" t="s">
        <v>18</v>
      </c>
      <c r="H6161" s="8" t="s">
        <v>19</v>
      </c>
      <c r="I6161" s="8" t="s">
        <v>18556</v>
      </c>
      <c r="J6161" s="8" t="s">
        <v>18557</v>
      </c>
    </row>
    <row r="6162">
      <c r="A6162" s="7">
        <v>2.0045382E7</v>
      </c>
      <c r="B6162" s="8" t="s">
        <v>14</v>
      </c>
      <c r="C6162" s="8" t="s">
        <v>18558</v>
      </c>
      <c r="D6162" s="8" t="s">
        <v>16</v>
      </c>
      <c r="E6162" s="8" t="s">
        <v>17</v>
      </c>
      <c r="F6162" s="9">
        <v>46079.0</v>
      </c>
      <c r="G6162" s="8" t="s">
        <v>339</v>
      </c>
      <c r="H6162" s="8" t="s">
        <v>340</v>
      </c>
      <c r="I6162" s="8" t="s">
        <v>18559</v>
      </c>
      <c r="J6162" s="8" t="s">
        <v>18560</v>
      </c>
    </row>
    <row r="6163">
      <c r="A6163" s="7">
        <v>2.0039361E7</v>
      </c>
      <c r="B6163" s="8" t="s">
        <v>14</v>
      </c>
      <c r="C6163" s="8" t="s">
        <v>18561</v>
      </c>
      <c r="D6163" s="8" t="s">
        <v>2136</v>
      </c>
      <c r="E6163" s="8" t="s">
        <v>17</v>
      </c>
      <c r="F6163" s="9">
        <v>46055.0</v>
      </c>
      <c r="G6163" s="8" t="s">
        <v>75</v>
      </c>
      <c r="H6163" s="8" t="s">
        <v>76</v>
      </c>
      <c r="I6163" s="8" t="s">
        <v>18562</v>
      </c>
      <c r="J6163" s="8" t="s">
        <v>18563</v>
      </c>
    </row>
    <row r="6164">
      <c r="A6164" s="7">
        <v>2.0024673E7</v>
      </c>
      <c r="B6164" s="8" t="s">
        <v>14</v>
      </c>
      <c r="C6164" s="8" t="s">
        <v>18564</v>
      </c>
      <c r="D6164" s="8" t="s">
        <v>16</v>
      </c>
      <c r="E6164" s="8" t="s">
        <v>17</v>
      </c>
      <c r="F6164" s="9">
        <v>46042.0</v>
      </c>
      <c r="G6164" s="8" t="s">
        <v>273</v>
      </c>
      <c r="H6164" s="8" t="s">
        <v>274</v>
      </c>
      <c r="I6164" s="8" t="s">
        <v>18565</v>
      </c>
      <c r="J6164" s="8" t="s">
        <v>18566</v>
      </c>
    </row>
    <row r="6165">
      <c r="A6165" s="7">
        <v>2.0033574E7</v>
      </c>
      <c r="B6165" s="8" t="s">
        <v>14</v>
      </c>
      <c r="C6165" s="8" t="s">
        <v>18567</v>
      </c>
      <c r="D6165" s="8" t="s">
        <v>16</v>
      </c>
      <c r="E6165" s="8" t="s">
        <v>17</v>
      </c>
      <c r="F6165" s="9">
        <v>46049.0</v>
      </c>
      <c r="G6165" s="8" t="s">
        <v>158</v>
      </c>
      <c r="H6165" s="8" t="s">
        <v>159</v>
      </c>
      <c r="I6165" s="8" t="s">
        <v>18568</v>
      </c>
      <c r="J6165" s="8" t="s">
        <v>18569</v>
      </c>
    </row>
    <row r="6166">
      <c r="A6166" s="7">
        <v>2.0058678E7</v>
      </c>
      <c r="B6166" s="8" t="s">
        <v>5301</v>
      </c>
      <c r="C6166" s="8" t="s">
        <v>18570</v>
      </c>
      <c r="D6166" s="8" t="s">
        <v>16</v>
      </c>
      <c r="E6166" s="8" t="s">
        <v>17</v>
      </c>
      <c r="F6166" s="9">
        <v>46135.0</v>
      </c>
      <c r="G6166" s="8" t="s">
        <v>109</v>
      </c>
      <c r="H6166" s="8" t="s">
        <v>110</v>
      </c>
      <c r="I6166" s="8" t="s">
        <v>18571</v>
      </c>
      <c r="J6166" s="8" t="s">
        <v>18572</v>
      </c>
    </row>
    <row r="6167">
      <c r="A6167" s="7">
        <v>2.006624E7</v>
      </c>
      <c r="B6167" s="8" t="s">
        <v>5301</v>
      </c>
      <c r="C6167" s="8" t="s">
        <v>18573</v>
      </c>
      <c r="D6167" s="8" t="s">
        <v>16</v>
      </c>
      <c r="E6167" s="8" t="s">
        <v>17</v>
      </c>
      <c r="F6167" s="9">
        <v>46184.0</v>
      </c>
      <c r="G6167" s="8" t="s">
        <v>365</v>
      </c>
      <c r="H6167" s="8" t="s">
        <v>366</v>
      </c>
      <c r="I6167" s="8" t="s">
        <v>18574</v>
      </c>
      <c r="J6167" s="8" t="s">
        <v>18575</v>
      </c>
    </row>
    <row r="6168">
      <c r="A6168" s="7">
        <v>2.0068016E7</v>
      </c>
      <c r="B6168" s="8" t="s">
        <v>5301</v>
      </c>
      <c r="C6168" s="8" t="s">
        <v>18576</v>
      </c>
      <c r="D6168" s="8" t="s">
        <v>16</v>
      </c>
      <c r="E6168" s="8" t="s">
        <v>17</v>
      </c>
      <c r="F6168" s="9">
        <v>46181.0</v>
      </c>
      <c r="G6168" s="8" t="s">
        <v>59</v>
      </c>
      <c r="H6168" s="8" t="s">
        <v>60</v>
      </c>
      <c r="I6168" s="8" t="s">
        <v>18577</v>
      </c>
      <c r="J6168" s="8" t="s">
        <v>18578</v>
      </c>
    </row>
    <row r="6169">
      <c r="A6169" s="7">
        <v>2.0061335E7</v>
      </c>
      <c r="B6169" s="8" t="s">
        <v>5301</v>
      </c>
      <c r="C6169" s="8" t="s">
        <v>18579</v>
      </c>
      <c r="D6169" s="8" t="s">
        <v>16</v>
      </c>
      <c r="E6169" s="8" t="s">
        <v>17</v>
      </c>
      <c r="F6169" s="9">
        <v>46161.0</v>
      </c>
      <c r="G6169" s="8" t="s">
        <v>14585</v>
      </c>
      <c r="H6169" s="8" t="s">
        <v>14586</v>
      </c>
      <c r="I6169" s="8" t="s">
        <v>18580</v>
      </c>
      <c r="J6169" s="8" t="s">
        <v>18581</v>
      </c>
    </row>
    <row r="6170">
      <c r="A6170" s="7">
        <v>2.0061335E7</v>
      </c>
      <c r="B6170" s="8" t="s">
        <v>5301</v>
      </c>
      <c r="C6170" s="8" t="s">
        <v>18579</v>
      </c>
      <c r="D6170" s="8" t="s">
        <v>16</v>
      </c>
      <c r="E6170" s="8" t="s">
        <v>17</v>
      </c>
      <c r="F6170" s="9">
        <v>46161.0</v>
      </c>
      <c r="G6170" s="8" t="s">
        <v>1431</v>
      </c>
      <c r="H6170" s="8" t="s">
        <v>1432</v>
      </c>
      <c r="I6170" s="8" t="s">
        <v>18582</v>
      </c>
      <c r="J6170" s="8" t="s">
        <v>18583</v>
      </c>
    </row>
    <row r="6171">
      <c r="A6171" s="7">
        <v>2.0061335E7</v>
      </c>
      <c r="B6171" s="8" t="s">
        <v>5301</v>
      </c>
      <c r="C6171" s="8" t="s">
        <v>18579</v>
      </c>
      <c r="D6171" s="8" t="s">
        <v>16</v>
      </c>
      <c r="E6171" s="8" t="s">
        <v>17</v>
      </c>
      <c r="F6171" s="9">
        <v>46161.0</v>
      </c>
      <c r="G6171" s="8" t="s">
        <v>418</v>
      </c>
      <c r="H6171" s="8" t="s">
        <v>419</v>
      </c>
      <c r="I6171" s="8" t="s">
        <v>18584</v>
      </c>
      <c r="J6171" s="8" t="s">
        <v>18585</v>
      </c>
    </row>
    <row r="6172">
      <c r="A6172" s="7">
        <v>2.0061335E7</v>
      </c>
      <c r="B6172" s="8" t="s">
        <v>5301</v>
      </c>
      <c r="C6172" s="8" t="s">
        <v>18579</v>
      </c>
      <c r="D6172" s="8" t="s">
        <v>16</v>
      </c>
      <c r="E6172" s="8" t="s">
        <v>17</v>
      </c>
      <c r="F6172" s="9">
        <v>46161.0</v>
      </c>
      <c r="G6172" s="8" t="s">
        <v>3585</v>
      </c>
      <c r="H6172" s="8" t="s">
        <v>3586</v>
      </c>
      <c r="I6172" s="8" t="s">
        <v>18586</v>
      </c>
      <c r="J6172" s="8" t="s">
        <v>18587</v>
      </c>
    </row>
    <row r="6173">
      <c r="A6173" s="7">
        <v>2.0033555E7</v>
      </c>
      <c r="B6173" s="8" t="s">
        <v>5301</v>
      </c>
      <c r="C6173" s="8" t="s">
        <v>18588</v>
      </c>
      <c r="D6173" s="8" t="s">
        <v>16</v>
      </c>
      <c r="E6173" s="8" t="s">
        <v>17</v>
      </c>
      <c r="F6173" s="9">
        <v>46072.0</v>
      </c>
      <c r="G6173" s="8" t="s">
        <v>1949</v>
      </c>
      <c r="H6173" s="8" t="s">
        <v>1950</v>
      </c>
      <c r="I6173" s="8" t="s">
        <v>18589</v>
      </c>
      <c r="J6173" s="8" t="s">
        <v>18590</v>
      </c>
    </row>
    <row r="6174">
      <c r="A6174" s="7">
        <v>2.0035256E7</v>
      </c>
      <c r="B6174" s="8" t="s">
        <v>5301</v>
      </c>
      <c r="C6174" s="8" t="s">
        <v>18591</v>
      </c>
      <c r="D6174" s="8" t="s">
        <v>16</v>
      </c>
      <c r="E6174" s="8" t="s">
        <v>17</v>
      </c>
      <c r="F6174" s="9">
        <v>46056.0</v>
      </c>
      <c r="G6174" s="8" t="s">
        <v>365</v>
      </c>
      <c r="H6174" s="8" t="s">
        <v>366</v>
      </c>
      <c r="I6174" s="8" t="s">
        <v>18592</v>
      </c>
      <c r="J6174" s="8" t="s">
        <v>18593</v>
      </c>
    </row>
    <row r="6175">
      <c r="A6175" s="7">
        <v>2.0037993E7</v>
      </c>
      <c r="B6175" s="8" t="s">
        <v>5301</v>
      </c>
      <c r="C6175" s="8" t="s">
        <v>18594</v>
      </c>
      <c r="D6175" s="8" t="s">
        <v>16</v>
      </c>
      <c r="E6175" s="8" t="s">
        <v>17</v>
      </c>
      <c r="F6175" s="9">
        <v>46049.0</v>
      </c>
      <c r="G6175" s="8" t="s">
        <v>29</v>
      </c>
      <c r="H6175" s="8" t="s">
        <v>30</v>
      </c>
      <c r="I6175" s="8" t="s">
        <v>18595</v>
      </c>
      <c r="J6175" s="8" t="s">
        <v>18596</v>
      </c>
    </row>
    <row r="6176">
      <c r="A6176" s="7">
        <v>2.0071269E7</v>
      </c>
      <c r="B6176" s="8" t="s">
        <v>5301</v>
      </c>
      <c r="C6176" s="8" t="s">
        <v>18597</v>
      </c>
      <c r="D6176" s="8" t="s">
        <v>16</v>
      </c>
      <c r="E6176" s="8" t="s">
        <v>17</v>
      </c>
      <c r="F6176" s="9">
        <v>46190.0</v>
      </c>
      <c r="G6176" s="8" t="s">
        <v>91</v>
      </c>
      <c r="H6176" s="8" t="s">
        <v>92</v>
      </c>
      <c r="I6176" s="8" t="s">
        <v>18598</v>
      </c>
      <c r="J6176" s="8" t="s">
        <v>18599</v>
      </c>
    </row>
    <row r="6177">
      <c r="A6177" s="7">
        <v>2.0051484E7</v>
      </c>
      <c r="B6177" s="8" t="s">
        <v>5301</v>
      </c>
      <c r="C6177" s="8" t="s">
        <v>18600</v>
      </c>
      <c r="D6177" s="8" t="s">
        <v>16</v>
      </c>
      <c r="E6177" s="8" t="s">
        <v>17</v>
      </c>
      <c r="F6177" s="9">
        <v>46186.0</v>
      </c>
      <c r="G6177" s="8" t="s">
        <v>18601</v>
      </c>
      <c r="H6177" s="8" t="s">
        <v>3410</v>
      </c>
      <c r="I6177" s="8" t="s">
        <v>18602</v>
      </c>
      <c r="J6177" s="8" t="s">
        <v>18603</v>
      </c>
    </row>
    <row r="6178">
      <c r="A6178" s="7">
        <v>2.0068925E7</v>
      </c>
      <c r="B6178" s="8" t="s">
        <v>5301</v>
      </c>
      <c r="C6178" s="8" t="s">
        <v>18604</v>
      </c>
      <c r="D6178" s="8" t="s">
        <v>2136</v>
      </c>
      <c r="E6178" s="8" t="s">
        <v>17</v>
      </c>
      <c r="F6178" s="9">
        <v>46179.0</v>
      </c>
      <c r="G6178" s="8" t="s">
        <v>29</v>
      </c>
      <c r="H6178" s="8" t="s">
        <v>30</v>
      </c>
      <c r="I6178" s="8" t="s">
        <v>18605</v>
      </c>
      <c r="J6178" s="8" t="s">
        <v>18606</v>
      </c>
    </row>
    <row r="6179">
      <c r="A6179" s="7">
        <v>2.0046636E7</v>
      </c>
      <c r="B6179" s="8" t="s">
        <v>5301</v>
      </c>
      <c r="C6179" s="8" t="s">
        <v>18607</v>
      </c>
      <c r="D6179" s="8" t="s">
        <v>2136</v>
      </c>
      <c r="E6179" s="8" t="s">
        <v>17</v>
      </c>
      <c r="F6179" s="9">
        <v>46091.0</v>
      </c>
      <c r="G6179" s="8" t="s">
        <v>6340</v>
      </c>
      <c r="H6179" s="8" t="s">
        <v>6341</v>
      </c>
      <c r="I6179" s="8" t="s">
        <v>18608</v>
      </c>
      <c r="J6179" s="8" t="s">
        <v>18609</v>
      </c>
    </row>
    <row r="6180">
      <c r="A6180" s="7">
        <v>2.0059737E7</v>
      </c>
      <c r="B6180" s="8" t="s">
        <v>5301</v>
      </c>
      <c r="C6180" s="8" t="s">
        <v>18610</v>
      </c>
      <c r="D6180" s="8" t="s">
        <v>16</v>
      </c>
      <c r="E6180" s="8" t="s">
        <v>17</v>
      </c>
      <c r="F6180" s="9">
        <v>46171.0</v>
      </c>
      <c r="G6180" s="8" t="s">
        <v>5590</v>
      </c>
      <c r="H6180" s="8" t="s">
        <v>2062</v>
      </c>
      <c r="I6180" s="8" t="s">
        <v>18611</v>
      </c>
      <c r="J6180" s="8" t="s">
        <v>18612</v>
      </c>
    </row>
    <row r="6181">
      <c r="A6181" s="7">
        <v>2.0059737E7</v>
      </c>
      <c r="B6181" s="8" t="s">
        <v>5301</v>
      </c>
      <c r="C6181" s="8" t="s">
        <v>18610</v>
      </c>
      <c r="D6181" s="8" t="s">
        <v>16</v>
      </c>
      <c r="E6181" s="8" t="s">
        <v>17</v>
      </c>
      <c r="F6181" s="9">
        <v>46171.0</v>
      </c>
      <c r="G6181" s="8" t="s">
        <v>385</v>
      </c>
      <c r="H6181" s="8" t="s">
        <v>386</v>
      </c>
      <c r="I6181" s="8" t="s">
        <v>18613</v>
      </c>
      <c r="J6181" s="8" t="s">
        <v>18614</v>
      </c>
    </row>
    <row r="6182">
      <c r="A6182" s="7">
        <v>2.0057301E7</v>
      </c>
      <c r="B6182" s="8" t="s">
        <v>5301</v>
      </c>
      <c r="C6182" s="8" t="s">
        <v>18615</v>
      </c>
      <c r="D6182" s="8" t="s">
        <v>16</v>
      </c>
      <c r="E6182" s="8" t="s">
        <v>17</v>
      </c>
      <c r="F6182" s="9">
        <v>46165.0</v>
      </c>
      <c r="G6182" s="8" t="s">
        <v>826</v>
      </c>
      <c r="H6182" s="8" t="s">
        <v>7633</v>
      </c>
      <c r="I6182" s="8" t="s">
        <v>18616</v>
      </c>
      <c r="J6182" s="8" t="s">
        <v>18617</v>
      </c>
    </row>
    <row r="6183">
      <c r="A6183" s="7">
        <v>2.004087E7</v>
      </c>
      <c r="B6183" s="8" t="s">
        <v>5301</v>
      </c>
      <c r="C6183" s="8" t="s">
        <v>18618</v>
      </c>
      <c r="D6183" s="8" t="s">
        <v>16</v>
      </c>
      <c r="E6183" s="8" t="s">
        <v>17</v>
      </c>
      <c r="F6183" s="9">
        <v>46104.0</v>
      </c>
      <c r="G6183" s="8" t="s">
        <v>91</v>
      </c>
      <c r="H6183" s="8" t="s">
        <v>92</v>
      </c>
      <c r="I6183" s="8" t="s">
        <v>18619</v>
      </c>
      <c r="J6183" s="8" t="s">
        <v>18620</v>
      </c>
    </row>
    <row r="6184">
      <c r="A6184" s="7">
        <v>2.0050765E7</v>
      </c>
      <c r="B6184" s="8" t="s">
        <v>5301</v>
      </c>
      <c r="C6184" s="8" t="s">
        <v>18621</v>
      </c>
      <c r="D6184" s="8" t="s">
        <v>16</v>
      </c>
      <c r="E6184" s="8" t="s">
        <v>17</v>
      </c>
      <c r="F6184" s="9">
        <v>46102.0</v>
      </c>
      <c r="G6184" s="8" t="s">
        <v>385</v>
      </c>
      <c r="H6184" s="8" t="s">
        <v>386</v>
      </c>
      <c r="I6184" s="8" t="s">
        <v>18622</v>
      </c>
      <c r="J6184" s="8" t="s">
        <v>18623</v>
      </c>
    </row>
    <row r="6185">
      <c r="A6185" s="7">
        <v>2.0050802E7</v>
      </c>
      <c r="B6185" s="8" t="s">
        <v>5301</v>
      </c>
      <c r="C6185" s="8" t="s">
        <v>18624</v>
      </c>
      <c r="D6185" s="8" t="s">
        <v>16</v>
      </c>
      <c r="E6185" s="8" t="s">
        <v>17</v>
      </c>
      <c r="F6185" s="9">
        <v>46113.0</v>
      </c>
      <c r="G6185" s="8" t="s">
        <v>846</v>
      </c>
      <c r="H6185" s="8" t="s">
        <v>847</v>
      </c>
      <c r="I6185" s="8" t="s">
        <v>18625</v>
      </c>
      <c r="J6185" s="8" t="s">
        <v>18626</v>
      </c>
    </row>
    <row r="6186">
      <c r="A6186" s="7">
        <v>2.0028597E7</v>
      </c>
      <c r="B6186" s="8" t="s">
        <v>5301</v>
      </c>
      <c r="C6186" s="8" t="s">
        <v>18627</v>
      </c>
      <c r="D6186" s="8" t="s">
        <v>16</v>
      </c>
      <c r="E6186" s="8" t="s">
        <v>17</v>
      </c>
      <c r="F6186" s="9">
        <v>46067.0</v>
      </c>
      <c r="G6186" s="8" t="s">
        <v>1045</v>
      </c>
      <c r="H6186" s="8" t="s">
        <v>909</v>
      </c>
      <c r="I6186" s="8" t="s">
        <v>18628</v>
      </c>
      <c r="J6186" s="8" t="s">
        <v>1752</v>
      </c>
    </row>
    <row r="6187">
      <c r="A6187" s="7">
        <v>2.0037086E7</v>
      </c>
      <c r="B6187" s="8" t="s">
        <v>5301</v>
      </c>
      <c r="C6187" s="8" t="s">
        <v>18629</v>
      </c>
      <c r="D6187" s="8" t="s">
        <v>16</v>
      </c>
      <c r="E6187" s="8" t="s">
        <v>17</v>
      </c>
      <c r="F6187" s="9">
        <v>46066.0</v>
      </c>
      <c r="G6187" s="8" t="s">
        <v>361</v>
      </c>
      <c r="H6187" s="8" t="s">
        <v>362</v>
      </c>
      <c r="I6187" s="8" t="s">
        <v>18630</v>
      </c>
      <c r="J6187" s="8" t="s">
        <v>18631</v>
      </c>
    </row>
    <row r="6188">
      <c r="A6188" s="7">
        <v>2.0072764E7</v>
      </c>
      <c r="B6188" s="8" t="s">
        <v>5301</v>
      </c>
      <c r="C6188" s="8" t="s">
        <v>18632</v>
      </c>
      <c r="D6188" s="8" t="s">
        <v>2136</v>
      </c>
      <c r="E6188" s="8" t="s">
        <v>17</v>
      </c>
      <c r="F6188" s="9">
        <v>46192.0</v>
      </c>
      <c r="G6188" s="8" t="s">
        <v>339</v>
      </c>
      <c r="H6188" s="8" t="s">
        <v>340</v>
      </c>
      <c r="I6188" s="8" t="s">
        <v>18633</v>
      </c>
      <c r="J6188" s="8" t="s">
        <v>18634</v>
      </c>
    </row>
    <row r="6189">
      <c r="A6189" s="7">
        <v>2.006138E7</v>
      </c>
      <c r="B6189" s="8" t="s">
        <v>5301</v>
      </c>
      <c r="C6189" s="8" t="s">
        <v>18635</v>
      </c>
      <c r="D6189" s="8" t="s">
        <v>16</v>
      </c>
      <c r="E6189" s="8" t="s">
        <v>17</v>
      </c>
      <c r="F6189" s="9">
        <v>46151.0</v>
      </c>
      <c r="G6189" s="8" t="s">
        <v>59</v>
      </c>
      <c r="H6189" s="8" t="s">
        <v>60</v>
      </c>
      <c r="I6189" s="8" t="s">
        <v>18636</v>
      </c>
      <c r="J6189" s="8" t="s">
        <v>18637</v>
      </c>
    </row>
    <row r="6190">
      <c r="A6190" s="7">
        <v>2.0057896E7</v>
      </c>
      <c r="B6190" s="8" t="s">
        <v>5301</v>
      </c>
      <c r="C6190" s="8" t="s">
        <v>18638</v>
      </c>
      <c r="D6190" s="8" t="s">
        <v>16</v>
      </c>
      <c r="E6190" s="8" t="s">
        <v>17</v>
      </c>
      <c r="F6190" s="9">
        <v>46133.0</v>
      </c>
      <c r="G6190" s="8" t="s">
        <v>873</v>
      </c>
      <c r="H6190" s="8" t="s">
        <v>874</v>
      </c>
      <c r="I6190" s="8" t="s">
        <v>18639</v>
      </c>
      <c r="J6190" s="8" t="s">
        <v>18640</v>
      </c>
    </row>
    <row r="6191">
      <c r="A6191" s="7">
        <v>2.0057896E7</v>
      </c>
      <c r="B6191" s="8" t="s">
        <v>5301</v>
      </c>
      <c r="C6191" s="8" t="s">
        <v>18638</v>
      </c>
      <c r="D6191" s="8" t="s">
        <v>16</v>
      </c>
      <c r="E6191" s="8" t="s">
        <v>17</v>
      </c>
      <c r="F6191" s="9">
        <v>46133.0</v>
      </c>
      <c r="G6191" s="8" t="s">
        <v>339</v>
      </c>
      <c r="H6191" s="8" t="s">
        <v>340</v>
      </c>
      <c r="I6191" s="8" t="s">
        <v>18641</v>
      </c>
      <c r="J6191" s="8" t="s">
        <v>18642</v>
      </c>
    </row>
    <row r="6192">
      <c r="A6192" s="7">
        <v>2.0027688E7</v>
      </c>
      <c r="B6192" s="8" t="s">
        <v>5301</v>
      </c>
      <c r="C6192" s="8" t="s">
        <v>18643</v>
      </c>
      <c r="D6192" s="8" t="s">
        <v>16</v>
      </c>
      <c r="E6192" s="8" t="s">
        <v>17</v>
      </c>
      <c r="F6192" s="9">
        <v>46109.0</v>
      </c>
      <c r="G6192" s="8" t="s">
        <v>1800</v>
      </c>
      <c r="H6192" s="8" t="s">
        <v>1801</v>
      </c>
      <c r="I6192" s="8" t="s">
        <v>18644</v>
      </c>
      <c r="J6192" s="8"/>
    </row>
    <row r="6193">
      <c r="A6193" s="7">
        <v>2.0054807E7</v>
      </c>
      <c r="B6193" s="8" t="s">
        <v>5301</v>
      </c>
      <c r="C6193" s="8" t="s">
        <v>18645</v>
      </c>
      <c r="D6193" s="8" t="s">
        <v>16</v>
      </c>
      <c r="E6193" s="8" t="s">
        <v>17</v>
      </c>
      <c r="F6193" s="9">
        <v>46137.0</v>
      </c>
      <c r="G6193" s="8" t="s">
        <v>171</v>
      </c>
      <c r="H6193" s="8" t="s">
        <v>172</v>
      </c>
      <c r="I6193" s="8" t="s">
        <v>18646</v>
      </c>
      <c r="J6193" s="8"/>
    </row>
    <row r="6194">
      <c r="A6194" s="7">
        <v>2.0049736E7</v>
      </c>
      <c r="B6194" s="8" t="s">
        <v>5301</v>
      </c>
      <c r="C6194" s="8" t="s">
        <v>18647</v>
      </c>
      <c r="D6194" s="8" t="s">
        <v>16</v>
      </c>
      <c r="E6194" s="8" t="s">
        <v>17</v>
      </c>
      <c r="F6194" s="9">
        <v>46117.0</v>
      </c>
      <c r="G6194" s="8" t="s">
        <v>666</v>
      </c>
      <c r="H6194" s="8" t="s">
        <v>667</v>
      </c>
      <c r="I6194" s="8" t="s">
        <v>18648</v>
      </c>
      <c r="J6194" s="8"/>
    </row>
    <row r="6195">
      <c r="A6195" s="7">
        <v>2.0043333E7</v>
      </c>
      <c r="B6195" s="8" t="s">
        <v>5301</v>
      </c>
      <c r="C6195" s="8" t="s">
        <v>18649</v>
      </c>
      <c r="D6195" s="8" t="s">
        <v>16</v>
      </c>
      <c r="E6195" s="8" t="s">
        <v>17</v>
      </c>
      <c r="F6195" s="9">
        <v>46071.0</v>
      </c>
      <c r="G6195" s="8" t="s">
        <v>195</v>
      </c>
      <c r="H6195" s="8" t="s">
        <v>196</v>
      </c>
      <c r="I6195" s="8" t="s">
        <v>18650</v>
      </c>
      <c r="J6195" s="8" t="s">
        <v>18651</v>
      </c>
    </row>
    <row r="6196">
      <c r="A6196" s="7">
        <v>2.0035685E7</v>
      </c>
      <c r="B6196" s="8" t="s">
        <v>5301</v>
      </c>
      <c r="C6196" s="8" t="s">
        <v>18652</v>
      </c>
      <c r="D6196" s="8" t="s">
        <v>16</v>
      </c>
      <c r="E6196" s="8" t="s">
        <v>48</v>
      </c>
      <c r="F6196" s="9">
        <v>46076.0</v>
      </c>
      <c r="G6196" s="8" t="s">
        <v>2989</v>
      </c>
      <c r="H6196" s="8" t="s">
        <v>2990</v>
      </c>
      <c r="I6196" s="8" t="s">
        <v>18653</v>
      </c>
      <c r="J6196" s="8"/>
    </row>
    <row r="6197">
      <c r="A6197" s="7">
        <v>2.0036289E7</v>
      </c>
      <c r="B6197" s="8" t="s">
        <v>5301</v>
      </c>
      <c r="C6197" s="8" t="s">
        <v>18654</v>
      </c>
      <c r="D6197" s="8" t="s">
        <v>16</v>
      </c>
      <c r="E6197" s="8" t="s">
        <v>17</v>
      </c>
      <c r="F6197" s="9">
        <v>46042.0</v>
      </c>
      <c r="G6197" s="8" t="s">
        <v>846</v>
      </c>
      <c r="H6197" s="8" t="s">
        <v>847</v>
      </c>
      <c r="I6197" s="8" t="s">
        <v>18655</v>
      </c>
      <c r="J6197" s="8" t="s">
        <v>18656</v>
      </c>
    </row>
    <row r="6198">
      <c r="A6198" s="7">
        <v>2.0061482E7</v>
      </c>
      <c r="B6198" s="8" t="s">
        <v>5301</v>
      </c>
      <c r="C6198" s="8" t="s">
        <v>18657</v>
      </c>
      <c r="D6198" s="8" t="s">
        <v>16</v>
      </c>
      <c r="E6198" s="8" t="s">
        <v>17</v>
      </c>
      <c r="F6198" s="9">
        <v>46184.0</v>
      </c>
      <c r="G6198" s="8" t="s">
        <v>314</v>
      </c>
      <c r="H6198" s="8" t="s">
        <v>315</v>
      </c>
      <c r="I6198" s="8" t="s">
        <v>2658</v>
      </c>
      <c r="J6198" s="8" t="s">
        <v>18658</v>
      </c>
    </row>
    <row r="6199">
      <c r="A6199" s="7">
        <v>2.0058127E7</v>
      </c>
      <c r="B6199" s="8" t="s">
        <v>5301</v>
      </c>
      <c r="C6199" s="8" t="s">
        <v>18659</v>
      </c>
      <c r="D6199" s="8" t="s">
        <v>16</v>
      </c>
      <c r="E6199" s="8" t="s">
        <v>48</v>
      </c>
      <c r="F6199" s="9">
        <v>46151.0</v>
      </c>
      <c r="G6199" s="8" t="s">
        <v>17041</v>
      </c>
      <c r="H6199" s="8" t="s">
        <v>17042</v>
      </c>
      <c r="I6199" s="8" t="s">
        <v>18660</v>
      </c>
      <c r="J6199" s="8"/>
    </row>
    <row r="6200">
      <c r="A6200" s="7">
        <v>2.0057201E7</v>
      </c>
      <c r="B6200" s="8" t="s">
        <v>5301</v>
      </c>
      <c r="C6200" s="8" t="s">
        <v>18661</v>
      </c>
      <c r="D6200" s="8" t="s">
        <v>16</v>
      </c>
      <c r="E6200" s="8" t="s">
        <v>17</v>
      </c>
      <c r="F6200" s="9">
        <v>46138.0</v>
      </c>
      <c r="G6200" s="8" t="s">
        <v>220</v>
      </c>
      <c r="H6200" s="8" t="s">
        <v>221</v>
      </c>
      <c r="I6200" s="8" t="s">
        <v>18662</v>
      </c>
      <c r="J6200" s="8" t="s">
        <v>18663</v>
      </c>
    </row>
    <row r="6201">
      <c r="A6201" s="7">
        <v>2.0052058E7</v>
      </c>
      <c r="B6201" s="8" t="s">
        <v>5301</v>
      </c>
      <c r="C6201" s="8" t="s">
        <v>18664</v>
      </c>
      <c r="D6201" s="8" t="s">
        <v>16</v>
      </c>
      <c r="E6201" s="8" t="s">
        <v>17</v>
      </c>
      <c r="F6201" s="9">
        <v>46137.0</v>
      </c>
      <c r="G6201" s="8" t="s">
        <v>410</v>
      </c>
      <c r="H6201" s="8" t="s">
        <v>411</v>
      </c>
      <c r="I6201" s="8" t="s">
        <v>18665</v>
      </c>
      <c r="J6201" s="8"/>
    </row>
    <row r="6202">
      <c r="A6202" s="7">
        <v>2.0048529E7</v>
      </c>
      <c r="B6202" s="8" t="s">
        <v>5301</v>
      </c>
      <c r="C6202" s="8" t="s">
        <v>18666</v>
      </c>
      <c r="D6202" s="8" t="s">
        <v>16</v>
      </c>
      <c r="E6202" s="8" t="s">
        <v>17</v>
      </c>
      <c r="F6202" s="9">
        <v>46118.0</v>
      </c>
      <c r="G6202" s="8" t="s">
        <v>2989</v>
      </c>
      <c r="H6202" s="8" t="s">
        <v>2990</v>
      </c>
      <c r="I6202" s="8" t="s">
        <v>18667</v>
      </c>
      <c r="J6202" s="8"/>
    </row>
    <row r="6203">
      <c r="A6203" s="7">
        <v>2.0041529E7</v>
      </c>
      <c r="B6203" s="8" t="s">
        <v>5301</v>
      </c>
      <c r="C6203" s="8" t="s">
        <v>18668</v>
      </c>
      <c r="D6203" s="8" t="s">
        <v>16</v>
      </c>
      <c r="E6203" s="8" t="s">
        <v>17</v>
      </c>
      <c r="F6203" s="9">
        <v>46064.0</v>
      </c>
      <c r="G6203" s="8" t="s">
        <v>91</v>
      </c>
      <c r="H6203" s="8" t="s">
        <v>92</v>
      </c>
      <c r="I6203" s="8" t="s">
        <v>18669</v>
      </c>
      <c r="J6203" s="8" t="s">
        <v>18670</v>
      </c>
    </row>
    <row r="6204">
      <c r="A6204" s="7">
        <v>2.0031262E7</v>
      </c>
      <c r="B6204" s="8" t="s">
        <v>5301</v>
      </c>
      <c r="C6204" s="8" t="s">
        <v>18671</v>
      </c>
      <c r="D6204" s="8" t="s">
        <v>16</v>
      </c>
      <c r="E6204" s="8" t="s">
        <v>17</v>
      </c>
      <c r="F6204" s="9">
        <v>46051.0</v>
      </c>
      <c r="G6204" s="8" t="s">
        <v>5916</v>
      </c>
      <c r="H6204" s="8" t="s">
        <v>6548</v>
      </c>
      <c r="I6204" s="8" t="s">
        <v>18672</v>
      </c>
      <c r="J6204" s="8" t="s">
        <v>18673</v>
      </c>
    </row>
    <row r="6205">
      <c r="A6205" s="7">
        <v>2.0031238E7</v>
      </c>
      <c r="B6205" s="8" t="s">
        <v>5301</v>
      </c>
      <c r="C6205" s="8" t="s">
        <v>18674</v>
      </c>
      <c r="D6205" s="8" t="s">
        <v>16</v>
      </c>
      <c r="E6205" s="8" t="s">
        <v>17</v>
      </c>
      <c r="F6205" s="9">
        <v>46049.0</v>
      </c>
      <c r="G6205" s="8" t="s">
        <v>18675</v>
      </c>
      <c r="H6205" s="8" t="s">
        <v>18676</v>
      </c>
      <c r="I6205" s="8" t="s">
        <v>18677</v>
      </c>
      <c r="J6205" s="8"/>
    </row>
    <row r="6206">
      <c r="A6206" s="7">
        <v>2.0067947E7</v>
      </c>
      <c r="B6206" s="8" t="s">
        <v>5301</v>
      </c>
      <c r="C6206" s="8" t="s">
        <v>18678</v>
      </c>
      <c r="D6206" s="8" t="s">
        <v>16</v>
      </c>
      <c r="E6206" s="8" t="s">
        <v>17</v>
      </c>
      <c r="F6206" s="9">
        <v>46177.0</v>
      </c>
      <c r="G6206" s="8" t="s">
        <v>91</v>
      </c>
      <c r="H6206" s="8" t="s">
        <v>92</v>
      </c>
      <c r="I6206" s="8" t="s">
        <v>18679</v>
      </c>
      <c r="J6206" s="8" t="s">
        <v>18680</v>
      </c>
    </row>
    <row r="6207">
      <c r="A6207" s="7">
        <v>2.0060831E7</v>
      </c>
      <c r="B6207" s="8" t="s">
        <v>5301</v>
      </c>
      <c r="C6207" s="8" t="s">
        <v>18681</v>
      </c>
      <c r="D6207" s="8" t="s">
        <v>16</v>
      </c>
      <c r="E6207" s="8" t="s">
        <v>17</v>
      </c>
      <c r="F6207" s="9">
        <v>46170.0</v>
      </c>
      <c r="G6207" s="8" t="s">
        <v>7637</v>
      </c>
      <c r="H6207" s="8" t="s">
        <v>7638</v>
      </c>
      <c r="I6207" s="8" t="s">
        <v>18682</v>
      </c>
      <c r="J6207" s="8" t="s">
        <v>18683</v>
      </c>
    </row>
    <row r="6208">
      <c r="A6208" s="7">
        <v>2.0052857E7</v>
      </c>
      <c r="B6208" s="8" t="s">
        <v>5301</v>
      </c>
      <c r="C6208" s="8" t="s">
        <v>18684</v>
      </c>
      <c r="D6208" s="8" t="s">
        <v>16</v>
      </c>
      <c r="E6208" s="8" t="s">
        <v>17</v>
      </c>
      <c r="F6208" s="9">
        <v>46136.0</v>
      </c>
      <c r="G6208" s="8" t="s">
        <v>1813</v>
      </c>
      <c r="H6208" s="8" t="s">
        <v>1814</v>
      </c>
      <c r="I6208" s="8" t="s">
        <v>18685</v>
      </c>
      <c r="J6208" s="8" t="s">
        <v>18686</v>
      </c>
    </row>
    <row r="6209">
      <c r="A6209" s="7">
        <v>2.0043203E7</v>
      </c>
      <c r="B6209" s="8" t="s">
        <v>5301</v>
      </c>
      <c r="C6209" s="8" t="s">
        <v>18687</v>
      </c>
      <c r="D6209" s="8" t="s">
        <v>16</v>
      </c>
      <c r="E6209" s="8" t="s">
        <v>17</v>
      </c>
      <c r="F6209" s="9">
        <v>46071.0</v>
      </c>
      <c r="G6209" s="8" t="s">
        <v>805</v>
      </c>
      <c r="H6209" s="8" t="s">
        <v>806</v>
      </c>
      <c r="I6209" s="8" t="s">
        <v>18688</v>
      </c>
      <c r="J6209" s="8" t="s">
        <v>18689</v>
      </c>
    </row>
    <row r="6210">
      <c r="A6210" s="7">
        <v>2.0041801E7</v>
      </c>
      <c r="B6210" s="8" t="s">
        <v>5301</v>
      </c>
      <c r="C6210" s="8" t="s">
        <v>18690</v>
      </c>
      <c r="D6210" s="8" t="s">
        <v>2136</v>
      </c>
      <c r="E6210" s="8" t="s">
        <v>17</v>
      </c>
      <c r="F6210" s="9">
        <v>46068.0</v>
      </c>
      <c r="G6210" s="8" t="s">
        <v>109</v>
      </c>
      <c r="H6210" s="8" t="s">
        <v>110</v>
      </c>
      <c r="I6210" s="8" t="s">
        <v>18691</v>
      </c>
      <c r="J6210" s="8" t="s">
        <v>18692</v>
      </c>
    </row>
    <row r="6211">
      <c r="A6211" s="7">
        <v>2.0041801E7</v>
      </c>
      <c r="B6211" s="8" t="s">
        <v>5301</v>
      </c>
      <c r="C6211" s="8" t="s">
        <v>18690</v>
      </c>
      <c r="D6211" s="8" t="s">
        <v>2136</v>
      </c>
      <c r="E6211" s="8" t="s">
        <v>17</v>
      </c>
      <c r="F6211" s="9">
        <v>46068.0</v>
      </c>
      <c r="G6211" s="8" t="s">
        <v>7038</v>
      </c>
      <c r="H6211" s="8" t="s">
        <v>7039</v>
      </c>
      <c r="I6211" s="8" t="s">
        <v>18693</v>
      </c>
      <c r="J6211" s="8" t="s">
        <v>18694</v>
      </c>
    </row>
    <row r="6212">
      <c r="A6212" s="7">
        <v>2.0034301E7</v>
      </c>
      <c r="B6212" s="8" t="s">
        <v>5301</v>
      </c>
      <c r="C6212" s="8" t="s">
        <v>18695</v>
      </c>
      <c r="D6212" s="8" t="s">
        <v>16</v>
      </c>
      <c r="E6212" s="8" t="s">
        <v>17</v>
      </c>
      <c r="F6212" s="9">
        <v>46034.0</v>
      </c>
      <c r="G6212" s="8" t="s">
        <v>59</v>
      </c>
      <c r="H6212" s="8" t="s">
        <v>60</v>
      </c>
      <c r="I6212" s="8" t="s">
        <v>18696</v>
      </c>
      <c r="J6212" s="8" t="s">
        <v>18697</v>
      </c>
    </row>
    <row r="6213">
      <c r="A6213" s="7">
        <v>2.0066335E7</v>
      </c>
      <c r="B6213" s="8" t="s">
        <v>5301</v>
      </c>
      <c r="C6213" s="8" t="s">
        <v>18698</v>
      </c>
      <c r="D6213" s="8" t="s">
        <v>16</v>
      </c>
      <c r="E6213" s="8" t="s">
        <v>17</v>
      </c>
      <c r="F6213" s="9">
        <v>46192.0</v>
      </c>
      <c r="G6213" s="8" t="s">
        <v>18699</v>
      </c>
      <c r="H6213" s="8" t="s">
        <v>18700</v>
      </c>
      <c r="I6213" s="8" t="s">
        <v>18701</v>
      </c>
      <c r="J6213" s="8"/>
    </row>
    <row r="6214">
      <c r="A6214" s="7">
        <v>2.0063748E7</v>
      </c>
      <c r="B6214" s="8" t="s">
        <v>5301</v>
      </c>
      <c r="C6214" s="8" t="s">
        <v>18702</v>
      </c>
      <c r="D6214" s="8" t="s">
        <v>16</v>
      </c>
      <c r="E6214" s="8" t="s">
        <v>17</v>
      </c>
      <c r="F6214" s="9">
        <v>46168.0</v>
      </c>
      <c r="G6214" s="8" t="s">
        <v>59</v>
      </c>
      <c r="H6214" s="8" t="s">
        <v>60</v>
      </c>
      <c r="I6214" s="8" t="s">
        <v>18703</v>
      </c>
      <c r="J6214" s="8" t="s">
        <v>18704</v>
      </c>
    </row>
    <row r="6215">
      <c r="A6215" s="7">
        <v>2.0058255E7</v>
      </c>
      <c r="B6215" s="8" t="s">
        <v>5301</v>
      </c>
      <c r="C6215" s="8" t="s">
        <v>18705</v>
      </c>
      <c r="D6215" s="8" t="s">
        <v>16</v>
      </c>
      <c r="E6215" s="8" t="s">
        <v>17</v>
      </c>
      <c r="F6215" s="9">
        <v>46139.0</v>
      </c>
      <c r="G6215" s="8" t="s">
        <v>59</v>
      </c>
      <c r="H6215" s="8" t="s">
        <v>60</v>
      </c>
      <c r="I6215" s="8" t="s">
        <v>18706</v>
      </c>
      <c r="J6215" s="8" t="s">
        <v>18707</v>
      </c>
    </row>
    <row r="6216">
      <c r="A6216" s="7">
        <v>2.0048979E7</v>
      </c>
      <c r="B6216" s="8" t="s">
        <v>5301</v>
      </c>
      <c r="C6216" s="8" t="s">
        <v>18708</v>
      </c>
      <c r="D6216" s="8" t="s">
        <v>16</v>
      </c>
      <c r="E6216" s="8" t="s">
        <v>17</v>
      </c>
      <c r="F6216" s="9">
        <v>46112.0</v>
      </c>
      <c r="G6216" s="8" t="s">
        <v>1045</v>
      </c>
      <c r="H6216" s="8" t="s">
        <v>909</v>
      </c>
      <c r="I6216" s="8" t="s">
        <v>18709</v>
      </c>
      <c r="J6216" s="8" t="s">
        <v>18710</v>
      </c>
    </row>
    <row r="6217">
      <c r="A6217" s="7">
        <v>2.0051409E7</v>
      </c>
      <c r="B6217" s="8" t="s">
        <v>5301</v>
      </c>
      <c r="C6217" s="8" t="s">
        <v>18711</v>
      </c>
      <c r="D6217" s="8" t="s">
        <v>16</v>
      </c>
      <c r="E6217" s="8" t="s">
        <v>17</v>
      </c>
      <c r="F6217" s="9">
        <v>46119.0</v>
      </c>
      <c r="G6217" s="8" t="s">
        <v>1998</v>
      </c>
      <c r="H6217" s="8" t="s">
        <v>1999</v>
      </c>
      <c r="I6217" s="8" t="s">
        <v>18712</v>
      </c>
      <c r="J6217" s="8"/>
    </row>
    <row r="6218">
      <c r="A6218" s="7">
        <v>2.0047715E7</v>
      </c>
      <c r="B6218" s="8" t="s">
        <v>5301</v>
      </c>
      <c r="C6218" s="8" t="s">
        <v>18713</v>
      </c>
      <c r="D6218" s="8" t="s">
        <v>16</v>
      </c>
      <c r="E6218" s="8" t="s">
        <v>17</v>
      </c>
      <c r="F6218" s="9">
        <v>46097.0</v>
      </c>
      <c r="G6218" s="8" t="s">
        <v>5723</v>
      </c>
      <c r="H6218" s="8" t="s">
        <v>909</v>
      </c>
      <c r="I6218" s="8" t="s">
        <v>18714</v>
      </c>
      <c r="J6218" s="8" t="s">
        <v>18715</v>
      </c>
    </row>
    <row r="6219">
      <c r="A6219" s="7">
        <v>2.0046588E7</v>
      </c>
      <c r="B6219" s="8" t="s">
        <v>5301</v>
      </c>
      <c r="C6219" s="8" t="s">
        <v>18716</v>
      </c>
      <c r="D6219" s="8" t="s">
        <v>16</v>
      </c>
      <c r="E6219" s="8" t="s">
        <v>17</v>
      </c>
      <c r="F6219" s="9">
        <v>46091.0</v>
      </c>
      <c r="G6219" s="8" t="s">
        <v>59</v>
      </c>
      <c r="H6219" s="8" t="s">
        <v>60</v>
      </c>
      <c r="I6219" s="8" t="s">
        <v>18717</v>
      </c>
      <c r="J6219" s="8" t="s">
        <v>18718</v>
      </c>
    </row>
    <row r="6220">
      <c r="A6220" s="7">
        <v>2.0043155E7</v>
      </c>
      <c r="B6220" s="8" t="s">
        <v>5301</v>
      </c>
      <c r="C6220" s="8" t="s">
        <v>18719</v>
      </c>
      <c r="D6220" s="8" t="s">
        <v>16</v>
      </c>
      <c r="E6220" s="8" t="s">
        <v>17</v>
      </c>
      <c r="F6220" s="9">
        <v>46070.0</v>
      </c>
      <c r="G6220" s="8" t="s">
        <v>846</v>
      </c>
      <c r="H6220" s="8" t="s">
        <v>847</v>
      </c>
      <c r="I6220" s="8" t="s">
        <v>18720</v>
      </c>
      <c r="J6220" s="8" t="s">
        <v>18721</v>
      </c>
    </row>
    <row r="6221">
      <c r="A6221" s="7">
        <v>2.0063453E7</v>
      </c>
      <c r="B6221" s="8" t="s">
        <v>5301</v>
      </c>
      <c r="C6221" s="8" t="s">
        <v>18722</v>
      </c>
      <c r="D6221" s="8" t="s">
        <v>16</v>
      </c>
      <c r="E6221" s="8" t="s">
        <v>17</v>
      </c>
      <c r="F6221" s="9">
        <v>46183.0</v>
      </c>
      <c r="G6221" s="8" t="s">
        <v>732</v>
      </c>
      <c r="H6221" s="8" t="s">
        <v>733</v>
      </c>
      <c r="I6221" s="8" t="s">
        <v>18723</v>
      </c>
      <c r="J6221" s="8"/>
    </row>
    <row r="6222">
      <c r="A6222" s="7">
        <v>2.0055451E7</v>
      </c>
      <c r="B6222" s="8" t="s">
        <v>5301</v>
      </c>
      <c r="C6222" s="8" t="s">
        <v>18724</v>
      </c>
      <c r="D6222" s="8" t="s">
        <v>16</v>
      </c>
      <c r="E6222" s="8" t="s">
        <v>17</v>
      </c>
      <c r="F6222" s="9">
        <v>46121.0</v>
      </c>
      <c r="G6222" s="8" t="s">
        <v>59</v>
      </c>
      <c r="H6222" s="8" t="s">
        <v>60</v>
      </c>
      <c r="I6222" s="8" t="s">
        <v>18725</v>
      </c>
      <c r="J6222" s="8" t="s">
        <v>18726</v>
      </c>
    </row>
    <row r="6223">
      <c r="A6223" s="7">
        <v>2.0037553E7</v>
      </c>
      <c r="B6223" s="8" t="s">
        <v>5301</v>
      </c>
      <c r="C6223" s="8" t="s">
        <v>18727</v>
      </c>
      <c r="D6223" s="8" t="s">
        <v>16</v>
      </c>
      <c r="E6223" s="8" t="s">
        <v>17</v>
      </c>
      <c r="F6223" s="9">
        <v>46097.0</v>
      </c>
      <c r="G6223" s="8" t="s">
        <v>423</v>
      </c>
      <c r="H6223" s="8" t="s">
        <v>424</v>
      </c>
      <c r="I6223" s="8" t="s">
        <v>18728</v>
      </c>
      <c r="J6223" s="8" t="s">
        <v>18729</v>
      </c>
    </row>
    <row r="6224">
      <c r="A6224" s="7">
        <v>2.0057088E7</v>
      </c>
      <c r="B6224" s="8" t="s">
        <v>5301</v>
      </c>
      <c r="C6224" s="8" t="s">
        <v>18730</v>
      </c>
      <c r="D6224" s="8" t="s">
        <v>16</v>
      </c>
      <c r="E6224" s="8" t="s">
        <v>17</v>
      </c>
      <c r="F6224" s="9">
        <v>46150.0</v>
      </c>
      <c r="G6224" s="8" t="s">
        <v>1355</v>
      </c>
      <c r="H6224" s="8" t="s">
        <v>1356</v>
      </c>
      <c r="I6224" s="8" t="s">
        <v>18731</v>
      </c>
      <c r="J6224" s="8" t="s">
        <v>18732</v>
      </c>
    </row>
    <row r="6225">
      <c r="A6225" s="7">
        <v>2.0047907E7</v>
      </c>
      <c r="B6225" s="8" t="s">
        <v>5301</v>
      </c>
      <c r="C6225" s="8" t="s">
        <v>18733</v>
      </c>
      <c r="D6225" s="8" t="s">
        <v>16</v>
      </c>
      <c r="E6225" s="8" t="s">
        <v>17</v>
      </c>
      <c r="F6225" s="9">
        <v>46088.0</v>
      </c>
      <c r="G6225" s="8" t="s">
        <v>247</v>
      </c>
      <c r="H6225" s="8" t="s">
        <v>248</v>
      </c>
      <c r="I6225" s="8" t="s">
        <v>18734</v>
      </c>
      <c r="J6225" s="8" t="s">
        <v>18735</v>
      </c>
    </row>
    <row r="6226">
      <c r="A6226" s="7">
        <v>2.0034853E7</v>
      </c>
      <c r="B6226" s="8" t="s">
        <v>5301</v>
      </c>
      <c r="C6226" s="8" t="s">
        <v>18736</v>
      </c>
      <c r="D6226" s="8" t="s">
        <v>16</v>
      </c>
      <c r="E6226" s="8" t="s">
        <v>17</v>
      </c>
      <c r="F6226" s="9">
        <v>46053.0</v>
      </c>
      <c r="G6226" s="8" t="s">
        <v>1746</v>
      </c>
      <c r="H6226" s="8" t="s">
        <v>4130</v>
      </c>
      <c r="I6226" s="8" t="s">
        <v>18737</v>
      </c>
      <c r="J6226" s="8" t="s">
        <v>18738</v>
      </c>
    </row>
    <row r="6227">
      <c r="A6227" s="7">
        <v>2.0035129E7</v>
      </c>
      <c r="B6227" s="8" t="s">
        <v>5301</v>
      </c>
      <c r="C6227" s="8" t="s">
        <v>18739</v>
      </c>
      <c r="D6227" s="8" t="s">
        <v>16</v>
      </c>
      <c r="E6227" s="8" t="s">
        <v>17</v>
      </c>
      <c r="F6227" s="9">
        <v>46046.0</v>
      </c>
      <c r="G6227" s="8" t="s">
        <v>882</v>
      </c>
      <c r="H6227" s="8" t="s">
        <v>883</v>
      </c>
      <c r="I6227" s="8" t="s">
        <v>18740</v>
      </c>
      <c r="J6227" s="8" t="s">
        <v>18741</v>
      </c>
    </row>
    <row r="6228">
      <c r="A6228" s="7">
        <v>2.0033884E7</v>
      </c>
      <c r="B6228" s="8" t="s">
        <v>5301</v>
      </c>
      <c r="C6228" s="8" t="s">
        <v>18742</v>
      </c>
      <c r="D6228" s="8" t="s">
        <v>16</v>
      </c>
      <c r="E6228" s="8" t="s">
        <v>17</v>
      </c>
      <c r="F6228" s="9">
        <v>46050.0</v>
      </c>
      <c r="G6228" s="8" t="s">
        <v>361</v>
      </c>
      <c r="H6228" s="8" t="s">
        <v>362</v>
      </c>
      <c r="I6228" s="8" t="s">
        <v>18743</v>
      </c>
      <c r="J6228" s="8" t="s">
        <v>18744</v>
      </c>
    </row>
    <row r="6229">
      <c r="A6229" s="7">
        <v>2.0033973E7</v>
      </c>
      <c r="B6229" s="8" t="s">
        <v>5301</v>
      </c>
      <c r="C6229" s="8" t="s">
        <v>18745</v>
      </c>
      <c r="D6229" s="8" t="s">
        <v>16</v>
      </c>
      <c r="E6229" s="8" t="s">
        <v>17</v>
      </c>
      <c r="F6229" s="9">
        <v>46034.0</v>
      </c>
      <c r="G6229" s="8" t="s">
        <v>385</v>
      </c>
      <c r="H6229" s="8" t="s">
        <v>386</v>
      </c>
      <c r="I6229" s="8" t="s">
        <v>18746</v>
      </c>
      <c r="J6229" s="8" t="s">
        <v>18747</v>
      </c>
    </row>
    <row r="6230">
      <c r="A6230" s="7">
        <v>2.0058176E7</v>
      </c>
      <c r="B6230" s="8" t="s">
        <v>5301</v>
      </c>
      <c r="C6230" s="8" t="s">
        <v>18748</v>
      </c>
      <c r="D6230" s="8" t="s">
        <v>16</v>
      </c>
      <c r="E6230" s="8" t="s">
        <v>17</v>
      </c>
      <c r="F6230" s="9">
        <v>46133.0</v>
      </c>
      <c r="G6230" s="8" t="s">
        <v>59</v>
      </c>
      <c r="H6230" s="8" t="s">
        <v>60</v>
      </c>
      <c r="I6230" s="8" t="s">
        <v>18749</v>
      </c>
      <c r="J6230" s="8" t="s">
        <v>18750</v>
      </c>
    </row>
    <row r="6231">
      <c r="A6231" s="7">
        <v>2.0037994E7</v>
      </c>
      <c r="B6231" s="8" t="s">
        <v>5301</v>
      </c>
      <c r="C6231" s="8" t="s">
        <v>18751</v>
      </c>
      <c r="D6231" s="8" t="s">
        <v>16</v>
      </c>
      <c r="E6231" s="8" t="s">
        <v>17</v>
      </c>
      <c r="F6231" s="9">
        <v>46072.0</v>
      </c>
      <c r="G6231" s="8" t="s">
        <v>119</v>
      </c>
      <c r="H6231" s="8" t="s">
        <v>120</v>
      </c>
      <c r="I6231" s="8" t="s">
        <v>18752</v>
      </c>
      <c r="J6231" s="8" t="s">
        <v>18753</v>
      </c>
    </row>
    <row r="6232">
      <c r="A6232" s="7">
        <v>2.0068861E7</v>
      </c>
      <c r="B6232" s="8" t="s">
        <v>5301</v>
      </c>
      <c r="C6232" s="8" t="s">
        <v>18754</v>
      </c>
      <c r="D6232" s="8" t="s">
        <v>16</v>
      </c>
      <c r="E6232" s="8" t="s">
        <v>17</v>
      </c>
      <c r="F6232" s="9">
        <v>46179.0</v>
      </c>
      <c r="G6232" s="8" t="s">
        <v>385</v>
      </c>
      <c r="H6232" s="8" t="s">
        <v>386</v>
      </c>
      <c r="I6232" s="8" t="s">
        <v>18755</v>
      </c>
      <c r="J6232" s="8" t="s">
        <v>18756</v>
      </c>
    </row>
    <row r="6233">
      <c r="A6233" s="7">
        <v>2.0060097E7</v>
      </c>
      <c r="B6233" s="8" t="s">
        <v>5301</v>
      </c>
      <c r="C6233" s="8" t="s">
        <v>18757</v>
      </c>
      <c r="D6233" s="8" t="s">
        <v>16</v>
      </c>
      <c r="E6233" s="8" t="s">
        <v>48</v>
      </c>
      <c r="F6233" s="9">
        <v>46160.0</v>
      </c>
      <c r="G6233" s="8" t="s">
        <v>11467</v>
      </c>
      <c r="H6233" s="8" t="s">
        <v>11468</v>
      </c>
      <c r="I6233" s="8" t="s">
        <v>18758</v>
      </c>
      <c r="J6233" s="8"/>
    </row>
    <row r="6234">
      <c r="A6234" s="7">
        <v>2.0052759E7</v>
      </c>
      <c r="B6234" s="8" t="s">
        <v>5301</v>
      </c>
      <c r="C6234" s="8" t="s">
        <v>18759</v>
      </c>
      <c r="D6234" s="8" t="s">
        <v>16</v>
      </c>
      <c r="E6234" s="8" t="s">
        <v>17</v>
      </c>
      <c r="F6234" s="9">
        <v>46126.0</v>
      </c>
      <c r="G6234" s="8" t="s">
        <v>385</v>
      </c>
      <c r="H6234" s="8" t="s">
        <v>386</v>
      </c>
      <c r="I6234" s="8" t="s">
        <v>18760</v>
      </c>
      <c r="J6234" s="8" t="s">
        <v>18761</v>
      </c>
    </row>
    <row r="6235">
      <c r="A6235" s="7">
        <v>2.0039986E7</v>
      </c>
      <c r="B6235" s="8" t="s">
        <v>5301</v>
      </c>
      <c r="C6235" s="8" t="s">
        <v>18762</v>
      </c>
      <c r="D6235" s="8" t="s">
        <v>16</v>
      </c>
      <c r="E6235" s="8" t="s">
        <v>17</v>
      </c>
      <c r="F6235" s="9">
        <v>46110.0</v>
      </c>
      <c r="G6235" s="8" t="s">
        <v>7407</v>
      </c>
      <c r="H6235" s="8" t="s">
        <v>7408</v>
      </c>
      <c r="I6235" s="8" t="s">
        <v>18763</v>
      </c>
      <c r="J6235" s="8" t="s">
        <v>18764</v>
      </c>
    </row>
    <row r="6236">
      <c r="A6236" s="7">
        <v>2.0039986E7</v>
      </c>
      <c r="B6236" s="8" t="s">
        <v>5301</v>
      </c>
      <c r="C6236" s="8" t="s">
        <v>18762</v>
      </c>
      <c r="D6236" s="8" t="s">
        <v>16</v>
      </c>
      <c r="E6236" s="8" t="s">
        <v>17</v>
      </c>
      <c r="F6236" s="9">
        <v>46110.0</v>
      </c>
      <c r="G6236" s="8" t="s">
        <v>7411</v>
      </c>
      <c r="H6236" s="8" t="s">
        <v>7412</v>
      </c>
      <c r="I6236" s="8" t="s">
        <v>18765</v>
      </c>
      <c r="J6236" s="8" t="s">
        <v>18766</v>
      </c>
    </row>
    <row r="6237">
      <c r="A6237" s="7">
        <v>2.0040882E7</v>
      </c>
      <c r="B6237" s="8" t="s">
        <v>5301</v>
      </c>
      <c r="C6237" s="8" t="s">
        <v>18767</v>
      </c>
      <c r="D6237" s="8" t="s">
        <v>16</v>
      </c>
      <c r="E6237" s="8" t="s">
        <v>17</v>
      </c>
      <c r="F6237" s="9">
        <v>46065.0</v>
      </c>
      <c r="G6237" s="8" t="s">
        <v>91</v>
      </c>
      <c r="H6237" s="8" t="s">
        <v>92</v>
      </c>
      <c r="I6237" s="8" t="s">
        <v>18768</v>
      </c>
      <c r="J6237" s="8" t="s">
        <v>18769</v>
      </c>
    </row>
    <row r="6238">
      <c r="A6238" s="7">
        <v>2.0057872E7</v>
      </c>
      <c r="B6238" s="8" t="s">
        <v>5301</v>
      </c>
      <c r="C6238" s="8" t="s">
        <v>18770</v>
      </c>
      <c r="D6238" s="8" t="s">
        <v>16</v>
      </c>
      <c r="E6238" s="8" t="s">
        <v>17</v>
      </c>
      <c r="F6238" s="9">
        <v>46139.0</v>
      </c>
      <c r="G6238" s="8" t="s">
        <v>8833</v>
      </c>
      <c r="H6238" s="8" t="s">
        <v>8834</v>
      </c>
      <c r="I6238" s="8" t="s">
        <v>18771</v>
      </c>
      <c r="J6238" s="8" t="s">
        <v>18772</v>
      </c>
    </row>
    <row r="6239">
      <c r="A6239" s="7">
        <v>2.0053749E7</v>
      </c>
      <c r="B6239" s="8" t="s">
        <v>5301</v>
      </c>
      <c r="C6239" s="8" t="s">
        <v>18773</v>
      </c>
      <c r="D6239" s="8" t="s">
        <v>16</v>
      </c>
      <c r="E6239" s="8" t="s">
        <v>17</v>
      </c>
      <c r="F6239" s="9">
        <v>46126.0</v>
      </c>
      <c r="G6239" s="8" t="s">
        <v>247</v>
      </c>
      <c r="H6239" s="8" t="s">
        <v>248</v>
      </c>
      <c r="I6239" s="8" t="s">
        <v>18774</v>
      </c>
      <c r="J6239" s="8" t="s">
        <v>18775</v>
      </c>
    </row>
    <row r="6240">
      <c r="A6240" s="7">
        <v>2.003568E7</v>
      </c>
      <c r="B6240" s="8" t="s">
        <v>5301</v>
      </c>
      <c r="C6240" s="8" t="s">
        <v>18776</v>
      </c>
      <c r="D6240" s="8" t="s">
        <v>16</v>
      </c>
      <c r="E6240" s="8" t="s">
        <v>48</v>
      </c>
      <c r="F6240" s="9">
        <v>46080.0</v>
      </c>
      <c r="G6240" s="8" t="s">
        <v>2181</v>
      </c>
      <c r="H6240" s="8" t="s">
        <v>2182</v>
      </c>
      <c r="I6240" s="8" t="s">
        <v>18777</v>
      </c>
      <c r="J6240" s="8"/>
    </row>
    <row r="6241">
      <c r="A6241" s="7">
        <v>2.0037221E7</v>
      </c>
      <c r="B6241" s="8" t="s">
        <v>5301</v>
      </c>
      <c r="C6241" s="8" t="s">
        <v>18778</v>
      </c>
      <c r="D6241" s="8" t="s">
        <v>16</v>
      </c>
      <c r="E6241" s="8" t="s">
        <v>17</v>
      </c>
      <c r="F6241" s="9">
        <v>46060.0</v>
      </c>
      <c r="G6241" s="8" t="s">
        <v>805</v>
      </c>
      <c r="H6241" s="8" t="s">
        <v>806</v>
      </c>
      <c r="I6241" s="8" t="s">
        <v>18779</v>
      </c>
      <c r="J6241" s="8" t="s">
        <v>18780</v>
      </c>
    </row>
    <row r="6242">
      <c r="A6242" s="7">
        <v>2.0034653E7</v>
      </c>
      <c r="B6242" s="8" t="s">
        <v>5301</v>
      </c>
      <c r="C6242" s="8" t="s">
        <v>18781</v>
      </c>
      <c r="D6242" s="8" t="s">
        <v>16</v>
      </c>
      <c r="E6242" s="8" t="s">
        <v>17</v>
      </c>
      <c r="F6242" s="9">
        <v>46059.0</v>
      </c>
      <c r="G6242" s="8" t="s">
        <v>158</v>
      </c>
      <c r="H6242" s="8" t="s">
        <v>159</v>
      </c>
      <c r="I6242" s="8" t="s">
        <v>18782</v>
      </c>
      <c r="J6242" s="8"/>
    </row>
    <row r="6243">
      <c r="A6243" s="7">
        <v>2.0028539E7</v>
      </c>
      <c r="B6243" s="8" t="s">
        <v>5301</v>
      </c>
      <c r="C6243" s="8" t="s">
        <v>18783</v>
      </c>
      <c r="D6243" s="8" t="s">
        <v>16</v>
      </c>
      <c r="E6243" s="8" t="s">
        <v>17</v>
      </c>
      <c r="F6243" s="9">
        <v>46050.0</v>
      </c>
      <c r="G6243" s="8" t="s">
        <v>400</v>
      </c>
      <c r="H6243" s="8" t="s">
        <v>401</v>
      </c>
      <c r="I6243" s="8" t="s">
        <v>18784</v>
      </c>
      <c r="J6243" s="8" t="s">
        <v>18785</v>
      </c>
    </row>
    <row r="6244">
      <c r="A6244" s="7">
        <v>2.0063088E7</v>
      </c>
      <c r="B6244" s="8" t="s">
        <v>5301</v>
      </c>
      <c r="C6244" s="8" t="s">
        <v>18786</v>
      </c>
      <c r="D6244" s="8" t="s">
        <v>16</v>
      </c>
      <c r="E6244" s="8" t="s">
        <v>17</v>
      </c>
      <c r="F6244" s="9">
        <v>46190.0</v>
      </c>
      <c r="G6244" s="8" t="s">
        <v>124</v>
      </c>
      <c r="H6244" s="8" t="s">
        <v>125</v>
      </c>
      <c r="I6244" s="8" t="s">
        <v>18787</v>
      </c>
      <c r="J6244" s="8" t="s">
        <v>18788</v>
      </c>
    </row>
    <row r="6245">
      <c r="A6245" s="7">
        <v>2.0055319E7</v>
      </c>
      <c r="B6245" s="8" t="s">
        <v>5301</v>
      </c>
      <c r="C6245" s="8" t="s">
        <v>18789</v>
      </c>
      <c r="D6245" s="8" t="s">
        <v>16</v>
      </c>
      <c r="E6245" s="8" t="s">
        <v>17</v>
      </c>
      <c r="F6245" s="9">
        <v>46145.0</v>
      </c>
      <c r="G6245" s="8" t="s">
        <v>400</v>
      </c>
      <c r="H6245" s="8" t="s">
        <v>2144</v>
      </c>
      <c r="I6245" s="8" t="s">
        <v>18790</v>
      </c>
      <c r="J6245" s="8" t="s">
        <v>18791</v>
      </c>
    </row>
    <row r="6246">
      <c r="A6246" s="7">
        <v>2.0057637E7</v>
      </c>
      <c r="B6246" s="8" t="s">
        <v>5301</v>
      </c>
      <c r="C6246" s="8" t="s">
        <v>18792</v>
      </c>
      <c r="D6246" s="8" t="s">
        <v>16</v>
      </c>
      <c r="E6246" s="8" t="s">
        <v>17</v>
      </c>
      <c r="F6246" s="9">
        <v>46141.0</v>
      </c>
      <c r="G6246" s="8" t="s">
        <v>75</v>
      </c>
      <c r="H6246" s="8" t="s">
        <v>76</v>
      </c>
      <c r="I6246" s="8" t="s">
        <v>18793</v>
      </c>
      <c r="J6246" s="8" t="s">
        <v>18794</v>
      </c>
    </row>
    <row r="6247">
      <c r="A6247" s="7">
        <v>2.0052807E7</v>
      </c>
      <c r="B6247" s="8" t="s">
        <v>5301</v>
      </c>
      <c r="C6247" s="8" t="s">
        <v>18795</v>
      </c>
      <c r="D6247" s="8" t="s">
        <v>16</v>
      </c>
      <c r="E6247" s="8" t="s">
        <v>17</v>
      </c>
      <c r="F6247" s="9">
        <v>46132.0</v>
      </c>
      <c r="G6247" s="8" t="s">
        <v>64</v>
      </c>
      <c r="H6247" s="8" t="s">
        <v>65</v>
      </c>
      <c r="I6247" s="8" t="s">
        <v>18796</v>
      </c>
      <c r="J6247" s="8"/>
    </row>
    <row r="6248">
      <c r="A6248" s="7">
        <v>2.0052595E7</v>
      </c>
      <c r="B6248" s="8" t="s">
        <v>5301</v>
      </c>
      <c r="C6248" s="8" t="s">
        <v>18797</v>
      </c>
      <c r="D6248" s="8" t="s">
        <v>16</v>
      </c>
      <c r="E6248" s="8" t="s">
        <v>17</v>
      </c>
      <c r="F6248" s="9">
        <v>46108.0</v>
      </c>
      <c r="G6248" s="8" t="s">
        <v>234</v>
      </c>
      <c r="H6248" s="8" t="s">
        <v>235</v>
      </c>
      <c r="I6248" s="8" t="s">
        <v>18798</v>
      </c>
      <c r="J6248" s="8" t="s">
        <v>18799</v>
      </c>
    </row>
    <row r="6249">
      <c r="A6249" s="7">
        <v>2.0052595E7</v>
      </c>
      <c r="B6249" s="8" t="s">
        <v>5301</v>
      </c>
      <c r="C6249" s="8" t="s">
        <v>18797</v>
      </c>
      <c r="D6249" s="8" t="s">
        <v>16</v>
      </c>
      <c r="E6249" s="8" t="s">
        <v>17</v>
      </c>
      <c r="F6249" s="9">
        <v>46108.0</v>
      </c>
      <c r="G6249" s="8" t="s">
        <v>3255</v>
      </c>
      <c r="H6249" s="8" t="s">
        <v>3256</v>
      </c>
      <c r="I6249" s="8" t="s">
        <v>18800</v>
      </c>
      <c r="J6249" s="8" t="s">
        <v>18801</v>
      </c>
    </row>
    <row r="6250">
      <c r="A6250" s="7">
        <v>2.0041711E7</v>
      </c>
      <c r="B6250" s="8" t="s">
        <v>5301</v>
      </c>
      <c r="C6250" s="8" t="s">
        <v>18802</v>
      </c>
      <c r="D6250" s="8" t="s">
        <v>16</v>
      </c>
      <c r="E6250" s="8" t="s">
        <v>17</v>
      </c>
      <c r="F6250" s="9">
        <v>46065.0</v>
      </c>
      <c r="G6250" s="8" t="s">
        <v>75</v>
      </c>
      <c r="H6250" s="8" t="s">
        <v>76</v>
      </c>
      <c r="I6250" s="8" t="s">
        <v>18803</v>
      </c>
      <c r="J6250" s="8" t="s">
        <v>18804</v>
      </c>
    </row>
    <row r="6251">
      <c r="A6251" s="7">
        <v>2.0070298E7</v>
      </c>
      <c r="B6251" s="8" t="s">
        <v>5301</v>
      </c>
      <c r="C6251" s="8" t="s">
        <v>18805</v>
      </c>
      <c r="D6251" s="8" t="s">
        <v>16</v>
      </c>
      <c r="E6251" s="8" t="s">
        <v>17</v>
      </c>
      <c r="F6251" s="9">
        <v>46189.0</v>
      </c>
      <c r="G6251" s="8" t="s">
        <v>59</v>
      </c>
      <c r="H6251" s="8" t="s">
        <v>60</v>
      </c>
      <c r="I6251" s="8" t="s">
        <v>18806</v>
      </c>
      <c r="J6251" s="8" t="s">
        <v>18807</v>
      </c>
    </row>
    <row r="6252">
      <c r="A6252" s="7">
        <v>2.0069646E7</v>
      </c>
      <c r="B6252" s="8" t="s">
        <v>5301</v>
      </c>
      <c r="C6252" s="8" t="s">
        <v>18808</v>
      </c>
      <c r="D6252" s="8" t="s">
        <v>16</v>
      </c>
      <c r="E6252" s="8" t="s">
        <v>17</v>
      </c>
      <c r="F6252" s="9">
        <v>46181.0</v>
      </c>
      <c r="G6252" s="8" t="s">
        <v>91</v>
      </c>
      <c r="H6252" s="8" t="s">
        <v>92</v>
      </c>
      <c r="I6252" s="8" t="s">
        <v>18809</v>
      </c>
      <c r="J6252" s="8" t="s">
        <v>18810</v>
      </c>
    </row>
    <row r="6253">
      <c r="A6253" s="7">
        <v>2.0063206E7</v>
      </c>
      <c r="B6253" s="8" t="s">
        <v>5301</v>
      </c>
      <c r="C6253" s="8" t="s">
        <v>18811</v>
      </c>
      <c r="D6253" s="8" t="s">
        <v>16</v>
      </c>
      <c r="E6253" s="8" t="s">
        <v>17</v>
      </c>
      <c r="F6253" s="9">
        <v>46181.0</v>
      </c>
      <c r="G6253" s="8" t="s">
        <v>59</v>
      </c>
      <c r="H6253" s="8" t="s">
        <v>60</v>
      </c>
      <c r="I6253" s="8" t="s">
        <v>18812</v>
      </c>
      <c r="J6253" s="8" t="s">
        <v>18813</v>
      </c>
    </row>
    <row r="6254">
      <c r="A6254" s="7">
        <v>2.005077E7</v>
      </c>
      <c r="B6254" s="8" t="s">
        <v>5301</v>
      </c>
      <c r="C6254" s="8" t="s">
        <v>18814</v>
      </c>
      <c r="D6254" s="8" t="s">
        <v>16</v>
      </c>
      <c r="E6254" s="8" t="s">
        <v>17</v>
      </c>
      <c r="F6254" s="9">
        <v>46171.0</v>
      </c>
      <c r="G6254" s="8" t="s">
        <v>2989</v>
      </c>
      <c r="H6254" s="8" t="s">
        <v>2990</v>
      </c>
      <c r="I6254" s="8" t="s">
        <v>18815</v>
      </c>
      <c r="J6254" s="8"/>
    </row>
    <row r="6255">
      <c r="A6255" s="7">
        <v>2.0046272E7</v>
      </c>
      <c r="B6255" s="8" t="s">
        <v>5301</v>
      </c>
      <c r="C6255" s="8" t="s">
        <v>18816</v>
      </c>
      <c r="D6255" s="8" t="s">
        <v>16</v>
      </c>
      <c r="E6255" s="8" t="s">
        <v>17</v>
      </c>
      <c r="F6255" s="9">
        <v>46084.0</v>
      </c>
      <c r="G6255" s="8" t="s">
        <v>59</v>
      </c>
      <c r="H6255" s="8" t="s">
        <v>60</v>
      </c>
      <c r="I6255" s="8" t="s">
        <v>18817</v>
      </c>
      <c r="J6255" s="8" t="s">
        <v>18818</v>
      </c>
    </row>
    <row r="6256">
      <c r="A6256" s="7">
        <v>2.0041757E7</v>
      </c>
      <c r="B6256" s="8" t="s">
        <v>5301</v>
      </c>
      <c r="C6256" s="8" t="s">
        <v>18819</v>
      </c>
      <c r="D6256" s="8" t="s">
        <v>16</v>
      </c>
      <c r="E6256" s="8" t="s">
        <v>17</v>
      </c>
      <c r="F6256" s="9">
        <v>46081.0</v>
      </c>
      <c r="G6256" s="8" t="s">
        <v>805</v>
      </c>
      <c r="H6256" s="8" t="s">
        <v>806</v>
      </c>
      <c r="I6256" s="8" t="s">
        <v>18820</v>
      </c>
      <c r="J6256" s="8" t="s">
        <v>18821</v>
      </c>
    </row>
    <row r="6257">
      <c r="A6257" s="7">
        <v>2.0038976E7</v>
      </c>
      <c r="B6257" s="8" t="s">
        <v>5301</v>
      </c>
      <c r="C6257" s="8" t="s">
        <v>18822</v>
      </c>
      <c r="D6257" s="8" t="s">
        <v>16</v>
      </c>
      <c r="E6257" s="8" t="s">
        <v>17</v>
      </c>
      <c r="F6257" s="9">
        <v>46091.0</v>
      </c>
      <c r="G6257" s="8" t="s">
        <v>846</v>
      </c>
      <c r="H6257" s="8" t="s">
        <v>847</v>
      </c>
      <c r="I6257" s="8" t="s">
        <v>18823</v>
      </c>
      <c r="J6257" s="8" t="s">
        <v>18824</v>
      </c>
    </row>
    <row r="6258">
      <c r="A6258" s="7">
        <v>2.0072195E7</v>
      </c>
      <c r="B6258" s="8" t="s">
        <v>5301</v>
      </c>
      <c r="C6258" s="8" t="s">
        <v>18825</v>
      </c>
      <c r="D6258" s="8" t="s">
        <v>16</v>
      </c>
      <c r="E6258" s="8" t="s">
        <v>17</v>
      </c>
      <c r="F6258" s="9">
        <v>46191.0</v>
      </c>
      <c r="G6258" s="8" t="s">
        <v>220</v>
      </c>
      <c r="H6258" s="8" t="s">
        <v>221</v>
      </c>
      <c r="I6258" s="8" t="s">
        <v>18826</v>
      </c>
      <c r="J6258" s="8" t="s">
        <v>18827</v>
      </c>
    </row>
    <row r="6259">
      <c r="A6259" s="7">
        <v>2.0072028E7</v>
      </c>
      <c r="B6259" s="8" t="s">
        <v>5301</v>
      </c>
      <c r="C6259" s="8" t="s">
        <v>18828</v>
      </c>
      <c r="D6259" s="8" t="s">
        <v>2136</v>
      </c>
      <c r="E6259" s="8" t="s">
        <v>17</v>
      </c>
      <c r="F6259" s="9">
        <v>46189.0</v>
      </c>
      <c r="G6259" s="8" t="s">
        <v>339</v>
      </c>
      <c r="H6259" s="8" t="s">
        <v>340</v>
      </c>
      <c r="I6259" s="8" t="s">
        <v>18829</v>
      </c>
      <c r="J6259" s="8" t="s">
        <v>18830</v>
      </c>
    </row>
    <row r="6260">
      <c r="A6260" s="7">
        <v>2.0071404E7</v>
      </c>
      <c r="B6260" s="8" t="s">
        <v>5301</v>
      </c>
      <c r="C6260" s="8" t="s">
        <v>18831</v>
      </c>
      <c r="D6260" s="8" t="s">
        <v>16</v>
      </c>
      <c r="E6260" s="8" t="s">
        <v>17</v>
      </c>
      <c r="F6260" s="9">
        <v>46189.0</v>
      </c>
      <c r="G6260" s="8" t="s">
        <v>59</v>
      </c>
      <c r="H6260" s="8" t="s">
        <v>60</v>
      </c>
      <c r="I6260" s="8" t="s">
        <v>18832</v>
      </c>
      <c r="J6260" s="8" t="s">
        <v>18833</v>
      </c>
    </row>
    <row r="6261">
      <c r="A6261" s="7">
        <v>2.0071404E7</v>
      </c>
      <c r="B6261" s="8" t="s">
        <v>5301</v>
      </c>
      <c r="C6261" s="8" t="s">
        <v>18831</v>
      </c>
      <c r="D6261" s="8" t="s">
        <v>16</v>
      </c>
      <c r="E6261" s="8" t="s">
        <v>17</v>
      </c>
      <c r="F6261" s="9">
        <v>46189.0</v>
      </c>
      <c r="G6261" s="8" t="s">
        <v>365</v>
      </c>
      <c r="H6261" s="8" t="s">
        <v>366</v>
      </c>
      <c r="I6261" s="8" t="s">
        <v>18834</v>
      </c>
      <c r="J6261" s="8" t="s">
        <v>18835</v>
      </c>
    </row>
    <row r="6262">
      <c r="A6262" s="7">
        <v>2.0065335E7</v>
      </c>
      <c r="B6262" s="8" t="s">
        <v>5301</v>
      </c>
      <c r="C6262" s="8" t="s">
        <v>18836</v>
      </c>
      <c r="D6262" s="8" t="s">
        <v>2136</v>
      </c>
      <c r="E6262" s="8" t="s">
        <v>17</v>
      </c>
      <c r="F6262" s="9">
        <v>46162.0</v>
      </c>
      <c r="G6262" s="8" t="s">
        <v>868</v>
      </c>
      <c r="H6262" s="8" t="s">
        <v>869</v>
      </c>
      <c r="I6262" s="8" t="s">
        <v>18837</v>
      </c>
      <c r="J6262" s="8" t="s">
        <v>18838</v>
      </c>
    </row>
    <row r="6263">
      <c r="A6263" s="7">
        <v>2.0062178E7</v>
      </c>
      <c r="B6263" s="8" t="s">
        <v>5301</v>
      </c>
      <c r="C6263" s="8" t="s">
        <v>18839</v>
      </c>
      <c r="D6263" s="8" t="s">
        <v>2136</v>
      </c>
      <c r="E6263" s="8" t="s">
        <v>17</v>
      </c>
      <c r="F6263" s="9">
        <v>46161.0</v>
      </c>
      <c r="G6263" s="8" t="s">
        <v>846</v>
      </c>
      <c r="H6263" s="8" t="s">
        <v>847</v>
      </c>
      <c r="I6263" s="8" t="s">
        <v>18840</v>
      </c>
      <c r="J6263" s="8" t="s">
        <v>18841</v>
      </c>
    </row>
    <row r="6264">
      <c r="A6264" s="7">
        <v>2.0062286E7</v>
      </c>
      <c r="B6264" s="8" t="s">
        <v>5301</v>
      </c>
      <c r="C6264" s="8" t="s">
        <v>18842</v>
      </c>
      <c r="D6264" s="8" t="s">
        <v>16</v>
      </c>
      <c r="E6264" s="8" t="s">
        <v>17</v>
      </c>
      <c r="F6264" s="9">
        <v>46156.0</v>
      </c>
      <c r="G6264" s="8" t="s">
        <v>504</v>
      </c>
      <c r="H6264" s="8" t="s">
        <v>505</v>
      </c>
      <c r="I6264" s="8" t="s">
        <v>18843</v>
      </c>
      <c r="J6264" s="8" t="s">
        <v>18844</v>
      </c>
    </row>
    <row r="6265">
      <c r="A6265" s="7">
        <v>2.0047518E7</v>
      </c>
      <c r="B6265" s="8" t="s">
        <v>5301</v>
      </c>
      <c r="C6265" s="8" t="s">
        <v>18845</v>
      </c>
      <c r="D6265" s="8" t="s">
        <v>16</v>
      </c>
      <c r="E6265" s="8" t="s">
        <v>17</v>
      </c>
      <c r="F6265" s="9">
        <v>46092.0</v>
      </c>
      <c r="G6265" s="8" t="s">
        <v>846</v>
      </c>
      <c r="H6265" s="8" t="s">
        <v>847</v>
      </c>
      <c r="I6265" s="8" t="s">
        <v>18846</v>
      </c>
      <c r="J6265" s="8" t="s">
        <v>18847</v>
      </c>
    </row>
    <row r="6266">
      <c r="A6266" s="7">
        <v>2.0036805E7</v>
      </c>
      <c r="B6266" s="8" t="s">
        <v>5301</v>
      </c>
      <c r="C6266" s="8" t="s">
        <v>18848</v>
      </c>
      <c r="D6266" s="8" t="s">
        <v>16</v>
      </c>
      <c r="E6266" s="8" t="s">
        <v>17</v>
      </c>
      <c r="F6266" s="9">
        <v>46059.0</v>
      </c>
      <c r="G6266" s="8" t="s">
        <v>1045</v>
      </c>
      <c r="H6266" s="8" t="s">
        <v>909</v>
      </c>
      <c r="I6266" s="8" t="s">
        <v>18849</v>
      </c>
      <c r="J6266" s="8" t="s">
        <v>18850</v>
      </c>
    </row>
    <row r="6267">
      <c r="A6267" s="7">
        <v>2.0036479E7</v>
      </c>
      <c r="B6267" s="8" t="s">
        <v>5301</v>
      </c>
      <c r="C6267" s="8" t="s">
        <v>18851</v>
      </c>
      <c r="D6267" s="8" t="s">
        <v>16</v>
      </c>
      <c r="E6267" s="8" t="s">
        <v>17</v>
      </c>
      <c r="F6267" s="9">
        <v>46050.0</v>
      </c>
      <c r="G6267" s="8" t="s">
        <v>352</v>
      </c>
      <c r="H6267" s="8" t="s">
        <v>353</v>
      </c>
      <c r="I6267" s="8" t="s">
        <v>18852</v>
      </c>
      <c r="J6267" s="8" t="s">
        <v>18853</v>
      </c>
    </row>
    <row r="6268">
      <c r="A6268" s="7">
        <v>2.0034719E7</v>
      </c>
      <c r="B6268" s="8" t="s">
        <v>5301</v>
      </c>
      <c r="C6268" s="8" t="s">
        <v>18854</v>
      </c>
      <c r="D6268" s="8" t="s">
        <v>16</v>
      </c>
      <c r="E6268" s="8" t="s">
        <v>17</v>
      </c>
      <c r="F6268" s="9">
        <v>46056.0</v>
      </c>
      <c r="G6268" s="8" t="s">
        <v>638</v>
      </c>
      <c r="H6268" s="8" t="s">
        <v>639</v>
      </c>
      <c r="I6268" s="8" t="s">
        <v>18855</v>
      </c>
      <c r="J6268" s="8" t="s">
        <v>18856</v>
      </c>
    </row>
    <row r="6269">
      <c r="A6269" s="7">
        <v>2.0033576E7</v>
      </c>
      <c r="B6269" s="8" t="s">
        <v>5301</v>
      </c>
      <c r="C6269" s="8" t="s">
        <v>18857</v>
      </c>
      <c r="D6269" s="8" t="s">
        <v>16</v>
      </c>
      <c r="E6269" s="8" t="s">
        <v>17</v>
      </c>
      <c r="F6269" s="9">
        <v>46041.0</v>
      </c>
      <c r="G6269" s="8" t="s">
        <v>59</v>
      </c>
      <c r="H6269" s="8" t="s">
        <v>60</v>
      </c>
      <c r="I6269" s="8" t="s">
        <v>18858</v>
      </c>
      <c r="J6269" s="8" t="s">
        <v>18859</v>
      </c>
    </row>
    <row r="6270">
      <c r="A6270" s="7">
        <v>2.006184E7</v>
      </c>
      <c r="B6270" s="8" t="s">
        <v>5301</v>
      </c>
      <c r="C6270" s="8" t="s">
        <v>18860</v>
      </c>
      <c r="D6270" s="8" t="s">
        <v>2136</v>
      </c>
      <c r="E6270" s="8" t="s">
        <v>17</v>
      </c>
      <c r="F6270" s="9">
        <v>46155.0</v>
      </c>
      <c r="G6270" s="8" t="s">
        <v>247</v>
      </c>
      <c r="H6270" s="8" t="s">
        <v>248</v>
      </c>
      <c r="I6270" s="8" t="s">
        <v>18861</v>
      </c>
      <c r="J6270" s="8" t="s">
        <v>18862</v>
      </c>
    </row>
    <row r="6271">
      <c r="A6271" s="7">
        <v>2.0060353E7</v>
      </c>
      <c r="B6271" s="8" t="s">
        <v>5301</v>
      </c>
      <c r="C6271" s="8" t="s">
        <v>18863</v>
      </c>
      <c r="D6271" s="8" t="s">
        <v>16</v>
      </c>
      <c r="E6271" s="8" t="s">
        <v>17</v>
      </c>
      <c r="F6271" s="9">
        <v>46184.0</v>
      </c>
      <c r="G6271" s="8" t="s">
        <v>171</v>
      </c>
      <c r="H6271" s="8" t="s">
        <v>172</v>
      </c>
      <c r="I6271" s="8" t="s">
        <v>18864</v>
      </c>
      <c r="J6271" s="8" t="s">
        <v>18865</v>
      </c>
    </row>
    <row r="6272">
      <c r="A6272" s="7">
        <v>2.0057143E7</v>
      </c>
      <c r="B6272" s="8" t="s">
        <v>5301</v>
      </c>
      <c r="C6272" s="8" t="s">
        <v>18866</v>
      </c>
      <c r="D6272" s="8" t="s">
        <v>16</v>
      </c>
      <c r="E6272" s="8" t="s">
        <v>17</v>
      </c>
      <c r="F6272" s="9">
        <v>46151.0</v>
      </c>
      <c r="G6272" s="8" t="s">
        <v>2989</v>
      </c>
      <c r="H6272" s="8" t="s">
        <v>2990</v>
      </c>
      <c r="I6272" s="8" t="s">
        <v>18867</v>
      </c>
      <c r="J6272" s="8"/>
    </row>
    <row r="6273">
      <c r="A6273" s="7">
        <v>2.0046772E7</v>
      </c>
      <c r="B6273" s="8" t="s">
        <v>5301</v>
      </c>
      <c r="C6273" s="8" t="s">
        <v>18868</v>
      </c>
      <c r="D6273" s="8" t="s">
        <v>16</v>
      </c>
      <c r="E6273" s="8" t="s">
        <v>17</v>
      </c>
      <c r="F6273" s="9">
        <v>46107.0</v>
      </c>
      <c r="G6273" s="8" t="s">
        <v>361</v>
      </c>
      <c r="H6273" s="8" t="s">
        <v>362</v>
      </c>
      <c r="I6273" s="8" t="s">
        <v>18869</v>
      </c>
      <c r="J6273" s="8"/>
    </row>
    <row r="6274">
      <c r="A6274" s="7">
        <v>2.0045225E7</v>
      </c>
      <c r="B6274" s="8" t="s">
        <v>5301</v>
      </c>
      <c r="C6274" s="8" t="s">
        <v>18870</v>
      </c>
      <c r="D6274" s="8" t="s">
        <v>16</v>
      </c>
      <c r="E6274" s="8" t="s">
        <v>17</v>
      </c>
      <c r="F6274" s="9">
        <v>46112.0</v>
      </c>
      <c r="G6274" s="8" t="s">
        <v>3607</v>
      </c>
      <c r="H6274" s="8" t="s">
        <v>3608</v>
      </c>
      <c r="I6274" s="8" t="s">
        <v>18871</v>
      </c>
      <c r="J6274" s="8"/>
    </row>
    <row r="6275">
      <c r="A6275" s="7">
        <v>2.0042726E7</v>
      </c>
      <c r="B6275" s="8" t="s">
        <v>5301</v>
      </c>
      <c r="C6275" s="8" t="s">
        <v>18872</v>
      </c>
      <c r="D6275" s="8" t="s">
        <v>16</v>
      </c>
      <c r="E6275" s="8" t="s">
        <v>17</v>
      </c>
      <c r="F6275" s="9">
        <v>46069.0</v>
      </c>
      <c r="G6275" s="8" t="s">
        <v>59</v>
      </c>
      <c r="H6275" s="8" t="s">
        <v>60</v>
      </c>
      <c r="I6275" s="8" t="s">
        <v>18873</v>
      </c>
      <c r="J6275" s="8" t="s">
        <v>18874</v>
      </c>
    </row>
    <row r="6276">
      <c r="A6276" s="7">
        <v>2.0036927E7</v>
      </c>
      <c r="B6276" s="8" t="s">
        <v>5301</v>
      </c>
      <c r="C6276" s="8" t="s">
        <v>18875</v>
      </c>
      <c r="D6276" s="8" t="s">
        <v>16</v>
      </c>
      <c r="E6276" s="8" t="s">
        <v>17</v>
      </c>
      <c r="F6276" s="9">
        <v>46045.0</v>
      </c>
      <c r="G6276" s="8" t="s">
        <v>247</v>
      </c>
      <c r="H6276" s="8" t="s">
        <v>248</v>
      </c>
      <c r="I6276" s="8" t="s">
        <v>18876</v>
      </c>
      <c r="J6276" s="8" t="s">
        <v>18877</v>
      </c>
    </row>
    <row r="6277">
      <c r="A6277" s="7">
        <v>2.0067602E7</v>
      </c>
      <c r="B6277" s="8" t="s">
        <v>5301</v>
      </c>
      <c r="C6277" s="8" t="s">
        <v>18878</v>
      </c>
      <c r="D6277" s="8" t="s">
        <v>16</v>
      </c>
      <c r="E6277" s="8" t="s">
        <v>17</v>
      </c>
      <c r="F6277" s="9">
        <v>46174.0</v>
      </c>
      <c r="G6277" s="8" t="s">
        <v>385</v>
      </c>
      <c r="H6277" s="8" t="s">
        <v>386</v>
      </c>
      <c r="I6277" s="8" t="s">
        <v>18879</v>
      </c>
      <c r="J6277" s="8" t="s">
        <v>18880</v>
      </c>
    </row>
    <row r="6278">
      <c r="A6278" s="7">
        <v>2.0059076E7</v>
      </c>
      <c r="B6278" s="8" t="s">
        <v>5301</v>
      </c>
      <c r="C6278" s="8" t="s">
        <v>18881</v>
      </c>
      <c r="D6278" s="8" t="s">
        <v>16</v>
      </c>
      <c r="E6278" s="8" t="s">
        <v>17</v>
      </c>
      <c r="F6278" s="9">
        <v>46181.0</v>
      </c>
      <c r="G6278" s="8" t="s">
        <v>2109</v>
      </c>
      <c r="H6278" s="8" t="s">
        <v>2110</v>
      </c>
      <c r="I6278" s="8" t="s">
        <v>18882</v>
      </c>
      <c r="J6278" s="8" t="s">
        <v>18883</v>
      </c>
    </row>
    <row r="6279">
      <c r="A6279" s="7">
        <v>2.0057953E7</v>
      </c>
      <c r="B6279" s="8" t="s">
        <v>5301</v>
      </c>
      <c r="C6279" s="8" t="s">
        <v>18884</v>
      </c>
      <c r="D6279" s="8" t="s">
        <v>16</v>
      </c>
      <c r="E6279" s="8" t="s">
        <v>17</v>
      </c>
      <c r="F6279" s="9">
        <v>46132.0</v>
      </c>
      <c r="G6279" s="8" t="s">
        <v>29</v>
      </c>
      <c r="H6279" s="8" t="s">
        <v>30</v>
      </c>
      <c r="I6279" s="8" t="s">
        <v>18885</v>
      </c>
      <c r="J6279" s="8" t="s">
        <v>18886</v>
      </c>
    </row>
    <row r="6280">
      <c r="A6280" s="7">
        <v>2.0054283E7</v>
      </c>
      <c r="B6280" s="8" t="s">
        <v>5301</v>
      </c>
      <c r="C6280" s="8" t="s">
        <v>18887</v>
      </c>
      <c r="D6280" s="8" t="s">
        <v>16</v>
      </c>
      <c r="E6280" s="8" t="s">
        <v>17</v>
      </c>
      <c r="F6280" s="9">
        <v>46136.0</v>
      </c>
      <c r="G6280" s="8" t="s">
        <v>109</v>
      </c>
      <c r="H6280" s="8" t="s">
        <v>110</v>
      </c>
      <c r="I6280" s="8" t="s">
        <v>18888</v>
      </c>
      <c r="J6280" s="8" t="s">
        <v>18889</v>
      </c>
    </row>
    <row r="6281">
      <c r="A6281" s="7">
        <v>2.0054283E7</v>
      </c>
      <c r="B6281" s="8" t="s">
        <v>5301</v>
      </c>
      <c r="C6281" s="8" t="s">
        <v>18887</v>
      </c>
      <c r="D6281" s="8" t="s">
        <v>16</v>
      </c>
      <c r="E6281" s="8" t="s">
        <v>17</v>
      </c>
      <c r="F6281" s="9">
        <v>46136.0</v>
      </c>
      <c r="G6281" s="8" t="s">
        <v>10640</v>
      </c>
      <c r="H6281" s="8" t="s">
        <v>10641</v>
      </c>
      <c r="I6281" s="8" t="s">
        <v>18890</v>
      </c>
      <c r="J6281" s="8" t="s">
        <v>18891</v>
      </c>
    </row>
    <row r="6282">
      <c r="A6282" s="7">
        <v>2.0054741E7</v>
      </c>
      <c r="B6282" s="8" t="s">
        <v>5301</v>
      </c>
      <c r="C6282" s="8" t="s">
        <v>18892</v>
      </c>
      <c r="D6282" s="8" t="s">
        <v>16</v>
      </c>
      <c r="E6282" s="8" t="s">
        <v>17</v>
      </c>
      <c r="F6282" s="9">
        <v>46126.0</v>
      </c>
      <c r="G6282" s="8" t="s">
        <v>805</v>
      </c>
      <c r="H6282" s="8" t="s">
        <v>806</v>
      </c>
      <c r="I6282" s="8" t="s">
        <v>18893</v>
      </c>
      <c r="J6282" s="8" t="s">
        <v>18894</v>
      </c>
    </row>
    <row r="6283">
      <c r="A6283" s="7">
        <v>2.0052463E7</v>
      </c>
      <c r="B6283" s="8" t="s">
        <v>5301</v>
      </c>
      <c r="C6283" s="8" t="s">
        <v>18895</v>
      </c>
      <c r="D6283" s="8" t="s">
        <v>16</v>
      </c>
      <c r="E6283" s="8" t="s">
        <v>17</v>
      </c>
      <c r="F6283" s="9">
        <v>46107.0</v>
      </c>
      <c r="G6283" s="8" t="s">
        <v>29</v>
      </c>
      <c r="H6283" s="8" t="s">
        <v>30</v>
      </c>
      <c r="I6283" s="8" t="s">
        <v>18896</v>
      </c>
      <c r="J6283" s="8" t="s">
        <v>18897</v>
      </c>
    </row>
    <row r="6284">
      <c r="A6284" s="7">
        <v>2.0049303E7</v>
      </c>
      <c r="B6284" s="8" t="s">
        <v>5301</v>
      </c>
      <c r="C6284" s="8" t="s">
        <v>18898</v>
      </c>
      <c r="D6284" s="8" t="s">
        <v>16</v>
      </c>
      <c r="E6284" s="8" t="s">
        <v>17</v>
      </c>
      <c r="F6284" s="9">
        <v>46099.0</v>
      </c>
      <c r="G6284" s="8" t="s">
        <v>5425</v>
      </c>
      <c r="H6284" s="8" t="s">
        <v>120</v>
      </c>
      <c r="I6284" s="8" t="s">
        <v>18899</v>
      </c>
      <c r="J6284" s="8" t="s">
        <v>18900</v>
      </c>
    </row>
    <row r="6285">
      <c r="A6285" s="7">
        <v>2.0049769E7</v>
      </c>
      <c r="B6285" s="8" t="s">
        <v>5301</v>
      </c>
      <c r="C6285" s="8" t="s">
        <v>18901</v>
      </c>
      <c r="D6285" s="8" t="s">
        <v>16</v>
      </c>
      <c r="E6285" s="8" t="s">
        <v>17</v>
      </c>
      <c r="F6285" s="9">
        <v>46108.0</v>
      </c>
      <c r="G6285" s="8" t="s">
        <v>158</v>
      </c>
      <c r="H6285" s="8" t="s">
        <v>159</v>
      </c>
      <c r="I6285" s="8" t="s">
        <v>18902</v>
      </c>
      <c r="J6285" s="8"/>
    </row>
    <row r="6286">
      <c r="A6286" s="7">
        <v>2.0046011E7</v>
      </c>
      <c r="B6286" s="8" t="s">
        <v>5301</v>
      </c>
      <c r="C6286" s="8" t="s">
        <v>18903</v>
      </c>
      <c r="D6286" s="8" t="s">
        <v>16</v>
      </c>
      <c r="E6286" s="8" t="s">
        <v>17</v>
      </c>
      <c r="F6286" s="9">
        <v>46113.0</v>
      </c>
      <c r="G6286" s="8" t="s">
        <v>171</v>
      </c>
      <c r="H6286" s="8" t="s">
        <v>172</v>
      </c>
      <c r="I6286" s="8" t="s">
        <v>18904</v>
      </c>
      <c r="J6286" s="8"/>
    </row>
    <row r="6287">
      <c r="A6287" s="7">
        <v>2.0045148E7</v>
      </c>
      <c r="B6287" s="8" t="s">
        <v>5301</v>
      </c>
      <c r="C6287" s="8" t="s">
        <v>18905</v>
      </c>
      <c r="D6287" s="8" t="s">
        <v>16</v>
      </c>
      <c r="E6287" s="8" t="s">
        <v>17</v>
      </c>
      <c r="F6287" s="9">
        <v>46095.0</v>
      </c>
      <c r="G6287" s="8" t="s">
        <v>282</v>
      </c>
      <c r="H6287" s="8" t="s">
        <v>71</v>
      </c>
      <c r="I6287" s="8" t="s">
        <v>18906</v>
      </c>
      <c r="J6287" s="8" t="s">
        <v>18907</v>
      </c>
    </row>
    <row r="6288">
      <c r="A6288" s="7">
        <v>2.0039247E7</v>
      </c>
      <c r="B6288" s="8" t="s">
        <v>5301</v>
      </c>
      <c r="C6288" s="8" t="s">
        <v>18908</v>
      </c>
      <c r="D6288" s="8" t="s">
        <v>16</v>
      </c>
      <c r="E6288" s="8" t="s">
        <v>17</v>
      </c>
      <c r="F6288" s="9">
        <v>46090.0</v>
      </c>
      <c r="G6288" s="8" t="s">
        <v>1045</v>
      </c>
      <c r="H6288" s="8" t="s">
        <v>909</v>
      </c>
      <c r="I6288" s="8" t="s">
        <v>18909</v>
      </c>
      <c r="J6288" s="8" t="s">
        <v>18910</v>
      </c>
    </row>
    <row r="6289">
      <c r="A6289" s="7">
        <v>2.0034332E7</v>
      </c>
      <c r="B6289" s="8" t="s">
        <v>5301</v>
      </c>
      <c r="C6289" s="8" t="s">
        <v>18911</v>
      </c>
      <c r="D6289" s="8" t="s">
        <v>16</v>
      </c>
      <c r="E6289" s="8" t="s">
        <v>17</v>
      </c>
      <c r="F6289" s="9">
        <v>46034.0</v>
      </c>
      <c r="G6289" s="8" t="s">
        <v>247</v>
      </c>
      <c r="H6289" s="8" t="s">
        <v>248</v>
      </c>
      <c r="I6289" s="8" t="s">
        <v>18912</v>
      </c>
      <c r="J6289" s="8" t="s">
        <v>18913</v>
      </c>
    </row>
    <row r="6290">
      <c r="A6290" s="7">
        <v>2.006722E7</v>
      </c>
      <c r="B6290" s="8" t="s">
        <v>5301</v>
      </c>
      <c r="C6290" s="8" t="s">
        <v>18914</v>
      </c>
      <c r="D6290" s="8" t="s">
        <v>2136</v>
      </c>
      <c r="E6290" s="8" t="s">
        <v>17</v>
      </c>
      <c r="F6290" s="9">
        <v>46170.0</v>
      </c>
      <c r="G6290" s="8" t="s">
        <v>805</v>
      </c>
      <c r="H6290" s="8" t="s">
        <v>806</v>
      </c>
      <c r="I6290" s="8" t="s">
        <v>18915</v>
      </c>
      <c r="J6290" s="8" t="s">
        <v>18916</v>
      </c>
    </row>
    <row r="6291">
      <c r="A6291" s="7">
        <v>2.0043399E7</v>
      </c>
      <c r="B6291" s="8" t="s">
        <v>5301</v>
      </c>
      <c r="C6291" s="8" t="s">
        <v>18917</v>
      </c>
      <c r="D6291" s="8" t="s">
        <v>16</v>
      </c>
      <c r="E6291" s="8" t="s">
        <v>17</v>
      </c>
      <c r="F6291" s="9">
        <v>46102.0</v>
      </c>
      <c r="G6291" s="8" t="s">
        <v>3012</v>
      </c>
      <c r="H6291" s="8" t="s">
        <v>3013</v>
      </c>
      <c r="I6291" s="8" t="s">
        <v>18918</v>
      </c>
      <c r="J6291" s="8" t="s">
        <v>18919</v>
      </c>
    </row>
    <row r="6292">
      <c r="A6292" s="7">
        <v>2.0045178E7</v>
      </c>
      <c r="B6292" s="8" t="s">
        <v>5301</v>
      </c>
      <c r="C6292" s="8" t="s">
        <v>18920</v>
      </c>
      <c r="D6292" s="8" t="s">
        <v>16</v>
      </c>
      <c r="E6292" s="8" t="s">
        <v>17</v>
      </c>
      <c r="F6292" s="9">
        <v>46078.0</v>
      </c>
      <c r="G6292" s="8" t="s">
        <v>59</v>
      </c>
      <c r="H6292" s="8" t="s">
        <v>60</v>
      </c>
      <c r="I6292" s="8" t="s">
        <v>18921</v>
      </c>
      <c r="J6292" s="8" t="s">
        <v>18922</v>
      </c>
    </row>
    <row r="6293">
      <c r="A6293" s="7">
        <v>2.0034682E7</v>
      </c>
      <c r="B6293" s="8" t="s">
        <v>5301</v>
      </c>
      <c r="C6293" s="8" t="s">
        <v>18923</v>
      </c>
      <c r="D6293" s="8" t="s">
        <v>16</v>
      </c>
      <c r="E6293" s="8" t="s">
        <v>17</v>
      </c>
      <c r="F6293" s="9">
        <v>46064.0</v>
      </c>
      <c r="G6293" s="8" t="s">
        <v>826</v>
      </c>
      <c r="H6293" s="8" t="s">
        <v>827</v>
      </c>
      <c r="I6293" s="8" t="s">
        <v>18924</v>
      </c>
      <c r="J6293" s="8" t="s">
        <v>18925</v>
      </c>
    </row>
    <row r="6294">
      <c r="A6294" s="7">
        <v>2.0036543E7</v>
      </c>
      <c r="B6294" s="8" t="s">
        <v>5301</v>
      </c>
      <c r="C6294" s="8" t="s">
        <v>18926</v>
      </c>
      <c r="D6294" s="8" t="s">
        <v>16</v>
      </c>
      <c r="E6294" s="8" t="s">
        <v>17</v>
      </c>
      <c r="F6294" s="9">
        <v>46043.0</v>
      </c>
      <c r="G6294" s="8" t="s">
        <v>59</v>
      </c>
      <c r="H6294" s="8" t="s">
        <v>60</v>
      </c>
      <c r="I6294" s="8" t="s">
        <v>18927</v>
      </c>
      <c r="J6294" s="8" t="s">
        <v>18928</v>
      </c>
    </row>
    <row r="6295">
      <c r="A6295" s="7">
        <v>2.0067197E7</v>
      </c>
      <c r="B6295" s="8" t="s">
        <v>5301</v>
      </c>
      <c r="C6295" s="8" t="s">
        <v>18929</v>
      </c>
      <c r="D6295" s="8" t="s">
        <v>16</v>
      </c>
      <c r="E6295" s="8" t="s">
        <v>17</v>
      </c>
      <c r="F6295" s="9">
        <v>46192.0</v>
      </c>
      <c r="G6295" s="8" t="s">
        <v>1941</v>
      </c>
      <c r="H6295" s="8" t="s">
        <v>1942</v>
      </c>
      <c r="I6295" s="8" t="s">
        <v>18930</v>
      </c>
      <c r="J6295" s="8" t="s">
        <v>18931</v>
      </c>
    </row>
    <row r="6296">
      <c r="A6296" s="7">
        <v>2.0063409E7</v>
      </c>
      <c r="B6296" s="8" t="s">
        <v>5301</v>
      </c>
      <c r="C6296" s="8" t="s">
        <v>18932</v>
      </c>
      <c r="D6296" s="8" t="s">
        <v>16</v>
      </c>
      <c r="E6296" s="8" t="s">
        <v>17</v>
      </c>
      <c r="F6296" s="9">
        <v>46181.0</v>
      </c>
      <c r="G6296" s="8" t="s">
        <v>18933</v>
      </c>
      <c r="H6296" s="8" t="s">
        <v>18934</v>
      </c>
      <c r="I6296" s="8" t="s">
        <v>18935</v>
      </c>
      <c r="J6296" s="8" t="s">
        <v>18936</v>
      </c>
    </row>
    <row r="6297">
      <c r="A6297" s="7">
        <v>2.0060957E7</v>
      </c>
      <c r="B6297" s="8" t="s">
        <v>5301</v>
      </c>
      <c r="C6297" s="8" t="s">
        <v>18937</v>
      </c>
      <c r="D6297" s="8" t="s">
        <v>16</v>
      </c>
      <c r="E6297" s="8" t="s">
        <v>17</v>
      </c>
      <c r="F6297" s="9">
        <v>46170.0</v>
      </c>
      <c r="G6297" s="8" t="s">
        <v>2989</v>
      </c>
      <c r="H6297" s="8" t="s">
        <v>2990</v>
      </c>
      <c r="I6297" s="8" t="s">
        <v>18938</v>
      </c>
      <c r="J6297" s="8"/>
    </row>
    <row r="6298">
      <c r="A6298" s="7">
        <v>2.0054014E7</v>
      </c>
      <c r="B6298" s="8" t="s">
        <v>5301</v>
      </c>
      <c r="C6298" s="8" t="s">
        <v>18939</v>
      </c>
      <c r="D6298" s="8" t="s">
        <v>16</v>
      </c>
      <c r="E6298" s="8" t="s">
        <v>17</v>
      </c>
      <c r="F6298" s="9">
        <v>46147.0</v>
      </c>
      <c r="G6298" s="8" t="s">
        <v>290</v>
      </c>
      <c r="H6298" s="8" t="s">
        <v>291</v>
      </c>
      <c r="I6298" s="8" t="s">
        <v>18940</v>
      </c>
      <c r="J6298" s="8" t="s">
        <v>18941</v>
      </c>
    </row>
    <row r="6299">
      <c r="A6299" s="7">
        <v>2.0029229E7</v>
      </c>
      <c r="B6299" s="8" t="s">
        <v>5301</v>
      </c>
      <c r="C6299" s="8" t="s">
        <v>18942</v>
      </c>
      <c r="D6299" s="8" t="s">
        <v>16</v>
      </c>
      <c r="E6299" s="8" t="s">
        <v>17</v>
      </c>
      <c r="F6299" s="9">
        <v>46119.0</v>
      </c>
      <c r="G6299" s="8" t="s">
        <v>18943</v>
      </c>
      <c r="H6299" s="8" t="s">
        <v>18944</v>
      </c>
      <c r="I6299" s="8" t="s">
        <v>18945</v>
      </c>
      <c r="J6299" s="8" t="s">
        <v>18946</v>
      </c>
    </row>
    <row r="6300">
      <c r="A6300" s="7">
        <v>2.0037479E7</v>
      </c>
      <c r="B6300" s="8" t="s">
        <v>5301</v>
      </c>
      <c r="C6300" s="8" t="s">
        <v>18947</v>
      </c>
      <c r="D6300" s="8" t="s">
        <v>16</v>
      </c>
      <c r="E6300" s="8" t="s">
        <v>17</v>
      </c>
      <c r="F6300" s="9">
        <v>46067.0</v>
      </c>
      <c r="G6300" s="8" t="s">
        <v>282</v>
      </c>
      <c r="H6300" s="8" t="s">
        <v>71</v>
      </c>
      <c r="I6300" s="8" t="s">
        <v>18948</v>
      </c>
      <c r="J6300" s="8" t="s">
        <v>18949</v>
      </c>
    </row>
    <row r="6301">
      <c r="A6301" s="7">
        <v>2.0037479E7</v>
      </c>
      <c r="B6301" s="8" t="s">
        <v>5301</v>
      </c>
      <c r="C6301" s="8" t="s">
        <v>18947</v>
      </c>
      <c r="D6301" s="8" t="s">
        <v>16</v>
      </c>
      <c r="E6301" s="8" t="s">
        <v>17</v>
      </c>
      <c r="F6301" s="9">
        <v>46067.0</v>
      </c>
      <c r="G6301" s="8" t="s">
        <v>314</v>
      </c>
      <c r="H6301" s="8" t="s">
        <v>315</v>
      </c>
      <c r="I6301" s="8" t="s">
        <v>18950</v>
      </c>
      <c r="J6301" s="8" t="s">
        <v>9036</v>
      </c>
    </row>
    <row r="6302">
      <c r="A6302" s="7">
        <v>2.0067446E7</v>
      </c>
      <c r="B6302" s="8" t="s">
        <v>5301</v>
      </c>
      <c r="C6302" s="8" t="s">
        <v>18951</v>
      </c>
      <c r="D6302" s="8" t="s">
        <v>16</v>
      </c>
      <c r="E6302" s="8" t="s">
        <v>17</v>
      </c>
      <c r="F6302" s="9">
        <v>46179.0</v>
      </c>
      <c r="G6302" s="8" t="s">
        <v>13538</v>
      </c>
      <c r="H6302" s="8" t="s">
        <v>13539</v>
      </c>
      <c r="I6302" s="8" t="s">
        <v>18952</v>
      </c>
      <c r="J6302" s="8" t="s">
        <v>18953</v>
      </c>
    </row>
    <row r="6303">
      <c r="A6303" s="7">
        <v>2.0065837E7</v>
      </c>
      <c r="B6303" s="8" t="s">
        <v>5301</v>
      </c>
      <c r="C6303" s="8" t="s">
        <v>18954</v>
      </c>
      <c r="D6303" s="8" t="s">
        <v>16</v>
      </c>
      <c r="E6303" s="8" t="s">
        <v>17</v>
      </c>
      <c r="F6303" s="9">
        <v>46171.0</v>
      </c>
      <c r="G6303" s="8" t="s">
        <v>1319</v>
      </c>
      <c r="H6303" s="8" t="s">
        <v>1320</v>
      </c>
      <c r="I6303" s="8" t="s">
        <v>18955</v>
      </c>
      <c r="J6303" s="8" t="s">
        <v>18956</v>
      </c>
    </row>
    <row r="6304">
      <c r="A6304" s="7">
        <v>2.0045845E7</v>
      </c>
      <c r="B6304" s="8" t="s">
        <v>5301</v>
      </c>
      <c r="C6304" s="8" t="s">
        <v>18957</v>
      </c>
      <c r="D6304" s="8" t="s">
        <v>16</v>
      </c>
      <c r="E6304" s="8" t="s">
        <v>17</v>
      </c>
      <c r="F6304" s="9">
        <v>46140.0</v>
      </c>
      <c r="G6304" s="8" t="s">
        <v>454</v>
      </c>
      <c r="H6304" s="8" t="s">
        <v>455</v>
      </c>
      <c r="I6304" s="8" t="s">
        <v>18958</v>
      </c>
      <c r="J6304" s="8" t="s">
        <v>18959</v>
      </c>
    </row>
    <row r="6305">
      <c r="A6305" s="7">
        <v>2.0050653E7</v>
      </c>
      <c r="B6305" s="8" t="s">
        <v>5301</v>
      </c>
      <c r="C6305" s="8" t="s">
        <v>18960</v>
      </c>
      <c r="D6305" s="8" t="s">
        <v>16</v>
      </c>
      <c r="E6305" s="8" t="s">
        <v>17</v>
      </c>
      <c r="F6305" s="9">
        <v>46112.0</v>
      </c>
      <c r="G6305" s="8" t="s">
        <v>18961</v>
      </c>
      <c r="H6305" s="8" t="s">
        <v>18962</v>
      </c>
      <c r="I6305" s="8" t="s">
        <v>18963</v>
      </c>
      <c r="J6305" s="8" t="s">
        <v>18964</v>
      </c>
    </row>
    <row r="6306">
      <c r="A6306" s="7">
        <v>2.0045472E7</v>
      </c>
      <c r="B6306" s="8" t="s">
        <v>5301</v>
      </c>
      <c r="C6306" s="8" t="s">
        <v>18965</v>
      </c>
      <c r="D6306" s="8" t="s">
        <v>16</v>
      </c>
      <c r="E6306" s="8" t="s">
        <v>17</v>
      </c>
      <c r="F6306" s="9">
        <v>46080.0</v>
      </c>
      <c r="G6306" s="8" t="s">
        <v>868</v>
      </c>
      <c r="H6306" s="8" t="s">
        <v>869</v>
      </c>
      <c r="I6306" s="8" t="s">
        <v>18966</v>
      </c>
      <c r="J6306" s="8" t="s">
        <v>18967</v>
      </c>
    </row>
    <row r="6307">
      <c r="A6307" s="7">
        <v>2.004361E7</v>
      </c>
      <c r="B6307" s="8" t="s">
        <v>5301</v>
      </c>
      <c r="C6307" s="8" t="s">
        <v>18968</v>
      </c>
      <c r="D6307" s="8" t="s">
        <v>16</v>
      </c>
      <c r="E6307" s="8" t="s">
        <v>17</v>
      </c>
      <c r="F6307" s="9">
        <v>46082.0</v>
      </c>
      <c r="G6307" s="8" t="s">
        <v>220</v>
      </c>
      <c r="H6307" s="8" t="s">
        <v>221</v>
      </c>
      <c r="I6307" s="8" t="s">
        <v>18969</v>
      </c>
      <c r="J6307" s="8" t="s">
        <v>18970</v>
      </c>
    </row>
    <row r="6308">
      <c r="A6308" s="7">
        <v>2.0060527E7</v>
      </c>
      <c r="B6308" s="8" t="s">
        <v>5301</v>
      </c>
      <c r="C6308" s="8" t="s">
        <v>18971</v>
      </c>
      <c r="D6308" s="8" t="s">
        <v>16</v>
      </c>
      <c r="E6308" s="8" t="s">
        <v>17</v>
      </c>
      <c r="F6308" s="9">
        <v>46186.0</v>
      </c>
      <c r="G6308" s="8" t="s">
        <v>3270</v>
      </c>
      <c r="H6308" s="8" t="s">
        <v>14818</v>
      </c>
      <c r="I6308" s="8" t="s">
        <v>18972</v>
      </c>
      <c r="J6308" s="8" t="s">
        <v>18973</v>
      </c>
    </row>
    <row r="6309">
      <c r="A6309" s="7">
        <v>2.0058435E7</v>
      </c>
      <c r="B6309" s="8" t="s">
        <v>5301</v>
      </c>
      <c r="C6309" s="8" t="s">
        <v>18974</v>
      </c>
      <c r="D6309" s="8" t="s">
        <v>16</v>
      </c>
      <c r="E6309" s="8" t="s">
        <v>17</v>
      </c>
      <c r="F6309" s="9">
        <v>46134.0</v>
      </c>
      <c r="G6309" s="8" t="s">
        <v>59</v>
      </c>
      <c r="H6309" s="8" t="s">
        <v>60</v>
      </c>
      <c r="I6309" s="8" t="s">
        <v>18975</v>
      </c>
      <c r="J6309" s="8" t="s">
        <v>18976</v>
      </c>
    </row>
    <row r="6310">
      <c r="A6310" s="7">
        <v>2.0040341E7</v>
      </c>
      <c r="B6310" s="8" t="s">
        <v>5301</v>
      </c>
      <c r="C6310" s="8" t="s">
        <v>18977</v>
      </c>
      <c r="D6310" s="8" t="s">
        <v>16</v>
      </c>
      <c r="E6310" s="8" t="s">
        <v>17</v>
      </c>
      <c r="F6310" s="9">
        <v>46067.0</v>
      </c>
      <c r="G6310" s="8" t="s">
        <v>59</v>
      </c>
      <c r="H6310" s="8" t="s">
        <v>60</v>
      </c>
      <c r="I6310" s="8" t="s">
        <v>18978</v>
      </c>
      <c r="J6310" s="8" t="s">
        <v>18979</v>
      </c>
    </row>
    <row r="6311">
      <c r="A6311" s="7">
        <v>2.0035132E7</v>
      </c>
      <c r="B6311" s="8" t="s">
        <v>5301</v>
      </c>
      <c r="C6311" s="8" t="s">
        <v>18980</v>
      </c>
      <c r="D6311" s="8" t="s">
        <v>16</v>
      </c>
      <c r="E6311" s="8" t="s">
        <v>17</v>
      </c>
      <c r="F6311" s="9">
        <v>46045.0</v>
      </c>
      <c r="G6311" s="8" t="s">
        <v>220</v>
      </c>
      <c r="H6311" s="8" t="s">
        <v>221</v>
      </c>
      <c r="I6311" s="8" t="s">
        <v>18981</v>
      </c>
      <c r="J6311" s="8" t="s">
        <v>18982</v>
      </c>
    </row>
    <row r="6312">
      <c r="A6312" s="7">
        <v>2.0051139E7</v>
      </c>
      <c r="B6312" s="8" t="s">
        <v>5301</v>
      </c>
      <c r="C6312" s="8" t="s">
        <v>18983</v>
      </c>
      <c r="D6312" s="8" t="s">
        <v>16</v>
      </c>
      <c r="E6312" s="8" t="s">
        <v>17</v>
      </c>
      <c r="F6312" s="9">
        <v>46126.0</v>
      </c>
      <c r="G6312" s="8" t="s">
        <v>18984</v>
      </c>
      <c r="H6312" s="8" t="s">
        <v>18985</v>
      </c>
      <c r="I6312" s="8" t="s">
        <v>18986</v>
      </c>
      <c r="J6312" s="8" t="s">
        <v>18987</v>
      </c>
    </row>
    <row r="6313">
      <c r="A6313" s="7">
        <v>2.0072969E7</v>
      </c>
      <c r="B6313" s="8" t="s">
        <v>5301</v>
      </c>
      <c r="C6313" s="8" t="s">
        <v>18988</v>
      </c>
      <c r="D6313" s="8" t="s">
        <v>2136</v>
      </c>
      <c r="E6313" s="8" t="s">
        <v>17</v>
      </c>
      <c r="F6313" s="9">
        <v>46193.0</v>
      </c>
      <c r="G6313" s="8" t="s">
        <v>29</v>
      </c>
      <c r="H6313" s="8" t="s">
        <v>30</v>
      </c>
      <c r="I6313" s="8" t="s">
        <v>18989</v>
      </c>
      <c r="J6313" s="8" t="s">
        <v>18990</v>
      </c>
    </row>
    <row r="6314">
      <c r="A6314" s="7">
        <v>2.0068997E7</v>
      </c>
      <c r="B6314" s="8" t="s">
        <v>5301</v>
      </c>
      <c r="C6314" s="8" t="s">
        <v>18991</v>
      </c>
      <c r="D6314" s="8" t="s">
        <v>16</v>
      </c>
      <c r="E6314" s="8" t="s">
        <v>17</v>
      </c>
      <c r="F6314" s="9">
        <v>46177.0</v>
      </c>
      <c r="G6314" s="8" t="s">
        <v>34</v>
      </c>
      <c r="H6314" s="8" t="s">
        <v>35</v>
      </c>
      <c r="I6314" s="8" t="s">
        <v>18992</v>
      </c>
      <c r="J6314" s="8" t="s">
        <v>18993</v>
      </c>
    </row>
    <row r="6315">
      <c r="A6315" s="7">
        <v>2.0050543E7</v>
      </c>
      <c r="B6315" s="8" t="s">
        <v>5301</v>
      </c>
      <c r="C6315" s="8" t="s">
        <v>18994</v>
      </c>
      <c r="D6315" s="8" t="s">
        <v>16</v>
      </c>
      <c r="E6315" s="8" t="s">
        <v>17</v>
      </c>
      <c r="F6315" s="9">
        <v>46150.0</v>
      </c>
      <c r="G6315" s="8" t="s">
        <v>13444</v>
      </c>
      <c r="H6315" s="8" t="s">
        <v>13445</v>
      </c>
      <c r="I6315" s="8" t="s">
        <v>18995</v>
      </c>
      <c r="J6315" s="8"/>
    </row>
    <row r="6316">
      <c r="A6316" s="7">
        <v>2.0053776E7</v>
      </c>
      <c r="B6316" s="8" t="s">
        <v>5301</v>
      </c>
      <c r="C6316" s="8" t="s">
        <v>18996</v>
      </c>
      <c r="D6316" s="8" t="s">
        <v>16</v>
      </c>
      <c r="E6316" s="8" t="s">
        <v>17</v>
      </c>
      <c r="F6316" s="9">
        <v>46113.0</v>
      </c>
      <c r="G6316" s="8" t="s">
        <v>339</v>
      </c>
      <c r="H6316" s="8" t="s">
        <v>340</v>
      </c>
      <c r="I6316" s="8" t="s">
        <v>18997</v>
      </c>
      <c r="J6316" s="8" t="s">
        <v>18998</v>
      </c>
    </row>
    <row r="6317">
      <c r="A6317" s="7">
        <v>2.0046809E7</v>
      </c>
      <c r="B6317" s="8" t="s">
        <v>5301</v>
      </c>
      <c r="C6317" s="8" t="s">
        <v>18999</v>
      </c>
      <c r="D6317" s="8" t="s">
        <v>16</v>
      </c>
      <c r="E6317" s="8" t="s">
        <v>17</v>
      </c>
      <c r="F6317" s="9">
        <v>46095.0</v>
      </c>
      <c r="G6317" s="8" t="s">
        <v>365</v>
      </c>
      <c r="H6317" s="8" t="s">
        <v>366</v>
      </c>
      <c r="I6317" s="8" t="s">
        <v>19000</v>
      </c>
      <c r="J6317" s="8" t="s">
        <v>19001</v>
      </c>
    </row>
    <row r="6318">
      <c r="A6318" s="7">
        <v>2.0034341E7</v>
      </c>
      <c r="B6318" s="8" t="s">
        <v>5301</v>
      </c>
      <c r="C6318" s="8" t="s">
        <v>19002</v>
      </c>
      <c r="D6318" s="8" t="s">
        <v>16</v>
      </c>
      <c r="E6318" s="8" t="s">
        <v>17</v>
      </c>
      <c r="F6318" s="9">
        <v>46106.0</v>
      </c>
      <c r="G6318" s="8" t="s">
        <v>19003</v>
      </c>
      <c r="H6318" s="8" t="s">
        <v>19004</v>
      </c>
      <c r="I6318" s="8" t="s">
        <v>19005</v>
      </c>
      <c r="J6318" s="8"/>
    </row>
    <row r="6319">
      <c r="A6319" s="7">
        <v>2.0069484E7</v>
      </c>
      <c r="B6319" s="8" t="s">
        <v>5301</v>
      </c>
      <c r="C6319" s="8" t="s">
        <v>19006</v>
      </c>
      <c r="D6319" s="8" t="s">
        <v>16</v>
      </c>
      <c r="E6319" s="8" t="s">
        <v>17</v>
      </c>
      <c r="F6319" s="9">
        <v>46185.0</v>
      </c>
      <c r="G6319" s="8" t="s">
        <v>908</v>
      </c>
      <c r="H6319" s="8" t="s">
        <v>909</v>
      </c>
      <c r="I6319" s="8" t="s">
        <v>19007</v>
      </c>
      <c r="J6319" s="8" t="s">
        <v>19008</v>
      </c>
    </row>
    <row r="6320">
      <c r="A6320" s="7">
        <v>2.0056354E7</v>
      </c>
      <c r="B6320" s="8" t="s">
        <v>5301</v>
      </c>
      <c r="C6320" s="8" t="s">
        <v>19009</v>
      </c>
      <c r="D6320" s="8" t="s">
        <v>16</v>
      </c>
      <c r="E6320" s="8" t="s">
        <v>17</v>
      </c>
      <c r="F6320" s="9">
        <v>46170.0</v>
      </c>
      <c r="G6320" s="8" t="s">
        <v>971</v>
      </c>
      <c r="H6320" s="8" t="s">
        <v>972</v>
      </c>
      <c r="I6320" s="8" t="s">
        <v>19010</v>
      </c>
      <c r="J6320" s="8" t="s">
        <v>19011</v>
      </c>
    </row>
    <row r="6321">
      <c r="A6321" s="7">
        <v>2.0053751E7</v>
      </c>
      <c r="B6321" s="8" t="s">
        <v>5301</v>
      </c>
      <c r="C6321" s="8" t="s">
        <v>19012</v>
      </c>
      <c r="D6321" s="8" t="s">
        <v>16</v>
      </c>
      <c r="E6321" s="8" t="s">
        <v>17</v>
      </c>
      <c r="F6321" s="9">
        <v>46126.0</v>
      </c>
      <c r="G6321" s="8" t="s">
        <v>247</v>
      </c>
      <c r="H6321" s="8" t="s">
        <v>248</v>
      </c>
      <c r="I6321" s="8" t="s">
        <v>19013</v>
      </c>
      <c r="J6321" s="8" t="s">
        <v>19014</v>
      </c>
    </row>
    <row r="6322">
      <c r="A6322" s="7">
        <v>2.0044095E7</v>
      </c>
      <c r="B6322" s="8" t="s">
        <v>5301</v>
      </c>
      <c r="C6322" s="8" t="s">
        <v>19015</v>
      </c>
      <c r="D6322" s="8" t="s">
        <v>16</v>
      </c>
      <c r="E6322" s="8" t="s">
        <v>17</v>
      </c>
      <c r="F6322" s="9">
        <v>46087.0</v>
      </c>
      <c r="G6322" s="8" t="s">
        <v>400</v>
      </c>
      <c r="H6322" s="8" t="s">
        <v>401</v>
      </c>
      <c r="I6322" s="8" t="s">
        <v>19016</v>
      </c>
      <c r="J6322" s="8" t="s">
        <v>19017</v>
      </c>
    </row>
    <row r="6323">
      <c r="A6323" s="7">
        <v>2.0064479E7</v>
      </c>
      <c r="B6323" s="8" t="s">
        <v>5301</v>
      </c>
      <c r="C6323" s="8" t="s">
        <v>19018</v>
      </c>
      <c r="D6323" s="8" t="s">
        <v>16</v>
      </c>
      <c r="E6323" s="8" t="s">
        <v>17</v>
      </c>
      <c r="F6323" s="9">
        <v>46193.0</v>
      </c>
      <c r="G6323" s="8" t="s">
        <v>19019</v>
      </c>
      <c r="H6323" s="8" t="s">
        <v>19020</v>
      </c>
      <c r="I6323" s="8" t="s">
        <v>19021</v>
      </c>
      <c r="J6323" s="8" t="s">
        <v>19022</v>
      </c>
    </row>
    <row r="6324">
      <c r="A6324" s="7">
        <v>2.005445E7</v>
      </c>
      <c r="B6324" s="8" t="s">
        <v>5301</v>
      </c>
      <c r="C6324" s="8" t="s">
        <v>19023</v>
      </c>
      <c r="D6324" s="8" t="s">
        <v>16</v>
      </c>
      <c r="E6324" s="8" t="s">
        <v>17</v>
      </c>
      <c r="F6324" s="9">
        <v>46156.0</v>
      </c>
      <c r="G6324" s="8" t="s">
        <v>908</v>
      </c>
      <c r="H6324" s="8" t="s">
        <v>909</v>
      </c>
      <c r="I6324" s="8" t="s">
        <v>19024</v>
      </c>
      <c r="J6324" s="8" t="s">
        <v>19025</v>
      </c>
    </row>
    <row r="6325">
      <c r="A6325" s="7">
        <v>2.0058404E7</v>
      </c>
      <c r="B6325" s="8" t="s">
        <v>5301</v>
      </c>
      <c r="C6325" s="8" t="s">
        <v>19026</v>
      </c>
      <c r="D6325" s="8" t="s">
        <v>16</v>
      </c>
      <c r="E6325" s="8" t="s">
        <v>48</v>
      </c>
      <c r="F6325" s="9">
        <v>46144.0</v>
      </c>
      <c r="G6325" s="8" t="s">
        <v>19027</v>
      </c>
      <c r="H6325" s="8" t="s">
        <v>19028</v>
      </c>
      <c r="I6325" s="8" t="s">
        <v>783</v>
      </c>
      <c r="J6325" s="8"/>
    </row>
    <row r="6326">
      <c r="A6326" s="7">
        <v>2.005051E7</v>
      </c>
      <c r="B6326" s="8" t="s">
        <v>5301</v>
      </c>
      <c r="C6326" s="8" t="s">
        <v>19029</v>
      </c>
      <c r="D6326" s="8" t="s">
        <v>16</v>
      </c>
      <c r="E6326" s="8" t="s">
        <v>17</v>
      </c>
      <c r="F6326" s="9">
        <v>46099.0</v>
      </c>
      <c r="G6326" s="8" t="s">
        <v>805</v>
      </c>
      <c r="H6326" s="8" t="s">
        <v>806</v>
      </c>
      <c r="I6326" s="8" t="s">
        <v>19030</v>
      </c>
      <c r="J6326" s="8" t="s">
        <v>19031</v>
      </c>
    </row>
    <row r="6327">
      <c r="A6327" s="7">
        <v>2.0043046E7</v>
      </c>
      <c r="B6327" s="8" t="s">
        <v>5301</v>
      </c>
      <c r="C6327" s="8" t="s">
        <v>19032</v>
      </c>
      <c r="D6327" s="8" t="s">
        <v>16</v>
      </c>
      <c r="E6327" s="8" t="s">
        <v>17</v>
      </c>
      <c r="F6327" s="9">
        <v>46070.0</v>
      </c>
      <c r="G6327" s="8" t="s">
        <v>234</v>
      </c>
      <c r="H6327" s="8" t="s">
        <v>235</v>
      </c>
      <c r="I6327" s="8" t="s">
        <v>19033</v>
      </c>
      <c r="J6327" s="8" t="s">
        <v>19034</v>
      </c>
    </row>
    <row r="6328">
      <c r="A6328" s="7">
        <v>2.0038719E7</v>
      </c>
      <c r="B6328" s="8" t="s">
        <v>5301</v>
      </c>
      <c r="C6328" s="8" t="s">
        <v>19035</v>
      </c>
      <c r="D6328" s="8" t="s">
        <v>16</v>
      </c>
      <c r="E6328" s="8" t="s">
        <v>17</v>
      </c>
      <c r="F6328" s="9">
        <v>46059.0</v>
      </c>
      <c r="G6328" s="8" t="s">
        <v>19036</v>
      </c>
      <c r="H6328" s="8" t="s">
        <v>2014</v>
      </c>
      <c r="I6328" s="8" t="s">
        <v>19037</v>
      </c>
      <c r="J6328" s="8" t="s">
        <v>19038</v>
      </c>
    </row>
    <row r="6329">
      <c r="A6329" s="7">
        <v>2.0036519E7</v>
      </c>
      <c r="B6329" s="8" t="s">
        <v>5301</v>
      </c>
      <c r="C6329" s="8" t="s">
        <v>19039</v>
      </c>
      <c r="D6329" s="8" t="s">
        <v>16</v>
      </c>
      <c r="E6329" s="8" t="s">
        <v>17</v>
      </c>
      <c r="F6329" s="9">
        <v>46043.0</v>
      </c>
      <c r="G6329" s="8" t="s">
        <v>91</v>
      </c>
      <c r="H6329" s="8" t="s">
        <v>92</v>
      </c>
      <c r="I6329" s="8" t="s">
        <v>19040</v>
      </c>
      <c r="J6329" s="8" t="s">
        <v>19041</v>
      </c>
    </row>
    <row r="6330">
      <c r="A6330" s="7">
        <v>2.0072241E7</v>
      </c>
      <c r="B6330" s="8" t="s">
        <v>5301</v>
      </c>
      <c r="C6330" s="8" t="s">
        <v>19042</v>
      </c>
      <c r="D6330" s="8" t="s">
        <v>16</v>
      </c>
      <c r="E6330" s="8" t="s">
        <v>17</v>
      </c>
      <c r="F6330" s="9">
        <v>46190.0</v>
      </c>
      <c r="G6330" s="8" t="s">
        <v>91</v>
      </c>
      <c r="H6330" s="8" t="s">
        <v>92</v>
      </c>
      <c r="I6330" s="8" t="s">
        <v>19043</v>
      </c>
      <c r="J6330" s="8" t="s">
        <v>19044</v>
      </c>
    </row>
    <row r="6331">
      <c r="A6331" s="7">
        <v>2.0061328E7</v>
      </c>
      <c r="B6331" s="8" t="s">
        <v>5301</v>
      </c>
      <c r="C6331" s="8" t="s">
        <v>19045</v>
      </c>
      <c r="D6331" s="8" t="s">
        <v>16</v>
      </c>
      <c r="E6331" s="8" t="s">
        <v>17</v>
      </c>
      <c r="F6331" s="9">
        <v>46179.0</v>
      </c>
      <c r="G6331" s="8" t="s">
        <v>19046</v>
      </c>
      <c r="H6331" s="8" t="s">
        <v>19047</v>
      </c>
      <c r="I6331" s="8" t="s">
        <v>19048</v>
      </c>
      <c r="J6331" s="8" t="s">
        <v>19049</v>
      </c>
    </row>
    <row r="6332">
      <c r="A6332" s="7">
        <v>2.0059185E7</v>
      </c>
      <c r="B6332" s="8" t="s">
        <v>5301</v>
      </c>
      <c r="C6332" s="8" t="s">
        <v>19050</v>
      </c>
      <c r="D6332" s="8" t="s">
        <v>16</v>
      </c>
      <c r="E6332" s="8" t="s">
        <v>17</v>
      </c>
      <c r="F6332" s="9">
        <v>46137.0</v>
      </c>
      <c r="G6332" s="8" t="s">
        <v>247</v>
      </c>
      <c r="H6332" s="8" t="s">
        <v>248</v>
      </c>
      <c r="I6332" s="8" t="s">
        <v>19051</v>
      </c>
      <c r="J6332" s="8" t="s">
        <v>19052</v>
      </c>
    </row>
    <row r="6333">
      <c r="A6333" s="7">
        <v>2.0057387E7</v>
      </c>
      <c r="B6333" s="8" t="s">
        <v>5301</v>
      </c>
      <c r="C6333" s="8" t="s">
        <v>19053</v>
      </c>
      <c r="D6333" s="8" t="s">
        <v>16</v>
      </c>
      <c r="E6333" s="8" t="s">
        <v>17</v>
      </c>
      <c r="F6333" s="9">
        <v>46174.0</v>
      </c>
      <c r="G6333" s="8" t="s">
        <v>75</v>
      </c>
      <c r="H6333" s="8" t="s">
        <v>76</v>
      </c>
      <c r="I6333" s="8" t="s">
        <v>19054</v>
      </c>
      <c r="J6333" s="8" t="s">
        <v>19055</v>
      </c>
    </row>
    <row r="6334">
      <c r="A6334" s="7">
        <v>2.0057387E7</v>
      </c>
      <c r="B6334" s="8" t="s">
        <v>5301</v>
      </c>
      <c r="C6334" s="8" t="s">
        <v>19053</v>
      </c>
      <c r="D6334" s="8" t="s">
        <v>16</v>
      </c>
      <c r="E6334" s="8" t="s">
        <v>17</v>
      </c>
      <c r="F6334" s="9">
        <v>46174.0</v>
      </c>
      <c r="G6334" s="8" t="s">
        <v>861</v>
      </c>
      <c r="H6334" s="8" t="s">
        <v>862</v>
      </c>
      <c r="I6334" s="8" t="s">
        <v>19056</v>
      </c>
      <c r="J6334" s="8" t="s">
        <v>19057</v>
      </c>
    </row>
    <row r="6335">
      <c r="A6335" s="7">
        <v>2.0054659E7</v>
      </c>
      <c r="B6335" s="8" t="s">
        <v>5301</v>
      </c>
      <c r="C6335" s="8" t="s">
        <v>19058</v>
      </c>
      <c r="D6335" s="8" t="s">
        <v>16</v>
      </c>
      <c r="E6335" s="8" t="s">
        <v>17</v>
      </c>
      <c r="F6335" s="9">
        <v>46118.0</v>
      </c>
      <c r="G6335" s="8" t="s">
        <v>59</v>
      </c>
      <c r="H6335" s="8" t="s">
        <v>60</v>
      </c>
      <c r="I6335" s="8" t="s">
        <v>19059</v>
      </c>
      <c r="J6335" s="8" t="s">
        <v>19060</v>
      </c>
    </row>
    <row r="6336">
      <c r="A6336" s="7">
        <v>2.0033533E7</v>
      </c>
      <c r="B6336" s="8" t="s">
        <v>5301</v>
      </c>
      <c r="C6336" s="8" t="s">
        <v>19061</v>
      </c>
      <c r="D6336" s="8" t="s">
        <v>16</v>
      </c>
      <c r="E6336" s="8" t="s">
        <v>48</v>
      </c>
      <c r="F6336" s="9">
        <v>46122.0</v>
      </c>
      <c r="G6336" s="8" t="s">
        <v>3818</v>
      </c>
      <c r="H6336" s="8" t="s">
        <v>3819</v>
      </c>
      <c r="I6336" s="8" t="s">
        <v>19062</v>
      </c>
      <c r="J6336" s="8"/>
    </row>
    <row r="6337">
      <c r="A6337" s="7">
        <v>2.0050128E7</v>
      </c>
      <c r="B6337" s="8" t="s">
        <v>5301</v>
      </c>
      <c r="C6337" s="8" t="s">
        <v>19063</v>
      </c>
      <c r="D6337" s="8" t="s">
        <v>16</v>
      </c>
      <c r="E6337" s="8" t="s">
        <v>17</v>
      </c>
      <c r="F6337" s="9">
        <v>46097.0</v>
      </c>
      <c r="G6337" s="8" t="s">
        <v>247</v>
      </c>
      <c r="H6337" s="8" t="s">
        <v>248</v>
      </c>
      <c r="I6337" s="8" t="s">
        <v>19064</v>
      </c>
      <c r="J6337" s="8" t="s">
        <v>19065</v>
      </c>
    </row>
    <row r="6338">
      <c r="A6338" s="7">
        <v>2.0037822E7</v>
      </c>
      <c r="B6338" s="8" t="s">
        <v>5301</v>
      </c>
      <c r="C6338" s="8" t="s">
        <v>19066</v>
      </c>
      <c r="D6338" s="8" t="s">
        <v>16</v>
      </c>
      <c r="E6338" s="8" t="s">
        <v>17</v>
      </c>
      <c r="F6338" s="9">
        <v>46094.0</v>
      </c>
      <c r="G6338" s="8" t="s">
        <v>630</v>
      </c>
      <c r="H6338" s="8" t="s">
        <v>631</v>
      </c>
      <c r="I6338" s="8" t="s">
        <v>19067</v>
      </c>
      <c r="J6338" s="8" t="s">
        <v>19068</v>
      </c>
    </row>
    <row r="6339">
      <c r="A6339" s="7">
        <v>2.0047106E7</v>
      </c>
      <c r="B6339" s="8" t="s">
        <v>5301</v>
      </c>
      <c r="C6339" s="8" t="s">
        <v>19069</v>
      </c>
      <c r="D6339" s="8" t="s">
        <v>16</v>
      </c>
      <c r="E6339" s="8" t="s">
        <v>17</v>
      </c>
      <c r="F6339" s="9">
        <v>46086.0</v>
      </c>
      <c r="G6339" s="8" t="s">
        <v>91</v>
      </c>
      <c r="H6339" s="8" t="s">
        <v>92</v>
      </c>
      <c r="I6339" s="8" t="s">
        <v>19070</v>
      </c>
      <c r="J6339" s="8" t="s">
        <v>19071</v>
      </c>
    </row>
    <row r="6340">
      <c r="A6340" s="7">
        <v>2.0039476E7</v>
      </c>
      <c r="B6340" s="8" t="s">
        <v>5301</v>
      </c>
      <c r="C6340" s="8" t="s">
        <v>19072</v>
      </c>
      <c r="D6340" s="8" t="s">
        <v>16</v>
      </c>
      <c r="E6340" s="8" t="s">
        <v>17</v>
      </c>
      <c r="F6340" s="9">
        <v>46079.0</v>
      </c>
      <c r="G6340" s="8" t="s">
        <v>158</v>
      </c>
      <c r="H6340" s="8" t="s">
        <v>159</v>
      </c>
      <c r="I6340" s="8" t="s">
        <v>19073</v>
      </c>
      <c r="J6340" s="8"/>
    </row>
    <row r="6341">
      <c r="A6341" s="7">
        <v>2.0031298E7</v>
      </c>
      <c r="B6341" s="8" t="s">
        <v>5301</v>
      </c>
      <c r="C6341" s="8" t="s">
        <v>19074</v>
      </c>
      <c r="D6341" s="8" t="s">
        <v>16</v>
      </c>
      <c r="E6341" s="8" t="s">
        <v>17</v>
      </c>
      <c r="F6341" s="9">
        <v>46055.0</v>
      </c>
      <c r="G6341" s="8" t="s">
        <v>75</v>
      </c>
      <c r="H6341" s="8" t="s">
        <v>76</v>
      </c>
      <c r="I6341" s="8" t="s">
        <v>19075</v>
      </c>
      <c r="J6341" s="8" t="s">
        <v>19076</v>
      </c>
    </row>
    <row r="6342">
      <c r="A6342" s="7">
        <v>2.0031298E7</v>
      </c>
      <c r="B6342" s="8" t="s">
        <v>5301</v>
      </c>
      <c r="C6342" s="8" t="s">
        <v>19074</v>
      </c>
      <c r="D6342" s="8" t="s">
        <v>16</v>
      </c>
      <c r="E6342" s="8" t="s">
        <v>17</v>
      </c>
      <c r="F6342" s="9">
        <v>46055.0</v>
      </c>
      <c r="G6342" s="8" t="s">
        <v>861</v>
      </c>
      <c r="H6342" s="8" t="s">
        <v>862</v>
      </c>
      <c r="I6342" s="8" t="s">
        <v>19077</v>
      </c>
      <c r="J6342" s="8" t="s">
        <v>19078</v>
      </c>
    </row>
    <row r="6343">
      <c r="A6343" s="7">
        <v>2.006855E7</v>
      </c>
      <c r="B6343" s="8" t="s">
        <v>5301</v>
      </c>
      <c r="C6343" s="8" t="s">
        <v>19079</v>
      </c>
      <c r="D6343" s="8" t="s">
        <v>2136</v>
      </c>
      <c r="E6343" s="8" t="s">
        <v>17</v>
      </c>
      <c r="F6343" s="9">
        <v>46175.0</v>
      </c>
      <c r="G6343" s="8" t="s">
        <v>195</v>
      </c>
      <c r="H6343" s="8" t="s">
        <v>196</v>
      </c>
      <c r="I6343" s="8" t="s">
        <v>19080</v>
      </c>
      <c r="J6343" s="8" t="s">
        <v>19081</v>
      </c>
    </row>
    <row r="6344">
      <c r="A6344" s="7">
        <v>2.0049074E7</v>
      </c>
      <c r="B6344" s="8" t="s">
        <v>5301</v>
      </c>
      <c r="C6344" s="8" t="s">
        <v>19082</v>
      </c>
      <c r="D6344" s="8" t="s">
        <v>16</v>
      </c>
      <c r="E6344" s="8" t="s">
        <v>17</v>
      </c>
      <c r="F6344" s="9">
        <v>46116.0</v>
      </c>
      <c r="G6344" s="8" t="s">
        <v>6399</v>
      </c>
      <c r="H6344" s="8" t="s">
        <v>120</v>
      </c>
      <c r="I6344" s="8" t="s">
        <v>19083</v>
      </c>
      <c r="J6344" s="8" t="s">
        <v>19084</v>
      </c>
    </row>
    <row r="6345">
      <c r="A6345" s="7">
        <v>2.0051346E7</v>
      </c>
      <c r="B6345" s="8" t="s">
        <v>5301</v>
      </c>
      <c r="C6345" s="8" t="s">
        <v>19085</v>
      </c>
      <c r="D6345" s="8" t="s">
        <v>16</v>
      </c>
      <c r="E6345" s="8" t="s">
        <v>17</v>
      </c>
      <c r="F6345" s="9">
        <v>46111.0</v>
      </c>
      <c r="G6345" s="8" t="s">
        <v>385</v>
      </c>
      <c r="H6345" s="8" t="s">
        <v>386</v>
      </c>
      <c r="I6345" s="8" t="s">
        <v>19086</v>
      </c>
      <c r="J6345" s="8" t="s">
        <v>19087</v>
      </c>
    </row>
    <row r="6346">
      <c r="A6346" s="7">
        <v>2.0048413E7</v>
      </c>
      <c r="B6346" s="8" t="s">
        <v>5301</v>
      </c>
      <c r="C6346" s="8" t="s">
        <v>19088</v>
      </c>
      <c r="D6346" s="8" t="s">
        <v>16</v>
      </c>
      <c r="E6346" s="8" t="s">
        <v>17</v>
      </c>
      <c r="F6346" s="9">
        <v>46119.0</v>
      </c>
      <c r="G6346" s="8" t="s">
        <v>124</v>
      </c>
      <c r="H6346" s="8" t="s">
        <v>125</v>
      </c>
      <c r="I6346" s="8" t="s">
        <v>19089</v>
      </c>
      <c r="J6346" s="8" t="s">
        <v>19090</v>
      </c>
    </row>
    <row r="6347">
      <c r="A6347" s="7">
        <v>2.0051066E7</v>
      </c>
      <c r="B6347" s="8" t="s">
        <v>5301</v>
      </c>
      <c r="C6347" s="8" t="s">
        <v>19091</v>
      </c>
      <c r="D6347" s="8" t="s">
        <v>16</v>
      </c>
      <c r="E6347" s="8" t="s">
        <v>17</v>
      </c>
      <c r="F6347" s="9">
        <v>46117.0</v>
      </c>
      <c r="G6347" s="8" t="s">
        <v>1998</v>
      </c>
      <c r="H6347" s="8" t="s">
        <v>1999</v>
      </c>
      <c r="I6347" s="8" t="s">
        <v>19092</v>
      </c>
      <c r="J6347" s="8"/>
    </row>
    <row r="6348">
      <c r="A6348" s="7">
        <v>2.0045627E7</v>
      </c>
      <c r="B6348" s="8" t="s">
        <v>5301</v>
      </c>
      <c r="C6348" s="8" t="s">
        <v>19093</v>
      </c>
      <c r="D6348" s="8" t="s">
        <v>16</v>
      </c>
      <c r="E6348" s="8" t="s">
        <v>17</v>
      </c>
      <c r="F6348" s="9">
        <v>46098.0</v>
      </c>
      <c r="G6348" s="8" t="s">
        <v>1045</v>
      </c>
      <c r="H6348" s="8" t="s">
        <v>909</v>
      </c>
      <c r="I6348" s="8" t="s">
        <v>19094</v>
      </c>
      <c r="J6348" s="8" t="s">
        <v>19095</v>
      </c>
    </row>
    <row r="6349">
      <c r="A6349" s="7">
        <v>2.0043758E7</v>
      </c>
      <c r="B6349" s="8" t="s">
        <v>5301</v>
      </c>
      <c r="C6349" s="8" t="s">
        <v>19096</v>
      </c>
      <c r="D6349" s="8" t="s">
        <v>16</v>
      </c>
      <c r="E6349" s="8" t="s">
        <v>17</v>
      </c>
      <c r="F6349" s="9">
        <v>46074.0</v>
      </c>
      <c r="G6349" s="8" t="s">
        <v>247</v>
      </c>
      <c r="H6349" s="8" t="s">
        <v>248</v>
      </c>
      <c r="I6349" s="8" t="s">
        <v>19097</v>
      </c>
      <c r="J6349" s="8" t="s">
        <v>19098</v>
      </c>
    </row>
    <row r="6350">
      <c r="A6350" s="7">
        <v>2.0043257E7</v>
      </c>
      <c r="B6350" s="8" t="s">
        <v>5301</v>
      </c>
      <c r="C6350" s="8" t="s">
        <v>19099</v>
      </c>
      <c r="D6350" s="8" t="s">
        <v>16</v>
      </c>
      <c r="E6350" s="8" t="s">
        <v>17</v>
      </c>
      <c r="F6350" s="9">
        <v>46072.0</v>
      </c>
      <c r="G6350" s="8" t="s">
        <v>339</v>
      </c>
      <c r="H6350" s="8" t="s">
        <v>340</v>
      </c>
      <c r="I6350" s="8" t="s">
        <v>19100</v>
      </c>
      <c r="J6350" s="8" t="s">
        <v>19101</v>
      </c>
    </row>
    <row r="6351">
      <c r="A6351" s="7">
        <v>2.0043052E7</v>
      </c>
      <c r="B6351" s="8" t="s">
        <v>5301</v>
      </c>
      <c r="C6351" s="8" t="s">
        <v>19102</v>
      </c>
      <c r="D6351" s="8" t="s">
        <v>16</v>
      </c>
      <c r="E6351" s="8" t="s">
        <v>17</v>
      </c>
      <c r="F6351" s="9">
        <v>46070.0</v>
      </c>
      <c r="G6351" s="8" t="s">
        <v>75</v>
      </c>
      <c r="H6351" s="8" t="s">
        <v>76</v>
      </c>
      <c r="I6351" s="8" t="s">
        <v>19103</v>
      </c>
      <c r="J6351" s="8" t="s">
        <v>19104</v>
      </c>
    </row>
    <row r="6352">
      <c r="A6352" s="7">
        <v>2.0038906E7</v>
      </c>
      <c r="B6352" s="8" t="s">
        <v>5301</v>
      </c>
      <c r="C6352" s="8" t="s">
        <v>19105</v>
      </c>
      <c r="D6352" s="8" t="s">
        <v>16</v>
      </c>
      <c r="E6352" s="8" t="s">
        <v>17</v>
      </c>
      <c r="F6352" s="9">
        <v>46053.0</v>
      </c>
      <c r="G6352" s="8" t="s">
        <v>59</v>
      </c>
      <c r="H6352" s="8" t="s">
        <v>60</v>
      </c>
      <c r="I6352" s="8" t="s">
        <v>19106</v>
      </c>
      <c r="J6352" s="8" t="s">
        <v>19107</v>
      </c>
    </row>
    <row r="6353">
      <c r="A6353" s="7">
        <v>2.0058962E7</v>
      </c>
      <c r="B6353" s="8" t="s">
        <v>5301</v>
      </c>
      <c r="C6353" s="8" t="s">
        <v>19108</v>
      </c>
      <c r="D6353" s="8" t="s">
        <v>16</v>
      </c>
      <c r="E6353" s="8" t="s">
        <v>17</v>
      </c>
      <c r="F6353" s="9">
        <v>46186.0</v>
      </c>
      <c r="G6353" s="8" t="s">
        <v>607</v>
      </c>
      <c r="H6353" s="8" t="s">
        <v>608</v>
      </c>
      <c r="I6353" s="8" t="s">
        <v>19109</v>
      </c>
      <c r="J6353" s="8"/>
    </row>
    <row r="6354">
      <c r="A6354" s="7">
        <v>2.0058482E7</v>
      </c>
      <c r="B6354" s="8" t="s">
        <v>5301</v>
      </c>
      <c r="C6354" s="8" t="s">
        <v>19110</v>
      </c>
      <c r="D6354" s="8" t="s">
        <v>16</v>
      </c>
      <c r="E6354" s="8" t="s">
        <v>17</v>
      </c>
      <c r="F6354" s="9">
        <v>46146.0</v>
      </c>
      <c r="G6354" s="8" t="s">
        <v>247</v>
      </c>
      <c r="H6354" s="8" t="s">
        <v>248</v>
      </c>
      <c r="I6354" s="8" t="s">
        <v>19111</v>
      </c>
      <c r="J6354" s="8" t="s">
        <v>19112</v>
      </c>
    </row>
    <row r="6355">
      <c r="A6355" s="7">
        <v>2.0056175E7</v>
      </c>
      <c r="B6355" s="8" t="s">
        <v>5301</v>
      </c>
      <c r="C6355" s="8" t="s">
        <v>19113</v>
      </c>
      <c r="D6355" s="8" t="s">
        <v>16</v>
      </c>
      <c r="E6355" s="8" t="s">
        <v>17</v>
      </c>
      <c r="F6355" s="9">
        <v>46139.0</v>
      </c>
      <c r="G6355" s="8" t="s">
        <v>805</v>
      </c>
      <c r="H6355" s="8" t="s">
        <v>806</v>
      </c>
      <c r="I6355" s="8" t="s">
        <v>19114</v>
      </c>
      <c r="J6355" s="8" t="s">
        <v>19115</v>
      </c>
    </row>
    <row r="6356">
      <c r="A6356" s="7">
        <v>2.005264E7</v>
      </c>
      <c r="B6356" s="8" t="s">
        <v>5301</v>
      </c>
      <c r="C6356" s="8" t="s">
        <v>19116</v>
      </c>
      <c r="D6356" s="8" t="s">
        <v>16</v>
      </c>
      <c r="E6356" s="8" t="s">
        <v>17</v>
      </c>
      <c r="F6356" s="9">
        <v>46110.0</v>
      </c>
      <c r="G6356" s="8" t="s">
        <v>29</v>
      </c>
      <c r="H6356" s="8" t="s">
        <v>30</v>
      </c>
      <c r="I6356" s="8" t="s">
        <v>19117</v>
      </c>
      <c r="J6356" s="8" t="s">
        <v>19118</v>
      </c>
    </row>
    <row r="6357">
      <c r="A6357" s="7">
        <v>2.0047448E7</v>
      </c>
      <c r="B6357" s="8" t="s">
        <v>5301</v>
      </c>
      <c r="C6357" s="8" t="s">
        <v>19119</v>
      </c>
      <c r="D6357" s="8" t="s">
        <v>16</v>
      </c>
      <c r="E6357" s="8" t="s">
        <v>17</v>
      </c>
      <c r="F6357" s="9">
        <v>46116.0</v>
      </c>
      <c r="G6357" s="8" t="s">
        <v>5687</v>
      </c>
      <c r="H6357" s="8" t="s">
        <v>5688</v>
      </c>
      <c r="I6357" s="8" t="s">
        <v>19120</v>
      </c>
      <c r="J6357" s="8" t="s">
        <v>19121</v>
      </c>
    </row>
    <row r="6358">
      <c r="A6358" s="7">
        <v>2.0050913E7</v>
      </c>
      <c r="B6358" s="8" t="s">
        <v>5301</v>
      </c>
      <c r="C6358" s="8" t="s">
        <v>19122</v>
      </c>
      <c r="D6358" s="8" t="s">
        <v>16</v>
      </c>
      <c r="E6358" s="8" t="s">
        <v>17</v>
      </c>
      <c r="F6358" s="9">
        <v>46100.0</v>
      </c>
      <c r="G6358" s="8" t="s">
        <v>339</v>
      </c>
      <c r="H6358" s="8" t="s">
        <v>340</v>
      </c>
      <c r="I6358" s="8" t="s">
        <v>19123</v>
      </c>
      <c r="J6358" s="8" t="s">
        <v>19124</v>
      </c>
    </row>
    <row r="6359">
      <c r="A6359" s="7">
        <v>2.0048888E7</v>
      </c>
      <c r="B6359" s="8" t="s">
        <v>5301</v>
      </c>
      <c r="C6359" s="8" t="s">
        <v>19125</v>
      </c>
      <c r="D6359" s="8" t="s">
        <v>16</v>
      </c>
      <c r="E6359" s="8" t="s">
        <v>17</v>
      </c>
      <c r="F6359" s="9">
        <v>46109.0</v>
      </c>
      <c r="G6359" s="8" t="s">
        <v>10268</v>
      </c>
      <c r="H6359" s="8" t="s">
        <v>10269</v>
      </c>
      <c r="I6359" s="8" t="s">
        <v>19126</v>
      </c>
      <c r="J6359" s="8" t="s">
        <v>19127</v>
      </c>
    </row>
    <row r="6360">
      <c r="A6360" s="7">
        <v>2.0048649E7</v>
      </c>
      <c r="B6360" s="8" t="s">
        <v>5301</v>
      </c>
      <c r="C6360" s="8" t="s">
        <v>19128</v>
      </c>
      <c r="D6360" s="8" t="s">
        <v>16</v>
      </c>
      <c r="E6360" s="8" t="s">
        <v>17</v>
      </c>
      <c r="F6360" s="9">
        <v>46092.0</v>
      </c>
      <c r="G6360" s="8" t="s">
        <v>339</v>
      </c>
      <c r="H6360" s="8" t="s">
        <v>340</v>
      </c>
      <c r="I6360" s="8" t="s">
        <v>19129</v>
      </c>
      <c r="J6360" s="8" t="s">
        <v>19130</v>
      </c>
    </row>
    <row r="6361">
      <c r="A6361" s="7">
        <v>2.0047442E7</v>
      </c>
      <c r="B6361" s="8" t="s">
        <v>5301</v>
      </c>
      <c r="C6361" s="8" t="s">
        <v>19131</v>
      </c>
      <c r="D6361" s="8" t="s">
        <v>16</v>
      </c>
      <c r="E6361" s="8" t="s">
        <v>17</v>
      </c>
      <c r="F6361" s="9">
        <v>46091.0</v>
      </c>
      <c r="G6361" s="8" t="s">
        <v>220</v>
      </c>
      <c r="H6361" s="8" t="s">
        <v>221</v>
      </c>
      <c r="I6361" s="8" t="s">
        <v>19132</v>
      </c>
      <c r="J6361" s="8" t="s">
        <v>19133</v>
      </c>
    </row>
    <row r="6362">
      <c r="A6362" s="7">
        <v>2.0041814E7</v>
      </c>
      <c r="B6362" s="8" t="s">
        <v>5301</v>
      </c>
      <c r="C6362" s="8" t="s">
        <v>19134</v>
      </c>
      <c r="D6362" s="8" t="s">
        <v>16</v>
      </c>
      <c r="E6362" s="8" t="s">
        <v>17</v>
      </c>
      <c r="F6362" s="9">
        <v>46106.0</v>
      </c>
      <c r="G6362" s="8" t="s">
        <v>171</v>
      </c>
      <c r="H6362" s="8" t="s">
        <v>172</v>
      </c>
      <c r="I6362" s="8" t="s">
        <v>19135</v>
      </c>
      <c r="J6362" s="8"/>
    </row>
    <row r="6363">
      <c r="A6363" s="7">
        <v>2.0061475E7</v>
      </c>
      <c r="B6363" s="8" t="s">
        <v>5417</v>
      </c>
      <c r="C6363" s="8" t="s">
        <v>19136</v>
      </c>
      <c r="D6363" s="8" t="s">
        <v>16</v>
      </c>
      <c r="E6363" s="8" t="s">
        <v>17</v>
      </c>
      <c r="F6363" s="9">
        <v>46147.0</v>
      </c>
      <c r="G6363" s="8" t="s">
        <v>34</v>
      </c>
      <c r="H6363" s="8" t="s">
        <v>35</v>
      </c>
      <c r="I6363" s="8" t="s">
        <v>19137</v>
      </c>
      <c r="J6363" s="8" t="s">
        <v>19138</v>
      </c>
    </row>
    <row r="6364">
      <c r="A6364" s="7">
        <v>2.0058769E7</v>
      </c>
      <c r="B6364" s="8" t="s">
        <v>5417</v>
      </c>
      <c r="C6364" s="8" t="s">
        <v>19139</v>
      </c>
      <c r="D6364" s="8" t="s">
        <v>16</v>
      </c>
      <c r="E6364" s="8" t="s">
        <v>17</v>
      </c>
      <c r="F6364" s="9">
        <v>46180.0</v>
      </c>
      <c r="G6364" s="8" t="s">
        <v>314</v>
      </c>
      <c r="H6364" s="8" t="s">
        <v>315</v>
      </c>
      <c r="I6364" s="8" t="s">
        <v>19140</v>
      </c>
      <c r="J6364" s="8" t="s">
        <v>19141</v>
      </c>
    </row>
    <row r="6365">
      <c r="A6365" s="7">
        <v>2.0052823E7</v>
      </c>
      <c r="B6365" s="8" t="s">
        <v>5417</v>
      </c>
      <c r="C6365" s="8" t="s">
        <v>19142</v>
      </c>
      <c r="D6365" s="8" t="s">
        <v>16</v>
      </c>
      <c r="E6365" s="8" t="s">
        <v>17</v>
      </c>
      <c r="F6365" s="9">
        <v>46128.0</v>
      </c>
      <c r="G6365" s="8" t="s">
        <v>18601</v>
      </c>
      <c r="H6365" s="8" t="s">
        <v>3410</v>
      </c>
      <c r="I6365" s="8" t="s">
        <v>19143</v>
      </c>
      <c r="J6365" s="8" t="s">
        <v>19144</v>
      </c>
    </row>
    <row r="6366">
      <c r="A6366" s="7">
        <v>2.0052474E7</v>
      </c>
      <c r="B6366" s="8" t="s">
        <v>5417</v>
      </c>
      <c r="C6366" s="8" t="s">
        <v>19145</v>
      </c>
      <c r="D6366" s="8" t="s">
        <v>16</v>
      </c>
      <c r="E6366" s="8" t="s">
        <v>17</v>
      </c>
      <c r="F6366" s="9">
        <v>46137.0</v>
      </c>
      <c r="G6366" s="8" t="s">
        <v>64</v>
      </c>
      <c r="H6366" s="8" t="s">
        <v>65</v>
      </c>
      <c r="I6366" s="8" t="s">
        <v>19146</v>
      </c>
      <c r="J6366" s="8" t="s">
        <v>19147</v>
      </c>
    </row>
    <row r="6367">
      <c r="A6367" s="7">
        <v>2.0045645E7</v>
      </c>
      <c r="B6367" s="8" t="s">
        <v>5417</v>
      </c>
      <c r="C6367" s="8" t="s">
        <v>19148</v>
      </c>
      <c r="D6367" s="8" t="s">
        <v>16</v>
      </c>
      <c r="E6367" s="8" t="s">
        <v>17</v>
      </c>
      <c r="F6367" s="9">
        <v>46084.0</v>
      </c>
      <c r="G6367" s="8" t="s">
        <v>234</v>
      </c>
      <c r="H6367" s="8" t="s">
        <v>235</v>
      </c>
      <c r="I6367" s="8" t="s">
        <v>19149</v>
      </c>
      <c r="J6367" s="8" t="s">
        <v>19150</v>
      </c>
    </row>
    <row r="6368">
      <c r="A6368" s="7">
        <v>2.0045645E7</v>
      </c>
      <c r="B6368" s="8" t="s">
        <v>5417</v>
      </c>
      <c r="C6368" s="8" t="s">
        <v>19148</v>
      </c>
      <c r="D6368" s="8" t="s">
        <v>16</v>
      </c>
      <c r="E6368" s="8" t="s">
        <v>17</v>
      </c>
      <c r="F6368" s="9">
        <v>46084.0</v>
      </c>
      <c r="G6368" s="8" t="s">
        <v>3255</v>
      </c>
      <c r="H6368" s="8" t="s">
        <v>3256</v>
      </c>
      <c r="I6368" s="8" t="s">
        <v>19151</v>
      </c>
      <c r="J6368" s="8" t="s">
        <v>19152</v>
      </c>
    </row>
    <row r="6369">
      <c r="A6369" s="7">
        <v>2.0041446E7</v>
      </c>
      <c r="B6369" s="8" t="s">
        <v>5417</v>
      </c>
      <c r="C6369" s="8" t="s">
        <v>19153</v>
      </c>
      <c r="D6369" s="8" t="s">
        <v>16</v>
      </c>
      <c r="E6369" s="8" t="s">
        <v>17</v>
      </c>
      <c r="F6369" s="9">
        <v>46113.0</v>
      </c>
      <c r="G6369" s="8" t="s">
        <v>7407</v>
      </c>
      <c r="H6369" s="8" t="s">
        <v>7408</v>
      </c>
      <c r="I6369" s="8" t="s">
        <v>19154</v>
      </c>
      <c r="J6369" s="8" t="s">
        <v>19155</v>
      </c>
    </row>
    <row r="6370">
      <c r="A6370" s="7">
        <v>2.0041446E7</v>
      </c>
      <c r="B6370" s="8" t="s">
        <v>5417</v>
      </c>
      <c r="C6370" s="8" t="s">
        <v>19153</v>
      </c>
      <c r="D6370" s="8" t="s">
        <v>16</v>
      </c>
      <c r="E6370" s="8" t="s">
        <v>17</v>
      </c>
      <c r="F6370" s="9">
        <v>46113.0</v>
      </c>
      <c r="G6370" s="8" t="s">
        <v>7411</v>
      </c>
      <c r="H6370" s="8" t="s">
        <v>7412</v>
      </c>
      <c r="I6370" s="8" t="s">
        <v>19156</v>
      </c>
      <c r="J6370" s="8" t="s">
        <v>19157</v>
      </c>
    </row>
    <row r="6371">
      <c r="A6371" s="7">
        <v>2.0037932E7</v>
      </c>
      <c r="B6371" s="8" t="s">
        <v>5417</v>
      </c>
      <c r="C6371" s="8" t="s">
        <v>19158</v>
      </c>
      <c r="D6371" s="8" t="s">
        <v>16</v>
      </c>
      <c r="E6371" s="8" t="s">
        <v>48</v>
      </c>
      <c r="F6371" s="9">
        <v>46060.0</v>
      </c>
      <c r="G6371" s="8" t="s">
        <v>49</v>
      </c>
      <c r="H6371" s="8" t="s">
        <v>50</v>
      </c>
      <c r="I6371" s="8" t="s">
        <v>19159</v>
      </c>
      <c r="J6371" s="8" t="s">
        <v>19160</v>
      </c>
    </row>
    <row r="6372">
      <c r="A6372" s="7">
        <v>2.0066989E7</v>
      </c>
      <c r="B6372" s="8" t="s">
        <v>5417</v>
      </c>
      <c r="C6372" s="8" t="s">
        <v>19161</v>
      </c>
      <c r="D6372" s="8" t="s">
        <v>16</v>
      </c>
      <c r="E6372" s="8" t="s">
        <v>17</v>
      </c>
      <c r="F6372" s="9">
        <v>46178.0</v>
      </c>
      <c r="G6372" s="8" t="s">
        <v>7407</v>
      </c>
      <c r="H6372" s="8" t="s">
        <v>7408</v>
      </c>
      <c r="I6372" s="8" t="s">
        <v>19162</v>
      </c>
      <c r="J6372" s="8" t="s">
        <v>19163</v>
      </c>
    </row>
    <row r="6373">
      <c r="A6373" s="7">
        <v>2.0066989E7</v>
      </c>
      <c r="B6373" s="8" t="s">
        <v>5417</v>
      </c>
      <c r="C6373" s="8" t="s">
        <v>19161</v>
      </c>
      <c r="D6373" s="8" t="s">
        <v>16</v>
      </c>
      <c r="E6373" s="8" t="s">
        <v>17</v>
      </c>
      <c r="F6373" s="9">
        <v>46178.0</v>
      </c>
      <c r="G6373" s="8" t="s">
        <v>7411</v>
      </c>
      <c r="H6373" s="8" t="s">
        <v>7412</v>
      </c>
      <c r="I6373" s="8" t="s">
        <v>19164</v>
      </c>
      <c r="J6373" s="8" t="s">
        <v>19165</v>
      </c>
    </row>
    <row r="6374">
      <c r="A6374" s="7">
        <v>2.0053886E7</v>
      </c>
      <c r="B6374" s="8" t="s">
        <v>5417</v>
      </c>
      <c r="C6374" s="8" t="s">
        <v>19166</v>
      </c>
      <c r="D6374" s="8" t="s">
        <v>16</v>
      </c>
      <c r="E6374" s="8" t="s">
        <v>17</v>
      </c>
      <c r="F6374" s="9">
        <v>46133.0</v>
      </c>
      <c r="G6374" s="8" t="s">
        <v>314</v>
      </c>
      <c r="H6374" s="8" t="s">
        <v>315</v>
      </c>
      <c r="I6374" s="8" t="s">
        <v>19167</v>
      </c>
      <c r="J6374" s="8" t="s">
        <v>19168</v>
      </c>
    </row>
    <row r="6375">
      <c r="A6375" s="7">
        <v>2.0053886E7</v>
      </c>
      <c r="B6375" s="8" t="s">
        <v>5417</v>
      </c>
      <c r="C6375" s="8" t="s">
        <v>19166</v>
      </c>
      <c r="D6375" s="8" t="s">
        <v>16</v>
      </c>
      <c r="E6375" s="8" t="s">
        <v>17</v>
      </c>
      <c r="F6375" s="9">
        <v>46133.0</v>
      </c>
      <c r="G6375" s="8" t="s">
        <v>908</v>
      </c>
      <c r="H6375" s="8" t="s">
        <v>909</v>
      </c>
      <c r="I6375" s="8" t="s">
        <v>19169</v>
      </c>
      <c r="J6375" s="8" t="s">
        <v>19170</v>
      </c>
    </row>
    <row r="6376">
      <c r="A6376" s="7">
        <v>2.0034746E7</v>
      </c>
      <c r="B6376" s="8" t="s">
        <v>5417</v>
      </c>
      <c r="C6376" s="8" t="s">
        <v>19171</v>
      </c>
      <c r="D6376" s="8" t="s">
        <v>16</v>
      </c>
      <c r="E6376" s="8" t="s">
        <v>17</v>
      </c>
      <c r="F6376" s="9">
        <v>46050.0</v>
      </c>
      <c r="G6376" s="8" t="s">
        <v>630</v>
      </c>
      <c r="H6376" s="8" t="s">
        <v>631</v>
      </c>
      <c r="I6376" s="8" t="s">
        <v>19172</v>
      </c>
      <c r="J6376" s="8" t="s">
        <v>19173</v>
      </c>
    </row>
    <row r="6377">
      <c r="A6377" s="7">
        <v>2.0066232E7</v>
      </c>
      <c r="B6377" s="8" t="s">
        <v>5417</v>
      </c>
      <c r="C6377" s="8" t="s">
        <v>19174</v>
      </c>
      <c r="D6377" s="8" t="s">
        <v>16</v>
      </c>
      <c r="E6377" s="8" t="s">
        <v>17</v>
      </c>
      <c r="F6377" s="9">
        <v>46190.0</v>
      </c>
      <c r="G6377" s="8" t="s">
        <v>370</v>
      </c>
      <c r="H6377" s="8" t="s">
        <v>371</v>
      </c>
      <c r="I6377" s="8" t="s">
        <v>19175</v>
      </c>
      <c r="J6377" s="8" t="s">
        <v>19176</v>
      </c>
    </row>
    <row r="6378">
      <c r="A6378" s="7">
        <v>2.0058475E7</v>
      </c>
      <c r="B6378" s="8" t="s">
        <v>5417</v>
      </c>
      <c r="C6378" s="8" t="s">
        <v>19177</v>
      </c>
      <c r="D6378" s="8" t="s">
        <v>16</v>
      </c>
      <c r="E6378" s="8" t="s">
        <v>17</v>
      </c>
      <c r="F6378" s="9">
        <v>46141.0</v>
      </c>
      <c r="G6378" s="8" t="s">
        <v>882</v>
      </c>
      <c r="H6378" s="8" t="s">
        <v>883</v>
      </c>
      <c r="I6378" s="8" t="s">
        <v>19178</v>
      </c>
      <c r="J6378" s="8" t="s">
        <v>19179</v>
      </c>
    </row>
    <row r="6379">
      <c r="A6379" s="7">
        <v>2.0058475E7</v>
      </c>
      <c r="B6379" s="8" t="s">
        <v>5417</v>
      </c>
      <c r="C6379" s="8" t="s">
        <v>19177</v>
      </c>
      <c r="D6379" s="8" t="s">
        <v>16</v>
      </c>
      <c r="E6379" s="8" t="s">
        <v>17</v>
      </c>
      <c r="F6379" s="9">
        <v>46141.0</v>
      </c>
      <c r="G6379" s="8" t="s">
        <v>4910</v>
      </c>
      <c r="H6379" s="8" t="s">
        <v>4911</v>
      </c>
      <c r="I6379" s="8" t="s">
        <v>19180</v>
      </c>
      <c r="J6379" s="8" t="s">
        <v>19181</v>
      </c>
    </row>
    <row r="6380">
      <c r="A6380" s="7">
        <v>2.0051656E7</v>
      </c>
      <c r="B6380" s="8" t="s">
        <v>5417</v>
      </c>
      <c r="C6380" s="8" t="s">
        <v>19182</v>
      </c>
      <c r="D6380" s="8" t="s">
        <v>16</v>
      </c>
      <c r="E6380" s="8" t="s">
        <v>48</v>
      </c>
      <c r="F6380" s="9">
        <v>46137.0</v>
      </c>
      <c r="G6380" s="8" t="s">
        <v>5057</v>
      </c>
      <c r="H6380" s="8" t="s">
        <v>6674</v>
      </c>
      <c r="I6380" s="8" t="s">
        <v>19183</v>
      </c>
      <c r="J6380" s="8" t="s">
        <v>19184</v>
      </c>
    </row>
    <row r="6381">
      <c r="A6381" s="7">
        <v>2.0052117E7</v>
      </c>
      <c r="B6381" s="8" t="s">
        <v>5417</v>
      </c>
      <c r="C6381" s="8" t="s">
        <v>19185</v>
      </c>
      <c r="D6381" s="8" t="s">
        <v>16</v>
      </c>
      <c r="E6381" s="8" t="s">
        <v>17</v>
      </c>
      <c r="F6381" s="9">
        <v>46123.0</v>
      </c>
      <c r="G6381" s="8" t="s">
        <v>171</v>
      </c>
      <c r="H6381" s="8" t="s">
        <v>172</v>
      </c>
      <c r="I6381" s="8" t="s">
        <v>19186</v>
      </c>
      <c r="J6381" s="8" t="s">
        <v>19187</v>
      </c>
    </row>
    <row r="6382">
      <c r="A6382" s="7">
        <v>2.0049621E7</v>
      </c>
      <c r="B6382" s="8" t="s">
        <v>5417</v>
      </c>
      <c r="C6382" s="8" t="s">
        <v>19188</v>
      </c>
      <c r="D6382" s="8" t="s">
        <v>16</v>
      </c>
      <c r="E6382" s="8" t="s">
        <v>17</v>
      </c>
      <c r="F6382" s="9">
        <v>46113.0</v>
      </c>
      <c r="G6382" s="8" t="s">
        <v>1764</v>
      </c>
      <c r="H6382" s="8" t="s">
        <v>1765</v>
      </c>
      <c r="I6382" s="8" t="s">
        <v>19189</v>
      </c>
      <c r="J6382" s="8" t="s">
        <v>19190</v>
      </c>
    </row>
    <row r="6383">
      <c r="A6383" s="7">
        <v>2.0048825E7</v>
      </c>
      <c r="B6383" s="8" t="s">
        <v>5417</v>
      </c>
      <c r="C6383" s="8" t="s">
        <v>19191</v>
      </c>
      <c r="D6383" s="8" t="s">
        <v>16</v>
      </c>
      <c r="E6383" s="8" t="s">
        <v>17</v>
      </c>
      <c r="F6383" s="9">
        <v>46110.0</v>
      </c>
      <c r="G6383" s="8" t="s">
        <v>262</v>
      </c>
      <c r="H6383" s="8" t="s">
        <v>263</v>
      </c>
      <c r="I6383" s="8" t="s">
        <v>19192</v>
      </c>
      <c r="J6383" s="8" t="s">
        <v>19193</v>
      </c>
    </row>
    <row r="6384">
      <c r="A6384" s="7">
        <v>2.0047218E7</v>
      </c>
      <c r="B6384" s="8" t="s">
        <v>5417</v>
      </c>
      <c r="C6384" s="8" t="s">
        <v>19194</v>
      </c>
      <c r="D6384" s="8" t="s">
        <v>16</v>
      </c>
      <c r="E6384" s="8" t="s">
        <v>17</v>
      </c>
      <c r="F6384" s="9">
        <v>46101.0</v>
      </c>
      <c r="G6384" s="8" t="s">
        <v>314</v>
      </c>
      <c r="H6384" s="8" t="s">
        <v>315</v>
      </c>
      <c r="I6384" s="8" t="s">
        <v>19195</v>
      </c>
      <c r="J6384" s="8" t="s">
        <v>19196</v>
      </c>
    </row>
    <row r="6385">
      <c r="A6385" s="7">
        <v>2.0067076E7</v>
      </c>
      <c r="B6385" s="8" t="s">
        <v>5417</v>
      </c>
      <c r="C6385" s="8" t="s">
        <v>19197</v>
      </c>
      <c r="D6385" s="8" t="s">
        <v>2136</v>
      </c>
      <c r="E6385" s="8" t="s">
        <v>17</v>
      </c>
      <c r="F6385" s="9">
        <v>46170.0</v>
      </c>
      <c r="G6385" s="8" t="s">
        <v>846</v>
      </c>
      <c r="H6385" s="8" t="s">
        <v>847</v>
      </c>
      <c r="I6385" s="8" t="s">
        <v>19198</v>
      </c>
      <c r="J6385" s="8" t="s">
        <v>19199</v>
      </c>
    </row>
    <row r="6386">
      <c r="A6386" s="7">
        <v>2.0064685E7</v>
      </c>
      <c r="B6386" s="8" t="s">
        <v>5417</v>
      </c>
      <c r="C6386" s="8" t="s">
        <v>19200</v>
      </c>
      <c r="D6386" s="8" t="s">
        <v>16</v>
      </c>
      <c r="E6386" s="8" t="s">
        <v>17</v>
      </c>
      <c r="F6386" s="9">
        <v>46168.0</v>
      </c>
      <c r="G6386" s="8" t="s">
        <v>19201</v>
      </c>
      <c r="H6386" s="8" t="s">
        <v>120</v>
      </c>
      <c r="I6386" s="8" t="s">
        <v>19202</v>
      </c>
      <c r="J6386" s="8" t="s">
        <v>19203</v>
      </c>
    </row>
    <row r="6387">
      <c r="A6387" s="7">
        <v>2.0058759E7</v>
      </c>
      <c r="B6387" s="8" t="s">
        <v>5417</v>
      </c>
      <c r="C6387" s="8" t="s">
        <v>19204</v>
      </c>
      <c r="D6387" s="8" t="s">
        <v>16</v>
      </c>
      <c r="E6387" s="8" t="s">
        <v>17</v>
      </c>
      <c r="F6387" s="9">
        <v>46189.0</v>
      </c>
      <c r="G6387" s="8" t="s">
        <v>1998</v>
      </c>
      <c r="H6387" s="8" t="s">
        <v>1999</v>
      </c>
      <c r="I6387" s="8" t="s">
        <v>19205</v>
      </c>
      <c r="J6387" s="8" t="s">
        <v>19206</v>
      </c>
    </row>
    <row r="6388">
      <c r="A6388" s="7">
        <v>2.0051927E7</v>
      </c>
      <c r="B6388" s="8" t="s">
        <v>5417</v>
      </c>
      <c r="C6388" s="8" t="s">
        <v>19207</v>
      </c>
      <c r="D6388" s="8" t="s">
        <v>16</v>
      </c>
      <c r="E6388" s="8" t="s">
        <v>17</v>
      </c>
      <c r="F6388" s="9">
        <v>46121.0</v>
      </c>
      <c r="G6388" s="8" t="s">
        <v>1754</v>
      </c>
      <c r="H6388" s="8" t="s">
        <v>1755</v>
      </c>
      <c r="I6388" s="8" t="s">
        <v>19208</v>
      </c>
      <c r="J6388" s="8" t="s">
        <v>19209</v>
      </c>
    </row>
    <row r="6389">
      <c r="A6389" s="7">
        <v>2.0048623E7</v>
      </c>
      <c r="B6389" s="8" t="s">
        <v>5417</v>
      </c>
      <c r="C6389" s="8" t="s">
        <v>19210</v>
      </c>
      <c r="D6389" s="8" t="s">
        <v>16</v>
      </c>
      <c r="E6389" s="8" t="s">
        <v>17</v>
      </c>
      <c r="F6389" s="9">
        <v>46093.0</v>
      </c>
      <c r="G6389" s="8" t="s">
        <v>846</v>
      </c>
      <c r="H6389" s="8" t="s">
        <v>847</v>
      </c>
      <c r="I6389" s="8" t="s">
        <v>19211</v>
      </c>
      <c r="J6389" s="8" t="s">
        <v>19212</v>
      </c>
    </row>
    <row r="6390">
      <c r="A6390" s="7">
        <v>2.0047601E7</v>
      </c>
      <c r="B6390" s="8" t="s">
        <v>5417</v>
      </c>
      <c r="C6390" s="8" t="s">
        <v>19213</v>
      </c>
      <c r="D6390" s="8" t="s">
        <v>16</v>
      </c>
      <c r="E6390" s="8" t="s">
        <v>17</v>
      </c>
      <c r="F6390" s="9">
        <v>46087.0</v>
      </c>
      <c r="G6390" s="8" t="s">
        <v>234</v>
      </c>
      <c r="H6390" s="8" t="s">
        <v>235</v>
      </c>
      <c r="I6390" s="8" t="s">
        <v>19214</v>
      </c>
      <c r="J6390" s="8" t="s">
        <v>19215</v>
      </c>
    </row>
    <row r="6391">
      <c r="A6391" s="7">
        <v>2.0047601E7</v>
      </c>
      <c r="B6391" s="8" t="s">
        <v>5417</v>
      </c>
      <c r="C6391" s="8" t="s">
        <v>19213</v>
      </c>
      <c r="D6391" s="8" t="s">
        <v>16</v>
      </c>
      <c r="E6391" s="8" t="s">
        <v>17</v>
      </c>
      <c r="F6391" s="9">
        <v>46087.0</v>
      </c>
      <c r="G6391" s="8" t="s">
        <v>234</v>
      </c>
      <c r="H6391" s="8" t="s">
        <v>235</v>
      </c>
      <c r="I6391" s="8" t="s">
        <v>19216</v>
      </c>
      <c r="J6391" s="8" t="s">
        <v>19215</v>
      </c>
    </row>
    <row r="6392">
      <c r="A6392" s="7">
        <v>2.0045016E7</v>
      </c>
      <c r="B6392" s="8" t="s">
        <v>5417</v>
      </c>
      <c r="C6392" s="8" t="s">
        <v>19217</v>
      </c>
      <c r="D6392" s="8" t="s">
        <v>16</v>
      </c>
      <c r="E6392" s="8" t="s">
        <v>17</v>
      </c>
      <c r="F6392" s="9">
        <v>46146.0</v>
      </c>
      <c r="G6392" s="8" t="s">
        <v>12613</v>
      </c>
      <c r="H6392" s="8" t="s">
        <v>3431</v>
      </c>
      <c r="I6392" s="8" t="s">
        <v>19218</v>
      </c>
      <c r="J6392" s="8" t="s">
        <v>19219</v>
      </c>
    </row>
    <row r="6393">
      <c r="A6393" s="7">
        <v>2.0045016E7</v>
      </c>
      <c r="B6393" s="8" t="s">
        <v>5417</v>
      </c>
      <c r="C6393" s="8" t="s">
        <v>19217</v>
      </c>
      <c r="D6393" s="8" t="s">
        <v>16</v>
      </c>
      <c r="E6393" s="8" t="s">
        <v>17</v>
      </c>
      <c r="F6393" s="9">
        <v>46146.0</v>
      </c>
      <c r="G6393" s="8" t="s">
        <v>19220</v>
      </c>
      <c r="H6393" s="8" t="s">
        <v>19221</v>
      </c>
      <c r="I6393" s="8" t="s">
        <v>19222</v>
      </c>
      <c r="J6393" s="8"/>
    </row>
    <row r="6394">
      <c r="A6394" s="7">
        <v>2.0045016E7</v>
      </c>
      <c r="B6394" s="8" t="s">
        <v>5417</v>
      </c>
      <c r="C6394" s="8" t="s">
        <v>19217</v>
      </c>
      <c r="D6394" s="8" t="s">
        <v>16</v>
      </c>
      <c r="E6394" s="8" t="s">
        <v>17</v>
      </c>
      <c r="F6394" s="9">
        <v>46146.0</v>
      </c>
      <c r="G6394" s="8" t="s">
        <v>19220</v>
      </c>
      <c r="H6394" s="8" t="s">
        <v>19221</v>
      </c>
      <c r="I6394" s="8" t="s">
        <v>19223</v>
      </c>
      <c r="J6394" s="8"/>
    </row>
    <row r="6395">
      <c r="A6395" s="7">
        <v>2.0045016E7</v>
      </c>
      <c r="B6395" s="8" t="s">
        <v>5417</v>
      </c>
      <c r="C6395" s="8" t="s">
        <v>19217</v>
      </c>
      <c r="D6395" s="8" t="s">
        <v>16</v>
      </c>
      <c r="E6395" s="8" t="s">
        <v>17</v>
      </c>
      <c r="F6395" s="9">
        <v>46146.0</v>
      </c>
      <c r="G6395" s="8" t="s">
        <v>19220</v>
      </c>
      <c r="H6395" s="8" t="s">
        <v>19221</v>
      </c>
      <c r="I6395" s="8" t="s">
        <v>19224</v>
      </c>
      <c r="J6395" s="8" t="s">
        <v>19225</v>
      </c>
    </row>
    <row r="6396">
      <c r="A6396" s="7">
        <v>2.0042049E7</v>
      </c>
      <c r="B6396" s="8" t="s">
        <v>5417</v>
      </c>
      <c r="C6396" s="8" t="s">
        <v>19226</v>
      </c>
      <c r="D6396" s="8" t="s">
        <v>16</v>
      </c>
      <c r="E6396" s="8" t="s">
        <v>48</v>
      </c>
      <c r="F6396" s="9">
        <v>46089.0</v>
      </c>
      <c r="G6396" s="8" t="s">
        <v>19227</v>
      </c>
      <c r="H6396" s="8" t="s">
        <v>19228</v>
      </c>
      <c r="I6396" s="8" t="s">
        <v>19229</v>
      </c>
      <c r="J6396" s="8" t="s">
        <v>19230</v>
      </c>
    </row>
    <row r="6397">
      <c r="A6397" s="7">
        <v>2.0068698E7</v>
      </c>
      <c r="B6397" s="8" t="s">
        <v>5417</v>
      </c>
      <c r="C6397" s="8" t="s">
        <v>19231</v>
      </c>
      <c r="D6397" s="8" t="s">
        <v>2136</v>
      </c>
      <c r="E6397" s="8" t="s">
        <v>17</v>
      </c>
      <c r="F6397" s="9">
        <v>46176.0</v>
      </c>
      <c r="G6397" s="8" t="s">
        <v>234</v>
      </c>
      <c r="H6397" s="8" t="s">
        <v>235</v>
      </c>
      <c r="I6397" s="8" t="s">
        <v>19232</v>
      </c>
      <c r="J6397" s="8" t="s">
        <v>19233</v>
      </c>
    </row>
    <row r="6398">
      <c r="A6398" s="7">
        <v>2.0060565E7</v>
      </c>
      <c r="B6398" s="8" t="s">
        <v>5417</v>
      </c>
      <c r="C6398" s="8" t="s">
        <v>19234</v>
      </c>
      <c r="D6398" s="8" t="s">
        <v>2136</v>
      </c>
      <c r="E6398" s="8" t="s">
        <v>17</v>
      </c>
      <c r="F6398" s="9">
        <v>46145.0</v>
      </c>
      <c r="G6398" s="8" t="s">
        <v>339</v>
      </c>
      <c r="H6398" s="8" t="s">
        <v>340</v>
      </c>
      <c r="I6398" s="8" t="s">
        <v>19235</v>
      </c>
      <c r="J6398" s="8" t="s">
        <v>19236</v>
      </c>
    </row>
    <row r="6399">
      <c r="A6399" s="7">
        <v>2.0059658E7</v>
      </c>
      <c r="B6399" s="8" t="s">
        <v>5417</v>
      </c>
      <c r="C6399" s="8" t="s">
        <v>19237</v>
      </c>
      <c r="D6399" s="8" t="s">
        <v>16</v>
      </c>
      <c r="E6399" s="8" t="s">
        <v>17</v>
      </c>
      <c r="F6399" s="9">
        <v>46141.0</v>
      </c>
      <c r="G6399" s="8" t="s">
        <v>59</v>
      </c>
      <c r="H6399" s="8" t="s">
        <v>60</v>
      </c>
      <c r="I6399" s="8" t="s">
        <v>19238</v>
      </c>
      <c r="J6399" s="8" t="s">
        <v>19239</v>
      </c>
    </row>
    <row r="6400">
      <c r="A6400" s="7">
        <v>2.0057972E7</v>
      </c>
      <c r="B6400" s="8" t="s">
        <v>5417</v>
      </c>
      <c r="C6400" s="8" t="s">
        <v>19240</v>
      </c>
      <c r="D6400" s="8" t="s">
        <v>16</v>
      </c>
      <c r="E6400" s="8" t="s">
        <v>17</v>
      </c>
      <c r="F6400" s="9">
        <v>46137.0</v>
      </c>
      <c r="G6400" s="8" t="s">
        <v>1132</v>
      </c>
      <c r="H6400" s="8" t="s">
        <v>1133</v>
      </c>
      <c r="I6400" s="8" t="s">
        <v>19241</v>
      </c>
      <c r="J6400" s="8" t="s">
        <v>19242</v>
      </c>
    </row>
    <row r="6401">
      <c r="A6401" s="7">
        <v>2.0057862E7</v>
      </c>
      <c r="B6401" s="8" t="s">
        <v>5417</v>
      </c>
      <c r="C6401" s="8" t="s">
        <v>19243</v>
      </c>
      <c r="D6401" s="8" t="s">
        <v>16</v>
      </c>
      <c r="E6401" s="8" t="s">
        <v>17</v>
      </c>
      <c r="F6401" s="9">
        <v>46136.0</v>
      </c>
      <c r="G6401" s="8" t="s">
        <v>8642</v>
      </c>
      <c r="H6401" s="8" t="s">
        <v>8643</v>
      </c>
      <c r="I6401" s="8" t="s">
        <v>19244</v>
      </c>
      <c r="J6401" s="8" t="s">
        <v>19245</v>
      </c>
    </row>
    <row r="6402">
      <c r="A6402" s="7">
        <v>2.0054875E7</v>
      </c>
      <c r="B6402" s="8" t="s">
        <v>5417</v>
      </c>
      <c r="C6402" s="8" t="s">
        <v>19246</v>
      </c>
      <c r="D6402" s="8" t="s">
        <v>16</v>
      </c>
      <c r="E6402" s="8" t="s">
        <v>17</v>
      </c>
      <c r="F6402" s="9">
        <v>46135.0</v>
      </c>
      <c r="G6402" s="8" t="s">
        <v>410</v>
      </c>
      <c r="H6402" s="8" t="s">
        <v>411</v>
      </c>
      <c r="I6402" s="8" t="s">
        <v>19247</v>
      </c>
      <c r="J6402" s="8" t="s">
        <v>19248</v>
      </c>
    </row>
    <row r="6403">
      <c r="A6403" s="7">
        <v>2.0041587E7</v>
      </c>
      <c r="B6403" s="8" t="s">
        <v>5417</v>
      </c>
      <c r="C6403" s="8" t="s">
        <v>19249</v>
      </c>
      <c r="D6403" s="8" t="s">
        <v>16</v>
      </c>
      <c r="E6403" s="8" t="s">
        <v>17</v>
      </c>
      <c r="F6403" s="9">
        <v>46075.0</v>
      </c>
      <c r="G6403" s="8" t="s">
        <v>826</v>
      </c>
      <c r="H6403" s="8" t="s">
        <v>827</v>
      </c>
      <c r="I6403" s="8" t="s">
        <v>19250</v>
      </c>
      <c r="J6403" s="8" t="s">
        <v>19251</v>
      </c>
    </row>
    <row r="6404">
      <c r="A6404" s="7">
        <v>2.0034494E7</v>
      </c>
      <c r="B6404" s="8" t="s">
        <v>5417</v>
      </c>
      <c r="C6404" s="8" t="s">
        <v>19252</v>
      </c>
      <c r="D6404" s="8" t="s">
        <v>16</v>
      </c>
      <c r="E6404" s="8" t="s">
        <v>17</v>
      </c>
      <c r="F6404" s="9">
        <v>46057.0</v>
      </c>
      <c r="G6404" s="8" t="s">
        <v>242</v>
      </c>
      <c r="H6404" s="8" t="s">
        <v>243</v>
      </c>
      <c r="I6404" s="8" t="s">
        <v>19253</v>
      </c>
      <c r="J6404" s="8" t="s">
        <v>19254</v>
      </c>
    </row>
    <row r="6405">
      <c r="A6405" s="7">
        <v>2.0051178E7</v>
      </c>
      <c r="B6405" s="8" t="s">
        <v>5417</v>
      </c>
      <c r="C6405" s="8" t="s">
        <v>19255</v>
      </c>
      <c r="D6405" s="8" t="s">
        <v>16</v>
      </c>
      <c r="E6405" s="8" t="s">
        <v>17</v>
      </c>
      <c r="F6405" s="9">
        <v>46139.0</v>
      </c>
      <c r="G6405" s="8" t="s">
        <v>158</v>
      </c>
      <c r="H6405" s="8" t="s">
        <v>159</v>
      </c>
      <c r="I6405" s="8" t="s">
        <v>19256</v>
      </c>
      <c r="J6405" s="8" t="s">
        <v>19257</v>
      </c>
    </row>
    <row r="6406">
      <c r="A6406" s="7">
        <v>2.0051022E7</v>
      </c>
      <c r="B6406" s="8" t="s">
        <v>5417</v>
      </c>
      <c r="C6406" s="8" t="s">
        <v>19258</v>
      </c>
      <c r="D6406" s="8" t="s">
        <v>16</v>
      </c>
      <c r="E6406" s="8" t="s">
        <v>17</v>
      </c>
      <c r="F6406" s="9">
        <v>46101.0</v>
      </c>
      <c r="G6406" s="8" t="s">
        <v>339</v>
      </c>
      <c r="H6406" s="8" t="s">
        <v>340</v>
      </c>
      <c r="I6406" s="8" t="s">
        <v>19259</v>
      </c>
      <c r="J6406" s="8" t="s">
        <v>19260</v>
      </c>
    </row>
    <row r="6407">
      <c r="A6407" s="7">
        <v>2.0035854E7</v>
      </c>
      <c r="B6407" s="8" t="s">
        <v>5417</v>
      </c>
      <c r="C6407" s="8" t="s">
        <v>19261</v>
      </c>
      <c r="D6407" s="8" t="s">
        <v>16</v>
      </c>
      <c r="E6407" s="8" t="s">
        <v>17</v>
      </c>
      <c r="F6407" s="9">
        <v>46061.0</v>
      </c>
      <c r="G6407" s="8" t="s">
        <v>2331</v>
      </c>
      <c r="H6407" s="8" t="s">
        <v>2332</v>
      </c>
      <c r="I6407" s="8" t="s">
        <v>19262</v>
      </c>
      <c r="J6407" s="8" t="s">
        <v>19263</v>
      </c>
    </row>
    <row r="6408">
      <c r="A6408" s="7">
        <v>2.0057463E7</v>
      </c>
      <c r="B6408" s="8" t="s">
        <v>5417</v>
      </c>
      <c r="C6408" s="8" t="s">
        <v>19264</v>
      </c>
      <c r="D6408" s="8" t="s">
        <v>16</v>
      </c>
      <c r="E6408" s="8" t="s">
        <v>48</v>
      </c>
      <c r="F6408" s="9">
        <v>46136.0</v>
      </c>
      <c r="G6408" s="8" t="s">
        <v>234</v>
      </c>
      <c r="H6408" s="8" t="s">
        <v>235</v>
      </c>
      <c r="I6408" s="8" t="s">
        <v>19265</v>
      </c>
      <c r="J6408" s="8" t="s">
        <v>19266</v>
      </c>
    </row>
    <row r="6409">
      <c r="A6409" s="7">
        <v>2.0049089E7</v>
      </c>
      <c r="B6409" s="8" t="s">
        <v>5417</v>
      </c>
      <c r="C6409" s="8" t="s">
        <v>19267</v>
      </c>
      <c r="D6409" s="8" t="s">
        <v>16</v>
      </c>
      <c r="E6409" s="8" t="s">
        <v>17</v>
      </c>
      <c r="F6409" s="9">
        <v>46107.0</v>
      </c>
      <c r="G6409" s="8" t="s">
        <v>5723</v>
      </c>
      <c r="H6409" s="8" t="s">
        <v>909</v>
      </c>
      <c r="I6409" s="8" t="s">
        <v>19268</v>
      </c>
      <c r="J6409" s="8" t="s">
        <v>19269</v>
      </c>
    </row>
    <row r="6410">
      <c r="A6410" s="7">
        <v>2.0047443E7</v>
      </c>
      <c r="B6410" s="8" t="s">
        <v>5417</v>
      </c>
      <c r="C6410" s="8" t="s">
        <v>19270</v>
      </c>
      <c r="D6410" s="8" t="s">
        <v>16</v>
      </c>
      <c r="E6410" s="8" t="s">
        <v>17</v>
      </c>
      <c r="F6410" s="9">
        <v>46108.0</v>
      </c>
      <c r="G6410" s="8" t="s">
        <v>1911</v>
      </c>
      <c r="H6410" s="8" t="s">
        <v>1912</v>
      </c>
      <c r="I6410" s="8" t="s">
        <v>19271</v>
      </c>
      <c r="J6410" s="8" t="s">
        <v>19272</v>
      </c>
    </row>
    <row r="6411">
      <c r="A6411" s="7">
        <v>2.0047344E7</v>
      </c>
      <c r="B6411" s="8" t="s">
        <v>5417</v>
      </c>
      <c r="C6411" s="8" t="s">
        <v>19273</v>
      </c>
      <c r="D6411" s="8" t="s">
        <v>16</v>
      </c>
      <c r="E6411" s="8" t="s">
        <v>17</v>
      </c>
      <c r="F6411" s="9">
        <v>46098.0</v>
      </c>
      <c r="G6411" s="8" t="s">
        <v>1557</v>
      </c>
      <c r="H6411" s="8" t="s">
        <v>1558</v>
      </c>
      <c r="I6411" s="8" t="s">
        <v>19274</v>
      </c>
      <c r="J6411" s="8" t="s">
        <v>19275</v>
      </c>
    </row>
    <row r="6412">
      <c r="A6412" s="7">
        <v>2.0040983E7</v>
      </c>
      <c r="B6412" s="8" t="s">
        <v>5417</v>
      </c>
      <c r="C6412" s="8" t="s">
        <v>19276</v>
      </c>
      <c r="D6412" s="8" t="s">
        <v>16</v>
      </c>
      <c r="E6412" s="8" t="s">
        <v>17</v>
      </c>
      <c r="F6412" s="9">
        <v>46072.0</v>
      </c>
      <c r="G6412" s="8" t="s">
        <v>339</v>
      </c>
      <c r="H6412" s="8" t="s">
        <v>340</v>
      </c>
      <c r="I6412" s="8" t="s">
        <v>19277</v>
      </c>
      <c r="J6412" s="8" t="s">
        <v>19278</v>
      </c>
    </row>
    <row r="6413">
      <c r="A6413" s="7">
        <v>2.0041287E7</v>
      </c>
      <c r="B6413" s="8" t="s">
        <v>5417</v>
      </c>
      <c r="C6413" s="8" t="s">
        <v>19279</v>
      </c>
      <c r="D6413" s="8" t="s">
        <v>16</v>
      </c>
      <c r="E6413" s="8" t="s">
        <v>17</v>
      </c>
      <c r="F6413" s="9">
        <v>46066.0</v>
      </c>
      <c r="G6413" s="8" t="s">
        <v>2511</v>
      </c>
      <c r="H6413" s="8" t="s">
        <v>2512</v>
      </c>
      <c r="I6413" s="8" t="s">
        <v>19280</v>
      </c>
      <c r="J6413" s="8" t="s">
        <v>19281</v>
      </c>
    </row>
    <row r="6414">
      <c r="A6414" s="7">
        <v>2.0041287E7</v>
      </c>
      <c r="B6414" s="8" t="s">
        <v>5417</v>
      </c>
      <c r="C6414" s="8" t="s">
        <v>19279</v>
      </c>
      <c r="D6414" s="8" t="s">
        <v>16</v>
      </c>
      <c r="E6414" s="8" t="s">
        <v>17</v>
      </c>
      <c r="F6414" s="9">
        <v>46066.0</v>
      </c>
      <c r="G6414" s="8" t="s">
        <v>4850</v>
      </c>
      <c r="H6414" s="8" t="s">
        <v>4851</v>
      </c>
      <c r="I6414" s="8" t="s">
        <v>19282</v>
      </c>
      <c r="J6414" s="8" t="s">
        <v>19283</v>
      </c>
    </row>
    <row r="6415">
      <c r="A6415" s="7">
        <v>2.0037618E7</v>
      </c>
      <c r="B6415" s="8" t="s">
        <v>5417</v>
      </c>
      <c r="C6415" s="8" t="s">
        <v>19284</v>
      </c>
      <c r="D6415" s="8" t="s">
        <v>16</v>
      </c>
      <c r="E6415" s="8" t="s">
        <v>17</v>
      </c>
      <c r="F6415" s="9">
        <v>46053.0</v>
      </c>
      <c r="G6415" s="8" t="s">
        <v>385</v>
      </c>
      <c r="H6415" s="8" t="s">
        <v>386</v>
      </c>
      <c r="I6415" s="8" t="s">
        <v>19285</v>
      </c>
      <c r="J6415" s="8" t="s">
        <v>19286</v>
      </c>
    </row>
    <row r="6416">
      <c r="A6416" s="7">
        <v>2.0037618E7</v>
      </c>
      <c r="B6416" s="8" t="s">
        <v>5417</v>
      </c>
      <c r="C6416" s="8" t="s">
        <v>19284</v>
      </c>
      <c r="D6416" s="8" t="s">
        <v>16</v>
      </c>
      <c r="E6416" s="8" t="s">
        <v>17</v>
      </c>
      <c r="F6416" s="9">
        <v>46053.0</v>
      </c>
      <c r="G6416" s="8" t="s">
        <v>504</v>
      </c>
      <c r="H6416" s="8" t="s">
        <v>505</v>
      </c>
      <c r="I6416" s="8" t="s">
        <v>19287</v>
      </c>
      <c r="J6416" s="8" t="s">
        <v>19288</v>
      </c>
    </row>
    <row r="6417">
      <c r="A6417" s="7">
        <v>2.0034499E7</v>
      </c>
      <c r="B6417" s="8" t="s">
        <v>5417</v>
      </c>
      <c r="C6417" s="8" t="s">
        <v>19289</v>
      </c>
      <c r="D6417" s="8" t="s">
        <v>16</v>
      </c>
      <c r="E6417" s="8" t="s">
        <v>17</v>
      </c>
      <c r="F6417" s="9">
        <v>46044.0</v>
      </c>
      <c r="G6417" s="8" t="s">
        <v>59</v>
      </c>
      <c r="H6417" s="8" t="s">
        <v>60</v>
      </c>
      <c r="I6417" s="8" t="s">
        <v>19290</v>
      </c>
      <c r="J6417" s="8" t="s">
        <v>19291</v>
      </c>
    </row>
    <row r="6418">
      <c r="A6418" s="7">
        <v>2.0033781E7</v>
      </c>
      <c r="B6418" s="8" t="s">
        <v>5417</v>
      </c>
      <c r="C6418" s="8" t="s">
        <v>19292</v>
      </c>
      <c r="D6418" s="8" t="s">
        <v>16</v>
      </c>
      <c r="E6418" s="8" t="s">
        <v>17</v>
      </c>
      <c r="F6418" s="9">
        <v>46046.0</v>
      </c>
      <c r="G6418" s="8" t="s">
        <v>1045</v>
      </c>
      <c r="H6418" s="8" t="s">
        <v>909</v>
      </c>
      <c r="I6418" s="8" t="s">
        <v>19293</v>
      </c>
      <c r="J6418" s="8" t="s">
        <v>19294</v>
      </c>
    </row>
    <row r="6419">
      <c r="A6419" s="7">
        <v>2.0067614E7</v>
      </c>
      <c r="B6419" s="8" t="s">
        <v>5417</v>
      </c>
      <c r="C6419" s="8" t="s">
        <v>19295</v>
      </c>
      <c r="D6419" s="8" t="s">
        <v>2136</v>
      </c>
      <c r="E6419" s="8" t="s">
        <v>17</v>
      </c>
      <c r="F6419" s="9">
        <v>46171.0</v>
      </c>
      <c r="G6419" s="8" t="s">
        <v>868</v>
      </c>
      <c r="H6419" s="8" t="s">
        <v>869</v>
      </c>
      <c r="I6419" s="8" t="s">
        <v>19296</v>
      </c>
      <c r="J6419" s="8" t="s">
        <v>19297</v>
      </c>
    </row>
    <row r="6420">
      <c r="A6420" s="7">
        <v>2.0062154E7</v>
      </c>
      <c r="B6420" s="8" t="s">
        <v>5417</v>
      </c>
      <c r="C6420" s="8" t="s">
        <v>19298</v>
      </c>
      <c r="D6420" s="8" t="s">
        <v>2136</v>
      </c>
      <c r="E6420" s="8" t="s">
        <v>17</v>
      </c>
      <c r="F6420" s="9">
        <v>46149.0</v>
      </c>
      <c r="G6420" s="8" t="s">
        <v>195</v>
      </c>
      <c r="H6420" s="8" t="s">
        <v>196</v>
      </c>
      <c r="I6420" s="8" t="s">
        <v>19299</v>
      </c>
      <c r="J6420" s="8" t="s">
        <v>19300</v>
      </c>
    </row>
    <row r="6421">
      <c r="A6421" s="7">
        <v>2.0051069E7</v>
      </c>
      <c r="B6421" s="8" t="s">
        <v>5417</v>
      </c>
      <c r="C6421" s="8" t="s">
        <v>19301</v>
      </c>
      <c r="D6421" s="8" t="s">
        <v>16</v>
      </c>
      <c r="E6421" s="8" t="s">
        <v>17</v>
      </c>
      <c r="F6421" s="9">
        <v>46119.0</v>
      </c>
      <c r="G6421" s="8" t="s">
        <v>64</v>
      </c>
      <c r="H6421" s="8" t="s">
        <v>65</v>
      </c>
      <c r="I6421" s="8" t="s">
        <v>19302</v>
      </c>
      <c r="J6421" s="8" t="s">
        <v>19303</v>
      </c>
    </row>
    <row r="6422">
      <c r="A6422" s="7">
        <v>2.0048944E7</v>
      </c>
      <c r="B6422" s="8" t="s">
        <v>5417</v>
      </c>
      <c r="C6422" s="8" t="s">
        <v>19304</v>
      </c>
      <c r="D6422" s="8" t="s">
        <v>16</v>
      </c>
      <c r="E6422" s="8" t="s">
        <v>17</v>
      </c>
      <c r="F6422" s="9">
        <v>46093.0</v>
      </c>
      <c r="G6422" s="8" t="s">
        <v>59</v>
      </c>
      <c r="H6422" s="8" t="s">
        <v>60</v>
      </c>
      <c r="I6422" s="8" t="s">
        <v>19305</v>
      </c>
      <c r="J6422" s="8" t="s">
        <v>19306</v>
      </c>
    </row>
    <row r="6423">
      <c r="A6423" s="7">
        <v>2.0042911E7</v>
      </c>
      <c r="B6423" s="8" t="s">
        <v>5417</v>
      </c>
      <c r="C6423" s="8" t="s">
        <v>19307</v>
      </c>
      <c r="D6423" s="8" t="s">
        <v>16</v>
      </c>
      <c r="E6423" s="8" t="s">
        <v>17</v>
      </c>
      <c r="F6423" s="9">
        <v>46071.0</v>
      </c>
      <c r="G6423" s="8" t="s">
        <v>846</v>
      </c>
      <c r="H6423" s="8" t="s">
        <v>847</v>
      </c>
      <c r="I6423" s="8" t="s">
        <v>19308</v>
      </c>
      <c r="J6423" s="8" t="s">
        <v>19309</v>
      </c>
    </row>
    <row r="6424">
      <c r="A6424" s="7">
        <v>2.0039979E7</v>
      </c>
      <c r="B6424" s="8" t="s">
        <v>5417</v>
      </c>
      <c r="C6424" s="8" t="s">
        <v>19310</v>
      </c>
      <c r="D6424" s="8" t="s">
        <v>16</v>
      </c>
      <c r="E6424" s="8" t="s">
        <v>17</v>
      </c>
      <c r="F6424" s="9">
        <v>46073.0</v>
      </c>
      <c r="G6424" s="8" t="s">
        <v>613</v>
      </c>
      <c r="H6424" s="8" t="s">
        <v>614</v>
      </c>
      <c r="I6424" s="8" t="s">
        <v>19311</v>
      </c>
      <c r="J6424" s="8" t="s">
        <v>19312</v>
      </c>
    </row>
    <row r="6425">
      <c r="A6425" s="7">
        <v>2.003891E7</v>
      </c>
      <c r="B6425" s="8" t="s">
        <v>5417</v>
      </c>
      <c r="C6425" s="8" t="s">
        <v>19313</v>
      </c>
      <c r="D6425" s="8" t="s">
        <v>16</v>
      </c>
      <c r="E6425" s="8" t="s">
        <v>17</v>
      </c>
      <c r="F6425" s="9">
        <v>46074.0</v>
      </c>
      <c r="G6425" s="8" t="s">
        <v>3607</v>
      </c>
      <c r="H6425" s="8" t="s">
        <v>3608</v>
      </c>
      <c r="I6425" s="8" t="s">
        <v>19314</v>
      </c>
      <c r="J6425" s="8" t="s">
        <v>19315</v>
      </c>
    </row>
    <row r="6426">
      <c r="A6426" s="7">
        <v>2.003271E7</v>
      </c>
      <c r="B6426" s="8" t="s">
        <v>5417</v>
      </c>
      <c r="C6426" s="8" t="s">
        <v>19316</v>
      </c>
      <c r="D6426" s="8" t="s">
        <v>16</v>
      </c>
      <c r="E6426" s="8" t="s">
        <v>17</v>
      </c>
      <c r="F6426" s="9">
        <v>46042.0</v>
      </c>
      <c r="G6426" s="8" t="s">
        <v>1880</v>
      </c>
      <c r="H6426" s="8" t="s">
        <v>55</v>
      </c>
      <c r="I6426" s="8" t="s">
        <v>19317</v>
      </c>
      <c r="J6426" s="8" t="s">
        <v>19318</v>
      </c>
    </row>
    <row r="6427">
      <c r="A6427" s="7">
        <v>2.0052323E7</v>
      </c>
      <c r="B6427" s="8" t="s">
        <v>5417</v>
      </c>
      <c r="C6427" s="8" t="s">
        <v>19319</v>
      </c>
      <c r="D6427" s="8" t="s">
        <v>16</v>
      </c>
      <c r="E6427" s="8" t="s">
        <v>17</v>
      </c>
      <c r="F6427" s="9">
        <v>46107.0</v>
      </c>
      <c r="G6427" s="8" t="s">
        <v>59</v>
      </c>
      <c r="H6427" s="8" t="s">
        <v>60</v>
      </c>
      <c r="I6427" s="8" t="s">
        <v>19320</v>
      </c>
      <c r="J6427" s="8" t="s">
        <v>19321</v>
      </c>
    </row>
    <row r="6428">
      <c r="A6428" s="7">
        <v>2.0039167E7</v>
      </c>
      <c r="B6428" s="8" t="s">
        <v>5417</v>
      </c>
      <c r="C6428" s="8" t="s">
        <v>19322</v>
      </c>
      <c r="D6428" s="8" t="s">
        <v>16</v>
      </c>
      <c r="E6428" s="8" t="s">
        <v>17</v>
      </c>
      <c r="F6428" s="9">
        <v>46058.0</v>
      </c>
      <c r="G6428" s="8" t="s">
        <v>282</v>
      </c>
      <c r="H6428" s="8" t="s">
        <v>71</v>
      </c>
      <c r="I6428" s="8" t="s">
        <v>19323</v>
      </c>
      <c r="J6428" s="8" t="s">
        <v>19324</v>
      </c>
    </row>
    <row r="6429">
      <c r="A6429" s="7">
        <v>2.0046038E7</v>
      </c>
      <c r="B6429" s="8" t="s">
        <v>5417</v>
      </c>
      <c r="C6429" s="8" t="s">
        <v>19325</v>
      </c>
      <c r="D6429" s="8" t="s">
        <v>16</v>
      </c>
      <c r="E6429" s="8" t="s">
        <v>17</v>
      </c>
      <c r="F6429" s="9">
        <v>46143.0</v>
      </c>
      <c r="G6429" s="8" t="s">
        <v>994</v>
      </c>
      <c r="H6429" s="8" t="s">
        <v>995</v>
      </c>
      <c r="I6429" s="8" t="s">
        <v>19326</v>
      </c>
      <c r="J6429" s="8" t="s">
        <v>19327</v>
      </c>
    </row>
    <row r="6430">
      <c r="A6430" s="7">
        <v>2.0045734E7</v>
      </c>
      <c r="B6430" s="8" t="s">
        <v>5417</v>
      </c>
      <c r="C6430" s="8" t="s">
        <v>19328</v>
      </c>
      <c r="D6430" s="8" t="s">
        <v>16</v>
      </c>
      <c r="E6430" s="8" t="s">
        <v>17</v>
      </c>
      <c r="F6430" s="9">
        <v>46080.0</v>
      </c>
      <c r="G6430" s="8" t="s">
        <v>59</v>
      </c>
      <c r="H6430" s="8" t="s">
        <v>60</v>
      </c>
      <c r="I6430" s="8" t="s">
        <v>19329</v>
      </c>
      <c r="J6430" s="8" t="s">
        <v>19330</v>
      </c>
    </row>
    <row r="6431">
      <c r="A6431" s="7">
        <v>2.0039506E7</v>
      </c>
      <c r="B6431" s="8" t="s">
        <v>5417</v>
      </c>
      <c r="C6431" s="8" t="s">
        <v>19331</v>
      </c>
      <c r="D6431" s="8" t="s">
        <v>16</v>
      </c>
      <c r="E6431" s="8" t="s">
        <v>17</v>
      </c>
      <c r="F6431" s="9">
        <v>46067.0</v>
      </c>
      <c r="G6431" s="8" t="s">
        <v>13113</v>
      </c>
      <c r="H6431" s="8" t="s">
        <v>3410</v>
      </c>
      <c r="I6431" s="8" t="s">
        <v>19332</v>
      </c>
      <c r="J6431" s="8" t="s">
        <v>19333</v>
      </c>
    </row>
    <row r="6432">
      <c r="A6432" s="7">
        <v>2.0057149E7</v>
      </c>
      <c r="B6432" s="8" t="s">
        <v>5417</v>
      </c>
      <c r="C6432" s="8" t="s">
        <v>19334</v>
      </c>
      <c r="D6432" s="8" t="s">
        <v>16</v>
      </c>
      <c r="E6432" s="8" t="s">
        <v>17</v>
      </c>
      <c r="F6432" s="9">
        <v>46129.0</v>
      </c>
      <c r="G6432" s="8" t="s">
        <v>3012</v>
      </c>
      <c r="H6432" s="8" t="s">
        <v>3013</v>
      </c>
      <c r="I6432" s="8" t="s">
        <v>19335</v>
      </c>
      <c r="J6432" s="8" t="s">
        <v>19336</v>
      </c>
    </row>
    <row r="6433">
      <c r="A6433" s="7">
        <v>2.005467E7</v>
      </c>
      <c r="B6433" s="8" t="s">
        <v>5417</v>
      </c>
      <c r="C6433" s="8" t="s">
        <v>19337</v>
      </c>
      <c r="D6433" s="8" t="s">
        <v>16</v>
      </c>
      <c r="E6433" s="8" t="s">
        <v>17</v>
      </c>
      <c r="F6433" s="9">
        <v>46134.0</v>
      </c>
      <c r="G6433" s="8" t="s">
        <v>59</v>
      </c>
      <c r="H6433" s="8" t="s">
        <v>60</v>
      </c>
      <c r="I6433" s="8" t="s">
        <v>19338</v>
      </c>
      <c r="J6433" s="8" t="s">
        <v>19339</v>
      </c>
    </row>
    <row r="6434">
      <c r="A6434" s="7">
        <v>2.0068607E7</v>
      </c>
      <c r="B6434" s="8" t="s">
        <v>5417</v>
      </c>
      <c r="C6434" s="8" t="s">
        <v>19340</v>
      </c>
      <c r="D6434" s="8" t="s">
        <v>16</v>
      </c>
      <c r="E6434" s="8" t="s">
        <v>17</v>
      </c>
      <c r="F6434" s="9">
        <v>46176.0</v>
      </c>
      <c r="G6434" s="8" t="s">
        <v>385</v>
      </c>
      <c r="H6434" s="8" t="s">
        <v>386</v>
      </c>
      <c r="I6434" s="8" t="s">
        <v>19341</v>
      </c>
      <c r="J6434" s="8" t="s">
        <v>19342</v>
      </c>
    </row>
    <row r="6435">
      <c r="A6435" s="7">
        <v>2.0034E7</v>
      </c>
      <c r="B6435" s="8" t="s">
        <v>5417</v>
      </c>
      <c r="C6435" s="8" t="s">
        <v>19343</v>
      </c>
      <c r="D6435" s="8" t="s">
        <v>16</v>
      </c>
      <c r="E6435" s="8" t="s">
        <v>17</v>
      </c>
      <c r="F6435" s="9">
        <v>46049.0</v>
      </c>
      <c r="G6435" s="8" t="s">
        <v>1813</v>
      </c>
      <c r="H6435" s="8" t="s">
        <v>1814</v>
      </c>
      <c r="I6435" s="8" t="s">
        <v>19344</v>
      </c>
      <c r="J6435" s="8" t="s">
        <v>19345</v>
      </c>
    </row>
    <row r="6436">
      <c r="A6436" s="7">
        <v>2.0063983E7</v>
      </c>
      <c r="B6436" s="8" t="s">
        <v>5417</v>
      </c>
      <c r="C6436" s="8" t="s">
        <v>19346</v>
      </c>
      <c r="D6436" s="8" t="s">
        <v>2136</v>
      </c>
      <c r="E6436" s="8" t="s">
        <v>17</v>
      </c>
      <c r="F6436" s="9">
        <v>46159.0</v>
      </c>
      <c r="G6436" s="8" t="s">
        <v>247</v>
      </c>
      <c r="H6436" s="8" t="s">
        <v>248</v>
      </c>
      <c r="I6436" s="8" t="s">
        <v>19347</v>
      </c>
      <c r="J6436" s="8" t="s">
        <v>19348</v>
      </c>
    </row>
    <row r="6437">
      <c r="A6437" s="7">
        <v>2.0055658E7</v>
      </c>
      <c r="B6437" s="8" t="s">
        <v>5417</v>
      </c>
      <c r="C6437" s="8" t="s">
        <v>19349</v>
      </c>
      <c r="D6437" s="8" t="s">
        <v>16</v>
      </c>
      <c r="E6437" s="8" t="s">
        <v>17</v>
      </c>
      <c r="F6437" s="9">
        <v>46136.0</v>
      </c>
      <c r="G6437" s="8" t="s">
        <v>454</v>
      </c>
      <c r="H6437" s="8" t="s">
        <v>455</v>
      </c>
      <c r="I6437" s="8" t="s">
        <v>19350</v>
      </c>
      <c r="J6437" s="8" t="s">
        <v>19351</v>
      </c>
    </row>
    <row r="6438">
      <c r="A6438" s="7">
        <v>2.0054056E7</v>
      </c>
      <c r="B6438" s="8" t="s">
        <v>5417</v>
      </c>
      <c r="C6438" s="8" t="s">
        <v>19352</v>
      </c>
      <c r="D6438" s="8" t="s">
        <v>16</v>
      </c>
      <c r="E6438" s="8" t="s">
        <v>17</v>
      </c>
      <c r="F6438" s="9">
        <v>46127.0</v>
      </c>
      <c r="G6438" s="8" t="s">
        <v>34</v>
      </c>
      <c r="H6438" s="8" t="s">
        <v>35</v>
      </c>
      <c r="I6438" s="8" t="s">
        <v>19353</v>
      </c>
      <c r="J6438" s="8" t="s">
        <v>19354</v>
      </c>
    </row>
    <row r="6439">
      <c r="A6439" s="7">
        <v>2.0054056E7</v>
      </c>
      <c r="B6439" s="8" t="s">
        <v>5417</v>
      </c>
      <c r="C6439" s="8" t="s">
        <v>19352</v>
      </c>
      <c r="D6439" s="8" t="s">
        <v>16</v>
      </c>
      <c r="E6439" s="8" t="s">
        <v>17</v>
      </c>
      <c r="F6439" s="9">
        <v>46127.0</v>
      </c>
      <c r="G6439" s="8" t="s">
        <v>13468</v>
      </c>
      <c r="H6439" s="8" t="s">
        <v>13469</v>
      </c>
      <c r="I6439" s="8" t="s">
        <v>19355</v>
      </c>
      <c r="J6439" s="8" t="s">
        <v>19356</v>
      </c>
    </row>
    <row r="6440">
      <c r="A6440" s="7">
        <v>2.0039825E7</v>
      </c>
      <c r="B6440" s="8" t="s">
        <v>5417</v>
      </c>
      <c r="C6440" s="8" t="s">
        <v>19357</v>
      </c>
      <c r="D6440" s="8" t="s">
        <v>16</v>
      </c>
      <c r="E6440" s="8" t="s">
        <v>17</v>
      </c>
      <c r="F6440" s="9">
        <v>46065.0</v>
      </c>
      <c r="G6440" s="8" t="s">
        <v>1045</v>
      </c>
      <c r="H6440" s="8" t="s">
        <v>909</v>
      </c>
      <c r="I6440" s="8" t="s">
        <v>19358</v>
      </c>
      <c r="J6440" s="8" t="s">
        <v>19359</v>
      </c>
    </row>
    <row r="6441">
      <c r="A6441" s="7">
        <v>2.0035881E7</v>
      </c>
      <c r="B6441" s="8" t="s">
        <v>5417</v>
      </c>
      <c r="C6441" s="8" t="s">
        <v>19360</v>
      </c>
      <c r="D6441" s="8" t="s">
        <v>16</v>
      </c>
      <c r="E6441" s="8" t="s">
        <v>17</v>
      </c>
      <c r="F6441" s="9">
        <v>46057.0</v>
      </c>
      <c r="G6441" s="8" t="s">
        <v>2486</v>
      </c>
      <c r="H6441" s="8" t="s">
        <v>44</v>
      </c>
      <c r="I6441" s="8" t="s">
        <v>19361</v>
      </c>
      <c r="J6441" s="8" t="s">
        <v>19362</v>
      </c>
    </row>
    <row r="6442">
      <c r="A6442" s="7">
        <v>2.0071058E7</v>
      </c>
      <c r="B6442" s="8" t="s">
        <v>5417</v>
      </c>
      <c r="C6442" s="8" t="s">
        <v>19363</v>
      </c>
      <c r="D6442" s="8" t="s">
        <v>2136</v>
      </c>
      <c r="E6442" s="8" t="s">
        <v>17</v>
      </c>
      <c r="F6442" s="9">
        <v>46188.0</v>
      </c>
      <c r="G6442" s="8" t="s">
        <v>195</v>
      </c>
      <c r="H6442" s="8" t="s">
        <v>196</v>
      </c>
      <c r="I6442" s="8" t="s">
        <v>19364</v>
      </c>
      <c r="J6442" s="8" t="s">
        <v>19365</v>
      </c>
    </row>
    <row r="6443">
      <c r="A6443" s="7">
        <v>2.006871E7</v>
      </c>
      <c r="B6443" s="8" t="s">
        <v>5417</v>
      </c>
      <c r="C6443" s="8" t="s">
        <v>19366</v>
      </c>
      <c r="D6443" s="8" t="s">
        <v>16</v>
      </c>
      <c r="E6443" s="8" t="s">
        <v>17</v>
      </c>
      <c r="F6443" s="9">
        <v>46188.0</v>
      </c>
      <c r="G6443" s="8" t="s">
        <v>34</v>
      </c>
      <c r="H6443" s="8" t="s">
        <v>35</v>
      </c>
      <c r="I6443" s="8" t="s">
        <v>19367</v>
      </c>
      <c r="J6443" s="8" t="s">
        <v>19368</v>
      </c>
    </row>
    <row r="6444">
      <c r="A6444" s="7">
        <v>2.006871E7</v>
      </c>
      <c r="B6444" s="8" t="s">
        <v>5417</v>
      </c>
      <c r="C6444" s="8" t="s">
        <v>19366</v>
      </c>
      <c r="D6444" s="8" t="s">
        <v>16</v>
      </c>
      <c r="E6444" s="8" t="s">
        <v>17</v>
      </c>
      <c r="F6444" s="9">
        <v>46188.0</v>
      </c>
      <c r="G6444" s="8" t="s">
        <v>4850</v>
      </c>
      <c r="H6444" s="8" t="s">
        <v>4851</v>
      </c>
      <c r="I6444" s="8" t="s">
        <v>19369</v>
      </c>
      <c r="J6444" s="8" t="s">
        <v>19370</v>
      </c>
    </row>
    <row r="6445">
      <c r="A6445" s="7">
        <v>2.0060293E7</v>
      </c>
      <c r="B6445" s="8" t="s">
        <v>5417</v>
      </c>
      <c r="C6445" s="8" t="s">
        <v>19371</v>
      </c>
      <c r="D6445" s="8" t="s">
        <v>2136</v>
      </c>
      <c r="E6445" s="8" t="s">
        <v>17</v>
      </c>
      <c r="F6445" s="9">
        <v>46147.0</v>
      </c>
      <c r="G6445" s="8" t="s">
        <v>234</v>
      </c>
      <c r="H6445" s="8" t="s">
        <v>235</v>
      </c>
      <c r="I6445" s="8" t="s">
        <v>19372</v>
      </c>
      <c r="J6445" s="8" t="s">
        <v>19373</v>
      </c>
    </row>
    <row r="6446">
      <c r="A6446" s="7">
        <v>2.0052939E7</v>
      </c>
      <c r="B6446" s="8" t="s">
        <v>5417</v>
      </c>
      <c r="C6446" s="8" t="s">
        <v>19374</v>
      </c>
      <c r="D6446" s="8" t="s">
        <v>16</v>
      </c>
      <c r="E6446" s="8" t="s">
        <v>17</v>
      </c>
      <c r="F6446" s="9">
        <v>46119.0</v>
      </c>
      <c r="G6446" s="8" t="s">
        <v>1045</v>
      </c>
      <c r="H6446" s="8" t="s">
        <v>909</v>
      </c>
      <c r="I6446" s="8" t="s">
        <v>19375</v>
      </c>
      <c r="J6446" s="8" t="s">
        <v>19376</v>
      </c>
    </row>
    <row r="6447">
      <c r="A6447" s="7">
        <v>2.0049618E7</v>
      </c>
      <c r="B6447" s="8" t="s">
        <v>5417</v>
      </c>
      <c r="C6447" s="8" t="s">
        <v>19377</v>
      </c>
      <c r="D6447" s="8" t="s">
        <v>16</v>
      </c>
      <c r="E6447" s="8" t="s">
        <v>17</v>
      </c>
      <c r="F6447" s="9">
        <v>46112.0</v>
      </c>
      <c r="G6447" s="8" t="s">
        <v>64</v>
      </c>
      <c r="H6447" s="8" t="s">
        <v>65</v>
      </c>
      <c r="I6447" s="8" t="s">
        <v>19378</v>
      </c>
      <c r="J6447" s="8" t="s">
        <v>19379</v>
      </c>
    </row>
    <row r="6448">
      <c r="A6448" s="7">
        <v>2.0045032E7</v>
      </c>
      <c r="B6448" s="8" t="s">
        <v>5417</v>
      </c>
      <c r="C6448" s="8" t="s">
        <v>19380</v>
      </c>
      <c r="D6448" s="8" t="s">
        <v>16</v>
      </c>
      <c r="E6448" s="8" t="s">
        <v>17</v>
      </c>
      <c r="F6448" s="9">
        <v>46086.0</v>
      </c>
      <c r="G6448" s="8" t="s">
        <v>3585</v>
      </c>
      <c r="H6448" s="8" t="s">
        <v>3586</v>
      </c>
      <c r="I6448" s="8" t="s">
        <v>19381</v>
      </c>
      <c r="J6448" s="8" t="s">
        <v>19382</v>
      </c>
    </row>
    <row r="6449">
      <c r="A6449" s="7">
        <v>2.0045032E7</v>
      </c>
      <c r="B6449" s="8" t="s">
        <v>5417</v>
      </c>
      <c r="C6449" s="8" t="s">
        <v>19380</v>
      </c>
      <c r="D6449" s="8" t="s">
        <v>16</v>
      </c>
      <c r="E6449" s="8" t="s">
        <v>17</v>
      </c>
      <c r="F6449" s="9">
        <v>46086.0</v>
      </c>
      <c r="G6449" s="8" t="s">
        <v>418</v>
      </c>
      <c r="H6449" s="8" t="s">
        <v>419</v>
      </c>
      <c r="I6449" s="8" t="s">
        <v>19383</v>
      </c>
      <c r="J6449" s="8" t="s">
        <v>19384</v>
      </c>
    </row>
    <row r="6450">
      <c r="A6450" s="7">
        <v>2.0045032E7</v>
      </c>
      <c r="B6450" s="8" t="s">
        <v>5417</v>
      </c>
      <c r="C6450" s="8" t="s">
        <v>19380</v>
      </c>
      <c r="D6450" s="8" t="s">
        <v>16</v>
      </c>
      <c r="E6450" s="8" t="s">
        <v>17</v>
      </c>
      <c r="F6450" s="9">
        <v>46086.0</v>
      </c>
      <c r="G6450" s="8" t="s">
        <v>1431</v>
      </c>
      <c r="H6450" s="8" t="s">
        <v>1432</v>
      </c>
      <c r="I6450" s="8" t="s">
        <v>19385</v>
      </c>
      <c r="J6450" s="8" t="s">
        <v>19386</v>
      </c>
    </row>
    <row r="6451">
      <c r="A6451" s="7">
        <v>2.0040727E7</v>
      </c>
      <c r="B6451" s="8" t="s">
        <v>5417</v>
      </c>
      <c r="C6451" s="8" t="s">
        <v>19387</v>
      </c>
      <c r="D6451" s="8" t="s">
        <v>16</v>
      </c>
      <c r="E6451" s="8" t="s">
        <v>17</v>
      </c>
      <c r="F6451" s="9">
        <v>46081.0</v>
      </c>
      <c r="G6451" s="8" t="s">
        <v>7894</v>
      </c>
      <c r="H6451" s="8" t="s">
        <v>7895</v>
      </c>
      <c r="I6451" s="8" t="s">
        <v>19388</v>
      </c>
      <c r="J6451" s="8" t="s">
        <v>19389</v>
      </c>
    </row>
    <row r="6452">
      <c r="A6452" s="7">
        <v>2.0036782E7</v>
      </c>
      <c r="B6452" s="8" t="s">
        <v>5417</v>
      </c>
      <c r="C6452" s="8" t="s">
        <v>19390</v>
      </c>
      <c r="D6452" s="8" t="s">
        <v>16</v>
      </c>
      <c r="E6452" s="8" t="s">
        <v>17</v>
      </c>
      <c r="F6452" s="9">
        <v>46059.0</v>
      </c>
      <c r="G6452" s="8" t="s">
        <v>19391</v>
      </c>
      <c r="H6452" s="8" t="s">
        <v>19392</v>
      </c>
      <c r="I6452" s="8" t="s">
        <v>19393</v>
      </c>
      <c r="J6452" s="8" t="s">
        <v>19394</v>
      </c>
    </row>
    <row r="6453">
      <c r="A6453" s="7">
        <v>2.00582E7</v>
      </c>
      <c r="B6453" s="8" t="s">
        <v>5417</v>
      </c>
      <c r="C6453" s="8" t="s">
        <v>19395</v>
      </c>
      <c r="D6453" s="8" t="s">
        <v>16</v>
      </c>
      <c r="E6453" s="8" t="s">
        <v>17</v>
      </c>
      <c r="F6453" s="9">
        <v>46134.0</v>
      </c>
      <c r="G6453" s="8" t="s">
        <v>234</v>
      </c>
      <c r="H6453" s="8" t="s">
        <v>235</v>
      </c>
      <c r="I6453" s="8" t="s">
        <v>19396</v>
      </c>
      <c r="J6453" s="8" t="s">
        <v>19397</v>
      </c>
    </row>
    <row r="6454">
      <c r="A6454" s="7">
        <v>2.0058204E7</v>
      </c>
      <c r="B6454" s="8" t="s">
        <v>5417</v>
      </c>
      <c r="C6454" s="8" t="s">
        <v>19398</v>
      </c>
      <c r="D6454" s="8" t="s">
        <v>16</v>
      </c>
      <c r="E6454" s="8" t="s">
        <v>17</v>
      </c>
      <c r="F6454" s="9">
        <v>46133.0</v>
      </c>
      <c r="G6454" s="8" t="s">
        <v>153</v>
      </c>
      <c r="H6454" s="8" t="s">
        <v>154</v>
      </c>
      <c r="I6454" s="8" t="s">
        <v>19399</v>
      </c>
      <c r="J6454" s="8" t="s">
        <v>19400</v>
      </c>
    </row>
    <row r="6455">
      <c r="A6455" s="7">
        <v>2.0050259E7</v>
      </c>
      <c r="B6455" s="8" t="s">
        <v>5417</v>
      </c>
      <c r="C6455" s="8" t="s">
        <v>19401</v>
      </c>
      <c r="D6455" s="8" t="s">
        <v>16</v>
      </c>
      <c r="E6455" s="8" t="s">
        <v>17</v>
      </c>
      <c r="F6455" s="9">
        <v>46106.0</v>
      </c>
      <c r="G6455" s="8" t="s">
        <v>800</v>
      </c>
      <c r="H6455" s="8" t="s">
        <v>801</v>
      </c>
      <c r="I6455" s="8" t="s">
        <v>19402</v>
      </c>
      <c r="J6455" s="8" t="s">
        <v>19403</v>
      </c>
    </row>
    <row r="6456">
      <c r="A6456" s="7">
        <v>2.0071209E7</v>
      </c>
      <c r="B6456" s="8" t="s">
        <v>5417</v>
      </c>
      <c r="C6456" s="8" t="s">
        <v>19404</v>
      </c>
      <c r="D6456" s="8" t="s">
        <v>2136</v>
      </c>
      <c r="E6456" s="8" t="s">
        <v>17</v>
      </c>
      <c r="F6456" s="9">
        <v>46192.0</v>
      </c>
      <c r="G6456" s="8" t="s">
        <v>339</v>
      </c>
      <c r="H6456" s="8" t="s">
        <v>340</v>
      </c>
      <c r="I6456" s="8" t="s">
        <v>19405</v>
      </c>
      <c r="J6456" s="8" t="s">
        <v>19406</v>
      </c>
    </row>
    <row r="6457">
      <c r="A6457" s="7">
        <v>2.0069035E7</v>
      </c>
      <c r="B6457" s="8" t="s">
        <v>5417</v>
      </c>
      <c r="C6457" s="8" t="s">
        <v>19407</v>
      </c>
      <c r="D6457" s="8" t="s">
        <v>16</v>
      </c>
      <c r="E6457" s="8" t="s">
        <v>17</v>
      </c>
      <c r="F6457" s="9">
        <v>46186.0</v>
      </c>
      <c r="G6457" s="8" t="s">
        <v>3270</v>
      </c>
      <c r="H6457" s="8" t="s">
        <v>14818</v>
      </c>
      <c r="I6457" s="8" t="s">
        <v>19408</v>
      </c>
      <c r="J6457" s="8"/>
    </row>
    <row r="6458">
      <c r="A6458" s="7">
        <v>2.0058758E7</v>
      </c>
      <c r="B6458" s="8" t="s">
        <v>5417</v>
      </c>
      <c r="C6458" s="8" t="s">
        <v>19409</v>
      </c>
      <c r="D6458" s="8" t="s">
        <v>16</v>
      </c>
      <c r="E6458" s="8" t="s">
        <v>17</v>
      </c>
      <c r="F6458" s="9">
        <v>46182.0</v>
      </c>
      <c r="G6458" s="8" t="s">
        <v>688</v>
      </c>
      <c r="H6458" s="8" t="s">
        <v>689</v>
      </c>
      <c r="I6458" s="8" t="s">
        <v>19410</v>
      </c>
      <c r="J6458" s="8" t="s">
        <v>19411</v>
      </c>
    </row>
    <row r="6459">
      <c r="A6459" s="7">
        <v>2.0048332E7</v>
      </c>
      <c r="B6459" s="8" t="s">
        <v>5417</v>
      </c>
      <c r="C6459" s="8" t="s">
        <v>19412</v>
      </c>
      <c r="D6459" s="8" t="s">
        <v>16</v>
      </c>
      <c r="E6459" s="8" t="s">
        <v>17</v>
      </c>
      <c r="F6459" s="9">
        <v>46095.0</v>
      </c>
      <c r="G6459" s="8" t="s">
        <v>826</v>
      </c>
      <c r="H6459" s="8" t="s">
        <v>827</v>
      </c>
      <c r="I6459" s="8" t="s">
        <v>19413</v>
      </c>
      <c r="J6459" s="8" t="s">
        <v>19414</v>
      </c>
    </row>
    <row r="6460">
      <c r="A6460" s="7">
        <v>2.0048827E7</v>
      </c>
      <c r="B6460" s="8" t="s">
        <v>5417</v>
      </c>
      <c r="C6460" s="8" t="s">
        <v>19415</v>
      </c>
      <c r="D6460" s="8" t="s">
        <v>16</v>
      </c>
      <c r="E6460" s="8" t="s">
        <v>17</v>
      </c>
      <c r="F6460" s="9">
        <v>46093.0</v>
      </c>
      <c r="G6460" s="8" t="s">
        <v>59</v>
      </c>
      <c r="H6460" s="8" t="s">
        <v>60</v>
      </c>
      <c r="I6460" s="8" t="s">
        <v>19416</v>
      </c>
      <c r="J6460" s="8" t="s">
        <v>19417</v>
      </c>
    </row>
    <row r="6461">
      <c r="A6461" s="7">
        <v>2.0045733E7</v>
      </c>
      <c r="B6461" s="8" t="s">
        <v>5417</v>
      </c>
      <c r="C6461" s="8" t="s">
        <v>19418</v>
      </c>
      <c r="D6461" s="8" t="s">
        <v>16</v>
      </c>
      <c r="E6461" s="8" t="s">
        <v>17</v>
      </c>
      <c r="F6461" s="9">
        <v>46086.0</v>
      </c>
      <c r="G6461" s="8" t="s">
        <v>868</v>
      </c>
      <c r="H6461" s="8" t="s">
        <v>869</v>
      </c>
      <c r="I6461" s="8" t="s">
        <v>19419</v>
      </c>
      <c r="J6461" s="8" t="s">
        <v>19420</v>
      </c>
    </row>
    <row r="6462">
      <c r="A6462" s="7">
        <v>2.0042914E7</v>
      </c>
      <c r="B6462" s="8" t="s">
        <v>5417</v>
      </c>
      <c r="C6462" s="8" t="s">
        <v>19421</v>
      </c>
      <c r="D6462" s="8" t="s">
        <v>16</v>
      </c>
      <c r="E6462" s="8" t="s">
        <v>17</v>
      </c>
      <c r="F6462" s="9">
        <v>46070.0</v>
      </c>
      <c r="G6462" s="8" t="s">
        <v>29</v>
      </c>
      <c r="H6462" s="8" t="s">
        <v>30</v>
      </c>
      <c r="I6462" s="8" t="s">
        <v>19422</v>
      </c>
      <c r="J6462" s="8" t="s">
        <v>19423</v>
      </c>
    </row>
    <row r="6463">
      <c r="A6463" s="7">
        <v>2.0036282E7</v>
      </c>
      <c r="B6463" s="8" t="s">
        <v>5417</v>
      </c>
      <c r="C6463" s="8" t="s">
        <v>19424</v>
      </c>
      <c r="D6463" s="8" t="s">
        <v>16</v>
      </c>
      <c r="E6463" s="8" t="s">
        <v>17</v>
      </c>
      <c r="F6463" s="9">
        <v>46049.0</v>
      </c>
      <c r="G6463" s="8" t="s">
        <v>3339</v>
      </c>
      <c r="H6463" s="8" t="s">
        <v>1301</v>
      </c>
      <c r="I6463" s="8" t="s">
        <v>19425</v>
      </c>
      <c r="J6463" s="8" t="s">
        <v>19426</v>
      </c>
    </row>
    <row r="6464">
      <c r="A6464" s="7">
        <v>2.0056476E7</v>
      </c>
      <c r="B6464" s="8" t="s">
        <v>5417</v>
      </c>
      <c r="C6464" s="8" t="s">
        <v>19427</v>
      </c>
      <c r="D6464" s="8" t="s">
        <v>16</v>
      </c>
      <c r="E6464" s="8" t="s">
        <v>17</v>
      </c>
      <c r="F6464" s="9">
        <v>46149.0</v>
      </c>
      <c r="G6464" s="8" t="s">
        <v>132</v>
      </c>
      <c r="H6464" s="8" t="s">
        <v>133</v>
      </c>
      <c r="I6464" s="8" t="s">
        <v>19428</v>
      </c>
      <c r="J6464" s="8" t="s">
        <v>19429</v>
      </c>
    </row>
    <row r="6465">
      <c r="A6465" s="7">
        <v>2.0054258E7</v>
      </c>
      <c r="B6465" s="8" t="s">
        <v>5417</v>
      </c>
      <c r="C6465" s="8" t="s">
        <v>19430</v>
      </c>
      <c r="D6465" s="8" t="s">
        <v>16</v>
      </c>
      <c r="E6465" s="8" t="s">
        <v>17</v>
      </c>
      <c r="F6465" s="9">
        <v>46116.0</v>
      </c>
      <c r="G6465" s="8" t="s">
        <v>234</v>
      </c>
      <c r="H6465" s="8" t="s">
        <v>235</v>
      </c>
      <c r="I6465" s="8" t="s">
        <v>19431</v>
      </c>
      <c r="J6465" s="8" t="s">
        <v>19432</v>
      </c>
    </row>
    <row r="6466">
      <c r="A6466" s="7">
        <v>2.0048479E7</v>
      </c>
      <c r="B6466" s="8" t="s">
        <v>5417</v>
      </c>
      <c r="C6466" s="8" t="s">
        <v>19433</v>
      </c>
      <c r="D6466" s="8" t="s">
        <v>16</v>
      </c>
      <c r="E6466" s="8" t="s">
        <v>17</v>
      </c>
      <c r="F6466" s="9">
        <v>46101.0</v>
      </c>
      <c r="G6466" s="8" t="s">
        <v>70</v>
      </c>
      <c r="H6466" s="8" t="s">
        <v>71</v>
      </c>
      <c r="I6466" s="8" t="s">
        <v>19434</v>
      </c>
      <c r="J6466" s="8" t="s">
        <v>19435</v>
      </c>
    </row>
    <row r="6467">
      <c r="A6467" s="7">
        <v>2.0047345E7</v>
      </c>
      <c r="B6467" s="8" t="s">
        <v>5417</v>
      </c>
      <c r="C6467" s="8" t="s">
        <v>19436</v>
      </c>
      <c r="D6467" s="8" t="s">
        <v>16</v>
      </c>
      <c r="E6467" s="8" t="s">
        <v>17</v>
      </c>
      <c r="F6467" s="9">
        <v>46098.0</v>
      </c>
      <c r="G6467" s="8" t="s">
        <v>630</v>
      </c>
      <c r="H6467" s="8" t="s">
        <v>631</v>
      </c>
      <c r="I6467" s="8" t="s">
        <v>19437</v>
      </c>
      <c r="J6467" s="8" t="s">
        <v>19438</v>
      </c>
    </row>
    <row r="6468">
      <c r="A6468" s="7">
        <v>2.006021E7</v>
      </c>
      <c r="B6468" s="8" t="s">
        <v>5417</v>
      </c>
      <c r="C6468" s="8" t="s">
        <v>19439</v>
      </c>
      <c r="D6468" s="8" t="s">
        <v>16</v>
      </c>
      <c r="E6468" s="8" t="s">
        <v>17</v>
      </c>
      <c r="F6468" s="9">
        <v>46152.0</v>
      </c>
      <c r="G6468" s="8" t="s">
        <v>195</v>
      </c>
      <c r="H6468" s="8" t="s">
        <v>196</v>
      </c>
      <c r="I6468" s="8" t="s">
        <v>19440</v>
      </c>
      <c r="J6468" s="8" t="s">
        <v>19441</v>
      </c>
    </row>
    <row r="6469">
      <c r="A6469" s="7">
        <v>2.0060401E7</v>
      </c>
      <c r="B6469" s="8" t="s">
        <v>5417</v>
      </c>
      <c r="C6469" s="8" t="s">
        <v>19442</v>
      </c>
      <c r="D6469" s="8" t="s">
        <v>16</v>
      </c>
      <c r="E6469" s="8" t="s">
        <v>17</v>
      </c>
      <c r="F6469" s="9">
        <v>46144.0</v>
      </c>
      <c r="G6469" s="8" t="s">
        <v>385</v>
      </c>
      <c r="H6469" s="8" t="s">
        <v>386</v>
      </c>
      <c r="I6469" s="8" t="s">
        <v>19443</v>
      </c>
      <c r="J6469" s="8" t="s">
        <v>19444</v>
      </c>
    </row>
    <row r="6470">
      <c r="A6470" s="7">
        <v>2.0050781E7</v>
      </c>
      <c r="B6470" s="8" t="s">
        <v>5417</v>
      </c>
      <c r="C6470" s="8" t="s">
        <v>19445</v>
      </c>
      <c r="D6470" s="8" t="s">
        <v>16</v>
      </c>
      <c r="E6470" s="8" t="s">
        <v>17</v>
      </c>
      <c r="F6470" s="9">
        <v>46119.0</v>
      </c>
      <c r="G6470" s="8" t="s">
        <v>7407</v>
      </c>
      <c r="H6470" s="8" t="s">
        <v>7408</v>
      </c>
      <c r="I6470" s="8" t="s">
        <v>19446</v>
      </c>
      <c r="J6470" s="8" t="s">
        <v>19447</v>
      </c>
    </row>
    <row r="6471">
      <c r="A6471" s="7">
        <v>2.0050781E7</v>
      </c>
      <c r="B6471" s="8" t="s">
        <v>5417</v>
      </c>
      <c r="C6471" s="8" t="s">
        <v>19445</v>
      </c>
      <c r="D6471" s="8" t="s">
        <v>16</v>
      </c>
      <c r="E6471" s="8" t="s">
        <v>17</v>
      </c>
      <c r="F6471" s="9">
        <v>46119.0</v>
      </c>
      <c r="G6471" s="8" t="s">
        <v>7411</v>
      </c>
      <c r="H6471" s="8" t="s">
        <v>7412</v>
      </c>
      <c r="I6471" s="8" t="s">
        <v>19448</v>
      </c>
      <c r="J6471" s="8" t="s">
        <v>19449</v>
      </c>
    </row>
    <row r="6472">
      <c r="A6472" s="7">
        <v>2.0047213E7</v>
      </c>
      <c r="B6472" s="8" t="s">
        <v>5417</v>
      </c>
      <c r="C6472" s="8" t="s">
        <v>19450</v>
      </c>
      <c r="D6472" s="8" t="s">
        <v>16</v>
      </c>
      <c r="E6472" s="8" t="s">
        <v>17</v>
      </c>
      <c r="F6472" s="9">
        <v>46099.0</v>
      </c>
      <c r="G6472" s="8" t="s">
        <v>4850</v>
      </c>
      <c r="H6472" s="8" t="s">
        <v>4851</v>
      </c>
      <c r="I6472" s="8" t="s">
        <v>19451</v>
      </c>
      <c r="J6472" s="8"/>
    </row>
    <row r="6473">
      <c r="A6473" s="7">
        <v>2.0047213E7</v>
      </c>
      <c r="B6473" s="8" t="s">
        <v>5417</v>
      </c>
      <c r="C6473" s="8" t="s">
        <v>19450</v>
      </c>
      <c r="D6473" s="8" t="s">
        <v>16</v>
      </c>
      <c r="E6473" s="8" t="s">
        <v>17</v>
      </c>
      <c r="F6473" s="9">
        <v>46099.0</v>
      </c>
      <c r="G6473" s="8" t="s">
        <v>4850</v>
      </c>
      <c r="H6473" s="8" t="s">
        <v>4851</v>
      </c>
      <c r="I6473" s="8" t="s">
        <v>19452</v>
      </c>
      <c r="J6473" s="8" t="s">
        <v>19453</v>
      </c>
    </row>
    <row r="6474">
      <c r="A6474" s="7">
        <v>2.0047213E7</v>
      </c>
      <c r="B6474" s="8" t="s">
        <v>5417</v>
      </c>
      <c r="C6474" s="8" t="s">
        <v>19450</v>
      </c>
      <c r="D6474" s="8" t="s">
        <v>16</v>
      </c>
      <c r="E6474" s="8" t="s">
        <v>17</v>
      </c>
      <c r="F6474" s="9">
        <v>46099.0</v>
      </c>
      <c r="G6474" s="8" t="s">
        <v>2511</v>
      </c>
      <c r="H6474" s="8" t="s">
        <v>2512</v>
      </c>
      <c r="I6474" s="8" t="s">
        <v>19454</v>
      </c>
      <c r="J6474" s="8" t="s">
        <v>19455</v>
      </c>
    </row>
    <row r="6475">
      <c r="A6475" s="7">
        <v>2.0043587E7</v>
      </c>
      <c r="B6475" s="8" t="s">
        <v>5417</v>
      </c>
      <c r="C6475" s="8" t="s">
        <v>19456</v>
      </c>
      <c r="D6475" s="8" t="s">
        <v>16</v>
      </c>
      <c r="E6475" s="8" t="s">
        <v>17</v>
      </c>
      <c r="F6475" s="9">
        <v>46072.0</v>
      </c>
      <c r="G6475" s="8" t="s">
        <v>247</v>
      </c>
      <c r="H6475" s="8" t="s">
        <v>248</v>
      </c>
      <c r="I6475" s="8" t="s">
        <v>19457</v>
      </c>
      <c r="J6475" s="8" t="s">
        <v>19458</v>
      </c>
    </row>
    <row r="6476">
      <c r="A6476" s="7">
        <v>2.0054653E7</v>
      </c>
      <c r="B6476" s="8" t="s">
        <v>5417</v>
      </c>
      <c r="C6476" s="8" t="s">
        <v>19459</v>
      </c>
      <c r="D6476" s="8" t="s">
        <v>16</v>
      </c>
      <c r="E6476" s="8" t="s">
        <v>17</v>
      </c>
      <c r="F6476" s="9">
        <v>46121.0</v>
      </c>
      <c r="G6476" s="8" t="s">
        <v>882</v>
      </c>
      <c r="H6476" s="8" t="s">
        <v>883</v>
      </c>
      <c r="I6476" s="8" t="s">
        <v>19460</v>
      </c>
      <c r="J6476" s="8" t="s">
        <v>19461</v>
      </c>
    </row>
    <row r="6477">
      <c r="A6477" s="7">
        <v>2.0047215E7</v>
      </c>
      <c r="B6477" s="8" t="s">
        <v>5417</v>
      </c>
      <c r="C6477" s="8" t="s">
        <v>19462</v>
      </c>
      <c r="D6477" s="8" t="s">
        <v>16</v>
      </c>
      <c r="E6477" s="8" t="s">
        <v>17</v>
      </c>
      <c r="F6477" s="9">
        <v>46088.0</v>
      </c>
      <c r="G6477" s="8" t="s">
        <v>59</v>
      </c>
      <c r="H6477" s="8" t="s">
        <v>60</v>
      </c>
      <c r="I6477" s="8" t="s">
        <v>19463</v>
      </c>
      <c r="J6477" s="8" t="s">
        <v>19464</v>
      </c>
    </row>
    <row r="6478">
      <c r="A6478" s="7">
        <v>2.0042501E7</v>
      </c>
      <c r="B6478" s="8" t="s">
        <v>5417</v>
      </c>
      <c r="C6478" s="8" t="s">
        <v>19465</v>
      </c>
      <c r="D6478" s="8" t="s">
        <v>16</v>
      </c>
      <c r="E6478" s="8" t="s">
        <v>17</v>
      </c>
      <c r="F6478" s="9">
        <v>46073.0</v>
      </c>
      <c r="G6478" s="8" t="s">
        <v>385</v>
      </c>
      <c r="H6478" s="8" t="s">
        <v>386</v>
      </c>
      <c r="I6478" s="8" t="s">
        <v>19466</v>
      </c>
      <c r="J6478" s="8" t="s">
        <v>19467</v>
      </c>
    </row>
    <row r="6479">
      <c r="A6479" s="7">
        <v>2.0040288E7</v>
      </c>
      <c r="B6479" s="8" t="s">
        <v>5417</v>
      </c>
      <c r="C6479" s="8" t="s">
        <v>19468</v>
      </c>
      <c r="D6479" s="8" t="s">
        <v>16</v>
      </c>
      <c r="E6479" s="8" t="s">
        <v>17</v>
      </c>
      <c r="F6479" s="9">
        <v>46077.0</v>
      </c>
      <c r="G6479" s="8" t="s">
        <v>184</v>
      </c>
      <c r="H6479" s="8" t="s">
        <v>185</v>
      </c>
      <c r="I6479" s="8" t="s">
        <v>19469</v>
      </c>
      <c r="J6479" s="8" t="s">
        <v>19470</v>
      </c>
    </row>
    <row r="6480">
      <c r="A6480" s="7">
        <v>2.0063175E7</v>
      </c>
      <c r="B6480" s="8" t="s">
        <v>5417</v>
      </c>
      <c r="C6480" s="8" t="s">
        <v>19471</v>
      </c>
      <c r="D6480" s="8" t="s">
        <v>16</v>
      </c>
      <c r="E6480" s="8" t="s">
        <v>17</v>
      </c>
      <c r="F6480" s="9">
        <v>46179.0</v>
      </c>
      <c r="G6480" s="8" t="s">
        <v>19472</v>
      </c>
      <c r="H6480" s="8" t="s">
        <v>2014</v>
      </c>
      <c r="I6480" s="8" t="s">
        <v>19473</v>
      </c>
      <c r="J6480" s="8" t="s">
        <v>19474</v>
      </c>
    </row>
    <row r="6481">
      <c r="A6481" s="7">
        <v>2.0058764E7</v>
      </c>
      <c r="B6481" s="8" t="s">
        <v>5417</v>
      </c>
      <c r="C6481" s="8" t="s">
        <v>19475</v>
      </c>
      <c r="D6481" s="8" t="s">
        <v>16</v>
      </c>
      <c r="E6481" s="8" t="s">
        <v>17</v>
      </c>
      <c r="F6481" s="9">
        <v>46139.0</v>
      </c>
      <c r="G6481" s="8" t="s">
        <v>220</v>
      </c>
      <c r="H6481" s="8" t="s">
        <v>221</v>
      </c>
      <c r="I6481" s="8" t="s">
        <v>19476</v>
      </c>
      <c r="J6481" s="8" t="s">
        <v>19477</v>
      </c>
    </row>
    <row r="6482">
      <c r="A6482" s="7">
        <v>2.0048965E7</v>
      </c>
      <c r="B6482" s="8" t="s">
        <v>5417</v>
      </c>
      <c r="C6482" s="8" t="s">
        <v>19478</v>
      </c>
      <c r="D6482" s="8" t="s">
        <v>16</v>
      </c>
      <c r="E6482" s="8" t="s">
        <v>17</v>
      </c>
      <c r="F6482" s="9">
        <v>46093.0</v>
      </c>
      <c r="G6482" s="8" t="s">
        <v>882</v>
      </c>
      <c r="H6482" s="8" t="s">
        <v>883</v>
      </c>
      <c r="I6482" s="8" t="s">
        <v>19479</v>
      </c>
      <c r="J6482" s="8" t="s">
        <v>19480</v>
      </c>
    </row>
    <row r="6483">
      <c r="A6483" s="7">
        <v>2.0043063E7</v>
      </c>
      <c r="B6483" s="8" t="s">
        <v>5417</v>
      </c>
      <c r="C6483" s="8" t="s">
        <v>19481</v>
      </c>
      <c r="D6483" s="8" t="s">
        <v>16</v>
      </c>
      <c r="E6483" s="8" t="s">
        <v>17</v>
      </c>
      <c r="F6483" s="9">
        <v>46079.0</v>
      </c>
      <c r="G6483" s="8" t="s">
        <v>400</v>
      </c>
      <c r="H6483" s="8" t="s">
        <v>401</v>
      </c>
      <c r="I6483" s="8" t="s">
        <v>19482</v>
      </c>
      <c r="J6483" s="8" t="s">
        <v>19483</v>
      </c>
    </row>
    <row r="6484">
      <c r="A6484" s="7">
        <v>2.0057152E7</v>
      </c>
      <c r="B6484" s="8" t="s">
        <v>5417</v>
      </c>
      <c r="C6484" s="8" t="s">
        <v>19484</v>
      </c>
      <c r="D6484" s="8" t="s">
        <v>16</v>
      </c>
      <c r="E6484" s="8" t="s">
        <v>17</v>
      </c>
      <c r="F6484" s="9">
        <v>46151.0</v>
      </c>
      <c r="G6484" s="8" t="s">
        <v>3894</v>
      </c>
      <c r="H6484" s="8" t="s">
        <v>3895</v>
      </c>
      <c r="I6484" s="8" t="s">
        <v>19485</v>
      </c>
      <c r="J6484" s="8" t="s">
        <v>19486</v>
      </c>
    </row>
    <row r="6485">
      <c r="A6485" s="7">
        <v>2.0056075E7</v>
      </c>
      <c r="B6485" s="8" t="s">
        <v>5417</v>
      </c>
      <c r="C6485" s="8" t="s">
        <v>19487</v>
      </c>
      <c r="D6485" s="8" t="s">
        <v>16</v>
      </c>
      <c r="E6485" s="8" t="s">
        <v>17</v>
      </c>
      <c r="F6485" s="9">
        <v>46129.0</v>
      </c>
      <c r="G6485" s="8" t="s">
        <v>234</v>
      </c>
      <c r="H6485" s="8" t="s">
        <v>235</v>
      </c>
      <c r="I6485" s="8" t="s">
        <v>19488</v>
      </c>
      <c r="J6485" s="8" t="s">
        <v>19489</v>
      </c>
    </row>
    <row r="6486">
      <c r="A6486" s="7">
        <v>2.0037653E7</v>
      </c>
      <c r="B6486" s="8" t="s">
        <v>5417</v>
      </c>
      <c r="C6486" s="8" t="s">
        <v>19490</v>
      </c>
      <c r="D6486" s="8" t="s">
        <v>16</v>
      </c>
      <c r="E6486" s="8" t="s">
        <v>17</v>
      </c>
      <c r="F6486" s="9">
        <v>46131.0</v>
      </c>
      <c r="G6486" s="8" t="s">
        <v>6621</v>
      </c>
      <c r="H6486" s="8" t="s">
        <v>6622</v>
      </c>
      <c r="I6486" s="8" t="s">
        <v>19491</v>
      </c>
      <c r="J6486" s="8" t="s">
        <v>19492</v>
      </c>
    </row>
    <row r="6487">
      <c r="A6487" s="7">
        <v>2.003594E7</v>
      </c>
      <c r="B6487" s="8" t="s">
        <v>5417</v>
      </c>
      <c r="C6487" s="8" t="s">
        <v>19493</v>
      </c>
      <c r="D6487" s="8" t="s">
        <v>16</v>
      </c>
      <c r="E6487" s="8" t="s">
        <v>17</v>
      </c>
      <c r="F6487" s="9">
        <v>46066.0</v>
      </c>
      <c r="G6487" s="8" t="s">
        <v>19494</v>
      </c>
      <c r="H6487" s="8" t="s">
        <v>19495</v>
      </c>
      <c r="I6487" s="8" t="s">
        <v>19496</v>
      </c>
      <c r="J6487" s="8" t="s">
        <v>19497</v>
      </c>
    </row>
    <row r="6488">
      <c r="A6488" s="7">
        <v>2.0034504E7</v>
      </c>
      <c r="B6488" s="8" t="s">
        <v>5417</v>
      </c>
      <c r="C6488" s="8" t="s">
        <v>19498</v>
      </c>
      <c r="D6488" s="8" t="s">
        <v>16</v>
      </c>
      <c r="E6488" s="8" t="s">
        <v>17</v>
      </c>
      <c r="F6488" s="9">
        <v>46046.0</v>
      </c>
      <c r="G6488" s="8" t="s">
        <v>7637</v>
      </c>
      <c r="H6488" s="8" t="s">
        <v>1111</v>
      </c>
      <c r="I6488" s="8" t="s">
        <v>19499</v>
      </c>
      <c r="J6488" s="8" t="s">
        <v>19500</v>
      </c>
    </row>
    <row r="6489">
      <c r="A6489" s="7">
        <v>2.0060733E7</v>
      </c>
      <c r="B6489" s="8" t="s">
        <v>5417</v>
      </c>
      <c r="C6489" s="8" t="s">
        <v>19501</v>
      </c>
      <c r="D6489" s="8" t="s">
        <v>16</v>
      </c>
      <c r="E6489" s="8" t="s">
        <v>48</v>
      </c>
      <c r="F6489" s="9">
        <v>46147.0</v>
      </c>
      <c r="G6489" s="8" t="s">
        <v>418</v>
      </c>
      <c r="H6489" s="8" t="s">
        <v>419</v>
      </c>
      <c r="I6489" s="8" t="s">
        <v>19502</v>
      </c>
      <c r="J6489" s="8" t="s">
        <v>19503</v>
      </c>
    </row>
    <row r="6490">
      <c r="A6490" s="7">
        <v>2.0046666E7</v>
      </c>
      <c r="B6490" s="8" t="s">
        <v>5417</v>
      </c>
      <c r="C6490" s="8" t="s">
        <v>19504</v>
      </c>
      <c r="D6490" s="8" t="s">
        <v>16</v>
      </c>
      <c r="E6490" s="8" t="s">
        <v>17</v>
      </c>
      <c r="F6490" s="9">
        <v>46103.0</v>
      </c>
      <c r="G6490" s="8" t="s">
        <v>454</v>
      </c>
      <c r="H6490" s="8" t="s">
        <v>455</v>
      </c>
      <c r="I6490" s="8" t="s">
        <v>19505</v>
      </c>
      <c r="J6490" s="8" t="s">
        <v>19506</v>
      </c>
    </row>
    <row r="6491">
      <c r="A6491" s="7">
        <v>2.0046666E7</v>
      </c>
      <c r="B6491" s="8" t="s">
        <v>5417</v>
      </c>
      <c r="C6491" s="8" t="s">
        <v>19504</v>
      </c>
      <c r="D6491" s="8" t="s">
        <v>16</v>
      </c>
      <c r="E6491" s="8" t="s">
        <v>17</v>
      </c>
      <c r="F6491" s="9">
        <v>46103.0</v>
      </c>
      <c r="G6491" s="8" t="s">
        <v>923</v>
      </c>
      <c r="H6491" s="8" t="s">
        <v>71</v>
      </c>
      <c r="I6491" s="8" t="s">
        <v>19507</v>
      </c>
      <c r="J6491" s="8" t="s">
        <v>19508</v>
      </c>
    </row>
    <row r="6492">
      <c r="A6492" s="7">
        <v>2.0053455E7</v>
      </c>
      <c r="B6492" s="8" t="s">
        <v>5417</v>
      </c>
      <c r="C6492" s="8" t="s">
        <v>19509</v>
      </c>
      <c r="D6492" s="8" t="s">
        <v>16</v>
      </c>
      <c r="E6492" s="8" t="s">
        <v>17</v>
      </c>
      <c r="F6492" s="9">
        <v>46135.0</v>
      </c>
      <c r="G6492" s="8" t="s">
        <v>601</v>
      </c>
      <c r="H6492" s="8" t="s">
        <v>602</v>
      </c>
      <c r="I6492" s="8" t="s">
        <v>19510</v>
      </c>
      <c r="J6492" s="8" t="s">
        <v>19511</v>
      </c>
    </row>
    <row r="6493">
      <c r="A6493" s="7">
        <v>2.0052299E7</v>
      </c>
      <c r="B6493" s="8" t="s">
        <v>5417</v>
      </c>
      <c r="C6493" s="8" t="s">
        <v>19512</v>
      </c>
      <c r="D6493" s="8" t="s">
        <v>16</v>
      </c>
      <c r="E6493" s="8" t="s">
        <v>17</v>
      </c>
      <c r="F6493" s="9">
        <v>46108.0</v>
      </c>
      <c r="G6493" s="8" t="s">
        <v>234</v>
      </c>
      <c r="H6493" s="8" t="s">
        <v>235</v>
      </c>
      <c r="I6493" s="8" t="s">
        <v>19513</v>
      </c>
      <c r="J6493" s="8" t="s">
        <v>19514</v>
      </c>
    </row>
    <row r="6494">
      <c r="A6494" s="7">
        <v>2.0046036E7</v>
      </c>
      <c r="B6494" s="8" t="s">
        <v>5417</v>
      </c>
      <c r="C6494" s="8" t="s">
        <v>19515</v>
      </c>
      <c r="D6494" s="8" t="s">
        <v>16</v>
      </c>
      <c r="E6494" s="8" t="s">
        <v>17</v>
      </c>
      <c r="F6494" s="9">
        <v>46087.0</v>
      </c>
      <c r="G6494" s="8" t="s">
        <v>3012</v>
      </c>
      <c r="H6494" s="8" t="s">
        <v>3013</v>
      </c>
      <c r="I6494" s="8" t="s">
        <v>19516</v>
      </c>
      <c r="J6494" s="8" t="s">
        <v>19517</v>
      </c>
    </row>
    <row r="6495">
      <c r="A6495" s="7">
        <v>2.0046036E7</v>
      </c>
      <c r="B6495" s="8" t="s">
        <v>5417</v>
      </c>
      <c r="C6495" s="8" t="s">
        <v>19515</v>
      </c>
      <c r="D6495" s="8" t="s">
        <v>16</v>
      </c>
      <c r="E6495" s="8" t="s">
        <v>17</v>
      </c>
      <c r="F6495" s="9">
        <v>46087.0</v>
      </c>
      <c r="G6495" s="8" t="s">
        <v>12566</v>
      </c>
      <c r="H6495" s="8" t="s">
        <v>12567</v>
      </c>
      <c r="I6495" s="8" t="s">
        <v>19518</v>
      </c>
      <c r="J6495" s="8" t="s">
        <v>19519</v>
      </c>
    </row>
    <row r="6496">
      <c r="A6496" s="7">
        <v>2.0039107E7</v>
      </c>
      <c r="B6496" s="8" t="s">
        <v>5417</v>
      </c>
      <c r="C6496" s="8" t="s">
        <v>19520</v>
      </c>
      <c r="D6496" s="8" t="s">
        <v>16</v>
      </c>
      <c r="E6496" s="8" t="s">
        <v>17</v>
      </c>
      <c r="F6496" s="9">
        <v>46076.0</v>
      </c>
      <c r="G6496" s="8" t="s">
        <v>370</v>
      </c>
      <c r="H6496" s="8" t="s">
        <v>371</v>
      </c>
      <c r="I6496" s="8" t="s">
        <v>19521</v>
      </c>
      <c r="J6496" s="8" t="s">
        <v>19522</v>
      </c>
    </row>
    <row r="6497">
      <c r="A6497" s="7">
        <v>2.003865E7</v>
      </c>
      <c r="B6497" s="8" t="s">
        <v>5417</v>
      </c>
      <c r="C6497" s="8" t="s">
        <v>19523</v>
      </c>
      <c r="D6497" s="8" t="s">
        <v>16</v>
      </c>
      <c r="E6497" s="8" t="s">
        <v>17</v>
      </c>
      <c r="F6497" s="9">
        <v>46072.0</v>
      </c>
      <c r="G6497" s="8" t="s">
        <v>171</v>
      </c>
      <c r="H6497" s="8" t="s">
        <v>172</v>
      </c>
      <c r="I6497" s="8" t="s">
        <v>19524</v>
      </c>
      <c r="J6497" s="8" t="s">
        <v>19525</v>
      </c>
    </row>
    <row r="6498">
      <c r="A6498" s="7">
        <v>2.0072004E7</v>
      </c>
      <c r="B6498" s="8" t="s">
        <v>5417</v>
      </c>
      <c r="C6498" s="8" t="s">
        <v>19526</v>
      </c>
      <c r="D6498" s="8" t="s">
        <v>2136</v>
      </c>
      <c r="E6498" s="8" t="s">
        <v>17</v>
      </c>
      <c r="F6498" s="9">
        <v>46191.0</v>
      </c>
      <c r="G6498" s="8" t="s">
        <v>153</v>
      </c>
      <c r="H6498" s="8" t="s">
        <v>154</v>
      </c>
      <c r="I6498" s="8" t="s">
        <v>19527</v>
      </c>
      <c r="J6498" s="8" t="s">
        <v>19528</v>
      </c>
    </row>
    <row r="6499">
      <c r="A6499" s="7">
        <v>2.0067695E7</v>
      </c>
      <c r="B6499" s="8" t="s">
        <v>5417</v>
      </c>
      <c r="C6499" s="8" t="s">
        <v>19529</v>
      </c>
      <c r="D6499" s="8" t="s">
        <v>2136</v>
      </c>
      <c r="E6499" s="8" t="s">
        <v>17</v>
      </c>
      <c r="F6499" s="9">
        <v>46173.0</v>
      </c>
      <c r="G6499" s="8" t="s">
        <v>59</v>
      </c>
      <c r="H6499" s="8" t="s">
        <v>60</v>
      </c>
      <c r="I6499" s="8" t="s">
        <v>19530</v>
      </c>
      <c r="J6499" s="8" t="s">
        <v>19531</v>
      </c>
    </row>
    <row r="6500">
      <c r="A6500" s="7">
        <v>2.0067659E7</v>
      </c>
      <c r="B6500" s="8" t="s">
        <v>5417</v>
      </c>
      <c r="C6500" s="8" t="s">
        <v>19532</v>
      </c>
      <c r="D6500" s="8" t="s">
        <v>16</v>
      </c>
      <c r="E6500" s="8" t="s">
        <v>17</v>
      </c>
      <c r="F6500" s="9">
        <v>46176.0</v>
      </c>
      <c r="G6500" s="8" t="s">
        <v>418</v>
      </c>
      <c r="H6500" s="8" t="s">
        <v>419</v>
      </c>
      <c r="I6500" s="8" t="s">
        <v>19533</v>
      </c>
      <c r="J6500" s="8" t="s">
        <v>19534</v>
      </c>
    </row>
    <row r="6501">
      <c r="A6501" s="7">
        <v>2.0065404E7</v>
      </c>
      <c r="B6501" s="8" t="s">
        <v>5417</v>
      </c>
      <c r="C6501" s="8" t="s">
        <v>19535</v>
      </c>
      <c r="D6501" s="8" t="s">
        <v>16</v>
      </c>
      <c r="E6501" s="8" t="s">
        <v>17</v>
      </c>
      <c r="F6501" s="9">
        <v>46187.0</v>
      </c>
      <c r="G6501" s="8" t="s">
        <v>454</v>
      </c>
      <c r="H6501" s="8" t="s">
        <v>455</v>
      </c>
      <c r="I6501" s="8" t="s">
        <v>19536</v>
      </c>
      <c r="J6501" s="8" t="s">
        <v>19537</v>
      </c>
    </row>
    <row r="6502">
      <c r="A6502" s="7">
        <v>2.0063931E7</v>
      </c>
      <c r="B6502" s="8" t="s">
        <v>5417</v>
      </c>
      <c r="C6502" s="8" t="s">
        <v>19538</v>
      </c>
      <c r="D6502" s="8" t="s">
        <v>2136</v>
      </c>
      <c r="E6502" s="8" t="s">
        <v>17</v>
      </c>
      <c r="F6502" s="9">
        <v>46160.0</v>
      </c>
      <c r="G6502" s="8" t="s">
        <v>247</v>
      </c>
      <c r="H6502" s="8" t="s">
        <v>248</v>
      </c>
      <c r="I6502" s="8" t="s">
        <v>19539</v>
      </c>
      <c r="J6502" s="8" t="s">
        <v>19540</v>
      </c>
    </row>
    <row r="6503">
      <c r="A6503" s="7">
        <v>2.0061923E7</v>
      </c>
      <c r="B6503" s="8" t="s">
        <v>5417</v>
      </c>
      <c r="C6503" s="8" t="s">
        <v>19541</v>
      </c>
      <c r="D6503" s="8" t="s">
        <v>16</v>
      </c>
      <c r="E6503" s="8" t="s">
        <v>17</v>
      </c>
      <c r="F6503" s="9">
        <v>46192.0</v>
      </c>
      <c r="G6503" s="8" t="s">
        <v>19542</v>
      </c>
      <c r="H6503" s="8" t="s">
        <v>19543</v>
      </c>
      <c r="I6503" s="8" t="s">
        <v>19544</v>
      </c>
      <c r="J6503" s="8" t="s">
        <v>19545</v>
      </c>
    </row>
    <row r="6504">
      <c r="A6504" s="7">
        <v>2.0048477E7</v>
      </c>
      <c r="B6504" s="8" t="s">
        <v>5417</v>
      </c>
      <c r="C6504" s="8" t="s">
        <v>19546</v>
      </c>
      <c r="D6504" s="8" t="s">
        <v>16</v>
      </c>
      <c r="E6504" s="8" t="s">
        <v>17</v>
      </c>
      <c r="F6504" s="9">
        <v>46098.0</v>
      </c>
      <c r="G6504" s="8" t="s">
        <v>3812</v>
      </c>
      <c r="H6504" s="8" t="s">
        <v>3813</v>
      </c>
      <c r="I6504" s="8" t="s">
        <v>19547</v>
      </c>
      <c r="J6504" s="8" t="s">
        <v>19548</v>
      </c>
    </row>
    <row r="6505">
      <c r="A6505" s="7">
        <v>2.0047855E7</v>
      </c>
      <c r="B6505" s="8" t="s">
        <v>5417</v>
      </c>
      <c r="C6505" s="8" t="s">
        <v>19549</v>
      </c>
      <c r="D6505" s="8" t="s">
        <v>16</v>
      </c>
      <c r="E6505" s="8" t="s">
        <v>17</v>
      </c>
      <c r="F6505" s="9">
        <v>46089.0</v>
      </c>
      <c r="G6505" s="8" t="s">
        <v>234</v>
      </c>
      <c r="H6505" s="8" t="s">
        <v>235</v>
      </c>
      <c r="I6505" s="8" t="s">
        <v>19550</v>
      </c>
      <c r="J6505" s="8" t="s">
        <v>19551</v>
      </c>
    </row>
    <row r="6506">
      <c r="A6506" s="7">
        <v>2.0069918E7</v>
      </c>
      <c r="B6506" s="8" t="s">
        <v>5417</v>
      </c>
      <c r="C6506" s="8" t="s">
        <v>19552</v>
      </c>
      <c r="D6506" s="8" t="s">
        <v>16</v>
      </c>
      <c r="E6506" s="8" t="s">
        <v>17</v>
      </c>
      <c r="F6506" s="9">
        <v>46181.0</v>
      </c>
      <c r="G6506" s="8" t="s">
        <v>34</v>
      </c>
      <c r="H6506" s="8" t="s">
        <v>35</v>
      </c>
      <c r="I6506" s="8" t="s">
        <v>19553</v>
      </c>
      <c r="J6506" s="8" t="s">
        <v>19554</v>
      </c>
    </row>
    <row r="6507">
      <c r="A6507" s="7">
        <v>2.0054894E7</v>
      </c>
      <c r="B6507" s="8" t="s">
        <v>5417</v>
      </c>
      <c r="C6507" s="8" t="s">
        <v>19555</v>
      </c>
      <c r="D6507" s="8" t="s">
        <v>16</v>
      </c>
      <c r="E6507" s="8" t="s">
        <v>17</v>
      </c>
      <c r="F6507" s="9">
        <v>46132.0</v>
      </c>
      <c r="G6507" s="8" t="s">
        <v>3093</v>
      </c>
      <c r="H6507" s="8" t="s">
        <v>3094</v>
      </c>
      <c r="I6507" s="8" t="s">
        <v>19556</v>
      </c>
      <c r="J6507" s="8" t="s">
        <v>19557</v>
      </c>
    </row>
    <row r="6508">
      <c r="A6508" s="7">
        <v>2.0051062E7</v>
      </c>
      <c r="B6508" s="8" t="s">
        <v>5417</v>
      </c>
      <c r="C6508" s="8" t="s">
        <v>19558</v>
      </c>
      <c r="D6508" s="8" t="s">
        <v>16</v>
      </c>
      <c r="E6508" s="8" t="s">
        <v>17</v>
      </c>
      <c r="F6508" s="9">
        <v>46119.0</v>
      </c>
      <c r="G6508" s="8" t="s">
        <v>64</v>
      </c>
      <c r="H6508" s="8" t="s">
        <v>65</v>
      </c>
      <c r="I6508" s="8" t="s">
        <v>19559</v>
      </c>
      <c r="J6508" s="8" t="s">
        <v>19560</v>
      </c>
    </row>
    <row r="6509">
      <c r="A6509" s="7">
        <v>2.0047336E7</v>
      </c>
      <c r="B6509" s="8" t="s">
        <v>5417</v>
      </c>
      <c r="C6509" s="8" t="s">
        <v>19561</v>
      </c>
      <c r="D6509" s="8" t="s">
        <v>16</v>
      </c>
      <c r="E6509" s="8" t="s">
        <v>17</v>
      </c>
      <c r="F6509" s="9">
        <v>46094.0</v>
      </c>
      <c r="G6509" s="8" t="s">
        <v>59</v>
      </c>
      <c r="H6509" s="8" t="s">
        <v>60</v>
      </c>
      <c r="I6509" s="8" t="s">
        <v>19562</v>
      </c>
      <c r="J6509" s="8" t="s">
        <v>19563</v>
      </c>
    </row>
    <row r="6510">
      <c r="A6510" s="7">
        <v>2.0046398E7</v>
      </c>
      <c r="B6510" s="8" t="s">
        <v>5417</v>
      </c>
      <c r="C6510" s="8" t="s">
        <v>19564</v>
      </c>
      <c r="D6510" s="8" t="s">
        <v>16</v>
      </c>
      <c r="E6510" s="8" t="s">
        <v>17</v>
      </c>
      <c r="F6510" s="9">
        <v>46100.0</v>
      </c>
      <c r="G6510" s="8" t="s">
        <v>361</v>
      </c>
      <c r="H6510" s="8" t="s">
        <v>362</v>
      </c>
      <c r="I6510" s="8" t="s">
        <v>19565</v>
      </c>
      <c r="J6510" s="8" t="s">
        <v>19566</v>
      </c>
    </row>
    <row r="6511">
      <c r="A6511" s="7">
        <v>2.0055882E7</v>
      </c>
      <c r="B6511" s="8" t="s">
        <v>5417</v>
      </c>
      <c r="C6511" s="8" t="s">
        <v>19567</v>
      </c>
      <c r="D6511" s="8" t="s">
        <v>16</v>
      </c>
      <c r="E6511" s="8" t="s">
        <v>17</v>
      </c>
      <c r="F6511" s="9">
        <v>46144.0</v>
      </c>
      <c r="G6511" s="8" t="s">
        <v>361</v>
      </c>
      <c r="H6511" s="8" t="s">
        <v>362</v>
      </c>
      <c r="I6511" s="8" t="s">
        <v>19568</v>
      </c>
      <c r="J6511" s="8" t="s">
        <v>19569</v>
      </c>
    </row>
    <row r="6512">
      <c r="A6512" s="7">
        <v>2.0052751E7</v>
      </c>
      <c r="B6512" s="8" t="s">
        <v>5417</v>
      </c>
      <c r="C6512" s="8" t="s">
        <v>19570</v>
      </c>
      <c r="D6512" s="8" t="s">
        <v>19571</v>
      </c>
      <c r="E6512" s="8" t="s">
        <v>48</v>
      </c>
      <c r="F6512" s="9">
        <v>46122.0</v>
      </c>
      <c r="G6512" s="8" t="s">
        <v>19572</v>
      </c>
      <c r="H6512" s="8" t="s">
        <v>19573</v>
      </c>
      <c r="I6512" s="8" t="s">
        <v>19574</v>
      </c>
      <c r="J6512" s="8"/>
    </row>
    <row r="6513">
      <c r="A6513" s="7">
        <v>2.0043061E7</v>
      </c>
      <c r="B6513" s="8" t="s">
        <v>5417</v>
      </c>
      <c r="C6513" s="8" t="s">
        <v>19575</v>
      </c>
      <c r="D6513" s="8" t="s">
        <v>16</v>
      </c>
      <c r="E6513" s="8" t="s">
        <v>48</v>
      </c>
      <c r="F6513" s="9">
        <v>46105.0</v>
      </c>
      <c r="G6513" s="8" t="s">
        <v>91</v>
      </c>
      <c r="H6513" s="8" t="s">
        <v>92</v>
      </c>
      <c r="I6513" s="8" t="s">
        <v>19576</v>
      </c>
      <c r="J6513" s="8" t="s">
        <v>19577</v>
      </c>
    </row>
    <row r="6514">
      <c r="A6514" s="7">
        <v>2.0049083E7</v>
      </c>
      <c r="B6514" s="8" t="s">
        <v>5417</v>
      </c>
      <c r="C6514" s="8" t="s">
        <v>19578</v>
      </c>
      <c r="D6514" s="8" t="s">
        <v>16</v>
      </c>
      <c r="E6514" s="8" t="s">
        <v>17</v>
      </c>
      <c r="F6514" s="9">
        <v>46105.0</v>
      </c>
      <c r="G6514" s="8" t="s">
        <v>59</v>
      </c>
      <c r="H6514" s="8" t="s">
        <v>60</v>
      </c>
      <c r="I6514" s="8" t="s">
        <v>19579</v>
      </c>
      <c r="J6514" s="8" t="s">
        <v>19580</v>
      </c>
    </row>
    <row r="6515">
      <c r="A6515" s="7">
        <v>2.0043466E7</v>
      </c>
      <c r="B6515" s="8" t="s">
        <v>5417</v>
      </c>
      <c r="C6515" s="8" t="s">
        <v>19581</v>
      </c>
      <c r="D6515" s="8" t="s">
        <v>16</v>
      </c>
      <c r="E6515" s="8" t="s">
        <v>17</v>
      </c>
      <c r="F6515" s="9">
        <v>46079.0</v>
      </c>
      <c r="G6515" s="8" t="s">
        <v>1557</v>
      </c>
      <c r="H6515" s="8" t="s">
        <v>1558</v>
      </c>
      <c r="I6515" s="8" t="s">
        <v>19582</v>
      </c>
      <c r="J6515" s="8" t="s">
        <v>19583</v>
      </c>
    </row>
    <row r="6516">
      <c r="A6516" s="7">
        <v>2.003982E7</v>
      </c>
      <c r="B6516" s="8" t="s">
        <v>5417</v>
      </c>
      <c r="C6516" s="8" t="s">
        <v>19584</v>
      </c>
      <c r="D6516" s="8" t="s">
        <v>16</v>
      </c>
      <c r="E6516" s="8" t="s">
        <v>17</v>
      </c>
      <c r="F6516" s="9">
        <v>46069.0</v>
      </c>
      <c r="G6516" s="8" t="s">
        <v>195</v>
      </c>
      <c r="H6516" s="8" t="s">
        <v>196</v>
      </c>
      <c r="I6516" s="8" t="s">
        <v>19585</v>
      </c>
      <c r="J6516" s="8" t="s">
        <v>19586</v>
      </c>
    </row>
    <row r="6517">
      <c r="A6517" s="7">
        <v>2.0040063E7</v>
      </c>
      <c r="B6517" s="8" t="s">
        <v>5417</v>
      </c>
      <c r="C6517" s="8" t="s">
        <v>19587</v>
      </c>
      <c r="D6517" s="8" t="s">
        <v>16</v>
      </c>
      <c r="E6517" s="8" t="s">
        <v>17</v>
      </c>
      <c r="F6517" s="9">
        <v>46068.0</v>
      </c>
      <c r="G6517" s="8" t="s">
        <v>29</v>
      </c>
      <c r="H6517" s="8" t="s">
        <v>30</v>
      </c>
      <c r="I6517" s="8" t="s">
        <v>19588</v>
      </c>
      <c r="J6517" s="8" t="s">
        <v>19589</v>
      </c>
    </row>
    <row r="6518">
      <c r="A6518" s="7">
        <v>2.0063167E7</v>
      </c>
      <c r="B6518" s="8" t="s">
        <v>5417</v>
      </c>
      <c r="C6518" s="8" t="s">
        <v>19590</v>
      </c>
      <c r="D6518" s="8" t="s">
        <v>2136</v>
      </c>
      <c r="E6518" s="8" t="s">
        <v>17</v>
      </c>
      <c r="F6518" s="9">
        <v>46154.0</v>
      </c>
      <c r="G6518" s="8" t="s">
        <v>234</v>
      </c>
      <c r="H6518" s="8" t="s">
        <v>235</v>
      </c>
      <c r="I6518" s="8" t="s">
        <v>19591</v>
      </c>
      <c r="J6518" s="8" t="s">
        <v>19592</v>
      </c>
    </row>
    <row r="6519">
      <c r="A6519" s="7">
        <v>2.0053611E7</v>
      </c>
      <c r="B6519" s="8" t="s">
        <v>5417</v>
      </c>
      <c r="C6519" s="8" t="s">
        <v>19593</v>
      </c>
      <c r="D6519" s="8" t="s">
        <v>16</v>
      </c>
      <c r="E6519" s="8" t="s">
        <v>17</v>
      </c>
      <c r="F6519" s="9">
        <v>46140.0</v>
      </c>
      <c r="G6519" s="8" t="s">
        <v>410</v>
      </c>
      <c r="H6519" s="8" t="s">
        <v>411</v>
      </c>
      <c r="I6519" s="8" t="s">
        <v>19594</v>
      </c>
      <c r="J6519" s="8" t="s">
        <v>19595</v>
      </c>
    </row>
    <row r="6520">
      <c r="A6520" s="7">
        <v>2.0053186E7</v>
      </c>
      <c r="B6520" s="8" t="s">
        <v>5417</v>
      </c>
      <c r="C6520" s="8" t="s">
        <v>19596</v>
      </c>
      <c r="D6520" s="8" t="s">
        <v>16</v>
      </c>
      <c r="E6520" s="8" t="s">
        <v>17</v>
      </c>
      <c r="F6520" s="9">
        <v>46111.0</v>
      </c>
      <c r="G6520" s="8" t="s">
        <v>59</v>
      </c>
      <c r="H6520" s="8" t="s">
        <v>60</v>
      </c>
      <c r="I6520" s="8" t="s">
        <v>19597</v>
      </c>
      <c r="J6520" s="8" t="s">
        <v>19598</v>
      </c>
    </row>
    <row r="6521">
      <c r="A6521" s="7">
        <v>2.0049383E7</v>
      </c>
      <c r="B6521" s="8" t="s">
        <v>5417</v>
      </c>
      <c r="C6521" s="8" t="s">
        <v>19599</v>
      </c>
      <c r="D6521" s="8" t="s">
        <v>16</v>
      </c>
      <c r="E6521" s="8" t="s">
        <v>17</v>
      </c>
      <c r="F6521" s="9">
        <v>46107.0</v>
      </c>
      <c r="G6521" s="8" t="s">
        <v>59</v>
      </c>
      <c r="H6521" s="8" t="s">
        <v>60</v>
      </c>
      <c r="I6521" s="8" t="s">
        <v>19600</v>
      </c>
      <c r="J6521" s="8" t="s">
        <v>19601</v>
      </c>
    </row>
    <row r="6522">
      <c r="A6522" s="7">
        <v>2.0046531E7</v>
      </c>
      <c r="B6522" s="8" t="s">
        <v>5417</v>
      </c>
      <c r="C6522" s="8" t="s">
        <v>19602</v>
      </c>
      <c r="D6522" s="8" t="s">
        <v>16</v>
      </c>
      <c r="E6522" s="8" t="s">
        <v>17</v>
      </c>
      <c r="F6522" s="9">
        <v>46085.0</v>
      </c>
      <c r="G6522" s="8" t="s">
        <v>91</v>
      </c>
      <c r="H6522" s="8" t="s">
        <v>92</v>
      </c>
      <c r="I6522" s="8" t="s">
        <v>19603</v>
      </c>
      <c r="J6522" s="8" t="s">
        <v>19604</v>
      </c>
    </row>
    <row r="6523">
      <c r="A6523" s="7">
        <v>2.0046531E7</v>
      </c>
      <c r="B6523" s="8" t="s">
        <v>5417</v>
      </c>
      <c r="C6523" s="8" t="s">
        <v>19602</v>
      </c>
      <c r="D6523" s="8" t="s">
        <v>16</v>
      </c>
      <c r="E6523" s="8" t="s">
        <v>17</v>
      </c>
      <c r="F6523" s="9">
        <v>46085.0</v>
      </c>
      <c r="G6523" s="8" t="s">
        <v>91</v>
      </c>
      <c r="H6523" s="8" t="s">
        <v>92</v>
      </c>
      <c r="I6523" s="8" t="s">
        <v>19605</v>
      </c>
      <c r="J6523" s="8" t="s">
        <v>19604</v>
      </c>
    </row>
    <row r="6524">
      <c r="A6524" s="7">
        <v>2.0043793E7</v>
      </c>
      <c r="B6524" s="8" t="s">
        <v>5417</v>
      </c>
      <c r="C6524" s="8" t="s">
        <v>19606</v>
      </c>
      <c r="D6524" s="8" t="s">
        <v>16</v>
      </c>
      <c r="E6524" s="8" t="s">
        <v>17</v>
      </c>
      <c r="F6524" s="9">
        <v>46095.0</v>
      </c>
      <c r="G6524" s="8" t="s">
        <v>19542</v>
      </c>
      <c r="H6524" s="8" t="s">
        <v>19543</v>
      </c>
      <c r="I6524" s="8" t="s">
        <v>19607</v>
      </c>
      <c r="J6524" s="8" t="s">
        <v>19608</v>
      </c>
    </row>
    <row r="6525">
      <c r="A6525" s="7">
        <v>2.0037512E7</v>
      </c>
      <c r="B6525" s="8" t="s">
        <v>5417</v>
      </c>
      <c r="C6525" s="8" t="s">
        <v>19609</v>
      </c>
      <c r="D6525" s="8" t="s">
        <v>16</v>
      </c>
      <c r="E6525" s="8" t="s">
        <v>17</v>
      </c>
      <c r="F6525" s="9">
        <v>46058.0</v>
      </c>
      <c r="G6525" s="8" t="s">
        <v>220</v>
      </c>
      <c r="H6525" s="8" t="s">
        <v>221</v>
      </c>
      <c r="I6525" s="8" t="s">
        <v>19610</v>
      </c>
      <c r="J6525" s="8" t="s">
        <v>19611</v>
      </c>
    </row>
    <row r="6526">
      <c r="A6526" s="7">
        <v>2.0035944E7</v>
      </c>
      <c r="B6526" s="8" t="s">
        <v>5417</v>
      </c>
      <c r="C6526" s="8" t="s">
        <v>19612</v>
      </c>
      <c r="D6526" s="8" t="s">
        <v>16</v>
      </c>
      <c r="E6526" s="8" t="s">
        <v>48</v>
      </c>
      <c r="F6526" s="9">
        <v>46053.0</v>
      </c>
      <c r="G6526" s="8" t="s">
        <v>220</v>
      </c>
      <c r="H6526" s="8" t="s">
        <v>221</v>
      </c>
      <c r="I6526" s="8" t="s">
        <v>19613</v>
      </c>
      <c r="J6526" s="8" t="s">
        <v>19614</v>
      </c>
    </row>
    <row r="6527">
      <c r="A6527" s="7">
        <v>2.0035944E7</v>
      </c>
      <c r="B6527" s="8" t="s">
        <v>5417</v>
      </c>
      <c r="C6527" s="8" t="s">
        <v>19612</v>
      </c>
      <c r="D6527" s="8" t="s">
        <v>16</v>
      </c>
      <c r="E6527" s="8" t="s">
        <v>48</v>
      </c>
      <c r="F6527" s="9">
        <v>46053.0</v>
      </c>
      <c r="G6527" s="8" t="s">
        <v>220</v>
      </c>
      <c r="H6527" s="8" t="s">
        <v>221</v>
      </c>
      <c r="I6527" s="8" t="s">
        <v>19614</v>
      </c>
      <c r="J6527" s="8" t="s">
        <v>19615</v>
      </c>
    </row>
    <row r="6528">
      <c r="A6528" s="7">
        <v>2.0062882E7</v>
      </c>
      <c r="B6528" s="8" t="s">
        <v>5417</v>
      </c>
      <c r="C6528" s="8" t="s">
        <v>19616</v>
      </c>
      <c r="D6528" s="8" t="s">
        <v>16</v>
      </c>
      <c r="E6528" s="8" t="s">
        <v>17</v>
      </c>
      <c r="F6528" s="9">
        <v>46152.0</v>
      </c>
      <c r="G6528" s="8" t="s">
        <v>868</v>
      </c>
      <c r="H6528" s="8" t="s">
        <v>869</v>
      </c>
      <c r="I6528" s="8" t="s">
        <v>19617</v>
      </c>
      <c r="J6528" s="8" t="s">
        <v>19618</v>
      </c>
    </row>
    <row r="6529">
      <c r="A6529" s="7">
        <v>2.0061252E7</v>
      </c>
      <c r="B6529" s="8" t="s">
        <v>5417</v>
      </c>
      <c r="C6529" s="8" t="s">
        <v>19619</v>
      </c>
      <c r="D6529" s="8" t="s">
        <v>2136</v>
      </c>
      <c r="E6529" s="8" t="s">
        <v>17</v>
      </c>
      <c r="F6529" s="9">
        <v>46147.0</v>
      </c>
      <c r="G6529" s="8" t="s">
        <v>339</v>
      </c>
      <c r="H6529" s="8" t="s">
        <v>340</v>
      </c>
      <c r="I6529" s="8" t="s">
        <v>19620</v>
      </c>
      <c r="J6529" s="8" t="s">
        <v>19621</v>
      </c>
    </row>
    <row r="6530">
      <c r="A6530" s="7">
        <v>2.0048624E7</v>
      </c>
      <c r="B6530" s="8" t="s">
        <v>5417</v>
      </c>
      <c r="C6530" s="8" t="s">
        <v>19622</v>
      </c>
      <c r="D6530" s="8" t="s">
        <v>16</v>
      </c>
      <c r="E6530" s="8" t="s">
        <v>17</v>
      </c>
      <c r="F6530" s="9">
        <v>46106.0</v>
      </c>
      <c r="G6530" s="8" t="s">
        <v>19036</v>
      </c>
      <c r="H6530" s="8" t="s">
        <v>2014</v>
      </c>
      <c r="I6530" s="8" t="s">
        <v>19623</v>
      </c>
      <c r="J6530" s="8" t="s">
        <v>19624</v>
      </c>
    </row>
    <row r="6531">
      <c r="A6531" s="7">
        <v>2.0049385E7</v>
      </c>
      <c r="B6531" s="8" t="s">
        <v>5417</v>
      </c>
      <c r="C6531" s="8" t="s">
        <v>19625</v>
      </c>
      <c r="D6531" s="8" t="s">
        <v>16</v>
      </c>
      <c r="E6531" s="8" t="s">
        <v>17</v>
      </c>
      <c r="F6531" s="9">
        <v>46099.0</v>
      </c>
      <c r="G6531" s="8" t="s">
        <v>59</v>
      </c>
      <c r="H6531" s="8" t="s">
        <v>60</v>
      </c>
      <c r="I6531" s="8" t="s">
        <v>19626</v>
      </c>
      <c r="J6531" s="8" t="s">
        <v>19627</v>
      </c>
    </row>
    <row r="6532">
      <c r="A6532" s="7">
        <v>2.0039706E7</v>
      </c>
      <c r="B6532" s="8" t="s">
        <v>5417</v>
      </c>
      <c r="C6532" s="8" t="s">
        <v>19628</v>
      </c>
      <c r="D6532" s="8" t="s">
        <v>16</v>
      </c>
      <c r="E6532" s="8" t="s">
        <v>17</v>
      </c>
      <c r="F6532" s="9">
        <v>46066.0</v>
      </c>
      <c r="G6532" s="8" t="s">
        <v>3027</v>
      </c>
      <c r="H6532" s="8" t="s">
        <v>909</v>
      </c>
      <c r="I6532" s="8" t="s">
        <v>19629</v>
      </c>
      <c r="J6532" s="8" t="s">
        <v>19630</v>
      </c>
    </row>
    <row r="6533">
      <c r="A6533" s="7">
        <v>2.0039595E7</v>
      </c>
      <c r="B6533" s="8" t="s">
        <v>5417</v>
      </c>
      <c r="C6533" s="8" t="s">
        <v>19631</v>
      </c>
      <c r="D6533" s="8" t="s">
        <v>16</v>
      </c>
      <c r="E6533" s="8" t="s">
        <v>17</v>
      </c>
      <c r="F6533" s="9">
        <v>46074.0</v>
      </c>
      <c r="G6533" s="8" t="s">
        <v>4762</v>
      </c>
      <c r="H6533" s="8" t="s">
        <v>4763</v>
      </c>
      <c r="I6533" s="8" t="s">
        <v>19632</v>
      </c>
      <c r="J6533" s="8" t="s">
        <v>19633</v>
      </c>
    </row>
    <row r="6534">
      <c r="A6534" s="7">
        <v>2.0034635E7</v>
      </c>
      <c r="B6534" s="8" t="s">
        <v>5417</v>
      </c>
      <c r="C6534" s="8" t="s">
        <v>19634</v>
      </c>
      <c r="D6534" s="8" t="s">
        <v>16</v>
      </c>
      <c r="E6534" s="8" t="s">
        <v>17</v>
      </c>
      <c r="F6534" s="9">
        <v>46046.0</v>
      </c>
      <c r="G6534" s="8" t="s">
        <v>2486</v>
      </c>
      <c r="H6534" s="8" t="s">
        <v>44</v>
      </c>
      <c r="I6534" s="8" t="s">
        <v>19635</v>
      </c>
      <c r="J6534" s="8" t="s">
        <v>19636</v>
      </c>
    </row>
    <row r="6535">
      <c r="A6535" s="7">
        <v>2.0034009E7</v>
      </c>
      <c r="B6535" s="8" t="s">
        <v>5417</v>
      </c>
      <c r="C6535" s="8" t="s">
        <v>19637</v>
      </c>
      <c r="D6535" s="8" t="s">
        <v>16</v>
      </c>
      <c r="E6535" s="8" t="s">
        <v>17</v>
      </c>
      <c r="F6535" s="9">
        <v>46046.0</v>
      </c>
      <c r="G6535" s="8" t="s">
        <v>314</v>
      </c>
      <c r="H6535" s="8" t="s">
        <v>315</v>
      </c>
      <c r="I6535" s="8" t="s">
        <v>19638</v>
      </c>
      <c r="J6535" s="8" t="s">
        <v>19639</v>
      </c>
    </row>
    <row r="6536">
      <c r="A6536" s="7">
        <v>2.007003E7</v>
      </c>
      <c r="B6536" s="8" t="s">
        <v>5417</v>
      </c>
      <c r="C6536" s="8" t="s">
        <v>19640</v>
      </c>
      <c r="D6536" s="8" t="s">
        <v>2136</v>
      </c>
      <c r="E6536" s="8" t="s">
        <v>17</v>
      </c>
      <c r="F6536" s="9">
        <v>46181.0</v>
      </c>
      <c r="G6536" s="8" t="s">
        <v>59</v>
      </c>
      <c r="H6536" s="8" t="s">
        <v>60</v>
      </c>
      <c r="I6536" s="8" t="s">
        <v>19641</v>
      </c>
      <c r="J6536" s="8" t="s">
        <v>19642</v>
      </c>
    </row>
    <row r="6537">
      <c r="A6537" s="7">
        <v>2.0055349E7</v>
      </c>
      <c r="B6537" s="8" t="s">
        <v>5417</v>
      </c>
      <c r="C6537" s="8" t="s">
        <v>19643</v>
      </c>
      <c r="D6537" s="8" t="s">
        <v>16</v>
      </c>
      <c r="E6537" s="8" t="s">
        <v>17</v>
      </c>
      <c r="F6537" s="9">
        <v>46131.0</v>
      </c>
      <c r="G6537" s="8" t="s">
        <v>229</v>
      </c>
      <c r="H6537" s="8" t="s">
        <v>230</v>
      </c>
      <c r="I6537" s="8" t="s">
        <v>19644</v>
      </c>
      <c r="J6537" s="8" t="s">
        <v>19645</v>
      </c>
    </row>
    <row r="6538">
      <c r="A6538" s="7">
        <v>2.004417E7</v>
      </c>
      <c r="B6538" s="8" t="s">
        <v>5417</v>
      </c>
      <c r="C6538" s="8" t="s">
        <v>19646</v>
      </c>
      <c r="D6538" s="8" t="s">
        <v>16</v>
      </c>
      <c r="E6538" s="8" t="s">
        <v>17</v>
      </c>
      <c r="F6538" s="9">
        <v>46074.0</v>
      </c>
      <c r="G6538" s="8" t="s">
        <v>234</v>
      </c>
      <c r="H6538" s="8" t="s">
        <v>235</v>
      </c>
      <c r="I6538" s="8" t="s">
        <v>19647</v>
      </c>
      <c r="J6538" s="8" t="s">
        <v>19648</v>
      </c>
    </row>
    <row r="6539">
      <c r="A6539" s="7">
        <v>2.0044167E7</v>
      </c>
      <c r="B6539" s="8" t="s">
        <v>5417</v>
      </c>
      <c r="C6539" s="8" t="s">
        <v>19649</v>
      </c>
      <c r="D6539" s="8" t="s">
        <v>16</v>
      </c>
      <c r="E6539" s="8" t="s">
        <v>17</v>
      </c>
      <c r="F6539" s="9">
        <v>46074.0</v>
      </c>
      <c r="G6539" s="8" t="s">
        <v>234</v>
      </c>
      <c r="H6539" s="8" t="s">
        <v>235</v>
      </c>
      <c r="I6539" s="8" t="s">
        <v>19650</v>
      </c>
      <c r="J6539" s="8" t="s">
        <v>19651</v>
      </c>
    </row>
    <row r="6540">
      <c r="A6540" s="7">
        <v>2.0044122E7</v>
      </c>
      <c r="B6540" s="8" t="s">
        <v>5417</v>
      </c>
      <c r="C6540" s="8" t="s">
        <v>19652</v>
      </c>
      <c r="D6540" s="8" t="s">
        <v>16</v>
      </c>
      <c r="E6540" s="8" t="s">
        <v>17</v>
      </c>
      <c r="F6540" s="9">
        <v>46079.0</v>
      </c>
      <c r="G6540" s="8" t="s">
        <v>49</v>
      </c>
      <c r="H6540" s="8" t="s">
        <v>50</v>
      </c>
      <c r="I6540" s="8" t="s">
        <v>19653</v>
      </c>
      <c r="J6540" s="8" t="s">
        <v>19654</v>
      </c>
    </row>
    <row r="6541">
      <c r="A6541" s="7">
        <v>2.0035043E7</v>
      </c>
      <c r="B6541" s="8" t="s">
        <v>5417</v>
      </c>
      <c r="C6541" s="8" t="s">
        <v>19655</v>
      </c>
      <c r="D6541" s="8" t="s">
        <v>16</v>
      </c>
      <c r="E6541" s="8" t="s">
        <v>17</v>
      </c>
      <c r="F6541" s="9">
        <v>46048.0</v>
      </c>
      <c r="G6541" s="8" t="s">
        <v>1557</v>
      </c>
      <c r="H6541" s="8" t="s">
        <v>1558</v>
      </c>
      <c r="I6541" s="8" t="s">
        <v>19656</v>
      </c>
      <c r="J6541" s="8" t="s">
        <v>19657</v>
      </c>
    </row>
    <row r="6542">
      <c r="A6542" s="7">
        <v>2.0032606E7</v>
      </c>
      <c r="B6542" s="8" t="s">
        <v>5417</v>
      </c>
      <c r="C6542" s="8" t="s">
        <v>19658</v>
      </c>
      <c r="D6542" s="8" t="s">
        <v>16</v>
      </c>
      <c r="E6542" s="8" t="s">
        <v>17</v>
      </c>
      <c r="F6542" s="9">
        <v>46047.0</v>
      </c>
      <c r="G6542" s="8" t="s">
        <v>59</v>
      </c>
      <c r="H6542" s="8" t="s">
        <v>60</v>
      </c>
      <c r="I6542" s="8" t="s">
        <v>19659</v>
      </c>
      <c r="J6542" s="8" t="s">
        <v>19660</v>
      </c>
    </row>
    <row r="6543">
      <c r="A6543" s="7">
        <v>2.0071198E7</v>
      </c>
      <c r="B6543" s="8" t="s">
        <v>3975</v>
      </c>
      <c r="C6543" s="8" t="s">
        <v>19661</v>
      </c>
      <c r="D6543" s="8" t="s">
        <v>2136</v>
      </c>
      <c r="E6543" s="8" t="s">
        <v>17</v>
      </c>
      <c r="F6543" s="9">
        <v>46186.0</v>
      </c>
      <c r="G6543" s="8" t="s">
        <v>1007</v>
      </c>
      <c r="H6543" s="8" t="s">
        <v>1008</v>
      </c>
      <c r="I6543" s="8" t="s">
        <v>19662</v>
      </c>
      <c r="J6543" s="8" t="s">
        <v>19663</v>
      </c>
    </row>
    <row r="6544">
      <c r="A6544" s="7">
        <v>2.006605E7</v>
      </c>
      <c r="B6544" s="8" t="s">
        <v>3975</v>
      </c>
      <c r="C6544" s="8" t="s">
        <v>19664</v>
      </c>
      <c r="D6544" s="8" t="s">
        <v>16</v>
      </c>
      <c r="E6544" s="8" t="s">
        <v>17</v>
      </c>
      <c r="F6544" s="9">
        <v>46184.0</v>
      </c>
      <c r="G6544" s="8" t="s">
        <v>357</v>
      </c>
      <c r="H6544" s="8" t="s">
        <v>358</v>
      </c>
      <c r="I6544" s="8" t="s">
        <v>19665</v>
      </c>
      <c r="J6544" s="8" t="s">
        <v>19666</v>
      </c>
    </row>
    <row r="6545">
      <c r="A6545" s="7">
        <v>2.005961E7</v>
      </c>
      <c r="B6545" s="8" t="s">
        <v>3975</v>
      </c>
      <c r="C6545" s="8" t="s">
        <v>19667</v>
      </c>
      <c r="D6545" s="8" t="s">
        <v>16</v>
      </c>
      <c r="E6545" s="8" t="s">
        <v>17</v>
      </c>
      <c r="F6545" s="9">
        <v>46147.0</v>
      </c>
      <c r="G6545" s="8" t="s">
        <v>282</v>
      </c>
      <c r="H6545" s="8" t="s">
        <v>3005</v>
      </c>
      <c r="I6545" s="8" t="s">
        <v>19668</v>
      </c>
      <c r="J6545" s="8" t="s">
        <v>19669</v>
      </c>
    </row>
    <row r="6546">
      <c r="A6546" s="7">
        <v>2.0072729E7</v>
      </c>
      <c r="B6546" s="8" t="s">
        <v>3975</v>
      </c>
      <c r="C6546" s="8" t="s">
        <v>19670</v>
      </c>
      <c r="D6546" s="8" t="s">
        <v>2136</v>
      </c>
      <c r="E6546" s="8" t="s">
        <v>17</v>
      </c>
      <c r="F6546" s="9">
        <v>46192.0</v>
      </c>
      <c r="G6546" s="8" t="s">
        <v>234</v>
      </c>
      <c r="H6546" s="8" t="s">
        <v>235</v>
      </c>
      <c r="I6546" s="8" t="s">
        <v>19671</v>
      </c>
      <c r="J6546" s="8" t="s">
        <v>19672</v>
      </c>
    </row>
    <row r="6547">
      <c r="A6547" s="7">
        <v>2.0062049E7</v>
      </c>
      <c r="B6547" s="8" t="s">
        <v>3975</v>
      </c>
      <c r="C6547" s="8" t="s">
        <v>19673</v>
      </c>
      <c r="D6547" s="8" t="s">
        <v>16</v>
      </c>
      <c r="E6547" s="8" t="s">
        <v>17</v>
      </c>
      <c r="F6547" s="9">
        <v>46155.0</v>
      </c>
      <c r="G6547" s="8" t="s">
        <v>59</v>
      </c>
      <c r="H6547" s="8" t="s">
        <v>60</v>
      </c>
      <c r="I6547" s="8" t="s">
        <v>19674</v>
      </c>
      <c r="J6547" s="8" t="s">
        <v>19675</v>
      </c>
    </row>
    <row r="6548">
      <c r="A6548" s="7">
        <v>2.0056395E7</v>
      </c>
      <c r="B6548" s="8" t="s">
        <v>3975</v>
      </c>
      <c r="C6548" s="8" t="s">
        <v>19676</v>
      </c>
      <c r="D6548" s="8" t="s">
        <v>16</v>
      </c>
      <c r="E6548" s="8" t="s">
        <v>17</v>
      </c>
      <c r="F6548" s="9">
        <v>46125.0</v>
      </c>
      <c r="G6548" s="8" t="s">
        <v>59</v>
      </c>
      <c r="H6548" s="8" t="s">
        <v>60</v>
      </c>
      <c r="I6548" s="8" t="s">
        <v>19677</v>
      </c>
      <c r="J6548" s="8" t="s">
        <v>19678</v>
      </c>
    </row>
    <row r="6549">
      <c r="A6549" s="7">
        <v>2.0049541E7</v>
      </c>
      <c r="B6549" s="8" t="s">
        <v>3975</v>
      </c>
      <c r="C6549" s="8" t="s">
        <v>19679</v>
      </c>
      <c r="D6549" s="8" t="s">
        <v>16</v>
      </c>
      <c r="E6549" s="8" t="s">
        <v>48</v>
      </c>
      <c r="F6549" s="9">
        <v>46119.0</v>
      </c>
      <c r="G6549" s="8" t="s">
        <v>1998</v>
      </c>
      <c r="H6549" s="8" t="s">
        <v>1999</v>
      </c>
      <c r="I6549" s="8" t="s">
        <v>19680</v>
      </c>
      <c r="J6549" s="8" t="s">
        <v>19681</v>
      </c>
    </row>
    <row r="6550">
      <c r="A6550" s="7">
        <v>2.0041049E7</v>
      </c>
      <c r="B6550" s="8" t="s">
        <v>3975</v>
      </c>
      <c r="C6550" s="8" t="s">
        <v>19682</v>
      </c>
      <c r="D6550" s="8" t="s">
        <v>16</v>
      </c>
      <c r="E6550" s="8" t="s">
        <v>17</v>
      </c>
      <c r="F6550" s="9">
        <v>46076.0</v>
      </c>
      <c r="G6550" s="8" t="s">
        <v>54</v>
      </c>
      <c r="H6550" s="8" t="s">
        <v>55</v>
      </c>
      <c r="I6550" s="8" t="s">
        <v>19683</v>
      </c>
      <c r="J6550" s="8" t="s">
        <v>19684</v>
      </c>
    </row>
    <row r="6551">
      <c r="A6551" s="7">
        <v>2.0069497E7</v>
      </c>
      <c r="B6551" s="8" t="s">
        <v>3975</v>
      </c>
      <c r="C6551" s="8" t="s">
        <v>19685</v>
      </c>
      <c r="D6551" s="8" t="s">
        <v>2136</v>
      </c>
      <c r="E6551" s="8" t="s">
        <v>17</v>
      </c>
      <c r="F6551" s="9">
        <v>46187.0</v>
      </c>
      <c r="G6551" s="8" t="s">
        <v>846</v>
      </c>
      <c r="H6551" s="8" t="s">
        <v>847</v>
      </c>
      <c r="I6551" s="8" t="s">
        <v>19686</v>
      </c>
      <c r="J6551" s="8" t="s">
        <v>19687</v>
      </c>
    </row>
    <row r="6552">
      <c r="A6552" s="7">
        <v>2.0047361E7</v>
      </c>
      <c r="B6552" s="8" t="s">
        <v>3975</v>
      </c>
      <c r="C6552" s="8" t="s">
        <v>19688</v>
      </c>
      <c r="D6552" s="8" t="s">
        <v>16</v>
      </c>
      <c r="E6552" s="8" t="s">
        <v>17</v>
      </c>
      <c r="F6552" s="9">
        <v>46096.0</v>
      </c>
      <c r="G6552" s="8" t="s">
        <v>14071</v>
      </c>
      <c r="H6552" s="8" t="s">
        <v>19689</v>
      </c>
      <c r="I6552" s="8" t="s">
        <v>19690</v>
      </c>
      <c r="J6552" s="8" t="s">
        <v>19691</v>
      </c>
    </row>
    <row r="6553">
      <c r="A6553" s="7">
        <v>2.0054439E7</v>
      </c>
      <c r="B6553" s="8" t="s">
        <v>3975</v>
      </c>
      <c r="C6553" s="8" t="s">
        <v>19692</v>
      </c>
      <c r="D6553" s="8" t="s">
        <v>16</v>
      </c>
      <c r="E6553" s="8" t="s">
        <v>17</v>
      </c>
      <c r="F6553" s="9">
        <v>46135.0</v>
      </c>
      <c r="G6553" s="8" t="s">
        <v>19693</v>
      </c>
      <c r="H6553" s="8" t="s">
        <v>19694</v>
      </c>
      <c r="I6553" s="8" t="s">
        <v>19695</v>
      </c>
      <c r="J6553" s="8" t="s">
        <v>19696</v>
      </c>
    </row>
    <row r="6554">
      <c r="A6554" s="7">
        <v>2.0069096E7</v>
      </c>
      <c r="B6554" s="8" t="s">
        <v>3975</v>
      </c>
      <c r="C6554" s="8" t="s">
        <v>19697</v>
      </c>
      <c r="D6554" s="8" t="s">
        <v>16</v>
      </c>
      <c r="E6554" s="8" t="s">
        <v>17</v>
      </c>
      <c r="F6554" s="9">
        <v>46187.0</v>
      </c>
      <c r="G6554" s="8" t="s">
        <v>1285</v>
      </c>
      <c r="H6554" s="8" t="s">
        <v>1286</v>
      </c>
      <c r="I6554" s="8" t="s">
        <v>19698</v>
      </c>
      <c r="J6554" s="8" t="s">
        <v>19699</v>
      </c>
    </row>
    <row r="6555">
      <c r="A6555" s="7">
        <v>2.0056496E7</v>
      </c>
      <c r="B6555" s="8" t="s">
        <v>3975</v>
      </c>
      <c r="C6555" s="8" t="s">
        <v>19700</v>
      </c>
      <c r="D6555" s="8" t="s">
        <v>16</v>
      </c>
      <c r="E6555" s="8" t="s">
        <v>17</v>
      </c>
      <c r="F6555" s="9">
        <v>46135.0</v>
      </c>
      <c r="G6555" s="8" t="s">
        <v>75</v>
      </c>
      <c r="H6555" s="8" t="s">
        <v>76</v>
      </c>
      <c r="I6555" s="8" t="s">
        <v>19701</v>
      </c>
      <c r="J6555" s="8" t="s">
        <v>19702</v>
      </c>
    </row>
    <row r="6556">
      <c r="A6556" s="7">
        <v>2.0055455E7</v>
      </c>
      <c r="B6556" s="8" t="s">
        <v>3975</v>
      </c>
      <c r="C6556" s="8" t="s">
        <v>19703</v>
      </c>
      <c r="D6556" s="8" t="s">
        <v>16</v>
      </c>
      <c r="E6556" s="8" t="s">
        <v>17</v>
      </c>
      <c r="F6556" s="9">
        <v>46144.0</v>
      </c>
      <c r="G6556" s="8" t="s">
        <v>3008</v>
      </c>
      <c r="H6556" s="8" t="s">
        <v>3009</v>
      </c>
      <c r="I6556" s="8" t="s">
        <v>19704</v>
      </c>
      <c r="J6556" s="8"/>
    </row>
    <row r="6557">
      <c r="A6557" s="7">
        <v>2.0055455E7</v>
      </c>
      <c r="B6557" s="8" t="s">
        <v>3975</v>
      </c>
      <c r="C6557" s="8" t="s">
        <v>19703</v>
      </c>
      <c r="D6557" s="8" t="s">
        <v>16</v>
      </c>
      <c r="E6557" s="8" t="s">
        <v>17</v>
      </c>
      <c r="F6557" s="9">
        <v>46144.0</v>
      </c>
      <c r="G6557" s="8" t="s">
        <v>423</v>
      </c>
      <c r="H6557" s="8" t="s">
        <v>6351</v>
      </c>
      <c r="I6557" s="8" t="s">
        <v>19705</v>
      </c>
      <c r="J6557" s="8" t="s">
        <v>19706</v>
      </c>
    </row>
    <row r="6558">
      <c r="A6558" s="7">
        <v>2.0055455E7</v>
      </c>
      <c r="B6558" s="8" t="s">
        <v>3975</v>
      </c>
      <c r="C6558" s="8" t="s">
        <v>19703</v>
      </c>
      <c r="D6558" s="8" t="s">
        <v>16</v>
      </c>
      <c r="E6558" s="8" t="s">
        <v>17</v>
      </c>
      <c r="F6558" s="9">
        <v>46144.0</v>
      </c>
      <c r="G6558" s="8" t="s">
        <v>423</v>
      </c>
      <c r="H6558" s="8" t="s">
        <v>6351</v>
      </c>
      <c r="I6558" s="8" t="s">
        <v>19707</v>
      </c>
      <c r="J6558" s="8" t="s">
        <v>19706</v>
      </c>
    </row>
    <row r="6559">
      <c r="A6559" s="7">
        <v>2.0053854E7</v>
      </c>
      <c r="B6559" s="8" t="s">
        <v>3975</v>
      </c>
      <c r="C6559" s="8" t="s">
        <v>19708</v>
      </c>
      <c r="D6559" s="8" t="s">
        <v>16</v>
      </c>
      <c r="E6559" s="8" t="s">
        <v>17</v>
      </c>
      <c r="F6559" s="9">
        <v>46120.0</v>
      </c>
      <c r="G6559" s="8" t="s">
        <v>273</v>
      </c>
      <c r="H6559" s="8" t="s">
        <v>274</v>
      </c>
      <c r="I6559" s="8" t="s">
        <v>19709</v>
      </c>
      <c r="J6559" s="8" t="s">
        <v>19710</v>
      </c>
    </row>
    <row r="6560">
      <c r="A6560" s="7">
        <v>2.0053351E7</v>
      </c>
      <c r="B6560" s="8" t="s">
        <v>3975</v>
      </c>
      <c r="C6560" s="8" t="s">
        <v>19711</v>
      </c>
      <c r="D6560" s="8" t="s">
        <v>16</v>
      </c>
      <c r="E6560" s="8" t="s">
        <v>17</v>
      </c>
      <c r="F6560" s="9">
        <v>46135.0</v>
      </c>
      <c r="G6560" s="8" t="s">
        <v>16211</v>
      </c>
      <c r="H6560" s="8" t="s">
        <v>16212</v>
      </c>
      <c r="I6560" s="8" t="s">
        <v>19712</v>
      </c>
      <c r="J6560" s="8" t="s">
        <v>19713</v>
      </c>
    </row>
    <row r="6561">
      <c r="A6561" s="7">
        <v>2.0053473E7</v>
      </c>
      <c r="B6561" s="8" t="s">
        <v>3975</v>
      </c>
      <c r="C6561" s="8" t="s">
        <v>19714</v>
      </c>
      <c r="D6561" s="8" t="s">
        <v>16</v>
      </c>
      <c r="E6561" s="8" t="s">
        <v>17</v>
      </c>
      <c r="F6561" s="9">
        <v>46134.0</v>
      </c>
      <c r="G6561" s="8" t="s">
        <v>5951</v>
      </c>
      <c r="H6561" s="8" t="s">
        <v>5952</v>
      </c>
      <c r="I6561" s="8" t="s">
        <v>19715</v>
      </c>
      <c r="J6561" s="8" t="s">
        <v>19716</v>
      </c>
    </row>
    <row r="6562">
      <c r="A6562" s="7">
        <v>2.0043724E7</v>
      </c>
      <c r="B6562" s="8" t="s">
        <v>3975</v>
      </c>
      <c r="C6562" s="8" t="s">
        <v>19717</v>
      </c>
      <c r="D6562" s="8" t="s">
        <v>16</v>
      </c>
      <c r="E6562" s="8" t="s">
        <v>17</v>
      </c>
      <c r="F6562" s="9">
        <v>46089.0</v>
      </c>
      <c r="G6562" s="8" t="s">
        <v>370</v>
      </c>
      <c r="H6562" s="8" t="s">
        <v>371</v>
      </c>
      <c r="I6562" s="8" t="s">
        <v>19718</v>
      </c>
      <c r="J6562" s="8" t="s">
        <v>19719</v>
      </c>
    </row>
    <row r="6563">
      <c r="A6563" s="7">
        <v>2.0066752E7</v>
      </c>
      <c r="B6563" s="8" t="s">
        <v>3975</v>
      </c>
      <c r="C6563" s="8" t="s">
        <v>19720</v>
      </c>
      <c r="D6563" s="8" t="s">
        <v>16</v>
      </c>
      <c r="E6563" s="8" t="s">
        <v>17</v>
      </c>
      <c r="F6563" s="9">
        <v>46182.0</v>
      </c>
      <c r="G6563" s="8" t="s">
        <v>630</v>
      </c>
      <c r="H6563" s="8" t="s">
        <v>631</v>
      </c>
      <c r="I6563" s="8" t="s">
        <v>19721</v>
      </c>
      <c r="J6563" s="8" t="s">
        <v>19722</v>
      </c>
    </row>
    <row r="6564">
      <c r="A6564" s="7">
        <v>2.0060126E7</v>
      </c>
      <c r="B6564" s="8" t="s">
        <v>3975</v>
      </c>
      <c r="C6564" s="8" t="s">
        <v>19723</v>
      </c>
      <c r="D6564" s="8" t="s">
        <v>16</v>
      </c>
      <c r="E6564" s="8" t="s">
        <v>17</v>
      </c>
      <c r="F6564" s="9">
        <v>46170.0</v>
      </c>
      <c r="G6564" s="8" t="s">
        <v>1854</v>
      </c>
      <c r="H6564" s="8" t="s">
        <v>4666</v>
      </c>
      <c r="I6564" s="8" t="s">
        <v>19724</v>
      </c>
      <c r="J6564" s="8" t="s">
        <v>19725</v>
      </c>
    </row>
    <row r="6565">
      <c r="A6565" s="7">
        <v>2.0060126E7</v>
      </c>
      <c r="B6565" s="8" t="s">
        <v>3975</v>
      </c>
      <c r="C6565" s="8" t="s">
        <v>19723</v>
      </c>
      <c r="D6565" s="8" t="s">
        <v>16</v>
      </c>
      <c r="E6565" s="8" t="s">
        <v>17</v>
      </c>
      <c r="F6565" s="9">
        <v>46170.0</v>
      </c>
      <c r="G6565" s="8" t="s">
        <v>3390</v>
      </c>
      <c r="H6565" s="8" t="s">
        <v>8492</v>
      </c>
      <c r="I6565" s="8" t="s">
        <v>19726</v>
      </c>
      <c r="J6565" s="8"/>
    </row>
    <row r="6566">
      <c r="A6566" s="7">
        <v>2.0053417E7</v>
      </c>
      <c r="B6566" s="8" t="s">
        <v>3975</v>
      </c>
      <c r="C6566" s="8" t="s">
        <v>19727</v>
      </c>
      <c r="D6566" s="8" t="s">
        <v>16</v>
      </c>
      <c r="E6566" s="8" t="s">
        <v>17</v>
      </c>
      <c r="F6566" s="9">
        <v>46122.0</v>
      </c>
      <c r="G6566" s="8" t="s">
        <v>109</v>
      </c>
      <c r="H6566" s="8" t="s">
        <v>110</v>
      </c>
      <c r="I6566" s="8" t="s">
        <v>19728</v>
      </c>
      <c r="J6566" s="8" t="s">
        <v>19729</v>
      </c>
    </row>
    <row r="6567">
      <c r="A6567" s="7">
        <v>2.0042576E7</v>
      </c>
      <c r="B6567" s="8" t="s">
        <v>3975</v>
      </c>
      <c r="C6567" s="8" t="s">
        <v>19730</v>
      </c>
      <c r="D6567" s="8" t="s">
        <v>16</v>
      </c>
      <c r="E6567" s="8" t="s">
        <v>17</v>
      </c>
      <c r="F6567" s="9">
        <v>46092.0</v>
      </c>
      <c r="G6567" s="8" t="s">
        <v>6268</v>
      </c>
      <c r="H6567" s="8" t="s">
        <v>6269</v>
      </c>
      <c r="I6567" s="8" t="s">
        <v>19731</v>
      </c>
      <c r="J6567" s="8" t="s">
        <v>19732</v>
      </c>
    </row>
    <row r="6568">
      <c r="A6568" s="7">
        <v>2.0038371E7</v>
      </c>
      <c r="B6568" s="8" t="s">
        <v>3975</v>
      </c>
      <c r="C6568" s="8" t="s">
        <v>19733</v>
      </c>
      <c r="D6568" s="8" t="s">
        <v>16</v>
      </c>
      <c r="E6568" s="8" t="s">
        <v>17</v>
      </c>
      <c r="F6568" s="9">
        <v>46057.0</v>
      </c>
      <c r="G6568" s="8" t="s">
        <v>517</v>
      </c>
      <c r="H6568" s="8" t="s">
        <v>518</v>
      </c>
      <c r="I6568" s="8" t="s">
        <v>19734</v>
      </c>
      <c r="J6568" s="8" t="s">
        <v>19735</v>
      </c>
    </row>
    <row r="6569">
      <c r="A6569" s="7">
        <v>2.0051332E7</v>
      </c>
      <c r="B6569" s="8" t="s">
        <v>3975</v>
      </c>
      <c r="C6569" s="8" t="s">
        <v>19736</v>
      </c>
      <c r="D6569" s="8" t="s">
        <v>16</v>
      </c>
      <c r="E6569" s="8" t="s">
        <v>17</v>
      </c>
      <c r="F6569" s="9">
        <v>46107.0</v>
      </c>
      <c r="G6569" s="8" t="s">
        <v>822</v>
      </c>
      <c r="H6569" s="8" t="s">
        <v>120</v>
      </c>
      <c r="I6569" s="8" t="s">
        <v>19737</v>
      </c>
      <c r="J6569" s="8" t="s">
        <v>19738</v>
      </c>
    </row>
    <row r="6570">
      <c r="A6570" s="7">
        <v>2.004068E7</v>
      </c>
      <c r="B6570" s="8" t="s">
        <v>3975</v>
      </c>
      <c r="C6570" s="8" t="s">
        <v>19739</v>
      </c>
      <c r="D6570" s="8" t="s">
        <v>16</v>
      </c>
      <c r="E6570" s="8" t="s">
        <v>17</v>
      </c>
      <c r="F6570" s="9">
        <v>46065.0</v>
      </c>
      <c r="G6570" s="8" t="s">
        <v>220</v>
      </c>
      <c r="H6570" s="8" t="s">
        <v>221</v>
      </c>
      <c r="I6570" s="8" t="s">
        <v>19740</v>
      </c>
      <c r="J6570" s="8" t="s">
        <v>19741</v>
      </c>
    </row>
    <row r="6571">
      <c r="A6571" s="7">
        <v>2.0045672E7</v>
      </c>
      <c r="B6571" s="8" t="s">
        <v>3975</v>
      </c>
      <c r="C6571" s="8" t="s">
        <v>19742</v>
      </c>
      <c r="D6571" s="8" t="s">
        <v>16</v>
      </c>
      <c r="E6571" s="8" t="s">
        <v>17</v>
      </c>
      <c r="F6571" s="9">
        <v>46092.0</v>
      </c>
      <c r="G6571" s="8" t="s">
        <v>29</v>
      </c>
      <c r="H6571" s="8" t="s">
        <v>30</v>
      </c>
      <c r="I6571" s="8" t="s">
        <v>19743</v>
      </c>
      <c r="J6571" s="8" t="s">
        <v>19744</v>
      </c>
    </row>
    <row r="6572">
      <c r="A6572" s="7">
        <v>2.0044639E7</v>
      </c>
      <c r="B6572" s="8" t="s">
        <v>3975</v>
      </c>
      <c r="C6572" s="8" t="s">
        <v>19745</v>
      </c>
      <c r="D6572" s="8" t="s">
        <v>16</v>
      </c>
      <c r="E6572" s="8" t="s">
        <v>17</v>
      </c>
      <c r="F6572" s="9">
        <v>46079.0</v>
      </c>
      <c r="G6572" s="8" t="s">
        <v>1431</v>
      </c>
      <c r="H6572" s="8" t="s">
        <v>1432</v>
      </c>
      <c r="I6572" s="8" t="s">
        <v>19746</v>
      </c>
      <c r="J6572" s="8" t="s">
        <v>19747</v>
      </c>
    </row>
    <row r="6573">
      <c r="A6573" s="7">
        <v>2.0036119E7</v>
      </c>
      <c r="B6573" s="8" t="s">
        <v>3975</v>
      </c>
      <c r="C6573" s="8" t="s">
        <v>19748</v>
      </c>
      <c r="D6573" s="8" t="s">
        <v>16</v>
      </c>
      <c r="E6573" s="8" t="s">
        <v>17</v>
      </c>
      <c r="F6573" s="9">
        <v>46045.0</v>
      </c>
      <c r="G6573" s="8" t="s">
        <v>3585</v>
      </c>
      <c r="H6573" s="8" t="s">
        <v>3586</v>
      </c>
      <c r="I6573" s="8" t="s">
        <v>19749</v>
      </c>
      <c r="J6573" s="8" t="s">
        <v>19750</v>
      </c>
    </row>
    <row r="6574">
      <c r="A6574" s="7">
        <v>2.0066261E7</v>
      </c>
      <c r="B6574" s="8" t="s">
        <v>3975</v>
      </c>
      <c r="C6574" s="8" t="s">
        <v>19751</v>
      </c>
      <c r="D6574" s="8" t="s">
        <v>16</v>
      </c>
      <c r="E6574" s="8" t="s">
        <v>17</v>
      </c>
      <c r="F6574" s="9">
        <v>46193.0</v>
      </c>
      <c r="G6574" s="8" t="s">
        <v>5431</v>
      </c>
      <c r="H6574" s="8" t="s">
        <v>5432</v>
      </c>
      <c r="I6574" s="8" t="s">
        <v>19752</v>
      </c>
      <c r="J6574" s="8" t="s">
        <v>19753</v>
      </c>
    </row>
    <row r="6575">
      <c r="A6575" s="7">
        <v>2.0043653E7</v>
      </c>
      <c r="B6575" s="8" t="s">
        <v>3975</v>
      </c>
      <c r="C6575" s="8" t="s">
        <v>19754</v>
      </c>
      <c r="D6575" s="8" t="s">
        <v>16</v>
      </c>
      <c r="E6575" s="8" t="s">
        <v>17</v>
      </c>
      <c r="F6575" s="9">
        <v>46100.0</v>
      </c>
      <c r="G6575" s="8" t="s">
        <v>176</v>
      </c>
      <c r="H6575" s="8" t="s">
        <v>177</v>
      </c>
      <c r="I6575" s="8" t="s">
        <v>19755</v>
      </c>
      <c r="J6575" s="8" t="s">
        <v>19756</v>
      </c>
    </row>
    <row r="6576">
      <c r="A6576" s="7">
        <v>2.0041736E7</v>
      </c>
      <c r="B6576" s="8" t="s">
        <v>3975</v>
      </c>
      <c r="C6576" s="8" t="s">
        <v>19757</v>
      </c>
      <c r="D6576" s="8" t="s">
        <v>16</v>
      </c>
      <c r="E6576" s="8" t="s">
        <v>17</v>
      </c>
      <c r="F6576" s="9">
        <v>46069.0</v>
      </c>
      <c r="G6576" s="8" t="s">
        <v>220</v>
      </c>
      <c r="H6576" s="8" t="s">
        <v>221</v>
      </c>
      <c r="I6576" s="8" t="s">
        <v>19758</v>
      </c>
      <c r="J6576" s="8" t="s">
        <v>19759</v>
      </c>
    </row>
    <row r="6577">
      <c r="A6577" s="7">
        <v>2.0053127E7</v>
      </c>
      <c r="B6577" s="8" t="s">
        <v>3975</v>
      </c>
      <c r="C6577" s="8" t="s">
        <v>19760</v>
      </c>
      <c r="D6577" s="8" t="s">
        <v>16</v>
      </c>
      <c r="E6577" s="8" t="s">
        <v>17</v>
      </c>
      <c r="F6577" s="9">
        <v>46110.0</v>
      </c>
      <c r="G6577" s="8" t="s">
        <v>339</v>
      </c>
      <c r="H6577" s="8" t="s">
        <v>340</v>
      </c>
      <c r="I6577" s="8" t="s">
        <v>19761</v>
      </c>
      <c r="J6577" s="8" t="s">
        <v>19762</v>
      </c>
    </row>
    <row r="6578">
      <c r="A6578" s="7">
        <v>2.0066787E7</v>
      </c>
      <c r="B6578" s="8" t="s">
        <v>3975</v>
      </c>
      <c r="C6578" s="8" t="s">
        <v>19763</v>
      </c>
      <c r="D6578" s="8" t="s">
        <v>16</v>
      </c>
      <c r="E6578" s="8" t="s">
        <v>17</v>
      </c>
      <c r="F6578" s="9">
        <v>46170.0</v>
      </c>
      <c r="G6578" s="8" t="s">
        <v>3012</v>
      </c>
      <c r="H6578" s="8" t="s">
        <v>3013</v>
      </c>
      <c r="I6578" s="8" t="s">
        <v>19764</v>
      </c>
      <c r="J6578" s="8" t="s">
        <v>19765</v>
      </c>
    </row>
    <row r="6579">
      <c r="A6579" s="7">
        <v>2.0048585E7</v>
      </c>
      <c r="B6579" s="8" t="s">
        <v>3975</v>
      </c>
      <c r="C6579" s="8" t="s">
        <v>19766</v>
      </c>
      <c r="D6579" s="8" t="s">
        <v>16</v>
      </c>
      <c r="E6579" s="8" t="s">
        <v>17</v>
      </c>
      <c r="F6579" s="9">
        <v>46111.0</v>
      </c>
      <c r="G6579" s="8" t="s">
        <v>410</v>
      </c>
      <c r="H6579" s="8" t="s">
        <v>411</v>
      </c>
      <c r="I6579" s="8" t="s">
        <v>19767</v>
      </c>
      <c r="J6579" s="8" t="s">
        <v>19768</v>
      </c>
    </row>
    <row r="6580">
      <c r="A6580" s="7">
        <v>2.0036774E7</v>
      </c>
      <c r="B6580" s="8" t="s">
        <v>3975</v>
      </c>
      <c r="C6580" s="8" t="s">
        <v>19769</v>
      </c>
      <c r="D6580" s="8" t="s">
        <v>16</v>
      </c>
      <c r="E6580" s="8" t="s">
        <v>17</v>
      </c>
      <c r="F6580" s="9">
        <v>46050.0</v>
      </c>
      <c r="G6580" s="8" t="s">
        <v>234</v>
      </c>
      <c r="H6580" s="8" t="s">
        <v>235</v>
      </c>
      <c r="I6580" s="8" t="s">
        <v>19770</v>
      </c>
      <c r="J6580" s="8" t="s">
        <v>19771</v>
      </c>
    </row>
    <row r="6581">
      <c r="A6581" s="7">
        <v>2.0066043E7</v>
      </c>
      <c r="B6581" s="8" t="s">
        <v>3975</v>
      </c>
      <c r="C6581" s="8" t="s">
        <v>19772</v>
      </c>
      <c r="D6581" s="8" t="s">
        <v>2136</v>
      </c>
      <c r="E6581" s="8" t="s">
        <v>17</v>
      </c>
      <c r="F6581" s="9">
        <v>46165.0</v>
      </c>
      <c r="G6581" s="8" t="s">
        <v>805</v>
      </c>
      <c r="H6581" s="8" t="s">
        <v>806</v>
      </c>
      <c r="I6581" s="8" t="s">
        <v>19773</v>
      </c>
      <c r="J6581" s="8" t="s">
        <v>19774</v>
      </c>
    </row>
    <row r="6582">
      <c r="A6582" s="7">
        <v>2.0057279E7</v>
      </c>
      <c r="B6582" s="8" t="s">
        <v>3975</v>
      </c>
      <c r="C6582" s="8" t="s">
        <v>19775</v>
      </c>
      <c r="D6582" s="8" t="s">
        <v>16</v>
      </c>
      <c r="E6582" s="8" t="s">
        <v>17</v>
      </c>
      <c r="F6582" s="9">
        <v>46143.0</v>
      </c>
      <c r="G6582" s="8" t="s">
        <v>3275</v>
      </c>
      <c r="H6582" s="8" t="s">
        <v>3276</v>
      </c>
      <c r="I6582" s="8" t="s">
        <v>19776</v>
      </c>
      <c r="J6582" s="8"/>
    </row>
    <row r="6583">
      <c r="A6583" s="7">
        <v>2.0049922E7</v>
      </c>
      <c r="B6583" s="8" t="s">
        <v>3975</v>
      </c>
      <c r="C6583" s="8" t="s">
        <v>19777</v>
      </c>
      <c r="D6583" s="8" t="s">
        <v>16</v>
      </c>
      <c r="E6583" s="8" t="s">
        <v>17</v>
      </c>
      <c r="F6583" s="9">
        <v>46107.0</v>
      </c>
      <c r="G6583" s="8" t="s">
        <v>423</v>
      </c>
      <c r="H6583" s="8" t="s">
        <v>424</v>
      </c>
      <c r="I6583" s="8" t="s">
        <v>19778</v>
      </c>
      <c r="J6583" s="8" t="s">
        <v>19779</v>
      </c>
    </row>
    <row r="6584">
      <c r="A6584" s="7">
        <v>2.0072508E7</v>
      </c>
      <c r="B6584" s="8" t="s">
        <v>3975</v>
      </c>
      <c r="C6584" s="8" t="s">
        <v>19780</v>
      </c>
      <c r="D6584" s="8" t="s">
        <v>16</v>
      </c>
      <c r="E6584" s="8" t="s">
        <v>17</v>
      </c>
      <c r="F6584" s="9">
        <v>46191.0</v>
      </c>
      <c r="G6584" s="8" t="s">
        <v>220</v>
      </c>
      <c r="H6584" s="8" t="s">
        <v>221</v>
      </c>
      <c r="I6584" s="8" t="s">
        <v>19781</v>
      </c>
      <c r="J6584" s="8" t="s">
        <v>19782</v>
      </c>
    </row>
    <row r="6585">
      <c r="A6585" s="7">
        <v>2.006712E7</v>
      </c>
      <c r="B6585" s="8" t="s">
        <v>3975</v>
      </c>
      <c r="C6585" s="8" t="s">
        <v>19783</v>
      </c>
      <c r="D6585" s="8" t="s">
        <v>16</v>
      </c>
      <c r="E6585" s="8" t="s">
        <v>17</v>
      </c>
      <c r="F6585" s="9">
        <v>46186.0</v>
      </c>
      <c r="G6585" s="8" t="s">
        <v>119</v>
      </c>
      <c r="H6585" s="8" t="s">
        <v>19784</v>
      </c>
      <c r="I6585" s="8" t="s">
        <v>19785</v>
      </c>
      <c r="J6585" s="8" t="s">
        <v>19786</v>
      </c>
    </row>
    <row r="6586">
      <c r="A6586" s="7">
        <v>2.005921E7</v>
      </c>
      <c r="B6586" s="8" t="s">
        <v>3975</v>
      </c>
      <c r="C6586" s="8" t="s">
        <v>19787</v>
      </c>
      <c r="D6586" s="8" t="s">
        <v>16</v>
      </c>
      <c r="E6586" s="8" t="s">
        <v>17</v>
      </c>
      <c r="F6586" s="9">
        <v>46182.0</v>
      </c>
      <c r="G6586" s="8" t="s">
        <v>114</v>
      </c>
      <c r="H6586" s="8" t="s">
        <v>115</v>
      </c>
      <c r="I6586" s="8" t="s">
        <v>19788</v>
      </c>
      <c r="J6586" s="8" t="s">
        <v>19789</v>
      </c>
    </row>
    <row r="6587">
      <c r="A6587" s="7">
        <v>2.0054263E7</v>
      </c>
      <c r="B6587" s="8" t="s">
        <v>3975</v>
      </c>
      <c r="C6587" s="8" t="s">
        <v>19790</v>
      </c>
      <c r="D6587" s="8" t="s">
        <v>16</v>
      </c>
      <c r="E6587" s="8" t="s">
        <v>17</v>
      </c>
      <c r="F6587" s="9">
        <v>46117.0</v>
      </c>
      <c r="G6587" s="8" t="s">
        <v>59</v>
      </c>
      <c r="H6587" s="8" t="s">
        <v>60</v>
      </c>
      <c r="I6587" s="8" t="s">
        <v>19791</v>
      </c>
      <c r="J6587" s="8" t="s">
        <v>19792</v>
      </c>
    </row>
    <row r="6588">
      <c r="A6588" s="7">
        <v>2.0048428E7</v>
      </c>
      <c r="B6588" s="8" t="s">
        <v>3975</v>
      </c>
      <c r="C6588" s="8" t="s">
        <v>19793</v>
      </c>
      <c r="D6588" s="8" t="s">
        <v>16</v>
      </c>
      <c r="E6588" s="8" t="s">
        <v>17</v>
      </c>
      <c r="F6588" s="9">
        <v>46091.0</v>
      </c>
      <c r="G6588" s="8" t="s">
        <v>59</v>
      </c>
      <c r="H6588" s="8" t="s">
        <v>60</v>
      </c>
      <c r="I6588" s="8" t="s">
        <v>19794</v>
      </c>
      <c r="J6588" s="8" t="s">
        <v>19795</v>
      </c>
    </row>
    <row r="6589">
      <c r="A6589" s="7">
        <v>2.0043093E7</v>
      </c>
      <c r="B6589" s="8" t="s">
        <v>3975</v>
      </c>
      <c r="C6589" s="8" t="s">
        <v>19796</v>
      </c>
      <c r="D6589" s="8" t="s">
        <v>16</v>
      </c>
      <c r="E6589" s="8" t="s">
        <v>17</v>
      </c>
      <c r="F6589" s="9">
        <v>46070.0</v>
      </c>
      <c r="G6589" s="8" t="s">
        <v>234</v>
      </c>
      <c r="H6589" s="8" t="s">
        <v>235</v>
      </c>
      <c r="I6589" s="8" t="s">
        <v>19797</v>
      </c>
      <c r="J6589" s="8" t="s">
        <v>19798</v>
      </c>
    </row>
    <row r="6590">
      <c r="A6590" s="7">
        <v>2.003921E7</v>
      </c>
      <c r="B6590" s="8" t="s">
        <v>3975</v>
      </c>
      <c r="C6590" s="8" t="s">
        <v>19799</v>
      </c>
      <c r="D6590" s="8" t="s">
        <v>16</v>
      </c>
      <c r="E6590" s="8" t="s">
        <v>17</v>
      </c>
      <c r="F6590" s="9">
        <v>46069.0</v>
      </c>
      <c r="G6590" s="8" t="s">
        <v>805</v>
      </c>
      <c r="H6590" s="8" t="s">
        <v>806</v>
      </c>
      <c r="I6590" s="8" t="s">
        <v>19800</v>
      </c>
      <c r="J6590" s="8" t="s">
        <v>19801</v>
      </c>
    </row>
    <row r="6591">
      <c r="A6591" s="7">
        <v>2.0064968E7</v>
      </c>
      <c r="B6591" s="8" t="s">
        <v>3975</v>
      </c>
      <c r="C6591" s="8" t="s">
        <v>19802</v>
      </c>
      <c r="D6591" s="8" t="s">
        <v>16</v>
      </c>
      <c r="E6591" s="8" t="s">
        <v>17</v>
      </c>
      <c r="F6591" s="9">
        <v>46170.0</v>
      </c>
      <c r="G6591" s="8" t="s">
        <v>282</v>
      </c>
      <c r="H6591" s="8" t="s">
        <v>3005</v>
      </c>
      <c r="I6591" s="8" t="s">
        <v>19803</v>
      </c>
      <c r="J6591" s="8" t="s">
        <v>19804</v>
      </c>
    </row>
    <row r="6592">
      <c r="A6592" s="7">
        <v>2.0059736E7</v>
      </c>
      <c r="B6592" s="8" t="s">
        <v>3975</v>
      </c>
      <c r="C6592" s="8" t="s">
        <v>19805</v>
      </c>
      <c r="D6592" s="8" t="s">
        <v>2136</v>
      </c>
      <c r="E6592" s="8" t="s">
        <v>17</v>
      </c>
      <c r="F6592" s="9">
        <v>46139.0</v>
      </c>
      <c r="G6592" s="8" t="s">
        <v>1969</v>
      </c>
      <c r="H6592" s="8" t="s">
        <v>1970</v>
      </c>
      <c r="I6592" s="8" t="s">
        <v>19806</v>
      </c>
      <c r="J6592" s="8" t="s">
        <v>19807</v>
      </c>
    </row>
    <row r="6593">
      <c r="A6593" s="7">
        <v>2.0045311E7</v>
      </c>
      <c r="B6593" s="8" t="s">
        <v>3975</v>
      </c>
      <c r="C6593" s="8" t="s">
        <v>19808</v>
      </c>
      <c r="D6593" s="8" t="s">
        <v>16</v>
      </c>
      <c r="E6593" s="8" t="s">
        <v>17</v>
      </c>
      <c r="F6593" s="9">
        <v>46089.0</v>
      </c>
      <c r="G6593" s="8" t="s">
        <v>3172</v>
      </c>
      <c r="H6593" s="8" t="s">
        <v>120</v>
      </c>
      <c r="I6593" s="8" t="s">
        <v>19809</v>
      </c>
      <c r="J6593" s="8" t="s">
        <v>19810</v>
      </c>
    </row>
    <row r="6594">
      <c r="A6594" s="7">
        <v>2.007169E7</v>
      </c>
      <c r="B6594" s="8" t="s">
        <v>3975</v>
      </c>
      <c r="C6594" s="8" t="s">
        <v>19811</v>
      </c>
      <c r="D6594" s="8" t="s">
        <v>16</v>
      </c>
      <c r="E6594" s="8" t="s">
        <v>17</v>
      </c>
      <c r="F6594" s="9">
        <v>46188.0</v>
      </c>
      <c r="G6594" s="8" t="s">
        <v>220</v>
      </c>
      <c r="H6594" s="8" t="s">
        <v>221</v>
      </c>
      <c r="I6594" s="8" t="s">
        <v>19812</v>
      </c>
      <c r="J6594" s="8" t="s">
        <v>19813</v>
      </c>
    </row>
    <row r="6595">
      <c r="A6595" s="7">
        <v>2.0063989E7</v>
      </c>
      <c r="B6595" s="8" t="s">
        <v>3975</v>
      </c>
      <c r="C6595" s="8" t="s">
        <v>19814</v>
      </c>
      <c r="D6595" s="8" t="s">
        <v>16</v>
      </c>
      <c r="E6595" s="8" t="s">
        <v>17</v>
      </c>
      <c r="F6595" s="9">
        <v>46164.0</v>
      </c>
      <c r="G6595" s="8" t="s">
        <v>13444</v>
      </c>
      <c r="H6595" s="8" t="s">
        <v>13445</v>
      </c>
      <c r="I6595" s="8" t="s">
        <v>19815</v>
      </c>
      <c r="J6595" s="8" t="s">
        <v>19816</v>
      </c>
    </row>
    <row r="6596">
      <c r="A6596" s="7">
        <v>2.0057075E7</v>
      </c>
      <c r="B6596" s="8" t="s">
        <v>3975</v>
      </c>
      <c r="C6596" s="8" t="s">
        <v>19817</v>
      </c>
      <c r="D6596" s="8" t="s">
        <v>16</v>
      </c>
      <c r="E6596" s="8" t="s">
        <v>17</v>
      </c>
      <c r="F6596" s="9">
        <v>46140.0</v>
      </c>
      <c r="G6596" s="8" t="s">
        <v>5916</v>
      </c>
      <c r="H6596" s="8" t="s">
        <v>5917</v>
      </c>
      <c r="I6596" s="8" t="s">
        <v>19818</v>
      </c>
      <c r="J6596" s="8" t="s">
        <v>19819</v>
      </c>
    </row>
    <row r="6597">
      <c r="A6597" s="7">
        <v>2.0057551E7</v>
      </c>
      <c r="B6597" s="8" t="s">
        <v>3975</v>
      </c>
      <c r="C6597" s="8" t="s">
        <v>19820</v>
      </c>
      <c r="D6597" s="8" t="s">
        <v>16</v>
      </c>
      <c r="E6597" s="8" t="s">
        <v>17</v>
      </c>
      <c r="F6597" s="9">
        <v>46130.0</v>
      </c>
      <c r="G6597" s="8" t="s">
        <v>29</v>
      </c>
      <c r="H6597" s="8" t="s">
        <v>30</v>
      </c>
      <c r="I6597" s="8" t="s">
        <v>19821</v>
      </c>
      <c r="J6597" s="8" t="s">
        <v>19822</v>
      </c>
    </row>
    <row r="6598">
      <c r="A6598" s="7">
        <v>2.0055726E7</v>
      </c>
      <c r="B6598" s="8" t="s">
        <v>3975</v>
      </c>
      <c r="C6598" s="8" t="s">
        <v>19823</v>
      </c>
      <c r="D6598" s="8" t="s">
        <v>16</v>
      </c>
      <c r="E6598" s="8" t="s">
        <v>17</v>
      </c>
      <c r="F6598" s="9">
        <v>46151.0</v>
      </c>
      <c r="G6598" s="8" t="s">
        <v>2202</v>
      </c>
      <c r="H6598" s="8" t="s">
        <v>2203</v>
      </c>
      <c r="I6598" s="8" t="s">
        <v>19824</v>
      </c>
      <c r="J6598" s="8" t="s">
        <v>19825</v>
      </c>
    </row>
    <row r="6599">
      <c r="A6599" s="7">
        <v>2.0055472E7</v>
      </c>
      <c r="B6599" s="8" t="s">
        <v>3975</v>
      </c>
      <c r="C6599" s="8" t="s">
        <v>19826</v>
      </c>
      <c r="D6599" s="8" t="s">
        <v>16</v>
      </c>
      <c r="E6599" s="8" t="s">
        <v>17</v>
      </c>
      <c r="F6599" s="9">
        <v>46144.0</v>
      </c>
      <c r="G6599" s="8" t="s">
        <v>13108</v>
      </c>
      <c r="H6599" s="8" t="s">
        <v>13109</v>
      </c>
      <c r="I6599" s="8" t="s">
        <v>19827</v>
      </c>
      <c r="J6599" s="8" t="s">
        <v>19828</v>
      </c>
    </row>
    <row r="6600">
      <c r="A6600" s="7">
        <v>2.0055354E7</v>
      </c>
      <c r="B6600" s="8" t="s">
        <v>3975</v>
      </c>
      <c r="C6600" s="8" t="s">
        <v>19829</v>
      </c>
      <c r="D6600" s="8" t="s">
        <v>16</v>
      </c>
      <c r="E6600" s="8" t="s">
        <v>17</v>
      </c>
      <c r="F6600" s="9">
        <v>46121.0</v>
      </c>
      <c r="G6600" s="8" t="s">
        <v>34</v>
      </c>
      <c r="H6600" s="8" t="s">
        <v>35</v>
      </c>
      <c r="I6600" s="8" t="s">
        <v>19830</v>
      </c>
      <c r="J6600" s="8" t="s">
        <v>19831</v>
      </c>
    </row>
    <row r="6601">
      <c r="A6601" s="7">
        <v>2.0043182E7</v>
      </c>
      <c r="B6601" s="8" t="s">
        <v>3975</v>
      </c>
      <c r="C6601" s="8" t="s">
        <v>19832</v>
      </c>
      <c r="D6601" s="8" t="s">
        <v>16</v>
      </c>
      <c r="E6601" s="8" t="s">
        <v>17</v>
      </c>
      <c r="F6601" s="9">
        <v>46084.0</v>
      </c>
      <c r="G6601" s="8" t="s">
        <v>282</v>
      </c>
      <c r="H6601" s="8" t="s">
        <v>71</v>
      </c>
      <c r="I6601" s="8" t="s">
        <v>19833</v>
      </c>
      <c r="J6601" s="8" t="s">
        <v>19834</v>
      </c>
    </row>
    <row r="6602">
      <c r="A6602" s="7">
        <v>2.0043182E7</v>
      </c>
      <c r="B6602" s="8" t="s">
        <v>3975</v>
      </c>
      <c r="C6602" s="8" t="s">
        <v>19832</v>
      </c>
      <c r="D6602" s="8" t="s">
        <v>16</v>
      </c>
      <c r="E6602" s="8" t="s">
        <v>17</v>
      </c>
      <c r="F6602" s="9">
        <v>46084.0</v>
      </c>
      <c r="G6602" s="8" t="s">
        <v>282</v>
      </c>
      <c r="H6602" s="8" t="s">
        <v>71</v>
      </c>
      <c r="I6602" s="8" t="s">
        <v>19835</v>
      </c>
      <c r="J6602" s="8" t="s">
        <v>19833</v>
      </c>
    </row>
    <row r="6603">
      <c r="A6603" s="7">
        <v>2.0040531E7</v>
      </c>
      <c r="B6603" s="8" t="s">
        <v>3975</v>
      </c>
      <c r="C6603" s="8" t="s">
        <v>19836</v>
      </c>
      <c r="D6603" s="8" t="s">
        <v>16</v>
      </c>
      <c r="E6603" s="8" t="s">
        <v>17</v>
      </c>
      <c r="F6603" s="9">
        <v>46063.0</v>
      </c>
      <c r="G6603" s="8" t="s">
        <v>504</v>
      </c>
      <c r="H6603" s="8" t="s">
        <v>505</v>
      </c>
      <c r="I6603" s="8" t="s">
        <v>19837</v>
      </c>
      <c r="J6603" s="8" t="s">
        <v>19838</v>
      </c>
    </row>
    <row r="6604">
      <c r="A6604" s="7">
        <v>2.006043E7</v>
      </c>
      <c r="B6604" s="8" t="s">
        <v>3975</v>
      </c>
      <c r="C6604" s="8" t="s">
        <v>19839</v>
      </c>
      <c r="D6604" s="8" t="s">
        <v>2136</v>
      </c>
      <c r="E6604" s="8" t="s">
        <v>17</v>
      </c>
      <c r="F6604" s="9">
        <v>46142.0</v>
      </c>
      <c r="G6604" s="8" t="s">
        <v>59</v>
      </c>
      <c r="H6604" s="8" t="s">
        <v>60</v>
      </c>
      <c r="I6604" s="8" t="s">
        <v>19840</v>
      </c>
      <c r="J6604" s="8" t="s">
        <v>19841</v>
      </c>
    </row>
    <row r="6605">
      <c r="A6605" s="7">
        <v>2.0055179E7</v>
      </c>
      <c r="B6605" s="8" t="s">
        <v>3975</v>
      </c>
      <c r="C6605" s="8" t="s">
        <v>19842</v>
      </c>
      <c r="D6605" s="8" t="s">
        <v>16</v>
      </c>
      <c r="E6605" s="8" t="s">
        <v>17</v>
      </c>
      <c r="F6605" s="9">
        <v>46134.0</v>
      </c>
      <c r="G6605" s="8" t="s">
        <v>220</v>
      </c>
      <c r="H6605" s="8" t="s">
        <v>221</v>
      </c>
      <c r="I6605" s="8" t="s">
        <v>19843</v>
      </c>
      <c r="J6605" s="8" t="s">
        <v>19844</v>
      </c>
    </row>
    <row r="6606">
      <c r="A6606" s="7">
        <v>2.0043144E7</v>
      </c>
      <c r="B6606" s="8" t="s">
        <v>3975</v>
      </c>
      <c r="C6606" s="8" t="s">
        <v>19845</v>
      </c>
      <c r="D6606" s="8" t="s">
        <v>16</v>
      </c>
      <c r="E6606" s="8" t="s">
        <v>17</v>
      </c>
      <c r="F6606" s="9">
        <v>46077.0</v>
      </c>
      <c r="G6606" s="8" t="s">
        <v>400</v>
      </c>
      <c r="H6606" s="8" t="s">
        <v>401</v>
      </c>
      <c r="I6606" s="8" t="s">
        <v>19846</v>
      </c>
      <c r="J6606" s="8" t="s">
        <v>19847</v>
      </c>
    </row>
    <row r="6607">
      <c r="A6607" s="7">
        <v>2.0038269E7</v>
      </c>
      <c r="B6607" s="8" t="s">
        <v>3975</v>
      </c>
      <c r="C6607" s="8" t="s">
        <v>19848</v>
      </c>
      <c r="D6607" s="8" t="s">
        <v>16</v>
      </c>
      <c r="E6607" s="8" t="s">
        <v>17</v>
      </c>
      <c r="F6607" s="9">
        <v>46057.0</v>
      </c>
      <c r="G6607" s="8" t="s">
        <v>873</v>
      </c>
      <c r="H6607" s="8" t="s">
        <v>874</v>
      </c>
      <c r="I6607" s="8" t="s">
        <v>19849</v>
      </c>
      <c r="J6607" s="8" t="s">
        <v>19850</v>
      </c>
    </row>
    <row r="6608">
      <c r="A6608" s="7">
        <v>2.0038269E7</v>
      </c>
      <c r="B6608" s="8" t="s">
        <v>3975</v>
      </c>
      <c r="C6608" s="8" t="s">
        <v>19848</v>
      </c>
      <c r="D6608" s="8" t="s">
        <v>16</v>
      </c>
      <c r="E6608" s="8" t="s">
        <v>17</v>
      </c>
      <c r="F6608" s="9">
        <v>46057.0</v>
      </c>
      <c r="G6608" s="8" t="s">
        <v>873</v>
      </c>
      <c r="H6608" s="8" t="s">
        <v>874</v>
      </c>
      <c r="I6608" s="8" t="s">
        <v>19851</v>
      </c>
      <c r="J6608" s="8" t="s">
        <v>19850</v>
      </c>
    </row>
    <row r="6609">
      <c r="A6609" s="7">
        <v>2.0066345E7</v>
      </c>
      <c r="B6609" s="8" t="s">
        <v>3975</v>
      </c>
      <c r="C6609" s="8" t="s">
        <v>19852</v>
      </c>
      <c r="D6609" s="8" t="s">
        <v>16</v>
      </c>
      <c r="E6609" s="8" t="s">
        <v>17</v>
      </c>
      <c r="F6609" s="9">
        <v>46182.0</v>
      </c>
      <c r="G6609" s="8" t="s">
        <v>1532</v>
      </c>
      <c r="H6609" s="8" t="s">
        <v>1533</v>
      </c>
      <c r="I6609" s="8" t="s">
        <v>19853</v>
      </c>
      <c r="J6609" s="8" t="s">
        <v>19854</v>
      </c>
    </row>
    <row r="6610">
      <c r="A6610" s="7">
        <v>2.005801E7</v>
      </c>
      <c r="B6610" s="8" t="s">
        <v>3975</v>
      </c>
      <c r="C6610" s="8" t="s">
        <v>19855</v>
      </c>
      <c r="D6610" s="8" t="s">
        <v>16</v>
      </c>
      <c r="E6610" s="8" t="s">
        <v>17</v>
      </c>
      <c r="F6610" s="9">
        <v>46132.0</v>
      </c>
      <c r="G6610" s="8" t="s">
        <v>34</v>
      </c>
      <c r="H6610" s="8" t="s">
        <v>35</v>
      </c>
      <c r="I6610" s="8" t="s">
        <v>19856</v>
      </c>
      <c r="J6610" s="8" t="s">
        <v>19857</v>
      </c>
    </row>
    <row r="6611">
      <c r="A6611" s="7">
        <v>2.0054158E7</v>
      </c>
      <c r="B6611" s="8" t="s">
        <v>3975</v>
      </c>
      <c r="C6611" s="8" t="s">
        <v>19858</v>
      </c>
      <c r="D6611" s="8" t="s">
        <v>16</v>
      </c>
      <c r="E6611" s="8" t="s">
        <v>17</v>
      </c>
      <c r="F6611" s="9">
        <v>46133.0</v>
      </c>
      <c r="G6611" s="8" t="s">
        <v>2089</v>
      </c>
      <c r="H6611" s="8" t="s">
        <v>19859</v>
      </c>
      <c r="I6611" s="8"/>
      <c r="J6611" s="8" t="s">
        <v>19860</v>
      </c>
    </row>
    <row r="6612">
      <c r="A6612" s="7">
        <v>2.0048409E7</v>
      </c>
      <c r="B6612" s="8" t="s">
        <v>3975</v>
      </c>
      <c r="C6612" s="8" t="s">
        <v>19861</v>
      </c>
      <c r="D6612" s="8" t="s">
        <v>16</v>
      </c>
      <c r="E6612" s="8" t="s">
        <v>17</v>
      </c>
      <c r="F6612" s="9">
        <v>46093.0</v>
      </c>
      <c r="G6612" s="8" t="s">
        <v>234</v>
      </c>
      <c r="H6612" s="8" t="s">
        <v>235</v>
      </c>
      <c r="I6612" s="8" t="s">
        <v>19862</v>
      </c>
      <c r="J6612" s="8" t="s">
        <v>19863</v>
      </c>
    </row>
    <row r="6613">
      <c r="A6613" s="7">
        <v>2.0036181E7</v>
      </c>
      <c r="B6613" s="8" t="s">
        <v>3975</v>
      </c>
      <c r="C6613" s="8" t="s">
        <v>19864</v>
      </c>
      <c r="D6613" s="8" t="s">
        <v>16</v>
      </c>
      <c r="E6613" s="8" t="s">
        <v>17</v>
      </c>
      <c r="F6613" s="9">
        <v>46065.0</v>
      </c>
      <c r="G6613" s="8" t="s">
        <v>4037</v>
      </c>
      <c r="H6613" s="8" t="s">
        <v>4038</v>
      </c>
      <c r="I6613" s="8" t="s">
        <v>19865</v>
      </c>
      <c r="J6613" s="8" t="s">
        <v>19866</v>
      </c>
    </row>
    <row r="6614">
      <c r="A6614" s="7">
        <v>2.0058547E7</v>
      </c>
      <c r="B6614" s="8" t="s">
        <v>3975</v>
      </c>
      <c r="C6614" s="8" t="s">
        <v>19867</v>
      </c>
      <c r="D6614" s="8" t="s">
        <v>16</v>
      </c>
      <c r="E6614" s="8" t="s">
        <v>17</v>
      </c>
      <c r="F6614" s="9">
        <v>46155.0</v>
      </c>
      <c r="G6614" s="8" t="s">
        <v>638</v>
      </c>
      <c r="H6614" s="8" t="s">
        <v>639</v>
      </c>
      <c r="I6614" s="8" t="s">
        <v>19868</v>
      </c>
      <c r="J6614" s="8" t="s">
        <v>19869</v>
      </c>
    </row>
    <row r="6615">
      <c r="A6615" s="7">
        <v>2.0051792E7</v>
      </c>
      <c r="B6615" s="8" t="s">
        <v>3975</v>
      </c>
      <c r="C6615" s="8" t="s">
        <v>19870</v>
      </c>
      <c r="D6615" s="8" t="s">
        <v>2136</v>
      </c>
      <c r="E6615" s="8" t="s">
        <v>17</v>
      </c>
      <c r="F6615" s="9">
        <v>46104.0</v>
      </c>
      <c r="G6615" s="8" t="s">
        <v>59</v>
      </c>
      <c r="H6615" s="8" t="s">
        <v>60</v>
      </c>
      <c r="I6615" s="8" t="s">
        <v>19871</v>
      </c>
      <c r="J6615" s="8" t="s">
        <v>19872</v>
      </c>
    </row>
    <row r="6616">
      <c r="A6616" s="7">
        <v>2.0050078E7</v>
      </c>
      <c r="B6616" s="8" t="s">
        <v>3975</v>
      </c>
      <c r="C6616" s="8" t="s">
        <v>19873</v>
      </c>
      <c r="D6616" s="8" t="s">
        <v>16</v>
      </c>
      <c r="E6616" s="8" t="s">
        <v>17</v>
      </c>
      <c r="F6616" s="9">
        <v>46104.0</v>
      </c>
      <c r="G6616" s="8" t="s">
        <v>195</v>
      </c>
      <c r="H6616" s="8" t="s">
        <v>196</v>
      </c>
      <c r="I6616" s="8" t="s">
        <v>19874</v>
      </c>
      <c r="J6616" s="8" t="s">
        <v>19875</v>
      </c>
    </row>
    <row r="6617">
      <c r="A6617" s="7">
        <v>2.0070157E7</v>
      </c>
      <c r="B6617" s="8" t="s">
        <v>3975</v>
      </c>
      <c r="C6617" s="8" t="s">
        <v>19876</v>
      </c>
      <c r="D6617" s="8" t="s">
        <v>16</v>
      </c>
      <c r="E6617" s="8" t="s">
        <v>17</v>
      </c>
      <c r="F6617" s="9">
        <v>46182.0</v>
      </c>
      <c r="G6617" s="8" t="s">
        <v>1949</v>
      </c>
      <c r="H6617" s="8" t="s">
        <v>1950</v>
      </c>
      <c r="I6617" s="8" t="s">
        <v>19877</v>
      </c>
      <c r="J6617" s="8" t="s">
        <v>19878</v>
      </c>
    </row>
    <row r="6618">
      <c r="A6618" s="7">
        <v>2.0036715E7</v>
      </c>
      <c r="B6618" s="8" t="s">
        <v>3975</v>
      </c>
      <c r="C6618" s="8" t="s">
        <v>19879</v>
      </c>
      <c r="D6618" s="8" t="s">
        <v>16</v>
      </c>
      <c r="E6618" s="8" t="s">
        <v>17</v>
      </c>
      <c r="F6618" s="9">
        <v>46067.0</v>
      </c>
      <c r="G6618" s="8" t="s">
        <v>3776</v>
      </c>
      <c r="H6618" s="8" t="s">
        <v>3777</v>
      </c>
      <c r="I6618" s="8" t="s">
        <v>19880</v>
      </c>
      <c r="J6618" s="8" t="s">
        <v>19881</v>
      </c>
    </row>
    <row r="6619">
      <c r="A6619" s="7">
        <v>2.0035013E7</v>
      </c>
      <c r="B6619" s="8" t="s">
        <v>3975</v>
      </c>
      <c r="C6619" s="8" t="s">
        <v>19882</v>
      </c>
      <c r="D6619" s="8" t="s">
        <v>16</v>
      </c>
      <c r="E6619" s="8" t="s">
        <v>17</v>
      </c>
      <c r="F6619" s="9">
        <v>46047.0</v>
      </c>
      <c r="G6619" s="8" t="s">
        <v>3012</v>
      </c>
      <c r="H6619" s="8" t="s">
        <v>3013</v>
      </c>
      <c r="I6619" s="8" t="s">
        <v>19883</v>
      </c>
      <c r="J6619" s="8" t="s">
        <v>19884</v>
      </c>
    </row>
    <row r="6620">
      <c r="A6620" s="7">
        <v>2.0056233E7</v>
      </c>
      <c r="B6620" s="8" t="s">
        <v>3975</v>
      </c>
      <c r="C6620" s="8" t="s">
        <v>19885</v>
      </c>
      <c r="D6620" s="8" t="s">
        <v>16</v>
      </c>
      <c r="E6620" s="8" t="s">
        <v>17</v>
      </c>
      <c r="F6620" s="9">
        <v>46134.0</v>
      </c>
      <c r="G6620" s="8" t="s">
        <v>846</v>
      </c>
      <c r="H6620" s="8" t="s">
        <v>847</v>
      </c>
      <c r="I6620" s="8" t="s">
        <v>19886</v>
      </c>
      <c r="J6620" s="8" t="s">
        <v>19887</v>
      </c>
    </row>
    <row r="6621">
      <c r="A6621" s="7">
        <v>2.0055043E7</v>
      </c>
      <c r="B6621" s="8" t="s">
        <v>3975</v>
      </c>
      <c r="C6621" s="8" t="s">
        <v>19888</v>
      </c>
      <c r="D6621" s="8" t="s">
        <v>16</v>
      </c>
      <c r="E6621" s="8" t="s">
        <v>17</v>
      </c>
      <c r="F6621" s="9">
        <v>46135.0</v>
      </c>
      <c r="G6621" s="8" t="s">
        <v>594</v>
      </c>
      <c r="H6621" s="8" t="s">
        <v>595</v>
      </c>
      <c r="I6621" s="8" t="s">
        <v>19889</v>
      </c>
      <c r="J6621" s="8" t="s">
        <v>19890</v>
      </c>
    </row>
    <row r="6622">
      <c r="A6622" s="7">
        <v>2.0051433E7</v>
      </c>
      <c r="B6622" s="8" t="s">
        <v>3975</v>
      </c>
      <c r="C6622" s="8" t="s">
        <v>19891</v>
      </c>
      <c r="D6622" s="8" t="s">
        <v>16</v>
      </c>
      <c r="E6622" s="8" t="s">
        <v>17</v>
      </c>
      <c r="F6622" s="9">
        <v>46107.0</v>
      </c>
      <c r="G6622" s="8" t="s">
        <v>5590</v>
      </c>
      <c r="H6622" s="8" t="s">
        <v>2062</v>
      </c>
      <c r="I6622" s="8" t="s">
        <v>19892</v>
      </c>
      <c r="J6622" s="8" t="s">
        <v>19893</v>
      </c>
    </row>
    <row r="6623">
      <c r="A6623" s="7">
        <v>2.0045634E7</v>
      </c>
      <c r="B6623" s="8" t="s">
        <v>3975</v>
      </c>
      <c r="C6623" s="8" t="s">
        <v>19894</v>
      </c>
      <c r="D6623" s="8" t="s">
        <v>16</v>
      </c>
      <c r="E6623" s="8" t="s">
        <v>17</v>
      </c>
      <c r="F6623" s="9">
        <v>46087.0</v>
      </c>
      <c r="G6623" s="8" t="s">
        <v>971</v>
      </c>
      <c r="H6623" s="8" t="s">
        <v>972</v>
      </c>
      <c r="I6623" s="8" t="s">
        <v>19895</v>
      </c>
      <c r="J6623" s="8" t="s">
        <v>19896</v>
      </c>
    </row>
    <row r="6624">
      <c r="A6624" s="7">
        <v>2.0067898E7</v>
      </c>
      <c r="B6624" s="8" t="s">
        <v>3975</v>
      </c>
      <c r="C6624" s="8" t="s">
        <v>19897</v>
      </c>
      <c r="D6624" s="8" t="s">
        <v>16</v>
      </c>
      <c r="E6624" s="8" t="s">
        <v>17</v>
      </c>
      <c r="F6624" s="9">
        <v>46189.0</v>
      </c>
      <c r="G6624" s="8" t="s">
        <v>119</v>
      </c>
      <c r="H6624" s="8" t="s">
        <v>19784</v>
      </c>
      <c r="I6624" s="8" t="s">
        <v>19898</v>
      </c>
      <c r="J6624" s="8" t="s">
        <v>19899</v>
      </c>
    </row>
    <row r="6625">
      <c r="A6625" s="7">
        <v>2.0054755E7</v>
      </c>
      <c r="B6625" s="8" t="s">
        <v>3975</v>
      </c>
      <c r="C6625" s="8" t="s">
        <v>19900</v>
      </c>
      <c r="D6625" s="8" t="s">
        <v>16</v>
      </c>
      <c r="E6625" s="8" t="s">
        <v>17</v>
      </c>
      <c r="F6625" s="9">
        <v>46139.0</v>
      </c>
      <c r="G6625" s="8" t="s">
        <v>3356</v>
      </c>
      <c r="H6625" s="8" t="s">
        <v>3357</v>
      </c>
      <c r="I6625" s="8" t="s">
        <v>19901</v>
      </c>
      <c r="J6625" s="8" t="s">
        <v>19902</v>
      </c>
    </row>
    <row r="6626">
      <c r="A6626" s="7">
        <v>2.0054755E7</v>
      </c>
      <c r="B6626" s="8" t="s">
        <v>3975</v>
      </c>
      <c r="C6626" s="8" t="s">
        <v>19900</v>
      </c>
      <c r="D6626" s="8" t="s">
        <v>16</v>
      </c>
      <c r="E6626" s="8" t="s">
        <v>17</v>
      </c>
      <c r="F6626" s="9">
        <v>46139.0</v>
      </c>
      <c r="G6626" s="8" t="s">
        <v>18262</v>
      </c>
      <c r="H6626" s="8" t="s">
        <v>18263</v>
      </c>
      <c r="I6626" s="8" t="s">
        <v>19903</v>
      </c>
      <c r="J6626" s="8" t="s">
        <v>19904</v>
      </c>
    </row>
    <row r="6627">
      <c r="A6627" s="7">
        <v>2.0047439E7</v>
      </c>
      <c r="B6627" s="8" t="s">
        <v>3975</v>
      </c>
      <c r="C6627" s="8" t="s">
        <v>19905</v>
      </c>
      <c r="D6627" s="8" t="s">
        <v>16</v>
      </c>
      <c r="E6627" s="8" t="s">
        <v>17</v>
      </c>
      <c r="F6627" s="9">
        <v>46112.0</v>
      </c>
      <c r="G6627" s="8" t="s">
        <v>19906</v>
      </c>
      <c r="H6627" s="8" t="s">
        <v>19907</v>
      </c>
      <c r="I6627" s="8" t="s">
        <v>19908</v>
      </c>
      <c r="J6627" s="8" t="s">
        <v>19909</v>
      </c>
    </row>
    <row r="6628">
      <c r="A6628" s="7">
        <v>2.0046048E7</v>
      </c>
      <c r="B6628" s="8" t="s">
        <v>3975</v>
      </c>
      <c r="C6628" s="8" t="s">
        <v>19910</v>
      </c>
      <c r="D6628" s="8" t="s">
        <v>16</v>
      </c>
      <c r="E6628" s="8" t="s">
        <v>17</v>
      </c>
      <c r="F6628" s="9">
        <v>46088.0</v>
      </c>
      <c r="G6628" s="8" t="s">
        <v>923</v>
      </c>
      <c r="H6628" s="8" t="s">
        <v>71</v>
      </c>
      <c r="I6628" s="8" t="s">
        <v>19911</v>
      </c>
      <c r="J6628" s="8" t="s">
        <v>19912</v>
      </c>
    </row>
    <row r="6629">
      <c r="A6629" s="7">
        <v>2.0058006E7</v>
      </c>
      <c r="B6629" s="8" t="s">
        <v>3975</v>
      </c>
      <c r="C6629" s="8" t="s">
        <v>19913</v>
      </c>
      <c r="D6629" s="8" t="s">
        <v>16</v>
      </c>
      <c r="E6629" s="8" t="s">
        <v>17</v>
      </c>
      <c r="F6629" s="9">
        <v>46132.0</v>
      </c>
      <c r="G6629" s="8" t="s">
        <v>234</v>
      </c>
      <c r="H6629" s="8" t="s">
        <v>235</v>
      </c>
      <c r="I6629" s="8" t="s">
        <v>19914</v>
      </c>
      <c r="J6629" s="8" t="s">
        <v>19915</v>
      </c>
    </row>
    <row r="6630">
      <c r="A6630" s="7">
        <v>2.0042258E7</v>
      </c>
      <c r="B6630" s="8" t="s">
        <v>3975</v>
      </c>
      <c r="C6630" s="8" t="s">
        <v>19916</v>
      </c>
      <c r="D6630" s="8" t="s">
        <v>16</v>
      </c>
      <c r="E6630" s="8" t="s">
        <v>17</v>
      </c>
      <c r="F6630" s="9">
        <v>46084.0</v>
      </c>
      <c r="G6630" s="8" t="s">
        <v>29</v>
      </c>
      <c r="H6630" s="8" t="s">
        <v>30</v>
      </c>
      <c r="I6630" s="8" t="s">
        <v>19917</v>
      </c>
      <c r="J6630" s="8" t="s">
        <v>19918</v>
      </c>
    </row>
    <row r="6631">
      <c r="A6631" s="7">
        <v>2.003984E7</v>
      </c>
      <c r="B6631" s="8" t="s">
        <v>3975</v>
      </c>
      <c r="C6631" s="8" t="s">
        <v>19919</v>
      </c>
      <c r="D6631" s="8" t="s">
        <v>16</v>
      </c>
      <c r="E6631" s="8" t="s">
        <v>17</v>
      </c>
      <c r="F6631" s="9">
        <v>46071.0</v>
      </c>
      <c r="G6631" s="8" t="s">
        <v>428</v>
      </c>
      <c r="H6631" s="8" t="s">
        <v>429</v>
      </c>
      <c r="I6631" s="8" t="s">
        <v>19920</v>
      </c>
      <c r="J6631" s="8" t="s">
        <v>19921</v>
      </c>
    </row>
    <row r="6632">
      <c r="A6632" s="7">
        <v>2.005454E7</v>
      </c>
      <c r="B6632" s="8" t="s">
        <v>3975</v>
      </c>
      <c r="C6632" s="8" t="s">
        <v>19922</v>
      </c>
      <c r="D6632" s="8" t="s">
        <v>16</v>
      </c>
      <c r="E6632" s="8" t="s">
        <v>17</v>
      </c>
      <c r="F6632" s="9">
        <v>46124.0</v>
      </c>
      <c r="G6632" s="8" t="s">
        <v>59</v>
      </c>
      <c r="H6632" s="8" t="s">
        <v>60</v>
      </c>
      <c r="I6632" s="8" t="s">
        <v>19923</v>
      </c>
      <c r="J6632" s="8" t="s">
        <v>19924</v>
      </c>
    </row>
    <row r="6633">
      <c r="A6633" s="7">
        <v>2.005001E7</v>
      </c>
      <c r="B6633" s="8" t="s">
        <v>3975</v>
      </c>
      <c r="C6633" s="8" t="s">
        <v>19925</v>
      </c>
      <c r="D6633" s="8" t="s">
        <v>16</v>
      </c>
      <c r="E6633" s="8" t="s">
        <v>17</v>
      </c>
      <c r="F6633" s="9">
        <v>46100.0</v>
      </c>
      <c r="G6633" s="8" t="s">
        <v>59</v>
      </c>
      <c r="H6633" s="8" t="s">
        <v>60</v>
      </c>
      <c r="I6633" s="8" t="s">
        <v>19926</v>
      </c>
      <c r="J6633" s="8" t="s">
        <v>19927</v>
      </c>
    </row>
    <row r="6634">
      <c r="A6634" s="7">
        <v>2.0037834E7</v>
      </c>
      <c r="B6634" s="8" t="s">
        <v>3975</v>
      </c>
      <c r="C6634" s="8" t="s">
        <v>19928</v>
      </c>
      <c r="D6634" s="8" t="s">
        <v>16</v>
      </c>
      <c r="E6634" s="8" t="s">
        <v>17</v>
      </c>
      <c r="F6634" s="9">
        <v>46071.0</v>
      </c>
      <c r="G6634" s="8" t="s">
        <v>882</v>
      </c>
      <c r="H6634" s="8" t="s">
        <v>883</v>
      </c>
      <c r="I6634" s="8" t="s">
        <v>19929</v>
      </c>
      <c r="J6634" s="8" t="s">
        <v>19930</v>
      </c>
    </row>
    <row r="6635">
      <c r="A6635" s="7">
        <v>2.0035508E7</v>
      </c>
      <c r="B6635" s="8" t="s">
        <v>3975</v>
      </c>
      <c r="C6635" s="8" t="s">
        <v>19931</v>
      </c>
      <c r="D6635" s="8" t="s">
        <v>16</v>
      </c>
      <c r="E6635" s="8" t="s">
        <v>17</v>
      </c>
      <c r="F6635" s="9">
        <v>46043.0</v>
      </c>
      <c r="G6635" s="8" t="s">
        <v>220</v>
      </c>
      <c r="H6635" s="8" t="s">
        <v>221</v>
      </c>
      <c r="I6635" s="8" t="s">
        <v>19932</v>
      </c>
      <c r="J6635" s="8" t="s">
        <v>19933</v>
      </c>
    </row>
    <row r="6636">
      <c r="A6636" s="7">
        <v>2.0055923E7</v>
      </c>
      <c r="B6636" s="8" t="s">
        <v>3975</v>
      </c>
      <c r="C6636" s="8" t="s">
        <v>19934</v>
      </c>
      <c r="D6636" s="8" t="s">
        <v>16</v>
      </c>
      <c r="E6636" s="8" t="s">
        <v>17</v>
      </c>
      <c r="F6636" s="9">
        <v>46150.0</v>
      </c>
      <c r="G6636" s="8" t="s">
        <v>3136</v>
      </c>
      <c r="H6636" s="8" t="s">
        <v>3137</v>
      </c>
      <c r="I6636" s="8" t="s">
        <v>19935</v>
      </c>
      <c r="J6636" s="8"/>
    </row>
    <row r="6637">
      <c r="A6637" s="7">
        <v>2.0059056E7</v>
      </c>
      <c r="B6637" s="8" t="s">
        <v>3975</v>
      </c>
      <c r="C6637" s="8" t="s">
        <v>19936</v>
      </c>
      <c r="D6637" s="8" t="s">
        <v>16</v>
      </c>
      <c r="E6637" s="8" t="s">
        <v>17</v>
      </c>
      <c r="F6637" s="9">
        <v>46145.0</v>
      </c>
      <c r="G6637" s="8" t="s">
        <v>59</v>
      </c>
      <c r="H6637" s="8" t="s">
        <v>60</v>
      </c>
      <c r="I6637" s="8" t="s">
        <v>19937</v>
      </c>
      <c r="J6637" s="8" t="s">
        <v>19938</v>
      </c>
    </row>
    <row r="6638">
      <c r="A6638" s="7">
        <v>2.0056035E7</v>
      </c>
      <c r="B6638" s="8" t="s">
        <v>3975</v>
      </c>
      <c r="C6638" s="8" t="s">
        <v>19939</v>
      </c>
      <c r="D6638" s="8" t="s">
        <v>16</v>
      </c>
      <c r="E6638" s="8" t="s">
        <v>17</v>
      </c>
      <c r="F6638" s="9">
        <v>46124.0</v>
      </c>
      <c r="G6638" s="8" t="s">
        <v>91</v>
      </c>
      <c r="H6638" s="8" t="s">
        <v>92</v>
      </c>
      <c r="I6638" s="8" t="s">
        <v>19940</v>
      </c>
      <c r="J6638" s="8" t="s">
        <v>19941</v>
      </c>
    </row>
    <row r="6639">
      <c r="A6639" s="7">
        <v>2.0054664E7</v>
      </c>
      <c r="B6639" s="8" t="s">
        <v>3975</v>
      </c>
      <c r="C6639" s="8" t="s">
        <v>19942</v>
      </c>
      <c r="D6639" s="8" t="s">
        <v>16</v>
      </c>
      <c r="E6639" s="8" t="s">
        <v>17</v>
      </c>
      <c r="F6639" s="9">
        <v>46128.0</v>
      </c>
      <c r="G6639" s="8" t="s">
        <v>805</v>
      </c>
      <c r="H6639" s="8" t="s">
        <v>806</v>
      </c>
      <c r="I6639" s="8" t="s">
        <v>19943</v>
      </c>
      <c r="J6639" s="8" t="s">
        <v>19944</v>
      </c>
    </row>
    <row r="6640">
      <c r="A6640" s="7">
        <v>2.0043145E7</v>
      </c>
      <c r="B6640" s="8" t="s">
        <v>3975</v>
      </c>
      <c r="C6640" s="8" t="s">
        <v>19945</v>
      </c>
      <c r="D6640" s="8" t="s">
        <v>16</v>
      </c>
      <c r="E6640" s="8" t="s">
        <v>17</v>
      </c>
      <c r="F6640" s="9">
        <v>46075.0</v>
      </c>
      <c r="G6640" s="8" t="s">
        <v>923</v>
      </c>
      <c r="H6640" s="8" t="s">
        <v>71</v>
      </c>
      <c r="I6640" s="8" t="s">
        <v>19946</v>
      </c>
      <c r="J6640" s="8" t="s">
        <v>19947</v>
      </c>
    </row>
    <row r="6641">
      <c r="A6641" s="7">
        <v>2.0038034E7</v>
      </c>
      <c r="B6641" s="8" t="s">
        <v>3975</v>
      </c>
      <c r="C6641" s="8" t="s">
        <v>19948</v>
      </c>
      <c r="D6641" s="8" t="s">
        <v>16</v>
      </c>
      <c r="E6641" s="8" t="s">
        <v>17</v>
      </c>
      <c r="F6641" s="9">
        <v>46074.0</v>
      </c>
      <c r="G6641" s="8" t="s">
        <v>994</v>
      </c>
      <c r="H6641" s="8" t="s">
        <v>995</v>
      </c>
      <c r="I6641" s="8" t="s">
        <v>19949</v>
      </c>
      <c r="J6641" s="8" t="s">
        <v>19950</v>
      </c>
    </row>
    <row r="6642">
      <c r="A6642" s="7">
        <v>2.0034991E7</v>
      </c>
      <c r="B6642" s="8" t="s">
        <v>3975</v>
      </c>
      <c r="C6642" s="8" t="s">
        <v>19951</v>
      </c>
      <c r="D6642" s="8" t="s">
        <v>16</v>
      </c>
      <c r="E6642" s="8" t="s">
        <v>17</v>
      </c>
      <c r="F6642" s="9">
        <v>46063.0</v>
      </c>
      <c r="G6642" s="8" t="s">
        <v>49</v>
      </c>
      <c r="H6642" s="8" t="s">
        <v>50</v>
      </c>
      <c r="I6642" s="8" t="s">
        <v>19952</v>
      </c>
      <c r="J6642" s="8" t="s">
        <v>19953</v>
      </c>
    </row>
    <row r="6643">
      <c r="A6643" s="7">
        <v>2.0033878E7</v>
      </c>
      <c r="B6643" s="8" t="s">
        <v>3975</v>
      </c>
      <c r="C6643" s="8" t="s">
        <v>19954</v>
      </c>
      <c r="D6643" s="8" t="s">
        <v>16</v>
      </c>
      <c r="E6643" s="8" t="s">
        <v>17</v>
      </c>
      <c r="F6643" s="9">
        <v>46047.0</v>
      </c>
      <c r="G6643" s="8" t="s">
        <v>1800</v>
      </c>
      <c r="H6643" s="8" t="s">
        <v>1801</v>
      </c>
      <c r="I6643" s="8" t="s">
        <v>19955</v>
      </c>
      <c r="J6643" s="8" t="s">
        <v>19956</v>
      </c>
    </row>
    <row r="6644">
      <c r="A6644" s="7">
        <v>2.006651E7</v>
      </c>
      <c r="B6644" s="8" t="s">
        <v>3975</v>
      </c>
      <c r="C6644" s="8" t="s">
        <v>19957</v>
      </c>
      <c r="D6644" s="8" t="s">
        <v>16</v>
      </c>
      <c r="E6644" s="8" t="s">
        <v>17</v>
      </c>
      <c r="F6644" s="9">
        <v>46167.0</v>
      </c>
      <c r="G6644" s="8" t="s">
        <v>385</v>
      </c>
      <c r="H6644" s="8" t="s">
        <v>386</v>
      </c>
      <c r="I6644" s="8" t="s">
        <v>19958</v>
      </c>
      <c r="J6644" s="8" t="s">
        <v>19959</v>
      </c>
    </row>
    <row r="6645">
      <c r="A6645" s="7">
        <v>2.0059214E7</v>
      </c>
      <c r="B6645" s="8" t="s">
        <v>3975</v>
      </c>
      <c r="C6645" s="8" t="s">
        <v>19960</v>
      </c>
      <c r="D6645" s="8" t="s">
        <v>16</v>
      </c>
      <c r="E6645" s="8" t="s">
        <v>17</v>
      </c>
      <c r="F6645" s="9">
        <v>46146.0</v>
      </c>
      <c r="G6645" s="8" t="s">
        <v>630</v>
      </c>
      <c r="H6645" s="8" t="s">
        <v>631</v>
      </c>
      <c r="I6645" s="8" t="s">
        <v>19961</v>
      </c>
      <c r="J6645" s="8" t="s">
        <v>19962</v>
      </c>
    </row>
    <row r="6646">
      <c r="A6646" s="7">
        <v>2.0036514E7</v>
      </c>
      <c r="B6646" s="8" t="s">
        <v>3975</v>
      </c>
      <c r="C6646" s="8" t="s">
        <v>19963</v>
      </c>
      <c r="D6646" s="8" t="s">
        <v>16</v>
      </c>
      <c r="E6646" s="8" t="s">
        <v>17</v>
      </c>
      <c r="F6646" s="9">
        <v>46058.0</v>
      </c>
      <c r="G6646" s="8" t="s">
        <v>64</v>
      </c>
      <c r="H6646" s="8" t="s">
        <v>65</v>
      </c>
      <c r="I6646" s="8" t="s">
        <v>19964</v>
      </c>
      <c r="J6646" s="8" t="s">
        <v>19965</v>
      </c>
    </row>
    <row r="6647">
      <c r="A6647" s="7">
        <v>2.0067078E7</v>
      </c>
      <c r="B6647" s="8" t="s">
        <v>3975</v>
      </c>
      <c r="C6647" s="8" t="s">
        <v>19966</v>
      </c>
      <c r="D6647" s="8" t="s">
        <v>16</v>
      </c>
      <c r="E6647" s="8" t="s">
        <v>17</v>
      </c>
      <c r="F6647" s="9">
        <v>46179.0</v>
      </c>
      <c r="G6647" s="8" t="s">
        <v>14426</v>
      </c>
      <c r="H6647" s="8" t="s">
        <v>14427</v>
      </c>
      <c r="I6647" s="8" t="s">
        <v>19967</v>
      </c>
      <c r="J6647" s="8" t="s">
        <v>19968</v>
      </c>
    </row>
    <row r="6648">
      <c r="A6648" s="7">
        <v>2.0058807E7</v>
      </c>
      <c r="B6648" s="8" t="s">
        <v>3975</v>
      </c>
      <c r="C6648" s="8" t="s">
        <v>19969</v>
      </c>
      <c r="D6648" s="8" t="s">
        <v>16</v>
      </c>
      <c r="E6648" s="8" t="s">
        <v>17</v>
      </c>
      <c r="F6648" s="9">
        <v>46181.0</v>
      </c>
      <c r="G6648" s="8" t="s">
        <v>171</v>
      </c>
      <c r="H6648" s="8" t="s">
        <v>172</v>
      </c>
      <c r="I6648" s="8" t="s">
        <v>19970</v>
      </c>
      <c r="J6648" s="8" t="s">
        <v>19971</v>
      </c>
    </row>
    <row r="6649">
      <c r="A6649" s="7">
        <v>2.0054987E7</v>
      </c>
      <c r="B6649" s="8" t="s">
        <v>3975</v>
      </c>
      <c r="C6649" s="8" t="s">
        <v>19972</v>
      </c>
      <c r="D6649" s="8" t="s">
        <v>16</v>
      </c>
      <c r="E6649" s="8" t="s">
        <v>17</v>
      </c>
      <c r="F6649" s="9">
        <v>46122.0</v>
      </c>
      <c r="G6649" s="8" t="s">
        <v>1132</v>
      </c>
      <c r="H6649" s="8" t="s">
        <v>1133</v>
      </c>
      <c r="I6649" s="8" t="s">
        <v>19973</v>
      </c>
      <c r="J6649" s="8" t="s">
        <v>19974</v>
      </c>
    </row>
    <row r="6650">
      <c r="A6650" s="7">
        <v>2.0054609E7</v>
      </c>
      <c r="B6650" s="8" t="s">
        <v>3975</v>
      </c>
      <c r="C6650" s="8" t="s">
        <v>19975</v>
      </c>
      <c r="D6650" s="8" t="s">
        <v>16</v>
      </c>
      <c r="E6650" s="8" t="s">
        <v>17</v>
      </c>
      <c r="F6650" s="9">
        <v>46119.0</v>
      </c>
      <c r="G6650" s="8" t="s">
        <v>805</v>
      </c>
      <c r="H6650" s="8" t="s">
        <v>806</v>
      </c>
      <c r="I6650" s="8" t="s">
        <v>19976</v>
      </c>
      <c r="J6650" s="8" t="s">
        <v>19977</v>
      </c>
    </row>
    <row r="6651">
      <c r="A6651" s="7">
        <v>2.0072257E7</v>
      </c>
      <c r="B6651" s="8" t="s">
        <v>3975</v>
      </c>
      <c r="C6651" s="8" t="s">
        <v>19978</v>
      </c>
      <c r="D6651" s="8" t="s">
        <v>16</v>
      </c>
      <c r="E6651" s="8" t="s">
        <v>17</v>
      </c>
      <c r="F6651" s="9">
        <v>46190.0</v>
      </c>
      <c r="G6651" s="8" t="s">
        <v>1949</v>
      </c>
      <c r="H6651" s="8" t="s">
        <v>1950</v>
      </c>
      <c r="I6651" s="8" t="s">
        <v>19979</v>
      </c>
      <c r="J6651" s="8" t="s">
        <v>19980</v>
      </c>
    </row>
    <row r="6652">
      <c r="A6652" s="7">
        <v>2.0071574E7</v>
      </c>
      <c r="B6652" s="8" t="s">
        <v>3975</v>
      </c>
      <c r="C6652" s="8" t="s">
        <v>19981</v>
      </c>
      <c r="D6652" s="8" t="s">
        <v>16</v>
      </c>
      <c r="E6652" s="8" t="s">
        <v>17</v>
      </c>
      <c r="F6652" s="9">
        <v>46189.0</v>
      </c>
      <c r="G6652" s="8" t="s">
        <v>3585</v>
      </c>
      <c r="H6652" s="8" t="s">
        <v>3586</v>
      </c>
      <c r="I6652" s="8" t="s">
        <v>19982</v>
      </c>
      <c r="J6652" s="8" t="s">
        <v>19983</v>
      </c>
    </row>
    <row r="6653">
      <c r="A6653" s="7">
        <v>2.0067949E7</v>
      </c>
      <c r="B6653" s="8" t="s">
        <v>3975</v>
      </c>
      <c r="C6653" s="8" t="s">
        <v>19984</v>
      </c>
      <c r="D6653" s="8" t="s">
        <v>16</v>
      </c>
      <c r="E6653" s="8" t="s">
        <v>17</v>
      </c>
      <c r="F6653" s="9">
        <v>46180.0</v>
      </c>
      <c r="G6653" s="8" t="s">
        <v>59</v>
      </c>
      <c r="H6653" s="8" t="s">
        <v>60</v>
      </c>
      <c r="I6653" s="8" t="s">
        <v>19985</v>
      </c>
      <c r="J6653" s="8" t="s">
        <v>19986</v>
      </c>
    </row>
    <row r="6654">
      <c r="A6654" s="7">
        <v>2.0060662E7</v>
      </c>
      <c r="B6654" s="8" t="s">
        <v>3975</v>
      </c>
      <c r="C6654" s="8" t="s">
        <v>19987</v>
      </c>
      <c r="D6654" s="8" t="s">
        <v>2136</v>
      </c>
      <c r="E6654" s="8" t="s">
        <v>17</v>
      </c>
      <c r="F6654" s="9">
        <v>46143.0</v>
      </c>
      <c r="G6654" s="8" t="s">
        <v>29</v>
      </c>
      <c r="H6654" s="8" t="s">
        <v>30</v>
      </c>
      <c r="I6654" s="8" t="s">
        <v>19988</v>
      </c>
      <c r="J6654" s="8" t="s">
        <v>19989</v>
      </c>
    </row>
    <row r="6655">
      <c r="A6655" s="7">
        <v>2.0059335E7</v>
      </c>
      <c r="B6655" s="8" t="s">
        <v>3975</v>
      </c>
      <c r="C6655" s="8" t="s">
        <v>19990</v>
      </c>
      <c r="D6655" s="8" t="s">
        <v>16</v>
      </c>
      <c r="E6655" s="8" t="s">
        <v>17</v>
      </c>
      <c r="F6655" s="9">
        <v>46185.0</v>
      </c>
      <c r="G6655" s="8" t="s">
        <v>114</v>
      </c>
      <c r="H6655" s="8" t="s">
        <v>115</v>
      </c>
      <c r="I6655" s="8" t="s">
        <v>19991</v>
      </c>
      <c r="J6655" s="8" t="s">
        <v>19992</v>
      </c>
    </row>
    <row r="6656">
      <c r="A6656" s="7">
        <v>2.0033888E7</v>
      </c>
      <c r="B6656" s="8" t="s">
        <v>3975</v>
      </c>
      <c r="C6656" s="8" t="s">
        <v>19993</v>
      </c>
      <c r="D6656" s="8" t="s">
        <v>16</v>
      </c>
      <c r="E6656" s="8" t="s">
        <v>17</v>
      </c>
      <c r="F6656" s="9">
        <v>46038.0</v>
      </c>
      <c r="G6656" s="8" t="s">
        <v>91</v>
      </c>
      <c r="H6656" s="8" t="s">
        <v>92</v>
      </c>
      <c r="I6656" s="8" t="s">
        <v>19994</v>
      </c>
      <c r="J6656" s="8" t="s">
        <v>19995</v>
      </c>
    </row>
    <row r="6657">
      <c r="A6657" s="7">
        <v>2.0068065E7</v>
      </c>
      <c r="B6657" s="8" t="s">
        <v>3975</v>
      </c>
      <c r="C6657" s="8" t="s">
        <v>19996</v>
      </c>
      <c r="D6657" s="8" t="s">
        <v>16</v>
      </c>
      <c r="E6657" s="8" t="s">
        <v>17</v>
      </c>
      <c r="F6657" s="9">
        <v>46182.0</v>
      </c>
      <c r="G6657" s="8" t="s">
        <v>826</v>
      </c>
      <c r="H6657" s="8" t="s">
        <v>7633</v>
      </c>
      <c r="I6657" s="8" t="s">
        <v>19997</v>
      </c>
      <c r="J6657" s="8" t="s">
        <v>19998</v>
      </c>
    </row>
    <row r="6658">
      <c r="A6658" s="7">
        <v>2.0057251E7</v>
      </c>
      <c r="B6658" s="8" t="s">
        <v>3975</v>
      </c>
      <c r="C6658" s="8" t="s">
        <v>19999</v>
      </c>
      <c r="D6658" s="8" t="s">
        <v>16</v>
      </c>
      <c r="E6658" s="8" t="s">
        <v>17</v>
      </c>
      <c r="F6658" s="9">
        <v>46164.0</v>
      </c>
      <c r="G6658" s="8" t="s">
        <v>70</v>
      </c>
      <c r="H6658" s="8" t="s">
        <v>9466</v>
      </c>
      <c r="I6658" s="8" t="s">
        <v>20000</v>
      </c>
      <c r="J6658" s="8" t="s">
        <v>20001</v>
      </c>
    </row>
    <row r="6659">
      <c r="A6659" s="7">
        <v>2.0055766E7</v>
      </c>
      <c r="B6659" s="8" t="s">
        <v>3975</v>
      </c>
      <c r="C6659" s="8" t="s">
        <v>20002</v>
      </c>
      <c r="D6659" s="8" t="s">
        <v>16</v>
      </c>
      <c r="E6659" s="8" t="s">
        <v>17</v>
      </c>
      <c r="F6659" s="9">
        <v>46144.0</v>
      </c>
      <c r="G6659" s="8" t="s">
        <v>171</v>
      </c>
      <c r="H6659" s="8" t="s">
        <v>172</v>
      </c>
      <c r="I6659" s="8" t="s">
        <v>20003</v>
      </c>
      <c r="J6659" s="8" t="s">
        <v>20004</v>
      </c>
    </row>
    <row r="6660">
      <c r="A6660" s="7">
        <v>2.0051265E7</v>
      </c>
      <c r="B6660" s="8" t="s">
        <v>3975</v>
      </c>
      <c r="C6660" s="8" t="s">
        <v>20005</v>
      </c>
      <c r="D6660" s="8" t="s">
        <v>16</v>
      </c>
      <c r="E6660" s="8" t="s">
        <v>17</v>
      </c>
      <c r="F6660" s="9">
        <v>46104.0</v>
      </c>
      <c r="G6660" s="8" t="s">
        <v>846</v>
      </c>
      <c r="H6660" s="8" t="s">
        <v>847</v>
      </c>
      <c r="I6660" s="8" t="s">
        <v>20006</v>
      </c>
      <c r="J6660" s="8" t="s">
        <v>20007</v>
      </c>
    </row>
    <row r="6661">
      <c r="A6661" s="7">
        <v>2.0038099E7</v>
      </c>
      <c r="B6661" s="8" t="s">
        <v>3975</v>
      </c>
      <c r="C6661" s="8" t="s">
        <v>20008</v>
      </c>
      <c r="D6661" s="8" t="s">
        <v>16</v>
      </c>
      <c r="E6661" s="8" t="s">
        <v>17</v>
      </c>
      <c r="F6661" s="9">
        <v>46070.0</v>
      </c>
      <c r="G6661" s="8" t="s">
        <v>923</v>
      </c>
      <c r="H6661" s="8" t="s">
        <v>71</v>
      </c>
      <c r="I6661" s="8" t="s">
        <v>20009</v>
      </c>
      <c r="J6661" s="8" t="s">
        <v>20010</v>
      </c>
    </row>
    <row r="6662">
      <c r="A6662" s="7">
        <v>2.0067502E7</v>
      </c>
      <c r="B6662" s="8" t="s">
        <v>3975</v>
      </c>
      <c r="C6662" s="8" t="s">
        <v>20011</v>
      </c>
      <c r="D6662" s="8" t="s">
        <v>16</v>
      </c>
      <c r="E6662" s="8" t="s">
        <v>17</v>
      </c>
      <c r="F6662" s="9">
        <v>46184.0</v>
      </c>
      <c r="G6662" s="8" t="s">
        <v>846</v>
      </c>
      <c r="H6662" s="8" t="s">
        <v>847</v>
      </c>
      <c r="I6662" s="8" t="s">
        <v>20012</v>
      </c>
      <c r="J6662" s="8" t="s">
        <v>20013</v>
      </c>
    </row>
    <row r="6663">
      <c r="A6663" s="7">
        <v>2.0067502E7</v>
      </c>
      <c r="B6663" s="8" t="s">
        <v>3975</v>
      </c>
      <c r="C6663" s="8" t="s">
        <v>20011</v>
      </c>
      <c r="D6663" s="8" t="s">
        <v>16</v>
      </c>
      <c r="E6663" s="8" t="s">
        <v>17</v>
      </c>
      <c r="F6663" s="9">
        <v>46184.0</v>
      </c>
      <c r="G6663" s="8" t="s">
        <v>91</v>
      </c>
      <c r="H6663" s="8" t="s">
        <v>92</v>
      </c>
      <c r="I6663" s="8" t="s">
        <v>20014</v>
      </c>
      <c r="J6663" s="8" t="s">
        <v>20015</v>
      </c>
    </row>
    <row r="6664">
      <c r="A6664" s="7">
        <v>2.0043754E7</v>
      </c>
      <c r="B6664" s="8" t="s">
        <v>3975</v>
      </c>
      <c r="C6664" s="8" t="s">
        <v>20016</v>
      </c>
      <c r="D6664" s="8" t="s">
        <v>16</v>
      </c>
      <c r="E6664" s="8" t="s">
        <v>17</v>
      </c>
      <c r="F6664" s="9">
        <v>46078.0</v>
      </c>
      <c r="G6664" s="8" t="s">
        <v>8696</v>
      </c>
      <c r="H6664" s="8" t="s">
        <v>8697</v>
      </c>
      <c r="I6664" s="8" t="s">
        <v>20017</v>
      </c>
      <c r="J6664" s="8" t="s">
        <v>20018</v>
      </c>
    </row>
    <row r="6665">
      <c r="A6665" s="7">
        <v>2.0041762E7</v>
      </c>
      <c r="B6665" s="8" t="s">
        <v>3975</v>
      </c>
      <c r="C6665" s="8" t="s">
        <v>20019</v>
      </c>
      <c r="D6665" s="8" t="s">
        <v>16</v>
      </c>
      <c r="E6665" s="8" t="s">
        <v>17</v>
      </c>
      <c r="F6665" s="9">
        <v>46079.0</v>
      </c>
      <c r="G6665" s="8" t="s">
        <v>400</v>
      </c>
      <c r="H6665" s="8" t="s">
        <v>401</v>
      </c>
      <c r="I6665" s="8" t="s">
        <v>20020</v>
      </c>
      <c r="J6665" s="8" t="s">
        <v>20021</v>
      </c>
    </row>
    <row r="6666">
      <c r="A6666" s="7">
        <v>2.0039976E7</v>
      </c>
      <c r="B6666" s="8" t="s">
        <v>3975</v>
      </c>
      <c r="C6666" s="8" t="s">
        <v>20022</v>
      </c>
      <c r="D6666" s="8" t="s">
        <v>16</v>
      </c>
      <c r="E6666" s="8" t="s">
        <v>17</v>
      </c>
      <c r="F6666" s="9">
        <v>46066.0</v>
      </c>
      <c r="G6666" s="8" t="s">
        <v>16081</v>
      </c>
      <c r="H6666" s="8" t="s">
        <v>1111</v>
      </c>
      <c r="I6666" s="8" t="s">
        <v>20023</v>
      </c>
      <c r="J6666" s="8" t="s">
        <v>20024</v>
      </c>
    </row>
    <row r="6667">
      <c r="A6667" s="7">
        <v>2.006372E7</v>
      </c>
      <c r="B6667" s="8" t="s">
        <v>5776</v>
      </c>
      <c r="C6667" s="8" t="s">
        <v>20025</v>
      </c>
      <c r="D6667" s="8" t="s">
        <v>2136</v>
      </c>
      <c r="E6667" s="8" t="s">
        <v>48</v>
      </c>
      <c r="F6667" s="9">
        <v>46156.0</v>
      </c>
      <c r="G6667" s="8" t="s">
        <v>846</v>
      </c>
      <c r="H6667" s="8" t="s">
        <v>847</v>
      </c>
      <c r="I6667" s="8" t="s">
        <v>20026</v>
      </c>
      <c r="J6667" s="8" t="s">
        <v>20027</v>
      </c>
    </row>
    <row r="6668">
      <c r="A6668" s="7">
        <v>2.0059826E7</v>
      </c>
      <c r="B6668" s="8" t="s">
        <v>5776</v>
      </c>
      <c r="C6668" s="8" t="s">
        <v>20028</v>
      </c>
      <c r="D6668" s="8" t="s">
        <v>16</v>
      </c>
      <c r="E6668" s="8" t="s">
        <v>17</v>
      </c>
      <c r="F6668" s="9">
        <v>46182.0</v>
      </c>
      <c r="G6668" s="8" t="s">
        <v>361</v>
      </c>
      <c r="H6668" s="8" t="s">
        <v>362</v>
      </c>
      <c r="I6668" s="8" t="s">
        <v>20029</v>
      </c>
      <c r="J6668" s="8" t="s">
        <v>20030</v>
      </c>
    </row>
    <row r="6669">
      <c r="A6669" s="7">
        <v>2.0056325E7</v>
      </c>
      <c r="B6669" s="8" t="s">
        <v>5776</v>
      </c>
      <c r="C6669" s="8" t="s">
        <v>20031</v>
      </c>
      <c r="D6669" s="8" t="s">
        <v>16</v>
      </c>
      <c r="E6669" s="8" t="s">
        <v>17</v>
      </c>
      <c r="F6669" s="9">
        <v>46144.0</v>
      </c>
      <c r="G6669" s="8" t="s">
        <v>171</v>
      </c>
      <c r="H6669" s="8" t="s">
        <v>172</v>
      </c>
      <c r="I6669" s="8" t="s">
        <v>20032</v>
      </c>
      <c r="J6669" s="8" t="s">
        <v>20033</v>
      </c>
    </row>
    <row r="6670">
      <c r="A6670" s="7">
        <v>2.0054267E7</v>
      </c>
      <c r="B6670" s="8" t="s">
        <v>5776</v>
      </c>
      <c r="C6670" s="8" t="s">
        <v>20034</v>
      </c>
      <c r="D6670" s="8" t="s">
        <v>16</v>
      </c>
      <c r="E6670" s="8" t="s">
        <v>17</v>
      </c>
      <c r="F6670" s="9">
        <v>46118.0</v>
      </c>
      <c r="G6670" s="8" t="s">
        <v>59</v>
      </c>
      <c r="H6670" s="8" t="s">
        <v>60</v>
      </c>
      <c r="I6670" s="8" t="s">
        <v>20035</v>
      </c>
      <c r="J6670" s="8" t="s">
        <v>20036</v>
      </c>
    </row>
    <row r="6671">
      <c r="A6671" s="7">
        <v>2.0053788E7</v>
      </c>
      <c r="B6671" s="8" t="s">
        <v>5776</v>
      </c>
      <c r="C6671" s="8" t="s">
        <v>20037</v>
      </c>
      <c r="D6671" s="8" t="s">
        <v>16</v>
      </c>
      <c r="E6671" s="8" t="s">
        <v>17</v>
      </c>
      <c r="F6671" s="9">
        <v>46119.0</v>
      </c>
      <c r="G6671" s="8" t="s">
        <v>826</v>
      </c>
      <c r="H6671" s="8" t="s">
        <v>7633</v>
      </c>
      <c r="I6671" s="8" t="s">
        <v>20038</v>
      </c>
      <c r="J6671" s="8" t="s">
        <v>20039</v>
      </c>
    </row>
    <row r="6672">
      <c r="A6672" s="7">
        <v>2.0043628E7</v>
      </c>
      <c r="B6672" s="8" t="s">
        <v>5776</v>
      </c>
      <c r="C6672" s="8" t="s">
        <v>20040</v>
      </c>
      <c r="D6672" s="8" t="s">
        <v>16</v>
      </c>
      <c r="E6672" s="8" t="s">
        <v>17</v>
      </c>
      <c r="F6672" s="9">
        <v>46077.0</v>
      </c>
      <c r="G6672" s="8" t="s">
        <v>91</v>
      </c>
      <c r="H6672" s="8" t="s">
        <v>92</v>
      </c>
      <c r="I6672" s="8" t="s">
        <v>20041</v>
      </c>
      <c r="J6672" s="8" t="s">
        <v>20042</v>
      </c>
    </row>
    <row r="6673">
      <c r="A6673" s="7">
        <v>2.0043628E7</v>
      </c>
      <c r="B6673" s="8" t="s">
        <v>5776</v>
      </c>
      <c r="C6673" s="8" t="s">
        <v>20040</v>
      </c>
      <c r="D6673" s="8" t="s">
        <v>16</v>
      </c>
      <c r="E6673" s="8" t="s">
        <v>17</v>
      </c>
      <c r="F6673" s="9">
        <v>46077.0</v>
      </c>
      <c r="G6673" s="8" t="s">
        <v>1888</v>
      </c>
      <c r="H6673" s="8" t="s">
        <v>1889</v>
      </c>
      <c r="I6673" s="8" t="s">
        <v>20043</v>
      </c>
      <c r="J6673" s="8" t="s">
        <v>20044</v>
      </c>
    </row>
    <row r="6674">
      <c r="A6674" s="7">
        <v>2.0043058E7</v>
      </c>
      <c r="B6674" s="8" t="s">
        <v>5776</v>
      </c>
      <c r="C6674" s="8" t="s">
        <v>20045</v>
      </c>
      <c r="D6674" s="8" t="s">
        <v>16</v>
      </c>
      <c r="E6674" s="8" t="s">
        <v>17</v>
      </c>
      <c r="F6674" s="9">
        <v>46071.0</v>
      </c>
      <c r="G6674" s="8" t="s">
        <v>247</v>
      </c>
      <c r="H6674" s="8" t="s">
        <v>248</v>
      </c>
      <c r="I6674" s="8" t="s">
        <v>20046</v>
      </c>
      <c r="J6674" s="8" t="s">
        <v>20047</v>
      </c>
    </row>
    <row r="6675">
      <c r="A6675" s="7">
        <v>2.0041769E7</v>
      </c>
      <c r="B6675" s="8" t="s">
        <v>5776</v>
      </c>
      <c r="C6675" s="8" t="s">
        <v>20048</v>
      </c>
      <c r="D6675" s="8" t="s">
        <v>16</v>
      </c>
      <c r="E6675" s="8" t="s">
        <v>17</v>
      </c>
      <c r="F6675" s="9">
        <v>46085.0</v>
      </c>
      <c r="G6675" s="8" t="s">
        <v>64</v>
      </c>
      <c r="H6675" s="8" t="s">
        <v>65</v>
      </c>
      <c r="I6675" s="8" t="s">
        <v>20049</v>
      </c>
      <c r="J6675" s="8" t="s">
        <v>20050</v>
      </c>
    </row>
    <row r="6676">
      <c r="A6676" s="7">
        <v>2.0036242E7</v>
      </c>
      <c r="B6676" s="8" t="s">
        <v>5776</v>
      </c>
      <c r="C6676" s="8" t="s">
        <v>20051</v>
      </c>
      <c r="D6676" s="8" t="s">
        <v>16</v>
      </c>
      <c r="E6676" s="8" t="s">
        <v>17</v>
      </c>
      <c r="F6676" s="9">
        <v>46045.0</v>
      </c>
      <c r="G6676" s="8" t="s">
        <v>91</v>
      </c>
      <c r="H6676" s="8" t="s">
        <v>92</v>
      </c>
      <c r="I6676" s="8" t="s">
        <v>20052</v>
      </c>
      <c r="J6676" s="8" t="s">
        <v>20053</v>
      </c>
    </row>
    <row r="6677">
      <c r="A6677" s="7">
        <v>2.0068943E7</v>
      </c>
      <c r="B6677" s="8" t="s">
        <v>5776</v>
      </c>
      <c r="C6677" s="8" t="s">
        <v>20054</v>
      </c>
      <c r="D6677" s="8" t="s">
        <v>16</v>
      </c>
      <c r="E6677" s="8" t="s">
        <v>17</v>
      </c>
      <c r="F6677" s="9">
        <v>46185.0</v>
      </c>
      <c r="G6677" s="8" t="s">
        <v>59</v>
      </c>
      <c r="H6677" s="8" t="s">
        <v>60</v>
      </c>
      <c r="I6677" s="8" t="s">
        <v>20055</v>
      </c>
      <c r="J6677" s="8" t="s">
        <v>20056</v>
      </c>
    </row>
    <row r="6678">
      <c r="A6678" s="7">
        <v>2.0065253E7</v>
      </c>
      <c r="B6678" s="8" t="s">
        <v>5776</v>
      </c>
      <c r="C6678" s="8" t="s">
        <v>20057</v>
      </c>
      <c r="D6678" s="8" t="s">
        <v>16</v>
      </c>
      <c r="E6678" s="8" t="s">
        <v>17</v>
      </c>
      <c r="F6678" s="9">
        <v>46193.0</v>
      </c>
      <c r="G6678" s="8" t="s">
        <v>1057</v>
      </c>
      <c r="H6678" s="8" t="s">
        <v>1058</v>
      </c>
      <c r="I6678" s="8" t="s">
        <v>20058</v>
      </c>
      <c r="J6678" s="8" t="s">
        <v>20059</v>
      </c>
    </row>
    <row r="6679">
      <c r="A6679" s="7">
        <v>2.0064888E7</v>
      </c>
      <c r="B6679" s="8" t="s">
        <v>5776</v>
      </c>
      <c r="C6679" s="8" t="s">
        <v>20060</v>
      </c>
      <c r="D6679" s="8" t="s">
        <v>16</v>
      </c>
      <c r="E6679" s="8" t="s">
        <v>17</v>
      </c>
      <c r="F6679" s="9">
        <v>46167.0</v>
      </c>
      <c r="G6679" s="8" t="s">
        <v>59</v>
      </c>
      <c r="H6679" s="8" t="s">
        <v>60</v>
      </c>
      <c r="I6679" s="8" t="s">
        <v>20061</v>
      </c>
      <c r="J6679" s="8" t="s">
        <v>20062</v>
      </c>
    </row>
    <row r="6680">
      <c r="A6680" s="7">
        <v>2.0064551E7</v>
      </c>
      <c r="B6680" s="8" t="s">
        <v>5776</v>
      </c>
      <c r="C6680" s="8" t="s">
        <v>20063</v>
      </c>
      <c r="D6680" s="8" t="s">
        <v>16</v>
      </c>
      <c r="E6680" s="8" t="s">
        <v>17</v>
      </c>
      <c r="F6680" s="9">
        <v>46164.0</v>
      </c>
      <c r="G6680" s="8" t="s">
        <v>59</v>
      </c>
      <c r="H6680" s="8" t="s">
        <v>60</v>
      </c>
      <c r="I6680" s="8" t="s">
        <v>20064</v>
      </c>
      <c r="J6680" s="8" t="s">
        <v>20065</v>
      </c>
    </row>
    <row r="6681">
      <c r="A6681" s="7">
        <v>2.0060739E7</v>
      </c>
      <c r="B6681" s="8" t="s">
        <v>5776</v>
      </c>
      <c r="C6681" s="8" t="s">
        <v>20066</v>
      </c>
      <c r="D6681" s="8" t="s">
        <v>16</v>
      </c>
      <c r="E6681" s="8" t="s">
        <v>17</v>
      </c>
      <c r="F6681" s="9">
        <v>46147.0</v>
      </c>
      <c r="G6681" s="8" t="s">
        <v>59</v>
      </c>
      <c r="H6681" s="8" t="s">
        <v>60</v>
      </c>
      <c r="I6681" s="8" t="s">
        <v>20067</v>
      </c>
      <c r="J6681" s="8" t="s">
        <v>20068</v>
      </c>
    </row>
    <row r="6682">
      <c r="A6682" s="7">
        <v>2.0058416E7</v>
      </c>
      <c r="B6682" s="8" t="s">
        <v>5776</v>
      </c>
      <c r="C6682" s="8" t="s">
        <v>20069</v>
      </c>
      <c r="D6682" s="8" t="s">
        <v>16</v>
      </c>
      <c r="E6682" s="8" t="s">
        <v>17</v>
      </c>
      <c r="F6682" s="9">
        <v>46181.0</v>
      </c>
      <c r="G6682" s="8" t="s">
        <v>171</v>
      </c>
      <c r="H6682" s="8" t="s">
        <v>172</v>
      </c>
      <c r="I6682" s="8" t="s">
        <v>20070</v>
      </c>
      <c r="J6682" s="8" t="s">
        <v>20071</v>
      </c>
    </row>
    <row r="6683">
      <c r="A6683" s="7">
        <v>2.0053103E7</v>
      </c>
      <c r="B6683" s="8" t="s">
        <v>5776</v>
      </c>
      <c r="C6683" s="8" t="s">
        <v>20072</v>
      </c>
      <c r="D6683" s="8" t="s">
        <v>16</v>
      </c>
      <c r="E6683" s="8" t="s">
        <v>17</v>
      </c>
      <c r="F6683" s="9">
        <v>46111.0</v>
      </c>
      <c r="G6683" s="8" t="s">
        <v>1007</v>
      </c>
      <c r="H6683" s="8" t="s">
        <v>1008</v>
      </c>
      <c r="I6683" s="8" t="s">
        <v>20073</v>
      </c>
      <c r="J6683" s="8" t="s">
        <v>20074</v>
      </c>
    </row>
    <row r="6684">
      <c r="A6684" s="7">
        <v>2.0053318E7</v>
      </c>
      <c r="B6684" s="8" t="s">
        <v>5776</v>
      </c>
      <c r="C6684" s="8" t="s">
        <v>20075</v>
      </c>
      <c r="D6684" s="8" t="s">
        <v>16</v>
      </c>
      <c r="E6684" s="8" t="s">
        <v>17</v>
      </c>
      <c r="F6684" s="9">
        <v>46112.0</v>
      </c>
      <c r="G6684" s="8" t="s">
        <v>846</v>
      </c>
      <c r="H6684" s="8" t="s">
        <v>847</v>
      </c>
      <c r="I6684" s="8" t="s">
        <v>20076</v>
      </c>
      <c r="J6684" s="8" t="s">
        <v>20077</v>
      </c>
    </row>
    <row r="6685">
      <c r="A6685" s="7">
        <v>2.0039571E7</v>
      </c>
      <c r="B6685" s="8" t="s">
        <v>5776</v>
      </c>
      <c r="C6685" s="8" t="s">
        <v>20078</v>
      </c>
      <c r="D6685" s="8" t="s">
        <v>16</v>
      </c>
      <c r="E6685" s="8" t="s">
        <v>17</v>
      </c>
      <c r="F6685" s="9">
        <v>46059.0</v>
      </c>
      <c r="G6685" s="8" t="s">
        <v>504</v>
      </c>
      <c r="H6685" s="8" t="s">
        <v>505</v>
      </c>
      <c r="I6685" s="8" t="s">
        <v>20079</v>
      </c>
      <c r="J6685" s="8" t="s">
        <v>20080</v>
      </c>
    </row>
    <row r="6686">
      <c r="A6686" s="7">
        <v>2.0033588E7</v>
      </c>
      <c r="B6686" s="8" t="s">
        <v>5776</v>
      </c>
      <c r="C6686" s="8" t="s">
        <v>20081</v>
      </c>
      <c r="D6686" s="8" t="s">
        <v>16</v>
      </c>
      <c r="E6686" s="8" t="s">
        <v>17</v>
      </c>
      <c r="F6686" s="9">
        <v>46047.0</v>
      </c>
      <c r="G6686" s="8" t="s">
        <v>163</v>
      </c>
      <c r="H6686" s="8" t="s">
        <v>164</v>
      </c>
      <c r="I6686" s="8" t="s">
        <v>20082</v>
      </c>
      <c r="J6686" s="8" t="s">
        <v>20083</v>
      </c>
    </row>
    <row r="6687">
      <c r="A6687" s="7">
        <v>2.0071535E7</v>
      </c>
      <c r="B6687" s="8" t="s">
        <v>5776</v>
      </c>
      <c r="C6687" s="8" t="s">
        <v>20084</v>
      </c>
      <c r="D6687" s="8" t="s">
        <v>2136</v>
      </c>
      <c r="E6687" s="8" t="s">
        <v>17</v>
      </c>
      <c r="F6687" s="9">
        <v>46189.0</v>
      </c>
      <c r="G6687" s="8" t="s">
        <v>3992</v>
      </c>
      <c r="H6687" s="8" t="s">
        <v>3993</v>
      </c>
      <c r="I6687" s="8" t="s">
        <v>20085</v>
      </c>
      <c r="J6687" s="8" t="s">
        <v>20086</v>
      </c>
    </row>
    <row r="6688">
      <c r="A6688" s="7">
        <v>2.0064067E7</v>
      </c>
      <c r="B6688" s="8" t="s">
        <v>5776</v>
      </c>
      <c r="C6688" s="8" t="s">
        <v>20087</v>
      </c>
      <c r="D6688" s="8" t="s">
        <v>16</v>
      </c>
      <c r="E6688" s="8" t="s">
        <v>17</v>
      </c>
      <c r="F6688" s="9">
        <v>46163.0</v>
      </c>
      <c r="G6688" s="8" t="s">
        <v>234</v>
      </c>
      <c r="H6688" s="8" t="s">
        <v>235</v>
      </c>
      <c r="I6688" s="8" t="s">
        <v>20088</v>
      </c>
      <c r="J6688" s="8" t="s">
        <v>20089</v>
      </c>
    </row>
    <row r="6689">
      <c r="A6689" s="7">
        <v>2.0063209E7</v>
      </c>
      <c r="B6689" s="8" t="s">
        <v>5776</v>
      </c>
      <c r="C6689" s="8" t="s">
        <v>20090</v>
      </c>
      <c r="D6689" s="8" t="s">
        <v>16</v>
      </c>
      <c r="E6689" s="8" t="s">
        <v>17</v>
      </c>
      <c r="F6689" s="9">
        <v>46156.0</v>
      </c>
      <c r="G6689" s="8" t="s">
        <v>385</v>
      </c>
      <c r="H6689" s="8" t="s">
        <v>386</v>
      </c>
      <c r="I6689" s="8" t="s">
        <v>20091</v>
      </c>
      <c r="J6689" s="8" t="s">
        <v>20092</v>
      </c>
    </row>
    <row r="6690">
      <c r="A6690" s="7">
        <v>2.0063209E7</v>
      </c>
      <c r="B6690" s="8" t="s">
        <v>5776</v>
      </c>
      <c r="C6690" s="8" t="s">
        <v>20090</v>
      </c>
      <c r="D6690" s="8" t="s">
        <v>16</v>
      </c>
      <c r="E6690" s="8" t="s">
        <v>17</v>
      </c>
      <c r="F6690" s="9">
        <v>46156.0</v>
      </c>
      <c r="G6690" s="8" t="s">
        <v>517</v>
      </c>
      <c r="H6690" s="8" t="s">
        <v>518</v>
      </c>
      <c r="I6690" s="8" t="s">
        <v>20093</v>
      </c>
      <c r="J6690" s="8" t="s">
        <v>20094</v>
      </c>
    </row>
    <row r="6691">
      <c r="A6691" s="7">
        <v>2.0063209E7</v>
      </c>
      <c r="B6691" s="8" t="s">
        <v>5776</v>
      </c>
      <c r="C6691" s="8" t="s">
        <v>20090</v>
      </c>
      <c r="D6691" s="8" t="s">
        <v>16</v>
      </c>
      <c r="E6691" s="8" t="s">
        <v>17</v>
      </c>
      <c r="F6691" s="9">
        <v>46156.0</v>
      </c>
      <c r="G6691" s="8" t="s">
        <v>517</v>
      </c>
      <c r="H6691" s="8" t="s">
        <v>518</v>
      </c>
      <c r="I6691" s="8" t="s">
        <v>20095</v>
      </c>
      <c r="J6691" s="8"/>
    </row>
    <row r="6692">
      <c r="A6692" s="7">
        <v>2.006263E7</v>
      </c>
      <c r="B6692" s="8" t="s">
        <v>5776</v>
      </c>
      <c r="C6692" s="8" t="s">
        <v>20096</v>
      </c>
      <c r="D6692" s="8" t="s">
        <v>16</v>
      </c>
      <c r="E6692" s="8" t="s">
        <v>17</v>
      </c>
      <c r="F6692" s="9">
        <v>46161.0</v>
      </c>
      <c r="G6692" s="8" t="s">
        <v>109</v>
      </c>
      <c r="H6692" s="8" t="s">
        <v>110</v>
      </c>
      <c r="I6692" s="8" t="s">
        <v>20097</v>
      </c>
      <c r="J6692" s="8" t="s">
        <v>20098</v>
      </c>
    </row>
    <row r="6693">
      <c r="A6693" s="7">
        <v>2.0062342E7</v>
      </c>
      <c r="B6693" s="8" t="s">
        <v>5776</v>
      </c>
      <c r="C6693" s="8" t="s">
        <v>20099</v>
      </c>
      <c r="D6693" s="8" t="s">
        <v>16</v>
      </c>
      <c r="E6693" s="8" t="s">
        <v>17</v>
      </c>
      <c r="F6693" s="9">
        <v>46179.0</v>
      </c>
      <c r="G6693" s="8" t="s">
        <v>290</v>
      </c>
      <c r="H6693" s="8" t="s">
        <v>291</v>
      </c>
      <c r="I6693" s="8" t="s">
        <v>20100</v>
      </c>
      <c r="J6693" s="8" t="s">
        <v>20101</v>
      </c>
    </row>
    <row r="6694">
      <c r="A6694" s="7">
        <v>2.0057583E7</v>
      </c>
      <c r="B6694" s="8" t="s">
        <v>5776</v>
      </c>
      <c r="C6694" s="8" t="s">
        <v>20102</v>
      </c>
      <c r="D6694" s="8" t="s">
        <v>16</v>
      </c>
      <c r="E6694" s="8" t="s">
        <v>17</v>
      </c>
      <c r="F6694" s="9">
        <v>46181.0</v>
      </c>
      <c r="G6694" s="8" t="s">
        <v>3532</v>
      </c>
      <c r="H6694" s="8" t="s">
        <v>3533</v>
      </c>
      <c r="I6694" s="8" t="s">
        <v>20103</v>
      </c>
      <c r="J6694" s="8" t="s">
        <v>20104</v>
      </c>
    </row>
    <row r="6695">
      <c r="A6695" s="7">
        <v>2.0050537E7</v>
      </c>
      <c r="B6695" s="8" t="s">
        <v>5776</v>
      </c>
      <c r="C6695" s="8" t="s">
        <v>20105</v>
      </c>
      <c r="D6695" s="8" t="s">
        <v>16</v>
      </c>
      <c r="E6695" s="8" t="s">
        <v>17</v>
      </c>
      <c r="F6695" s="9">
        <v>46140.0</v>
      </c>
      <c r="G6695" s="8" t="s">
        <v>303</v>
      </c>
      <c r="H6695" s="8" t="s">
        <v>304</v>
      </c>
      <c r="I6695" s="8" t="s">
        <v>20106</v>
      </c>
      <c r="J6695" s="8" t="s">
        <v>20107</v>
      </c>
    </row>
    <row r="6696">
      <c r="A6696" s="7">
        <v>2.0052946E7</v>
      </c>
      <c r="B6696" s="8" t="s">
        <v>5776</v>
      </c>
      <c r="C6696" s="8" t="s">
        <v>20108</v>
      </c>
      <c r="D6696" s="8" t="s">
        <v>16</v>
      </c>
      <c r="E6696" s="8" t="s">
        <v>17</v>
      </c>
      <c r="F6696" s="9">
        <v>46121.0</v>
      </c>
      <c r="G6696" s="8" t="s">
        <v>1557</v>
      </c>
      <c r="H6696" s="8" t="s">
        <v>1558</v>
      </c>
      <c r="I6696" s="8" t="s">
        <v>20109</v>
      </c>
      <c r="J6696" s="8"/>
    </row>
    <row r="6697">
      <c r="A6697" s="7">
        <v>2.0051555E7</v>
      </c>
      <c r="B6697" s="8" t="s">
        <v>5776</v>
      </c>
      <c r="C6697" s="8" t="s">
        <v>20110</v>
      </c>
      <c r="D6697" s="8" t="s">
        <v>16</v>
      </c>
      <c r="E6697" s="8" t="s">
        <v>17</v>
      </c>
      <c r="F6697" s="9">
        <v>46104.0</v>
      </c>
      <c r="G6697" s="8" t="s">
        <v>873</v>
      </c>
      <c r="H6697" s="8" t="s">
        <v>874</v>
      </c>
      <c r="I6697" s="8" t="s">
        <v>20111</v>
      </c>
      <c r="J6697" s="8" t="s">
        <v>20112</v>
      </c>
    </row>
    <row r="6698">
      <c r="A6698" s="7">
        <v>2.0043383E7</v>
      </c>
      <c r="B6698" s="8" t="s">
        <v>5776</v>
      </c>
      <c r="C6698" s="8" t="s">
        <v>20113</v>
      </c>
      <c r="D6698" s="8" t="s">
        <v>16</v>
      </c>
      <c r="E6698" s="8" t="s">
        <v>17</v>
      </c>
      <c r="F6698" s="9">
        <v>46078.0</v>
      </c>
      <c r="G6698" s="8" t="s">
        <v>109</v>
      </c>
      <c r="H6698" s="8" t="s">
        <v>110</v>
      </c>
      <c r="I6698" s="8" t="s">
        <v>20114</v>
      </c>
      <c r="J6698" s="8" t="s">
        <v>20115</v>
      </c>
    </row>
    <row r="6699">
      <c r="A6699" s="7">
        <v>2.0043383E7</v>
      </c>
      <c r="B6699" s="8" t="s">
        <v>5776</v>
      </c>
      <c r="C6699" s="8" t="s">
        <v>20113</v>
      </c>
      <c r="D6699" s="8" t="s">
        <v>16</v>
      </c>
      <c r="E6699" s="8" t="s">
        <v>17</v>
      </c>
      <c r="F6699" s="9">
        <v>46078.0</v>
      </c>
      <c r="G6699" s="8" t="s">
        <v>7038</v>
      </c>
      <c r="H6699" s="8" t="s">
        <v>7039</v>
      </c>
      <c r="I6699" s="8" t="s">
        <v>20116</v>
      </c>
      <c r="J6699" s="8" t="s">
        <v>20117</v>
      </c>
    </row>
    <row r="6700">
      <c r="A6700" s="7">
        <v>2.0038195E7</v>
      </c>
      <c r="B6700" s="8" t="s">
        <v>5776</v>
      </c>
      <c r="C6700" s="8" t="s">
        <v>20118</v>
      </c>
      <c r="D6700" s="8" t="s">
        <v>16</v>
      </c>
      <c r="E6700" s="8" t="s">
        <v>17</v>
      </c>
      <c r="F6700" s="9">
        <v>46064.0</v>
      </c>
      <c r="G6700" s="8" t="s">
        <v>2724</v>
      </c>
      <c r="H6700" s="8" t="s">
        <v>2725</v>
      </c>
      <c r="I6700" s="8" t="s">
        <v>20119</v>
      </c>
      <c r="J6700" s="8" t="s">
        <v>20120</v>
      </c>
    </row>
    <row r="6701">
      <c r="A6701" s="7">
        <v>2.0036965E7</v>
      </c>
      <c r="B6701" s="8" t="s">
        <v>5776</v>
      </c>
      <c r="C6701" s="8" t="s">
        <v>20121</v>
      </c>
      <c r="D6701" s="8" t="s">
        <v>16</v>
      </c>
      <c r="E6701" s="8" t="s">
        <v>17</v>
      </c>
      <c r="F6701" s="9">
        <v>46050.0</v>
      </c>
      <c r="G6701" s="8" t="s">
        <v>822</v>
      </c>
      <c r="H6701" s="8" t="s">
        <v>120</v>
      </c>
      <c r="I6701" s="8" t="s">
        <v>20122</v>
      </c>
      <c r="J6701" s="8" t="s">
        <v>20123</v>
      </c>
    </row>
    <row r="6702">
      <c r="A6702" s="7">
        <v>2.003335E7</v>
      </c>
      <c r="B6702" s="8" t="s">
        <v>5776</v>
      </c>
      <c r="C6702" s="8" t="s">
        <v>20124</v>
      </c>
      <c r="D6702" s="8" t="s">
        <v>16</v>
      </c>
      <c r="E6702" s="8" t="s">
        <v>17</v>
      </c>
      <c r="F6702" s="9">
        <v>46039.0</v>
      </c>
      <c r="G6702" s="8" t="s">
        <v>759</v>
      </c>
      <c r="H6702" s="8" t="s">
        <v>760</v>
      </c>
      <c r="I6702" s="8" t="s">
        <v>20125</v>
      </c>
      <c r="J6702" s="8" t="s">
        <v>20126</v>
      </c>
    </row>
    <row r="6703">
      <c r="A6703" s="7">
        <v>2.0060451E7</v>
      </c>
      <c r="B6703" s="8" t="s">
        <v>5776</v>
      </c>
      <c r="C6703" s="8" t="s">
        <v>20127</v>
      </c>
      <c r="D6703" s="8" t="s">
        <v>16</v>
      </c>
      <c r="E6703" s="8" t="s">
        <v>17</v>
      </c>
      <c r="F6703" s="9">
        <v>46178.0</v>
      </c>
      <c r="G6703" s="8" t="s">
        <v>158</v>
      </c>
      <c r="H6703" s="8" t="s">
        <v>159</v>
      </c>
      <c r="I6703" s="8" t="s">
        <v>20128</v>
      </c>
      <c r="J6703" s="8" t="s">
        <v>20129</v>
      </c>
    </row>
    <row r="6704">
      <c r="A6704" s="7">
        <v>2.0037696E7</v>
      </c>
      <c r="B6704" s="8" t="s">
        <v>5776</v>
      </c>
      <c r="C6704" s="8" t="s">
        <v>20130</v>
      </c>
      <c r="D6704" s="8" t="s">
        <v>16</v>
      </c>
      <c r="E6704" s="8" t="s">
        <v>17</v>
      </c>
      <c r="F6704" s="9">
        <v>46054.0</v>
      </c>
      <c r="G6704" s="8" t="s">
        <v>59</v>
      </c>
      <c r="H6704" s="8" t="s">
        <v>60</v>
      </c>
      <c r="I6704" s="8" t="s">
        <v>20131</v>
      </c>
      <c r="J6704" s="8" t="s">
        <v>20132</v>
      </c>
    </row>
    <row r="6705">
      <c r="A6705" s="7">
        <v>2.0068952E7</v>
      </c>
      <c r="B6705" s="8" t="s">
        <v>5776</v>
      </c>
      <c r="C6705" s="8" t="s">
        <v>20133</v>
      </c>
      <c r="D6705" s="8" t="s">
        <v>16</v>
      </c>
      <c r="E6705" s="8" t="s">
        <v>17</v>
      </c>
      <c r="F6705" s="9">
        <v>46182.0</v>
      </c>
      <c r="G6705" s="8" t="s">
        <v>8642</v>
      </c>
      <c r="H6705" s="8" t="s">
        <v>8643</v>
      </c>
      <c r="I6705" s="8" t="s">
        <v>20134</v>
      </c>
      <c r="J6705" s="8" t="s">
        <v>20135</v>
      </c>
    </row>
    <row r="6706">
      <c r="A6706" s="7">
        <v>2.0067975E7</v>
      </c>
      <c r="B6706" s="8" t="s">
        <v>5776</v>
      </c>
      <c r="C6706" s="8" t="s">
        <v>20136</v>
      </c>
      <c r="D6706" s="8" t="s">
        <v>2136</v>
      </c>
      <c r="E6706" s="8" t="s">
        <v>17</v>
      </c>
      <c r="F6706" s="9">
        <v>46177.0</v>
      </c>
      <c r="G6706" s="8" t="s">
        <v>153</v>
      </c>
      <c r="H6706" s="8" t="s">
        <v>154</v>
      </c>
      <c r="I6706" s="8" t="s">
        <v>20137</v>
      </c>
      <c r="J6706" s="8" t="s">
        <v>20138</v>
      </c>
    </row>
    <row r="6707">
      <c r="A6707" s="7">
        <v>2.0066551E7</v>
      </c>
      <c r="B6707" s="8" t="s">
        <v>5776</v>
      </c>
      <c r="C6707" s="8" t="s">
        <v>20139</v>
      </c>
      <c r="D6707" s="8" t="s">
        <v>16</v>
      </c>
      <c r="E6707" s="8" t="s">
        <v>17</v>
      </c>
      <c r="F6707" s="9">
        <v>46169.0</v>
      </c>
      <c r="G6707" s="8" t="s">
        <v>805</v>
      </c>
      <c r="H6707" s="8" t="s">
        <v>806</v>
      </c>
      <c r="I6707" s="8" t="s">
        <v>20140</v>
      </c>
      <c r="J6707" s="8" t="s">
        <v>20141</v>
      </c>
    </row>
    <row r="6708">
      <c r="A6708" s="7">
        <v>2.0059667E7</v>
      </c>
      <c r="B6708" s="8" t="s">
        <v>5776</v>
      </c>
      <c r="C6708" s="8" t="s">
        <v>20142</v>
      </c>
      <c r="D6708" s="8" t="s">
        <v>16</v>
      </c>
      <c r="E6708" s="8" t="s">
        <v>17</v>
      </c>
      <c r="F6708" s="9">
        <v>46139.0</v>
      </c>
      <c r="G6708" s="8" t="s">
        <v>339</v>
      </c>
      <c r="H6708" s="8" t="s">
        <v>340</v>
      </c>
      <c r="I6708" s="8" t="s">
        <v>20143</v>
      </c>
      <c r="J6708" s="8" t="s">
        <v>20144</v>
      </c>
    </row>
    <row r="6709">
      <c r="A6709" s="7">
        <v>2.0056444E7</v>
      </c>
      <c r="B6709" s="8" t="s">
        <v>5776</v>
      </c>
      <c r="C6709" s="8" t="s">
        <v>20145</v>
      </c>
      <c r="D6709" s="8" t="s">
        <v>16</v>
      </c>
      <c r="E6709" s="8" t="s">
        <v>17</v>
      </c>
      <c r="F6709" s="9">
        <v>46133.0</v>
      </c>
      <c r="G6709" s="8" t="s">
        <v>5030</v>
      </c>
      <c r="H6709" s="8" t="s">
        <v>10431</v>
      </c>
      <c r="I6709" s="8" t="s">
        <v>20146</v>
      </c>
      <c r="J6709" s="8" t="s">
        <v>20147</v>
      </c>
    </row>
    <row r="6710">
      <c r="A6710" s="7">
        <v>2.0054372E7</v>
      </c>
      <c r="B6710" s="8" t="s">
        <v>5776</v>
      </c>
      <c r="C6710" s="8" t="s">
        <v>20148</v>
      </c>
      <c r="D6710" s="8" t="s">
        <v>16</v>
      </c>
      <c r="E6710" s="8" t="s">
        <v>17</v>
      </c>
      <c r="F6710" s="9">
        <v>46137.0</v>
      </c>
      <c r="G6710" s="8" t="s">
        <v>791</v>
      </c>
      <c r="H6710" s="8" t="s">
        <v>792</v>
      </c>
      <c r="I6710" s="8" t="s">
        <v>20149</v>
      </c>
      <c r="J6710" s="8"/>
    </row>
    <row r="6711">
      <c r="A6711" s="7">
        <v>2.0041511E7</v>
      </c>
      <c r="B6711" s="8" t="s">
        <v>5776</v>
      </c>
      <c r="C6711" s="8" t="s">
        <v>20150</v>
      </c>
      <c r="D6711" s="8" t="s">
        <v>16</v>
      </c>
      <c r="E6711" s="8" t="s">
        <v>17</v>
      </c>
      <c r="F6711" s="9">
        <v>46091.0</v>
      </c>
      <c r="G6711" s="8" t="s">
        <v>846</v>
      </c>
      <c r="H6711" s="8" t="s">
        <v>847</v>
      </c>
      <c r="I6711" s="8" t="s">
        <v>20151</v>
      </c>
      <c r="J6711" s="8" t="s">
        <v>20152</v>
      </c>
    </row>
    <row r="6712">
      <c r="A6712" s="7">
        <v>2.0067478E7</v>
      </c>
      <c r="B6712" s="8" t="s">
        <v>5776</v>
      </c>
      <c r="C6712" s="8" t="s">
        <v>20153</v>
      </c>
      <c r="D6712" s="8" t="s">
        <v>16</v>
      </c>
      <c r="E6712" s="8" t="s">
        <v>17</v>
      </c>
      <c r="F6712" s="9">
        <v>46183.0</v>
      </c>
      <c r="G6712" s="8" t="s">
        <v>247</v>
      </c>
      <c r="H6712" s="8" t="s">
        <v>248</v>
      </c>
      <c r="I6712" s="8" t="s">
        <v>20154</v>
      </c>
      <c r="J6712" s="8" t="s">
        <v>20155</v>
      </c>
    </row>
    <row r="6713">
      <c r="A6713" s="7">
        <v>2.0057743E7</v>
      </c>
      <c r="B6713" s="8" t="s">
        <v>5776</v>
      </c>
      <c r="C6713" s="8" t="s">
        <v>20156</v>
      </c>
      <c r="D6713" s="8" t="s">
        <v>16</v>
      </c>
      <c r="E6713" s="8" t="s">
        <v>17</v>
      </c>
      <c r="F6713" s="9">
        <v>46152.0</v>
      </c>
      <c r="G6713" s="8" t="s">
        <v>410</v>
      </c>
      <c r="H6713" s="8" t="s">
        <v>411</v>
      </c>
      <c r="I6713" s="8" t="s">
        <v>20157</v>
      </c>
      <c r="J6713" s="8" t="s">
        <v>20158</v>
      </c>
    </row>
    <row r="6714">
      <c r="A6714" s="7">
        <v>2.0055603E7</v>
      </c>
      <c r="B6714" s="8" t="s">
        <v>5776</v>
      </c>
      <c r="C6714" s="8" t="s">
        <v>20159</v>
      </c>
      <c r="D6714" s="8" t="s">
        <v>16</v>
      </c>
      <c r="E6714" s="8" t="s">
        <v>17</v>
      </c>
      <c r="F6714" s="9">
        <v>46143.0</v>
      </c>
      <c r="G6714" s="8" t="s">
        <v>158</v>
      </c>
      <c r="H6714" s="8" t="s">
        <v>159</v>
      </c>
      <c r="I6714" s="8" t="s">
        <v>20160</v>
      </c>
      <c r="J6714" s="8" t="s">
        <v>20161</v>
      </c>
    </row>
    <row r="6715">
      <c r="A6715" s="7">
        <v>2.0053986E7</v>
      </c>
      <c r="B6715" s="8" t="s">
        <v>5776</v>
      </c>
      <c r="C6715" s="8" t="s">
        <v>20162</v>
      </c>
      <c r="D6715" s="8" t="s">
        <v>16</v>
      </c>
      <c r="E6715" s="8" t="s">
        <v>17</v>
      </c>
      <c r="F6715" s="9">
        <v>46140.0</v>
      </c>
      <c r="G6715" s="8" t="s">
        <v>1813</v>
      </c>
      <c r="H6715" s="8" t="s">
        <v>1814</v>
      </c>
      <c r="I6715" s="8" t="s">
        <v>20163</v>
      </c>
      <c r="J6715" s="8" t="s">
        <v>20164</v>
      </c>
    </row>
    <row r="6716">
      <c r="A6716" s="7">
        <v>2.0047593E7</v>
      </c>
      <c r="B6716" s="8" t="s">
        <v>5776</v>
      </c>
      <c r="C6716" s="8" t="s">
        <v>20165</v>
      </c>
      <c r="D6716" s="8" t="s">
        <v>16</v>
      </c>
      <c r="E6716" s="8" t="s">
        <v>17</v>
      </c>
      <c r="F6716" s="9">
        <v>46099.0</v>
      </c>
      <c r="G6716" s="8" t="s">
        <v>6399</v>
      </c>
      <c r="H6716" s="8" t="s">
        <v>120</v>
      </c>
      <c r="I6716" s="8" t="s">
        <v>20166</v>
      </c>
      <c r="J6716" s="8" t="s">
        <v>20167</v>
      </c>
    </row>
    <row r="6717">
      <c r="A6717" s="7">
        <v>2.0047591E7</v>
      </c>
      <c r="B6717" s="8" t="s">
        <v>5776</v>
      </c>
      <c r="C6717" s="8" t="s">
        <v>20168</v>
      </c>
      <c r="D6717" s="8" t="s">
        <v>16</v>
      </c>
      <c r="E6717" s="8" t="s">
        <v>17</v>
      </c>
      <c r="F6717" s="9">
        <v>46092.0</v>
      </c>
      <c r="G6717" s="8" t="s">
        <v>34</v>
      </c>
      <c r="H6717" s="8" t="s">
        <v>35</v>
      </c>
      <c r="I6717" s="8" t="s">
        <v>20169</v>
      </c>
      <c r="J6717" s="8" t="s">
        <v>20170</v>
      </c>
    </row>
    <row r="6718">
      <c r="A6718" s="7">
        <v>2.0033953E7</v>
      </c>
      <c r="B6718" s="8" t="s">
        <v>5776</v>
      </c>
      <c r="C6718" s="8" t="s">
        <v>20171</v>
      </c>
      <c r="D6718" s="8" t="s">
        <v>16</v>
      </c>
      <c r="E6718" s="8" t="s">
        <v>17</v>
      </c>
      <c r="F6718" s="9">
        <v>46045.0</v>
      </c>
      <c r="G6718" s="8" t="s">
        <v>846</v>
      </c>
      <c r="H6718" s="8" t="s">
        <v>847</v>
      </c>
      <c r="I6718" s="8" t="s">
        <v>20172</v>
      </c>
      <c r="J6718" s="8" t="s">
        <v>20173</v>
      </c>
    </row>
    <row r="6719">
      <c r="A6719" s="7">
        <v>2.0033953E7</v>
      </c>
      <c r="B6719" s="8" t="s">
        <v>5776</v>
      </c>
      <c r="C6719" s="8" t="s">
        <v>20171</v>
      </c>
      <c r="D6719" s="8" t="s">
        <v>16</v>
      </c>
      <c r="E6719" s="8" t="s">
        <v>17</v>
      </c>
      <c r="F6719" s="9">
        <v>46045.0</v>
      </c>
      <c r="G6719" s="8" t="s">
        <v>91</v>
      </c>
      <c r="H6719" s="8" t="s">
        <v>92</v>
      </c>
      <c r="I6719" s="8" t="s">
        <v>20174</v>
      </c>
      <c r="J6719" s="8" t="s">
        <v>20175</v>
      </c>
    </row>
    <row r="6720">
      <c r="A6720" s="7">
        <v>2.0032393E7</v>
      </c>
      <c r="B6720" s="8" t="s">
        <v>5776</v>
      </c>
      <c r="C6720" s="8" t="s">
        <v>20176</v>
      </c>
      <c r="D6720" s="8" t="s">
        <v>16</v>
      </c>
      <c r="E6720" s="8" t="s">
        <v>17</v>
      </c>
      <c r="F6720" s="9">
        <v>46038.0</v>
      </c>
      <c r="G6720" s="8" t="s">
        <v>3572</v>
      </c>
      <c r="H6720" s="8" t="s">
        <v>3573</v>
      </c>
      <c r="I6720" s="8" t="s">
        <v>20177</v>
      </c>
      <c r="J6720" s="8" t="s">
        <v>20178</v>
      </c>
    </row>
    <row r="6721">
      <c r="A6721" s="7">
        <v>2.0071532E7</v>
      </c>
      <c r="B6721" s="8" t="s">
        <v>5776</v>
      </c>
      <c r="C6721" s="8" t="s">
        <v>20179</v>
      </c>
      <c r="D6721" s="8" t="s">
        <v>16</v>
      </c>
      <c r="E6721" s="8" t="s">
        <v>17</v>
      </c>
      <c r="F6721" s="9">
        <v>46193.0</v>
      </c>
      <c r="G6721" s="8" t="s">
        <v>59</v>
      </c>
      <c r="H6721" s="8" t="s">
        <v>60</v>
      </c>
      <c r="I6721" s="8" t="s">
        <v>20180</v>
      </c>
      <c r="J6721" s="8" t="s">
        <v>20181</v>
      </c>
    </row>
    <row r="6722">
      <c r="A6722" s="7">
        <v>2.0055377E7</v>
      </c>
      <c r="B6722" s="8" t="s">
        <v>5776</v>
      </c>
      <c r="C6722" s="8" t="s">
        <v>20182</v>
      </c>
      <c r="D6722" s="8" t="s">
        <v>16</v>
      </c>
      <c r="E6722" s="8" t="s">
        <v>17</v>
      </c>
      <c r="F6722" s="9">
        <v>46128.0</v>
      </c>
      <c r="G6722" s="8" t="s">
        <v>34</v>
      </c>
      <c r="H6722" s="8" t="s">
        <v>35</v>
      </c>
      <c r="I6722" s="8" t="s">
        <v>20183</v>
      </c>
      <c r="J6722" s="8" t="s">
        <v>20184</v>
      </c>
    </row>
    <row r="6723">
      <c r="A6723" s="7">
        <v>2.0060741E7</v>
      </c>
      <c r="B6723" s="8" t="s">
        <v>5776</v>
      </c>
      <c r="C6723" s="8" t="s">
        <v>20185</v>
      </c>
      <c r="D6723" s="8" t="s">
        <v>16</v>
      </c>
      <c r="E6723" s="8" t="s">
        <v>17</v>
      </c>
      <c r="F6723" s="9">
        <v>46145.0</v>
      </c>
      <c r="G6723" s="8" t="s">
        <v>220</v>
      </c>
      <c r="H6723" s="8" t="s">
        <v>221</v>
      </c>
      <c r="I6723" s="8" t="s">
        <v>20186</v>
      </c>
      <c r="J6723" s="8" t="s">
        <v>20187</v>
      </c>
    </row>
    <row r="6724">
      <c r="A6724" s="7">
        <v>2.0060281E7</v>
      </c>
      <c r="B6724" s="8" t="s">
        <v>5776</v>
      </c>
      <c r="C6724" s="8" t="s">
        <v>20188</v>
      </c>
      <c r="D6724" s="8" t="s">
        <v>16</v>
      </c>
      <c r="E6724" s="8" t="s">
        <v>17</v>
      </c>
      <c r="F6724" s="9">
        <v>46148.0</v>
      </c>
      <c r="G6724" s="8" t="s">
        <v>3812</v>
      </c>
      <c r="H6724" s="8" t="s">
        <v>3813</v>
      </c>
      <c r="I6724" s="8" t="s">
        <v>20189</v>
      </c>
      <c r="J6724" s="8" t="s">
        <v>20190</v>
      </c>
    </row>
    <row r="6725">
      <c r="A6725" s="7">
        <v>2.0052962E7</v>
      </c>
      <c r="B6725" s="8" t="s">
        <v>5776</v>
      </c>
      <c r="C6725" s="8" t="s">
        <v>20191</v>
      </c>
      <c r="D6725" s="8" t="s">
        <v>16</v>
      </c>
      <c r="E6725" s="8" t="s">
        <v>17</v>
      </c>
      <c r="F6725" s="9">
        <v>46128.0</v>
      </c>
      <c r="G6725" s="8" t="s">
        <v>791</v>
      </c>
      <c r="H6725" s="8" t="s">
        <v>792</v>
      </c>
      <c r="I6725" s="8" t="s">
        <v>20192</v>
      </c>
      <c r="J6725" s="8"/>
    </row>
    <row r="6726">
      <c r="A6726" s="7">
        <v>2.0050298E7</v>
      </c>
      <c r="B6726" s="8" t="s">
        <v>5776</v>
      </c>
      <c r="C6726" s="8" t="s">
        <v>20193</v>
      </c>
      <c r="D6726" s="8" t="s">
        <v>16</v>
      </c>
      <c r="E6726" s="8" t="s">
        <v>17</v>
      </c>
      <c r="F6726" s="9">
        <v>46098.0</v>
      </c>
      <c r="G6726" s="8" t="s">
        <v>59</v>
      </c>
      <c r="H6726" s="8" t="s">
        <v>60</v>
      </c>
      <c r="I6726" s="8" t="s">
        <v>20194</v>
      </c>
      <c r="J6726" s="8" t="s">
        <v>20195</v>
      </c>
    </row>
    <row r="6727">
      <c r="A6727" s="7">
        <v>2.0033951E7</v>
      </c>
      <c r="B6727" s="8" t="s">
        <v>5776</v>
      </c>
      <c r="C6727" s="8" t="s">
        <v>20196</v>
      </c>
      <c r="D6727" s="8" t="s">
        <v>16</v>
      </c>
      <c r="E6727" s="8" t="s">
        <v>17</v>
      </c>
      <c r="F6727" s="9">
        <v>46047.0</v>
      </c>
      <c r="G6727" s="8" t="s">
        <v>171</v>
      </c>
      <c r="H6727" s="8" t="s">
        <v>172</v>
      </c>
      <c r="I6727" s="8" t="s">
        <v>20197</v>
      </c>
      <c r="J6727" s="8" t="s">
        <v>20198</v>
      </c>
    </row>
    <row r="6728">
      <c r="A6728" s="7">
        <v>2.0058621E7</v>
      </c>
      <c r="B6728" s="8" t="s">
        <v>5776</v>
      </c>
      <c r="C6728" s="8" t="s">
        <v>20199</v>
      </c>
      <c r="D6728" s="8" t="s">
        <v>16</v>
      </c>
      <c r="E6728" s="8" t="s">
        <v>17</v>
      </c>
      <c r="F6728" s="9">
        <v>46141.0</v>
      </c>
      <c r="G6728" s="8" t="s">
        <v>908</v>
      </c>
      <c r="H6728" s="8" t="s">
        <v>909</v>
      </c>
      <c r="I6728" s="8" t="s">
        <v>20200</v>
      </c>
      <c r="J6728" s="8" t="s">
        <v>20201</v>
      </c>
    </row>
    <row r="6729">
      <c r="A6729" s="7">
        <v>2.0049051E7</v>
      </c>
      <c r="B6729" s="8" t="s">
        <v>5776</v>
      </c>
      <c r="C6729" s="8" t="s">
        <v>20202</v>
      </c>
      <c r="D6729" s="8" t="s">
        <v>16</v>
      </c>
      <c r="E6729" s="8" t="s">
        <v>17</v>
      </c>
      <c r="F6729" s="9">
        <v>46109.0</v>
      </c>
      <c r="G6729" s="8" t="s">
        <v>1427</v>
      </c>
      <c r="H6729" s="8" t="s">
        <v>1428</v>
      </c>
      <c r="I6729" s="8" t="s">
        <v>20203</v>
      </c>
      <c r="J6729" s="8" t="s">
        <v>20204</v>
      </c>
    </row>
    <row r="6730">
      <c r="A6730" s="7">
        <v>2.0046547E7</v>
      </c>
      <c r="B6730" s="8" t="s">
        <v>5776</v>
      </c>
      <c r="C6730" s="8" t="s">
        <v>20205</v>
      </c>
      <c r="D6730" s="8" t="s">
        <v>16</v>
      </c>
      <c r="E6730" s="8" t="s">
        <v>17</v>
      </c>
      <c r="F6730" s="9">
        <v>46104.0</v>
      </c>
      <c r="G6730" s="8" t="s">
        <v>171</v>
      </c>
      <c r="H6730" s="8" t="s">
        <v>172</v>
      </c>
      <c r="I6730" s="8" t="s">
        <v>20206</v>
      </c>
      <c r="J6730" s="8" t="s">
        <v>20207</v>
      </c>
    </row>
    <row r="6731">
      <c r="A6731" s="7">
        <v>2.0046188E7</v>
      </c>
      <c r="B6731" s="8" t="s">
        <v>5776</v>
      </c>
      <c r="C6731" s="8" t="s">
        <v>20208</v>
      </c>
      <c r="D6731" s="8" t="s">
        <v>16</v>
      </c>
      <c r="E6731" s="8" t="s">
        <v>17</v>
      </c>
      <c r="F6731" s="9">
        <v>46085.0</v>
      </c>
      <c r="G6731" s="8" t="s">
        <v>385</v>
      </c>
      <c r="H6731" s="8" t="s">
        <v>386</v>
      </c>
      <c r="I6731" s="8" t="s">
        <v>20209</v>
      </c>
      <c r="J6731" s="8" t="s">
        <v>20210</v>
      </c>
    </row>
    <row r="6732">
      <c r="A6732" s="7">
        <v>2.0035245E7</v>
      </c>
      <c r="B6732" s="8" t="s">
        <v>5776</v>
      </c>
      <c r="C6732" s="8" t="s">
        <v>20211</v>
      </c>
      <c r="D6732" s="8" t="s">
        <v>16</v>
      </c>
      <c r="E6732" s="8" t="s">
        <v>17</v>
      </c>
      <c r="F6732" s="9">
        <v>46048.0</v>
      </c>
      <c r="G6732" s="8" t="s">
        <v>75</v>
      </c>
      <c r="H6732" s="8" t="s">
        <v>76</v>
      </c>
      <c r="I6732" s="8" t="s">
        <v>20212</v>
      </c>
      <c r="J6732" s="8" t="s">
        <v>20213</v>
      </c>
    </row>
    <row r="6733">
      <c r="A6733" s="7">
        <v>2.0068948E7</v>
      </c>
      <c r="B6733" s="8" t="s">
        <v>5776</v>
      </c>
      <c r="C6733" s="8" t="s">
        <v>20214</v>
      </c>
      <c r="D6733" s="8" t="s">
        <v>2136</v>
      </c>
      <c r="E6733" s="8" t="s">
        <v>17</v>
      </c>
      <c r="F6733" s="9">
        <v>46179.0</v>
      </c>
      <c r="G6733" s="8" t="s">
        <v>59</v>
      </c>
      <c r="H6733" s="8" t="s">
        <v>60</v>
      </c>
      <c r="I6733" s="8" t="s">
        <v>20215</v>
      </c>
      <c r="J6733" s="8" t="s">
        <v>20216</v>
      </c>
    </row>
    <row r="6734">
      <c r="A6734" s="7">
        <v>2.0058928E7</v>
      </c>
      <c r="B6734" s="8" t="s">
        <v>5776</v>
      </c>
      <c r="C6734" s="8" t="s">
        <v>20217</v>
      </c>
      <c r="D6734" s="8" t="s">
        <v>16</v>
      </c>
      <c r="E6734" s="8" t="s">
        <v>17</v>
      </c>
      <c r="F6734" s="9">
        <v>46147.0</v>
      </c>
      <c r="G6734" s="8" t="s">
        <v>34</v>
      </c>
      <c r="H6734" s="8" t="s">
        <v>35</v>
      </c>
      <c r="I6734" s="8" t="s">
        <v>20218</v>
      </c>
      <c r="J6734" s="8" t="s">
        <v>20219</v>
      </c>
    </row>
    <row r="6735">
      <c r="A6735" s="7">
        <v>2.0054858E7</v>
      </c>
      <c r="B6735" s="8" t="s">
        <v>5776</v>
      </c>
      <c r="C6735" s="8" t="s">
        <v>20220</v>
      </c>
      <c r="D6735" s="8" t="s">
        <v>16</v>
      </c>
      <c r="E6735" s="8" t="s">
        <v>17</v>
      </c>
      <c r="F6735" s="9">
        <v>46137.0</v>
      </c>
      <c r="G6735" s="8" t="s">
        <v>75</v>
      </c>
      <c r="H6735" s="8" t="s">
        <v>76</v>
      </c>
      <c r="I6735" s="8" t="s">
        <v>20221</v>
      </c>
      <c r="J6735" s="8" t="s">
        <v>20222</v>
      </c>
    </row>
    <row r="6736">
      <c r="A6736" s="7">
        <v>2.0050791E7</v>
      </c>
      <c r="B6736" s="8" t="s">
        <v>5776</v>
      </c>
      <c r="C6736" s="8" t="s">
        <v>20223</v>
      </c>
      <c r="D6736" s="8" t="s">
        <v>16</v>
      </c>
      <c r="E6736" s="8" t="s">
        <v>17</v>
      </c>
      <c r="F6736" s="9">
        <v>46110.0</v>
      </c>
      <c r="G6736" s="8" t="s">
        <v>20224</v>
      </c>
      <c r="H6736" s="8" t="s">
        <v>20225</v>
      </c>
      <c r="I6736" s="8" t="s">
        <v>20226</v>
      </c>
      <c r="J6736" s="8" t="s">
        <v>20227</v>
      </c>
    </row>
    <row r="6737">
      <c r="A6737" s="7">
        <v>2.0050791E7</v>
      </c>
      <c r="B6737" s="8" t="s">
        <v>5776</v>
      </c>
      <c r="C6737" s="8" t="s">
        <v>20223</v>
      </c>
      <c r="D6737" s="8" t="s">
        <v>16</v>
      </c>
      <c r="E6737" s="8" t="s">
        <v>17</v>
      </c>
      <c r="F6737" s="9">
        <v>46110.0</v>
      </c>
      <c r="G6737" s="8" t="s">
        <v>9383</v>
      </c>
      <c r="H6737" s="8" t="s">
        <v>9384</v>
      </c>
      <c r="I6737" s="8" t="s">
        <v>20228</v>
      </c>
      <c r="J6737" s="8" t="s">
        <v>20229</v>
      </c>
    </row>
    <row r="6738">
      <c r="A6738" s="7">
        <v>2.0042977E7</v>
      </c>
      <c r="B6738" s="8" t="s">
        <v>5776</v>
      </c>
      <c r="C6738" s="8" t="s">
        <v>20230</v>
      </c>
      <c r="D6738" s="8" t="s">
        <v>16</v>
      </c>
      <c r="E6738" s="8" t="s">
        <v>17</v>
      </c>
      <c r="F6738" s="9">
        <v>46077.0</v>
      </c>
      <c r="G6738" s="8" t="s">
        <v>59</v>
      </c>
      <c r="H6738" s="8" t="s">
        <v>60</v>
      </c>
      <c r="I6738" s="8" t="s">
        <v>20231</v>
      </c>
      <c r="J6738" s="8" t="s">
        <v>20232</v>
      </c>
    </row>
    <row r="6739">
      <c r="A6739" s="7">
        <v>2.0036752E7</v>
      </c>
      <c r="B6739" s="8" t="s">
        <v>5776</v>
      </c>
      <c r="C6739" s="8" t="s">
        <v>20233</v>
      </c>
      <c r="D6739" s="8" t="s">
        <v>16</v>
      </c>
      <c r="E6739" s="8" t="s">
        <v>17</v>
      </c>
      <c r="F6739" s="9">
        <v>46053.0</v>
      </c>
      <c r="G6739" s="8" t="s">
        <v>3572</v>
      </c>
      <c r="H6739" s="8" t="s">
        <v>3573</v>
      </c>
      <c r="I6739" s="8" t="s">
        <v>20234</v>
      </c>
      <c r="J6739" s="8" t="s">
        <v>20235</v>
      </c>
    </row>
    <row r="6740">
      <c r="A6740" s="7">
        <v>2.0033698E7</v>
      </c>
      <c r="B6740" s="8" t="s">
        <v>5776</v>
      </c>
      <c r="C6740" s="8" t="s">
        <v>20236</v>
      </c>
      <c r="D6740" s="8" t="s">
        <v>16</v>
      </c>
      <c r="E6740" s="8" t="s">
        <v>17</v>
      </c>
      <c r="F6740" s="9">
        <v>46048.0</v>
      </c>
      <c r="G6740" s="8" t="s">
        <v>59</v>
      </c>
      <c r="H6740" s="8" t="s">
        <v>60</v>
      </c>
      <c r="I6740" s="8" t="s">
        <v>20237</v>
      </c>
      <c r="J6740" s="8" t="s">
        <v>20238</v>
      </c>
    </row>
    <row r="6741">
      <c r="A6741" s="7">
        <v>2.0062976E7</v>
      </c>
      <c r="B6741" s="8" t="s">
        <v>5776</v>
      </c>
      <c r="C6741" s="8" t="s">
        <v>20239</v>
      </c>
      <c r="D6741" s="8" t="s">
        <v>16</v>
      </c>
      <c r="E6741" s="8" t="s">
        <v>17</v>
      </c>
      <c r="F6741" s="9">
        <v>46179.0</v>
      </c>
      <c r="G6741" s="8" t="s">
        <v>20240</v>
      </c>
      <c r="H6741" s="8" t="s">
        <v>20241</v>
      </c>
      <c r="I6741" s="8" t="s">
        <v>20242</v>
      </c>
      <c r="J6741" s="8" t="s">
        <v>20243</v>
      </c>
    </row>
    <row r="6742">
      <c r="A6742" s="7">
        <v>2.0062976E7</v>
      </c>
      <c r="B6742" s="8" t="s">
        <v>5776</v>
      </c>
      <c r="C6742" s="8" t="s">
        <v>20239</v>
      </c>
      <c r="D6742" s="8" t="s">
        <v>16</v>
      </c>
      <c r="E6742" s="8" t="s">
        <v>17</v>
      </c>
      <c r="F6742" s="9">
        <v>46179.0</v>
      </c>
      <c r="G6742" s="8" t="s">
        <v>10073</v>
      </c>
      <c r="H6742" s="8" t="s">
        <v>10074</v>
      </c>
      <c r="I6742" s="8" t="s">
        <v>20244</v>
      </c>
      <c r="J6742" s="8" t="s">
        <v>20245</v>
      </c>
    </row>
    <row r="6743">
      <c r="A6743" s="7">
        <v>2.0054681E7</v>
      </c>
      <c r="B6743" s="8" t="s">
        <v>5776</v>
      </c>
      <c r="C6743" s="8" t="s">
        <v>20246</v>
      </c>
      <c r="D6743" s="8" t="s">
        <v>16</v>
      </c>
      <c r="E6743" s="8" t="s">
        <v>17</v>
      </c>
      <c r="F6743" s="9">
        <v>46124.0</v>
      </c>
      <c r="G6743" s="8" t="s">
        <v>1007</v>
      </c>
      <c r="H6743" s="8" t="s">
        <v>1008</v>
      </c>
      <c r="I6743" s="8" t="s">
        <v>20247</v>
      </c>
      <c r="J6743" s="8" t="s">
        <v>20248</v>
      </c>
    </row>
    <row r="6744">
      <c r="A6744" s="7">
        <v>2.0050788E7</v>
      </c>
      <c r="B6744" s="8" t="s">
        <v>5776</v>
      </c>
      <c r="C6744" s="8" t="s">
        <v>20249</v>
      </c>
      <c r="D6744" s="8" t="s">
        <v>16</v>
      </c>
      <c r="E6744" s="8" t="s">
        <v>17</v>
      </c>
      <c r="F6744" s="9">
        <v>46105.0</v>
      </c>
      <c r="G6744" s="8" t="s">
        <v>971</v>
      </c>
      <c r="H6744" s="8" t="s">
        <v>972</v>
      </c>
      <c r="I6744" s="8" t="s">
        <v>20250</v>
      </c>
      <c r="J6744" s="8" t="s">
        <v>20251</v>
      </c>
    </row>
    <row r="6745">
      <c r="A6745" s="7">
        <v>2.0050506E7</v>
      </c>
      <c r="B6745" s="8" t="s">
        <v>5776</v>
      </c>
      <c r="C6745" s="8" t="s">
        <v>20252</v>
      </c>
      <c r="D6745" s="8" t="s">
        <v>16</v>
      </c>
      <c r="E6745" s="8" t="s">
        <v>17</v>
      </c>
      <c r="F6745" s="9">
        <v>46105.0</v>
      </c>
      <c r="G6745" s="8" t="s">
        <v>418</v>
      </c>
      <c r="H6745" s="8" t="s">
        <v>419</v>
      </c>
      <c r="I6745" s="8" t="s">
        <v>20253</v>
      </c>
      <c r="J6745" s="8" t="s">
        <v>20254</v>
      </c>
    </row>
    <row r="6746">
      <c r="A6746" s="7">
        <v>2.0066684E7</v>
      </c>
      <c r="B6746" s="8" t="s">
        <v>5776</v>
      </c>
      <c r="C6746" s="8" t="s">
        <v>20255</v>
      </c>
      <c r="D6746" s="8" t="s">
        <v>16</v>
      </c>
      <c r="E6746" s="8" t="s">
        <v>17</v>
      </c>
      <c r="F6746" s="9">
        <v>46190.0</v>
      </c>
      <c r="G6746" s="8" t="s">
        <v>158</v>
      </c>
      <c r="H6746" s="8" t="s">
        <v>159</v>
      </c>
      <c r="I6746" s="8" t="s">
        <v>20256</v>
      </c>
      <c r="J6746" s="8" t="s">
        <v>20257</v>
      </c>
    </row>
    <row r="6747">
      <c r="A6747" s="7">
        <v>2.0055605E7</v>
      </c>
      <c r="B6747" s="8" t="s">
        <v>5776</v>
      </c>
      <c r="C6747" s="8" t="s">
        <v>20258</v>
      </c>
      <c r="D6747" s="8" t="s">
        <v>16</v>
      </c>
      <c r="E6747" s="8" t="s">
        <v>17</v>
      </c>
      <c r="F6747" s="9">
        <v>46131.0</v>
      </c>
      <c r="G6747" s="8" t="s">
        <v>517</v>
      </c>
      <c r="H6747" s="8" t="s">
        <v>518</v>
      </c>
      <c r="I6747" s="8"/>
      <c r="J6747" s="8" t="s">
        <v>20259</v>
      </c>
    </row>
    <row r="6748">
      <c r="A6748" s="7">
        <v>2.0055605E7</v>
      </c>
      <c r="B6748" s="8" t="s">
        <v>5776</v>
      </c>
      <c r="C6748" s="8" t="s">
        <v>20258</v>
      </c>
      <c r="D6748" s="8" t="s">
        <v>16</v>
      </c>
      <c r="E6748" s="8" t="s">
        <v>17</v>
      </c>
      <c r="F6748" s="9">
        <v>46131.0</v>
      </c>
      <c r="G6748" s="8" t="s">
        <v>517</v>
      </c>
      <c r="H6748" s="8" t="s">
        <v>518</v>
      </c>
      <c r="I6748" s="8" t="s">
        <v>20260</v>
      </c>
      <c r="J6748" s="8" t="s">
        <v>20259</v>
      </c>
    </row>
    <row r="6749">
      <c r="A6749" s="7">
        <v>2.0055604E7</v>
      </c>
      <c r="B6749" s="8" t="s">
        <v>5776</v>
      </c>
      <c r="C6749" s="8" t="s">
        <v>20261</v>
      </c>
      <c r="D6749" s="8" t="s">
        <v>16</v>
      </c>
      <c r="E6749" s="8" t="s">
        <v>17</v>
      </c>
      <c r="F6749" s="9">
        <v>46145.0</v>
      </c>
      <c r="G6749" s="8" t="s">
        <v>158</v>
      </c>
      <c r="H6749" s="8" t="s">
        <v>159</v>
      </c>
      <c r="I6749" s="8" t="s">
        <v>20262</v>
      </c>
      <c r="J6749" s="8" t="s">
        <v>20263</v>
      </c>
    </row>
    <row r="6750">
      <c r="A6750" s="7">
        <v>2.0046754E7</v>
      </c>
      <c r="B6750" s="8" t="s">
        <v>5776</v>
      </c>
      <c r="C6750" s="8" t="s">
        <v>20264</v>
      </c>
      <c r="D6750" s="8" t="s">
        <v>16</v>
      </c>
      <c r="E6750" s="8" t="s">
        <v>17</v>
      </c>
      <c r="F6750" s="9">
        <v>46105.0</v>
      </c>
      <c r="G6750" s="8" t="s">
        <v>171</v>
      </c>
      <c r="H6750" s="8" t="s">
        <v>172</v>
      </c>
      <c r="I6750" s="8" t="s">
        <v>20265</v>
      </c>
      <c r="J6750" s="8" t="s">
        <v>20266</v>
      </c>
    </row>
    <row r="6751">
      <c r="A6751" s="7">
        <v>2.0040797E7</v>
      </c>
      <c r="B6751" s="8" t="s">
        <v>5776</v>
      </c>
      <c r="C6751" s="8" t="s">
        <v>20267</v>
      </c>
      <c r="D6751" s="8" t="s">
        <v>16</v>
      </c>
      <c r="E6751" s="8" t="s">
        <v>17</v>
      </c>
      <c r="F6751" s="9">
        <v>46064.0</v>
      </c>
      <c r="G6751" s="8" t="s">
        <v>504</v>
      </c>
      <c r="H6751" s="8" t="s">
        <v>505</v>
      </c>
      <c r="I6751" s="8" t="s">
        <v>20268</v>
      </c>
      <c r="J6751" s="8" t="s">
        <v>20269</v>
      </c>
    </row>
    <row r="6752">
      <c r="A6752" s="7">
        <v>2.0040797E7</v>
      </c>
      <c r="B6752" s="8" t="s">
        <v>5776</v>
      </c>
      <c r="C6752" s="8" t="s">
        <v>20267</v>
      </c>
      <c r="D6752" s="8" t="s">
        <v>16</v>
      </c>
      <c r="E6752" s="8" t="s">
        <v>17</v>
      </c>
      <c r="F6752" s="9">
        <v>46064.0</v>
      </c>
      <c r="G6752" s="8" t="s">
        <v>517</v>
      </c>
      <c r="H6752" s="8" t="s">
        <v>518</v>
      </c>
      <c r="I6752" s="8" t="s">
        <v>20270</v>
      </c>
      <c r="J6752" s="8" t="s">
        <v>20271</v>
      </c>
    </row>
    <row r="6753">
      <c r="A6753" s="7">
        <v>2.0069996E7</v>
      </c>
      <c r="B6753" s="8" t="s">
        <v>5776</v>
      </c>
      <c r="C6753" s="8" t="s">
        <v>20272</v>
      </c>
      <c r="D6753" s="8" t="s">
        <v>16</v>
      </c>
      <c r="E6753" s="8" t="s">
        <v>17</v>
      </c>
      <c r="F6753" s="9">
        <v>46189.0</v>
      </c>
      <c r="G6753" s="8" t="s">
        <v>14772</v>
      </c>
      <c r="H6753" s="8" t="s">
        <v>14773</v>
      </c>
      <c r="I6753" s="8" t="s">
        <v>20273</v>
      </c>
      <c r="J6753" s="8" t="s">
        <v>20274</v>
      </c>
    </row>
    <row r="6754">
      <c r="A6754" s="7">
        <v>2.0069231E7</v>
      </c>
      <c r="B6754" s="8" t="s">
        <v>5776</v>
      </c>
      <c r="C6754" s="8" t="s">
        <v>20275</v>
      </c>
      <c r="D6754" s="8" t="s">
        <v>16</v>
      </c>
      <c r="E6754" s="8" t="s">
        <v>17</v>
      </c>
      <c r="F6754" s="9">
        <v>46189.0</v>
      </c>
      <c r="G6754" s="8" t="s">
        <v>400</v>
      </c>
      <c r="H6754" s="8" t="s">
        <v>2144</v>
      </c>
      <c r="I6754" s="8" t="s">
        <v>20276</v>
      </c>
      <c r="J6754" s="8" t="s">
        <v>20277</v>
      </c>
    </row>
    <row r="6755">
      <c r="A6755" s="7">
        <v>2.006051E7</v>
      </c>
      <c r="B6755" s="8" t="s">
        <v>5776</v>
      </c>
      <c r="C6755" s="8" t="s">
        <v>20278</v>
      </c>
      <c r="D6755" s="8" t="s">
        <v>16</v>
      </c>
      <c r="E6755" s="8" t="s">
        <v>17</v>
      </c>
      <c r="F6755" s="9">
        <v>46150.0</v>
      </c>
      <c r="G6755" s="8" t="s">
        <v>3585</v>
      </c>
      <c r="H6755" s="8" t="s">
        <v>3586</v>
      </c>
      <c r="I6755" s="8" t="s">
        <v>20279</v>
      </c>
      <c r="J6755" s="8" t="s">
        <v>20280</v>
      </c>
    </row>
    <row r="6756">
      <c r="A6756" s="7">
        <v>2.006051E7</v>
      </c>
      <c r="B6756" s="8" t="s">
        <v>5776</v>
      </c>
      <c r="C6756" s="8" t="s">
        <v>20278</v>
      </c>
      <c r="D6756" s="8" t="s">
        <v>16</v>
      </c>
      <c r="E6756" s="8" t="s">
        <v>17</v>
      </c>
      <c r="F6756" s="9">
        <v>46150.0</v>
      </c>
      <c r="G6756" s="8" t="s">
        <v>418</v>
      </c>
      <c r="H6756" s="8" t="s">
        <v>419</v>
      </c>
      <c r="I6756" s="8" t="s">
        <v>20281</v>
      </c>
      <c r="J6756" s="8" t="s">
        <v>20282</v>
      </c>
    </row>
    <row r="6757">
      <c r="A6757" s="7">
        <v>2.006051E7</v>
      </c>
      <c r="B6757" s="8" t="s">
        <v>5776</v>
      </c>
      <c r="C6757" s="8" t="s">
        <v>20278</v>
      </c>
      <c r="D6757" s="8" t="s">
        <v>16</v>
      </c>
      <c r="E6757" s="8" t="s">
        <v>17</v>
      </c>
      <c r="F6757" s="9">
        <v>46150.0</v>
      </c>
      <c r="G6757" s="8" t="s">
        <v>1431</v>
      </c>
      <c r="H6757" s="8" t="s">
        <v>1432</v>
      </c>
      <c r="I6757" s="8" t="s">
        <v>20283</v>
      </c>
      <c r="J6757" s="8" t="s">
        <v>20284</v>
      </c>
    </row>
    <row r="6758">
      <c r="A6758" s="7">
        <v>2.0054573E7</v>
      </c>
      <c r="B6758" s="8" t="s">
        <v>5776</v>
      </c>
      <c r="C6758" s="8" t="s">
        <v>20285</v>
      </c>
      <c r="D6758" s="8" t="s">
        <v>16</v>
      </c>
      <c r="E6758" s="8" t="s">
        <v>17</v>
      </c>
      <c r="F6758" s="9">
        <v>46121.0</v>
      </c>
      <c r="G6758" s="8" t="s">
        <v>846</v>
      </c>
      <c r="H6758" s="8" t="s">
        <v>847</v>
      </c>
      <c r="I6758" s="8" t="s">
        <v>20286</v>
      </c>
      <c r="J6758" s="8" t="s">
        <v>20287</v>
      </c>
    </row>
    <row r="6759">
      <c r="A6759" s="7">
        <v>2.0051253E7</v>
      </c>
      <c r="B6759" s="8" t="s">
        <v>5776</v>
      </c>
      <c r="C6759" s="8" t="s">
        <v>20288</v>
      </c>
      <c r="D6759" s="8" t="s">
        <v>16</v>
      </c>
      <c r="E6759" s="8" t="s">
        <v>17</v>
      </c>
      <c r="F6759" s="9">
        <v>46102.0</v>
      </c>
      <c r="G6759" s="8" t="s">
        <v>234</v>
      </c>
      <c r="H6759" s="8" t="s">
        <v>235</v>
      </c>
      <c r="I6759" s="8" t="s">
        <v>20289</v>
      </c>
      <c r="J6759" s="8" t="s">
        <v>20290</v>
      </c>
    </row>
    <row r="6760">
      <c r="A6760" s="7">
        <v>2.0047819E7</v>
      </c>
      <c r="B6760" s="8" t="s">
        <v>5776</v>
      </c>
      <c r="C6760" s="8" t="s">
        <v>20291</v>
      </c>
      <c r="D6760" s="8" t="s">
        <v>16</v>
      </c>
      <c r="E6760" s="8" t="s">
        <v>17</v>
      </c>
      <c r="F6760" s="9">
        <v>46093.0</v>
      </c>
      <c r="G6760" s="8" t="s">
        <v>3812</v>
      </c>
      <c r="H6760" s="8" t="s">
        <v>3813</v>
      </c>
      <c r="I6760" s="8" t="s">
        <v>20292</v>
      </c>
      <c r="J6760" s="8" t="s">
        <v>20293</v>
      </c>
    </row>
    <row r="6761">
      <c r="A6761" s="7">
        <v>2.0047819E7</v>
      </c>
      <c r="B6761" s="8" t="s">
        <v>5776</v>
      </c>
      <c r="C6761" s="8" t="s">
        <v>20291</v>
      </c>
      <c r="D6761" s="8" t="s">
        <v>16</v>
      </c>
      <c r="E6761" s="8" t="s">
        <v>17</v>
      </c>
      <c r="F6761" s="9">
        <v>46093.0</v>
      </c>
      <c r="G6761" s="8" t="s">
        <v>3812</v>
      </c>
      <c r="H6761" s="8" t="s">
        <v>3813</v>
      </c>
      <c r="I6761" s="8"/>
      <c r="J6761" s="8" t="s">
        <v>20293</v>
      </c>
    </row>
    <row r="6762">
      <c r="A6762" s="7">
        <v>2.0046766E7</v>
      </c>
      <c r="B6762" s="8" t="s">
        <v>5776</v>
      </c>
      <c r="C6762" s="8" t="s">
        <v>20294</v>
      </c>
      <c r="D6762" s="8" t="s">
        <v>16</v>
      </c>
      <c r="E6762" s="8" t="s">
        <v>17</v>
      </c>
      <c r="F6762" s="9">
        <v>46087.0</v>
      </c>
      <c r="G6762" s="8" t="s">
        <v>365</v>
      </c>
      <c r="H6762" s="8" t="s">
        <v>366</v>
      </c>
      <c r="I6762" s="8" t="s">
        <v>20295</v>
      </c>
      <c r="J6762" s="8" t="s">
        <v>20296</v>
      </c>
    </row>
    <row r="6763">
      <c r="A6763" s="7">
        <v>2.0058844E7</v>
      </c>
      <c r="B6763" s="8" t="s">
        <v>5776</v>
      </c>
      <c r="C6763" s="8" t="s">
        <v>20297</v>
      </c>
      <c r="D6763" s="8" t="s">
        <v>16</v>
      </c>
      <c r="E6763" s="8" t="s">
        <v>17</v>
      </c>
      <c r="F6763" s="9">
        <v>46160.0</v>
      </c>
      <c r="G6763" s="8" t="s">
        <v>428</v>
      </c>
      <c r="H6763" s="8" t="s">
        <v>429</v>
      </c>
      <c r="I6763" s="8" t="s">
        <v>20298</v>
      </c>
      <c r="J6763" s="8" t="s">
        <v>20299</v>
      </c>
    </row>
    <row r="6764">
      <c r="A6764" s="7">
        <v>2.0055374E7</v>
      </c>
      <c r="B6764" s="8" t="s">
        <v>5776</v>
      </c>
      <c r="C6764" s="8" t="s">
        <v>20300</v>
      </c>
      <c r="D6764" s="8" t="s">
        <v>16</v>
      </c>
      <c r="E6764" s="8" t="s">
        <v>17</v>
      </c>
      <c r="F6764" s="9">
        <v>46137.0</v>
      </c>
      <c r="G6764" s="8" t="s">
        <v>75</v>
      </c>
      <c r="H6764" s="8" t="s">
        <v>76</v>
      </c>
      <c r="I6764" s="8" t="s">
        <v>20301</v>
      </c>
      <c r="J6764" s="8" t="s">
        <v>20302</v>
      </c>
    </row>
    <row r="6765">
      <c r="A6765" s="7">
        <v>2.0053989E7</v>
      </c>
      <c r="B6765" s="8" t="s">
        <v>5776</v>
      </c>
      <c r="C6765" s="8" t="s">
        <v>20303</v>
      </c>
      <c r="D6765" s="8" t="s">
        <v>16</v>
      </c>
      <c r="E6765" s="8" t="s">
        <v>17</v>
      </c>
      <c r="F6765" s="9">
        <v>46139.0</v>
      </c>
      <c r="G6765" s="8" t="s">
        <v>4796</v>
      </c>
      <c r="H6765" s="8" t="s">
        <v>4797</v>
      </c>
      <c r="I6765" s="8" t="s">
        <v>20304</v>
      </c>
      <c r="J6765" s="8" t="s">
        <v>20305</v>
      </c>
    </row>
    <row r="6766">
      <c r="A6766" s="7">
        <v>2.0051802E7</v>
      </c>
      <c r="B6766" s="8" t="s">
        <v>5776</v>
      </c>
      <c r="C6766" s="8" t="s">
        <v>20306</v>
      </c>
      <c r="D6766" s="8" t="s">
        <v>16</v>
      </c>
      <c r="E6766" s="8" t="s">
        <v>17</v>
      </c>
      <c r="F6766" s="9">
        <v>46109.0</v>
      </c>
      <c r="G6766" s="8" t="s">
        <v>400</v>
      </c>
      <c r="H6766" s="8" t="s">
        <v>401</v>
      </c>
      <c r="I6766" s="8" t="s">
        <v>20307</v>
      </c>
      <c r="J6766" s="8" t="s">
        <v>20308</v>
      </c>
    </row>
    <row r="6767">
      <c r="A6767" s="7">
        <v>2.0047086E7</v>
      </c>
      <c r="B6767" s="8" t="s">
        <v>5776</v>
      </c>
      <c r="C6767" s="8" t="s">
        <v>20309</v>
      </c>
      <c r="D6767" s="8" t="s">
        <v>16</v>
      </c>
      <c r="E6767" s="8" t="s">
        <v>17</v>
      </c>
      <c r="F6767" s="9">
        <v>46085.0</v>
      </c>
      <c r="G6767" s="8" t="s">
        <v>153</v>
      </c>
      <c r="H6767" s="8" t="s">
        <v>154</v>
      </c>
      <c r="I6767" s="8" t="s">
        <v>20310</v>
      </c>
      <c r="J6767" s="8" t="s">
        <v>20311</v>
      </c>
    </row>
    <row r="6768">
      <c r="A6768" s="7">
        <v>2.0046186E7</v>
      </c>
      <c r="B6768" s="8" t="s">
        <v>5776</v>
      </c>
      <c r="C6768" s="8" t="s">
        <v>20312</v>
      </c>
      <c r="D6768" s="8" t="s">
        <v>16</v>
      </c>
      <c r="E6768" s="8" t="s">
        <v>17</v>
      </c>
      <c r="F6768" s="9">
        <v>46084.0</v>
      </c>
      <c r="G6768" s="8" t="s">
        <v>59</v>
      </c>
      <c r="H6768" s="8" t="s">
        <v>60</v>
      </c>
      <c r="I6768" s="8" t="s">
        <v>20313</v>
      </c>
      <c r="J6768" s="8" t="s">
        <v>20314</v>
      </c>
    </row>
    <row r="6769">
      <c r="A6769" s="7">
        <v>2.0043108E7</v>
      </c>
      <c r="B6769" s="8" t="s">
        <v>5776</v>
      </c>
      <c r="C6769" s="8" t="s">
        <v>20315</v>
      </c>
      <c r="D6769" s="8" t="s">
        <v>16</v>
      </c>
      <c r="E6769" s="8" t="s">
        <v>17</v>
      </c>
      <c r="F6769" s="9">
        <v>46077.0</v>
      </c>
      <c r="G6769" s="8" t="s">
        <v>868</v>
      </c>
      <c r="H6769" s="8" t="s">
        <v>869</v>
      </c>
      <c r="I6769" s="8" t="s">
        <v>20316</v>
      </c>
      <c r="J6769" s="8" t="s">
        <v>20317</v>
      </c>
    </row>
    <row r="6770">
      <c r="A6770" s="7">
        <v>2.0042603E7</v>
      </c>
      <c r="B6770" s="8" t="s">
        <v>5776</v>
      </c>
      <c r="C6770" s="8" t="s">
        <v>20318</v>
      </c>
      <c r="D6770" s="8" t="s">
        <v>16</v>
      </c>
      <c r="E6770" s="8" t="s">
        <v>17</v>
      </c>
      <c r="F6770" s="9">
        <v>46069.0</v>
      </c>
      <c r="G6770" s="8" t="s">
        <v>59</v>
      </c>
      <c r="H6770" s="8" t="s">
        <v>60</v>
      </c>
      <c r="I6770" s="8" t="s">
        <v>20319</v>
      </c>
      <c r="J6770" s="8" t="s">
        <v>20320</v>
      </c>
    </row>
    <row r="6771">
      <c r="A6771" s="7">
        <v>2.0040954E7</v>
      </c>
      <c r="B6771" s="8" t="s">
        <v>5776</v>
      </c>
      <c r="C6771" s="8" t="s">
        <v>20321</v>
      </c>
      <c r="D6771" s="8" t="s">
        <v>16</v>
      </c>
      <c r="E6771" s="8" t="s">
        <v>48</v>
      </c>
      <c r="F6771" s="9">
        <v>46066.0</v>
      </c>
      <c r="G6771" s="8" t="s">
        <v>20322</v>
      </c>
      <c r="H6771" s="8" t="s">
        <v>20323</v>
      </c>
      <c r="I6771" s="8" t="s">
        <v>20324</v>
      </c>
      <c r="J6771" s="8" t="s">
        <v>20325</v>
      </c>
    </row>
    <row r="6772">
      <c r="A6772" s="7">
        <v>2.0034922E7</v>
      </c>
      <c r="B6772" s="8" t="s">
        <v>5776</v>
      </c>
      <c r="C6772" s="8" t="s">
        <v>20326</v>
      </c>
      <c r="D6772" s="8" t="s">
        <v>16</v>
      </c>
      <c r="E6772" s="8" t="s">
        <v>700</v>
      </c>
      <c r="F6772" s="9">
        <v>46053.0</v>
      </c>
      <c r="G6772" s="8" t="s">
        <v>119</v>
      </c>
      <c r="H6772" s="8" t="s">
        <v>120</v>
      </c>
      <c r="I6772" s="8" t="s">
        <v>20327</v>
      </c>
      <c r="J6772" s="8" t="s">
        <v>20328</v>
      </c>
    </row>
    <row r="6773">
      <c r="A6773" s="7">
        <v>2.0034922E7</v>
      </c>
      <c r="B6773" s="8" t="s">
        <v>5776</v>
      </c>
      <c r="C6773" s="8" t="s">
        <v>20326</v>
      </c>
      <c r="D6773" s="8" t="s">
        <v>16</v>
      </c>
      <c r="E6773" s="8" t="s">
        <v>700</v>
      </c>
      <c r="F6773" s="9">
        <v>46053.0</v>
      </c>
      <c r="G6773" s="8" t="s">
        <v>119</v>
      </c>
      <c r="H6773" s="8" t="s">
        <v>120</v>
      </c>
      <c r="I6773" s="8" t="s">
        <v>20329</v>
      </c>
      <c r="J6773" s="8" t="s">
        <v>20328</v>
      </c>
    </row>
    <row r="6774">
      <c r="A6774" s="7">
        <v>2.0034922E7</v>
      </c>
      <c r="B6774" s="8" t="s">
        <v>5776</v>
      </c>
      <c r="C6774" s="8" t="s">
        <v>20326</v>
      </c>
      <c r="D6774" s="8" t="s">
        <v>16</v>
      </c>
      <c r="E6774" s="8" t="s">
        <v>700</v>
      </c>
      <c r="F6774" s="9">
        <v>46053.0</v>
      </c>
      <c r="G6774" s="8" t="s">
        <v>119</v>
      </c>
      <c r="H6774" s="8" t="s">
        <v>120</v>
      </c>
      <c r="I6774" s="8" t="s">
        <v>20330</v>
      </c>
      <c r="J6774" s="8" t="s">
        <v>20328</v>
      </c>
    </row>
    <row r="6775">
      <c r="A6775" s="7">
        <v>2.0032926E7</v>
      </c>
      <c r="B6775" s="8" t="s">
        <v>5776</v>
      </c>
      <c r="C6775" s="8" t="s">
        <v>20331</v>
      </c>
      <c r="D6775" s="8" t="s">
        <v>16</v>
      </c>
      <c r="E6775" s="8" t="s">
        <v>17</v>
      </c>
      <c r="F6775" s="9">
        <v>46044.0</v>
      </c>
      <c r="G6775" s="8" t="s">
        <v>195</v>
      </c>
      <c r="H6775" s="8" t="s">
        <v>196</v>
      </c>
      <c r="I6775" s="8" t="s">
        <v>20332</v>
      </c>
      <c r="J6775" s="8" t="s">
        <v>20333</v>
      </c>
    </row>
    <row r="6776">
      <c r="A6776" s="7">
        <v>2.0066941E7</v>
      </c>
      <c r="B6776" s="8" t="s">
        <v>5776</v>
      </c>
      <c r="C6776" s="8" t="s">
        <v>20334</v>
      </c>
      <c r="D6776" s="8" t="s">
        <v>16</v>
      </c>
      <c r="E6776" s="8" t="s">
        <v>17</v>
      </c>
      <c r="F6776" s="9">
        <v>46172.0</v>
      </c>
      <c r="G6776" s="8" t="s">
        <v>504</v>
      </c>
      <c r="H6776" s="8" t="s">
        <v>505</v>
      </c>
      <c r="I6776" s="8" t="s">
        <v>20335</v>
      </c>
      <c r="J6776" s="8" t="s">
        <v>20336</v>
      </c>
    </row>
    <row r="6777">
      <c r="A6777" s="7">
        <v>2.0063053E7</v>
      </c>
      <c r="B6777" s="8" t="s">
        <v>5776</v>
      </c>
      <c r="C6777" s="8" t="s">
        <v>20337</v>
      </c>
      <c r="D6777" s="8" t="s">
        <v>16</v>
      </c>
      <c r="E6777" s="8" t="s">
        <v>17</v>
      </c>
      <c r="F6777" s="9">
        <v>46154.0</v>
      </c>
      <c r="G6777" s="8" t="s">
        <v>59</v>
      </c>
      <c r="H6777" s="8" t="s">
        <v>60</v>
      </c>
      <c r="I6777" s="8" t="s">
        <v>20338</v>
      </c>
      <c r="J6777" s="8" t="s">
        <v>20339</v>
      </c>
    </row>
    <row r="6778">
      <c r="A6778" s="7">
        <v>2.0060279E7</v>
      </c>
      <c r="B6778" s="8" t="s">
        <v>5776</v>
      </c>
      <c r="C6778" s="8" t="s">
        <v>20340</v>
      </c>
      <c r="D6778" s="8" t="s">
        <v>16</v>
      </c>
      <c r="E6778" s="8" t="s">
        <v>17</v>
      </c>
      <c r="F6778" s="9">
        <v>46144.0</v>
      </c>
      <c r="G6778" s="8" t="s">
        <v>59</v>
      </c>
      <c r="H6778" s="8" t="s">
        <v>60</v>
      </c>
      <c r="I6778" s="8" t="s">
        <v>20341</v>
      </c>
      <c r="J6778" s="8" t="s">
        <v>20342</v>
      </c>
    </row>
    <row r="6779">
      <c r="A6779" s="7">
        <v>2.0051566E7</v>
      </c>
      <c r="B6779" s="8" t="s">
        <v>5776</v>
      </c>
      <c r="C6779" s="8" t="s">
        <v>20343</v>
      </c>
      <c r="D6779" s="8" t="s">
        <v>16</v>
      </c>
      <c r="E6779" s="8" t="s">
        <v>17</v>
      </c>
      <c r="F6779" s="9">
        <v>46106.0</v>
      </c>
      <c r="G6779" s="8" t="s">
        <v>247</v>
      </c>
      <c r="H6779" s="8" t="s">
        <v>248</v>
      </c>
      <c r="I6779" s="8" t="s">
        <v>20344</v>
      </c>
      <c r="J6779" s="8" t="s">
        <v>20345</v>
      </c>
    </row>
    <row r="6780">
      <c r="A6780" s="7">
        <v>2.0050083E7</v>
      </c>
      <c r="B6780" s="8" t="s">
        <v>5776</v>
      </c>
      <c r="C6780" s="8" t="s">
        <v>20346</v>
      </c>
      <c r="D6780" s="8" t="s">
        <v>16</v>
      </c>
      <c r="E6780" s="8" t="s">
        <v>17</v>
      </c>
      <c r="F6780" s="9">
        <v>46117.0</v>
      </c>
      <c r="G6780" s="8" t="s">
        <v>601</v>
      </c>
      <c r="H6780" s="8" t="s">
        <v>602</v>
      </c>
      <c r="I6780" s="8" t="s">
        <v>20347</v>
      </c>
      <c r="J6780" s="8" t="s">
        <v>20348</v>
      </c>
    </row>
    <row r="6781">
      <c r="A6781" s="7">
        <v>2.0046768E7</v>
      </c>
      <c r="B6781" s="8" t="s">
        <v>5776</v>
      </c>
      <c r="C6781" s="8" t="s">
        <v>20349</v>
      </c>
      <c r="D6781" s="8" t="s">
        <v>16</v>
      </c>
      <c r="E6781" s="8" t="s">
        <v>17</v>
      </c>
      <c r="F6781" s="9">
        <v>46094.0</v>
      </c>
      <c r="G6781" s="8" t="s">
        <v>1110</v>
      </c>
      <c r="H6781" s="8" t="s">
        <v>1111</v>
      </c>
      <c r="I6781" s="8" t="s">
        <v>20350</v>
      </c>
      <c r="J6781" s="8" t="s">
        <v>20351</v>
      </c>
    </row>
    <row r="6782">
      <c r="A6782" s="7">
        <v>2.0035236E7</v>
      </c>
      <c r="B6782" s="8" t="s">
        <v>5776</v>
      </c>
      <c r="C6782" s="8" t="s">
        <v>20352</v>
      </c>
      <c r="D6782" s="8" t="s">
        <v>16</v>
      </c>
      <c r="E6782" s="8" t="s">
        <v>17</v>
      </c>
      <c r="F6782" s="9">
        <v>46056.0</v>
      </c>
      <c r="G6782" s="8" t="s">
        <v>18</v>
      </c>
      <c r="H6782" s="8" t="s">
        <v>19</v>
      </c>
      <c r="I6782" s="8" t="s">
        <v>20353</v>
      </c>
      <c r="J6782" s="8" t="s">
        <v>20354</v>
      </c>
    </row>
    <row r="6783">
      <c r="A6783" s="7">
        <v>2.0068466E7</v>
      </c>
      <c r="B6783" s="8" t="s">
        <v>5776</v>
      </c>
      <c r="C6783" s="8" t="s">
        <v>20355</v>
      </c>
      <c r="D6783" s="8" t="s">
        <v>2136</v>
      </c>
      <c r="E6783" s="8" t="s">
        <v>17</v>
      </c>
      <c r="F6783" s="9">
        <v>46175.0</v>
      </c>
      <c r="G6783" s="8" t="s">
        <v>339</v>
      </c>
      <c r="H6783" s="8" t="s">
        <v>340</v>
      </c>
      <c r="I6783" s="8" t="s">
        <v>20356</v>
      </c>
      <c r="J6783" s="8" t="s">
        <v>20357</v>
      </c>
    </row>
    <row r="6784">
      <c r="A6784" s="7">
        <v>2.0057615E7</v>
      </c>
      <c r="B6784" s="8" t="s">
        <v>5776</v>
      </c>
      <c r="C6784" s="8" t="s">
        <v>20358</v>
      </c>
      <c r="D6784" s="8" t="s">
        <v>16</v>
      </c>
      <c r="E6784" s="8" t="s">
        <v>17</v>
      </c>
      <c r="F6784" s="9">
        <v>46147.0</v>
      </c>
      <c r="G6784" s="8" t="s">
        <v>3409</v>
      </c>
      <c r="H6784" s="8" t="s">
        <v>10715</v>
      </c>
      <c r="I6784" s="8" t="s">
        <v>20359</v>
      </c>
      <c r="J6784" s="8" t="s">
        <v>20360</v>
      </c>
    </row>
    <row r="6785">
      <c r="A6785" s="7">
        <v>2.0056185E7</v>
      </c>
      <c r="B6785" s="8" t="s">
        <v>5776</v>
      </c>
      <c r="C6785" s="8" t="s">
        <v>20361</v>
      </c>
      <c r="D6785" s="8" t="s">
        <v>16</v>
      </c>
      <c r="E6785" s="8" t="s">
        <v>17</v>
      </c>
      <c r="F6785" s="9">
        <v>46148.0</v>
      </c>
      <c r="G6785" s="8" t="s">
        <v>361</v>
      </c>
      <c r="H6785" s="8" t="s">
        <v>362</v>
      </c>
      <c r="I6785" s="8" t="s">
        <v>20362</v>
      </c>
      <c r="J6785" s="8" t="s">
        <v>20363</v>
      </c>
    </row>
    <row r="6786">
      <c r="A6786" s="7">
        <v>2.0045714E7</v>
      </c>
      <c r="B6786" s="8" t="s">
        <v>5776</v>
      </c>
      <c r="C6786" s="8" t="s">
        <v>20364</v>
      </c>
      <c r="D6786" s="8" t="s">
        <v>16</v>
      </c>
      <c r="E6786" s="8" t="s">
        <v>17</v>
      </c>
      <c r="F6786" s="9">
        <v>46084.0</v>
      </c>
      <c r="G6786" s="8" t="s">
        <v>234</v>
      </c>
      <c r="H6786" s="8" t="s">
        <v>235</v>
      </c>
      <c r="I6786" s="8" t="s">
        <v>20365</v>
      </c>
      <c r="J6786" s="8" t="s">
        <v>20366</v>
      </c>
    </row>
    <row r="6787">
      <c r="A6787" s="7">
        <v>2.0035238E7</v>
      </c>
      <c r="B6787" s="8" t="s">
        <v>5776</v>
      </c>
      <c r="C6787" s="8" t="s">
        <v>20367</v>
      </c>
      <c r="D6787" s="8" t="s">
        <v>16</v>
      </c>
      <c r="E6787" s="8" t="s">
        <v>17</v>
      </c>
      <c r="F6787" s="9">
        <v>46064.0</v>
      </c>
      <c r="G6787" s="8" t="s">
        <v>195</v>
      </c>
      <c r="H6787" s="8" t="s">
        <v>196</v>
      </c>
      <c r="I6787" s="8" t="s">
        <v>20368</v>
      </c>
      <c r="J6787" s="8" t="s">
        <v>20369</v>
      </c>
    </row>
    <row r="6788">
      <c r="A6788" s="7">
        <v>2.0071685E7</v>
      </c>
      <c r="B6788" s="8" t="s">
        <v>5776</v>
      </c>
      <c r="C6788" s="8" t="s">
        <v>20370</v>
      </c>
      <c r="D6788" s="8" t="s">
        <v>16</v>
      </c>
      <c r="E6788" s="8" t="s">
        <v>17</v>
      </c>
      <c r="F6788" s="9">
        <v>46191.0</v>
      </c>
      <c r="G6788" s="8" t="s">
        <v>91</v>
      </c>
      <c r="H6788" s="8" t="s">
        <v>92</v>
      </c>
      <c r="I6788" s="8" t="s">
        <v>20371</v>
      </c>
      <c r="J6788" s="8" t="s">
        <v>20372</v>
      </c>
    </row>
    <row r="6789">
      <c r="A6789" s="7">
        <v>2.0058106E7</v>
      </c>
      <c r="B6789" s="8" t="s">
        <v>5776</v>
      </c>
      <c r="C6789" s="8" t="s">
        <v>20373</v>
      </c>
      <c r="D6789" s="8" t="s">
        <v>16</v>
      </c>
      <c r="E6789" s="8" t="s">
        <v>17</v>
      </c>
      <c r="F6789" s="9">
        <v>46138.0</v>
      </c>
      <c r="G6789" s="8" t="s">
        <v>6305</v>
      </c>
      <c r="H6789" s="8" t="s">
        <v>6306</v>
      </c>
      <c r="I6789" s="8" t="s">
        <v>20374</v>
      </c>
      <c r="J6789" s="8" t="s">
        <v>20375</v>
      </c>
    </row>
    <row r="6790">
      <c r="A6790" s="7">
        <v>2.0053586E7</v>
      </c>
      <c r="B6790" s="8" t="s">
        <v>5776</v>
      </c>
      <c r="C6790" s="8" t="s">
        <v>20376</v>
      </c>
      <c r="D6790" s="8" t="s">
        <v>16</v>
      </c>
      <c r="E6790" s="8" t="s">
        <v>17</v>
      </c>
      <c r="F6790" s="9">
        <v>46113.0</v>
      </c>
      <c r="G6790" s="8" t="s">
        <v>339</v>
      </c>
      <c r="H6790" s="8" t="s">
        <v>340</v>
      </c>
      <c r="I6790" s="8" t="s">
        <v>20377</v>
      </c>
      <c r="J6790" s="8" t="s">
        <v>20378</v>
      </c>
    </row>
    <row r="6791">
      <c r="A6791" s="7">
        <v>2.0045124E7</v>
      </c>
      <c r="B6791" s="8" t="s">
        <v>5776</v>
      </c>
      <c r="C6791" s="8" t="s">
        <v>20379</v>
      </c>
      <c r="D6791" s="8" t="s">
        <v>16</v>
      </c>
      <c r="E6791" s="8" t="s">
        <v>17</v>
      </c>
      <c r="F6791" s="9">
        <v>46087.0</v>
      </c>
      <c r="G6791" s="8" t="s">
        <v>805</v>
      </c>
      <c r="H6791" s="8" t="s">
        <v>806</v>
      </c>
      <c r="I6791" s="8" t="s">
        <v>20380</v>
      </c>
      <c r="J6791" s="8" t="s">
        <v>20381</v>
      </c>
    </row>
    <row r="6792">
      <c r="A6792" s="7">
        <v>2.0041508E7</v>
      </c>
      <c r="B6792" s="8" t="s">
        <v>5776</v>
      </c>
      <c r="C6792" s="8" t="s">
        <v>20382</v>
      </c>
      <c r="D6792" s="8" t="s">
        <v>16</v>
      </c>
      <c r="E6792" s="8" t="s">
        <v>17</v>
      </c>
      <c r="F6792" s="9">
        <v>46074.0</v>
      </c>
      <c r="G6792" s="8" t="s">
        <v>385</v>
      </c>
      <c r="H6792" s="8" t="s">
        <v>386</v>
      </c>
      <c r="I6792" s="8" t="s">
        <v>20383</v>
      </c>
      <c r="J6792" s="8" t="s">
        <v>20384</v>
      </c>
    </row>
    <row r="6793">
      <c r="A6793" s="7">
        <v>2.0069148E7</v>
      </c>
      <c r="B6793" s="8" t="s">
        <v>5776</v>
      </c>
      <c r="C6793" s="8" t="s">
        <v>20385</v>
      </c>
      <c r="D6793" s="8" t="s">
        <v>2136</v>
      </c>
      <c r="E6793" s="8" t="s">
        <v>17</v>
      </c>
      <c r="F6793" s="9">
        <v>46187.0</v>
      </c>
      <c r="G6793" s="8" t="s">
        <v>846</v>
      </c>
      <c r="H6793" s="8" t="s">
        <v>847</v>
      </c>
      <c r="I6793" s="8" t="s">
        <v>20386</v>
      </c>
      <c r="J6793" s="8" t="s">
        <v>20387</v>
      </c>
    </row>
    <row r="6794">
      <c r="A6794" s="7">
        <v>2.0069701E7</v>
      </c>
      <c r="B6794" s="8" t="s">
        <v>5776</v>
      </c>
      <c r="C6794" s="8" t="s">
        <v>20388</v>
      </c>
      <c r="D6794" s="8" t="s">
        <v>16</v>
      </c>
      <c r="E6794" s="8" t="s">
        <v>17</v>
      </c>
      <c r="F6794" s="9">
        <v>46184.0</v>
      </c>
      <c r="G6794" s="8" t="s">
        <v>59</v>
      </c>
      <c r="H6794" s="8" t="s">
        <v>60</v>
      </c>
      <c r="I6794" s="8" t="s">
        <v>20389</v>
      </c>
      <c r="J6794" s="8" t="s">
        <v>20390</v>
      </c>
    </row>
    <row r="6795">
      <c r="A6795" s="7">
        <v>2.0069701E7</v>
      </c>
      <c r="B6795" s="8" t="s">
        <v>5776</v>
      </c>
      <c r="C6795" s="8" t="s">
        <v>20388</v>
      </c>
      <c r="D6795" s="8" t="s">
        <v>16</v>
      </c>
      <c r="E6795" s="8" t="s">
        <v>17</v>
      </c>
      <c r="F6795" s="9">
        <v>46184.0</v>
      </c>
      <c r="G6795" s="8" t="s">
        <v>365</v>
      </c>
      <c r="H6795" s="8" t="s">
        <v>366</v>
      </c>
      <c r="I6795" s="8" t="s">
        <v>20391</v>
      </c>
      <c r="J6795" s="8" t="s">
        <v>20392</v>
      </c>
    </row>
    <row r="6796">
      <c r="A6796" s="7">
        <v>2.0058908E7</v>
      </c>
      <c r="B6796" s="8" t="s">
        <v>5776</v>
      </c>
      <c r="C6796" s="8" t="s">
        <v>20393</v>
      </c>
      <c r="D6796" s="8" t="s">
        <v>16</v>
      </c>
      <c r="E6796" s="8" t="s">
        <v>17</v>
      </c>
      <c r="F6796" s="9">
        <v>46177.0</v>
      </c>
      <c r="G6796" s="8" t="s">
        <v>171</v>
      </c>
      <c r="H6796" s="8" t="s">
        <v>172</v>
      </c>
      <c r="I6796" s="8" t="s">
        <v>20394</v>
      </c>
      <c r="J6796" s="8" t="s">
        <v>20395</v>
      </c>
    </row>
    <row r="6797">
      <c r="A6797" s="7">
        <v>2.0046755E7</v>
      </c>
      <c r="B6797" s="8" t="s">
        <v>5776</v>
      </c>
      <c r="C6797" s="8" t="s">
        <v>20396</v>
      </c>
      <c r="D6797" s="8" t="s">
        <v>16</v>
      </c>
      <c r="E6797" s="8" t="s">
        <v>17</v>
      </c>
      <c r="F6797" s="9">
        <v>46105.0</v>
      </c>
      <c r="G6797" s="8" t="s">
        <v>171</v>
      </c>
      <c r="H6797" s="8" t="s">
        <v>172</v>
      </c>
      <c r="I6797" s="8" t="s">
        <v>20397</v>
      </c>
      <c r="J6797" s="8" t="s">
        <v>20398</v>
      </c>
    </row>
    <row r="6798">
      <c r="A6798" s="7">
        <v>2.0043638E7</v>
      </c>
      <c r="B6798" s="8" t="s">
        <v>5776</v>
      </c>
      <c r="C6798" s="8" t="s">
        <v>20399</v>
      </c>
      <c r="D6798" s="8" t="s">
        <v>16</v>
      </c>
      <c r="E6798" s="8" t="s">
        <v>17</v>
      </c>
      <c r="F6798" s="9">
        <v>46086.0</v>
      </c>
      <c r="G6798" s="8" t="s">
        <v>805</v>
      </c>
      <c r="H6798" s="8" t="s">
        <v>806</v>
      </c>
      <c r="I6798" s="8" t="s">
        <v>20400</v>
      </c>
      <c r="J6798" s="8" t="s">
        <v>20401</v>
      </c>
    </row>
    <row r="6799">
      <c r="A6799" s="7">
        <v>2.0040506E7</v>
      </c>
      <c r="B6799" s="8" t="s">
        <v>5776</v>
      </c>
      <c r="C6799" s="8" t="s">
        <v>20402</v>
      </c>
      <c r="D6799" s="8" t="s">
        <v>16</v>
      </c>
      <c r="E6799" s="8" t="s">
        <v>17</v>
      </c>
      <c r="F6799" s="9">
        <v>46070.0</v>
      </c>
      <c r="G6799" s="8" t="s">
        <v>1532</v>
      </c>
      <c r="H6799" s="8" t="s">
        <v>1533</v>
      </c>
      <c r="I6799" s="8"/>
      <c r="J6799" s="8" t="s">
        <v>20403</v>
      </c>
    </row>
    <row r="6800">
      <c r="A6800" s="7">
        <v>2.0038419E7</v>
      </c>
      <c r="B6800" s="8" t="s">
        <v>5776</v>
      </c>
      <c r="C6800" s="8" t="s">
        <v>20404</v>
      </c>
      <c r="D6800" s="8" t="s">
        <v>16</v>
      </c>
      <c r="E6800" s="8" t="s">
        <v>17</v>
      </c>
      <c r="F6800" s="9">
        <v>46068.0</v>
      </c>
      <c r="G6800" s="8" t="s">
        <v>290</v>
      </c>
      <c r="H6800" s="8" t="s">
        <v>291</v>
      </c>
      <c r="I6800" s="8" t="s">
        <v>20405</v>
      </c>
      <c r="J6800" s="8" t="s">
        <v>20406</v>
      </c>
    </row>
    <row r="6801">
      <c r="A6801" s="7">
        <v>2.0037692E7</v>
      </c>
      <c r="B6801" s="8" t="s">
        <v>5776</v>
      </c>
      <c r="C6801" s="8" t="s">
        <v>20407</v>
      </c>
      <c r="D6801" s="8" t="s">
        <v>16</v>
      </c>
      <c r="E6801" s="8" t="s">
        <v>17</v>
      </c>
      <c r="F6801" s="9">
        <v>46051.0</v>
      </c>
      <c r="G6801" s="8" t="s">
        <v>273</v>
      </c>
      <c r="H6801" s="8" t="s">
        <v>274</v>
      </c>
      <c r="I6801" s="8" t="s">
        <v>20408</v>
      </c>
      <c r="J6801" s="8" t="s">
        <v>20409</v>
      </c>
    </row>
    <row r="6802">
      <c r="A6802" s="7">
        <v>2.0068311E7</v>
      </c>
      <c r="B6802" s="8" t="s">
        <v>5776</v>
      </c>
      <c r="C6802" s="8" t="s">
        <v>20410</v>
      </c>
      <c r="D6802" s="8" t="s">
        <v>2136</v>
      </c>
      <c r="E6802" s="8" t="s">
        <v>17</v>
      </c>
      <c r="F6802" s="9">
        <v>46176.0</v>
      </c>
      <c r="G6802" s="8" t="s">
        <v>29</v>
      </c>
      <c r="H6802" s="8" t="s">
        <v>30</v>
      </c>
      <c r="I6802" s="8" t="s">
        <v>20411</v>
      </c>
      <c r="J6802" s="8" t="s">
        <v>20412</v>
      </c>
    </row>
    <row r="6803">
      <c r="A6803" s="7">
        <v>2.0063849E7</v>
      </c>
      <c r="B6803" s="8" t="s">
        <v>5776</v>
      </c>
      <c r="C6803" s="8" t="s">
        <v>20413</v>
      </c>
      <c r="D6803" s="8" t="s">
        <v>16</v>
      </c>
      <c r="E6803" s="8" t="s">
        <v>17</v>
      </c>
      <c r="F6803" s="9">
        <v>46180.0</v>
      </c>
      <c r="G6803" s="8" t="s">
        <v>7407</v>
      </c>
      <c r="H6803" s="8" t="s">
        <v>7408</v>
      </c>
      <c r="I6803" s="8" t="s">
        <v>20414</v>
      </c>
      <c r="J6803" s="8" t="s">
        <v>20415</v>
      </c>
    </row>
    <row r="6804">
      <c r="A6804" s="7">
        <v>2.0063849E7</v>
      </c>
      <c r="B6804" s="8" t="s">
        <v>5776</v>
      </c>
      <c r="C6804" s="8" t="s">
        <v>20413</v>
      </c>
      <c r="D6804" s="8" t="s">
        <v>16</v>
      </c>
      <c r="E6804" s="8" t="s">
        <v>17</v>
      </c>
      <c r="F6804" s="9">
        <v>46180.0</v>
      </c>
      <c r="G6804" s="8" t="s">
        <v>7411</v>
      </c>
      <c r="H6804" s="8" t="s">
        <v>7412</v>
      </c>
      <c r="I6804" s="8" t="s">
        <v>20416</v>
      </c>
      <c r="J6804" s="8" t="s">
        <v>20417</v>
      </c>
    </row>
    <row r="6805">
      <c r="A6805" s="7">
        <v>2.0062222E7</v>
      </c>
      <c r="B6805" s="8" t="s">
        <v>5776</v>
      </c>
      <c r="C6805" s="8" t="s">
        <v>20418</v>
      </c>
      <c r="D6805" s="8" t="s">
        <v>16</v>
      </c>
      <c r="E6805" s="8" t="s">
        <v>17</v>
      </c>
      <c r="F6805" s="9">
        <v>46161.0</v>
      </c>
      <c r="G6805" s="8" t="s">
        <v>119</v>
      </c>
      <c r="H6805" s="8" t="s">
        <v>19784</v>
      </c>
      <c r="I6805" s="8" t="s">
        <v>20419</v>
      </c>
      <c r="J6805" s="8" t="s">
        <v>20420</v>
      </c>
    </row>
    <row r="6806">
      <c r="A6806" s="7">
        <v>2.0062222E7</v>
      </c>
      <c r="B6806" s="8" t="s">
        <v>5776</v>
      </c>
      <c r="C6806" s="8" t="s">
        <v>20418</v>
      </c>
      <c r="D6806" s="8" t="s">
        <v>16</v>
      </c>
      <c r="E6806" s="8" t="s">
        <v>17</v>
      </c>
      <c r="F6806" s="9">
        <v>46161.0</v>
      </c>
      <c r="G6806" s="8" t="s">
        <v>14967</v>
      </c>
      <c r="H6806" s="8" t="s">
        <v>14968</v>
      </c>
      <c r="I6806" s="8" t="s">
        <v>20421</v>
      </c>
      <c r="J6806" s="8"/>
    </row>
    <row r="6807">
      <c r="A6807" s="7">
        <v>2.0042978E7</v>
      </c>
      <c r="B6807" s="8" t="s">
        <v>5776</v>
      </c>
      <c r="C6807" s="8" t="s">
        <v>20422</v>
      </c>
      <c r="D6807" s="8" t="s">
        <v>16</v>
      </c>
      <c r="E6807" s="8" t="s">
        <v>17</v>
      </c>
      <c r="F6807" s="9">
        <v>46081.0</v>
      </c>
      <c r="G6807" s="8" t="s">
        <v>59</v>
      </c>
      <c r="H6807" s="8" t="s">
        <v>60</v>
      </c>
      <c r="I6807" s="8" t="s">
        <v>20423</v>
      </c>
      <c r="J6807" s="8" t="s">
        <v>20424</v>
      </c>
    </row>
    <row r="6808">
      <c r="A6808" s="7">
        <v>2.0035249E7</v>
      </c>
      <c r="B6808" s="8" t="s">
        <v>5776</v>
      </c>
      <c r="C6808" s="8" t="s">
        <v>20425</v>
      </c>
      <c r="D6808" s="8" t="s">
        <v>16</v>
      </c>
      <c r="E6808" s="8" t="s">
        <v>17</v>
      </c>
      <c r="F6808" s="9">
        <v>46058.0</v>
      </c>
      <c r="G6808" s="8" t="s">
        <v>34</v>
      </c>
      <c r="H6808" s="8" t="s">
        <v>35</v>
      </c>
      <c r="I6808" s="8" t="s">
        <v>20426</v>
      </c>
      <c r="J6808" s="8" t="s">
        <v>20427</v>
      </c>
    </row>
    <row r="6809">
      <c r="A6809" s="7">
        <v>2.0061019E7</v>
      </c>
      <c r="B6809" s="8" t="s">
        <v>5776</v>
      </c>
      <c r="C6809" s="8" t="s">
        <v>20428</v>
      </c>
      <c r="D6809" s="8" t="s">
        <v>16</v>
      </c>
      <c r="E6809" s="8" t="s">
        <v>17</v>
      </c>
      <c r="F6809" s="9">
        <v>46148.0</v>
      </c>
      <c r="G6809" s="8" t="s">
        <v>418</v>
      </c>
      <c r="H6809" s="8" t="s">
        <v>419</v>
      </c>
      <c r="I6809" s="8" t="s">
        <v>20429</v>
      </c>
      <c r="J6809" s="8" t="s">
        <v>20430</v>
      </c>
    </row>
    <row r="6810">
      <c r="A6810" s="7">
        <v>2.0069933E7</v>
      </c>
      <c r="B6810" s="8" t="s">
        <v>5776</v>
      </c>
      <c r="C6810" s="8" t="s">
        <v>20431</v>
      </c>
      <c r="D6810" s="8" t="s">
        <v>16</v>
      </c>
      <c r="E6810" s="8" t="s">
        <v>17</v>
      </c>
      <c r="F6810" s="9">
        <v>46182.0</v>
      </c>
      <c r="G6810" s="8" t="s">
        <v>91</v>
      </c>
      <c r="H6810" s="8" t="s">
        <v>92</v>
      </c>
      <c r="I6810" s="8" t="s">
        <v>20432</v>
      </c>
      <c r="J6810" s="8" t="s">
        <v>20433</v>
      </c>
    </row>
    <row r="6811">
      <c r="A6811" s="7">
        <v>2.0060867E7</v>
      </c>
      <c r="B6811" s="8" t="s">
        <v>5776</v>
      </c>
      <c r="C6811" s="8" t="s">
        <v>20434</v>
      </c>
      <c r="D6811" s="8" t="s">
        <v>16</v>
      </c>
      <c r="E6811" s="8" t="s">
        <v>17</v>
      </c>
      <c r="F6811" s="9">
        <v>46175.0</v>
      </c>
      <c r="G6811" s="8" t="s">
        <v>64</v>
      </c>
      <c r="H6811" s="8" t="s">
        <v>65</v>
      </c>
      <c r="I6811" s="8" t="s">
        <v>20435</v>
      </c>
      <c r="J6811" s="8" t="s">
        <v>20436</v>
      </c>
    </row>
    <row r="6812">
      <c r="A6812" s="7">
        <v>2.0038193E7</v>
      </c>
      <c r="B6812" s="8" t="s">
        <v>5776</v>
      </c>
      <c r="C6812" s="8" t="s">
        <v>20437</v>
      </c>
      <c r="D6812" s="8" t="s">
        <v>16</v>
      </c>
      <c r="E6812" s="8" t="s">
        <v>17</v>
      </c>
      <c r="F6812" s="9">
        <v>46064.0</v>
      </c>
      <c r="G6812" s="8" t="s">
        <v>247</v>
      </c>
      <c r="H6812" s="8" t="s">
        <v>248</v>
      </c>
      <c r="I6812" s="8" t="s">
        <v>20438</v>
      </c>
      <c r="J6812" s="8" t="s">
        <v>20439</v>
      </c>
    </row>
    <row r="6813">
      <c r="A6813" s="7">
        <v>2.0039324E7</v>
      </c>
      <c r="B6813" s="8" t="s">
        <v>5776</v>
      </c>
      <c r="C6813" s="8" t="s">
        <v>20440</v>
      </c>
      <c r="D6813" s="8" t="s">
        <v>16</v>
      </c>
      <c r="E6813" s="8" t="s">
        <v>17</v>
      </c>
      <c r="F6813" s="9">
        <v>46066.0</v>
      </c>
      <c r="G6813" s="8" t="s">
        <v>385</v>
      </c>
      <c r="H6813" s="8" t="s">
        <v>386</v>
      </c>
      <c r="I6813" s="8" t="s">
        <v>20441</v>
      </c>
      <c r="J6813" s="8" t="s">
        <v>20442</v>
      </c>
    </row>
    <row r="6814">
      <c r="A6814" s="7">
        <v>2.0065934E7</v>
      </c>
      <c r="B6814" s="8" t="s">
        <v>5776</v>
      </c>
      <c r="C6814" s="8" t="s">
        <v>20443</v>
      </c>
      <c r="D6814" s="8" t="s">
        <v>16</v>
      </c>
      <c r="E6814" s="8" t="s">
        <v>17</v>
      </c>
      <c r="F6814" s="9">
        <v>46167.0</v>
      </c>
      <c r="G6814" s="8" t="s">
        <v>59</v>
      </c>
      <c r="H6814" s="8" t="s">
        <v>60</v>
      </c>
      <c r="I6814" s="8" t="s">
        <v>20444</v>
      </c>
      <c r="J6814" s="8" t="s">
        <v>20445</v>
      </c>
    </row>
    <row r="6815">
      <c r="A6815" s="7">
        <v>2.0060455E7</v>
      </c>
      <c r="B6815" s="8" t="s">
        <v>5776</v>
      </c>
      <c r="C6815" s="8" t="s">
        <v>20446</v>
      </c>
      <c r="D6815" s="8" t="s">
        <v>16</v>
      </c>
      <c r="E6815" s="8" t="s">
        <v>17</v>
      </c>
      <c r="F6815" s="9">
        <v>46158.0</v>
      </c>
      <c r="G6815" s="8" t="s">
        <v>1045</v>
      </c>
      <c r="H6815" s="8" t="s">
        <v>909</v>
      </c>
      <c r="I6815" s="8" t="s">
        <v>20447</v>
      </c>
      <c r="J6815" s="8" t="s">
        <v>20448</v>
      </c>
    </row>
    <row r="6816">
      <c r="A6816" s="7">
        <v>2.0057371E7</v>
      </c>
      <c r="B6816" s="8" t="s">
        <v>5776</v>
      </c>
      <c r="C6816" s="8" t="s">
        <v>20449</v>
      </c>
      <c r="D6816" s="8" t="s">
        <v>16</v>
      </c>
      <c r="E6816" s="8" t="s">
        <v>17</v>
      </c>
      <c r="F6816" s="9">
        <v>46151.0</v>
      </c>
      <c r="G6816" s="8" t="s">
        <v>195</v>
      </c>
      <c r="H6816" s="8" t="s">
        <v>196</v>
      </c>
      <c r="I6816" s="8" t="s">
        <v>20450</v>
      </c>
      <c r="J6816" s="8" t="s">
        <v>20451</v>
      </c>
    </row>
    <row r="6817">
      <c r="A6817" s="7">
        <v>2.0050063E7</v>
      </c>
      <c r="B6817" s="8" t="s">
        <v>5776</v>
      </c>
      <c r="C6817" s="8" t="s">
        <v>20452</v>
      </c>
      <c r="D6817" s="8" t="s">
        <v>16</v>
      </c>
      <c r="E6817" s="8" t="s">
        <v>17</v>
      </c>
      <c r="F6817" s="9">
        <v>46100.0</v>
      </c>
      <c r="G6817" s="8" t="s">
        <v>34</v>
      </c>
      <c r="H6817" s="8" t="s">
        <v>35</v>
      </c>
      <c r="I6817" s="8" t="s">
        <v>20453</v>
      </c>
      <c r="J6817" s="8" t="s">
        <v>20454</v>
      </c>
    </row>
    <row r="6818">
      <c r="A6818" s="7">
        <v>2.0046756E7</v>
      </c>
      <c r="B6818" s="8" t="s">
        <v>5776</v>
      </c>
      <c r="C6818" s="8" t="s">
        <v>20455</v>
      </c>
      <c r="D6818" s="8" t="s">
        <v>16</v>
      </c>
      <c r="E6818" s="8" t="s">
        <v>17</v>
      </c>
      <c r="F6818" s="9">
        <v>46110.0</v>
      </c>
      <c r="G6818" s="8" t="s">
        <v>6254</v>
      </c>
      <c r="H6818" s="8" t="s">
        <v>6255</v>
      </c>
      <c r="I6818" s="8" t="s">
        <v>20456</v>
      </c>
      <c r="J6818" s="8" t="s">
        <v>20457</v>
      </c>
    </row>
    <row r="6819">
      <c r="A6819" s="7">
        <v>2.0043893E7</v>
      </c>
      <c r="B6819" s="8" t="s">
        <v>5776</v>
      </c>
      <c r="C6819" s="8" t="s">
        <v>20458</v>
      </c>
      <c r="D6819" s="8" t="s">
        <v>16</v>
      </c>
      <c r="E6819" s="8" t="s">
        <v>17</v>
      </c>
      <c r="F6819" s="9">
        <v>46074.0</v>
      </c>
      <c r="G6819" s="8" t="s">
        <v>1969</v>
      </c>
      <c r="H6819" s="8" t="s">
        <v>1970</v>
      </c>
      <c r="I6819" s="8" t="s">
        <v>20459</v>
      </c>
      <c r="J6819" s="8" t="s">
        <v>20460</v>
      </c>
    </row>
    <row r="6820">
      <c r="A6820" s="7">
        <v>2.0041774E7</v>
      </c>
      <c r="B6820" s="8" t="s">
        <v>5776</v>
      </c>
      <c r="C6820" s="8" t="s">
        <v>20461</v>
      </c>
      <c r="D6820" s="8" t="s">
        <v>16</v>
      </c>
      <c r="E6820" s="8" t="s">
        <v>17</v>
      </c>
      <c r="F6820" s="9">
        <v>46085.0</v>
      </c>
      <c r="G6820" s="8" t="s">
        <v>2079</v>
      </c>
      <c r="H6820" s="8" t="s">
        <v>2080</v>
      </c>
      <c r="I6820" s="8" t="s">
        <v>20462</v>
      </c>
      <c r="J6820" s="8" t="s">
        <v>20463</v>
      </c>
    </row>
    <row r="6821">
      <c r="A6821" s="7">
        <v>2.00408E7</v>
      </c>
      <c r="B6821" s="8" t="s">
        <v>5776</v>
      </c>
      <c r="C6821" s="8" t="s">
        <v>20464</v>
      </c>
      <c r="D6821" s="8" t="s">
        <v>16</v>
      </c>
      <c r="E6821" s="8" t="s">
        <v>17</v>
      </c>
      <c r="F6821" s="9">
        <v>46090.0</v>
      </c>
      <c r="G6821" s="8" t="s">
        <v>1427</v>
      </c>
      <c r="H6821" s="8" t="s">
        <v>1428</v>
      </c>
      <c r="I6821" s="8" t="s">
        <v>20465</v>
      </c>
      <c r="J6821" s="8" t="s">
        <v>20466</v>
      </c>
    </row>
    <row r="6822">
      <c r="A6822" s="7">
        <v>2.00408E7</v>
      </c>
      <c r="B6822" s="8" t="s">
        <v>5776</v>
      </c>
      <c r="C6822" s="8" t="s">
        <v>20464</v>
      </c>
      <c r="D6822" s="8" t="s">
        <v>16</v>
      </c>
      <c r="E6822" s="8" t="s">
        <v>17</v>
      </c>
      <c r="F6822" s="9">
        <v>46090.0</v>
      </c>
      <c r="G6822" s="8" t="s">
        <v>1427</v>
      </c>
      <c r="H6822" s="8" t="s">
        <v>1428</v>
      </c>
      <c r="I6822" s="8" t="s">
        <v>20467</v>
      </c>
      <c r="J6822" s="8" t="s">
        <v>20466</v>
      </c>
    </row>
    <row r="6823">
      <c r="A6823" s="7">
        <v>2.0037697E7</v>
      </c>
      <c r="B6823" s="8" t="s">
        <v>5776</v>
      </c>
      <c r="C6823" s="8" t="s">
        <v>20468</v>
      </c>
      <c r="D6823" s="8" t="s">
        <v>16</v>
      </c>
      <c r="E6823" s="8" t="s">
        <v>17</v>
      </c>
      <c r="F6823" s="9">
        <v>46054.0</v>
      </c>
      <c r="G6823" s="8" t="s">
        <v>91</v>
      </c>
      <c r="H6823" s="8" t="s">
        <v>92</v>
      </c>
      <c r="I6823" s="8" t="s">
        <v>20469</v>
      </c>
      <c r="J6823" s="8" t="s">
        <v>20470</v>
      </c>
    </row>
    <row r="6824">
      <c r="A6824" s="7">
        <v>2.0033394E7</v>
      </c>
      <c r="B6824" s="8" t="s">
        <v>5776</v>
      </c>
      <c r="C6824" s="8" t="s">
        <v>20471</v>
      </c>
      <c r="D6824" s="8" t="s">
        <v>16</v>
      </c>
      <c r="E6824" s="8" t="s">
        <v>17</v>
      </c>
      <c r="F6824" s="9">
        <v>46038.0</v>
      </c>
      <c r="G6824" s="8" t="s">
        <v>630</v>
      </c>
      <c r="H6824" s="8" t="s">
        <v>631</v>
      </c>
      <c r="I6824" s="8" t="s">
        <v>20472</v>
      </c>
      <c r="J6824" s="8" t="s">
        <v>20473</v>
      </c>
    </row>
    <row r="6825">
      <c r="A6825" s="7">
        <v>2.0072963E7</v>
      </c>
      <c r="B6825" s="8" t="s">
        <v>5776</v>
      </c>
      <c r="C6825" s="8" t="s">
        <v>20474</v>
      </c>
      <c r="D6825" s="8" t="s">
        <v>16</v>
      </c>
      <c r="E6825" s="8" t="s">
        <v>17</v>
      </c>
      <c r="F6825" s="9">
        <v>46193.0</v>
      </c>
      <c r="G6825" s="8" t="s">
        <v>3012</v>
      </c>
      <c r="H6825" s="8" t="s">
        <v>3013</v>
      </c>
      <c r="I6825" s="8" t="s">
        <v>20475</v>
      </c>
      <c r="J6825" s="8" t="s">
        <v>20476</v>
      </c>
    </row>
    <row r="6826">
      <c r="A6826" s="7">
        <v>2.006894E7</v>
      </c>
      <c r="B6826" s="8" t="s">
        <v>5776</v>
      </c>
      <c r="C6826" s="8" t="s">
        <v>20477</v>
      </c>
      <c r="D6826" s="8" t="s">
        <v>16</v>
      </c>
      <c r="E6826" s="8" t="s">
        <v>17</v>
      </c>
      <c r="F6826" s="9">
        <v>46186.0</v>
      </c>
      <c r="G6826" s="8" t="s">
        <v>5590</v>
      </c>
      <c r="H6826" s="8" t="s">
        <v>2062</v>
      </c>
      <c r="I6826" s="8" t="s">
        <v>20478</v>
      </c>
      <c r="J6826" s="8" t="s">
        <v>20479</v>
      </c>
    </row>
    <row r="6827">
      <c r="A6827" s="7">
        <v>2.0065826E7</v>
      </c>
      <c r="B6827" s="8" t="s">
        <v>5776</v>
      </c>
      <c r="C6827" s="8" t="s">
        <v>20480</v>
      </c>
      <c r="D6827" s="8" t="s">
        <v>2136</v>
      </c>
      <c r="E6827" s="8" t="s">
        <v>17</v>
      </c>
      <c r="F6827" s="9">
        <v>46164.0</v>
      </c>
      <c r="G6827" s="8" t="s">
        <v>247</v>
      </c>
      <c r="H6827" s="8" t="s">
        <v>248</v>
      </c>
      <c r="I6827" s="8" t="s">
        <v>20481</v>
      </c>
      <c r="J6827" s="8" t="s">
        <v>20482</v>
      </c>
    </row>
    <row r="6828">
      <c r="A6828" s="7">
        <v>2.0062623E7</v>
      </c>
      <c r="B6828" s="8" t="s">
        <v>5776</v>
      </c>
      <c r="C6828" s="8" t="s">
        <v>20483</v>
      </c>
      <c r="D6828" s="8" t="s">
        <v>16</v>
      </c>
      <c r="E6828" s="8" t="s">
        <v>17</v>
      </c>
      <c r="F6828" s="9">
        <v>46156.0</v>
      </c>
      <c r="G6828" s="8" t="s">
        <v>220</v>
      </c>
      <c r="H6828" s="8" t="s">
        <v>221</v>
      </c>
      <c r="I6828" s="8" t="s">
        <v>20484</v>
      </c>
      <c r="J6828" s="8" t="s">
        <v>20485</v>
      </c>
    </row>
    <row r="6829">
      <c r="A6829" s="7">
        <v>2.0062268E7</v>
      </c>
      <c r="B6829" s="8" t="s">
        <v>5776</v>
      </c>
      <c r="C6829" s="8" t="s">
        <v>20486</v>
      </c>
      <c r="D6829" s="8" t="s">
        <v>2136</v>
      </c>
      <c r="E6829" s="8" t="s">
        <v>17</v>
      </c>
      <c r="F6829" s="9">
        <v>46150.0</v>
      </c>
      <c r="G6829" s="8" t="s">
        <v>59</v>
      </c>
      <c r="H6829" s="8" t="s">
        <v>60</v>
      </c>
      <c r="I6829" s="8" t="s">
        <v>20487</v>
      </c>
      <c r="J6829" s="8" t="s">
        <v>20488</v>
      </c>
    </row>
    <row r="6830">
      <c r="A6830" s="7">
        <v>2.0060456E7</v>
      </c>
      <c r="B6830" s="8" t="s">
        <v>5776</v>
      </c>
      <c r="C6830" s="8" t="s">
        <v>20489</v>
      </c>
      <c r="D6830" s="8" t="s">
        <v>16</v>
      </c>
      <c r="E6830" s="8" t="s">
        <v>17</v>
      </c>
      <c r="F6830" s="9">
        <v>46149.0</v>
      </c>
      <c r="G6830" s="8" t="s">
        <v>49</v>
      </c>
      <c r="H6830" s="8" t="s">
        <v>50</v>
      </c>
      <c r="I6830" s="8" t="s">
        <v>20490</v>
      </c>
      <c r="J6830" s="8" t="s">
        <v>20491</v>
      </c>
    </row>
    <row r="6831">
      <c r="A6831" s="7">
        <v>2.005521E7</v>
      </c>
      <c r="B6831" s="8" t="s">
        <v>5776</v>
      </c>
      <c r="C6831" s="8" t="s">
        <v>20492</v>
      </c>
      <c r="D6831" s="8" t="s">
        <v>16</v>
      </c>
      <c r="E6831" s="8" t="s">
        <v>17</v>
      </c>
      <c r="F6831" s="9">
        <v>46134.0</v>
      </c>
      <c r="G6831" s="8" t="s">
        <v>908</v>
      </c>
      <c r="H6831" s="8" t="s">
        <v>909</v>
      </c>
      <c r="I6831" s="8" t="s">
        <v>20493</v>
      </c>
      <c r="J6831" s="8" t="s">
        <v>20494</v>
      </c>
    </row>
    <row r="6832">
      <c r="A6832" s="7">
        <v>2.0054786E7</v>
      </c>
      <c r="B6832" s="8" t="s">
        <v>5776</v>
      </c>
      <c r="C6832" s="8" t="s">
        <v>20495</v>
      </c>
      <c r="D6832" s="8" t="s">
        <v>16</v>
      </c>
      <c r="E6832" s="8" t="s">
        <v>17</v>
      </c>
      <c r="F6832" s="9">
        <v>46121.0</v>
      </c>
      <c r="G6832" s="8" t="s">
        <v>234</v>
      </c>
      <c r="H6832" s="8" t="s">
        <v>235</v>
      </c>
      <c r="I6832" s="8" t="s">
        <v>20496</v>
      </c>
      <c r="J6832" s="8" t="s">
        <v>20497</v>
      </c>
    </row>
    <row r="6833">
      <c r="A6833" s="7">
        <v>2.0045479E7</v>
      </c>
      <c r="B6833" s="8" t="s">
        <v>5776</v>
      </c>
      <c r="C6833" s="8" t="s">
        <v>20498</v>
      </c>
      <c r="D6833" s="8" t="s">
        <v>16</v>
      </c>
      <c r="E6833" s="8" t="s">
        <v>17</v>
      </c>
      <c r="F6833" s="9">
        <v>46094.0</v>
      </c>
      <c r="G6833" s="8" t="s">
        <v>868</v>
      </c>
      <c r="H6833" s="8" t="s">
        <v>869</v>
      </c>
      <c r="I6833" s="8" t="s">
        <v>20499</v>
      </c>
      <c r="J6833" s="8" t="s">
        <v>20500</v>
      </c>
    </row>
    <row r="6834">
      <c r="A6834" s="7">
        <v>2.002626E7</v>
      </c>
      <c r="B6834" s="8" t="s">
        <v>5776</v>
      </c>
      <c r="C6834" s="8" t="s">
        <v>20501</v>
      </c>
      <c r="D6834" s="8" t="s">
        <v>16</v>
      </c>
      <c r="E6834" s="8" t="s">
        <v>17</v>
      </c>
      <c r="F6834" s="9">
        <v>46054.0</v>
      </c>
      <c r="G6834" s="8" t="s">
        <v>20502</v>
      </c>
      <c r="H6834" s="8" t="s">
        <v>20503</v>
      </c>
      <c r="I6834" s="8" t="s">
        <v>20504</v>
      </c>
      <c r="J6834" s="8" t="s">
        <v>20505</v>
      </c>
    </row>
    <row r="6835">
      <c r="A6835" s="7">
        <v>2.002626E7</v>
      </c>
      <c r="B6835" s="8" t="s">
        <v>5776</v>
      </c>
      <c r="C6835" s="8" t="s">
        <v>20501</v>
      </c>
      <c r="D6835" s="8" t="s">
        <v>16</v>
      </c>
      <c r="E6835" s="8" t="s">
        <v>17</v>
      </c>
      <c r="F6835" s="9">
        <v>46054.0</v>
      </c>
      <c r="G6835" s="8" t="s">
        <v>2013</v>
      </c>
      <c r="H6835" s="8" t="s">
        <v>2014</v>
      </c>
      <c r="I6835" s="8" t="s">
        <v>20506</v>
      </c>
      <c r="J6835" s="8" t="s">
        <v>20507</v>
      </c>
    </row>
    <row r="6836">
      <c r="A6836" s="7">
        <v>2.0068576E7</v>
      </c>
      <c r="B6836" s="8" t="s">
        <v>5776</v>
      </c>
      <c r="C6836" s="8" t="s">
        <v>20508</v>
      </c>
      <c r="D6836" s="8" t="s">
        <v>16</v>
      </c>
      <c r="E6836" s="8" t="s">
        <v>17</v>
      </c>
      <c r="F6836" s="9">
        <v>46181.0</v>
      </c>
      <c r="G6836" s="8" t="s">
        <v>1285</v>
      </c>
      <c r="H6836" s="8" t="s">
        <v>1286</v>
      </c>
      <c r="I6836" s="8" t="s">
        <v>20509</v>
      </c>
      <c r="J6836" s="8" t="s">
        <v>20510</v>
      </c>
    </row>
    <row r="6837">
      <c r="A6837" s="7">
        <v>2.0065936E7</v>
      </c>
      <c r="B6837" s="8" t="s">
        <v>5776</v>
      </c>
      <c r="C6837" s="8" t="s">
        <v>20511</v>
      </c>
      <c r="D6837" s="8" t="s">
        <v>16</v>
      </c>
      <c r="E6837" s="8" t="s">
        <v>17</v>
      </c>
      <c r="F6837" s="9">
        <v>46165.0</v>
      </c>
      <c r="G6837" s="8" t="s">
        <v>220</v>
      </c>
      <c r="H6837" s="8" t="s">
        <v>221</v>
      </c>
      <c r="I6837" s="8" t="s">
        <v>20512</v>
      </c>
      <c r="J6837" s="8" t="s">
        <v>20513</v>
      </c>
    </row>
    <row r="6838">
      <c r="A6838" s="7">
        <v>2.0056831E7</v>
      </c>
      <c r="B6838" s="8" t="s">
        <v>5776</v>
      </c>
      <c r="C6838" s="8" t="s">
        <v>20514</v>
      </c>
      <c r="D6838" s="8" t="s">
        <v>16</v>
      </c>
      <c r="E6838" s="8" t="s">
        <v>17</v>
      </c>
      <c r="F6838" s="9">
        <v>46128.0</v>
      </c>
      <c r="G6838" s="8" t="s">
        <v>59</v>
      </c>
      <c r="H6838" s="8" t="s">
        <v>60</v>
      </c>
      <c r="I6838" s="8" t="s">
        <v>20515</v>
      </c>
      <c r="J6838" s="8" t="s">
        <v>20516</v>
      </c>
    </row>
    <row r="6839">
      <c r="A6839" s="7">
        <v>2.0056092E7</v>
      </c>
      <c r="B6839" s="8" t="s">
        <v>5776</v>
      </c>
      <c r="C6839" s="8" t="s">
        <v>20517</v>
      </c>
      <c r="D6839" s="8" t="s">
        <v>16</v>
      </c>
      <c r="E6839" s="8" t="s">
        <v>17</v>
      </c>
      <c r="F6839" s="9">
        <v>46135.0</v>
      </c>
      <c r="G6839" s="8" t="s">
        <v>3812</v>
      </c>
      <c r="H6839" s="8" t="s">
        <v>3813</v>
      </c>
      <c r="I6839" s="8" t="s">
        <v>20518</v>
      </c>
      <c r="J6839" s="8" t="s">
        <v>20519</v>
      </c>
    </row>
    <row r="6840">
      <c r="A6840" s="7">
        <v>2.0050795E7</v>
      </c>
      <c r="B6840" s="8" t="s">
        <v>5776</v>
      </c>
      <c r="C6840" s="8" t="s">
        <v>20520</v>
      </c>
      <c r="D6840" s="8" t="s">
        <v>16</v>
      </c>
      <c r="E6840" s="8" t="s">
        <v>17</v>
      </c>
      <c r="F6840" s="9">
        <v>46102.0</v>
      </c>
      <c r="G6840" s="8" t="s">
        <v>91</v>
      </c>
      <c r="H6840" s="8" t="s">
        <v>92</v>
      </c>
      <c r="I6840" s="8" t="s">
        <v>20521</v>
      </c>
      <c r="J6840" s="8" t="s">
        <v>20522</v>
      </c>
    </row>
    <row r="6841">
      <c r="A6841" s="7">
        <v>2.0036957E7</v>
      </c>
      <c r="B6841" s="8" t="s">
        <v>5776</v>
      </c>
      <c r="C6841" s="8" t="s">
        <v>20523</v>
      </c>
      <c r="D6841" s="8" t="s">
        <v>16</v>
      </c>
      <c r="E6841" s="8" t="s">
        <v>17</v>
      </c>
      <c r="F6841" s="9">
        <v>46059.0</v>
      </c>
      <c r="G6841" s="8" t="s">
        <v>357</v>
      </c>
      <c r="H6841" s="8" t="s">
        <v>358</v>
      </c>
      <c r="I6841" s="8" t="s">
        <v>20524</v>
      </c>
      <c r="J6841" s="8" t="s">
        <v>20525</v>
      </c>
    </row>
    <row r="6842">
      <c r="A6842" s="7">
        <v>2.0035408E7</v>
      </c>
      <c r="B6842" s="8" t="s">
        <v>5776</v>
      </c>
      <c r="C6842" s="8" t="s">
        <v>20526</v>
      </c>
      <c r="D6842" s="8" t="s">
        <v>16</v>
      </c>
      <c r="E6842" s="8" t="s">
        <v>17</v>
      </c>
      <c r="F6842" s="9">
        <v>46058.0</v>
      </c>
      <c r="G6842" s="8" t="s">
        <v>20527</v>
      </c>
      <c r="H6842" s="8" t="s">
        <v>20528</v>
      </c>
      <c r="I6842" s="8" t="s">
        <v>20529</v>
      </c>
      <c r="J6842" s="8" t="s">
        <v>20530</v>
      </c>
    </row>
    <row r="6843">
      <c r="A6843" s="7">
        <v>2.0035408E7</v>
      </c>
      <c r="B6843" s="8" t="s">
        <v>5776</v>
      </c>
      <c r="C6843" s="8" t="s">
        <v>20526</v>
      </c>
      <c r="D6843" s="8" t="s">
        <v>16</v>
      </c>
      <c r="E6843" s="8" t="s">
        <v>17</v>
      </c>
      <c r="F6843" s="9">
        <v>46058.0</v>
      </c>
      <c r="G6843" s="8" t="s">
        <v>20531</v>
      </c>
      <c r="H6843" s="8" t="s">
        <v>20532</v>
      </c>
      <c r="I6843" s="8" t="s">
        <v>20533</v>
      </c>
      <c r="J6843" s="8" t="s">
        <v>20534</v>
      </c>
    </row>
    <row r="6844">
      <c r="A6844" s="7">
        <v>2.0033168E7</v>
      </c>
      <c r="B6844" s="8" t="s">
        <v>5776</v>
      </c>
      <c r="C6844" s="8" t="s">
        <v>20535</v>
      </c>
      <c r="D6844" s="8" t="s">
        <v>16</v>
      </c>
      <c r="E6844" s="8" t="s">
        <v>17</v>
      </c>
      <c r="F6844" s="9">
        <v>46044.0</v>
      </c>
      <c r="G6844" s="8" t="s">
        <v>75</v>
      </c>
      <c r="H6844" s="8" t="s">
        <v>76</v>
      </c>
      <c r="I6844" s="8" t="s">
        <v>20536</v>
      </c>
      <c r="J6844" s="8" t="s">
        <v>20537</v>
      </c>
    </row>
    <row r="6845">
      <c r="A6845" s="7">
        <v>2.0059121E7</v>
      </c>
      <c r="B6845" s="8" t="s">
        <v>5776</v>
      </c>
      <c r="C6845" s="8" t="s">
        <v>20538</v>
      </c>
      <c r="D6845" s="8" t="s">
        <v>16</v>
      </c>
      <c r="E6845" s="8" t="s">
        <v>17</v>
      </c>
      <c r="F6845" s="9">
        <v>46157.0</v>
      </c>
      <c r="G6845" s="8" t="s">
        <v>20539</v>
      </c>
      <c r="H6845" s="8" t="s">
        <v>20540</v>
      </c>
      <c r="I6845" s="8" t="s">
        <v>20541</v>
      </c>
      <c r="J6845" s="8" t="s">
        <v>20542</v>
      </c>
    </row>
    <row r="6846">
      <c r="A6846" s="7">
        <v>2.0051818E7</v>
      </c>
      <c r="B6846" s="8" t="s">
        <v>5776</v>
      </c>
      <c r="C6846" s="8" t="s">
        <v>20543</v>
      </c>
      <c r="D6846" s="8" t="s">
        <v>16</v>
      </c>
      <c r="E6846" s="8" t="s">
        <v>17</v>
      </c>
      <c r="F6846" s="9">
        <v>46105.0</v>
      </c>
      <c r="G6846" s="8" t="s">
        <v>220</v>
      </c>
      <c r="H6846" s="8" t="s">
        <v>221</v>
      </c>
      <c r="I6846" s="8" t="s">
        <v>20544</v>
      </c>
      <c r="J6846" s="8" t="s">
        <v>20545</v>
      </c>
    </row>
    <row r="6847">
      <c r="A6847" s="7">
        <v>2.0042983E7</v>
      </c>
      <c r="B6847" s="8" t="s">
        <v>5776</v>
      </c>
      <c r="C6847" s="8" t="s">
        <v>20546</v>
      </c>
      <c r="D6847" s="8" t="s">
        <v>16</v>
      </c>
      <c r="E6847" s="8" t="s">
        <v>17</v>
      </c>
      <c r="F6847" s="9">
        <v>46081.0</v>
      </c>
      <c r="G6847" s="8" t="s">
        <v>59</v>
      </c>
      <c r="H6847" s="8" t="s">
        <v>60</v>
      </c>
      <c r="I6847" s="8" t="s">
        <v>20547</v>
      </c>
      <c r="J6847" s="8" t="s">
        <v>20548</v>
      </c>
    </row>
    <row r="6848">
      <c r="A6848" s="7">
        <v>2.0042516E7</v>
      </c>
      <c r="B6848" s="8" t="s">
        <v>5776</v>
      </c>
      <c r="C6848" s="8" t="s">
        <v>20549</v>
      </c>
      <c r="D6848" s="8" t="s">
        <v>16</v>
      </c>
      <c r="E6848" s="8" t="s">
        <v>17</v>
      </c>
      <c r="F6848" s="9">
        <v>46068.0</v>
      </c>
      <c r="G6848" s="8" t="s">
        <v>59</v>
      </c>
      <c r="H6848" s="8" t="s">
        <v>60</v>
      </c>
      <c r="I6848" s="8" t="s">
        <v>20550</v>
      </c>
      <c r="J6848" s="8" t="s">
        <v>20551</v>
      </c>
    </row>
    <row r="6849">
      <c r="A6849" s="7">
        <v>2.0041514E7</v>
      </c>
      <c r="B6849" s="8" t="s">
        <v>5776</v>
      </c>
      <c r="C6849" s="8" t="s">
        <v>20552</v>
      </c>
      <c r="D6849" s="8" t="s">
        <v>16</v>
      </c>
      <c r="E6849" s="8" t="s">
        <v>17</v>
      </c>
      <c r="F6849" s="9">
        <v>46070.0</v>
      </c>
      <c r="G6849" s="8" t="s">
        <v>277</v>
      </c>
      <c r="H6849" s="8" t="s">
        <v>278</v>
      </c>
      <c r="I6849" s="8" t="s">
        <v>20553</v>
      </c>
      <c r="J6849" s="8" t="s">
        <v>20554</v>
      </c>
    </row>
    <row r="6850">
      <c r="A6850" s="7">
        <v>2.0034921E7</v>
      </c>
      <c r="B6850" s="8" t="s">
        <v>5776</v>
      </c>
      <c r="C6850" s="8" t="s">
        <v>20555</v>
      </c>
      <c r="D6850" s="8" t="s">
        <v>16</v>
      </c>
      <c r="E6850" s="8" t="s">
        <v>17</v>
      </c>
      <c r="F6850" s="9">
        <v>46044.0</v>
      </c>
      <c r="G6850" s="8" t="s">
        <v>54</v>
      </c>
      <c r="H6850" s="8" t="s">
        <v>55</v>
      </c>
      <c r="I6850" s="8" t="s">
        <v>20556</v>
      </c>
      <c r="J6850" s="8" t="s">
        <v>20557</v>
      </c>
    </row>
    <row r="6851">
      <c r="A6851" s="7">
        <v>2.0064462E7</v>
      </c>
      <c r="B6851" s="8" t="s">
        <v>5776</v>
      </c>
      <c r="C6851" s="8" t="s">
        <v>20558</v>
      </c>
      <c r="D6851" s="8" t="s">
        <v>16</v>
      </c>
      <c r="E6851" s="8" t="s">
        <v>17</v>
      </c>
      <c r="F6851" s="9">
        <v>46185.0</v>
      </c>
      <c r="G6851" s="8" t="s">
        <v>290</v>
      </c>
      <c r="H6851" s="8" t="s">
        <v>291</v>
      </c>
      <c r="I6851" s="8" t="s">
        <v>20559</v>
      </c>
      <c r="J6851" s="8" t="s">
        <v>20560</v>
      </c>
    </row>
    <row r="6852">
      <c r="A6852" s="7">
        <v>2.0060453E7</v>
      </c>
      <c r="B6852" s="8" t="s">
        <v>5776</v>
      </c>
      <c r="C6852" s="8" t="s">
        <v>20561</v>
      </c>
      <c r="D6852" s="8" t="s">
        <v>2136</v>
      </c>
      <c r="E6852" s="8" t="s">
        <v>17</v>
      </c>
      <c r="F6852" s="9">
        <v>46144.0</v>
      </c>
      <c r="G6852" s="8" t="s">
        <v>234</v>
      </c>
      <c r="H6852" s="8" t="s">
        <v>235</v>
      </c>
      <c r="I6852" s="8" t="s">
        <v>20562</v>
      </c>
      <c r="J6852" s="8" t="s">
        <v>20563</v>
      </c>
    </row>
    <row r="6853">
      <c r="A6853" s="7">
        <v>2.005663E7</v>
      </c>
      <c r="B6853" s="8" t="s">
        <v>5776</v>
      </c>
      <c r="C6853" s="8" t="s">
        <v>20564</v>
      </c>
      <c r="D6853" s="8" t="s">
        <v>16</v>
      </c>
      <c r="E6853" s="8" t="s">
        <v>17</v>
      </c>
      <c r="F6853" s="9">
        <v>46133.0</v>
      </c>
      <c r="G6853" s="8" t="s">
        <v>805</v>
      </c>
      <c r="H6853" s="8" t="s">
        <v>806</v>
      </c>
      <c r="I6853" s="8" t="s">
        <v>20565</v>
      </c>
      <c r="J6853" s="8" t="s">
        <v>20566</v>
      </c>
    </row>
    <row r="6854">
      <c r="A6854" s="7">
        <v>2.0057456E7</v>
      </c>
      <c r="B6854" s="8" t="s">
        <v>5776</v>
      </c>
      <c r="C6854" s="8" t="s">
        <v>20567</v>
      </c>
      <c r="D6854" s="8" t="s">
        <v>16</v>
      </c>
      <c r="E6854" s="8" t="s">
        <v>17</v>
      </c>
      <c r="F6854" s="9">
        <v>46130.0</v>
      </c>
      <c r="G6854" s="8" t="s">
        <v>234</v>
      </c>
      <c r="H6854" s="8" t="s">
        <v>235</v>
      </c>
      <c r="I6854" s="8" t="s">
        <v>20568</v>
      </c>
      <c r="J6854" s="8" t="s">
        <v>20569</v>
      </c>
    </row>
    <row r="6855">
      <c r="A6855" s="7">
        <v>2.0053988E7</v>
      </c>
      <c r="B6855" s="8" t="s">
        <v>5776</v>
      </c>
      <c r="C6855" s="8" t="s">
        <v>20570</v>
      </c>
      <c r="D6855" s="8" t="s">
        <v>16</v>
      </c>
      <c r="E6855" s="8" t="s">
        <v>17</v>
      </c>
      <c r="F6855" s="9">
        <v>46137.0</v>
      </c>
      <c r="G6855" s="8" t="s">
        <v>361</v>
      </c>
      <c r="H6855" s="8" t="s">
        <v>362</v>
      </c>
      <c r="I6855" s="8" t="s">
        <v>20571</v>
      </c>
      <c r="J6855" s="8" t="s">
        <v>20572</v>
      </c>
    </row>
    <row r="6856">
      <c r="A6856" s="7">
        <v>2.0046182E7</v>
      </c>
      <c r="B6856" s="8" t="s">
        <v>5776</v>
      </c>
      <c r="C6856" s="8" t="s">
        <v>20573</v>
      </c>
      <c r="D6856" s="8" t="s">
        <v>16</v>
      </c>
      <c r="E6856" s="8" t="s">
        <v>17</v>
      </c>
      <c r="F6856" s="9">
        <v>46091.0</v>
      </c>
      <c r="G6856" s="8" t="s">
        <v>34</v>
      </c>
      <c r="H6856" s="8" t="s">
        <v>35</v>
      </c>
      <c r="I6856" s="8" t="s">
        <v>20574</v>
      </c>
      <c r="J6856" s="8" t="s">
        <v>20575</v>
      </c>
    </row>
    <row r="6857">
      <c r="A6857" s="7">
        <v>2.0046182E7</v>
      </c>
      <c r="B6857" s="8" t="s">
        <v>5776</v>
      </c>
      <c r="C6857" s="8" t="s">
        <v>20573</v>
      </c>
      <c r="D6857" s="8" t="s">
        <v>16</v>
      </c>
      <c r="E6857" s="8" t="s">
        <v>17</v>
      </c>
      <c r="F6857" s="9">
        <v>46091.0</v>
      </c>
      <c r="G6857" s="8" t="s">
        <v>34</v>
      </c>
      <c r="H6857" s="8" t="s">
        <v>35</v>
      </c>
      <c r="I6857" s="8" t="s">
        <v>20576</v>
      </c>
      <c r="J6857" s="8" t="s">
        <v>20575</v>
      </c>
    </row>
    <row r="6858">
      <c r="A6858" s="7">
        <v>2.0042469E7</v>
      </c>
      <c r="B6858" s="8" t="s">
        <v>5776</v>
      </c>
      <c r="C6858" s="8" t="s">
        <v>20577</v>
      </c>
      <c r="D6858" s="8" t="s">
        <v>16</v>
      </c>
      <c r="E6858" s="8" t="s">
        <v>17</v>
      </c>
      <c r="F6858" s="9">
        <v>46068.0</v>
      </c>
      <c r="G6858" s="8" t="s">
        <v>234</v>
      </c>
      <c r="H6858" s="8" t="s">
        <v>235</v>
      </c>
      <c r="I6858" s="8" t="s">
        <v>20578</v>
      </c>
      <c r="J6858" s="8" t="s">
        <v>20579</v>
      </c>
    </row>
    <row r="6859">
      <c r="A6859" s="7">
        <v>2.0035754E7</v>
      </c>
      <c r="B6859" s="8" t="s">
        <v>5776</v>
      </c>
      <c r="C6859" s="8" t="s">
        <v>20580</v>
      </c>
      <c r="D6859" s="8" t="s">
        <v>16</v>
      </c>
      <c r="E6859" s="8" t="s">
        <v>17</v>
      </c>
      <c r="F6859" s="9">
        <v>46043.0</v>
      </c>
      <c r="G6859" s="8" t="s">
        <v>882</v>
      </c>
      <c r="H6859" s="8" t="s">
        <v>883</v>
      </c>
      <c r="I6859" s="8" t="s">
        <v>20581</v>
      </c>
      <c r="J6859" s="8" t="s">
        <v>20582</v>
      </c>
    </row>
    <row r="6860">
      <c r="A6860" s="7">
        <v>2.0063686E7</v>
      </c>
      <c r="B6860" s="8" t="s">
        <v>5776</v>
      </c>
      <c r="C6860" s="8" t="s">
        <v>20583</v>
      </c>
      <c r="D6860" s="8" t="s">
        <v>16</v>
      </c>
      <c r="E6860" s="8" t="s">
        <v>17</v>
      </c>
      <c r="F6860" s="9">
        <v>46161.0</v>
      </c>
      <c r="G6860" s="8" t="s">
        <v>59</v>
      </c>
      <c r="H6860" s="8" t="s">
        <v>60</v>
      </c>
      <c r="I6860" s="8" t="s">
        <v>20584</v>
      </c>
      <c r="J6860" s="8" t="s">
        <v>20585</v>
      </c>
    </row>
    <row r="6861">
      <c r="A6861" s="7">
        <v>2.0056639E7</v>
      </c>
      <c r="B6861" s="8" t="s">
        <v>5776</v>
      </c>
      <c r="C6861" s="8" t="s">
        <v>20586</v>
      </c>
      <c r="D6861" s="8" t="s">
        <v>16</v>
      </c>
      <c r="E6861" s="8" t="s">
        <v>17</v>
      </c>
      <c r="F6861" s="9">
        <v>46135.0</v>
      </c>
      <c r="G6861" s="8" t="s">
        <v>49</v>
      </c>
      <c r="H6861" s="8" t="s">
        <v>50</v>
      </c>
      <c r="I6861" s="8" t="s">
        <v>20587</v>
      </c>
      <c r="J6861" s="8" t="s">
        <v>20588</v>
      </c>
    </row>
    <row r="6862">
      <c r="A6862" s="7">
        <v>2.0055291E7</v>
      </c>
      <c r="B6862" s="8" t="s">
        <v>5776</v>
      </c>
      <c r="C6862" s="8" t="s">
        <v>20589</v>
      </c>
      <c r="D6862" s="8" t="s">
        <v>16</v>
      </c>
      <c r="E6862" s="8" t="s">
        <v>17</v>
      </c>
      <c r="F6862" s="9">
        <v>46135.0</v>
      </c>
      <c r="G6862" s="8" t="s">
        <v>64</v>
      </c>
      <c r="H6862" s="8" t="s">
        <v>65</v>
      </c>
      <c r="I6862" s="8" t="s">
        <v>20590</v>
      </c>
      <c r="J6862" s="8" t="s">
        <v>20591</v>
      </c>
    </row>
    <row r="6863">
      <c r="A6863" s="7">
        <v>2.005444E7</v>
      </c>
      <c r="B6863" s="8" t="s">
        <v>5776</v>
      </c>
      <c r="C6863" s="8" t="s">
        <v>20592</v>
      </c>
      <c r="D6863" s="8" t="s">
        <v>16</v>
      </c>
      <c r="E6863" s="8" t="s">
        <v>17</v>
      </c>
      <c r="F6863" s="9">
        <v>46120.0</v>
      </c>
      <c r="G6863" s="8" t="s">
        <v>385</v>
      </c>
      <c r="H6863" s="8" t="s">
        <v>386</v>
      </c>
      <c r="I6863" s="8" t="s">
        <v>20593</v>
      </c>
      <c r="J6863" s="8" t="s">
        <v>20594</v>
      </c>
    </row>
    <row r="6864">
      <c r="A6864" s="7">
        <v>2.0052485E7</v>
      </c>
      <c r="B6864" s="8" t="s">
        <v>5776</v>
      </c>
      <c r="C6864" s="8" t="s">
        <v>20595</v>
      </c>
      <c r="D6864" s="8" t="s">
        <v>16</v>
      </c>
      <c r="E6864" s="8" t="s">
        <v>17</v>
      </c>
      <c r="F6864" s="9">
        <v>46116.0</v>
      </c>
      <c r="G6864" s="8" t="s">
        <v>59</v>
      </c>
      <c r="H6864" s="8" t="s">
        <v>60</v>
      </c>
      <c r="I6864" s="8" t="s">
        <v>20596</v>
      </c>
      <c r="J6864" s="8" t="s">
        <v>20597</v>
      </c>
    </row>
    <row r="6865">
      <c r="A6865" s="7">
        <v>2.0046555E7</v>
      </c>
      <c r="B6865" s="8" t="s">
        <v>5776</v>
      </c>
      <c r="C6865" s="8" t="s">
        <v>20598</v>
      </c>
      <c r="D6865" s="8" t="s">
        <v>16</v>
      </c>
      <c r="E6865" s="8" t="s">
        <v>17</v>
      </c>
      <c r="F6865" s="9">
        <v>46088.0</v>
      </c>
      <c r="G6865" s="8" t="s">
        <v>153</v>
      </c>
      <c r="H6865" s="8" t="s">
        <v>154</v>
      </c>
      <c r="I6865" s="8" t="s">
        <v>20599</v>
      </c>
      <c r="J6865" s="8" t="s">
        <v>20600</v>
      </c>
    </row>
    <row r="6866">
      <c r="A6866" s="7">
        <v>2.0046555E7</v>
      </c>
      <c r="B6866" s="8" t="s">
        <v>5776</v>
      </c>
      <c r="C6866" s="8" t="s">
        <v>20598</v>
      </c>
      <c r="D6866" s="8" t="s">
        <v>16</v>
      </c>
      <c r="E6866" s="8" t="s">
        <v>17</v>
      </c>
      <c r="F6866" s="9">
        <v>46088.0</v>
      </c>
      <c r="G6866" s="8" t="s">
        <v>20601</v>
      </c>
      <c r="H6866" s="8" t="s">
        <v>20602</v>
      </c>
      <c r="I6866" s="8" t="s">
        <v>20603</v>
      </c>
      <c r="J6866" s="8" t="s">
        <v>20604</v>
      </c>
    </row>
    <row r="6867">
      <c r="A6867" s="7">
        <v>2.0032662E7</v>
      </c>
      <c r="B6867" s="8" t="s">
        <v>5776</v>
      </c>
      <c r="C6867" s="8" t="s">
        <v>20605</v>
      </c>
      <c r="D6867" s="8" t="s">
        <v>16</v>
      </c>
      <c r="E6867" s="8" t="s">
        <v>17</v>
      </c>
      <c r="F6867" s="9">
        <v>46043.0</v>
      </c>
      <c r="G6867" s="8" t="s">
        <v>59</v>
      </c>
      <c r="H6867" s="8" t="s">
        <v>60</v>
      </c>
      <c r="I6867" s="8" t="s">
        <v>20606</v>
      </c>
      <c r="J6867" s="8" t="s">
        <v>20607</v>
      </c>
    </row>
    <row r="6868">
      <c r="A6868" s="7">
        <v>2.0069154E7</v>
      </c>
      <c r="B6868" s="8" t="s">
        <v>5776</v>
      </c>
      <c r="C6868" s="8" t="s">
        <v>20608</v>
      </c>
      <c r="D6868" s="8" t="s">
        <v>16</v>
      </c>
      <c r="E6868" s="8" t="s">
        <v>17</v>
      </c>
      <c r="F6868" s="9">
        <v>46191.0</v>
      </c>
      <c r="G6868" s="8" t="s">
        <v>59</v>
      </c>
      <c r="H6868" s="8" t="s">
        <v>60</v>
      </c>
      <c r="I6868" s="8" t="s">
        <v>20609</v>
      </c>
      <c r="J6868" s="8" t="s">
        <v>20610</v>
      </c>
    </row>
    <row r="6869">
      <c r="A6869" s="7">
        <v>2.0059022E7</v>
      </c>
      <c r="B6869" s="8" t="s">
        <v>5776</v>
      </c>
      <c r="C6869" s="8" t="s">
        <v>20611</v>
      </c>
      <c r="D6869" s="8" t="s">
        <v>16</v>
      </c>
      <c r="E6869" s="8" t="s">
        <v>17</v>
      </c>
      <c r="F6869" s="9">
        <v>46137.0</v>
      </c>
      <c r="G6869" s="8" t="s">
        <v>59</v>
      </c>
      <c r="H6869" s="8" t="s">
        <v>60</v>
      </c>
      <c r="I6869" s="8" t="s">
        <v>20612</v>
      </c>
      <c r="J6869" s="8" t="s">
        <v>20613</v>
      </c>
    </row>
    <row r="6870">
      <c r="A6870" s="7">
        <v>2.0053446E7</v>
      </c>
      <c r="B6870" s="8" t="s">
        <v>5776</v>
      </c>
      <c r="C6870" s="8" t="s">
        <v>20614</v>
      </c>
      <c r="D6870" s="8" t="s">
        <v>16</v>
      </c>
      <c r="E6870" s="8" t="s">
        <v>17</v>
      </c>
      <c r="F6870" s="9">
        <v>46122.0</v>
      </c>
      <c r="G6870" s="8" t="s">
        <v>1746</v>
      </c>
      <c r="H6870" s="8" t="s">
        <v>1747</v>
      </c>
      <c r="I6870" s="8" t="s">
        <v>20615</v>
      </c>
      <c r="J6870" s="8" t="s">
        <v>20616</v>
      </c>
    </row>
    <row r="6871">
      <c r="A6871" s="7">
        <v>2.0052484E7</v>
      </c>
      <c r="B6871" s="8" t="s">
        <v>5776</v>
      </c>
      <c r="C6871" s="8" t="s">
        <v>20617</v>
      </c>
      <c r="D6871" s="8" t="s">
        <v>16</v>
      </c>
      <c r="E6871" s="8" t="s">
        <v>17</v>
      </c>
      <c r="F6871" s="9">
        <v>46127.0</v>
      </c>
      <c r="G6871" s="8" t="s">
        <v>184</v>
      </c>
      <c r="H6871" s="8" t="s">
        <v>185</v>
      </c>
      <c r="I6871" s="8" t="s">
        <v>20618</v>
      </c>
      <c r="J6871" s="8" t="s">
        <v>20619</v>
      </c>
    </row>
    <row r="6872">
      <c r="A6872" s="7">
        <v>2.0047046E7</v>
      </c>
      <c r="B6872" s="8" t="s">
        <v>5776</v>
      </c>
      <c r="C6872" s="8" t="s">
        <v>20620</v>
      </c>
      <c r="D6872" s="8" t="s">
        <v>16</v>
      </c>
      <c r="E6872" s="8" t="s">
        <v>17</v>
      </c>
      <c r="F6872" s="9">
        <v>46095.0</v>
      </c>
      <c r="G6872" s="8" t="s">
        <v>846</v>
      </c>
      <c r="H6872" s="8" t="s">
        <v>847</v>
      </c>
      <c r="I6872" s="8" t="s">
        <v>20621</v>
      </c>
      <c r="J6872" s="8" t="s">
        <v>20622</v>
      </c>
    </row>
    <row r="6873">
      <c r="A6873" s="7">
        <v>2.003316E7</v>
      </c>
      <c r="B6873" s="8" t="s">
        <v>5776</v>
      </c>
      <c r="C6873" s="8" t="s">
        <v>20623</v>
      </c>
      <c r="D6873" s="8" t="s">
        <v>16</v>
      </c>
      <c r="E6873" s="8" t="s">
        <v>17</v>
      </c>
      <c r="F6873" s="9">
        <v>46046.0</v>
      </c>
      <c r="G6873" s="8" t="s">
        <v>59</v>
      </c>
      <c r="H6873" s="8" t="s">
        <v>60</v>
      </c>
      <c r="I6873" s="8" t="s">
        <v>20624</v>
      </c>
      <c r="J6873" s="8" t="s">
        <v>20625</v>
      </c>
    </row>
    <row r="6874">
      <c r="A6874" s="7">
        <v>2.0034088E7</v>
      </c>
      <c r="B6874" s="8" t="s">
        <v>5776</v>
      </c>
      <c r="C6874" s="8" t="s">
        <v>20626</v>
      </c>
      <c r="D6874" s="8" t="s">
        <v>16</v>
      </c>
      <c r="E6874" s="8" t="s">
        <v>17</v>
      </c>
      <c r="F6874" s="9">
        <v>46037.0</v>
      </c>
      <c r="G6874" s="8" t="s">
        <v>91</v>
      </c>
      <c r="H6874" s="8" t="s">
        <v>92</v>
      </c>
      <c r="I6874" s="8" t="s">
        <v>20627</v>
      </c>
      <c r="J6874" s="8" t="s">
        <v>20628</v>
      </c>
    </row>
    <row r="6875">
      <c r="A6875" s="7">
        <v>2.0069681E7</v>
      </c>
      <c r="B6875" s="8" t="s">
        <v>5776</v>
      </c>
      <c r="C6875" s="8" t="s">
        <v>20629</v>
      </c>
      <c r="D6875" s="8" t="s">
        <v>2136</v>
      </c>
      <c r="E6875" s="8" t="s">
        <v>17</v>
      </c>
      <c r="F6875" s="9">
        <v>46186.0</v>
      </c>
      <c r="G6875" s="8" t="s">
        <v>805</v>
      </c>
      <c r="H6875" s="8" t="s">
        <v>806</v>
      </c>
      <c r="I6875" s="8" t="s">
        <v>20630</v>
      </c>
      <c r="J6875" s="8" t="s">
        <v>20631</v>
      </c>
    </row>
    <row r="6876">
      <c r="A6876" s="7">
        <v>2.0059653E7</v>
      </c>
      <c r="B6876" s="8" t="s">
        <v>5776</v>
      </c>
      <c r="C6876" s="8" t="s">
        <v>20632</v>
      </c>
      <c r="D6876" s="8" t="s">
        <v>16</v>
      </c>
      <c r="E6876" s="8" t="s">
        <v>17</v>
      </c>
      <c r="F6876" s="9">
        <v>46182.0</v>
      </c>
      <c r="G6876" s="8" t="s">
        <v>361</v>
      </c>
      <c r="H6876" s="8" t="s">
        <v>362</v>
      </c>
      <c r="I6876" s="8" t="s">
        <v>20633</v>
      </c>
      <c r="J6876" s="8" t="s">
        <v>20634</v>
      </c>
    </row>
    <row r="6877">
      <c r="A6877" s="7">
        <v>2.005782E7</v>
      </c>
      <c r="B6877" s="8" t="s">
        <v>5776</v>
      </c>
      <c r="C6877" s="8" t="s">
        <v>20635</v>
      </c>
      <c r="D6877" s="8" t="s">
        <v>16</v>
      </c>
      <c r="E6877" s="8" t="s">
        <v>17</v>
      </c>
      <c r="F6877" s="9">
        <v>46133.0</v>
      </c>
      <c r="G6877" s="8" t="s">
        <v>91</v>
      </c>
      <c r="H6877" s="8" t="s">
        <v>92</v>
      </c>
      <c r="I6877" s="8" t="s">
        <v>20636</v>
      </c>
      <c r="J6877" s="8" t="s">
        <v>20637</v>
      </c>
    </row>
    <row r="6878">
      <c r="A6878" s="7">
        <v>2.0047314E7</v>
      </c>
      <c r="B6878" s="8" t="s">
        <v>5776</v>
      </c>
      <c r="C6878" s="8" t="s">
        <v>20638</v>
      </c>
      <c r="D6878" s="8" t="s">
        <v>16</v>
      </c>
      <c r="E6878" s="8" t="s">
        <v>17</v>
      </c>
      <c r="F6878" s="9">
        <v>46093.0</v>
      </c>
      <c r="G6878" s="8" t="s">
        <v>385</v>
      </c>
      <c r="H6878" s="8" t="s">
        <v>386</v>
      </c>
      <c r="I6878" s="8" t="s">
        <v>20639</v>
      </c>
      <c r="J6878" s="8" t="s">
        <v>20640</v>
      </c>
    </row>
    <row r="6879">
      <c r="A6879" s="7">
        <v>2.0046554E7</v>
      </c>
      <c r="B6879" s="8" t="s">
        <v>5776</v>
      </c>
      <c r="C6879" s="8" t="s">
        <v>20641</v>
      </c>
      <c r="D6879" s="8" t="s">
        <v>16</v>
      </c>
      <c r="E6879" s="8" t="s">
        <v>17</v>
      </c>
      <c r="F6879" s="9">
        <v>46084.0</v>
      </c>
      <c r="G6879" s="8" t="s">
        <v>59</v>
      </c>
      <c r="H6879" s="8" t="s">
        <v>60</v>
      </c>
      <c r="I6879" s="8" t="s">
        <v>20642</v>
      </c>
      <c r="J6879" s="8" t="s">
        <v>20643</v>
      </c>
    </row>
    <row r="6880">
      <c r="A6880" s="7">
        <v>2.0039238E7</v>
      </c>
      <c r="B6880" s="8" t="s">
        <v>5776</v>
      </c>
      <c r="C6880" s="8" t="s">
        <v>20644</v>
      </c>
      <c r="D6880" s="8" t="s">
        <v>16</v>
      </c>
      <c r="E6880" s="8" t="s">
        <v>17</v>
      </c>
      <c r="F6880" s="9">
        <v>46068.0</v>
      </c>
      <c r="G6880" s="8" t="s">
        <v>20645</v>
      </c>
      <c r="H6880" s="8" t="s">
        <v>20646</v>
      </c>
      <c r="I6880" s="8" t="s">
        <v>20647</v>
      </c>
      <c r="J6880" s="8" t="s">
        <v>20648</v>
      </c>
    </row>
    <row r="6881">
      <c r="A6881" s="7">
        <v>2.0040791E7</v>
      </c>
      <c r="B6881" s="8" t="s">
        <v>5776</v>
      </c>
      <c r="C6881" s="8" t="s">
        <v>20649</v>
      </c>
      <c r="D6881" s="8" t="s">
        <v>16</v>
      </c>
      <c r="E6881" s="8" t="s">
        <v>17</v>
      </c>
      <c r="F6881" s="9">
        <v>46068.0</v>
      </c>
      <c r="G6881" s="8" t="s">
        <v>59</v>
      </c>
      <c r="H6881" s="8" t="s">
        <v>60</v>
      </c>
      <c r="I6881" s="8" t="s">
        <v>20650</v>
      </c>
      <c r="J6881" s="8" t="s">
        <v>20651</v>
      </c>
    </row>
    <row r="6882">
      <c r="A6882" s="7">
        <v>2.005219E7</v>
      </c>
      <c r="B6882" s="8" t="s">
        <v>5776</v>
      </c>
      <c r="C6882" s="8" t="s">
        <v>20652</v>
      </c>
      <c r="D6882" s="8" t="s">
        <v>16</v>
      </c>
      <c r="E6882" s="8" t="s">
        <v>17</v>
      </c>
      <c r="F6882" s="9">
        <v>46127.0</v>
      </c>
      <c r="G6882" s="8" t="s">
        <v>20653</v>
      </c>
      <c r="H6882" s="8" t="s">
        <v>20654</v>
      </c>
      <c r="I6882" s="8" t="s">
        <v>20655</v>
      </c>
      <c r="J6882" s="8" t="s">
        <v>20656</v>
      </c>
    </row>
    <row r="6883">
      <c r="A6883" s="7">
        <v>2.0046185E7</v>
      </c>
      <c r="B6883" s="8" t="s">
        <v>5776</v>
      </c>
      <c r="C6883" s="8" t="s">
        <v>20657</v>
      </c>
      <c r="D6883" s="8" t="s">
        <v>16</v>
      </c>
      <c r="E6883" s="8" t="s">
        <v>17</v>
      </c>
      <c r="F6883" s="9">
        <v>46092.0</v>
      </c>
      <c r="G6883" s="8" t="s">
        <v>59</v>
      </c>
      <c r="H6883" s="8" t="s">
        <v>60</v>
      </c>
      <c r="I6883" s="8" t="s">
        <v>20658</v>
      </c>
      <c r="J6883" s="8" t="s">
        <v>20659</v>
      </c>
    </row>
    <row r="6884">
      <c r="A6884" s="7">
        <v>2.0046179E7</v>
      </c>
      <c r="B6884" s="8" t="s">
        <v>5776</v>
      </c>
      <c r="C6884" s="8" t="s">
        <v>20660</v>
      </c>
      <c r="D6884" s="8" t="s">
        <v>16</v>
      </c>
      <c r="E6884" s="8" t="s">
        <v>17</v>
      </c>
      <c r="F6884" s="9">
        <v>46098.0</v>
      </c>
      <c r="G6884" s="8" t="s">
        <v>184</v>
      </c>
      <c r="H6884" s="8" t="s">
        <v>185</v>
      </c>
      <c r="I6884" s="8" t="s">
        <v>20661</v>
      </c>
      <c r="J6884" s="8" t="s">
        <v>20662</v>
      </c>
    </row>
    <row r="6885">
      <c r="A6885" s="7">
        <v>2.0044717E7</v>
      </c>
      <c r="B6885" s="8" t="s">
        <v>5776</v>
      </c>
      <c r="C6885" s="8" t="s">
        <v>20663</v>
      </c>
      <c r="D6885" s="8" t="s">
        <v>16</v>
      </c>
      <c r="E6885" s="8" t="s">
        <v>17</v>
      </c>
      <c r="F6885" s="9">
        <v>46076.0</v>
      </c>
      <c r="G6885" s="8" t="s">
        <v>234</v>
      </c>
      <c r="H6885" s="8" t="s">
        <v>235</v>
      </c>
      <c r="I6885" s="8" t="s">
        <v>20664</v>
      </c>
      <c r="J6885" s="8" t="s">
        <v>20665</v>
      </c>
    </row>
    <row r="6886">
      <c r="A6886" s="7">
        <v>2.0037694E7</v>
      </c>
      <c r="B6886" s="8" t="s">
        <v>5776</v>
      </c>
      <c r="C6886" s="8" t="s">
        <v>20666</v>
      </c>
      <c r="D6886" s="8" t="s">
        <v>16</v>
      </c>
      <c r="E6886" s="8" t="s">
        <v>17</v>
      </c>
      <c r="F6886" s="9">
        <v>46055.0</v>
      </c>
      <c r="G6886" s="8" t="s">
        <v>385</v>
      </c>
      <c r="H6886" s="8" t="s">
        <v>386</v>
      </c>
      <c r="I6886" s="8" t="s">
        <v>20667</v>
      </c>
      <c r="J6886" s="8" t="s">
        <v>20668</v>
      </c>
    </row>
    <row r="6887">
      <c r="A6887" s="7">
        <v>2.0063237E7</v>
      </c>
      <c r="B6887" s="8" t="s">
        <v>1828</v>
      </c>
      <c r="C6887" s="8" t="s">
        <v>20669</v>
      </c>
      <c r="D6887" s="8" t="s">
        <v>16</v>
      </c>
      <c r="E6887" s="8" t="s">
        <v>17</v>
      </c>
      <c r="F6887" s="9">
        <v>46161.0</v>
      </c>
      <c r="G6887" s="8" t="s">
        <v>517</v>
      </c>
      <c r="H6887" s="8" t="s">
        <v>518</v>
      </c>
      <c r="I6887" s="8" t="s">
        <v>20670</v>
      </c>
      <c r="J6887" s="8" t="s">
        <v>20671</v>
      </c>
    </row>
    <row r="6888">
      <c r="A6888" s="7">
        <v>2.00567E7</v>
      </c>
      <c r="B6888" s="8" t="s">
        <v>1828</v>
      </c>
      <c r="C6888" s="8" t="s">
        <v>20672</v>
      </c>
      <c r="D6888" s="8" t="s">
        <v>16</v>
      </c>
      <c r="E6888" s="8" t="s">
        <v>17</v>
      </c>
      <c r="F6888" s="9">
        <v>46127.0</v>
      </c>
      <c r="G6888" s="8" t="s">
        <v>1007</v>
      </c>
      <c r="H6888" s="8" t="s">
        <v>1008</v>
      </c>
      <c r="I6888" s="8" t="s">
        <v>20673</v>
      </c>
      <c r="J6888" s="8" t="s">
        <v>20674</v>
      </c>
    </row>
    <row r="6889">
      <c r="A6889" s="7">
        <v>2.0056015E7</v>
      </c>
      <c r="B6889" s="8" t="s">
        <v>1828</v>
      </c>
      <c r="C6889" s="8" t="s">
        <v>20675</v>
      </c>
      <c r="D6889" s="8" t="s">
        <v>16</v>
      </c>
      <c r="E6889" s="8" t="s">
        <v>17</v>
      </c>
      <c r="F6889" s="9">
        <v>46129.0</v>
      </c>
      <c r="G6889" s="8" t="s">
        <v>3043</v>
      </c>
      <c r="H6889" s="8" t="s">
        <v>20676</v>
      </c>
      <c r="I6889" s="8" t="s">
        <v>20677</v>
      </c>
      <c r="J6889" s="8" t="s">
        <v>20678</v>
      </c>
    </row>
    <row r="6890">
      <c r="A6890" s="7">
        <v>2.0056015E7</v>
      </c>
      <c r="B6890" s="8" t="s">
        <v>1828</v>
      </c>
      <c r="C6890" s="8" t="s">
        <v>20675</v>
      </c>
      <c r="D6890" s="8" t="s">
        <v>16</v>
      </c>
      <c r="E6890" s="8" t="s">
        <v>17</v>
      </c>
      <c r="F6890" s="9">
        <v>46129.0</v>
      </c>
      <c r="G6890" s="8" t="s">
        <v>3046</v>
      </c>
      <c r="H6890" s="8" t="s">
        <v>20679</v>
      </c>
      <c r="I6890" s="8" t="s">
        <v>20680</v>
      </c>
      <c r="J6890" s="8"/>
    </row>
    <row r="6891">
      <c r="A6891" s="7">
        <v>2.0055765E7</v>
      </c>
      <c r="B6891" s="8" t="s">
        <v>1828</v>
      </c>
      <c r="C6891" s="8" t="s">
        <v>20681</v>
      </c>
      <c r="D6891" s="8" t="s">
        <v>16</v>
      </c>
      <c r="E6891" s="8" t="s">
        <v>17</v>
      </c>
      <c r="F6891" s="9">
        <v>46136.0</v>
      </c>
      <c r="G6891" s="8" t="s">
        <v>10742</v>
      </c>
      <c r="H6891" s="8" t="s">
        <v>3261</v>
      </c>
      <c r="I6891" s="8" t="s">
        <v>20682</v>
      </c>
      <c r="J6891" s="8" t="s">
        <v>20683</v>
      </c>
    </row>
    <row r="6892">
      <c r="A6892" s="7">
        <v>2.0056266E7</v>
      </c>
      <c r="B6892" s="8" t="s">
        <v>1828</v>
      </c>
      <c r="C6892" s="8" t="s">
        <v>20684</v>
      </c>
      <c r="D6892" s="8" t="s">
        <v>16</v>
      </c>
      <c r="E6892" s="8" t="s">
        <v>17</v>
      </c>
      <c r="F6892" s="9">
        <v>46142.0</v>
      </c>
      <c r="G6892" s="8" t="s">
        <v>9334</v>
      </c>
      <c r="H6892" s="8" t="s">
        <v>9335</v>
      </c>
      <c r="I6892" s="8" t="s">
        <v>20685</v>
      </c>
      <c r="J6892" s="8" t="s">
        <v>20686</v>
      </c>
    </row>
    <row r="6893">
      <c r="A6893" s="7">
        <v>2.0050545E7</v>
      </c>
      <c r="B6893" s="8" t="s">
        <v>1828</v>
      </c>
      <c r="C6893" s="8" t="s">
        <v>20687</v>
      </c>
      <c r="D6893" s="8" t="s">
        <v>16</v>
      </c>
      <c r="E6893" s="8" t="s">
        <v>17</v>
      </c>
      <c r="F6893" s="9">
        <v>46105.0</v>
      </c>
      <c r="G6893" s="8" t="s">
        <v>3012</v>
      </c>
      <c r="H6893" s="8" t="s">
        <v>3013</v>
      </c>
      <c r="I6893" s="8" t="s">
        <v>20688</v>
      </c>
      <c r="J6893" s="8" t="s">
        <v>20689</v>
      </c>
    </row>
    <row r="6894">
      <c r="A6894" s="7">
        <v>2.0045452E7</v>
      </c>
      <c r="B6894" s="8" t="s">
        <v>1828</v>
      </c>
      <c r="C6894" s="8" t="s">
        <v>20690</v>
      </c>
      <c r="D6894" s="8" t="s">
        <v>16</v>
      </c>
      <c r="E6894" s="8" t="s">
        <v>17</v>
      </c>
      <c r="F6894" s="9">
        <v>46095.0</v>
      </c>
      <c r="G6894" s="8" t="s">
        <v>109</v>
      </c>
      <c r="H6894" s="8" t="s">
        <v>110</v>
      </c>
      <c r="I6894" s="8" t="s">
        <v>20691</v>
      </c>
      <c r="J6894" s="8" t="s">
        <v>20692</v>
      </c>
    </row>
    <row r="6895">
      <c r="A6895" s="7">
        <v>2.004628E7</v>
      </c>
      <c r="B6895" s="8" t="s">
        <v>1828</v>
      </c>
      <c r="C6895" s="8" t="s">
        <v>20693</v>
      </c>
      <c r="D6895" s="8" t="s">
        <v>16</v>
      </c>
      <c r="E6895" s="8" t="s">
        <v>17</v>
      </c>
      <c r="F6895" s="9">
        <v>46084.0</v>
      </c>
      <c r="G6895" s="8" t="s">
        <v>365</v>
      </c>
      <c r="H6895" s="8" t="s">
        <v>366</v>
      </c>
      <c r="I6895" s="8" t="s">
        <v>20694</v>
      </c>
      <c r="J6895" s="8" t="s">
        <v>20695</v>
      </c>
    </row>
    <row r="6896">
      <c r="A6896" s="7">
        <v>2.0044659E7</v>
      </c>
      <c r="B6896" s="8" t="s">
        <v>1828</v>
      </c>
      <c r="C6896" s="8" t="s">
        <v>20696</v>
      </c>
      <c r="D6896" s="8" t="s">
        <v>16</v>
      </c>
      <c r="E6896" s="8" t="s">
        <v>17</v>
      </c>
      <c r="F6896" s="9">
        <v>46078.0</v>
      </c>
      <c r="G6896" s="8" t="s">
        <v>800</v>
      </c>
      <c r="H6896" s="8" t="s">
        <v>801</v>
      </c>
      <c r="I6896" s="8" t="s">
        <v>20697</v>
      </c>
      <c r="J6896" s="8" t="s">
        <v>20698</v>
      </c>
    </row>
    <row r="6897">
      <c r="A6897" s="7">
        <v>2.0044261E7</v>
      </c>
      <c r="B6897" s="8" t="s">
        <v>1828</v>
      </c>
      <c r="C6897" s="8" t="s">
        <v>20699</v>
      </c>
      <c r="D6897" s="8" t="s">
        <v>16</v>
      </c>
      <c r="E6897" s="8" t="s">
        <v>17</v>
      </c>
      <c r="F6897" s="9">
        <v>46081.0</v>
      </c>
      <c r="G6897" s="8" t="s">
        <v>385</v>
      </c>
      <c r="H6897" s="8" t="s">
        <v>386</v>
      </c>
      <c r="I6897" s="8" t="s">
        <v>20700</v>
      </c>
      <c r="J6897" s="8" t="s">
        <v>20701</v>
      </c>
    </row>
    <row r="6898">
      <c r="A6898" s="7">
        <v>2.0040641E7</v>
      </c>
      <c r="B6898" s="8" t="s">
        <v>1828</v>
      </c>
      <c r="C6898" s="8" t="s">
        <v>20702</v>
      </c>
      <c r="D6898" s="8" t="s">
        <v>16</v>
      </c>
      <c r="E6898" s="8" t="s">
        <v>17</v>
      </c>
      <c r="F6898" s="9">
        <v>46063.0</v>
      </c>
      <c r="G6898" s="8" t="s">
        <v>34</v>
      </c>
      <c r="H6898" s="8" t="s">
        <v>35</v>
      </c>
      <c r="I6898" s="8" t="s">
        <v>20703</v>
      </c>
      <c r="J6898" s="8" t="s">
        <v>20704</v>
      </c>
    </row>
    <row r="6899">
      <c r="A6899" s="7">
        <v>2.0039077E7</v>
      </c>
      <c r="B6899" s="8" t="s">
        <v>1828</v>
      </c>
      <c r="C6899" s="8" t="s">
        <v>20705</v>
      </c>
      <c r="D6899" s="8" t="s">
        <v>16</v>
      </c>
      <c r="E6899" s="8" t="s">
        <v>17</v>
      </c>
      <c r="F6899" s="9">
        <v>46073.0</v>
      </c>
      <c r="G6899" s="8" t="s">
        <v>20706</v>
      </c>
      <c r="H6899" s="8" t="s">
        <v>20707</v>
      </c>
      <c r="I6899" s="8" t="s">
        <v>20708</v>
      </c>
      <c r="J6899" s="8" t="s">
        <v>20709</v>
      </c>
    </row>
    <row r="6900">
      <c r="A6900" s="7">
        <v>2.0037934E7</v>
      </c>
      <c r="B6900" s="8" t="s">
        <v>1828</v>
      </c>
      <c r="C6900" s="8" t="s">
        <v>20710</v>
      </c>
      <c r="D6900" s="8" t="s">
        <v>16</v>
      </c>
      <c r="E6900" s="8" t="s">
        <v>17</v>
      </c>
      <c r="F6900" s="9">
        <v>46068.0</v>
      </c>
      <c r="G6900" s="8" t="s">
        <v>2109</v>
      </c>
      <c r="H6900" s="8" t="s">
        <v>2110</v>
      </c>
      <c r="I6900" s="8" t="s">
        <v>20711</v>
      </c>
      <c r="J6900" s="8" t="s">
        <v>20712</v>
      </c>
    </row>
    <row r="6901">
      <c r="A6901" s="7">
        <v>2.0035957E7</v>
      </c>
      <c r="B6901" s="8" t="s">
        <v>1828</v>
      </c>
      <c r="C6901" s="8" t="s">
        <v>20713</v>
      </c>
      <c r="D6901" s="8" t="s">
        <v>16</v>
      </c>
      <c r="E6901" s="8" t="s">
        <v>17</v>
      </c>
      <c r="F6901" s="9">
        <v>46053.0</v>
      </c>
      <c r="G6901" s="8" t="s">
        <v>247</v>
      </c>
      <c r="H6901" s="8" t="s">
        <v>248</v>
      </c>
      <c r="I6901" s="8" t="s">
        <v>20714</v>
      </c>
      <c r="J6901" s="8" t="s">
        <v>20715</v>
      </c>
    </row>
    <row r="6902">
      <c r="A6902" s="7">
        <v>2.0062676E7</v>
      </c>
      <c r="B6902" s="8" t="s">
        <v>1828</v>
      </c>
      <c r="C6902" s="8" t="s">
        <v>20716</v>
      </c>
      <c r="D6902" s="8" t="s">
        <v>16</v>
      </c>
      <c r="E6902" s="8" t="s">
        <v>17</v>
      </c>
      <c r="F6902" s="9">
        <v>46173.0</v>
      </c>
      <c r="G6902" s="8" t="s">
        <v>791</v>
      </c>
      <c r="H6902" s="8" t="s">
        <v>792</v>
      </c>
      <c r="I6902" s="8"/>
      <c r="J6902" s="8" t="s">
        <v>20717</v>
      </c>
    </row>
    <row r="6903">
      <c r="A6903" s="7">
        <v>2.0062676E7</v>
      </c>
      <c r="B6903" s="8" t="s">
        <v>1828</v>
      </c>
      <c r="C6903" s="8" t="s">
        <v>20716</v>
      </c>
      <c r="D6903" s="8" t="s">
        <v>16</v>
      </c>
      <c r="E6903" s="8" t="s">
        <v>17</v>
      </c>
      <c r="F6903" s="9">
        <v>46173.0</v>
      </c>
      <c r="G6903" s="8" t="s">
        <v>1841</v>
      </c>
      <c r="H6903" s="8" t="s">
        <v>1842</v>
      </c>
      <c r="I6903" s="8"/>
      <c r="J6903" s="8" t="s">
        <v>20718</v>
      </c>
    </row>
    <row r="6904">
      <c r="A6904" s="7">
        <v>2.0052083E7</v>
      </c>
      <c r="B6904" s="8" t="s">
        <v>1828</v>
      </c>
      <c r="C6904" s="8" t="s">
        <v>20719</v>
      </c>
      <c r="D6904" s="8" t="s">
        <v>16</v>
      </c>
      <c r="E6904" s="8" t="s">
        <v>17</v>
      </c>
      <c r="F6904" s="9">
        <v>46116.0</v>
      </c>
      <c r="G6904" s="8" t="s">
        <v>846</v>
      </c>
      <c r="H6904" s="8" t="s">
        <v>847</v>
      </c>
      <c r="I6904" s="8" t="s">
        <v>20720</v>
      </c>
      <c r="J6904" s="8" t="s">
        <v>20721</v>
      </c>
    </row>
    <row r="6905">
      <c r="A6905" s="7">
        <v>2.0040105E7</v>
      </c>
      <c r="B6905" s="8" t="s">
        <v>1828</v>
      </c>
      <c r="C6905" s="8" t="s">
        <v>20722</v>
      </c>
      <c r="D6905" s="8" t="s">
        <v>16</v>
      </c>
      <c r="E6905" s="8" t="s">
        <v>17</v>
      </c>
      <c r="F6905" s="9">
        <v>46059.0</v>
      </c>
      <c r="G6905" s="8" t="s">
        <v>3207</v>
      </c>
      <c r="H6905" s="8" t="s">
        <v>3208</v>
      </c>
      <c r="I6905" s="8" t="s">
        <v>20723</v>
      </c>
      <c r="J6905" s="8" t="s">
        <v>20724</v>
      </c>
    </row>
    <row r="6906">
      <c r="A6906" s="7">
        <v>2.0036024E7</v>
      </c>
      <c r="B6906" s="8" t="s">
        <v>1828</v>
      </c>
      <c r="C6906" s="8" t="s">
        <v>20725</v>
      </c>
      <c r="D6906" s="8" t="s">
        <v>16</v>
      </c>
      <c r="E6906" s="8" t="s">
        <v>17</v>
      </c>
      <c r="F6906" s="9">
        <v>46049.0</v>
      </c>
      <c r="G6906" s="8" t="s">
        <v>1391</v>
      </c>
      <c r="H6906" s="8" t="s">
        <v>1392</v>
      </c>
      <c r="I6906" s="8" t="s">
        <v>20726</v>
      </c>
      <c r="J6906" s="8" t="s">
        <v>20727</v>
      </c>
    </row>
    <row r="6907">
      <c r="A6907" s="7">
        <v>2.0036024E7</v>
      </c>
      <c r="B6907" s="8" t="s">
        <v>1828</v>
      </c>
      <c r="C6907" s="8" t="s">
        <v>20725</v>
      </c>
      <c r="D6907" s="8" t="s">
        <v>16</v>
      </c>
      <c r="E6907" s="8" t="s">
        <v>17</v>
      </c>
      <c r="F6907" s="9">
        <v>46049.0</v>
      </c>
      <c r="G6907" s="8" t="s">
        <v>868</v>
      </c>
      <c r="H6907" s="8" t="s">
        <v>869</v>
      </c>
      <c r="I6907" s="8" t="s">
        <v>20728</v>
      </c>
      <c r="J6907" s="8" t="s">
        <v>20729</v>
      </c>
    </row>
    <row r="6908">
      <c r="A6908" s="7">
        <v>2.0071083E7</v>
      </c>
      <c r="B6908" s="8" t="s">
        <v>1828</v>
      </c>
      <c r="C6908" s="8" t="s">
        <v>20730</v>
      </c>
      <c r="D6908" s="8" t="s">
        <v>2136</v>
      </c>
      <c r="E6908" s="8" t="s">
        <v>17</v>
      </c>
      <c r="F6908" s="9">
        <v>46186.0</v>
      </c>
      <c r="G6908" s="8" t="s">
        <v>247</v>
      </c>
      <c r="H6908" s="8" t="s">
        <v>248</v>
      </c>
      <c r="I6908" s="8" t="s">
        <v>20731</v>
      </c>
      <c r="J6908" s="8" t="s">
        <v>20732</v>
      </c>
    </row>
    <row r="6909">
      <c r="A6909" s="7">
        <v>2.006995E7</v>
      </c>
      <c r="B6909" s="8" t="s">
        <v>1828</v>
      </c>
      <c r="C6909" s="8" t="s">
        <v>20733</v>
      </c>
      <c r="D6909" s="8" t="s">
        <v>16</v>
      </c>
      <c r="E6909" s="8" t="s">
        <v>17</v>
      </c>
      <c r="F6909" s="9">
        <v>46191.0</v>
      </c>
      <c r="G6909" s="8" t="s">
        <v>868</v>
      </c>
      <c r="H6909" s="8" t="s">
        <v>869</v>
      </c>
      <c r="I6909" s="8" t="s">
        <v>20734</v>
      </c>
      <c r="J6909" s="8" t="s">
        <v>20735</v>
      </c>
    </row>
    <row r="6910">
      <c r="A6910" s="7">
        <v>2.0065345E7</v>
      </c>
      <c r="B6910" s="8" t="s">
        <v>1828</v>
      </c>
      <c r="C6910" s="8" t="s">
        <v>20736</v>
      </c>
      <c r="D6910" s="8" t="s">
        <v>2136</v>
      </c>
      <c r="E6910" s="8" t="s">
        <v>17</v>
      </c>
      <c r="F6910" s="9">
        <v>46163.0</v>
      </c>
      <c r="G6910" s="8" t="s">
        <v>234</v>
      </c>
      <c r="H6910" s="8" t="s">
        <v>235</v>
      </c>
      <c r="I6910" s="8" t="s">
        <v>20737</v>
      </c>
      <c r="J6910" s="8" t="s">
        <v>20738</v>
      </c>
    </row>
    <row r="6911">
      <c r="A6911" s="7">
        <v>2.0064598E7</v>
      </c>
      <c r="B6911" s="8" t="s">
        <v>1828</v>
      </c>
      <c r="C6911" s="8" t="s">
        <v>20739</v>
      </c>
      <c r="D6911" s="8" t="s">
        <v>16</v>
      </c>
      <c r="E6911" s="8" t="s">
        <v>17</v>
      </c>
      <c r="F6911" s="9">
        <v>46163.0</v>
      </c>
      <c r="G6911" s="8" t="s">
        <v>852</v>
      </c>
      <c r="H6911" s="8" t="s">
        <v>853</v>
      </c>
      <c r="I6911" s="8" t="s">
        <v>20740</v>
      </c>
      <c r="J6911" s="8" t="s">
        <v>20741</v>
      </c>
    </row>
    <row r="6912">
      <c r="A6912" s="7">
        <v>2.005785E7</v>
      </c>
      <c r="B6912" s="8" t="s">
        <v>1828</v>
      </c>
      <c r="C6912" s="8" t="s">
        <v>20742</v>
      </c>
      <c r="D6912" s="8" t="s">
        <v>16</v>
      </c>
      <c r="E6912" s="8" t="s">
        <v>17</v>
      </c>
      <c r="F6912" s="9">
        <v>46138.0</v>
      </c>
      <c r="G6912" s="8" t="s">
        <v>385</v>
      </c>
      <c r="H6912" s="8" t="s">
        <v>386</v>
      </c>
      <c r="I6912" s="8" t="s">
        <v>20743</v>
      </c>
      <c r="J6912" s="8" t="s">
        <v>20744</v>
      </c>
    </row>
    <row r="6913">
      <c r="A6913" s="7">
        <v>2.0056031E7</v>
      </c>
      <c r="B6913" s="8" t="s">
        <v>1828</v>
      </c>
      <c r="C6913" s="8" t="s">
        <v>20745</v>
      </c>
      <c r="D6913" s="8" t="s">
        <v>16</v>
      </c>
      <c r="E6913" s="8" t="s">
        <v>17</v>
      </c>
      <c r="F6913" s="9">
        <v>46130.0</v>
      </c>
      <c r="G6913" s="8" t="s">
        <v>195</v>
      </c>
      <c r="H6913" s="8" t="s">
        <v>196</v>
      </c>
      <c r="I6913" s="8" t="s">
        <v>20746</v>
      </c>
      <c r="J6913" s="8" t="s">
        <v>20747</v>
      </c>
    </row>
    <row r="6914">
      <c r="A6914" s="7">
        <v>2.0051514E7</v>
      </c>
      <c r="B6914" s="8" t="s">
        <v>1828</v>
      </c>
      <c r="C6914" s="8" t="s">
        <v>20748</v>
      </c>
      <c r="D6914" s="8" t="s">
        <v>16</v>
      </c>
      <c r="E6914" s="8" t="s">
        <v>17</v>
      </c>
      <c r="F6914" s="9">
        <v>46106.0</v>
      </c>
      <c r="G6914" s="8" t="s">
        <v>385</v>
      </c>
      <c r="H6914" s="8" t="s">
        <v>386</v>
      </c>
      <c r="I6914" s="8" t="s">
        <v>20749</v>
      </c>
      <c r="J6914" s="8" t="s">
        <v>20750</v>
      </c>
    </row>
    <row r="6915">
      <c r="A6915" s="7">
        <v>2.0051591E7</v>
      </c>
      <c r="B6915" s="8" t="s">
        <v>1828</v>
      </c>
      <c r="C6915" s="8" t="s">
        <v>20751</v>
      </c>
      <c r="D6915" s="8" t="s">
        <v>16</v>
      </c>
      <c r="E6915" s="8" t="s">
        <v>17</v>
      </c>
      <c r="F6915" s="9">
        <v>46108.0</v>
      </c>
      <c r="G6915" s="8" t="s">
        <v>1132</v>
      </c>
      <c r="H6915" s="8" t="s">
        <v>1133</v>
      </c>
      <c r="I6915" s="8" t="s">
        <v>20752</v>
      </c>
      <c r="J6915" s="8" t="s">
        <v>20753</v>
      </c>
    </row>
    <row r="6916">
      <c r="A6916" s="7">
        <v>2.0046371E7</v>
      </c>
      <c r="B6916" s="8" t="s">
        <v>1828</v>
      </c>
      <c r="C6916" s="8" t="s">
        <v>20754</v>
      </c>
      <c r="D6916" s="8" t="s">
        <v>16</v>
      </c>
      <c r="E6916" s="8" t="s">
        <v>17</v>
      </c>
      <c r="F6916" s="9">
        <v>46101.0</v>
      </c>
      <c r="G6916" s="8" t="s">
        <v>59</v>
      </c>
      <c r="H6916" s="8" t="s">
        <v>60</v>
      </c>
      <c r="I6916" s="8" t="s">
        <v>20755</v>
      </c>
      <c r="J6916" s="8" t="s">
        <v>20756</v>
      </c>
    </row>
    <row r="6917">
      <c r="A6917" s="7">
        <v>2.0046371E7</v>
      </c>
      <c r="B6917" s="8" t="s">
        <v>1828</v>
      </c>
      <c r="C6917" s="8" t="s">
        <v>20754</v>
      </c>
      <c r="D6917" s="8" t="s">
        <v>16</v>
      </c>
      <c r="E6917" s="8" t="s">
        <v>17</v>
      </c>
      <c r="F6917" s="9">
        <v>46101.0</v>
      </c>
      <c r="G6917" s="8" t="s">
        <v>9053</v>
      </c>
      <c r="H6917" s="8" t="s">
        <v>9054</v>
      </c>
      <c r="I6917" s="8" t="s">
        <v>20757</v>
      </c>
      <c r="J6917" s="8" t="s">
        <v>20758</v>
      </c>
    </row>
    <row r="6918">
      <c r="A6918" s="7">
        <v>2.0047777E7</v>
      </c>
      <c r="B6918" s="8" t="s">
        <v>1828</v>
      </c>
      <c r="C6918" s="8" t="s">
        <v>20759</v>
      </c>
      <c r="D6918" s="8" t="s">
        <v>16</v>
      </c>
      <c r="E6918" s="8" t="s">
        <v>17</v>
      </c>
      <c r="F6918" s="9">
        <v>46090.0</v>
      </c>
      <c r="G6918" s="8" t="s">
        <v>91</v>
      </c>
      <c r="H6918" s="8" t="s">
        <v>92</v>
      </c>
      <c r="I6918" s="8" t="s">
        <v>20760</v>
      </c>
      <c r="J6918" s="8" t="s">
        <v>20761</v>
      </c>
    </row>
    <row r="6919">
      <c r="A6919" s="7">
        <v>2.0046207E7</v>
      </c>
      <c r="B6919" s="8" t="s">
        <v>1828</v>
      </c>
      <c r="C6919" s="8" t="s">
        <v>20762</v>
      </c>
      <c r="D6919" s="8" t="s">
        <v>16</v>
      </c>
      <c r="E6919" s="8" t="s">
        <v>17</v>
      </c>
      <c r="F6919" s="9">
        <v>46098.0</v>
      </c>
      <c r="G6919" s="8" t="s">
        <v>158</v>
      </c>
      <c r="H6919" s="8" t="s">
        <v>159</v>
      </c>
      <c r="I6919" s="8" t="s">
        <v>20763</v>
      </c>
      <c r="J6919" s="8" t="s">
        <v>20764</v>
      </c>
    </row>
    <row r="6920">
      <c r="A6920" s="7">
        <v>2.0038803E7</v>
      </c>
      <c r="B6920" s="8" t="s">
        <v>1828</v>
      </c>
      <c r="C6920" s="8" t="s">
        <v>20765</v>
      </c>
      <c r="D6920" s="8" t="s">
        <v>16</v>
      </c>
      <c r="E6920" s="8" t="s">
        <v>17</v>
      </c>
      <c r="F6920" s="9">
        <v>46097.0</v>
      </c>
      <c r="G6920" s="8" t="s">
        <v>1638</v>
      </c>
      <c r="H6920" s="8" t="s">
        <v>1639</v>
      </c>
      <c r="I6920" s="8" t="s">
        <v>20766</v>
      </c>
      <c r="J6920" s="8" t="s">
        <v>20767</v>
      </c>
    </row>
    <row r="6921">
      <c r="A6921" s="7">
        <v>2.0040115E7</v>
      </c>
      <c r="B6921" s="8" t="s">
        <v>1828</v>
      </c>
      <c r="C6921" s="8" t="s">
        <v>20768</v>
      </c>
      <c r="D6921" s="8" t="s">
        <v>16</v>
      </c>
      <c r="E6921" s="8" t="s">
        <v>17</v>
      </c>
      <c r="F6921" s="9">
        <v>46066.0</v>
      </c>
      <c r="G6921" s="8" t="s">
        <v>846</v>
      </c>
      <c r="H6921" s="8" t="s">
        <v>847</v>
      </c>
      <c r="I6921" s="8" t="s">
        <v>20769</v>
      </c>
      <c r="J6921" s="8" t="s">
        <v>20770</v>
      </c>
    </row>
    <row r="6922">
      <c r="A6922" s="7">
        <v>2.0036952E7</v>
      </c>
      <c r="B6922" s="8" t="s">
        <v>1828</v>
      </c>
      <c r="C6922" s="8" t="s">
        <v>20771</v>
      </c>
      <c r="D6922" s="8" t="s">
        <v>16</v>
      </c>
      <c r="E6922" s="8" t="s">
        <v>17</v>
      </c>
      <c r="F6922" s="9">
        <v>46063.0</v>
      </c>
      <c r="G6922" s="8" t="s">
        <v>158</v>
      </c>
      <c r="H6922" s="8" t="s">
        <v>159</v>
      </c>
      <c r="I6922" s="8" t="s">
        <v>20772</v>
      </c>
      <c r="J6922" s="8"/>
    </row>
    <row r="6923">
      <c r="A6923" s="7">
        <v>2.0037382E7</v>
      </c>
      <c r="B6923" s="8" t="s">
        <v>1828</v>
      </c>
      <c r="C6923" s="8" t="s">
        <v>20773</v>
      </c>
      <c r="D6923" s="8" t="s">
        <v>16</v>
      </c>
      <c r="E6923" s="8" t="s">
        <v>17</v>
      </c>
      <c r="F6923" s="9">
        <v>46047.0</v>
      </c>
      <c r="G6923" s="8" t="s">
        <v>91</v>
      </c>
      <c r="H6923" s="8" t="s">
        <v>92</v>
      </c>
      <c r="I6923" s="8" t="s">
        <v>20774</v>
      </c>
      <c r="J6923" s="8" t="s">
        <v>20775</v>
      </c>
    </row>
    <row r="6924">
      <c r="A6924" s="7">
        <v>2.0037154E7</v>
      </c>
      <c r="B6924" s="8" t="s">
        <v>1828</v>
      </c>
      <c r="C6924" s="8" t="s">
        <v>20776</v>
      </c>
      <c r="D6924" s="8" t="s">
        <v>16</v>
      </c>
      <c r="E6924" s="8" t="s">
        <v>48</v>
      </c>
      <c r="F6924" s="9">
        <v>46055.0</v>
      </c>
      <c r="G6924" s="8" t="s">
        <v>630</v>
      </c>
      <c r="H6924" s="8" t="s">
        <v>631</v>
      </c>
      <c r="I6924" s="8" t="s">
        <v>20777</v>
      </c>
      <c r="J6924" s="8" t="s">
        <v>20778</v>
      </c>
    </row>
    <row r="6925">
      <c r="A6925" s="7">
        <v>2.0035094E7</v>
      </c>
      <c r="B6925" s="8" t="s">
        <v>1828</v>
      </c>
      <c r="C6925" s="8" t="s">
        <v>20779</v>
      </c>
      <c r="D6925" s="8" t="s">
        <v>16</v>
      </c>
      <c r="E6925" s="8" t="s">
        <v>17</v>
      </c>
      <c r="F6925" s="9">
        <v>46045.0</v>
      </c>
      <c r="G6925" s="8" t="s">
        <v>14426</v>
      </c>
      <c r="H6925" s="8" t="s">
        <v>14427</v>
      </c>
      <c r="I6925" s="8" t="s">
        <v>20780</v>
      </c>
      <c r="J6925" s="8" t="s">
        <v>20781</v>
      </c>
    </row>
    <row r="6926">
      <c r="A6926" s="7">
        <v>2.0022588E7</v>
      </c>
      <c r="B6926" s="8" t="s">
        <v>1828</v>
      </c>
      <c r="C6926" s="8" t="s">
        <v>20782</v>
      </c>
      <c r="D6926" s="8" t="s">
        <v>16</v>
      </c>
      <c r="E6926" s="8" t="s">
        <v>17</v>
      </c>
      <c r="F6926" s="9">
        <v>46057.0</v>
      </c>
      <c r="G6926" s="8" t="s">
        <v>20783</v>
      </c>
      <c r="H6926" s="8" t="s">
        <v>20784</v>
      </c>
      <c r="I6926" s="8" t="s">
        <v>20785</v>
      </c>
      <c r="J6926" s="8" t="s">
        <v>20786</v>
      </c>
    </row>
    <row r="6927">
      <c r="A6927" s="7">
        <v>2.0070055E7</v>
      </c>
      <c r="B6927" s="8" t="s">
        <v>1828</v>
      </c>
      <c r="C6927" s="8" t="s">
        <v>20787</v>
      </c>
      <c r="D6927" s="8" t="s">
        <v>16</v>
      </c>
      <c r="E6927" s="8" t="s">
        <v>17</v>
      </c>
      <c r="F6927" s="9">
        <v>46186.0</v>
      </c>
      <c r="G6927" s="8" t="s">
        <v>630</v>
      </c>
      <c r="H6927" s="8" t="s">
        <v>631</v>
      </c>
      <c r="I6927" s="8" t="s">
        <v>20788</v>
      </c>
      <c r="J6927" s="8" t="s">
        <v>20789</v>
      </c>
    </row>
    <row r="6928">
      <c r="A6928" s="7">
        <v>2.0067383E7</v>
      </c>
      <c r="B6928" s="8" t="s">
        <v>1828</v>
      </c>
      <c r="C6928" s="8" t="s">
        <v>20790</v>
      </c>
      <c r="D6928" s="8" t="s">
        <v>16</v>
      </c>
      <c r="E6928" s="8" t="s">
        <v>17</v>
      </c>
      <c r="F6928" s="9">
        <v>46192.0</v>
      </c>
      <c r="G6928" s="8" t="s">
        <v>114</v>
      </c>
      <c r="H6928" s="8" t="s">
        <v>115</v>
      </c>
      <c r="I6928" s="8" t="s">
        <v>20791</v>
      </c>
      <c r="J6928" s="8" t="s">
        <v>20792</v>
      </c>
    </row>
    <row r="6929">
      <c r="A6929" s="7">
        <v>2.0053625E7</v>
      </c>
      <c r="B6929" s="8" t="s">
        <v>1828</v>
      </c>
      <c r="C6929" s="8" t="s">
        <v>20793</v>
      </c>
      <c r="D6929" s="8" t="s">
        <v>16</v>
      </c>
      <c r="E6929" s="8" t="s">
        <v>17</v>
      </c>
      <c r="F6929" s="9">
        <v>46152.0</v>
      </c>
      <c r="G6929" s="8" t="s">
        <v>324</v>
      </c>
      <c r="H6929" s="8" t="s">
        <v>325</v>
      </c>
      <c r="I6929" s="8" t="s">
        <v>20794</v>
      </c>
      <c r="J6929" s="8" t="s">
        <v>20795</v>
      </c>
    </row>
    <row r="6930">
      <c r="A6930" s="7">
        <v>2.0051218E7</v>
      </c>
      <c r="B6930" s="8" t="s">
        <v>1828</v>
      </c>
      <c r="C6930" s="8" t="s">
        <v>20796</v>
      </c>
      <c r="D6930" s="8" t="s">
        <v>16</v>
      </c>
      <c r="E6930" s="8" t="s">
        <v>17</v>
      </c>
      <c r="F6930" s="9">
        <v>46134.0</v>
      </c>
      <c r="G6930" s="8" t="s">
        <v>20797</v>
      </c>
      <c r="H6930" s="8" t="s">
        <v>20798</v>
      </c>
      <c r="I6930" s="8" t="s">
        <v>20799</v>
      </c>
      <c r="J6930" s="8" t="s">
        <v>20800</v>
      </c>
    </row>
    <row r="6931">
      <c r="A6931" s="7">
        <v>2.0052045E7</v>
      </c>
      <c r="B6931" s="8" t="s">
        <v>1828</v>
      </c>
      <c r="C6931" s="8" t="s">
        <v>20801</v>
      </c>
      <c r="D6931" s="8" t="s">
        <v>16</v>
      </c>
      <c r="E6931" s="8" t="s">
        <v>17</v>
      </c>
      <c r="F6931" s="9">
        <v>46110.0</v>
      </c>
      <c r="G6931" s="8" t="s">
        <v>59</v>
      </c>
      <c r="H6931" s="8" t="s">
        <v>60</v>
      </c>
      <c r="I6931" s="8" t="s">
        <v>20802</v>
      </c>
      <c r="J6931" s="8" t="s">
        <v>20803</v>
      </c>
    </row>
    <row r="6932">
      <c r="A6932" s="7">
        <v>2.0051919E7</v>
      </c>
      <c r="B6932" s="8" t="s">
        <v>1828</v>
      </c>
      <c r="C6932" s="8" t="s">
        <v>20804</v>
      </c>
      <c r="D6932" s="8" t="s">
        <v>16</v>
      </c>
      <c r="E6932" s="8" t="s">
        <v>17</v>
      </c>
      <c r="F6932" s="9">
        <v>46108.0</v>
      </c>
      <c r="G6932" s="8" t="s">
        <v>630</v>
      </c>
      <c r="H6932" s="8" t="s">
        <v>631</v>
      </c>
      <c r="I6932" s="8" t="s">
        <v>20805</v>
      </c>
      <c r="J6932" s="8"/>
    </row>
    <row r="6933">
      <c r="A6933" s="7">
        <v>2.0045648E7</v>
      </c>
      <c r="B6933" s="8" t="s">
        <v>1828</v>
      </c>
      <c r="C6933" s="8" t="s">
        <v>20806</v>
      </c>
      <c r="D6933" s="8" t="s">
        <v>16</v>
      </c>
      <c r="E6933" s="8" t="s">
        <v>17</v>
      </c>
      <c r="F6933" s="9">
        <v>46087.0</v>
      </c>
      <c r="G6933" s="8" t="s">
        <v>2724</v>
      </c>
      <c r="H6933" s="8" t="s">
        <v>2725</v>
      </c>
      <c r="I6933" s="8" t="s">
        <v>20807</v>
      </c>
      <c r="J6933" s="8" t="s">
        <v>20808</v>
      </c>
    </row>
    <row r="6934">
      <c r="A6934" s="7">
        <v>2.00426E7</v>
      </c>
      <c r="B6934" s="8" t="s">
        <v>1828</v>
      </c>
      <c r="C6934" s="8" t="s">
        <v>20809</v>
      </c>
      <c r="D6934" s="8" t="s">
        <v>2136</v>
      </c>
      <c r="E6934" s="8" t="s">
        <v>17</v>
      </c>
      <c r="F6934" s="9">
        <v>46069.0</v>
      </c>
      <c r="G6934" s="8" t="s">
        <v>75</v>
      </c>
      <c r="H6934" s="8" t="s">
        <v>76</v>
      </c>
      <c r="I6934" s="8" t="s">
        <v>20810</v>
      </c>
      <c r="J6934" s="8" t="s">
        <v>20811</v>
      </c>
    </row>
    <row r="6935">
      <c r="A6935" s="7">
        <v>2.004164E7</v>
      </c>
      <c r="B6935" s="8" t="s">
        <v>1828</v>
      </c>
      <c r="C6935" s="8" t="s">
        <v>20812</v>
      </c>
      <c r="D6935" s="8" t="s">
        <v>16</v>
      </c>
      <c r="E6935" s="8" t="s">
        <v>17</v>
      </c>
      <c r="F6935" s="9">
        <v>46066.0</v>
      </c>
      <c r="G6935" s="8" t="s">
        <v>365</v>
      </c>
      <c r="H6935" s="8" t="s">
        <v>366</v>
      </c>
      <c r="I6935" s="8" t="s">
        <v>20813</v>
      </c>
      <c r="J6935" s="8" t="s">
        <v>20814</v>
      </c>
    </row>
    <row r="6936">
      <c r="A6936" s="7">
        <v>2.0039083E7</v>
      </c>
      <c r="B6936" s="8" t="s">
        <v>1828</v>
      </c>
      <c r="C6936" s="8" t="s">
        <v>20815</v>
      </c>
      <c r="D6936" s="8" t="s">
        <v>16</v>
      </c>
      <c r="E6936" s="8" t="s">
        <v>17</v>
      </c>
      <c r="F6936" s="9">
        <v>46054.0</v>
      </c>
      <c r="G6936" s="8" t="s">
        <v>59</v>
      </c>
      <c r="H6936" s="8" t="s">
        <v>60</v>
      </c>
      <c r="I6936" s="8" t="s">
        <v>20816</v>
      </c>
      <c r="J6936" s="8" t="s">
        <v>20817</v>
      </c>
    </row>
    <row r="6937">
      <c r="A6937" s="7">
        <v>2.0035821E7</v>
      </c>
      <c r="B6937" s="8" t="s">
        <v>1828</v>
      </c>
      <c r="C6937" s="8" t="s">
        <v>20818</v>
      </c>
      <c r="D6937" s="8" t="s">
        <v>16</v>
      </c>
      <c r="E6937" s="8" t="s">
        <v>17</v>
      </c>
      <c r="F6937" s="9">
        <v>46047.0</v>
      </c>
      <c r="G6937" s="8" t="s">
        <v>1007</v>
      </c>
      <c r="H6937" s="8" t="s">
        <v>1008</v>
      </c>
      <c r="I6937" s="8" t="s">
        <v>20819</v>
      </c>
      <c r="J6937" s="8" t="s">
        <v>20820</v>
      </c>
    </row>
    <row r="6938">
      <c r="A6938" s="7">
        <v>2.0033945E7</v>
      </c>
      <c r="B6938" s="8" t="s">
        <v>1828</v>
      </c>
      <c r="C6938" s="8" t="s">
        <v>20821</v>
      </c>
      <c r="D6938" s="8" t="s">
        <v>16</v>
      </c>
      <c r="E6938" s="8" t="s">
        <v>17</v>
      </c>
      <c r="F6938" s="9">
        <v>46043.0</v>
      </c>
      <c r="G6938" s="8" t="s">
        <v>423</v>
      </c>
      <c r="H6938" s="8" t="s">
        <v>424</v>
      </c>
      <c r="I6938" s="8" t="s">
        <v>20822</v>
      </c>
      <c r="J6938" s="8" t="s">
        <v>20823</v>
      </c>
    </row>
    <row r="6939">
      <c r="A6939" s="7">
        <v>2.0034114E7</v>
      </c>
      <c r="B6939" s="8" t="s">
        <v>1828</v>
      </c>
      <c r="C6939" s="8" t="s">
        <v>20824</v>
      </c>
      <c r="D6939" s="8" t="s">
        <v>16</v>
      </c>
      <c r="E6939" s="8" t="s">
        <v>17</v>
      </c>
      <c r="F6939" s="9">
        <v>46034.0</v>
      </c>
      <c r="G6939" s="8" t="s">
        <v>91</v>
      </c>
      <c r="H6939" s="8" t="s">
        <v>92</v>
      </c>
      <c r="I6939" s="8" t="s">
        <v>20825</v>
      </c>
      <c r="J6939" s="8" t="s">
        <v>20826</v>
      </c>
    </row>
    <row r="6940">
      <c r="A6940" s="7">
        <v>2.006969E7</v>
      </c>
      <c r="B6940" s="8" t="s">
        <v>1828</v>
      </c>
      <c r="C6940" s="8" t="s">
        <v>20827</v>
      </c>
      <c r="D6940" s="8" t="s">
        <v>16</v>
      </c>
      <c r="E6940" s="8" t="s">
        <v>17</v>
      </c>
      <c r="F6940" s="9">
        <v>46184.0</v>
      </c>
      <c r="G6940" s="8" t="s">
        <v>195</v>
      </c>
      <c r="H6940" s="8" t="s">
        <v>196</v>
      </c>
      <c r="I6940" s="8" t="s">
        <v>20828</v>
      </c>
      <c r="J6940" s="8" t="s">
        <v>20829</v>
      </c>
    </row>
    <row r="6941">
      <c r="A6941" s="7">
        <v>2.0066246E7</v>
      </c>
      <c r="B6941" s="8" t="s">
        <v>1828</v>
      </c>
      <c r="C6941" s="8" t="s">
        <v>20830</v>
      </c>
      <c r="D6941" s="8" t="s">
        <v>16</v>
      </c>
      <c r="E6941" s="8" t="s">
        <v>17</v>
      </c>
      <c r="F6941" s="9">
        <v>46179.0</v>
      </c>
      <c r="G6941" s="8" t="s">
        <v>225</v>
      </c>
      <c r="H6941" s="8" t="s">
        <v>226</v>
      </c>
      <c r="I6941" s="8" t="s">
        <v>20831</v>
      </c>
      <c r="J6941" s="8" t="s">
        <v>20832</v>
      </c>
    </row>
    <row r="6942">
      <c r="A6942" s="7">
        <v>2.0057469E7</v>
      </c>
      <c r="B6942" s="8" t="s">
        <v>1828</v>
      </c>
      <c r="C6942" s="8" t="s">
        <v>20833</v>
      </c>
      <c r="D6942" s="8" t="s">
        <v>16</v>
      </c>
      <c r="E6942" s="8" t="s">
        <v>17</v>
      </c>
      <c r="F6942" s="9">
        <v>46151.0</v>
      </c>
      <c r="G6942" s="8" t="s">
        <v>1813</v>
      </c>
      <c r="H6942" s="8" t="s">
        <v>1814</v>
      </c>
      <c r="I6942" s="8" t="s">
        <v>20834</v>
      </c>
      <c r="J6942" s="8" t="s">
        <v>20835</v>
      </c>
    </row>
    <row r="6943">
      <c r="A6943" s="7">
        <v>2.0055682E7</v>
      </c>
      <c r="B6943" s="8" t="s">
        <v>1828</v>
      </c>
      <c r="C6943" s="8" t="s">
        <v>20836</v>
      </c>
      <c r="D6943" s="8" t="s">
        <v>16</v>
      </c>
      <c r="E6943" s="8" t="s">
        <v>17</v>
      </c>
      <c r="F6943" s="9">
        <v>46134.0</v>
      </c>
      <c r="G6943" s="8" t="s">
        <v>109</v>
      </c>
      <c r="H6943" s="8" t="s">
        <v>110</v>
      </c>
      <c r="I6943" s="8" t="s">
        <v>20837</v>
      </c>
      <c r="J6943" s="8" t="s">
        <v>20838</v>
      </c>
    </row>
    <row r="6944">
      <c r="A6944" s="7">
        <v>2.0054004E7</v>
      </c>
      <c r="B6944" s="8" t="s">
        <v>1828</v>
      </c>
      <c r="C6944" s="8" t="s">
        <v>20839</v>
      </c>
      <c r="D6944" s="8" t="s">
        <v>16</v>
      </c>
      <c r="E6944" s="8" t="s">
        <v>17</v>
      </c>
      <c r="F6944" s="9">
        <v>46120.0</v>
      </c>
      <c r="G6944" s="8" t="s">
        <v>3572</v>
      </c>
      <c r="H6944" s="8" t="s">
        <v>3573</v>
      </c>
      <c r="I6944" s="8" t="s">
        <v>20840</v>
      </c>
      <c r="J6944" s="8" t="s">
        <v>20841</v>
      </c>
    </row>
    <row r="6945">
      <c r="A6945" s="7">
        <v>2.0044866E7</v>
      </c>
      <c r="B6945" s="8" t="s">
        <v>1828</v>
      </c>
      <c r="C6945" s="8" t="s">
        <v>20842</v>
      </c>
      <c r="D6945" s="8" t="s">
        <v>16</v>
      </c>
      <c r="E6945" s="8" t="s">
        <v>17</v>
      </c>
      <c r="F6945" s="9">
        <v>46083.0</v>
      </c>
      <c r="G6945" s="8" t="s">
        <v>423</v>
      </c>
      <c r="H6945" s="8" t="s">
        <v>424</v>
      </c>
      <c r="I6945" s="8" t="s">
        <v>20843</v>
      </c>
      <c r="J6945" s="8" t="s">
        <v>20844</v>
      </c>
    </row>
    <row r="6946">
      <c r="A6946" s="7">
        <v>2.0041615E7</v>
      </c>
      <c r="B6946" s="8" t="s">
        <v>1828</v>
      </c>
      <c r="C6946" s="8" t="s">
        <v>20845</v>
      </c>
      <c r="D6946" s="8" t="s">
        <v>16</v>
      </c>
      <c r="E6946" s="8" t="s">
        <v>17</v>
      </c>
      <c r="F6946" s="9">
        <v>46066.0</v>
      </c>
      <c r="G6946" s="8" t="s">
        <v>59</v>
      </c>
      <c r="H6946" s="8" t="s">
        <v>60</v>
      </c>
      <c r="I6946" s="8" t="s">
        <v>20846</v>
      </c>
      <c r="J6946" s="8" t="s">
        <v>20847</v>
      </c>
    </row>
    <row r="6947">
      <c r="A6947" s="7">
        <v>2.0037459E7</v>
      </c>
      <c r="B6947" s="8" t="s">
        <v>1828</v>
      </c>
      <c r="C6947" s="8" t="s">
        <v>20848</v>
      </c>
      <c r="D6947" s="8" t="s">
        <v>16</v>
      </c>
      <c r="E6947" s="8" t="s">
        <v>17</v>
      </c>
      <c r="F6947" s="9">
        <v>46055.0</v>
      </c>
      <c r="G6947" s="8" t="s">
        <v>385</v>
      </c>
      <c r="H6947" s="8" t="s">
        <v>386</v>
      </c>
      <c r="I6947" s="8" t="s">
        <v>20849</v>
      </c>
      <c r="J6947" s="8" t="s">
        <v>20850</v>
      </c>
    </row>
    <row r="6948">
      <c r="A6948" s="7">
        <v>2.0035531E7</v>
      </c>
      <c r="B6948" s="8" t="s">
        <v>1828</v>
      </c>
      <c r="C6948" s="8" t="s">
        <v>20851</v>
      </c>
      <c r="D6948" s="8" t="s">
        <v>16</v>
      </c>
      <c r="E6948" s="8" t="s">
        <v>17</v>
      </c>
      <c r="F6948" s="9">
        <v>46053.0</v>
      </c>
      <c r="G6948" s="8" t="s">
        <v>247</v>
      </c>
      <c r="H6948" s="8" t="s">
        <v>248</v>
      </c>
      <c r="I6948" s="8" t="s">
        <v>20852</v>
      </c>
      <c r="J6948" s="8" t="s">
        <v>20853</v>
      </c>
    </row>
    <row r="6949">
      <c r="A6949" s="7">
        <v>2.0034434E7</v>
      </c>
      <c r="B6949" s="8" t="s">
        <v>1828</v>
      </c>
      <c r="C6949" s="8" t="s">
        <v>20854</v>
      </c>
      <c r="D6949" s="8" t="s">
        <v>16</v>
      </c>
      <c r="E6949" s="8" t="s">
        <v>17</v>
      </c>
      <c r="F6949" s="9">
        <v>46062.0</v>
      </c>
      <c r="G6949" s="8" t="s">
        <v>440</v>
      </c>
      <c r="H6949" s="8" t="s">
        <v>44</v>
      </c>
      <c r="I6949" s="8" t="s">
        <v>20855</v>
      </c>
      <c r="J6949" s="8" t="s">
        <v>20856</v>
      </c>
    </row>
    <row r="6950">
      <c r="A6950" s="7">
        <v>2.006907E7</v>
      </c>
      <c r="B6950" s="8" t="s">
        <v>1828</v>
      </c>
      <c r="C6950" s="8" t="s">
        <v>20857</v>
      </c>
      <c r="D6950" s="8" t="s">
        <v>16</v>
      </c>
      <c r="E6950" s="8" t="s">
        <v>17</v>
      </c>
      <c r="F6950" s="9">
        <v>46177.0</v>
      </c>
      <c r="G6950" s="8" t="s">
        <v>59</v>
      </c>
      <c r="H6950" s="8" t="s">
        <v>60</v>
      </c>
      <c r="I6950" s="8" t="s">
        <v>20858</v>
      </c>
      <c r="J6950" s="8" t="s">
        <v>20859</v>
      </c>
    </row>
    <row r="6951">
      <c r="A6951" s="7">
        <v>2.0062414E7</v>
      </c>
      <c r="B6951" s="8" t="s">
        <v>1828</v>
      </c>
      <c r="C6951" s="8" t="s">
        <v>20860</v>
      </c>
      <c r="D6951" s="8" t="s">
        <v>2136</v>
      </c>
      <c r="E6951" s="8" t="s">
        <v>17</v>
      </c>
      <c r="F6951" s="9">
        <v>46166.0</v>
      </c>
      <c r="G6951" s="8" t="s">
        <v>339</v>
      </c>
      <c r="H6951" s="8" t="s">
        <v>340</v>
      </c>
      <c r="I6951" s="8" t="s">
        <v>20861</v>
      </c>
      <c r="J6951" s="8" t="s">
        <v>20862</v>
      </c>
    </row>
    <row r="6952">
      <c r="A6952" s="7">
        <v>2.0051331E7</v>
      </c>
      <c r="B6952" s="8" t="s">
        <v>1828</v>
      </c>
      <c r="C6952" s="8" t="s">
        <v>20863</v>
      </c>
      <c r="D6952" s="8" t="s">
        <v>16</v>
      </c>
      <c r="E6952" s="8" t="s">
        <v>17</v>
      </c>
      <c r="F6952" s="9">
        <v>46135.0</v>
      </c>
      <c r="G6952" s="8" t="s">
        <v>1813</v>
      </c>
      <c r="H6952" s="8" t="s">
        <v>1814</v>
      </c>
      <c r="I6952" s="8" t="s">
        <v>20864</v>
      </c>
      <c r="J6952" s="8" t="s">
        <v>20865</v>
      </c>
    </row>
    <row r="6953">
      <c r="A6953" s="7">
        <v>2.0049834E7</v>
      </c>
      <c r="B6953" s="8" t="s">
        <v>1828</v>
      </c>
      <c r="C6953" s="8" t="s">
        <v>20866</v>
      </c>
      <c r="D6953" s="8" t="s">
        <v>16</v>
      </c>
      <c r="E6953" s="8" t="s">
        <v>17</v>
      </c>
      <c r="F6953" s="9">
        <v>46097.0</v>
      </c>
      <c r="G6953" s="8" t="s">
        <v>91</v>
      </c>
      <c r="H6953" s="8" t="s">
        <v>92</v>
      </c>
      <c r="I6953" s="8" t="s">
        <v>20867</v>
      </c>
      <c r="J6953" s="8" t="s">
        <v>20868</v>
      </c>
    </row>
    <row r="6954">
      <c r="A6954" s="7">
        <v>2.004649E7</v>
      </c>
      <c r="B6954" s="8" t="s">
        <v>1828</v>
      </c>
      <c r="C6954" s="8" t="s">
        <v>20869</v>
      </c>
      <c r="D6954" s="8" t="s">
        <v>16</v>
      </c>
      <c r="E6954" s="8" t="s">
        <v>17</v>
      </c>
      <c r="F6954" s="9">
        <v>46088.0</v>
      </c>
      <c r="G6954" s="8" t="s">
        <v>234</v>
      </c>
      <c r="H6954" s="8" t="s">
        <v>235</v>
      </c>
      <c r="I6954" s="8" t="s">
        <v>20870</v>
      </c>
      <c r="J6954" s="8" t="s">
        <v>20871</v>
      </c>
    </row>
    <row r="6955">
      <c r="A6955" s="7">
        <v>2.0044213E7</v>
      </c>
      <c r="B6955" s="8" t="s">
        <v>1828</v>
      </c>
      <c r="C6955" s="8" t="s">
        <v>20872</v>
      </c>
      <c r="D6955" s="8" t="s">
        <v>16</v>
      </c>
      <c r="E6955" s="8" t="s">
        <v>17</v>
      </c>
      <c r="F6955" s="9">
        <v>46085.0</v>
      </c>
      <c r="G6955" s="8" t="s">
        <v>2625</v>
      </c>
      <c r="H6955" s="8" t="s">
        <v>827</v>
      </c>
      <c r="I6955" s="8" t="s">
        <v>20873</v>
      </c>
      <c r="J6955" s="8" t="s">
        <v>20874</v>
      </c>
    </row>
    <row r="6956">
      <c r="A6956" s="7">
        <v>2.004301E7</v>
      </c>
      <c r="B6956" s="8" t="s">
        <v>1828</v>
      </c>
      <c r="C6956" s="8" t="s">
        <v>20875</v>
      </c>
      <c r="D6956" s="8" t="s">
        <v>16</v>
      </c>
      <c r="E6956" s="8" t="s">
        <v>17</v>
      </c>
      <c r="F6956" s="9">
        <v>46075.0</v>
      </c>
      <c r="G6956" s="8" t="s">
        <v>1319</v>
      </c>
      <c r="H6956" s="8" t="s">
        <v>1320</v>
      </c>
      <c r="I6956" s="8" t="s">
        <v>20876</v>
      </c>
      <c r="J6956" s="8" t="s">
        <v>20877</v>
      </c>
    </row>
    <row r="6957">
      <c r="A6957" s="7">
        <v>2.004047E7</v>
      </c>
      <c r="B6957" s="8" t="s">
        <v>1828</v>
      </c>
      <c r="C6957" s="8" t="s">
        <v>20878</v>
      </c>
      <c r="D6957" s="8" t="s">
        <v>16</v>
      </c>
      <c r="E6957" s="8" t="s">
        <v>17</v>
      </c>
      <c r="F6957" s="9">
        <v>46062.0</v>
      </c>
      <c r="G6957" s="8" t="s">
        <v>868</v>
      </c>
      <c r="H6957" s="8" t="s">
        <v>869</v>
      </c>
      <c r="I6957" s="8" t="s">
        <v>20879</v>
      </c>
      <c r="J6957" s="8" t="s">
        <v>20880</v>
      </c>
    </row>
    <row r="6958">
      <c r="A6958" s="7">
        <v>2.0035139E7</v>
      </c>
      <c r="B6958" s="8" t="s">
        <v>1828</v>
      </c>
      <c r="C6958" s="8" t="s">
        <v>20881</v>
      </c>
      <c r="D6958" s="8" t="s">
        <v>16</v>
      </c>
      <c r="E6958" s="8" t="s">
        <v>17</v>
      </c>
      <c r="F6958" s="9">
        <v>46049.0</v>
      </c>
      <c r="G6958" s="8" t="s">
        <v>339</v>
      </c>
      <c r="H6958" s="8" t="s">
        <v>340</v>
      </c>
      <c r="I6958" s="8" t="s">
        <v>20882</v>
      </c>
      <c r="J6958" s="8" t="s">
        <v>20883</v>
      </c>
    </row>
    <row r="6959">
      <c r="A6959" s="7">
        <v>2.0033903E7</v>
      </c>
      <c r="B6959" s="8" t="s">
        <v>1828</v>
      </c>
      <c r="C6959" s="8" t="s">
        <v>20884</v>
      </c>
      <c r="D6959" s="8" t="s">
        <v>16</v>
      </c>
      <c r="E6959" s="8" t="s">
        <v>17</v>
      </c>
      <c r="F6959" s="9">
        <v>46049.0</v>
      </c>
      <c r="G6959" s="8" t="s">
        <v>1863</v>
      </c>
      <c r="H6959" s="8" t="s">
        <v>1864</v>
      </c>
      <c r="I6959" s="8" t="s">
        <v>20885</v>
      </c>
      <c r="J6959" s="8" t="s">
        <v>20886</v>
      </c>
    </row>
    <row r="6960">
      <c r="A6960" s="7">
        <v>2.0071742E7</v>
      </c>
      <c r="B6960" s="8" t="s">
        <v>1828</v>
      </c>
      <c r="C6960" s="8" t="s">
        <v>20887</v>
      </c>
      <c r="D6960" s="8" t="s">
        <v>2136</v>
      </c>
      <c r="E6960" s="8" t="s">
        <v>17</v>
      </c>
      <c r="F6960" s="9">
        <v>46189.0</v>
      </c>
      <c r="G6960" s="8" t="s">
        <v>234</v>
      </c>
      <c r="H6960" s="8" t="s">
        <v>235</v>
      </c>
      <c r="I6960" s="8" t="s">
        <v>20888</v>
      </c>
      <c r="J6960" s="8" t="s">
        <v>20889</v>
      </c>
    </row>
    <row r="6961">
      <c r="A6961" s="7">
        <v>2.0071563E7</v>
      </c>
      <c r="B6961" s="8" t="s">
        <v>1828</v>
      </c>
      <c r="C6961" s="8" t="s">
        <v>20890</v>
      </c>
      <c r="D6961" s="8" t="s">
        <v>16</v>
      </c>
      <c r="E6961" s="8" t="s">
        <v>17</v>
      </c>
      <c r="F6961" s="9">
        <v>46188.0</v>
      </c>
      <c r="G6961" s="8" t="s">
        <v>3012</v>
      </c>
      <c r="H6961" s="8" t="s">
        <v>3013</v>
      </c>
      <c r="I6961" s="8" t="s">
        <v>20891</v>
      </c>
      <c r="J6961" s="8" t="s">
        <v>20892</v>
      </c>
    </row>
    <row r="6962">
      <c r="A6962" s="7">
        <v>2.007057E7</v>
      </c>
      <c r="B6962" s="8" t="s">
        <v>1828</v>
      </c>
      <c r="C6962" s="8" t="s">
        <v>20893</v>
      </c>
      <c r="D6962" s="8" t="s">
        <v>16</v>
      </c>
      <c r="E6962" s="8" t="s">
        <v>17</v>
      </c>
      <c r="F6962" s="9">
        <v>46193.0</v>
      </c>
      <c r="G6962" s="8" t="s">
        <v>59</v>
      </c>
      <c r="H6962" s="8" t="s">
        <v>60</v>
      </c>
      <c r="I6962" s="8" t="s">
        <v>20894</v>
      </c>
      <c r="J6962" s="8" t="s">
        <v>20895</v>
      </c>
    </row>
    <row r="6963">
      <c r="A6963" s="7">
        <v>2.0061429E7</v>
      </c>
      <c r="B6963" s="8" t="s">
        <v>1828</v>
      </c>
      <c r="C6963" s="8" t="s">
        <v>20896</v>
      </c>
      <c r="D6963" s="8" t="s">
        <v>16</v>
      </c>
      <c r="E6963" s="8" t="s">
        <v>17</v>
      </c>
      <c r="F6963" s="9">
        <v>46151.0</v>
      </c>
      <c r="G6963" s="8" t="s">
        <v>385</v>
      </c>
      <c r="H6963" s="8" t="s">
        <v>386</v>
      </c>
      <c r="I6963" s="8" t="s">
        <v>20897</v>
      </c>
      <c r="J6963" s="8" t="s">
        <v>20898</v>
      </c>
    </row>
    <row r="6964">
      <c r="A6964" s="7">
        <v>2.0060919E7</v>
      </c>
      <c r="B6964" s="8" t="s">
        <v>1828</v>
      </c>
      <c r="C6964" s="8" t="s">
        <v>20899</v>
      </c>
      <c r="D6964" s="8" t="s">
        <v>16</v>
      </c>
      <c r="E6964" s="8" t="s">
        <v>17</v>
      </c>
      <c r="F6964" s="9">
        <v>46151.0</v>
      </c>
      <c r="G6964" s="8" t="s">
        <v>109</v>
      </c>
      <c r="H6964" s="8" t="s">
        <v>110</v>
      </c>
      <c r="I6964" s="8" t="s">
        <v>20900</v>
      </c>
      <c r="J6964" s="8" t="s">
        <v>20901</v>
      </c>
    </row>
    <row r="6965">
      <c r="A6965" s="7">
        <v>2.0060749E7</v>
      </c>
      <c r="B6965" s="8" t="s">
        <v>1828</v>
      </c>
      <c r="C6965" s="8" t="s">
        <v>20902</v>
      </c>
      <c r="D6965" s="8" t="s">
        <v>16</v>
      </c>
      <c r="E6965" s="8" t="s">
        <v>17</v>
      </c>
      <c r="F6965" s="9">
        <v>46145.0</v>
      </c>
      <c r="G6965" s="8" t="s">
        <v>978</v>
      </c>
      <c r="H6965" s="8" t="s">
        <v>979</v>
      </c>
      <c r="I6965" s="8" t="s">
        <v>20903</v>
      </c>
      <c r="J6965" s="8" t="s">
        <v>20904</v>
      </c>
    </row>
    <row r="6966">
      <c r="A6966" s="7">
        <v>2.0057571E7</v>
      </c>
      <c r="B6966" s="8" t="s">
        <v>1828</v>
      </c>
      <c r="C6966" s="8" t="s">
        <v>20905</v>
      </c>
      <c r="D6966" s="8" t="s">
        <v>16</v>
      </c>
      <c r="E6966" s="8" t="s">
        <v>17</v>
      </c>
      <c r="F6966" s="9">
        <v>46131.0</v>
      </c>
      <c r="G6966" s="8" t="s">
        <v>247</v>
      </c>
      <c r="H6966" s="8" t="s">
        <v>248</v>
      </c>
      <c r="I6966" s="8" t="s">
        <v>20906</v>
      </c>
      <c r="J6966" s="8" t="s">
        <v>20907</v>
      </c>
    </row>
    <row r="6967">
      <c r="A6967" s="7">
        <v>2.0054556E7</v>
      </c>
      <c r="B6967" s="8" t="s">
        <v>1828</v>
      </c>
      <c r="C6967" s="8" t="s">
        <v>20908</v>
      </c>
      <c r="D6967" s="8" t="s">
        <v>16</v>
      </c>
      <c r="E6967" s="8" t="s">
        <v>17</v>
      </c>
      <c r="F6967" s="9">
        <v>46126.0</v>
      </c>
      <c r="G6967" s="8" t="s">
        <v>59</v>
      </c>
      <c r="H6967" s="8" t="s">
        <v>60</v>
      </c>
      <c r="I6967" s="8" t="s">
        <v>20909</v>
      </c>
      <c r="J6967" s="8" t="s">
        <v>20910</v>
      </c>
    </row>
    <row r="6968">
      <c r="A6968" s="7">
        <v>2.0052771E7</v>
      </c>
      <c r="B6968" s="8" t="s">
        <v>1828</v>
      </c>
      <c r="C6968" s="8" t="s">
        <v>20911</v>
      </c>
      <c r="D6968" s="8" t="s">
        <v>16</v>
      </c>
      <c r="E6968" s="8" t="s">
        <v>17</v>
      </c>
      <c r="F6968" s="9">
        <v>46109.0</v>
      </c>
      <c r="G6968" s="8" t="s">
        <v>91</v>
      </c>
      <c r="H6968" s="8" t="s">
        <v>92</v>
      </c>
      <c r="I6968" s="8" t="s">
        <v>20912</v>
      </c>
      <c r="J6968" s="8" t="s">
        <v>20913</v>
      </c>
    </row>
    <row r="6969">
      <c r="A6969" s="7">
        <v>2.005142E7</v>
      </c>
      <c r="B6969" s="8" t="s">
        <v>1828</v>
      </c>
      <c r="C6969" s="8" t="s">
        <v>20914</v>
      </c>
      <c r="D6969" s="8" t="s">
        <v>16</v>
      </c>
      <c r="E6969" s="8" t="s">
        <v>17</v>
      </c>
      <c r="F6969" s="9">
        <v>46135.0</v>
      </c>
      <c r="G6969" s="8" t="s">
        <v>3965</v>
      </c>
      <c r="H6969" s="8" t="s">
        <v>3966</v>
      </c>
      <c r="I6969" s="8" t="s">
        <v>20915</v>
      </c>
      <c r="J6969" s="8" t="s">
        <v>20916</v>
      </c>
    </row>
    <row r="6970">
      <c r="A6970" s="7">
        <v>2.0046721E7</v>
      </c>
      <c r="B6970" s="8" t="s">
        <v>1828</v>
      </c>
      <c r="C6970" s="8" t="s">
        <v>20917</v>
      </c>
      <c r="D6970" s="8" t="s">
        <v>16</v>
      </c>
      <c r="E6970" s="8" t="s">
        <v>17</v>
      </c>
      <c r="F6970" s="9">
        <v>46085.0</v>
      </c>
      <c r="G6970" s="8" t="s">
        <v>873</v>
      </c>
      <c r="H6970" s="8" t="s">
        <v>874</v>
      </c>
      <c r="I6970" s="8" t="s">
        <v>20918</v>
      </c>
      <c r="J6970" s="8" t="s">
        <v>20919</v>
      </c>
    </row>
    <row r="6971">
      <c r="A6971" s="7">
        <v>2.0043681E7</v>
      </c>
      <c r="B6971" s="8" t="s">
        <v>1828</v>
      </c>
      <c r="C6971" s="8" t="s">
        <v>20920</v>
      </c>
      <c r="D6971" s="8" t="s">
        <v>16</v>
      </c>
      <c r="E6971" s="8" t="s">
        <v>17</v>
      </c>
      <c r="F6971" s="9">
        <v>46078.0</v>
      </c>
      <c r="G6971" s="8" t="s">
        <v>54</v>
      </c>
      <c r="H6971" s="8" t="s">
        <v>55</v>
      </c>
      <c r="I6971" s="8" t="s">
        <v>20921</v>
      </c>
      <c r="J6971" s="8" t="s">
        <v>20922</v>
      </c>
    </row>
    <row r="6972">
      <c r="A6972" s="7">
        <v>2.0037615E7</v>
      </c>
      <c r="B6972" s="8" t="s">
        <v>1828</v>
      </c>
      <c r="C6972" s="8" t="s">
        <v>20923</v>
      </c>
      <c r="D6972" s="8" t="s">
        <v>16</v>
      </c>
      <c r="E6972" s="8" t="s">
        <v>17</v>
      </c>
      <c r="F6972" s="9">
        <v>46053.0</v>
      </c>
      <c r="G6972" s="8" t="s">
        <v>195</v>
      </c>
      <c r="H6972" s="8" t="s">
        <v>196</v>
      </c>
      <c r="I6972" s="8" t="s">
        <v>20924</v>
      </c>
      <c r="J6972" s="8" t="s">
        <v>20925</v>
      </c>
    </row>
    <row r="6973">
      <c r="A6973" s="7">
        <v>2.0036587E7</v>
      </c>
      <c r="B6973" s="8" t="s">
        <v>1828</v>
      </c>
      <c r="C6973" s="8" t="s">
        <v>20926</v>
      </c>
      <c r="D6973" s="8" t="s">
        <v>16</v>
      </c>
      <c r="E6973" s="8" t="s">
        <v>17</v>
      </c>
      <c r="F6973" s="9">
        <v>46062.0</v>
      </c>
      <c r="G6973" s="8" t="s">
        <v>2202</v>
      </c>
      <c r="H6973" s="8" t="s">
        <v>2203</v>
      </c>
      <c r="I6973" s="8" t="s">
        <v>20927</v>
      </c>
      <c r="J6973" s="8" t="s">
        <v>20928</v>
      </c>
    </row>
    <row r="6974">
      <c r="A6974" s="7">
        <v>2.003535E7</v>
      </c>
      <c r="B6974" s="8" t="s">
        <v>1828</v>
      </c>
      <c r="C6974" s="8" t="s">
        <v>20929</v>
      </c>
      <c r="D6974" s="8" t="s">
        <v>16</v>
      </c>
      <c r="E6974" s="8" t="s">
        <v>17</v>
      </c>
      <c r="F6974" s="9">
        <v>46052.0</v>
      </c>
      <c r="G6974" s="8" t="s">
        <v>3012</v>
      </c>
      <c r="H6974" s="8" t="s">
        <v>3013</v>
      </c>
      <c r="I6974" s="8" t="s">
        <v>20930</v>
      </c>
      <c r="J6974" s="8" t="s">
        <v>20931</v>
      </c>
    </row>
    <row r="6975">
      <c r="A6975" s="7">
        <v>2.0035895E7</v>
      </c>
      <c r="B6975" s="8" t="s">
        <v>1828</v>
      </c>
      <c r="C6975" s="8" t="s">
        <v>20932</v>
      </c>
      <c r="D6975" s="8" t="s">
        <v>16</v>
      </c>
      <c r="E6975" s="8" t="s">
        <v>17</v>
      </c>
      <c r="F6975" s="9">
        <v>46041.0</v>
      </c>
      <c r="G6975" s="8" t="s">
        <v>91</v>
      </c>
      <c r="H6975" s="8" t="s">
        <v>92</v>
      </c>
      <c r="I6975" s="8" t="s">
        <v>20933</v>
      </c>
      <c r="J6975" s="8" t="s">
        <v>20934</v>
      </c>
    </row>
    <row r="6976">
      <c r="A6976" s="7">
        <v>2.0064879E7</v>
      </c>
      <c r="B6976" s="8" t="s">
        <v>1828</v>
      </c>
      <c r="C6976" s="8" t="s">
        <v>20935</v>
      </c>
      <c r="D6976" s="8" t="s">
        <v>16</v>
      </c>
      <c r="E6976" s="8" t="s">
        <v>17</v>
      </c>
      <c r="F6976" s="9">
        <v>46164.0</v>
      </c>
      <c r="G6976" s="8" t="s">
        <v>5030</v>
      </c>
      <c r="H6976" s="8" t="s">
        <v>10431</v>
      </c>
      <c r="I6976" s="8" t="s">
        <v>20936</v>
      </c>
      <c r="J6976" s="8" t="s">
        <v>20937</v>
      </c>
    </row>
    <row r="6977">
      <c r="A6977" s="7">
        <v>2.0061415E7</v>
      </c>
      <c r="B6977" s="8" t="s">
        <v>1828</v>
      </c>
      <c r="C6977" s="8" t="s">
        <v>20938</v>
      </c>
      <c r="D6977" s="8" t="s">
        <v>16</v>
      </c>
      <c r="E6977" s="8" t="s">
        <v>17</v>
      </c>
      <c r="F6977" s="9">
        <v>46155.0</v>
      </c>
      <c r="G6977" s="8" t="s">
        <v>1045</v>
      </c>
      <c r="H6977" s="8" t="s">
        <v>909</v>
      </c>
      <c r="I6977" s="8" t="s">
        <v>20939</v>
      </c>
      <c r="J6977" s="8" t="s">
        <v>20940</v>
      </c>
    </row>
    <row r="6978">
      <c r="A6978" s="7">
        <v>2.0058034E7</v>
      </c>
      <c r="B6978" s="8" t="s">
        <v>1828</v>
      </c>
      <c r="C6978" s="8" t="s">
        <v>20941</v>
      </c>
      <c r="D6978" s="8" t="s">
        <v>16</v>
      </c>
      <c r="E6978" s="8" t="s">
        <v>17</v>
      </c>
      <c r="F6978" s="9">
        <v>46141.0</v>
      </c>
      <c r="G6978" s="8" t="s">
        <v>908</v>
      </c>
      <c r="H6978" s="8" t="s">
        <v>909</v>
      </c>
      <c r="I6978" s="8" t="s">
        <v>20942</v>
      </c>
      <c r="J6978" s="8" t="s">
        <v>20943</v>
      </c>
    </row>
    <row r="6979">
      <c r="A6979" s="7">
        <v>2.0055869E7</v>
      </c>
      <c r="B6979" s="8" t="s">
        <v>1828</v>
      </c>
      <c r="C6979" s="8" t="s">
        <v>20944</v>
      </c>
      <c r="D6979" s="8" t="s">
        <v>16</v>
      </c>
      <c r="E6979" s="8" t="s">
        <v>17</v>
      </c>
      <c r="F6979" s="9">
        <v>46123.0</v>
      </c>
      <c r="G6979" s="8" t="s">
        <v>247</v>
      </c>
      <c r="H6979" s="8" t="s">
        <v>248</v>
      </c>
      <c r="I6979" s="8" t="s">
        <v>20945</v>
      </c>
      <c r="J6979" s="8" t="s">
        <v>20946</v>
      </c>
    </row>
    <row r="6980">
      <c r="A6980" s="7">
        <v>2.0055057E7</v>
      </c>
      <c r="B6980" s="8" t="s">
        <v>1828</v>
      </c>
      <c r="C6980" s="8" t="s">
        <v>20947</v>
      </c>
      <c r="D6980" s="8" t="s">
        <v>16</v>
      </c>
      <c r="E6980" s="8" t="s">
        <v>17</v>
      </c>
      <c r="F6980" s="9">
        <v>46122.0</v>
      </c>
      <c r="G6980" s="8" t="s">
        <v>34</v>
      </c>
      <c r="H6980" s="8" t="s">
        <v>35</v>
      </c>
      <c r="I6980" s="8" t="s">
        <v>20948</v>
      </c>
      <c r="J6980" s="8" t="s">
        <v>20949</v>
      </c>
    </row>
    <row r="6981">
      <c r="A6981" s="7">
        <v>2.0053076E7</v>
      </c>
      <c r="B6981" s="8" t="s">
        <v>1828</v>
      </c>
      <c r="C6981" s="8" t="s">
        <v>20950</v>
      </c>
      <c r="D6981" s="8" t="s">
        <v>16</v>
      </c>
      <c r="E6981" s="8" t="s">
        <v>17</v>
      </c>
      <c r="F6981" s="9">
        <v>46121.0</v>
      </c>
      <c r="G6981" s="8" t="s">
        <v>19036</v>
      </c>
      <c r="H6981" s="8" t="s">
        <v>2014</v>
      </c>
      <c r="I6981" s="8" t="s">
        <v>20951</v>
      </c>
      <c r="J6981" s="8" t="s">
        <v>20952</v>
      </c>
    </row>
    <row r="6982">
      <c r="A6982" s="7">
        <v>2.0049901E7</v>
      </c>
      <c r="B6982" s="8" t="s">
        <v>1828</v>
      </c>
      <c r="C6982" s="8" t="s">
        <v>20953</v>
      </c>
      <c r="D6982" s="8" t="s">
        <v>16</v>
      </c>
      <c r="E6982" s="8" t="s">
        <v>17</v>
      </c>
      <c r="F6982" s="9">
        <v>46101.0</v>
      </c>
      <c r="G6982" s="8" t="s">
        <v>846</v>
      </c>
      <c r="H6982" s="8" t="s">
        <v>847</v>
      </c>
      <c r="I6982" s="8" t="s">
        <v>20954</v>
      </c>
      <c r="J6982" s="8" t="s">
        <v>20955</v>
      </c>
    </row>
    <row r="6983">
      <c r="A6983" s="7">
        <v>2.0044169E7</v>
      </c>
      <c r="B6983" s="8" t="s">
        <v>1828</v>
      </c>
      <c r="C6983" s="8" t="s">
        <v>20956</v>
      </c>
      <c r="D6983" s="8" t="s">
        <v>2136</v>
      </c>
      <c r="E6983" s="8" t="s">
        <v>17</v>
      </c>
      <c r="F6983" s="9">
        <v>46076.0</v>
      </c>
      <c r="G6983" s="8" t="s">
        <v>195</v>
      </c>
      <c r="H6983" s="8" t="s">
        <v>196</v>
      </c>
      <c r="I6983" s="8" t="s">
        <v>20957</v>
      </c>
      <c r="J6983" s="8" t="s">
        <v>20958</v>
      </c>
    </row>
    <row r="6984">
      <c r="A6984" s="7">
        <v>2.0042925E7</v>
      </c>
      <c r="B6984" s="8" t="s">
        <v>1828</v>
      </c>
      <c r="C6984" s="8" t="s">
        <v>20959</v>
      </c>
      <c r="D6984" s="8" t="s">
        <v>16</v>
      </c>
      <c r="E6984" s="8" t="s">
        <v>17</v>
      </c>
      <c r="F6984" s="9">
        <v>46081.0</v>
      </c>
      <c r="G6984" s="8" t="s">
        <v>234</v>
      </c>
      <c r="H6984" s="8" t="s">
        <v>235</v>
      </c>
      <c r="I6984" s="8" t="s">
        <v>20960</v>
      </c>
      <c r="J6984" s="8" t="s">
        <v>20961</v>
      </c>
    </row>
    <row r="6985">
      <c r="A6985" s="7">
        <v>2.0028148E7</v>
      </c>
      <c r="B6985" s="8" t="s">
        <v>1828</v>
      </c>
      <c r="C6985" s="8" t="s">
        <v>20962</v>
      </c>
      <c r="D6985" s="8" t="s">
        <v>16</v>
      </c>
      <c r="E6985" s="8" t="s">
        <v>17</v>
      </c>
      <c r="F6985" s="9">
        <v>46067.0</v>
      </c>
      <c r="G6985" s="8" t="s">
        <v>1746</v>
      </c>
      <c r="H6985" s="8" t="s">
        <v>4130</v>
      </c>
      <c r="I6985" s="8" t="s">
        <v>20963</v>
      </c>
      <c r="J6985" s="8" t="s">
        <v>20964</v>
      </c>
    </row>
    <row r="6986">
      <c r="A6986" s="7">
        <v>2.0038741E7</v>
      </c>
      <c r="B6986" s="8" t="s">
        <v>1828</v>
      </c>
      <c r="C6986" s="8" t="s">
        <v>20965</v>
      </c>
      <c r="D6986" s="8" t="s">
        <v>16</v>
      </c>
      <c r="E6986" s="8" t="s">
        <v>17</v>
      </c>
      <c r="F6986" s="9">
        <v>46070.0</v>
      </c>
      <c r="G6986" s="8" t="s">
        <v>86</v>
      </c>
      <c r="H6986" s="8" t="s">
        <v>87</v>
      </c>
      <c r="I6986" s="8" t="s">
        <v>20966</v>
      </c>
      <c r="J6986" s="8" t="s">
        <v>20967</v>
      </c>
    </row>
    <row r="6987">
      <c r="A6987" s="7">
        <v>2.0039079E7</v>
      </c>
      <c r="B6987" s="8" t="s">
        <v>1828</v>
      </c>
      <c r="C6987" s="8" t="s">
        <v>20968</v>
      </c>
      <c r="D6987" s="8" t="s">
        <v>16</v>
      </c>
      <c r="E6987" s="8" t="s">
        <v>17</v>
      </c>
      <c r="F6987" s="9">
        <v>46060.0</v>
      </c>
      <c r="G6987" s="8" t="s">
        <v>1045</v>
      </c>
      <c r="H6987" s="8" t="s">
        <v>909</v>
      </c>
      <c r="I6987" s="8" t="s">
        <v>20969</v>
      </c>
      <c r="J6987" s="8" t="s">
        <v>20970</v>
      </c>
    </row>
    <row r="6988">
      <c r="A6988" s="7">
        <v>2.0065152E7</v>
      </c>
      <c r="B6988" s="8" t="s">
        <v>1828</v>
      </c>
      <c r="C6988" s="8" t="s">
        <v>20971</v>
      </c>
      <c r="D6988" s="8" t="s">
        <v>16</v>
      </c>
      <c r="E6988" s="8" t="s">
        <v>17</v>
      </c>
      <c r="F6988" s="9">
        <v>46168.0</v>
      </c>
      <c r="G6988" s="8" t="s">
        <v>34</v>
      </c>
      <c r="H6988" s="8" t="s">
        <v>35</v>
      </c>
      <c r="I6988" s="8" t="s">
        <v>20972</v>
      </c>
      <c r="J6988" s="8" t="s">
        <v>20973</v>
      </c>
    </row>
    <row r="6989">
      <c r="A6989" s="7">
        <v>2.0065152E7</v>
      </c>
      <c r="B6989" s="8" t="s">
        <v>1828</v>
      </c>
      <c r="C6989" s="8" t="s">
        <v>20971</v>
      </c>
      <c r="D6989" s="8" t="s">
        <v>16</v>
      </c>
      <c r="E6989" s="8" t="s">
        <v>17</v>
      </c>
      <c r="F6989" s="9">
        <v>46168.0</v>
      </c>
      <c r="G6989" s="8" t="s">
        <v>34</v>
      </c>
      <c r="H6989" s="8" t="s">
        <v>35</v>
      </c>
      <c r="I6989" s="8" t="s">
        <v>20974</v>
      </c>
      <c r="J6989" s="8" t="s">
        <v>20973</v>
      </c>
    </row>
    <row r="6990">
      <c r="A6990" s="7">
        <v>2.0064084E7</v>
      </c>
      <c r="B6990" s="8" t="s">
        <v>1828</v>
      </c>
      <c r="C6990" s="8" t="s">
        <v>20975</v>
      </c>
      <c r="D6990" s="8" t="s">
        <v>16</v>
      </c>
      <c r="E6990" s="8" t="s">
        <v>17</v>
      </c>
      <c r="F6990" s="9">
        <v>46167.0</v>
      </c>
      <c r="G6990" s="8" t="s">
        <v>923</v>
      </c>
      <c r="H6990" s="8" t="s">
        <v>7274</v>
      </c>
      <c r="I6990" s="8" t="s">
        <v>20976</v>
      </c>
      <c r="J6990" s="8" t="s">
        <v>20977</v>
      </c>
    </row>
    <row r="6991">
      <c r="A6991" s="7">
        <v>2.006285E7</v>
      </c>
      <c r="B6991" s="8" t="s">
        <v>1828</v>
      </c>
      <c r="C6991" s="8" t="s">
        <v>20978</v>
      </c>
      <c r="D6991" s="8" t="s">
        <v>16</v>
      </c>
      <c r="E6991" s="8" t="s">
        <v>17</v>
      </c>
      <c r="F6991" s="9">
        <v>46180.0</v>
      </c>
      <c r="G6991" s="8" t="s">
        <v>4564</v>
      </c>
      <c r="H6991" s="8" t="s">
        <v>4565</v>
      </c>
      <c r="I6991" s="8" t="s">
        <v>20979</v>
      </c>
      <c r="J6991" s="8" t="s">
        <v>20980</v>
      </c>
    </row>
    <row r="6992">
      <c r="A6992" s="7">
        <v>2.0052793E7</v>
      </c>
      <c r="B6992" s="8" t="s">
        <v>1828</v>
      </c>
      <c r="C6992" s="8" t="s">
        <v>20981</v>
      </c>
      <c r="D6992" s="8" t="s">
        <v>16</v>
      </c>
      <c r="E6992" s="8" t="s">
        <v>17</v>
      </c>
      <c r="F6992" s="9">
        <v>46142.0</v>
      </c>
      <c r="G6992" s="8" t="s">
        <v>20982</v>
      </c>
      <c r="H6992" s="8" t="s">
        <v>20983</v>
      </c>
      <c r="I6992" s="8" t="s">
        <v>20984</v>
      </c>
      <c r="J6992" s="8" t="s">
        <v>20985</v>
      </c>
    </row>
    <row r="6993">
      <c r="A6993" s="7">
        <v>2.0053388E7</v>
      </c>
      <c r="B6993" s="8" t="s">
        <v>1828</v>
      </c>
      <c r="C6993" s="8" t="s">
        <v>20986</v>
      </c>
      <c r="D6993" s="8" t="s">
        <v>16</v>
      </c>
      <c r="E6993" s="8" t="s">
        <v>17</v>
      </c>
      <c r="F6993" s="9">
        <v>46116.0</v>
      </c>
      <c r="G6993" s="8" t="s">
        <v>91</v>
      </c>
      <c r="H6993" s="8" t="s">
        <v>92</v>
      </c>
      <c r="I6993" s="8" t="s">
        <v>20987</v>
      </c>
      <c r="J6993" s="8" t="s">
        <v>20988</v>
      </c>
    </row>
    <row r="6994">
      <c r="A6994" s="7">
        <v>2.005185E7</v>
      </c>
      <c r="B6994" s="8" t="s">
        <v>1828</v>
      </c>
      <c r="C6994" s="8" t="s">
        <v>20989</v>
      </c>
      <c r="D6994" s="8" t="s">
        <v>16</v>
      </c>
      <c r="E6994" s="8" t="s">
        <v>17</v>
      </c>
      <c r="F6994" s="9">
        <v>46109.0</v>
      </c>
      <c r="G6994" s="8" t="s">
        <v>91</v>
      </c>
      <c r="H6994" s="8" t="s">
        <v>92</v>
      </c>
      <c r="I6994" s="8" t="s">
        <v>20990</v>
      </c>
      <c r="J6994" s="8" t="s">
        <v>20991</v>
      </c>
    </row>
    <row r="6995">
      <c r="A6995" s="7">
        <v>2.004386E7</v>
      </c>
      <c r="B6995" s="8" t="s">
        <v>1828</v>
      </c>
      <c r="C6995" s="8" t="s">
        <v>20992</v>
      </c>
      <c r="D6995" s="8" t="s">
        <v>16</v>
      </c>
      <c r="E6995" s="8" t="s">
        <v>17</v>
      </c>
      <c r="F6995" s="9">
        <v>46078.0</v>
      </c>
      <c r="G6995" s="8" t="s">
        <v>220</v>
      </c>
      <c r="H6995" s="8" t="s">
        <v>221</v>
      </c>
      <c r="I6995" s="8" t="s">
        <v>20993</v>
      </c>
      <c r="J6995" s="8" t="s">
        <v>20994</v>
      </c>
    </row>
    <row r="6996">
      <c r="A6996" s="7">
        <v>2.0043971E7</v>
      </c>
      <c r="B6996" s="8" t="s">
        <v>1828</v>
      </c>
      <c r="C6996" s="8" t="s">
        <v>20995</v>
      </c>
      <c r="D6996" s="8" t="s">
        <v>16</v>
      </c>
      <c r="E6996" s="8" t="s">
        <v>17</v>
      </c>
      <c r="F6996" s="9">
        <v>46073.0</v>
      </c>
      <c r="G6996" s="8" t="s">
        <v>29</v>
      </c>
      <c r="H6996" s="8" t="s">
        <v>30</v>
      </c>
      <c r="I6996" s="8" t="s">
        <v>20996</v>
      </c>
      <c r="J6996" s="8" t="s">
        <v>20997</v>
      </c>
    </row>
    <row r="6997">
      <c r="A6997" s="7">
        <v>2.0042658E7</v>
      </c>
      <c r="B6997" s="8" t="s">
        <v>1828</v>
      </c>
      <c r="C6997" s="8" t="s">
        <v>20998</v>
      </c>
      <c r="D6997" s="8" t="s">
        <v>16</v>
      </c>
      <c r="E6997" s="8" t="s">
        <v>17</v>
      </c>
      <c r="F6997" s="9">
        <v>46077.0</v>
      </c>
      <c r="G6997" s="8" t="s">
        <v>1093</v>
      </c>
      <c r="H6997" s="8" t="s">
        <v>1094</v>
      </c>
      <c r="I6997" s="8"/>
      <c r="J6997" s="8" t="s">
        <v>20999</v>
      </c>
    </row>
    <row r="6998">
      <c r="A6998" s="7">
        <v>2.0042658E7</v>
      </c>
      <c r="B6998" s="8" t="s">
        <v>1828</v>
      </c>
      <c r="C6998" s="8" t="s">
        <v>20998</v>
      </c>
      <c r="D6998" s="8" t="s">
        <v>16</v>
      </c>
      <c r="E6998" s="8" t="s">
        <v>17</v>
      </c>
      <c r="F6998" s="9">
        <v>46077.0</v>
      </c>
      <c r="G6998" s="8" t="s">
        <v>1093</v>
      </c>
      <c r="H6998" s="8" t="s">
        <v>1094</v>
      </c>
      <c r="I6998" s="8" t="s">
        <v>21000</v>
      </c>
      <c r="J6998" s="8" t="s">
        <v>21001</v>
      </c>
    </row>
    <row r="6999">
      <c r="A6999" s="7">
        <v>2.0039562E7</v>
      </c>
      <c r="B6999" s="8" t="s">
        <v>1828</v>
      </c>
      <c r="C6999" s="8" t="s">
        <v>21002</v>
      </c>
      <c r="D6999" s="8" t="s">
        <v>16</v>
      </c>
      <c r="E6999" s="8" t="s">
        <v>17</v>
      </c>
      <c r="F6999" s="9">
        <v>46056.0</v>
      </c>
      <c r="G6999" s="8" t="s">
        <v>91</v>
      </c>
      <c r="H6999" s="8" t="s">
        <v>92</v>
      </c>
      <c r="I6999" s="8" t="s">
        <v>21003</v>
      </c>
      <c r="J6999" s="8" t="s">
        <v>21004</v>
      </c>
    </row>
    <row r="7000">
      <c r="A7000" s="7">
        <v>2.0038013E7</v>
      </c>
      <c r="B7000" s="8" t="s">
        <v>1828</v>
      </c>
      <c r="C7000" s="8" t="s">
        <v>21005</v>
      </c>
      <c r="D7000" s="8" t="s">
        <v>16</v>
      </c>
      <c r="E7000" s="8" t="s">
        <v>17</v>
      </c>
      <c r="F7000" s="9">
        <v>46049.0</v>
      </c>
      <c r="G7000" s="8" t="s">
        <v>195</v>
      </c>
      <c r="H7000" s="8" t="s">
        <v>196</v>
      </c>
      <c r="I7000" s="8" t="s">
        <v>21006</v>
      </c>
      <c r="J7000" s="8" t="s">
        <v>21007</v>
      </c>
    </row>
    <row r="7001">
      <c r="A7001" s="7">
        <v>2.00269E7</v>
      </c>
      <c r="B7001" s="8" t="s">
        <v>1828</v>
      </c>
      <c r="C7001" s="8" t="s">
        <v>21008</v>
      </c>
      <c r="D7001" s="8" t="s">
        <v>16</v>
      </c>
      <c r="E7001" s="8" t="s">
        <v>17</v>
      </c>
      <c r="F7001" s="9">
        <v>46041.0</v>
      </c>
      <c r="G7001" s="8" t="s">
        <v>234</v>
      </c>
      <c r="H7001" s="8" t="s">
        <v>235</v>
      </c>
      <c r="I7001" s="8" t="s">
        <v>21009</v>
      </c>
      <c r="J7001" s="8" t="s">
        <v>21010</v>
      </c>
    </row>
    <row r="7002">
      <c r="A7002" s="7">
        <v>2.0067982E7</v>
      </c>
      <c r="B7002" s="8" t="s">
        <v>1828</v>
      </c>
      <c r="C7002" s="8" t="s">
        <v>21011</v>
      </c>
      <c r="D7002" s="8" t="s">
        <v>2136</v>
      </c>
      <c r="E7002" s="8" t="s">
        <v>17</v>
      </c>
      <c r="F7002" s="9">
        <v>46185.0</v>
      </c>
      <c r="G7002" s="8" t="s">
        <v>805</v>
      </c>
      <c r="H7002" s="8" t="s">
        <v>806</v>
      </c>
      <c r="I7002" s="8" t="s">
        <v>21012</v>
      </c>
      <c r="J7002" s="8" t="s">
        <v>21013</v>
      </c>
    </row>
    <row r="7003">
      <c r="A7003" s="7">
        <v>2.0062204E7</v>
      </c>
      <c r="B7003" s="8" t="s">
        <v>1828</v>
      </c>
      <c r="C7003" s="8" t="s">
        <v>21014</v>
      </c>
      <c r="D7003" s="8" t="s">
        <v>2136</v>
      </c>
      <c r="E7003" s="8" t="s">
        <v>17</v>
      </c>
      <c r="F7003" s="9">
        <v>46161.0</v>
      </c>
      <c r="G7003" s="8" t="s">
        <v>846</v>
      </c>
      <c r="H7003" s="8" t="s">
        <v>847</v>
      </c>
      <c r="I7003" s="8" t="s">
        <v>21015</v>
      </c>
      <c r="J7003" s="8" t="s">
        <v>21016</v>
      </c>
    </row>
    <row r="7004">
      <c r="A7004" s="7">
        <v>2.0062582E7</v>
      </c>
      <c r="B7004" s="8" t="s">
        <v>1828</v>
      </c>
      <c r="C7004" s="8" t="s">
        <v>21017</v>
      </c>
      <c r="D7004" s="8" t="s">
        <v>16</v>
      </c>
      <c r="E7004" s="8" t="s">
        <v>17</v>
      </c>
      <c r="F7004" s="9">
        <v>46156.0</v>
      </c>
      <c r="G7004" s="8" t="s">
        <v>517</v>
      </c>
      <c r="H7004" s="8" t="s">
        <v>518</v>
      </c>
      <c r="I7004" s="8" t="s">
        <v>21018</v>
      </c>
      <c r="J7004" s="8" t="s">
        <v>21019</v>
      </c>
    </row>
    <row r="7005">
      <c r="A7005" s="7">
        <v>2.0062582E7</v>
      </c>
      <c r="B7005" s="8" t="s">
        <v>1828</v>
      </c>
      <c r="C7005" s="8" t="s">
        <v>21020</v>
      </c>
      <c r="D7005" s="8" t="s">
        <v>16</v>
      </c>
      <c r="E7005" s="8" t="s">
        <v>17</v>
      </c>
      <c r="F7005" s="9">
        <v>46185.0</v>
      </c>
      <c r="G7005" s="8" t="s">
        <v>517</v>
      </c>
      <c r="H7005" s="8" t="s">
        <v>518</v>
      </c>
      <c r="I7005" s="8" t="s">
        <v>21021</v>
      </c>
      <c r="J7005" s="8" t="s">
        <v>21018</v>
      </c>
    </row>
    <row r="7006">
      <c r="A7006" s="7">
        <v>2.0062582E7</v>
      </c>
      <c r="B7006" s="8" t="s">
        <v>1828</v>
      </c>
      <c r="C7006" s="8" t="s">
        <v>21020</v>
      </c>
      <c r="D7006" s="8" t="s">
        <v>16</v>
      </c>
      <c r="E7006" s="8" t="s">
        <v>17</v>
      </c>
      <c r="F7006" s="9">
        <v>46185.0</v>
      </c>
      <c r="G7006" s="8" t="s">
        <v>1057</v>
      </c>
      <c r="H7006" s="8" t="s">
        <v>1058</v>
      </c>
      <c r="I7006" s="8" t="s">
        <v>21022</v>
      </c>
      <c r="J7006" s="8" t="s">
        <v>21023</v>
      </c>
    </row>
    <row r="7007">
      <c r="A7007" s="7">
        <v>2.005984E7</v>
      </c>
      <c r="B7007" s="8" t="s">
        <v>1828</v>
      </c>
      <c r="C7007" s="8" t="s">
        <v>21024</v>
      </c>
      <c r="D7007" s="8" t="s">
        <v>16</v>
      </c>
      <c r="E7007" s="8" t="s">
        <v>17</v>
      </c>
      <c r="F7007" s="9">
        <v>46142.0</v>
      </c>
      <c r="G7007" s="8" t="s">
        <v>504</v>
      </c>
      <c r="H7007" s="8" t="s">
        <v>505</v>
      </c>
      <c r="I7007" s="8" t="s">
        <v>21025</v>
      </c>
      <c r="J7007" s="8" t="s">
        <v>21026</v>
      </c>
    </row>
    <row r="7008">
      <c r="A7008" s="7">
        <v>2.0056234E7</v>
      </c>
      <c r="B7008" s="8" t="s">
        <v>1828</v>
      </c>
      <c r="C7008" s="8" t="s">
        <v>21027</v>
      </c>
      <c r="D7008" s="8" t="s">
        <v>16</v>
      </c>
      <c r="E7008" s="8" t="s">
        <v>17</v>
      </c>
      <c r="F7008" s="9">
        <v>46145.0</v>
      </c>
      <c r="G7008" s="8" t="s">
        <v>9749</v>
      </c>
      <c r="H7008" s="8" t="s">
        <v>9750</v>
      </c>
      <c r="I7008" s="8" t="s">
        <v>21028</v>
      </c>
      <c r="J7008" s="8"/>
    </row>
    <row r="7009">
      <c r="A7009" s="7">
        <v>2.0051315E7</v>
      </c>
      <c r="B7009" s="8" t="s">
        <v>1828</v>
      </c>
      <c r="C7009" s="8" t="s">
        <v>21029</v>
      </c>
      <c r="D7009" s="8" t="s">
        <v>16</v>
      </c>
      <c r="E7009" s="8" t="s">
        <v>17</v>
      </c>
      <c r="F7009" s="9">
        <v>46106.0</v>
      </c>
      <c r="G7009" s="8" t="s">
        <v>923</v>
      </c>
      <c r="H7009" s="8" t="s">
        <v>71</v>
      </c>
      <c r="I7009" s="8" t="s">
        <v>21030</v>
      </c>
      <c r="J7009" s="8" t="s">
        <v>21031</v>
      </c>
    </row>
    <row r="7010">
      <c r="A7010" s="7">
        <v>2.0049828E7</v>
      </c>
      <c r="B7010" s="8" t="s">
        <v>1828</v>
      </c>
      <c r="C7010" s="8" t="s">
        <v>21032</v>
      </c>
      <c r="D7010" s="8" t="s">
        <v>16</v>
      </c>
      <c r="E7010" s="8" t="s">
        <v>17</v>
      </c>
      <c r="F7010" s="9">
        <v>46099.0</v>
      </c>
      <c r="G7010" s="8" t="s">
        <v>220</v>
      </c>
      <c r="H7010" s="8" t="s">
        <v>221</v>
      </c>
      <c r="I7010" s="8" t="s">
        <v>21033</v>
      </c>
      <c r="J7010" s="8" t="s">
        <v>21034</v>
      </c>
    </row>
    <row r="7011">
      <c r="A7011" s="7">
        <v>2.0042938E7</v>
      </c>
      <c r="B7011" s="8" t="s">
        <v>1828</v>
      </c>
      <c r="C7011" s="8" t="s">
        <v>21035</v>
      </c>
      <c r="D7011" s="8" t="s">
        <v>16</v>
      </c>
      <c r="E7011" s="8" t="s">
        <v>17</v>
      </c>
      <c r="F7011" s="9">
        <v>46082.0</v>
      </c>
      <c r="G7011" s="8" t="s">
        <v>504</v>
      </c>
      <c r="H7011" s="8" t="s">
        <v>505</v>
      </c>
      <c r="I7011" s="8" t="s">
        <v>21036</v>
      </c>
      <c r="J7011" s="8" t="s">
        <v>21037</v>
      </c>
    </row>
    <row r="7012">
      <c r="A7012" s="7">
        <v>2.003465E7</v>
      </c>
      <c r="B7012" s="8" t="s">
        <v>1828</v>
      </c>
      <c r="C7012" s="8" t="s">
        <v>21038</v>
      </c>
      <c r="D7012" s="8" t="s">
        <v>16</v>
      </c>
      <c r="E7012" s="8" t="s">
        <v>17</v>
      </c>
      <c r="F7012" s="9">
        <v>46054.0</v>
      </c>
      <c r="G7012" s="8" t="s">
        <v>234</v>
      </c>
      <c r="H7012" s="8" t="s">
        <v>235</v>
      </c>
      <c r="I7012" s="8" t="s">
        <v>21039</v>
      </c>
      <c r="J7012" s="8" t="s">
        <v>21040</v>
      </c>
    </row>
    <row r="7013">
      <c r="A7013" s="7">
        <v>2.0067653E7</v>
      </c>
      <c r="B7013" s="8" t="s">
        <v>1828</v>
      </c>
      <c r="C7013" s="8" t="s">
        <v>21041</v>
      </c>
      <c r="D7013" s="8" t="s">
        <v>16</v>
      </c>
      <c r="E7013" s="8" t="s">
        <v>17</v>
      </c>
      <c r="F7013" s="9">
        <v>46184.0</v>
      </c>
      <c r="G7013" s="8" t="s">
        <v>273</v>
      </c>
      <c r="H7013" s="8" t="s">
        <v>274</v>
      </c>
      <c r="I7013" s="8" t="s">
        <v>21042</v>
      </c>
      <c r="J7013" s="8" t="s">
        <v>21043</v>
      </c>
    </row>
    <row r="7014">
      <c r="A7014" s="7">
        <v>2.0054442E7</v>
      </c>
      <c r="B7014" s="8" t="s">
        <v>1828</v>
      </c>
      <c r="C7014" s="8" t="s">
        <v>21044</v>
      </c>
      <c r="D7014" s="8" t="s">
        <v>16</v>
      </c>
      <c r="E7014" s="8" t="s">
        <v>17</v>
      </c>
      <c r="F7014" s="9">
        <v>46144.0</v>
      </c>
      <c r="G7014" s="8" t="s">
        <v>440</v>
      </c>
      <c r="H7014" s="8" t="s">
        <v>21045</v>
      </c>
      <c r="I7014" s="8" t="s">
        <v>21046</v>
      </c>
      <c r="J7014" s="8" t="s">
        <v>21047</v>
      </c>
    </row>
    <row r="7015">
      <c r="A7015" s="7">
        <v>2.0056489E7</v>
      </c>
      <c r="B7015" s="8" t="s">
        <v>1828</v>
      </c>
      <c r="C7015" s="8" t="s">
        <v>21048</v>
      </c>
      <c r="D7015" s="8" t="s">
        <v>16</v>
      </c>
      <c r="E7015" s="8" t="s">
        <v>17</v>
      </c>
      <c r="F7015" s="9">
        <v>46146.0</v>
      </c>
      <c r="G7015" s="8" t="s">
        <v>791</v>
      </c>
      <c r="H7015" s="8" t="s">
        <v>792</v>
      </c>
      <c r="I7015" s="8" t="s">
        <v>21049</v>
      </c>
      <c r="J7015" s="8" t="s">
        <v>21050</v>
      </c>
    </row>
    <row r="7016">
      <c r="A7016" s="7">
        <v>2.0056122E7</v>
      </c>
      <c r="B7016" s="8" t="s">
        <v>1828</v>
      </c>
      <c r="C7016" s="8" t="s">
        <v>21051</v>
      </c>
      <c r="D7016" s="8" t="s">
        <v>2136</v>
      </c>
      <c r="E7016" s="8" t="s">
        <v>17</v>
      </c>
      <c r="F7016" s="9">
        <v>46129.0</v>
      </c>
      <c r="G7016" s="8" t="s">
        <v>75</v>
      </c>
      <c r="H7016" s="8" t="s">
        <v>76</v>
      </c>
      <c r="I7016" s="8" t="s">
        <v>21052</v>
      </c>
      <c r="J7016" s="8" t="s">
        <v>21053</v>
      </c>
    </row>
    <row r="7017">
      <c r="A7017" s="7">
        <v>2.0054362E7</v>
      </c>
      <c r="B7017" s="8" t="s">
        <v>1828</v>
      </c>
      <c r="C7017" s="8" t="s">
        <v>21054</v>
      </c>
      <c r="D7017" s="8" t="s">
        <v>2136</v>
      </c>
      <c r="E7017" s="8" t="s">
        <v>17</v>
      </c>
      <c r="F7017" s="9">
        <v>46117.0</v>
      </c>
      <c r="G7017" s="8" t="s">
        <v>195</v>
      </c>
      <c r="H7017" s="8" t="s">
        <v>196</v>
      </c>
      <c r="I7017" s="8" t="s">
        <v>21055</v>
      </c>
      <c r="J7017" s="8" t="s">
        <v>21056</v>
      </c>
    </row>
    <row r="7018">
      <c r="A7018" s="7">
        <v>2.0049226E7</v>
      </c>
      <c r="B7018" s="8" t="s">
        <v>1828</v>
      </c>
      <c r="C7018" s="8" t="s">
        <v>21057</v>
      </c>
      <c r="D7018" s="8" t="s">
        <v>16</v>
      </c>
      <c r="E7018" s="8" t="s">
        <v>17</v>
      </c>
      <c r="F7018" s="9">
        <v>46096.0</v>
      </c>
      <c r="G7018" s="8" t="s">
        <v>846</v>
      </c>
      <c r="H7018" s="8" t="s">
        <v>847</v>
      </c>
      <c r="I7018" s="8" t="s">
        <v>21058</v>
      </c>
      <c r="J7018" s="8" t="s">
        <v>21059</v>
      </c>
    </row>
    <row r="7019">
      <c r="A7019" s="7">
        <v>2.0045136E7</v>
      </c>
      <c r="B7019" s="8" t="s">
        <v>1828</v>
      </c>
      <c r="C7019" s="8" t="s">
        <v>21060</v>
      </c>
      <c r="D7019" s="8" t="s">
        <v>16</v>
      </c>
      <c r="E7019" s="8" t="s">
        <v>17</v>
      </c>
      <c r="F7019" s="9">
        <v>46106.0</v>
      </c>
      <c r="G7019" s="8" t="s">
        <v>826</v>
      </c>
      <c r="H7019" s="8" t="s">
        <v>827</v>
      </c>
      <c r="I7019" s="8" t="s">
        <v>21061</v>
      </c>
      <c r="J7019" s="8" t="s">
        <v>21062</v>
      </c>
    </row>
    <row r="7020">
      <c r="A7020" s="7">
        <v>2.0045136E7</v>
      </c>
      <c r="B7020" s="8" t="s">
        <v>1828</v>
      </c>
      <c r="C7020" s="8" t="s">
        <v>21060</v>
      </c>
      <c r="D7020" s="8" t="s">
        <v>16</v>
      </c>
      <c r="E7020" s="8" t="s">
        <v>17</v>
      </c>
      <c r="F7020" s="9">
        <v>46106.0</v>
      </c>
      <c r="G7020" s="8" t="s">
        <v>2109</v>
      </c>
      <c r="H7020" s="8" t="s">
        <v>2110</v>
      </c>
      <c r="I7020" s="8" t="s">
        <v>21063</v>
      </c>
      <c r="J7020" s="8" t="s">
        <v>21064</v>
      </c>
    </row>
    <row r="7021">
      <c r="A7021" s="7">
        <v>2.0046563E7</v>
      </c>
      <c r="B7021" s="8" t="s">
        <v>1828</v>
      </c>
      <c r="C7021" s="8" t="s">
        <v>21065</v>
      </c>
      <c r="D7021" s="8" t="s">
        <v>16</v>
      </c>
      <c r="E7021" s="8" t="s">
        <v>17</v>
      </c>
      <c r="F7021" s="9">
        <v>46086.0</v>
      </c>
      <c r="G7021" s="8" t="s">
        <v>826</v>
      </c>
      <c r="H7021" s="8" t="s">
        <v>827</v>
      </c>
      <c r="I7021" s="8" t="s">
        <v>21066</v>
      </c>
      <c r="J7021" s="8" t="s">
        <v>21067</v>
      </c>
    </row>
    <row r="7022">
      <c r="A7022" s="7">
        <v>2.0043505E7</v>
      </c>
      <c r="B7022" s="8" t="s">
        <v>1828</v>
      </c>
      <c r="C7022" s="8" t="s">
        <v>21068</v>
      </c>
      <c r="D7022" s="8" t="s">
        <v>16</v>
      </c>
      <c r="E7022" s="8" t="s">
        <v>17</v>
      </c>
      <c r="F7022" s="9">
        <v>46072.0</v>
      </c>
      <c r="G7022" s="8" t="s">
        <v>868</v>
      </c>
      <c r="H7022" s="8" t="s">
        <v>869</v>
      </c>
      <c r="I7022" s="8" t="s">
        <v>21069</v>
      </c>
      <c r="J7022" s="8" t="s">
        <v>21070</v>
      </c>
    </row>
    <row r="7023">
      <c r="A7023" s="7">
        <v>2.0036546E7</v>
      </c>
      <c r="B7023" s="8" t="s">
        <v>1828</v>
      </c>
      <c r="C7023" s="8" t="s">
        <v>21071</v>
      </c>
      <c r="D7023" s="8" t="s">
        <v>16</v>
      </c>
      <c r="E7023" s="8" t="s">
        <v>17</v>
      </c>
      <c r="F7023" s="9">
        <v>46063.0</v>
      </c>
      <c r="G7023" s="8" t="s">
        <v>361</v>
      </c>
      <c r="H7023" s="8" t="s">
        <v>362</v>
      </c>
      <c r="I7023" s="8" t="s">
        <v>21072</v>
      </c>
      <c r="J7023" s="8"/>
    </row>
    <row r="7024">
      <c r="A7024" s="7">
        <v>2.0035442E7</v>
      </c>
      <c r="B7024" s="8" t="s">
        <v>1828</v>
      </c>
      <c r="C7024" s="8" t="s">
        <v>21073</v>
      </c>
      <c r="D7024" s="8" t="s">
        <v>16</v>
      </c>
      <c r="E7024" s="8" t="s">
        <v>17</v>
      </c>
      <c r="F7024" s="9">
        <v>46061.0</v>
      </c>
      <c r="G7024" s="8" t="s">
        <v>3709</v>
      </c>
      <c r="H7024" s="8" t="s">
        <v>3710</v>
      </c>
      <c r="I7024" s="8" t="s">
        <v>21074</v>
      </c>
      <c r="J7024" s="8" t="s">
        <v>21075</v>
      </c>
    </row>
    <row r="7025">
      <c r="A7025" s="7">
        <v>2.0034172E7</v>
      </c>
      <c r="B7025" s="8" t="s">
        <v>1828</v>
      </c>
      <c r="C7025" s="8" t="s">
        <v>21076</v>
      </c>
      <c r="D7025" s="8" t="s">
        <v>16</v>
      </c>
      <c r="E7025" s="8" t="s">
        <v>17</v>
      </c>
      <c r="F7025" s="9">
        <v>46043.0</v>
      </c>
      <c r="G7025" s="8" t="s">
        <v>7407</v>
      </c>
      <c r="H7025" s="8" t="s">
        <v>7408</v>
      </c>
      <c r="I7025" s="8" t="s">
        <v>21077</v>
      </c>
      <c r="J7025" s="8" t="s">
        <v>21078</v>
      </c>
    </row>
    <row r="7026">
      <c r="A7026" s="7">
        <v>2.0034172E7</v>
      </c>
      <c r="B7026" s="8" t="s">
        <v>1828</v>
      </c>
      <c r="C7026" s="8" t="s">
        <v>21076</v>
      </c>
      <c r="D7026" s="8" t="s">
        <v>16</v>
      </c>
      <c r="E7026" s="8" t="s">
        <v>17</v>
      </c>
      <c r="F7026" s="9">
        <v>46043.0</v>
      </c>
      <c r="G7026" s="8" t="s">
        <v>7411</v>
      </c>
      <c r="H7026" s="8" t="s">
        <v>7412</v>
      </c>
      <c r="I7026" s="8" t="s">
        <v>21079</v>
      </c>
      <c r="J7026" s="8" t="s">
        <v>21080</v>
      </c>
    </row>
    <row r="7027">
      <c r="A7027" s="7">
        <v>2.0068103E7</v>
      </c>
      <c r="B7027" s="8" t="s">
        <v>1828</v>
      </c>
      <c r="C7027" s="8" t="s">
        <v>21081</v>
      </c>
      <c r="D7027" s="8" t="s">
        <v>16</v>
      </c>
      <c r="E7027" s="8" t="s">
        <v>17</v>
      </c>
      <c r="F7027" s="9">
        <v>46179.0</v>
      </c>
      <c r="G7027" s="8" t="s">
        <v>109</v>
      </c>
      <c r="H7027" s="8" t="s">
        <v>110</v>
      </c>
      <c r="I7027" s="8" t="s">
        <v>21082</v>
      </c>
      <c r="J7027" s="8" t="s">
        <v>21083</v>
      </c>
    </row>
    <row r="7028">
      <c r="A7028" s="7">
        <v>2.0059593E7</v>
      </c>
      <c r="B7028" s="8" t="s">
        <v>1828</v>
      </c>
      <c r="C7028" s="8" t="s">
        <v>21084</v>
      </c>
      <c r="D7028" s="8" t="s">
        <v>16</v>
      </c>
      <c r="E7028" s="8" t="s">
        <v>17</v>
      </c>
      <c r="F7028" s="9">
        <v>46157.0</v>
      </c>
      <c r="G7028" s="8" t="s">
        <v>21085</v>
      </c>
      <c r="H7028" s="8" t="s">
        <v>21086</v>
      </c>
      <c r="I7028" s="8" t="s">
        <v>21087</v>
      </c>
      <c r="J7028" s="8" t="s">
        <v>21088</v>
      </c>
    </row>
    <row r="7029">
      <c r="A7029" s="7">
        <v>2.0055767E7</v>
      </c>
      <c r="B7029" s="8" t="s">
        <v>1828</v>
      </c>
      <c r="C7029" s="8" t="s">
        <v>21089</v>
      </c>
      <c r="D7029" s="8" t="s">
        <v>16</v>
      </c>
      <c r="E7029" s="8" t="s">
        <v>17</v>
      </c>
      <c r="F7029" s="9">
        <v>46153.0</v>
      </c>
      <c r="G7029" s="8" t="s">
        <v>195</v>
      </c>
      <c r="H7029" s="8" t="s">
        <v>196</v>
      </c>
      <c r="I7029" s="8" t="s">
        <v>21090</v>
      </c>
      <c r="J7029" s="8" t="s">
        <v>21091</v>
      </c>
    </row>
    <row r="7030">
      <c r="A7030" s="7">
        <v>2.0056284E7</v>
      </c>
      <c r="B7030" s="8" t="s">
        <v>1828</v>
      </c>
      <c r="C7030" s="8" t="s">
        <v>21092</v>
      </c>
      <c r="D7030" s="8" t="s">
        <v>16</v>
      </c>
      <c r="E7030" s="8" t="s">
        <v>17</v>
      </c>
      <c r="F7030" s="9">
        <v>46133.0</v>
      </c>
      <c r="G7030" s="8" t="s">
        <v>109</v>
      </c>
      <c r="H7030" s="8" t="s">
        <v>110</v>
      </c>
      <c r="I7030" s="8" t="s">
        <v>21093</v>
      </c>
      <c r="J7030" s="8" t="s">
        <v>21094</v>
      </c>
    </row>
    <row r="7031">
      <c r="A7031" s="7">
        <v>2.0051621E7</v>
      </c>
      <c r="B7031" s="8" t="s">
        <v>1828</v>
      </c>
      <c r="C7031" s="8" t="s">
        <v>21095</v>
      </c>
      <c r="D7031" s="8" t="s">
        <v>16</v>
      </c>
      <c r="E7031" s="8" t="s">
        <v>17</v>
      </c>
      <c r="F7031" s="9">
        <v>46134.0</v>
      </c>
      <c r="G7031" s="8" t="s">
        <v>2057</v>
      </c>
      <c r="H7031" s="8" t="s">
        <v>2058</v>
      </c>
      <c r="I7031" s="8" t="s">
        <v>21096</v>
      </c>
      <c r="J7031" s="8" t="s">
        <v>21097</v>
      </c>
    </row>
    <row r="7032">
      <c r="A7032" s="7">
        <v>2.0049301E7</v>
      </c>
      <c r="B7032" s="8" t="s">
        <v>1828</v>
      </c>
      <c r="C7032" s="8" t="s">
        <v>21098</v>
      </c>
      <c r="D7032" s="8" t="s">
        <v>16</v>
      </c>
      <c r="E7032" s="8" t="s">
        <v>17</v>
      </c>
      <c r="F7032" s="9">
        <v>46100.0</v>
      </c>
      <c r="G7032" s="8" t="s">
        <v>826</v>
      </c>
      <c r="H7032" s="8" t="s">
        <v>827</v>
      </c>
      <c r="I7032" s="8" t="s">
        <v>21099</v>
      </c>
      <c r="J7032" s="8" t="s">
        <v>21100</v>
      </c>
    </row>
    <row r="7033">
      <c r="A7033" s="7">
        <v>2.0048674E7</v>
      </c>
      <c r="B7033" s="8" t="s">
        <v>1828</v>
      </c>
      <c r="C7033" s="8" t="s">
        <v>21101</v>
      </c>
      <c r="D7033" s="8" t="s">
        <v>16</v>
      </c>
      <c r="E7033" s="8" t="s">
        <v>17</v>
      </c>
      <c r="F7033" s="9">
        <v>46092.0</v>
      </c>
      <c r="G7033" s="8" t="s">
        <v>247</v>
      </c>
      <c r="H7033" s="8" t="s">
        <v>248</v>
      </c>
      <c r="I7033" s="8" t="s">
        <v>21102</v>
      </c>
      <c r="J7033" s="8" t="s">
        <v>21103</v>
      </c>
    </row>
    <row r="7034">
      <c r="A7034" s="7">
        <v>2.0046047E7</v>
      </c>
      <c r="B7034" s="8" t="s">
        <v>1828</v>
      </c>
      <c r="C7034" s="8" t="s">
        <v>21104</v>
      </c>
      <c r="D7034" s="8" t="s">
        <v>16</v>
      </c>
      <c r="E7034" s="8" t="s">
        <v>17</v>
      </c>
      <c r="F7034" s="9">
        <v>46084.0</v>
      </c>
      <c r="G7034" s="8" t="s">
        <v>800</v>
      </c>
      <c r="H7034" s="8" t="s">
        <v>801</v>
      </c>
      <c r="I7034" s="8" t="s">
        <v>21105</v>
      </c>
      <c r="J7034" s="8" t="s">
        <v>21106</v>
      </c>
    </row>
    <row r="7035">
      <c r="A7035" s="7">
        <v>2.0044722E7</v>
      </c>
      <c r="B7035" s="8" t="s">
        <v>1828</v>
      </c>
      <c r="C7035" s="8" t="s">
        <v>21107</v>
      </c>
      <c r="D7035" s="8" t="s">
        <v>16</v>
      </c>
      <c r="E7035" s="8" t="s">
        <v>17</v>
      </c>
      <c r="F7035" s="9">
        <v>46091.0</v>
      </c>
      <c r="G7035" s="8" t="s">
        <v>21108</v>
      </c>
      <c r="H7035" s="8" t="s">
        <v>21109</v>
      </c>
      <c r="I7035" s="8" t="s">
        <v>21110</v>
      </c>
      <c r="J7035" s="8" t="s">
        <v>21111</v>
      </c>
    </row>
    <row r="7036">
      <c r="A7036" s="7">
        <v>2.0038144E7</v>
      </c>
      <c r="B7036" s="8" t="s">
        <v>1828</v>
      </c>
      <c r="C7036" s="8" t="s">
        <v>21112</v>
      </c>
      <c r="D7036" s="8" t="s">
        <v>16</v>
      </c>
      <c r="E7036" s="8" t="s">
        <v>17</v>
      </c>
      <c r="F7036" s="9">
        <v>46063.0</v>
      </c>
      <c r="G7036" s="8" t="s">
        <v>3339</v>
      </c>
      <c r="H7036" s="8" t="s">
        <v>1301</v>
      </c>
      <c r="I7036" s="8" t="s">
        <v>21113</v>
      </c>
      <c r="J7036" s="8" t="s">
        <v>21114</v>
      </c>
    </row>
    <row r="7037">
      <c r="A7037" s="7">
        <v>2.0034845E7</v>
      </c>
      <c r="B7037" s="8" t="s">
        <v>1828</v>
      </c>
      <c r="C7037" s="8" t="s">
        <v>21115</v>
      </c>
      <c r="D7037" s="8" t="s">
        <v>16</v>
      </c>
      <c r="E7037" s="8" t="s">
        <v>17</v>
      </c>
      <c r="F7037" s="9">
        <v>46056.0</v>
      </c>
      <c r="G7037" s="8" t="s">
        <v>109</v>
      </c>
      <c r="H7037" s="8" t="s">
        <v>110</v>
      </c>
      <c r="I7037" s="8" t="s">
        <v>21116</v>
      </c>
      <c r="J7037" s="8" t="s">
        <v>21117</v>
      </c>
    </row>
    <row r="7038">
      <c r="A7038" s="7">
        <v>2.0035329E7</v>
      </c>
      <c r="B7038" s="8" t="s">
        <v>1828</v>
      </c>
      <c r="C7038" s="8" t="s">
        <v>21118</v>
      </c>
      <c r="D7038" s="8" t="s">
        <v>16</v>
      </c>
      <c r="E7038" s="8" t="s">
        <v>17</v>
      </c>
      <c r="F7038" s="9">
        <v>46043.0</v>
      </c>
      <c r="G7038" s="8" t="s">
        <v>826</v>
      </c>
      <c r="H7038" s="8" t="s">
        <v>827</v>
      </c>
      <c r="I7038" s="8" t="s">
        <v>21119</v>
      </c>
      <c r="J7038" s="8" t="s">
        <v>21120</v>
      </c>
    </row>
    <row r="7039">
      <c r="A7039" s="7">
        <v>2.006833E7</v>
      </c>
      <c r="B7039" s="8" t="s">
        <v>1828</v>
      </c>
      <c r="C7039" s="8" t="s">
        <v>21121</v>
      </c>
      <c r="D7039" s="8" t="s">
        <v>16</v>
      </c>
      <c r="E7039" s="8" t="s">
        <v>17</v>
      </c>
      <c r="F7039" s="9">
        <v>46177.0</v>
      </c>
      <c r="G7039" s="8" t="s">
        <v>385</v>
      </c>
      <c r="H7039" s="8" t="s">
        <v>386</v>
      </c>
      <c r="I7039" s="8" t="s">
        <v>21122</v>
      </c>
      <c r="J7039" s="8" t="s">
        <v>21123</v>
      </c>
    </row>
    <row r="7040">
      <c r="A7040" s="7">
        <v>2.0066779E7</v>
      </c>
      <c r="B7040" s="8" t="s">
        <v>1828</v>
      </c>
      <c r="C7040" s="8" t="s">
        <v>21124</v>
      </c>
      <c r="D7040" s="8" t="s">
        <v>16</v>
      </c>
      <c r="E7040" s="8" t="s">
        <v>17</v>
      </c>
      <c r="F7040" s="9">
        <v>46176.0</v>
      </c>
      <c r="G7040" s="8" t="s">
        <v>59</v>
      </c>
      <c r="H7040" s="8" t="s">
        <v>60</v>
      </c>
      <c r="I7040" s="8" t="s">
        <v>21125</v>
      </c>
      <c r="J7040" s="8" t="s">
        <v>21126</v>
      </c>
    </row>
    <row r="7041">
      <c r="A7041" s="7">
        <v>2.0062788E7</v>
      </c>
      <c r="B7041" s="8" t="s">
        <v>1828</v>
      </c>
      <c r="C7041" s="8" t="s">
        <v>21127</v>
      </c>
      <c r="D7041" s="8" t="s">
        <v>16</v>
      </c>
      <c r="E7041" s="8" t="s">
        <v>17</v>
      </c>
      <c r="F7041" s="9">
        <v>46185.0</v>
      </c>
      <c r="G7041" s="8" t="s">
        <v>410</v>
      </c>
      <c r="H7041" s="8" t="s">
        <v>411</v>
      </c>
      <c r="I7041" s="8" t="s">
        <v>21128</v>
      </c>
      <c r="J7041" s="8" t="s">
        <v>21129</v>
      </c>
    </row>
    <row r="7042">
      <c r="A7042" s="7">
        <v>2.0061999E7</v>
      </c>
      <c r="B7042" s="8" t="s">
        <v>1828</v>
      </c>
      <c r="C7042" s="8" t="s">
        <v>21130</v>
      </c>
      <c r="D7042" s="8" t="s">
        <v>2136</v>
      </c>
      <c r="E7042" s="8" t="s">
        <v>17</v>
      </c>
      <c r="F7042" s="9">
        <v>46149.0</v>
      </c>
      <c r="G7042" s="8" t="s">
        <v>1007</v>
      </c>
      <c r="H7042" s="8" t="s">
        <v>1008</v>
      </c>
      <c r="I7042" s="8" t="s">
        <v>21131</v>
      </c>
      <c r="J7042" s="8" t="s">
        <v>21132</v>
      </c>
    </row>
    <row r="7043">
      <c r="A7043" s="7">
        <v>2.0060124E7</v>
      </c>
      <c r="B7043" s="8" t="s">
        <v>1828</v>
      </c>
      <c r="C7043" s="8" t="s">
        <v>21133</v>
      </c>
      <c r="D7043" s="8" t="s">
        <v>16</v>
      </c>
      <c r="E7043" s="8" t="s">
        <v>17</v>
      </c>
      <c r="F7043" s="9">
        <v>46178.0</v>
      </c>
      <c r="G7043" s="8" t="s">
        <v>158</v>
      </c>
      <c r="H7043" s="8" t="s">
        <v>159</v>
      </c>
      <c r="I7043" s="8" t="s">
        <v>21134</v>
      </c>
      <c r="J7043" s="8" t="s">
        <v>21135</v>
      </c>
    </row>
    <row r="7044">
      <c r="A7044" s="7">
        <v>2.005784E7</v>
      </c>
      <c r="B7044" s="8" t="s">
        <v>1828</v>
      </c>
      <c r="C7044" s="8" t="s">
        <v>21136</v>
      </c>
      <c r="D7044" s="8" t="s">
        <v>16</v>
      </c>
      <c r="E7044" s="8" t="s">
        <v>17</v>
      </c>
      <c r="F7044" s="9">
        <v>46151.0</v>
      </c>
      <c r="G7044" s="8" t="s">
        <v>21137</v>
      </c>
      <c r="H7044" s="8" t="s">
        <v>21138</v>
      </c>
      <c r="I7044" s="8" t="s">
        <v>21139</v>
      </c>
      <c r="J7044" s="8" t="s">
        <v>21140</v>
      </c>
    </row>
    <row r="7045">
      <c r="A7045" s="7">
        <v>2.0056953E7</v>
      </c>
      <c r="B7045" s="8" t="s">
        <v>1828</v>
      </c>
      <c r="C7045" s="8" t="s">
        <v>21141</v>
      </c>
      <c r="D7045" s="8" t="s">
        <v>16</v>
      </c>
      <c r="E7045" s="8" t="s">
        <v>17</v>
      </c>
      <c r="F7045" s="9">
        <v>46134.0</v>
      </c>
      <c r="G7045" s="8" t="s">
        <v>1132</v>
      </c>
      <c r="H7045" s="8" t="s">
        <v>1133</v>
      </c>
      <c r="I7045" s="8" t="s">
        <v>21142</v>
      </c>
      <c r="J7045" s="8" t="s">
        <v>21143</v>
      </c>
    </row>
    <row r="7046">
      <c r="A7046" s="7">
        <v>2.0055895E7</v>
      </c>
      <c r="B7046" s="8" t="s">
        <v>1828</v>
      </c>
      <c r="C7046" s="8" t="s">
        <v>21144</v>
      </c>
      <c r="D7046" s="8" t="s">
        <v>16</v>
      </c>
      <c r="E7046" s="8" t="s">
        <v>17</v>
      </c>
      <c r="F7046" s="9">
        <v>46123.0</v>
      </c>
      <c r="G7046" s="8" t="s">
        <v>234</v>
      </c>
      <c r="H7046" s="8" t="s">
        <v>235</v>
      </c>
      <c r="I7046" s="8" t="s">
        <v>21145</v>
      </c>
      <c r="J7046" s="8" t="s">
        <v>21146</v>
      </c>
    </row>
    <row r="7047">
      <c r="A7047" s="7">
        <v>2.0055502E7</v>
      </c>
      <c r="B7047" s="8" t="s">
        <v>1828</v>
      </c>
      <c r="C7047" s="8" t="s">
        <v>21147</v>
      </c>
      <c r="D7047" s="8" t="s">
        <v>16</v>
      </c>
      <c r="E7047" s="8" t="s">
        <v>17</v>
      </c>
      <c r="F7047" s="9">
        <v>46131.0</v>
      </c>
      <c r="G7047" s="8" t="s">
        <v>1045</v>
      </c>
      <c r="H7047" s="8" t="s">
        <v>909</v>
      </c>
      <c r="I7047" s="8" t="s">
        <v>21148</v>
      </c>
      <c r="J7047" s="8" t="s">
        <v>21149</v>
      </c>
    </row>
    <row r="7048">
      <c r="A7048" s="7">
        <v>2.0049963E7</v>
      </c>
      <c r="B7048" s="8" t="s">
        <v>1828</v>
      </c>
      <c r="C7048" s="8" t="s">
        <v>21150</v>
      </c>
      <c r="D7048" s="8" t="s">
        <v>16</v>
      </c>
      <c r="E7048" s="8" t="s">
        <v>17</v>
      </c>
      <c r="F7048" s="9">
        <v>46110.0</v>
      </c>
      <c r="G7048" s="8" t="s">
        <v>630</v>
      </c>
      <c r="H7048" s="8" t="s">
        <v>631</v>
      </c>
      <c r="I7048" s="8" t="s">
        <v>21151</v>
      </c>
      <c r="J7048" s="8" t="s">
        <v>21152</v>
      </c>
    </row>
    <row r="7049">
      <c r="A7049" s="7">
        <v>2.0048087E7</v>
      </c>
      <c r="B7049" s="8" t="s">
        <v>1828</v>
      </c>
      <c r="C7049" s="8" t="s">
        <v>21153</v>
      </c>
      <c r="D7049" s="8" t="s">
        <v>16</v>
      </c>
      <c r="E7049" s="8" t="s">
        <v>17</v>
      </c>
      <c r="F7049" s="9">
        <v>46093.0</v>
      </c>
      <c r="G7049" s="8" t="s">
        <v>234</v>
      </c>
      <c r="H7049" s="8" t="s">
        <v>235</v>
      </c>
      <c r="I7049" s="8" t="s">
        <v>21154</v>
      </c>
      <c r="J7049" s="8" t="s">
        <v>21155</v>
      </c>
    </row>
    <row r="7050">
      <c r="A7050" s="7">
        <v>2.0046365E7</v>
      </c>
      <c r="B7050" s="8" t="s">
        <v>1828</v>
      </c>
      <c r="C7050" s="8" t="s">
        <v>21156</v>
      </c>
      <c r="D7050" s="8" t="s">
        <v>16</v>
      </c>
      <c r="E7050" s="8" t="s">
        <v>17</v>
      </c>
      <c r="F7050" s="9">
        <v>46092.0</v>
      </c>
      <c r="G7050" s="8" t="s">
        <v>1431</v>
      </c>
      <c r="H7050" s="8" t="s">
        <v>1432</v>
      </c>
      <c r="I7050" s="8" t="s">
        <v>21157</v>
      </c>
      <c r="J7050" s="8" t="s">
        <v>21158</v>
      </c>
    </row>
    <row r="7051">
      <c r="A7051" s="7">
        <v>2.0045394E7</v>
      </c>
      <c r="B7051" s="8" t="s">
        <v>1828</v>
      </c>
      <c r="C7051" s="8" t="s">
        <v>21159</v>
      </c>
      <c r="D7051" s="8" t="s">
        <v>16</v>
      </c>
      <c r="E7051" s="8" t="s">
        <v>17</v>
      </c>
      <c r="F7051" s="9">
        <v>46079.0</v>
      </c>
      <c r="G7051" s="8" t="s">
        <v>1007</v>
      </c>
      <c r="H7051" s="8" t="s">
        <v>1008</v>
      </c>
      <c r="I7051" s="8" t="s">
        <v>21160</v>
      </c>
      <c r="J7051" s="8" t="s">
        <v>21161</v>
      </c>
    </row>
    <row r="7052">
      <c r="A7052" s="7">
        <v>2.0043816E7</v>
      </c>
      <c r="B7052" s="8" t="s">
        <v>1828</v>
      </c>
      <c r="C7052" s="8" t="s">
        <v>21162</v>
      </c>
      <c r="D7052" s="8" t="s">
        <v>16</v>
      </c>
      <c r="E7052" s="8" t="s">
        <v>17</v>
      </c>
      <c r="F7052" s="9">
        <v>46074.0</v>
      </c>
      <c r="G7052" s="8" t="s">
        <v>91</v>
      </c>
      <c r="H7052" s="8" t="s">
        <v>92</v>
      </c>
      <c r="I7052" s="8" t="s">
        <v>21163</v>
      </c>
      <c r="J7052" s="8" t="s">
        <v>21164</v>
      </c>
    </row>
    <row r="7053">
      <c r="A7053" s="7">
        <v>2.0039299E7</v>
      </c>
      <c r="B7053" s="8" t="s">
        <v>1828</v>
      </c>
      <c r="C7053" s="8" t="s">
        <v>21165</v>
      </c>
      <c r="D7053" s="8" t="s">
        <v>16</v>
      </c>
      <c r="E7053" s="8" t="s">
        <v>17</v>
      </c>
      <c r="F7053" s="9">
        <v>46067.0</v>
      </c>
      <c r="G7053" s="8" t="s">
        <v>195</v>
      </c>
      <c r="H7053" s="8" t="s">
        <v>196</v>
      </c>
      <c r="I7053" s="8" t="s">
        <v>21166</v>
      </c>
      <c r="J7053" s="8" t="s">
        <v>21167</v>
      </c>
    </row>
    <row r="7054">
      <c r="A7054" s="7">
        <v>2.0038061E7</v>
      </c>
      <c r="B7054" s="8" t="s">
        <v>1828</v>
      </c>
      <c r="C7054" s="8" t="s">
        <v>21168</v>
      </c>
      <c r="D7054" s="8" t="s">
        <v>16</v>
      </c>
      <c r="E7054" s="8" t="s">
        <v>17</v>
      </c>
      <c r="F7054" s="9">
        <v>46059.0</v>
      </c>
      <c r="G7054" s="8" t="s">
        <v>59</v>
      </c>
      <c r="H7054" s="8" t="s">
        <v>60</v>
      </c>
      <c r="I7054" s="8" t="s">
        <v>21169</v>
      </c>
      <c r="J7054" s="8" t="s">
        <v>21170</v>
      </c>
    </row>
    <row r="7055">
      <c r="A7055" s="7">
        <v>2.0033862E7</v>
      </c>
      <c r="B7055" s="8" t="s">
        <v>1828</v>
      </c>
      <c r="C7055" s="8" t="s">
        <v>21171</v>
      </c>
      <c r="D7055" s="8" t="s">
        <v>16</v>
      </c>
      <c r="E7055" s="8" t="s">
        <v>17</v>
      </c>
      <c r="F7055" s="9">
        <v>46048.0</v>
      </c>
      <c r="G7055" s="8" t="s">
        <v>21172</v>
      </c>
      <c r="H7055" s="8" t="s">
        <v>21173</v>
      </c>
      <c r="I7055" s="8" t="s">
        <v>21174</v>
      </c>
      <c r="J7055" s="8" t="s">
        <v>21175</v>
      </c>
    </row>
    <row r="7056">
      <c r="A7056" s="7">
        <v>2.0071693E7</v>
      </c>
      <c r="B7056" s="8" t="s">
        <v>1828</v>
      </c>
      <c r="C7056" s="8" t="s">
        <v>21176</v>
      </c>
      <c r="D7056" s="8" t="s">
        <v>16</v>
      </c>
      <c r="E7056" s="8" t="s">
        <v>17</v>
      </c>
      <c r="F7056" s="9">
        <v>46188.0</v>
      </c>
      <c r="G7056" s="8" t="s">
        <v>59</v>
      </c>
      <c r="H7056" s="8" t="s">
        <v>60</v>
      </c>
      <c r="I7056" s="8" t="s">
        <v>21177</v>
      </c>
      <c r="J7056" s="8" t="s">
        <v>21178</v>
      </c>
    </row>
    <row r="7057">
      <c r="A7057" s="7">
        <v>2.0069773E7</v>
      </c>
      <c r="B7057" s="8" t="s">
        <v>1828</v>
      </c>
      <c r="C7057" s="8" t="s">
        <v>21179</v>
      </c>
      <c r="D7057" s="8" t="s">
        <v>16</v>
      </c>
      <c r="E7057" s="8" t="s">
        <v>17</v>
      </c>
      <c r="F7057" s="9">
        <v>46185.0</v>
      </c>
      <c r="G7057" s="8" t="s">
        <v>234</v>
      </c>
      <c r="H7057" s="8" t="s">
        <v>235</v>
      </c>
      <c r="I7057" s="8" t="s">
        <v>21180</v>
      </c>
      <c r="J7057" s="8" t="s">
        <v>21181</v>
      </c>
    </row>
    <row r="7058">
      <c r="A7058" s="7">
        <v>2.0067081E7</v>
      </c>
      <c r="B7058" s="8" t="s">
        <v>1828</v>
      </c>
      <c r="C7058" s="8" t="s">
        <v>21182</v>
      </c>
      <c r="D7058" s="8" t="s">
        <v>16</v>
      </c>
      <c r="E7058" s="8" t="s">
        <v>17</v>
      </c>
      <c r="F7058" s="9">
        <v>46179.0</v>
      </c>
      <c r="G7058" s="8" t="s">
        <v>195</v>
      </c>
      <c r="H7058" s="8" t="s">
        <v>196</v>
      </c>
      <c r="I7058" s="8" t="s">
        <v>21183</v>
      </c>
      <c r="J7058" s="8" t="s">
        <v>21184</v>
      </c>
    </row>
    <row r="7059">
      <c r="A7059" s="7">
        <v>2.0065733E7</v>
      </c>
      <c r="B7059" s="8" t="s">
        <v>1828</v>
      </c>
      <c r="C7059" s="8" t="s">
        <v>21185</v>
      </c>
      <c r="D7059" s="8" t="s">
        <v>16</v>
      </c>
      <c r="E7059" s="8" t="s">
        <v>17</v>
      </c>
      <c r="F7059" s="9">
        <v>46185.0</v>
      </c>
      <c r="G7059" s="8" t="s">
        <v>357</v>
      </c>
      <c r="H7059" s="8" t="s">
        <v>358</v>
      </c>
      <c r="I7059" s="8" t="s">
        <v>21186</v>
      </c>
      <c r="J7059" s="8" t="s">
        <v>21187</v>
      </c>
    </row>
    <row r="7060">
      <c r="A7060" s="7">
        <v>2.0052375E7</v>
      </c>
      <c r="B7060" s="8" t="s">
        <v>1828</v>
      </c>
      <c r="C7060" s="8" t="s">
        <v>21188</v>
      </c>
      <c r="D7060" s="8" t="s">
        <v>16</v>
      </c>
      <c r="E7060" s="8" t="s">
        <v>17</v>
      </c>
      <c r="F7060" s="9">
        <v>46108.0</v>
      </c>
      <c r="G7060" s="8" t="s">
        <v>59</v>
      </c>
      <c r="H7060" s="8" t="s">
        <v>60</v>
      </c>
      <c r="I7060" s="8" t="s">
        <v>21189</v>
      </c>
      <c r="J7060" s="8" t="s">
        <v>21190</v>
      </c>
    </row>
    <row r="7061">
      <c r="A7061" s="7">
        <v>2.0052375E7</v>
      </c>
      <c r="B7061" s="8" t="s">
        <v>1828</v>
      </c>
      <c r="C7061" s="8" t="s">
        <v>21188</v>
      </c>
      <c r="D7061" s="8" t="s">
        <v>16</v>
      </c>
      <c r="E7061" s="8" t="s">
        <v>17</v>
      </c>
      <c r="F7061" s="9">
        <v>46108.0</v>
      </c>
      <c r="G7061" s="8" t="s">
        <v>365</v>
      </c>
      <c r="H7061" s="8" t="s">
        <v>366</v>
      </c>
      <c r="I7061" s="8" t="s">
        <v>21191</v>
      </c>
      <c r="J7061" s="8" t="s">
        <v>21192</v>
      </c>
    </row>
    <row r="7062">
      <c r="A7062" s="7">
        <v>2.0046394E7</v>
      </c>
      <c r="B7062" s="8" t="s">
        <v>1828</v>
      </c>
      <c r="C7062" s="8" t="s">
        <v>21193</v>
      </c>
      <c r="D7062" s="8" t="s">
        <v>16</v>
      </c>
      <c r="E7062" s="8" t="s">
        <v>17</v>
      </c>
      <c r="F7062" s="9">
        <v>46100.0</v>
      </c>
      <c r="G7062" s="8" t="s">
        <v>132</v>
      </c>
      <c r="H7062" s="8" t="s">
        <v>133</v>
      </c>
      <c r="I7062" s="8" t="s">
        <v>21194</v>
      </c>
      <c r="J7062" s="8" t="s">
        <v>21195</v>
      </c>
    </row>
    <row r="7063">
      <c r="A7063" s="7">
        <v>2.0042472E7</v>
      </c>
      <c r="B7063" s="8" t="s">
        <v>1828</v>
      </c>
      <c r="C7063" s="8" t="s">
        <v>21196</v>
      </c>
      <c r="D7063" s="8" t="s">
        <v>16</v>
      </c>
      <c r="E7063" s="8" t="s">
        <v>17</v>
      </c>
      <c r="F7063" s="9">
        <v>46097.0</v>
      </c>
      <c r="G7063" s="8" t="s">
        <v>21197</v>
      </c>
      <c r="H7063" s="8" t="s">
        <v>21198</v>
      </c>
      <c r="I7063" s="8" t="s">
        <v>21199</v>
      </c>
      <c r="J7063" s="8" t="s">
        <v>21200</v>
      </c>
    </row>
    <row r="7064">
      <c r="A7064" s="7">
        <v>2.0042472E7</v>
      </c>
      <c r="B7064" s="8" t="s">
        <v>1828</v>
      </c>
      <c r="C7064" s="8" t="s">
        <v>21196</v>
      </c>
      <c r="D7064" s="8" t="s">
        <v>16</v>
      </c>
      <c r="E7064" s="8" t="s">
        <v>17</v>
      </c>
      <c r="F7064" s="9">
        <v>46097.0</v>
      </c>
      <c r="G7064" s="8" t="s">
        <v>21201</v>
      </c>
      <c r="H7064" s="8" t="s">
        <v>2123</v>
      </c>
      <c r="I7064" s="8" t="s">
        <v>21202</v>
      </c>
      <c r="J7064" s="8" t="s">
        <v>21203</v>
      </c>
    </row>
    <row r="7065">
      <c r="A7065" s="7">
        <v>2.0034663E7</v>
      </c>
      <c r="B7065" s="8" t="s">
        <v>1828</v>
      </c>
      <c r="C7065" s="8" t="s">
        <v>21204</v>
      </c>
      <c r="D7065" s="8" t="s">
        <v>16</v>
      </c>
      <c r="E7065" s="8" t="s">
        <v>17</v>
      </c>
      <c r="F7065" s="9">
        <v>46056.0</v>
      </c>
      <c r="G7065" s="8" t="s">
        <v>8538</v>
      </c>
      <c r="H7065" s="8" t="s">
        <v>8539</v>
      </c>
      <c r="I7065" s="8" t="s">
        <v>21205</v>
      </c>
      <c r="J7065" s="8" t="s">
        <v>21206</v>
      </c>
    </row>
    <row r="7066">
      <c r="A7066" s="7">
        <v>2.0035156E7</v>
      </c>
      <c r="B7066" s="8" t="s">
        <v>1828</v>
      </c>
      <c r="C7066" s="8" t="s">
        <v>21207</v>
      </c>
      <c r="D7066" s="8" t="s">
        <v>16</v>
      </c>
      <c r="E7066" s="8" t="s">
        <v>17</v>
      </c>
      <c r="F7066" s="9">
        <v>46059.0</v>
      </c>
      <c r="G7066" s="8" t="s">
        <v>171</v>
      </c>
      <c r="H7066" s="8" t="s">
        <v>172</v>
      </c>
      <c r="I7066" s="8" t="s">
        <v>21208</v>
      </c>
      <c r="J7066" s="8" t="s">
        <v>21209</v>
      </c>
    </row>
    <row r="7067">
      <c r="A7067" s="7">
        <v>2.0034234E7</v>
      </c>
      <c r="B7067" s="8" t="s">
        <v>1828</v>
      </c>
      <c r="C7067" s="8" t="s">
        <v>21210</v>
      </c>
      <c r="D7067" s="8" t="s">
        <v>16</v>
      </c>
      <c r="E7067" s="8" t="s">
        <v>17</v>
      </c>
      <c r="F7067" s="9">
        <v>46049.0</v>
      </c>
      <c r="G7067" s="8" t="s">
        <v>124</v>
      </c>
      <c r="H7067" s="8" t="s">
        <v>125</v>
      </c>
      <c r="I7067" s="8" t="s">
        <v>21211</v>
      </c>
      <c r="J7067" s="8" t="s">
        <v>21212</v>
      </c>
    </row>
    <row r="7068">
      <c r="A7068" s="7">
        <v>2.0070225E7</v>
      </c>
      <c r="B7068" s="8" t="s">
        <v>1828</v>
      </c>
      <c r="C7068" s="8" t="s">
        <v>21213</v>
      </c>
      <c r="D7068" s="8" t="s">
        <v>16</v>
      </c>
      <c r="E7068" s="8" t="s">
        <v>17</v>
      </c>
      <c r="F7068" s="9">
        <v>46189.0</v>
      </c>
      <c r="G7068" s="8" t="s">
        <v>5282</v>
      </c>
      <c r="H7068" s="8" t="s">
        <v>5283</v>
      </c>
      <c r="I7068" s="8" t="s">
        <v>21214</v>
      </c>
      <c r="J7068" s="8" t="s">
        <v>21215</v>
      </c>
    </row>
    <row r="7069">
      <c r="A7069" s="7">
        <v>2.0070225E7</v>
      </c>
      <c r="B7069" s="8" t="s">
        <v>1828</v>
      </c>
      <c r="C7069" s="8" t="s">
        <v>21213</v>
      </c>
      <c r="D7069" s="8" t="s">
        <v>16</v>
      </c>
      <c r="E7069" s="8" t="s">
        <v>17</v>
      </c>
      <c r="F7069" s="9">
        <v>46189.0</v>
      </c>
      <c r="G7069" s="8" t="s">
        <v>234</v>
      </c>
      <c r="H7069" s="8" t="s">
        <v>235</v>
      </c>
      <c r="I7069" s="8" t="s">
        <v>21216</v>
      </c>
      <c r="J7069" s="8" t="s">
        <v>21217</v>
      </c>
    </row>
    <row r="7070">
      <c r="A7070" s="7">
        <v>2.00679E7</v>
      </c>
      <c r="B7070" s="8" t="s">
        <v>1828</v>
      </c>
      <c r="C7070" s="8" t="s">
        <v>21218</v>
      </c>
      <c r="D7070" s="8" t="s">
        <v>16</v>
      </c>
      <c r="E7070" s="8" t="s">
        <v>17</v>
      </c>
      <c r="F7070" s="9">
        <v>46179.0</v>
      </c>
      <c r="G7070" s="8" t="s">
        <v>428</v>
      </c>
      <c r="H7070" s="8" t="s">
        <v>429</v>
      </c>
      <c r="I7070" s="8" t="s">
        <v>21219</v>
      </c>
      <c r="J7070" s="8"/>
    </row>
    <row r="7071">
      <c r="A7071" s="7">
        <v>2.0057707E7</v>
      </c>
      <c r="B7071" s="8" t="s">
        <v>1828</v>
      </c>
      <c r="C7071" s="8" t="s">
        <v>21220</v>
      </c>
      <c r="D7071" s="8" t="s">
        <v>16</v>
      </c>
      <c r="E7071" s="8" t="s">
        <v>17</v>
      </c>
      <c r="F7071" s="9">
        <v>46151.0</v>
      </c>
      <c r="G7071" s="8" t="s">
        <v>176</v>
      </c>
      <c r="H7071" s="8" t="s">
        <v>177</v>
      </c>
      <c r="I7071" s="8" t="s">
        <v>21221</v>
      </c>
      <c r="J7071" s="8" t="s">
        <v>21222</v>
      </c>
    </row>
    <row r="7072">
      <c r="A7072" s="7">
        <v>2.0054928E7</v>
      </c>
      <c r="B7072" s="8" t="s">
        <v>1828</v>
      </c>
      <c r="C7072" s="8" t="s">
        <v>21223</v>
      </c>
      <c r="D7072" s="8" t="s">
        <v>16</v>
      </c>
      <c r="E7072" s="8" t="s">
        <v>17</v>
      </c>
      <c r="F7072" s="9">
        <v>46132.0</v>
      </c>
      <c r="G7072" s="8" t="s">
        <v>1045</v>
      </c>
      <c r="H7072" s="8" t="s">
        <v>909</v>
      </c>
      <c r="I7072" s="8" t="s">
        <v>21224</v>
      </c>
      <c r="J7072" s="8" t="s">
        <v>21225</v>
      </c>
    </row>
    <row r="7073">
      <c r="A7073" s="7">
        <v>2.0049481E7</v>
      </c>
      <c r="B7073" s="8" t="s">
        <v>1828</v>
      </c>
      <c r="C7073" s="8" t="s">
        <v>21226</v>
      </c>
      <c r="D7073" s="8" t="s">
        <v>16</v>
      </c>
      <c r="E7073" s="8" t="s">
        <v>17</v>
      </c>
      <c r="F7073" s="9">
        <v>46117.0</v>
      </c>
      <c r="G7073" s="8" t="s">
        <v>171</v>
      </c>
      <c r="H7073" s="8" t="s">
        <v>172</v>
      </c>
      <c r="I7073" s="8" t="s">
        <v>21227</v>
      </c>
      <c r="J7073" s="8"/>
    </row>
    <row r="7074">
      <c r="A7074" s="7">
        <v>2.0045005E7</v>
      </c>
      <c r="B7074" s="8" t="s">
        <v>1828</v>
      </c>
      <c r="C7074" s="8" t="s">
        <v>21228</v>
      </c>
      <c r="D7074" s="8" t="s">
        <v>16</v>
      </c>
      <c r="E7074" s="8" t="s">
        <v>17</v>
      </c>
      <c r="F7074" s="9">
        <v>46094.0</v>
      </c>
      <c r="G7074" s="8" t="s">
        <v>14064</v>
      </c>
      <c r="H7074" s="8" t="s">
        <v>14065</v>
      </c>
      <c r="I7074" s="8" t="s">
        <v>21229</v>
      </c>
      <c r="J7074" s="8"/>
    </row>
    <row r="7075">
      <c r="A7075" s="7">
        <v>2.0044302E7</v>
      </c>
      <c r="B7075" s="8" t="s">
        <v>1828</v>
      </c>
      <c r="C7075" s="8" t="s">
        <v>21230</v>
      </c>
      <c r="D7075" s="8" t="s">
        <v>16</v>
      </c>
      <c r="E7075" s="8" t="s">
        <v>17</v>
      </c>
      <c r="F7075" s="9">
        <v>46090.0</v>
      </c>
      <c r="G7075" s="8" t="s">
        <v>7659</v>
      </c>
      <c r="H7075" s="8" t="s">
        <v>7660</v>
      </c>
      <c r="I7075" s="8" t="s">
        <v>21231</v>
      </c>
      <c r="J7075" s="8" t="s">
        <v>21232</v>
      </c>
    </row>
    <row r="7076">
      <c r="A7076" s="7">
        <v>2.0042113E7</v>
      </c>
      <c r="B7076" s="8" t="s">
        <v>1828</v>
      </c>
      <c r="C7076" s="8" t="s">
        <v>21233</v>
      </c>
      <c r="D7076" s="8" t="s">
        <v>16</v>
      </c>
      <c r="E7076" s="8" t="s">
        <v>17</v>
      </c>
      <c r="F7076" s="9">
        <v>46074.0</v>
      </c>
      <c r="G7076" s="8" t="s">
        <v>11113</v>
      </c>
      <c r="H7076" s="8" t="s">
        <v>11114</v>
      </c>
      <c r="I7076" s="8" t="s">
        <v>21234</v>
      </c>
      <c r="J7076" s="8" t="s">
        <v>21235</v>
      </c>
    </row>
    <row r="7077">
      <c r="A7077" s="7">
        <v>2.0062051E7</v>
      </c>
      <c r="B7077" s="8" t="s">
        <v>1828</v>
      </c>
      <c r="C7077" s="8" t="s">
        <v>21236</v>
      </c>
      <c r="D7077" s="8" t="s">
        <v>2136</v>
      </c>
      <c r="E7077" s="8" t="s">
        <v>17</v>
      </c>
      <c r="F7077" s="9">
        <v>46149.0</v>
      </c>
      <c r="G7077" s="8" t="s">
        <v>59</v>
      </c>
      <c r="H7077" s="8" t="s">
        <v>60</v>
      </c>
      <c r="I7077" s="8" t="s">
        <v>21237</v>
      </c>
      <c r="J7077" s="8" t="s">
        <v>21238</v>
      </c>
    </row>
    <row r="7078">
      <c r="A7078" s="7">
        <v>2.0060745E7</v>
      </c>
      <c r="B7078" s="8" t="s">
        <v>1828</v>
      </c>
      <c r="C7078" s="8" t="s">
        <v>21239</v>
      </c>
      <c r="D7078" s="8" t="s">
        <v>16</v>
      </c>
      <c r="E7078" s="8" t="s">
        <v>17</v>
      </c>
      <c r="F7078" s="9">
        <v>46151.0</v>
      </c>
      <c r="G7078" s="8" t="s">
        <v>5317</v>
      </c>
      <c r="H7078" s="8" t="s">
        <v>5318</v>
      </c>
      <c r="I7078" s="8" t="s">
        <v>21240</v>
      </c>
      <c r="J7078" s="8" t="s">
        <v>21241</v>
      </c>
    </row>
    <row r="7079">
      <c r="A7079" s="7">
        <v>2.005351E7</v>
      </c>
      <c r="B7079" s="8" t="s">
        <v>1828</v>
      </c>
      <c r="C7079" s="8" t="s">
        <v>21242</v>
      </c>
      <c r="D7079" s="8" t="s">
        <v>16</v>
      </c>
      <c r="E7079" s="8" t="s">
        <v>17</v>
      </c>
      <c r="F7079" s="9">
        <v>46118.0</v>
      </c>
      <c r="G7079" s="8" t="s">
        <v>59</v>
      </c>
      <c r="H7079" s="8" t="s">
        <v>60</v>
      </c>
      <c r="I7079" s="8" t="s">
        <v>21243</v>
      </c>
      <c r="J7079" s="8" t="s">
        <v>21244</v>
      </c>
    </row>
    <row r="7080">
      <c r="A7080" s="7">
        <v>2.004073E7</v>
      </c>
      <c r="B7080" s="8" t="s">
        <v>1828</v>
      </c>
      <c r="C7080" s="8" t="s">
        <v>21245</v>
      </c>
      <c r="D7080" s="8" t="s">
        <v>16</v>
      </c>
      <c r="E7080" s="8" t="s">
        <v>17</v>
      </c>
      <c r="F7080" s="9">
        <v>46067.0</v>
      </c>
      <c r="G7080" s="8" t="s">
        <v>1969</v>
      </c>
      <c r="H7080" s="8" t="s">
        <v>1970</v>
      </c>
      <c r="I7080" s="8" t="s">
        <v>21246</v>
      </c>
      <c r="J7080" s="8" t="s">
        <v>21247</v>
      </c>
    </row>
    <row r="7081">
      <c r="A7081" s="7">
        <v>2.003644E7</v>
      </c>
      <c r="B7081" s="8" t="s">
        <v>1828</v>
      </c>
      <c r="C7081" s="8" t="s">
        <v>21248</v>
      </c>
      <c r="D7081" s="8" t="s">
        <v>16</v>
      </c>
      <c r="E7081" s="8" t="s">
        <v>17</v>
      </c>
      <c r="F7081" s="9">
        <v>46057.0</v>
      </c>
      <c r="G7081" s="8" t="s">
        <v>91</v>
      </c>
      <c r="H7081" s="8" t="s">
        <v>92</v>
      </c>
      <c r="I7081" s="8" t="s">
        <v>21249</v>
      </c>
      <c r="J7081" s="8"/>
    </row>
    <row r="7082">
      <c r="A7082" s="7">
        <v>2.003644E7</v>
      </c>
      <c r="B7082" s="8" t="s">
        <v>1828</v>
      </c>
      <c r="C7082" s="8" t="s">
        <v>21248</v>
      </c>
      <c r="D7082" s="8" t="s">
        <v>16</v>
      </c>
      <c r="E7082" s="8" t="s">
        <v>17</v>
      </c>
      <c r="F7082" s="9">
        <v>46057.0</v>
      </c>
      <c r="G7082" s="8" t="s">
        <v>846</v>
      </c>
      <c r="H7082" s="8" t="s">
        <v>847</v>
      </c>
      <c r="I7082" s="8" t="s">
        <v>21250</v>
      </c>
      <c r="J7082" s="8" t="s">
        <v>21251</v>
      </c>
    </row>
    <row r="7083">
      <c r="A7083" s="7">
        <v>2.003644E7</v>
      </c>
      <c r="B7083" s="8" t="s">
        <v>1828</v>
      </c>
      <c r="C7083" s="8" t="s">
        <v>21248</v>
      </c>
      <c r="D7083" s="8" t="s">
        <v>16</v>
      </c>
      <c r="E7083" s="8" t="s">
        <v>17</v>
      </c>
      <c r="F7083" s="9">
        <v>46057.0</v>
      </c>
      <c r="G7083" s="8" t="s">
        <v>91</v>
      </c>
      <c r="H7083" s="8" t="s">
        <v>92</v>
      </c>
      <c r="I7083" s="8" t="s">
        <v>21252</v>
      </c>
      <c r="J7083" s="8" t="s">
        <v>21253</v>
      </c>
    </row>
    <row r="7084">
      <c r="A7084" s="7">
        <v>2.0035511E7</v>
      </c>
      <c r="B7084" s="8" t="s">
        <v>1828</v>
      </c>
      <c r="C7084" s="8" t="s">
        <v>21254</v>
      </c>
      <c r="D7084" s="8" t="s">
        <v>16</v>
      </c>
      <c r="E7084" s="8" t="s">
        <v>17</v>
      </c>
      <c r="F7084" s="9">
        <v>46047.0</v>
      </c>
      <c r="G7084" s="8" t="s">
        <v>234</v>
      </c>
      <c r="H7084" s="8" t="s">
        <v>235</v>
      </c>
      <c r="I7084" s="8" t="s">
        <v>21255</v>
      </c>
      <c r="J7084" s="8" t="s">
        <v>21256</v>
      </c>
    </row>
    <row r="7085">
      <c r="A7085" s="7">
        <v>2.0031411E7</v>
      </c>
      <c r="B7085" s="8" t="s">
        <v>1828</v>
      </c>
      <c r="C7085" s="8" t="s">
        <v>21257</v>
      </c>
      <c r="D7085" s="8" t="s">
        <v>16</v>
      </c>
      <c r="E7085" s="8" t="s">
        <v>17</v>
      </c>
      <c r="F7085" s="9">
        <v>46039.0</v>
      </c>
      <c r="G7085" s="8" t="s">
        <v>75</v>
      </c>
      <c r="H7085" s="8" t="s">
        <v>76</v>
      </c>
      <c r="I7085" s="8" t="s">
        <v>21258</v>
      </c>
      <c r="J7085" s="8" t="s">
        <v>21259</v>
      </c>
    </row>
    <row r="7086">
      <c r="A7086" s="7">
        <v>2.005922E7</v>
      </c>
      <c r="B7086" s="8" t="s">
        <v>1828</v>
      </c>
      <c r="C7086" s="8" t="s">
        <v>21260</v>
      </c>
      <c r="D7086" s="8" t="s">
        <v>16</v>
      </c>
      <c r="E7086" s="8" t="s">
        <v>17</v>
      </c>
      <c r="F7086" s="9">
        <v>46179.0</v>
      </c>
      <c r="G7086" s="8" t="s">
        <v>1754</v>
      </c>
      <c r="H7086" s="8" t="s">
        <v>1755</v>
      </c>
      <c r="I7086" s="8" t="s">
        <v>21261</v>
      </c>
      <c r="J7086" s="8" t="s">
        <v>21262</v>
      </c>
    </row>
    <row r="7087">
      <c r="A7087" s="7">
        <v>2.0057909E7</v>
      </c>
      <c r="B7087" s="8" t="s">
        <v>1828</v>
      </c>
      <c r="C7087" s="8" t="s">
        <v>21263</v>
      </c>
      <c r="D7087" s="8" t="s">
        <v>16</v>
      </c>
      <c r="E7087" s="8" t="s">
        <v>17</v>
      </c>
      <c r="F7087" s="9">
        <v>46155.0</v>
      </c>
      <c r="G7087" s="8" t="s">
        <v>132</v>
      </c>
      <c r="H7087" s="8" t="s">
        <v>133</v>
      </c>
      <c r="I7087" s="8" t="s">
        <v>21264</v>
      </c>
      <c r="J7087" s="8" t="s">
        <v>21265</v>
      </c>
    </row>
    <row r="7088">
      <c r="A7088" s="7">
        <v>2.005658E7</v>
      </c>
      <c r="B7088" s="8" t="s">
        <v>1828</v>
      </c>
      <c r="C7088" s="8" t="s">
        <v>21266</v>
      </c>
      <c r="D7088" s="8" t="s">
        <v>16</v>
      </c>
      <c r="E7088" s="8" t="s">
        <v>17</v>
      </c>
      <c r="F7088" s="9">
        <v>46134.0</v>
      </c>
      <c r="G7088" s="8" t="s">
        <v>195</v>
      </c>
      <c r="H7088" s="8" t="s">
        <v>196</v>
      </c>
      <c r="I7088" s="8" t="s">
        <v>21267</v>
      </c>
      <c r="J7088" s="8" t="s">
        <v>21268</v>
      </c>
    </row>
    <row r="7089">
      <c r="A7089" s="7">
        <v>2.0053006E7</v>
      </c>
      <c r="B7089" s="8" t="s">
        <v>1828</v>
      </c>
      <c r="C7089" s="8" t="s">
        <v>21269</v>
      </c>
      <c r="D7089" s="8" t="s">
        <v>16</v>
      </c>
      <c r="E7089" s="8" t="s">
        <v>17</v>
      </c>
      <c r="F7089" s="9">
        <v>46112.0</v>
      </c>
      <c r="G7089" s="8" t="s">
        <v>504</v>
      </c>
      <c r="H7089" s="8" t="s">
        <v>505</v>
      </c>
      <c r="I7089" s="8" t="s">
        <v>21270</v>
      </c>
      <c r="J7089" s="8" t="s">
        <v>21271</v>
      </c>
    </row>
    <row r="7090">
      <c r="A7090" s="7">
        <v>2.005167E7</v>
      </c>
      <c r="B7090" s="8" t="s">
        <v>1828</v>
      </c>
      <c r="C7090" s="8" t="s">
        <v>21272</v>
      </c>
      <c r="D7090" s="8" t="s">
        <v>16</v>
      </c>
      <c r="E7090" s="8" t="s">
        <v>17</v>
      </c>
      <c r="F7090" s="9">
        <v>46119.0</v>
      </c>
      <c r="G7090" s="8" t="s">
        <v>64</v>
      </c>
      <c r="H7090" s="8" t="s">
        <v>65</v>
      </c>
      <c r="I7090" s="8" t="s">
        <v>21273</v>
      </c>
      <c r="J7090" s="8" t="s">
        <v>21274</v>
      </c>
    </row>
    <row r="7091">
      <c r="A7091" s="7">
        <v>2.0046608E7</v>
      </c>
      <c r="B7091" s="8" t="s">
        <v>1828</v>
      </c>
      <c r="C7091" s="8" t="s">
        <v>21275</v>
      </c>
      <c r="D7091" s="8" t="s">
        <v>16</v>
      </c>
      <c r="E7091" s="8" t="s">
        <v>17</v>
      </c>
      <c r="F7091" s="9">
        <v>46119.0</v>
      </c>
      <c r="G7091" s="8" t="s">
        <v>21276</v>
      </c>
      <c r="H7091" s="8" t="s">
        <v>21277</v>
      </c>
      <c r="I7091" s="8" t="s">
        <v>21278</v>
      </c>
      <c r="J7091" s="8" t="s">
        <v>21279</v>
      </c>
    </row>
    <row r="7092">
      <c r="A7092" s="7">
        <v>2.0038729E7</v>
      </c>
      <c r="B7092" s="8" t="s">
        <v>1828</v>
      </c>
      <c r="C7092" s="8" t="s">
        <v>21280</v>
      </c>
      <c r="D7092" s="8" t="s">
        <v>16</v>
      </c>
      <c r="E7092" s="8" t="s">
        <v>17</v>
      </c>
      <c r="F7092" s="9">
        <v>46064.0</v>
      </c>
      <c r="G7092" s="8" t="s">
        <v>1045</v>
      </c>
      <c r="H7092" s="8" t="s">
        <v>909</v>
      </c>
      <c r="I7092" s="8" t="s">
        <v>21281</v>
      </c>
      <c r="J7092" s="8" t="s">
        <v>21282</v>
      </c>
    </row>
    <row r="7093">
      <c r="A7093" s="7">
        <v>2.0036685E7</v>
      </c>
      <c r="B7093" s="8" t="s">
        <v>1828</v>
      </c>
      <c r="C7093" s="8" t="s">
        <v>21283</v>
      </c>
      <c r="D7093" s="8" t="s">
        <v>16</v>
      </c>
      <c r="E7093" s="8" t="s">
        <v>17</v>
      </c>
      <c r="F7093" s="9">
        <v>46053.0</v>
      </c>
      <c r="G7093" s="8" t="s">
        <v>339</v>
      </c>
      <c r="H7093" s="8" t="s">
        <v>340</v>
      </c>
      <c r="I7093" s="8" t="s">
        <v>21284</v>
      </c>
      <c r="J7093" s="8" t="s">
        <v>21285</v>
      </c>
    </row>
    <row r="7094">
      <c r="A7094" s="7">
        <v>2.0070979E7</v>
      </c>
      <c r="B7094" s="8" t="s">
        <v>1828</v>
      </c>
      <c r="C7094" s="8" t="s">
        <v>21286</v>
      </c>
      <c r="D7094" s="8" t="s">
        <v>16</v>
      </c>
      <c r="E7094" s="8" t="s">
        <v>17</v>
      </c>
      <c r="F7094" s="9">
        <v>46192.0</v>
      </c>
      <c r="G7094" s="8" t="s">
        <v>75</v>
      </c>
      <c r="H7094" s="8" t="s">
        <v>76</v>
      </c>
      <c r="I7094" s="8" t="s">
        <v>21287</v>
      </c>
      <c r="J7094" s="8" t="s">
        <v>21288</v>
      </c>
    </row>
    <row r="7095">
      <c r="A7095" s="7">
        <v>2.0066006E7</v>
      </c>
      <c r="B7095" s="8" t="s">
        <v>1828</v>
      </c>
      <c r="C7095" s="8" t="s">
        <v>21289</v>
      </c>
      <c r="D7095" s="8" t="s">
        <v>16</v>
      </c>
      <c r="E7095" s="8" t="s">
        <v>17</v>
      </c>
      <c r="F7095" s="9">
        <v>46179.0</v>
      </c>
      <c r="G7095" s="8" t="s">
        <v>14772</v>
      </c>
      <c r="H7095" s="8" t="s">
        <v>14773</v>
      </c>
      <c r="I7095" s="8" t="s">
        <v>21290</v>
      </c>
      <c r="J7095" s="8" t="s">
        <v>21291</v>
      </c>
    </row>
    <row r="7096">
      <c r="A7096" s="7">
        <v>2.0063426E7</v>
      </c>
      <c r="B7096" s="8" t="s">
        <v>1828</v>
      </c>
      <c r="C7096" s="8" t="s">
        <v>21292</v>
      </c>
      <c r="D7096" s="8" t="s">
        <v>16</v>
      </c>
      <c r="E7096" s="8" t="s">
        <v>17</v>
      </c>
      <c r="F7096" s="9">
        <v>46191.0</v>
      </c>
      <c r="G7096" s="8" t="s">
        <v>21293</v>
      </c>
      <c r="H7096" s="8" t="s">
        <v>21294</v>
      </c>
      <c r="I7096" s="8" t="s">
        <v>21295</v>
      </c>
      <c r="J7096" s="8" t="s">
        <v>21296</v>
      </c>
    </row>
    <row r="7097">
      <c r="A7097" s="7">
        <v>2.0058469E7</v>
      </c>
      <c r="B7097" s="8" t="s">
        <v>1828</v>
      </c>
      <c r="C7097" s="8" t="s">
        <v>21297</v>
      </c>
      <c r="D7097" s="8" t="s">
        <v>16</v>
      </c>
      <c r="E7097" s="8" t="s">
        <v>17</v>
      </c>
      <c r="F7097" s="9">
        <v>46136.0</v>
      </c>
      <c r="G7097" s="8" t="s">
        <v>247</v>
      </c>
      <c r="H7097" s="8" t="s">
        <v>248</v>
      </c>
      <c r="I7097" s="8" t="s">
        <v>21298</v>
      </c>
      <c r="J7097" s="8" t="s">
        <v>21299</v>
      </c>
    </row>
    <row r="7098">
      <c r="A7098" s="7">
        <v>2.0056752E7</v>
      </c>
      <c r="B7098" s="8" t="s">
        <v>1828</v>
      </c>
      <c r="C7098" s="8" t="s">
        <v>21300</v>
      </c>
      <c r="D7098" s="8" t="s">
        <v>16</v>
      </c>
      <c r="E7098" s="8" t="s">
        <v>17</v>
      </c>
      <c r="F7098" s="9">
        <v>46128.0</v>
      </c>
      <c r="G7098" s="8" t="s">
        <v>882</v>
      </c>
      <c r="H7098" s="8" t="s">
        <v>883</v>
      </c>
      <c r="I7098" s="8" t="s">
        <v>21301</v>
      </c>
      <c r="J7098" s="8" t="s">
        <v>21302</v>
      </c>
    </row>
    <row r="7099">
      <c r="A7099" s="7">
        <v>2.0052327E7</v>
      </c>
      <c r="B7099" s="8" t="s">
        <v>1828</v>
      </c>
      <c r="C7099" s="8" t="s">
        <v>21303</v>
      </c>
      <c r="D7099" s="8" t="s">
        <v>16</v>
      </c>
      <c r="E7099" s="8" t="s">
        <v>17</v>
      </c>
      <c r="F7099" s="9">
        <v>46141.0</v>
      </c>
      <c r="G7099" s="8" t="s">
        <v>410</v>
      </c>
      <c r="H7099" s="8" t="s">
        <v>411</v>
      </c>
      <c r="I7099" s="8" t="s">
        <v>21304</v>
      </c>
      <c r="J7099" s="8" t="s">
        <v>21305</v>
      </c>
    </row>
    <row r="7100">
      <c r="A7100" s="7">
        <v>2.0046773E7</v>
      </c>
      <c r="B7100" s="8" t="s">
        <v>1828</v>
      </c>
      <c r="C7100" s="8" t="s">
        <v>21306</v>
      </c>
      <c r="D7100" s="8" t="s">
        <v>16</v>
      </c>
      <c r="E7100" s="8" t="s">
        <v>17</v>
      </c>
      <c r="F7100" s="9">
        <v>46085.0</v>
      </c>
      <c r="G7100" s="8" t="s">
        <v>59</v>
      </c>
      <c r="H7100" s="8" t="s">
        <v>60</v>
      </c>
      <c r="I7100" s="8" t="s">
        <v>21307</v>
      </c>
      <c r="J7100" s="8" t="s">
        <v>21308</v>
      </c>
    </row>
    <row r="7101">
      <c r="A7101" s="7">
        <v>2.0046392E7</v>
      </c>
      <c r="B7101" s="8" t="s">
        <v>1828</v>
      </c>
      <c r="C7101" s="8" t="s">
        <v>21309</v>
      </c>
      <c r="D7101" s="8" t="s">
        <v>16</v>
      </c>
      <c r="E7101" s="8" t="s">
        <v>17</v>
      </c>
      <c r="F7101" s="9">
        <v>46086.0</v>
      </c>
      <c r="G7101" s="8" t="s">
        <v>873</v>
      </c>
      <c r="H7101" s="8" t="s">
        <v>874</v>
      </c>
      <c r="I7101" s="8" t="s">
        <v>21310</v>
      </c>
      <c r="J7101" s="8" t="s">
        <v>21311</v>
      </c>
    </row>
    <row r="7102">
      <c r="A7102" s="7">
        <v>2.0041725E7</v>
      </c>
      <c r="B7102" s="8" t="s">
        <v>1828</v>
      </c>
      <c r="C7102" s="8" t="s">
        <v>21312</v>
      </c>
      <c r="D7102" s="8" t="s">
        <v>16</v>
      </c>
      <c r="E7102" s="8" t="s">
        <v>17</v>
      </c>
      <c r="F7102" s="9">
        <v>46066.0</v>
      </c>
      <c r="G7102" s="8" t="s">
        <v>846</v>
      </c>
      <c r="H7102" s="8" t="s">
        <v>847</v>
      </c>
      <c r="I7102" s="8" t="s">
        <v>21313</v>
      </c>
      <c r="J7102" s="8" t="s">
        <v>21314</v>
      </c>
    </row>
    <row r="7103">
      <c r="A7103" s="7">
        <v>2.0036807E7</v>
      </c>
      <c r="B7103" s="8" t="s">
        <v>1828</v>
      </c>
      <c r="C7103" s="8" t="s">
        <v>21315</v>
      </c>
      <c r="D7103" s="8" t="s">
        <v>16</v>
      </c>
      <c r="E7103" s="8" t="s">
        <v>17</v>
      </c>
      <c r="F7103" s="9">
        <v>46053.0</v>
      </c>
      <c r="G7103" s="8" t="s">
        <v>2486</v>
      </c>
      <c r="H7103" s="8" t="s">
        <v>44</v>
      </c>
      <c r="I7103" s="8" t="s">
        <v>21316</v>
      </c>
      <c r="J7103" s="8" t="s">
        <v>21317</v>
      </c>
    </row>
    <row r="7104">
      <c r="A7104" s="7">
        <v>2.0036946E7</v>
      </c>
      <c r="B7104" s="8" t="s">
        <v>1828</v>
      </c>
      <c r="C7104" s="8" t="s">
        <v>21318</v>
      </c>
      <c r="D7104" s="8" t="s">
        <v>16</v>
      </c>
      <c r="E7104" s="8" t="s">
        <v>17</v>
      </c>
      <c r="F7104" s="9">
        <v>46046.0</v>
      </c>
      <c r="G7104" s="8" t="s">
        <v>59</v>
      </c>
      <c r="H7104" s="8" t="s">
        <v>60</v>
      </c>
      <c r="I7104" s="8" t="s">
        <v>21319</v>
      </c>
      <c r="J7104" s="8" t="s">
        <v>21320</v>
      </c>
    </row>
    <row r="7105">
      <c r="A7105" s="7">
        <v>2.0034806E7</v>
      </c>
      <c r="B7105" s="8" t="s">
        <v>1828</v>
      </c>
      <c r="C7105" s="8" t="s">
        <v>21321</v>
      </c>
      <c r="D7105" s="8" t="s">
        <v>16</v>
      </c>
      <c r="E7105" s="8" t="s">
        <v>17</v>
      </c>
      <c r="F7105" s="9">
        <v>46053.0</v>
      </c>
      <c r="G7105" s="8" t="s">
        <v>361</v>
      </c>
      <c r="H7105" s="8" t="s">
        <v>362</v>
      </c>
      <c r="I7105" s="8" t="s">
        <v>21322</v>
      </c>
      <c r="J7105" s="8" t="s">
        <v>21323</v>
      </c>
    </row>
    <row r="7106">
      <c r="A7106" s="7">
        <v>2.0070816E7</v>
      </c>
      <c r="B7106" s="8" t="s">
        <v>1828</v>
      </c>
      <c r="C7106" s="8" t="s">
        <v>21324</v>
      </c>
      <c r="D7106" s="8" t="s">
        <v>2136</v>
      </c>
      <c r="E7106" s="8" t="s">
        <v>17</v>
      </c>
      <c r="F7106" s="9">
        <v>46185.0</v>
      </c>
      <c r="G7106" s="8" t="s">
        <v>29</v>
      </c>
      <c r="H7106" s="8" t="s">
        <v>30</v>
      </c>
      <c r="I7106" s="8" t="s">
        <v>21325</v>
      </c>
      <c r="J7106" s="8" t="s">
        <v>21326</v>
      </c>
    </row>
    <row r="7107">
      <c r="A7107" s="7">
        <v>2.0067552E7</v>
      </c>
      <c r="B7107" s="8" t="s">
        <v>1828</v>
      </c>
      <c r="C7107" s="8" t="s">
        <v>21327</v>
      </c>
      <c r="D7107" s="8" t="s">
        <v>16</v>
      </c>
      <c r="E7107" s="8" t="s">
        <v>17</v>
      </c>
      <c r="F7107" s="9">
        <v>46188.0</v>
      </c>
      <c r="G7107" s="8" t="s">
        <v>234</v>
      </c>
      <c r="H7107" s="8" t="s">
        <v>235</v>
      </c>
      <c r="I7107" s="8" t="s">
        <v>21328</v>
      </c>
      <c r="J7107" s="8" t="s">
        <v>21329</v>
      </c>
    </row>
    <row r="7108">
      <c r="A7108" s="7">
        <v>2.0063713E7</v>
      </c>
      <c r="B7108" s="8" t="s">
        <v>1828</v>
      </c>
      <c r="C7108" s="8" t="s">
        <v>21330</v>
      </c>
      <c r="D7108" s="8" t="s">
        <v>16</v>
      </c>
      <c r="E7108" s="8" t="s">
        <v>17</v>
      </c>
      <c r="F7108" s="9">
        <v>46160.0</v>
      </c>
      <c r="G7108" s="8" t="s">
        <v>630</v>
      </c>
      <c r="H7108" s="8" t="s">
        <v>631</v>
      </c>
      <c r="I7108" s="8" t="s">
        <v>21331</v>
      </c>
      <c r="J7108" s="8" t="s">
        <v>21332</v>
      </c>
    </row>
    <row r="7109">
      <c r="A7109" s="7">
        <v>2.00569E7</v>
      </c>
      <c r="B7109" s="8" t="s">
        <v>1828</v>
      </c>
      <c r="C7109" s="8" t="s">
        <v>21333</v>
      </c>
      <c r="D7109" s="8" t="s">
        <v>16</v>
      </c>
      <c r="E7109" s="8" t="s">
        <v>17</v>
      </c>
      <c r="F7109" s="9">
        <v>46184.0</v>
      </c>
      <c r="G7109" s="8" t="s">
        <v>7711</v>
      </c>
      <c r="H7109" s="8" t="s">
        <v>7712</v>
      </c>
      <c r="I7109" s="8" t="s">
        <v>21334</v>
      </c>
      <c r="J7109" s="8" t="s">
        <v>21335</v>
      </c>
    </row>
    <row r="7110">
      <c r="A7110" s="7">
        <v>2.0059495E7</v>
      </c>
      <c r="B7110" s="8" t="s">
        <v>1828</v>
      </c>
      <c r="C7110" s="8" t="s">
        <v>21336</v>
      </c>
      <c r="D7110" s="8" t="s">
        <v>2136</v>
      </c>
      <c r="E7110" s="8" t="s">
        <v>17</v>
      </c>
      <c r="F7110" s="9">
        <v>46143.0</v>
      </c>
      <c r="G7110" s="8" t="s">
        <v>846</v>
      </c>
      <c r="H7110" s="8" t="s">
        <v>847</v>
      </c>
      <c r="I7110" s="8" t="s">
        <v>21337</v>
      </c>
      <c r="J7110" s="8" t="s">
        <v>21338</v>
      </c>
    </row>
    <row r="7111">
      <c r="A7111" s="7">
        <v>2.0060064E7</v>
      </c>
      <c r="B7111" s="8" t="s">
        <v>1828</v>
      </c>
      <c r="C7111" s="8" t="s">
        <v>21339</v>
      </c>
      <c r="D7111" s="8" t="s">
        <v>16</v>
      </c>
      <c r="E7111" s="8" t="s">
        <v>17</v>
      </c>
      <c r="F7111" s="9">
        <v>46150.0</v>
      </c>
      <c r="G7111" s="8" t="s">
        <v>21340</v>
      </c>
      <c r="H7111" s="8" t="s">
        <v>21341</v>
      </c>
      <c r="I7111" s="8" t="s">
        <v>21342</v>
      </c>
      <c r="J7111" s="8"/>
    </row>
    <row r="7112">
      <c r="A7112" s="7">
        <v>2.0058362E7</v>
      </c>
      <c r="B7112" s="8" t="s">
        <v>1828</v>
      </c>
      <c r="C7112" s="8" t="s">
        <v>21343</v>
      </c>
      <c r="D7112" s="8" t="s">
        <v>16</v>
      </c>
      <c r="E7112" s="8" t="s">
        <v>48</v>
      </c>
      <c r="F7112" s="9">
        <v>46136.0</v>
      </c>
      <c r="G7112" s="8" t="s">
        <v>21344</v>
      </c>
      <c r="H7112" s="8" t="s">
        <v>21345</v>
      </c>
      <c r="I7112" s="8" t="s">
        <v>21346</v>
      </c>
      <c r="J7112" s="8"/>
    </row>
    <row r="7113">
      <c r="A7113" s="7">
        <v>2.0050501E7</v>
      </c>
      <c r="B7113" s="8" t="s">
        <v>1828</v>
      </c>
      <c r="C7113" s="8" t="s">
        <v>21347</v>
      </c>
      <c r="D7113" s="8" t="s">
        <v>16</v>
      </c>
      <c r="E7113" s="8" t="s">
        <v>17</v>
      </c>
      <c r="F7113" s="9">
        <v>46122.0</v>
      </c>
      <c r="G7113" s="8" t="s">
        <v>158</v>
      </c>
      <c r="H7113" s="8" t="s">
        <v>159</v>
      </c>
      <c r="I7113" s="8" t="s">
        <v>21348</v>
      </c>
      <c r="J7113" s="8" t="s">
        <v>21349</v>
      </c>
    </row>
    <row r="7114">
      <c r="A7114" s="7">
        <v>2.0047827E7</v>
      </c>
      <c r="B7114" s="8" t="s">
        <v>1828</v>
      </c>
      <c r="C7114" s="8" t="s">
        <v>21350</v>
      </c>
      <c r="D7114" s="8" t="s">
        <v>16</v>
      </c>
      <c r="E7114" s="8" t="s">
        <v>17</v>
      </c>
      <c r="F7114" s="9">
        <v>46096.0</v>
      </c>
      <c r="G7114" s="8" t="s">
        <v>91</v>
      </c>
      <c r="H7114" s="8" t="s">
        <v>92</v>
      </c>
      <c r="I7114" s="8" t="s">
        <v>21351</v>
      </c>
      <c r="J7114" s="8" t="s">
        <v>21352</v>
      </c>
    </row>
    <row r="7115">
      <c r="A7115" s="7">
        <v>2.0043813E7</v>
      </c>
      <c r="B7115" s="8" t="s">
        <v>1828</v>
      </c>
      <c r="C7115" s="8" t="s">
        <v>21353</v>
      </c>
      <c r="D7115" s="8" t="s">
        <v>16</v>
      </c>
      <c r="E7115" s="8" t="s">
        <v>17</v>
      </c>
      <c r="F7115" s="9">
        <v>46077.0</v>
      </c>
      <c r="G7115" s="8" t="s">
        <v>273</v>
      </c>
      <c r="H7115" s="8" t="s">
        <v>274</v>
      </c>
      <c r="I7115" s="8" t="s">
        <v>21354</v>
      </c>
      <c r="J7115" s="8" t="s">
        <v>21355</v>
      </c>
    </row>
    <row r="7116">
      <c r="A7116" s="7">
        <v>2.004313E7</v>
      </c>
      <c r="B7116" s="8" t="s">
        <v>1828</v>
      </c>
      <c r="C7116" s="8" t="s">
        <v>21356</v>
      </c>
      <c r="D7116" s="8" t="s">
        <v>2136</v>
      </c>
      <c r="E7116" s="8" t="s">
        <v>17</v>
      </c>
      <c r="F7116" s="9">
        <v>46070.0</v>
      </c>
      <c r="G7116" s="8" t="s">
        <v>109</v>
      </c>
      <c r="H7116" s="8" t="s">
        <v>110</v>
      </c>
      <c r="I7116" s="8" t="s">
        <v>21357</v>
      </c>
      <c r="J7116" s="8" t="s">
        <v>21358</v>
      </c>
    </row>
    <row r="7117">
      <c r="A7117" s="7">
        <v>2.0040686E7</v>
      </c>
      <c r="B7117" s="8" t="s">
        <v>1828</v>
      </c>
      <c r="C7117" s="8" t="s">
        <v>21359</v>
      </c>
      <c r="D7117" s="8" t="s">
        <v>16</v>
      </c>
      <c r="E7117" s="8" t="s">
        <v>17</v>
      </c>
      <c r="F7117" s="9">
        <v>46062.0</v>
      </c>
      <c r="G7117" s="8" t="s">
        <v>195</v>
      </c>
      <c r="H7117" s="8" t="s">
        <v>196</v>
      </c>
      <c r="I7117" s="8" t="s">
        <v>21360</v>
      </c>
      <c r="J7117" s="8" t="s">
        <v>21361</v>
      </c>
    </row>
    <row r="7118">
      <c r="A7118" s="7">
        <v>2.0039027E7</v>
      </c>
      <c r="B7118" s="8" t="s">
        <v>1828</v>
      </c>
      <c r="C7118" s="8" t="s">
        <v>21362</v>
      </c>
      <c r="D7118" s="8" t="s">
        <v>16</v>
      </c>
      <c r="E7118" s="8" t="s">
        <v>17</v>
      </c>
      <c r="F7118" s="9">
        <v>46062.0</v>
      </c>
      <c r="G7118" s="8" t="s">
        <v>873</v>
      </c>
      <c r="H7118" s="8" t="s">
        <v>874</v>
      </c>
      <c r="I7118" s="8" t="s">
        <v>21363</v>
      </c>
      <c r="J7118" s="8" t="s">
        <v>21364</v>
      </c>
    </row>
    <row r="7119">
      <c r="A7119" s="7">
        <v>2.0031757E7</v>
      </c>
      <c r="B7119" s="8" t="s">
        <v>1828</v>
      </c>
      <c r="C7119" s="8" t="s">
        <v>21365</v>
      </c>
      <c r="D7119" s="8" t="s">
        <v>16</v>
      </c>
      <c r="E7119" s="8" t="s">
        <v>17</v>
      </c>
      <c r="F7119" s="9">
        <v>46056.0</v>
      </c>
      <c r="G7119" s="8" t="s">
        <v>285</v>
      </c>
      <c r="H7119" s="8" t="s">
        <v>286</v>
      </c>
      <c r="I7119" s="8" t="s">
        <v>21366</v>
      </c>
      <c r="J7119" s="8" t="s">
        <v>21367</v>
      </c>
    </row>
    <row r="7120">
      <c r="A7120" s="7">
        <v>2.0070962E7</v>
      </c>
      <c r="B7120" s="8" t="s">
        <v>1828</v>
      </c>
      <c r="C7120" s="8" t="s">
        <v>21368</v>
      </c>
      <c r="D7120" s="8" t="s">
        <v>16</v>
      </c>
      <c r="E7120" s="8" t="s">
        <v>17</v>
      </c>
      <c r="F7120" s="9">
        <v>46193.0</v>
      </c>
      <c r="G7120" s="8" t="s">
        <v>423</v>
      </c>
      <c r="H7120" s="8" t="s">
        <v>6351</v>
      </c>
      <c r="I7120" s="8" t="s">
        <v>21369</v>
      </c>
      <c r="J7120" s="8" t="s">
        <v>21370</v>
      </c>
    </row>
    <row r="7121">
      <c r="A7121" s="7">
        <v>2.0062741E7</v>
      </c>
      <c r="B7121" s="8" t="s">
        <v>1828</v>
      </c>
      <c r="C7121" s="8" t="s">
        <v>21371</v>
      </c>
      <c r="D7121" s="8" t="s">
        <v>16</v>
      </c>
      <c r="E7121" s="8" t="s">
        <v>17</v>
      </c>
      <c r="F7121" s="9">
        <v>46156.0</v>
      </c>
      <c r="G7121" s="8" t="s">
        <v>18249</v>
      </c>
      <c r="H7121" s="8" t="s">
        <v>18250</v>
      </c>
      <c r="I7121" s="8" t="s">
        <v>21372</v>
      </c>
      <c r="J7121" s="8"/>
    </row>
    <row r="7122">
      <c r="A7122" s="7">
        <v>2.0058327E7</v>
      </c>
      <c r="B7122" s="8" t="s">
        <v>1828</v>
      </c>
      <c r="C7122" s="8" t="s">
        <v>21373</v>
      </c>
      <c r="D7122" s="8" t="s">
        <v>16</v>
      </c>
      <c r="E7122" s="8" t="s">
        <v>17</v>
      </c>
      <c r="F7122" s="9">
        <v>46178.0</v>
      </c>
      <c r="G7122" s="8" t="s">
        <v>314</v>
      </c>
      <c r="H7122" s="8" t="s">
        <v>315</v>
      </c>
      <c r="I7122" s="8" t="s">
        <v>21374</v>
      </c>
      <c r="J7122" s="8" t="s">
        <v>21375</v>
      </c>
    </row>
    <row r="7123">
      <c r="A7123" s="7">
        <v>2.0056869E7</v>
      </c>
      <c r="B7123" s="8" t="s">
        <v>1828</v>
      </c>
      <c r="C7123" s="8" t="s">
        <v>21376</v>
      </c>
      <c r="D7123" s="8" t="s">
        <v>16</v>
      </c>
      <c r="E7123" s="8" t="s">
        <v>17</v>
      </c>
      <c r="F7123" s="9">
        <v>46135.0</v>
      </c>
      <c r="G7123" s="8" t="s">
        <v>630</v>
      </c>
      <c r="H7123" s="8" t="s">
        <v>631</v>
      </c>
      <c r="I7123" s="8" t="s">
        <v>21377</v>
      </c>
      <c r="J7123" s="8" t="s">
        <v>20805</v>
      </c>
    </row>
    <row r="7124">
      <c r="A7124" s="7">
        <v>2.005555E7</v>
      </c>
      <c r="B7124" s="8" t="s">
        <v>1828</v>
      </c>
      <c r="C7124" s="8" t="s">
        <v>21378</v>
      </c>
      <c r="D7124" s="8" t="s">
        <v>16</v>
      </c>
      <c r="E7124" s="8" t="s">
        <v>17</v>
      </c>
      <c r="F7124" s="9">
        <v>46155.0</v>
      </c>
      <c r="G7124" s="8" t="s">
        <v>21379</v>
      </c>
      <c r="H7124" s="8" t="s">
        <v>21380</v>
      </c>
      <c r="I7124" s="8" t="s">
        <v>21381</v>
      </c>
      <c r="J7124" s="8" t="s">
        <v>21382</v>
      </c>
    </row>
    <row r="7125">
      <c r="A7125" s="7">
        <v>2.0049509E7</v>
      </c>
      <c r="B7125" s="8" t="s">
        <v>1828</v>
      </c>
      <c r="C7125" s="8" t="s">
        <v>21383</v>
      </c>
      <c r="D7125" s="8" t="s">
        <v>16</v>
      </c>
      <c r="E7125" s="8" t="s">
        <v>17</v>
      </c>
      <c r="F7125" s="9">
        <v>46116.0</v>
      </c>
      <c r="G7125" s="8" t="s">
        <v>3602</v>
      </c>
      <c r="H7125" s="8" t="s">
        <v>3603</v>
      </c>
      <c r="I7125" s="8" t="s">
        <v>21384</v>
      </c>
      <c r="J7125" s="8" t="s">
        <v>21385</v>
      </c>
    </row>
    <row r="7126">
      <c r="A7126" s="7">
        <v>2.0048153E7</v>
      </c>
      <c r="B7126" s="8" t="s">
        <v>1828</v>
      </c>
      <c r="C7126" s="8" t="s">
        <v>21386</v>
      </c>
      <c r="D7126" s="8" t="s">
        <v>16</v>
      </c>
      <c r="E7126" s="8" t="s">
        <v>17</v>
      </c>
      <c r="F7126" s="9">
        <v>46097.0</v>
      </c>
      <c r="G7126" s="8" t="s">
        <v>5723</v>
      </c>
      <c r="H7126" s="8" t="s">
        <v>909</v>
      </c>
      <c r="I7126" s="8" t="s">
        <v>21387</v>
      </c>
      <c r="J7126" s="8" t="s">
        <v>21388</v>
      </c>
    </row>
    <row r="7127">
      <c r="A7127" s="7">
        <v>2.0047876E7</v>
      </c>
      <c r="B7127" s="8" t="s">
        <v>1828</v>
      </c>
      <c r="C7127" s="8" t="s">
        <v>21389</v>
      </c>
      <c r="D7127" s="8" t="s">
        <v>16</v>
      </c>
      <c r="E7127" s="8" t="s">
        <v>17</v>
      </c>
      <c r="F7127" s="9">
        <v>46091.0</v>
      </c>
      <c r="G7127" s="8" t="s">
        <v>339</v>
      </c>
      <c r="H7127" s="8" t="s">
        <v>340</v>
      </c>
      <c r="I7127" s="8" t="s">
        <v>21390</v>
      </c>
      <c r="J7127" s="8" t="s">
        <v>21391</v>
      </c>
    </row>
    <row r="7128">
      <c r="A7128" s="7">
        <v>2.0045593E7</v>
      </c>
      <c r="B7128" s="8" t="s">
        <v>1828</v>
      </c>
      <c r="C7128" s="8" t="s">
        <v>21392</v>
      </c>
      <c r="D7128" s="8" t="s">
        <v>16</v>
      </c>
      <c r="E7128" s="8" t="s">
        <v>17</v>
      </c>
      <c r="F7128" s="9">
        <v>46091.0</v>
      </c>
      <c r="G7128" s="8" t="s">
        <v>5030</v>
      </c>
      <c r="H7128" s="8" t="s">
        <v>44</v>
      </c>
      <c r="I7128" s="8" t="s">
        <v>21393</v>
      </c>
      <c r="J7128" s="8" t="s">
        <v>21394</v>
      </c>
    </row>
    <row r="7129">
      <c r="A7129" s="7">
        <v>2.0044902E7</v>
      </c>
      <c r="B7129" s="8" t="s">
        <v>1828</v>
      </c>
      <c r="C7129" s="8" t="s">
        <v>21395</v>
      </c>
      <c r="D7129" s="8" t="s">
        <v>2136</v>
      </c>
      <c r="E7129" s="8" t="s">
        <v>17</v>
      </c>
      <c r="F7129" s="9">
        <v>46081.0</v>
      </c>
      <c r="G7129" s="8" t="s">
        <v>195</v>
      </c>
      <c r="H7129" s="8" t="s">
        <v>196</v>
      </c>
      <c r="I7129" s="8" t="s">
        <v>21396</v>
      </c>
      <c r="J7129" s="8" t="s">
        <v>21397</v>
      </c>
    </row>
    <row r="7130">
      <c r="A7130" s="7">
        <v>2.0044059E7</v>
      </c>
      <c r="B7130" s="8" t="s">
        <v>1828</v>
      </c>
      <c r="C7130" s="8" t="s">
        <v>21398</v>
      </c>
      <c r="D7130" s="8" t="s">
        <v>16</v>
      </c>
      <c r="E7130" s="8" t="s">
        <v>17</v>
      </c>
      <c r="F7130" s="9">
        <v>46099.0</v>
      </c>
      <c r="G7130" s="8" t="s">
        <v>314</v>
      </c>
      <c r="H7130" s="8" t="s">
        <v>315</v>
      </c>
      <c r="I7130" s="8" t="s">
        <v>21399</v>
      </c>
      <c r="J7130" s="8" t="s">
        <v>21400</v>
      </c>
    </row>
    <row r="7131">
      <c r="A7131" s="7">
        <v>2.0035661E7</v>
      </c>
      <c r="B7131" s="8" t="s">
        <v>1828</v>
      </c>
      <c r="C7131" s="8" t="s">
        <v>21401</v>
      </c>
      <c r="D7131" s="8" t="s">
        <v>16</v>
      </c>
      <c r="E7131" s="8" t="s">
        <v>17</v>
      </c>
      <c r="F7131" s="9">
        <v>46053.0</v>
      </c>
      <c r="G7131" s="8" t="s">
        <v>1045</v>
      </c>
      <c r="H7131" s="8" t="s">
        <v>909</v>
      </c>
      <c r="I7131" s="8" t="s">
        <v>21402</v>
      </c>
      <c r="J7131" s="8" t="s">
        <v>21403</v>
      </c>
    </row>
    <row r="7132">
      <c r="A7132" s="7">
        <v>2.0068788E7</v>
      </c>
      <c r="B7132" s="8" t="s">
        <v>1828</v>
      </c>
      <c r="C7132" s="8" t="s">
        <v>21404</v>
      </c>
      <c r="D7132" s="8" t="s">
        <v>16</v>
      </c>
      <c r="E7132" s="8" t="s">
        <v>17</v>
      </c>
      <c r="F7132" s="9">
        <v>46185.0</v>
      </c>
      <c r="G7132" s="8" t="s">
        <v>2225</v>
      </c>
      <c r="H7132" s="8" t="s">
        <v>2226</v>
      </c>
      <c r="I7132" s="8" t="s">
        <v>21405</v>
      </c>
      <c r="J7132" s="8" t="s">
        <v>21406</v>
      </c>
    </row>
    <row r="7133">
      <c r="A7133" s="7">
        <v>2.0068788E7</v>
      </c>
      <c r="B7133" s="8" t="s">
        <v>1828</v>
      </c>
      <c r="C7133" s="8" t="s">
        <v>21404</v>
      </c>
      <c r="D7133" s="8" t="s">
        <v>16</v>
      </c>
      <c r="E7133" s="8" t="s">
        <v>17</v>
      </c>
      <c r="F7133" s="9">
        <v>46185.0</v>
      </c>
      <c r="G7133" s="8" t="s">
        <v>21407</v>
      </c>
      <c r="H7133" s="8" t="s">
        <v>21408</v>
      </c>
      <c r="I7133" s="8" t="s">
        <v>21409</v>
      </c>
      <c r="J7133" s="8" t="s">
        <v>21410</v>
      </c>
    </row>
    <row r="7134">
      <c r="A7134" s="7">
        <v>2.0068788E7</v>
      </c>
      <c r="B7134" s="8" t="s">
        <v>1828</v>
      </c>
      <c r="C7134" s="8" t="s">
        <v>21404</v>
      </c>
      <c r="D7134" s="8" t="s">
        <v>16</v>
      </c>
      <c r="E7134" s="8" t="s">
        <v>17</v>
      </c>
      <c r="F7134" s="9">
        <v>46185.0</v>
      </c>
      <c r="G7134" s="8" t="s">
        <v>2225</v>
      </c>
      <c r="H7134" s="8" t="s">
        <v>2226</v>
      </c>
      <c r="I7134" s="8" t="s">
        <v>21411</v>
      </c>
      <c r="J7134" s="8" t="s">
        <v>21406</v>
      </c>
    </row>
    <row r="7135">
      <c r="A7135" s="7">
        <v>2.0064966E7</v>
      </c>
      <c r="B7135" s="8" t="s">
        <v>1828</v>
      </c>
      <c r="C7135" s="8" t="s">
        <v>21412</v>
      </c>
      <c r="D7135" s="8" t="s">
        <v>16</v>
      </c>
      <c r="E7135" s="8" t="s">
        <v>17</v>
      </c>
      <c r="F7135" s="9">
        <v>46163.0</v>
      </c>
      <c r="G7135" s="8" t="s">
        <v>5479</v>
      </c>
      <c r="H7135" s="8" t="s">
        <v>5480</v>
      </c>
      <c r="I7135" s="8" t="s">
        <v>21413</v>
      </c>
      <c r="J7135" s="8" t="s">
        <v>21414</v>
      </c>
    </row>
    <row r="7136">
      <c r="A7136" s="7">
        <v>2.0058441E7</v>
      </c>
      <c r="B7136" s="8" t="s">
        <v>1828</v>
      </c>
      <c r="C7136" s="8" t="s">
        <v>21415</v>
      </c>
      <c r="D7136" s="8" t="s">
        <v>16</v>
      </c>
      <c r="E7136" s="8" t="s">
        <v>17</v>
      </c>
      <c r="F7136" s="9">
        <v>46140.0</v>
      </c>
      <c r="G7136" s="8" t="s">
        <v>91</v>
      </c>
      <c r="H7136" s="8" t="s">
        <v>92</v>
      </c>
      <c r="I7136" s="8" t="s">
        <v>21416</v>
      </c>
      <c r="J7136" s="8" t="s">
        <v>21417</v>
      </c>
    </row>
    <row r="7137">
      <c r="A7137" s="7">
        <v>2.0058357E7</v>
      </c>
      <c r="B7137" s="8" t="s">
        <v>1828</v>
      </c>
      <c r="C7137" s="8" t="s">
        <v>21418</v>
      </c>
      <c r="D7137" s="8" t="s">
        <v>16</v>
      </c>
      <c r="E7137" s="8" t="s">
        <v>17</v>
      </c>
      <c r="F7137" s="9">
        <v>46150.0</v>
      </c>
      <c r="G7137" s="8" t="s">
        <v>5570</v>
      </c>
      <c r="H7137" s="8" t="s">
        <v>5571</v>
      </c>
      <c r="I7137" s="8" t="s">
        <v>21419</v>
      </c>
      <c r="J7137" s="8"/>
    </row>
    <row r="7138">
      <c r="A7138" s="7">
        <v>2.0057864E7</v>
      </c>
      <c r="B7138" s="8" t="s">
        <v>1828</v>
      </c>
      <c r="C7138" s="8" t="s">
        <v>21420</v>
      </c>
      <c r="D7138" s="8" t="s">
        <v>16</v>
      </c>
      <c r="E7138" s="8" t="s">
        <v>17</v>
      </c>
      <c r="F7138" s="9">
        <v>46135.0</v>
      </c>
      <c r="G7138" s="8" t="s">
        <v>5030</v>
      </c>
      <c r="H7138" s="8" t="s">
        <v>10431</v>
      </c>
      <c r="I7138" s="8" t="s">
        <v>21421</v>
      </c>
      <c r="J7138" s="8" t="s">
        <v>21422</v>
      </c>
    </row>
    <row r="7139">
      <c r="A7139" s="7">
        <v>2.005041E7</v>
      </c>
      <c r="B7139" s="8" t="s">
        <v>1828</v>
      </c>
      <c r="C7139" s="8" t="s">
        <v>21423</v>
      </c>
      <c r="D7139" s="8" t="s">
        <v>16</v>
      </c>
      <c r="E7139" s="8" t="s">
        <v>17</v>
      </c>
      <c r="F7139" s="9">
        <v>46123.0</v>
      </c>
      <c r="G7139" s="8" t="s">
        <v>6077</v>
      </c>
      <c r="H7139" s="8" t="s">
        <v>6078</v>
      </c>
      <c r="I7139" s="8" t="s">
        <v>21424</v>
      </c>
      <c r="J7139" s="8" t="s">
        <v>21425</v>
      </c>
    </row>
    <row r="7140">
      <c r="A7140" s="7">
        <v>2.005041E7</v>
      </c>
      <c r="B7140" s="8" t="s">
        <v>1828</v>
      </c>
      <c r="C7140" s="8" t="s">
        <v>21423</v>
      </c>
      <c r="D7140" s="8" t="s">
        <v>16</v>
      </c>
      <c r="E7140" s="8" t="s">
        <v>17</v>
      </c>
      <c r="F7140" s="9">
        <v>46123.0</v>
      </c>
      <c r="G7140" s="8" t="s">
        <v>13971</v>
      </c>
      <c r="H7140" s="8" t="s">
        <v>13972</v>
      </c>
      <c r="I7140" s="8" t="s">
        <v>21426</v>
      </c>
      <c r="J7140" s="8" t="s">
        <v>21427</v>
      </c>
    </row>
    <row r="7141">
      <c r="A7141" s="7">
        <v>2.0038059E7</v>
      </c>
      <c r="B7141" s="8" t="s">
        <v>1828</v>
      </c>
      <c r="C7141" s="8" t="s">
        <v>21428</v>
      </c>
      <c r="D7141" s="8" t="s">
        <v>16</v>
      </c>
      <c r="E7141" s="8" t="s">
        <v>17</v>
      </c>
      <c r="F7141" s="9">
        <v>46053.0</v>
      </c>
      <c r="G7141" s="8" t="s">
        <v>846</v>
      </c>
      <c r="H7141" s="8" t="s">
        <v>847</v>
      </c>
      <c r="I7141" s="8" t="s">
        <v>21429</v>
      </c>
      <c r="J7141" s="8" t="s">
        <v>21430</v>
      </c>
    </row>
    <row r="7142">
      <c r="A7142" s="7">
        <v>2.0034068E7</v>
      </c>
      <c r="B7142" s="8" t="s">
        <v>1828</v>
      </c>
      <c r="C7142" s="8" t="s">
        <v>21431</v>
      </c>
      <c r="D7142" s="8" t="s">
        <v>16</v>
      </c>
      <c r="E7142" s="8" t="s">
        <v>17</v>
      </c>
      <c r="F7142" s="9">
        <v>46049.0</v>
      </c>
      <c r="G7142" s="8" t="s">
        <v>137</v>
      </c>
      <c r="H7142" s="8" t="s">
        <v>138</v>
      </c>
      <c r="I7142" s="8" t="s">
        <v>21432</v>
      </c>
      <c r="J7142" s="8" t="s">
        <v>21433</v>
      </c>
    </row>
    <row r="7143">
      <c r="A7143" s="7">
        <v>2.0072035E7</v>
      </c>
      <c r="B7143" s="8" t="s">
        <v>1828</v>
      </c>
      <c r="C7143" s="8" t="s">
        <v>21434</v>
      </c>
      <c r="D7143" s="8" t="s">
        <v>16</v>
      </c>
      <c r="E7143" s="8" t="s">
        <v>17</v>
      </c>
      <c r="F7143" s="9">
        <v>46190.0</v>
      </c>
      <c r="G7143" s="8" t="s">
        <v>91</v>
      </c>
      <c r="H7143" s="8" t="s">
        <v>92</v>
      </c>
      <c r="I7143" s="8" t="s">
        <v>21435</v>
      </c>
      <c r="J7143" s="8" t="s">
        <v>21436</v>
      </c>
    </row>
    <row r="7144">
      <c r="A7144" s="7">
        <v>2.0068694E7</v>
      </c>
      <c r="B7144" s="8" t="s">
        <v>1828</v>
      </c>
      <c r="C7144" s="8" t="s">
        <v>21437</v>
      </c>
      <c r="D7144" s="8" t="s">
        <v>16</v>
      </c>
      <c r="E7144" s="8" t="s">
        <v>48</v>
      </c>
      <c r="F7144" s="9">
        <v>46181.0</v>
      </c>
      <c r="G7144" s="8" t="s">
        <v>13468</v>
      </c>
      <c r="H7144" s="8" t="s">
        <v>13469</v>
      </c>
      <c r="I7144" s="8" t="s">
        <v>21438</v>
      </c>
      <c r="J7144" s="8" t="s">
        <v>1752</v>
      </c>
    </row>
    <row r="7145">
      <c r="A7145" s="7">
        <v>2.0066851E7</v>
      </c>
      <c r="B7145" s="8" t="s">
        <v>1828</v>
      </c>
      <c r="C7145" s="8" t="s">
        <v>21439</v>
      </c>
      <c r="D7145" s="8" t="s">
        <v>16</v>
      </c>
      <c r="E7145" s="8" t="s">
        <v>17</v>
      </c>
      <c r="F7145" s="9">
        <v>46170.0</v>
      </c>
      <c r="G7145" s="8" t="s">
        <v>3255</v>
      </c>
      <c r="H7145" s="8" t="s">
        <v>3256</v>
      </c>
      <c r="I7145" s="8" t="s">
        <v>21440</v>
      </c>
      <c r="J7145" s="8" t="s">
        <v>21441</v>
      </c>
    </row>
    <row r="7146">
      <c r="A7146" s="7">
        <v>2.0055854E7</v>
      </c>
      <c r="B7146" s="8" t="s">
        <v>1828</v>
      </c>
      <c r="C7146" s="8" t="s">
        <v>21442</v>
      </c>
      <c r="D7146" s="8" t="s">
        <v>16</v>
      </c>
      <c r="E7146" s="8" t="s">
        <v>17</v>
      </c>
      <c r="F7146" s="9">
        <v>46132.0</v>
      </c>
      <c r="G7146" s="8" t="s">
        <v>234</v>
      </c>
      <c r="H7146" s="8" t="s">
        <v>235</v>
      </c>
      <c r="I7146" s="8" t="s">
        <v>21443</v>
      </c>
      <c r="J7146" s="8" t="s">
        <v>21444</v>
      </c>
    </row>
    <row r="7147">
      <c r="A7147" s="7">
        <v>2.0046716E7</v>
      </c>
      <c r="B7147" s="8" t="s">
        <v>1828</v>
      </c>
      <c r="C7147" s="8" t="s">
        <v>21445</v>
      </c>
      <c r="D7147" s="8" t="s">
        <v>16</v>
      </c>
      <c r="E7147" s="8" t="s">
        <v>17</v>
      </c>
      <c r="F7147" s="9">
        <v>46113.0</v>
      </c>
      <c r="G7147" s="8" t="s">
        <v>385</v>
      </c>
      <c r="H7147" s="8" t="s">
        <v>386</v>
      </c>
      <c r="I7147" s="8" t="s">
        <v>21446</v>
      </c>
      <c r="J7147" s="8" t="s">
        <v>21447</v>
      </c>
    </row>
    <row r="7148">
      <c r="A7148" s="7">
        <v>2.0048527E7</v>
      </c>
      <c r="B7148" s="8" t="s">
        <v>1828</v>
      </c>
      <c r="C7148" s="8" t="s">
        <v>21448</v>
      </c>
      <c r="D7148" s="8" t="s">
        <v>16</v>
      </c>
      <c r="E7148" s="8" t="s">
        <v>17</v>
      </c>
      <c r="F7148" s="9">
        <v>46116.0</v>
      </c>
      <c r="G7148" s="8" t="s">
        <v>374</v>
      </c>
      <c r="H7148" s="8" t="s">
        <v>375</v>
      </c>
      <c r="I7148" s="8" t="s">
        <v>21449</v>
      </c>
      <c r="J7148" s="8" t="s">
        <v>21450</v>
      </c>
    </row>
    <row r="7149">
      <c r="A7149" s="7">
        <v>2.0037084E7</v>
      </c>
      <c r="B7149" s="8" t="s">
        <v>1828</v>
      </c>
      <c r="C7149" s="8" t="s">
        <v>21451</v>
      </c>
      <c r="D7149" s="8" t="s">
        <v>16</v>
      </c>
      <c r="E7149" s="8" t="s">
        <v>17</v>
      </c>
      <c r="F7149" s="9">
        <v>46046.0</v>
      </c>
      <c r="G7149" s="8" t="s">
        <v>868</v>
      </c>
      <c r="H7149" s="8" t="s">
        <v>869</v>
      </c>
      <c r="I7149" s="8" t="s">
        <v>21452</v>
      </c>
      <c r="J7149" s="8" t="s">
        <v>21453</v>
      </c>
    </row>
    <row r="7150">
      <c r="A7150" s="7">
        <v>2.0037141E7</v>
      </c>
      <c r="B7150" s="8" t="s">
        <v>1828</v>
      </c>
      <c r="C7150" s="8" t="s">
        <v>21454</v>
      </c>
      <c r="D7150" s="8" t="s">
        <v>16</v>
      </c>
      <c r="E7150" s="8" t="s">
        <v>17</v>
      </c>
      <c r="F7150" s="9">
        <v>46067.0</v>
      </c>
      <c r="G7150" s="8" t="s">
        <v>5192</v>
      </c>
      <c r="H7150" s="8" t="s">
        <v>5193</v>
      </c>
      <c r="I7150" s="8" t="s">
        <v>21455</v>
      </c>
      <c r="J7150" s="8" t="s">
        <v>21456</v>
      </c>
    </row>
    <row r="7151">
      <c r="A7151" s="7">
        <v>2.0071962E7</v>
      </c>
      <c r="B7151" s="8" t="s">
        <v>1828</v>
      </c>
      <c r="C7151" s="8" t="s">
        <v>21457</v>
      </c>
      <c r="D7151" s="8" t="s">
        <v>16</v>
      </c>
      <c r="E7151" s="8" t="s">
        <v>17</v>
      </c>
      <c r="F7151" s="9">
        <v>46193.0</v>
      </c>
      <c r="G7151" s="8" t="s">
        <v>29</v>
      </c>
      <c r="H7151" s="8" t="s">
        <v>30</v>
      </c>
      <c r="I7151" s="8" t="s">
        <v>21458</v>
      </c>
      <c r="J7151" s="8" t="s">
        <v>21459</v>
      </c>
    </row>
    <row r="7152">
      <c r="A7152" s="7">
        <v>2.0065388E7</v>
      </c>
      <c r="B7152" s="8" t="s">
        <v>1828</v>
      </c>
      <c r="C7152" s="8" t="s">
        <v>21460</v>
      </c>
      <c r="D7152" s="8" t="s">
        <v>16</v>
      </c>
      <c r="E7152" s="8" t="s">
        <v>17</v>
      </c>
      <c r="F7152" s="9">
        <v>46172.0</v>
      </c>
      <c r="G7152" s="8" t="s">
        <v>34</v>
      </c>
      <c r="H7152" s="8" t="s">
        <v>35</v>
      </c>
      <c r="I7152" s="8" t="s">
        <v>21461</v>
      </c>
      <c r="J7152" s="8" t="s">
        <v>21462</v>
      </c>
    </row>
    <row r="7153">
      <c r="A7153" s="7">
        <v>2.0065239E7</v>
      </c>
      <c r="B7153" s="8" t="s">
        <v>1828</v>
      </c>
      <c r="C7153" s="8" t="s">
        <v>21463</v>
      </c>
      <c r="D7153" s="8" t="s">
        <v>2136</v>
      </c>
      <c r="E7153" s="8" t="s">
        <v>17</v>
      </c>
      <c r="F7153" s="9">
        <v>46164.0</v>
      </c>
      <c r="G7153" s="8" t="s">
        <v>234</v>
      </c>
      <c r="H7153" s="8" t="s">
        <v>235</v>
      </c>
      <c r="I7153" s="8" t="s">
        <v>21464</v>
      </c>
      <c r="J7153" s="8" t="s">
        <v>21465</v>
      </c>
    </row>
    <row r="7154">
      <c r="A7154" s="7">
        <v>2.0058859E7</v>
      </c>
      <c r="B7154" s="8" t="s">
        <v>1828</v>
      </c>
      <c r="C7154" s="8" t="s">
        <v>21466</v>
      </c>
      <c r="D7154" s="8" t="s">
        <v>16</v>
      </c>
      <c r="E7154" s="8" t="s">
        <v>17</v>
      </c>
      <c r="F7154" s="9">
        <v>46145.0</v>
      </c>
      <c r="G7154" s="8" t="s">
        <v>3525</v>
      </c>
      <c r="H7154" s="8" t="s">
        <v>21467</v>
      </c>
      <c r="I7154" s="8" t="s">
        <v>21468</v>
      </c>
      <c r="J7154" s="8" t="s">
        <v>21469</v>
      </c>
    </row>
    <row r="7155">
      <c r="A7155" s="7">
        <v>2.0059215E7</v>
      </c>
      <c r="B7155" s="8" t="s">
        <v>1828</v>
      </c>
      <c r="C7155" s="8" t="s">
        <v>21470</v>
      </c>
      <c r="D7155" s="8" t="s">
        <v>16</v>
      </c>
      <c r="E7155" s="8" t="s">
        <v>17</v>
      </c>
      <c r="F7155" s="9">
        <v>46137.0</v>
      </c>
      <c r="G7155" s="8" t="s">
        <v>882</v>
      </c>
      <c r="H7155" s="8" t="s">
        <v>883</v>
      </c>
      <c r="I7155" s="8" t="s">
        <v>21471</v>
      </c>
      <c r="J7155" s="8" t="s">
        <v>21472</v>
      </c>
    </row>
    <row r="7156">
      <c r="A7156" s="7">
        <v>2.0058105E7</v>
      </c>
      <c r="B7156" s="8" t="s">
        <v>1828</v>
      </c>
      <c r="C7156" s="8" t="s">
        <v>21473</v>
      </c>
      <c r="D7156" s="8" t="s">
        <v>16</v>
      </c>
      <c r="E7156" s="8" t="s">
        <v>17</v>
      </c>
      <c r="F7156" s="9">
        <v>46143.0</v>
      </c>
      <c r="G7156" s="8" t="s">
        <v>91</v>
      </c>
      <c r="H7156" s="8" t="s">
        <v>92</v>
      </c>
      <c r="I7156" s="8" t="s">
        <v>21474</v>
      </c>
      <c r="J7156" s="8" t="s">
        <v>21475</v>
      </c>
    </row>
    <row r="7157">
      <c r="A7157" s="7">
        <v>2.0055678E7</v>
      </c>
      <c r="B7157" s="8" t="s">
        <v>1828</v>
      </c>
      <c r="C7157" s="8" t="s">
        <v>21476</v>
      </c>
      <c r="D7157" s="8" t="s">
        <v>16</v>
      </c>
      <c r="E7157" s="8" t="s">
        <v>17</v>
      </c>
      <c r="F7157" s="9">
        <v>46127.0</v>
      </c>
      <c r="G7157" s="8" t="s">
        <v>34</v>
      </c>
      <c r="H7157" s="8" t="s">
        <v>35</v>
      </c>
      <c r="I7157" s="8" t="s">
        <v>21477</v>
      </c>
      <c r="J7157" s="8" t="s">
        <v>21478</v>
      </c>
    </row>
    <row r="7158">
      <c r="A7158" s="7">
        <v>2.0054243E7</v>
      </c>
      <c r="B7158" s="8" t="s">
        <v>1828</v>
      </c>
      <c r="C7158" s="8" t="s">
        <v>21479</v>
      </c>
      <c r="D7158" s="8" t="s">
        <v>16</v>
      </c>
      <c r="E7158" s="8" t="s">
        <v>17</v>
      </c>
      <c r="F7158" s="9">
        <v>46138.0</v>
      </c>
      <c r="G7158" s="8" t="s">
        <v>2516</v>
      </c>
      <c r="H7158" s="8" t="s">
        <v>2517</v>
      </c>
      <c r="I7158" s="8" t="s">
        <v>21480</v>
      </c>
      <c r="J7158" s="8"/>
    </row>
    <row r="7159">
      <c r="A7159" s="7">
        <v>2.0054525E7</v>
      </c>
      <c r="B7159" s="8" t="s">
        <v>1828</v>
      </c>
      <c r="C7159" s="8" t="s">
        <v>21481</v>
      </c>
      <c r="D7159" s="8" t="s">
        <v>16</v>
      </c>
      <c r="E7159" s="8" t="s">
        <v>17</v>
      </c>
      <c r="F7159" s="9">
        <v>46132.0</v>
      </c>
      <c r="G7159" s="8" t="s">
        <v>132</v>
      </c>
      <c r="H7159" s="8" t="s">
        <v>133</v>
      </c>
      <c r="I7159" s="8" t="s">
        <v>21482</v>
      </c>
      <c r="J7159" s="8" t="s">
        <v>21483</v>
      </c>
    </row>
    <row r="7160">
      <c r="A7160" s="7">
        <v>2.0053398E7</v>
      </c>
      <c r="B7160" s="8" t="s">
        <v>1828</v>
      </c>
      <c r="C7160" s="8" t="s">
        <v>21484</v>
      </c>
      <c r="D7160" s="8" t="s">
        <v>16</v>
      </c>
      <c r="E7160" s="8" t="s">
        <v>17</v>
      </c>
      <c r="F7160" s="9">
        <v>46124.0</v>
      </c>
      <c r="G7160" s="8" t="s">
        <v>2089</v>
      </c>
      <c r="H7160" s="8" t="s">
        <v>19859</v>
      </c>
      <c r="I7160" s="8" t="s">
        <v>21485</v>
      </c>
      <c r="J7160" s="8" t="s">
        <v>21486</v>
      </c>
    </row>
    <row r="7161">
      <c r="A7161" s="7">
        <v>2.0052804E7</v>
      </c>
      <c r="B7161" s="8" t="s">
        <v>1828</v>
      </c>
      <c r="C7161" s="8" t="s">
        <v>21487</v>
      </c>
      <c r="D7161" s="8" t="s">
        <v>16</v>
      </c>
      <c r="E7161" s="8" t="s">
        <v>17</v>
      </c>
      <c r="F7161" s="9">
        <v>46117.0</v>
      </c>
      <c r="G7161" s="8" t="s">
        <v>234</v>
      </c>
      <c r="H7161" s="8" t="s">
        <v>235</v>
      </c>
      <c r="I7161" s="8" t="s">
        <v>21488</v>
      </c>
      <c r="J7161" s="8" t="s">
        <v>21489</v>
      </c>
    </row>
    <row r="7162">
      <c r="A7162" s="7">
        <v>2.0053406E7</v>
      </c>
      <c r="B7162" s="8" t="s">
        <v>1828</v>
      </c>
      <c r="C7162" s="8" t="s">
        <v>21490</v>
      </c>
      <c r="D7162" s="8" t="s">
        <v>16</v>
      </c>
      <c r="E7162" s="8" t="s">
        <v>17</v>
      </c>
      <c r="F7162" s="9">
        <v>46135.0</v>
      </c>
      <c r="G7162" s="8" t="s">
        <v>1427</v>
      </c>
      <c r="H7162" s="8" t="s">
        <v>1428</v>
      </c>
      <c r="I7162" s="8" t="s">
        <v>21491</v>
      </c>
      <c r="J7162" s="8" t="s">
        <v>21492</v>
      </c>
    </row>
    <row r="7163">
      <c r="A7163" s="7">
        <v>2.0050156E7</v>
      </c>
      <c r="B7163" s="8" t="s">
        <v>1828</v>
      </c>
      <c r="C7163" s="8" t="s">
        <v>21493</v>
      </c>
      <c r="D7163" s="8" t="s">
        <v>16</v>
      </c>
      <c r="E7163" s="8" t="s">
        <v>48</v>
      </c>
      <c r="F7163" s="9">
        <v>46099.0</v>
      </c>
      <c r="G7163" s="8" t="s">
        <v>247</v>
      </c>
      <c r="H7163" s="8" t="s">
        <v>248</v>
      </c>
      <c r="I7163" s="8" t="s">
        <v>21494</v>
      </c>
      <c r="J7163" s="8" t="s">
        <v>21495</v>
      </c>
    </row>
    <row r="7164">
      <c r="A7164" s="7">
        <v>2.0047906E7</v>
      </c>
      <c r="B7164" s="8" t="s">
        <v>1828</v>
      </c>
      <c r="C7164" s="8" t="s">
        <v>21496</v>
      </c>
      <c r="D7164" s="8" t="s">
        <v>16</v>
      </c>
      <c r="E7164" s="8" t="s">
        <v>17</v>
      </c>
      <c r="F7164" s="9">
        <v>46094.0</v>
      </c>
      <c r="G7164" s="8" t="s">
        <v>234</v>
      </c>
      <c r="H7164" s="8" t="s">
        <v>235</v>
      </c>
      <c r="I7164" s="8" t="s">
        <v>21497</v>
      </c>
      <c r="J7164" s="8" t="s">
        <v>21498</v>
      </c>
    </row>
    <row r="7165">
      <c r="A7165" s="7">
        <v>2.0047548E7</v>
      </c>
      <c r="B7165" s="8" t="s">
        <v>1828</v>
      </c>
      <c r="C7165" s="8" t="s">
        <v>21499</v>
      </c>
      <c r="D7165" s="8" t="s">
        <v>16</v>
      </c>
      <c r="E7165" s="8" t="s">
        <v>17</v>
      </c>
      <c r="F7165" s="9">
        <v>46091.0</v>
      </c>
      <c r="G7165" s="8" t="s">
        <v>220</v>
      </c>
      <c r="H7165" s="8" t="s">
        <v>221</v>
      </c>
      <c r="I7165" s="8" t="s">
        <v>21500</v>
      </c>
      <c r="J7165" s="8" t="s">
        <v>21501</v>
      </c>
    </row>
    <row r="7166">
      <c r="A7166" s="7">
        <v>2.0046873E7</v>
      </c>
      <c r="B7166" s="8" t="s">
        <v>1828</v>
      </c>
      <c r="C7166" s="8" t="s">
        <v>21502</v>
      </c>
      <c r="D7166" s="8" t="s">
        <v>16</v>
      </c>
      <c r="E7166" s="8" t="s">
        <v>17</v>
      </c>
      <c r="F7166" s="9">
        <v>46101.0</v>
      </c>
      <c r="G7166" s="8" t="s">
        <v>314</v>
      </c>
      <c r="H7166" s="8" t="s">
        <v>315</v>
      </c>
      <c r="I7166" s="8" t="s">
        <v>21503</v>
      </c>
      <c r="J7166" s="8" t="s">
        <v>21504</v>
      </c>
    </row>
    <row r="7167">
      <c r="A7167" s="7">
        <v>2.0045628E7</v>
      </c>
      <c r="B7167" s="8" t="s">
        <v>1828</v>
      </c>
      <c r="C7167" s="8" t="s">
        <v>21505</v>
      </c>
      <c r="D7167" s="8" t="s">
        <v>16</v>
      </c>
      <c r="E7167" s="8" t="s">
        <v>17</v>
      </c>
      <c r="F7167" s="9">
        <v>46090.0</v>
      </c>
      <c r="G7167" s="8" t="s">
        <v>3088</v>
      </c>
      <c r="H7167" s="8" t="s">
        <v>3089</v>
      </c>
      <c r="I7167" s="8" t="s">
        <v>21506</v>
      </c>
      <c r="J7167" s="8" t="s">
        <v>21507</v>
      </c>
    </row>
    <row r="7168">
      <c r="A7168" s="7">
        <v>2.0045628E7</v>
      </c>
      <c r="B7168" s="8" t="s">
        <v>1828</v>
      </c>
      <c r="C7168" s="8" t="s">
        <v>21505</v>
      </c>
      <c r="D7168" s="8" t="s">
        <v>16</v>
      </c>
      <c r="E7168" s="8" t="s">
        <v>17</v>
      </c>
      <c r="F7168" s="9">
        <v>46090.0</v>
      </c>
      <c r="G7168" s="8" t="s">
        <v>1319</v>
      </c>
      <c r="H7168" s="8" t="s">
        <v>1320</v>
      </c>
      <c r="I7168" s="8" t="s">
        <v>21508</v>
      </c>
      <c r="J7168" s="8" t="s">
        <v>21509</v>
      </c>
    </row>
    <row r="7169">
      <c r="A7169" s="7">
        <v>2.0042556E7</v>
      </c>
      <c r="B7169" s="8" t="s">
        <v>1828</v>
      </c>
      <c r="C7169" s="8" t="s">
        <v>21510</v>
      </c>
      <c r="D7169" s="8" t="s">
        <v>16</v>
      </c>
      <c r="E7169" s="8" t="s">
        <v>17</v>
      </c>
      <c r="F7169" s="9">
        <v>46071.0</v>
      </c>
      <c r="G7169" s="8" t="s">
        <v>339</v>
      </c>
      <c r="H7169" s="8" t="s">
        <v>340</v>
      </c>
      <c r="I7169" s="8" t="s">
        <v>21511</v>
      </c>
      <c r="J7169" s="8" t="s">
        <v>21512</v>
      </c>
    </row>
    <row r="7170">
      <c r="A7170" s="7">
        <v>2.0040261E7</v>
      </c>
      <c r="B7170" s="8" t="s">
        <v>1828</v>
      </c>
      <c r="C7170" s="8" t="s">
        <v>21513</v>
      </c>
      <c r="D7170" s="8" t="s">
        <v>16</v>
      </c>
      <c r="E7170" s="8" t="s">
        <v>17</v>
      </c>
      <c r="F7170" s="9">
        <v>46061.0</v>
      </c>
      <c r="G7170" s="8" t="s">
        <v>109</v>
      </c>
      <c r="H7170" s="8" t="s">
        <v>110</v>
      </c>
      <c r="I7170" s="8" t="s">
        <v>21514</v>
      </c>
      <c r="J7170" s="8" t="s">
        <v>21515</v>
      </c>
    </row>
    <row r="7171">
      <c r="A7171" s="7">
        <v>2.0039248E7</v>
      </c>
      <c r="B7171" s="8" t="s">
        <v>1828</v>
      </c>
      <c r="C7171" s="8" t="s">
        <v>21516</v>
      </c>
      <c r="D7171" s="8" t="s">
        <v>16</v>
      </c>
      <c r="E7171" s="8" t="s">
        <v>17</v>
      </c>
      <c r="F7171" s="9">
        <v>46059.0</v>
      </c>
      <c r="G7171" s="8" t="s">
        <v>805</v>
      </c>
      <c r="H7171" s="8" t="s">
        <v>806</v>
      </c>
      <c r="I7171" s="8" t="s">
        <v>21517</v>
      </c>
      <c r="J7171" s="8" t="s">
        <v>21518</v>
      </c>
    </row>
    <row r="7172">
      <c r="A7172" s="7">
        <v>2.0038329E7</v>
      </c>
      <c r="B7172" s="8" t="s">
        <v>1828</v>
      </c>
      <c r="C7172" s="8" t="s">
        <v>21519</v>
      </c>
      <c r="D7172" s="8" t="s">
        <v>16</v>
      </c>
      <c r="E7172" s="8" t="s">
        <v>17</v>
      </c>
      <c r="F7172" s="9">
        <v>46063.0</v>
      </c>
      <c r="G7172" s="8" t="s">
        <v>34</v>
      </c>
      <c r="H7172" s="8" t="s">
        <v>35</v>
      </c>
      <c r="I7172" s="8" t="s">
        <v>21520</v>
      </c>
      <c r="J7172" s="8" t="s">
        <v>21521</v>
      </c>
    </row>
    <row r="7173">
      <c r="A7173" s="7">
        <v>2.0036156E7</v>
      </c>
      <c r="B7173" s="8" t="s">
        <v>1828</v>
      </c>
      <c r="C7173" s="8" t="s">
        <v>21522</v>
      </c>
      <c r="D7173" s="8" t="s">
        <v>16</v>
      </c>
      <c r="E7173" s="8" t="s">
        <v>17</v>
      </c>
      <c r="F7173" s="9">
        <v>46050.0</v>
      </c>
      <c r="G7173" s="8" t="s">
        <v>1132</v>
      </c>
      <c r="H7173" s="8" t="s">
        <v>1133</v>
      </c>
      <c r="I7173" s="8" t="s">
        <v>21523</v>
      </c>
      <c r="J7173" s="8" t="s">
        <v>21524</v>
      </c>
    </row>
    <row r="7174">
      <c r="A7174" s="7">
        <v>2.0036156E7</v>
      </c>
      <c r="B7174" s="8" t="s">
        <v>1828</v>
      </c>
      <c r="C7174" s="8" t="s">
        <v>21522</v>
      </c>
      <c r="D7174" s="8" t="s">
        <v>16</v>
      </c>
      <c r="E7174" s="8" t="s">
        <v>17</v>
      </c>
      <c r="F7174" s="9">
        <v>46050.0</v>
      </c>
      <c r="G7174" s="8" t="s">
        <v>13956</v>
      </c>
      <c r="H7174" s="8" t="s">
        <v>13957</v>
      </c>
      <c r="I7174" s="8" t="s">
        <v>21525</v>
      </c>
      <c r="J7174" s="8" t="s">
        <v>21526</v>
      </c>
    </row>
    <row r="7175">
      <c r="A7175" s="7">
        <v>2.0035942E7</v>
      </c>
      <c r="B7175" s="8" t="s">
        <v>1828</v>
      </c>
      <c r="C7175" s="8" t="s">
        <v>21527</v>
      </c>
      <c r="D7175" s="8" t="s">
        <v>16</v>
      </c>
      <c r="E7175" s="8" t="s">
        <v>17</v>
      </c>
      <c r="F7175" s="9">
        <v>46051.0</v>
      </c>
      <c r="G7175" s="8" t="s">
        <v>91</v>
      </c>
      <c r="H7175" s="8" t="s">
        <v>92</v>
      </c>
      <c r="I7175" s="8" t="s">
        <v>21528</v>
      </c>
      <c r="J7175" s="8" t="s">
        <v>21529</v>
      </c>
    </row>
    <row r="7176">
      <c r="A7176" s="7">
        <v>2.0060112E7</v>
      </c>
      <c r="B7176" s="8" t="s">
        <v>1828</v>
      </c>
      <c r="C7176" s="8" t="s">
        <v>21530</v>
      </c>
      <c r="D7176" s="8" t="s">
        <v>2136</v>
      </c>
      <c r="E7176" s="8" t="s">
        <v>17</v>
      </c>
      <c r="F7176" s="9">
        <v>46147.0</v>
      </c>
      <c r="G7176" s="8" t="s">
        <v>339</v>
      </c>
      <c r="H7176" s="8" t="s">
        <v>340</v>
      </c>
      <c r="I7176" s="8" t="s">
        <v>21531</v>
      </c>
      <c r="J7176" s="8" t="s">
        <v>21532</v>
      </c>
    </row>
    <row r="7177">
      <c r="A7177" s="7">
        <v>2.0056249E7</v>
      </c>
      <c r="B7177" s="8" t="s">
        <v>1828</v>
      </c>
      <c r="C7177" s="8" t="s">
        <v>21533</v>
      </c>
      <c r="D7177" s="8" t="s">
        <v>16</v>
      </c>
      <c r="E7177" s="8" t="s">
        <v>17</v>
      </c>
      <c r="F7177" s="9">
        <v>46130.0</v>
      </c>
      <c r="G7177" s="8" t="s">
        <v>418</v>
      </c>
      <c r="H7177" s="8" t="s">
        <v>419</v>
      </c>
      <c r="I7177" s="8" t="s">
        <v>21534</v>
      </c>
      <c r="J7177" s="8" t="s">
        <v>21535</v>
      </c>
    </row>
    <row r="7178">
      <c r="A7178" s="7">
        <v>2.0054324E7</v>
      </c>
      <c r="B7178" s="8" t="s">
        <v>1828</v>
      </c>
      <c r="C7178" s="8" t="s">
        <v>21536</v>
      </c>
      <c r="D7178" s="8" t="s">
        <v>16</v>
      </c>
      <c r="E7178" s="8" t="s">
        <v>17</v>
      </c>
      <c r="F7178" s="9">
        <v>46125.0</v>
      </c>
      <c r="G7178" s="8" t="s">
        <v>234</v>
      </c>
      <c r="H7178" s="8" t="s">
        <v>235</v>
      </c>
      <c r="I7178" s="8" t="s">
        <v>21537</v>
      </c>
      <c r="J7178" s="8" t="s">
        <v>21538</v>
      </c>
    </row>
    <row r="7179">
      <c r="A7179" s="7">
        <v>2.0043829E7</v>
      </c>
      <c r="B7179" s="8" t="s">
        <v>1828</v>
      </c>
      <c r="C7179" s="8" t="s">
        <v>21539</v>
      </c>
      <c r="D7179" s="8" t="s">
        <v>16</v>
      </c>
      <c r="E7179" s="8" t="s">
        <v>17</v>
      </c>
      <c r="F7179" s="9">
        <v>46087.0</v>
      </c>
      <c r="G7179" s="8" t="s">
        <v>805</v>
      </c>
      <c r="H7179" s="8" t="s">
        <v>806</v>
      </c>
      <c r="I7179" s="8" t="s">
        <v>21540</v>
      </c>
      <c r="J7179" s="8" t="s">
        <v>21541</v>
      </c>
    </row>
    <row r="7180">
      <c r="A7180" s="7">
        <v>2.0043829E7</v>
      </c>
      <c r="B7180" s="8" t="s">
        <v>1828</v>
      </c>
      <c r="C7180" s="8" t="s">
        <v>21539</v>
      </c>
      <c r="D7180" s="8" t="s">
        <v>16</v>
      </c>
      <c r="E7180" s="8" t="s">
        <v>17</v>
      </c>
      <c r="F7180" s="9">
        <v>46087.0</v>
      </c>
      <c r="G7180" s="8" t="s">
        <v>21542</v>
      </c>
      <c r="H7180" s="8" t="s">
        <v>21543</v>
      </c>
      <c r="I7180" s="8" t="s">
        <v>21544</v>
      </c>
      <c r="J7180" s="8" t="s">
        <v>1752</v>
      </c>
    </row>
    <row r="7181">
      <c r="A7181" s="7">
        <v>2.0043577E7</v>
      </c>
      <c r="B7181" s="8" t="s">
        <v>1828</v>
      </c>
      <c r="C7181" s="8" t="s">
        <v>21545</v>
      </c>
      <c r="D7181" s="8" t="s">
        <v>16</v>
      </c>
      <c r="E7181" s="8" t="s">
        <v>17</v>
      </c>
      <c r="F7181" s="9">
        <v>46072.0</v>
      </c>
      <c r="G7181" s="8" t="s">
        <v>59</v>
      </c>
      <c r="H7181" s="8" t="s">
        <v>60</v>
      </c>
      <c r="I7181" s="8" t="s">
        <v>21546</v>
      </c>
      <c r="J7181" s="8" t="s">
        <v>21547</v>
      </c>
    </row>
    <row r="7182">
      <c r="A7182" s="7">
        <v>2.0039245E7</v>
      </c>
      <c r="B7182" s="8" t="s">
        <v>1828</v>
      </c>
      <c r="C7182" s="8" t="s">
        <v>21548</v>
      </c>
      <c r="D7182" s="8" t="s">
        <v>16</v>
      </c>
      <c r="E7182" s="8" t="s">
        <v>17</v>
      </c>
      <c r="F7182" s="9">
        <v>46066.0</v>
      </c>
      <c r="G7182" s="8" t="s">
        <v>428</v>
      </c>
      <c r="H7182" s="8" t="s">
        <v>429</v>
      </c>
      <c r="I7182" s="8" t="s">
        <v>21549</v>
      </c>
      <c r="J7182" s="8" t="s">
        <v>21550</v>
      </c>
    </row>
    <row r="7183">
      <c r="A7183" s="7">
        <v>2.0038541E7</v>
      </c>
      <c r="B7183" s="8" t="s">
        <v>1828</v>
      </c>
      <c r="C7183" s="8" t="s">
        <v>21551</v>
      </c>
      <c r="D7183" s="8" t="s">
        <v>16</v>
      </c>
      <c r="E7183" s="8" t="s">
        <v>17</v>
      </c>
      <c r="F7183" s="9">
        <v>46062.0</v>
      </c>
      <c r="G7183" s="8" t="s">
        <v>504</v>
      </c>
      <c r="H7183" s="8" t="s">
        <v>505</v>
      </c>
      <c r="I7183" s="8" t="s">
        <v>21552</v>
      </c>
      <c r="J7183" s="8" t="s">
        <v>21553</v>
      </c>
    </row>
    <row r="7184">
      <c r="A7184" s="7">
        <v>2.0034792E7</v>
      </c>
      <c r="B7184" s="8" t="s">
        <v>1828</v>
      </c>
      <c r="C7184" s="8" t="s">
        <v>21554</v>
      </c>
      <c r="D7184" s="8" t="s">
        <v>16</v>
      </c>
      <c r="E7184" s="8" t="s">
        <v>17</v>
      </c>
      <c r="F7184" s="9">
        <v>46045.0</v>
      </c>
      <c r="G7184" s="8" t="s">
        <v>3043</v>
      </c>
      <c r="H7184" s="8" t="s">
        <v>1111</v>
      </c>
      <c r="I7184" s="8" t="s">
        <v>21555</v>
      </c>
      <c r="J7184" s="8" t="s">
        <v>21556</v>
      </c>
    </row>
    <row r="7185">
      <c r="A7185" s="7">
        <v>2.0034792E7</v>
      </c>
      <c r="B7185" s="8" t="s">
        <v>1828</v>
      </c>
      <c r="C7185" s="8" t="s">
        <v>21554</v>
      </c>
      <c r="D7185" s="8" t="s">
        <v>16</v>
      </c>
      <c r="E7185" s="8" t="s">
        <v>17</v>
      </c>
      <c r="F7185" s="9">
        <v>46045.0</v>
      </c>
      <c r="G7185" s="8" t="s">
        <v>10980</v>
      </c>
      <c r="H7185" s="8" t="s">
        <v>2090</v>
      </c>
      <c r="I7185" s="8" t="s">
        <v>21557</v>
      </c>
      <c r="J7185" s="8" t="s">
        <v>21558</v>
      </c>
    </row>
    <row r="7186">
      <c r="A7186" s="7">
        <v>2.0064675E7</v>
      </c>
      <c r="B7186" s="8" t="s">
        <v>1828</v>
      </c>
      <c r="C7186" s="8" t="s">
        <v>21559</v>
      </c>
      <c r="D7186" s="8" t="s">
        <v>16</v>
      </c>
      <c r="E7186" s="8" t="s">
        <v>17</v>
      </c>
      <c r="F7186" s="9">
        <v>46163.0</v>
      </c>
      <c r="G7186" s="8" t="s">
        <v>365</v>
      </c>
      <c r="H7186" s="8" t="s">
        <v>366</v>
      </c>
      <c r="I7186" s="8" t="s">
        <v>21560</v>
      </c>
      <c r="J7186" s="8" t="s">
        <v>21561</v>
      </c>
    </row>
    <row r="7187">
      <c r="A7187" s="7">
        <v>2.0065164E7</v>
      </c>
      <c r="B7187" s="8" t="s">
        <v>1828</v>
      </c>
      <c r="C7187" s="8" t="s">
        <v>21562</v>
      </c>
      <c r="D7187" s="8" t="s">
        <v>16</v>
      </c>
      <c r="E7187" s="8" t="s">
        <v>17</v>
      </c>
      <c r="F7187" s="9">
        <v>46185.0</v>
      </c>
      <c r="G7187" s="8" t="s">
        <v>18699</v>
      </c>
      <c r="H7187" s="8" t="s">
        <v>18700</v>
      </c>
      <c r="I7187" s="8" t="s">
        <v>21563</v>
      </c>
      <c r="J7187" s="8" t="s">
        <v>21564</v>
      </c>
    </row>
    <row r="7188">
      <c r="A7188" s="7">
        <v>2.0061892E7</v>
      </c>
      <c r="B7188" s="8" t="s">
        <v>1828</v>
      </c>
      <c r="C7188" s="8" t="s">
        <v>21565</v>
      </c>
      <c r="D7188" s="8" t="s">
        <v>16</v>
      </c>
      <c r="E7188" s="8" t="s">
        <v>17</v>
      </c>
      <c r="F7188" s="9">
        <v>46167.0</v>
      </c>
      <c r="G7188" s="8" t="s">
        <v>247</v>
      </c>
      <c r="H7188" s="8" t="s">
        <v>248</v>
      </c>
      <c r="I7188" s="8" t="s">
        <v>21566</v>
      </c>
      <c r="J7188" s="8" t="s">
        <v>21567</v>
      </c>
    </row>
    <row r="7189">
      <c r="A7189" s="7">
        <v>2.0061892E7</v>
      </c>
      <c r="B7189" s="8" t="s">
        <v>1828</v>
      </c>
      <c r="C7189" s="8" t="s">
        <v>21565</v>
      </c>
      <c r="D7189" s="8" t="s">
        <v>16</v>
      </c>
      <c r="E7189" s="8" t="s">
        <v>17</v>
      </c>
      <c r="F7189" s="9">
        <v>46167.0</v>
      </c>
      <c r="G7189" s="8" t="s">
        <v>17760</v>
      </c>
      <c r="H7189" s="8" t="s">
        <v>17761</v>
      </c>
      <c r="I7189" s="8" t="s">
        <v>21568</v>
      </c>
      <c r="J7189" s="8" t="s">
        <v>21569</v>
      </c>
    </row>
    <row r="7190">
      <c r="A7190" s="7">
        <v>2.0063495E7</v>
      </c>
      <c r="B7190" s="8" t="s">
        <v>1828</v>
      </c>
      <c r="C7190" s="8" t="s">
        <v>21570</v>
      </c>
      <c r="D7190" s="8" t="s">
        <v>16</v>
      </c>
      <c r="E7190" s="8" t="s">
        <v>17</v>
      </c>
      <c r="F7190" s="9">
        <v>46158.0</v>
      </c>
      <c r="G7190" s="8" t="s">
        <v>220</v>
      </c>
      <c r="H7190" s="8" t="s">
        <v>221</v>
      </c>
      <c r="I7190" s="8" t="s">
        <v>21571</v>
      </c>
      <c r="J7190" s="8" t="s">
        <v>21572</v>
      </c>
    </row>
    <row r="7191">
      <c r="A7191" s="7">
        <v>2.0059021E7</v>
      </c>
      <c r="B7191" s="8" t="s">
        <v>1828</v>
      </c>
      <c r="C7191" s="8" t="s">
        <v>21573</v>
      </c>
      <c r="D7191" s="8" t="s">
        <v>16</v>
      </c>
      <c r="E7191" s="8" t="s">
        <v>17</v>
      </c>
      <c r="F7191" s="9">
        <v>46158.0</v>
      </c>
      <c r="G7191" s="8" t="s">
        <v>791</v>
      </c>
      <c r="H7191" s="8" t="s">
        <v>792</v>
      </c>
      <c r="I7191" s="8" t="s">
        <v>21574</v>
      </c>
      <c r="J7191" s="8"/>
    </row>
    <row r="7192">
      <c r="A7192" s="7">
        <v>2.0056399E7</v>
      </c>
      <c r="B7192" s="8" t="s">
        <v>1828</v>
      </c>
      <c r="C7192" s="8" t="s">
        <v>21575</v>
      </c>
      <c r="D7192" s="8" t="s">
        <v>16</v>
      </c>
      <c r="E7192" s="8" t="s">
        <v>17</v>
      </c>
      <c r="F7192" s="9">
        <v>46142.0</v>
      </c>
      <c r="G7192" s="8" t="s">
        <v>1841</v>
      </c>
      <c r="H7192" s="8" t="s">
        <v>1842</v>
      </c>
      <c r="I7192" s="8" t="s">
        <v>21576</v>
      </c>
      <c r="J7192" s="8"/>
    </row>
    <row r="7193">
      <c r="A7193" s="7">
        <v>2.0052387E7</v>
      </c>
      <c r="B7193" s="8" t="s">
        <v>1828</v>
      </c>
      <c r="C7193" s="8" t="s">
        <v>21577</v>
      </c>
      <c r="D7193" s="8" t="s">
        <v>16</v>
      </c>
      <c r="E7193" s="8" t="s">
        <v>700</v>
      </c>
      <c r="F7193" s="9">
        <v>46141.0</v>
      </c>
      <c r="G7193" s="8" t="s">
        <v>158</v>
      </c>
      <c r="H7193" s="8" t="s">
        <v>159</v>
      </c>
      <c r="I7193" s="8" t="s">
        <v>21578</v>
      </c>
      <c r="J7193" s="8" t="s">
        <v>21579</v>
      </c>
    </row>
    <row r="7194">
      <c r="A7194" s="7">
        <v>2.0052292E7</v>
      </c>
      <c r="B7194" s="8" t="s">
        <v>1828</v>
      </c>
      <c r="C7194" s="8" t="s">
        <v>21580</v>
      </c>
      <c r="D7194" s="8" t="s">
        <v>2136</v>
      </c>
      <c r="E7194" s="8" t="s">
        <v>17</v>
      </c>
      <c r="F7194" s="9">
        <v>46107.0</v>
      </c>
      <c r="G7194" s="8" t="s">
        <v>195</v>
      </c>
      <c r="H7194" s="8" t="s">
        <v>196</v>
      </c>
      <c r="I7194" s="8" t="s">
        <v>21581</v>
      </c>
      <c r="J7194" s="8" t="s">
        <v>21582</v>
      </c>
    </row>
    <row r="7195">
      <c r="A7195" s="7">
        <v>2.0050042E7</v>
      </c>
      <c r="B7195" s="8" t="s">
        <v>1828</v>
      </c>
      <c r="C7195" s="8" t="s">
        <v>21583</v>
      </c>
      <c r="D7195" s="8" t="s">
        <v>16</v>
      </c>
      <c r="E7195" s="8" t="s">
        <v>17</v>
      </c>
      <c r="F7195" s="9">
        <v>46107.0</v>
      </c>
      <c r="G7195" s="8" t="s">
        <v>805</v>
      </c>
      <c r="H7195" s="8" t="s">
        <v>806</v>
      </c>
      <c r="I7195" s="8" t="s">
        <v>21584</v>
      </c>
      <c r="J7195" s="8" t="s">
        <v>21585</v>
      </c>
    </row>
    <row r="7196">
      <c r="A7196" s="7">
        <v>2.0047327E7</v>
      </c>
      <c r="B7196" s="8" t="s">
        <v>1828</v>
      </c>
      <c r="C7196" s="8" t="s">
        <v>21586</v>
      </c>
      <c r="D7196" s="8" t="s">
        <v>16</v>
      </c>
      <c r="E7196" s="8" t="s">
        <v>17</v>
      </c>
      <c r="F7196" s="9">
        <v>46098.0</v>
      </c>
      <c r="G7196" s="8" t="s">
        <v>10148</v>
      </c>
      <c r="H7196" s="8" t="s">
        <v>13030</v>
      </c>
      <c r="I7196" s="8" t="s">
        <v>21587</v>
      </c>
      <c r="J7196" s="8" t="s">
        <v>21588</v>
      </c>
    </row>
    <row r="7197">
      <c r="A7197" s="7">
        <v>2.0047357E7</v>
      </c>
      <c r="B7197" s="8" t="s">
        <v>1828</v>
      </c>
      <c r="C7197" s="8" t="s">
        <v>21589</v>
      </c>
      <c r="D7197" s="8" t="s">
        <v>16</v>
      </c>
      <c r="E7197" s="8" t="s">
        <v>17</v>
      </c>
      <c r="F7197" s="9">
        <v>46087.0</v>
      </c>
      <c r="G7197" s="8" t="s">
        <v>91</v>
      </c>
      <c r="H7197" s="8" t="s">
        <v>92</v>
      </c>
      <c r="I7197" s="8" t="s">
        <v>21590</v>
      </c>
      <c r="J7197" s="8" t="s">
        <v>21591</v>
      </c>
    </row>
    <row r="7198">
      <c r="A7198" s="7">
        <v>2.0046122E7</v>
      </c>
      <c r="B7198" s="8" t="s">
        <v>1828</v>
      </c>
      <c r="C7198" s="8" t="s">
        <v>21592</v>
      </c>
      <c r="D7198" s="8" t="s">
        <v>16</v>
      </c>
      <c r="E7198" s="8" t="s">
        <v>17</v>
      </c>
      <c r="F7198" s="9">
        <v>46098.0</v>
      </c>
      <c r="G7198" s="8" t="s">
        <v>171</v>
      </c>
      <c r="H7198" s="8" t="s">
        <v>172</v>
      </c>
      <c r="I7198" s="8" t="s">
        <v>21593</v>
      </c>
      <c r="J7198" s="8" t="s">
        <v>21594</v>
      </c>
    </row>
    <row r="7199">
      <c r="A7199" s="7">
        <v>2.0036326E7</v>
      </c>
      <c r="B7199" s="8" t="s">
        <v>1828</v>
      </c>
      <c r="C7199" s="8" t="s">
        <v>21595</v>
      </c>
      <c r="D7199" s="8" t="s">
        <v>16</v>
      </c>
      <c r="E7199" s="8" t="s">
        <v>17</v>
      </c>
      <c r="F7199" s="9">
        <v>46070.0</v>
      </c>
      <c r="G7199" s="8" t="s">
        <v>21596</v>
      </c>
      <c r="H7199" s="8" t="s">
        <v>21597</v>
      </c>
      <c r="I7199" s="8" t="s">
        <v>21598</v>
      </c>
      <c r="J7199" s="8" t="s">
        <v>21599</v>
      </c>
    </row>
    <row r="7200">
      <c r="A7200" s="7">
        <v>2.0036039E7</v>
      </c>
      <c r="B7200" s="8" t="s">
        <v>1828</v>
      </c>
      <c r="C7200" s="8" t="s">
        <v>21600</v>
      </c>
      <c r="D7200" s="8" t="s">
        <v>16</v>
      </c>
      <c r="E7200" s="8" t="s">
        <v>17</v>
      </c>
      <c r="F7200" s="9">
        <v>46042.0</v>
      </c>
      <c r="G7200" s="8" t="s">
        <v>3207</v>
      </c>
      <c r="H7200" s="8" t="s">
        <v>3208</v>
      </c>
      <c r="I7200" s="8" t="s">
        <v>21601</v>
      </c>
      <c r="J7200" s="8" t="s">
        <v>21602</v>
      </c>
    </row>
    <row r="7201">
      <c r="A7201" s="7">
        <v>2.0035232E7</v>
      </c>
      <c r="B7201" s="8" t="s">
        <v>1828</v>
      </c>
      <c r="C7201" s="8" t="s">
        <v>21603</v>
      </c>
      <c r="D7201" s="8" t="s">
        <v>16</v>
      </c>
      <c r="E7201" s="8" t="s">
        <v>17</v>
      </c>
      <c r="F7201" s="9">
        <v>46046.0</v>
      </c>
      <c r="G7201" s="8" t="s">
        <v>504</v>
      </c>
      <c r="H7201" s="8" t="s">
        <v>505</v>
      </c>
      <c r="I7201" s="8" t="s">
        <v>21604</v>
      </c>
      <c r="J7201" s="8" t="s">
        <v>21605</v>
      </c>
    </row>
    <row r="7202">
      <c r="A7202" s="7">
        <v>2.0072779E7</v>
      </c>
      <c r="B7202" s="8" t="s">
        <v>1828</v>
      </c>
      <c r="C7202" s="8" t="s">
        <v>21606</v>
      </c>
      <c r="D7202" s="8" t="s">
        <v>2136</v>
      </c>
      <c r="E7202" s="8" t="s">
        <v>17</v>
      </c>
      <c r="F7202" s="9">
        <v>46192.0</v>
      </c>
      <c r="G7202" s="8" t="s">
        <v>1007</v>
      </c>
      <c r="H7202" s="8" t="s">
        <v>1008</v>
      </c>
      <c r="I7202" s="8" t="s">
        <v>21607</v>
      </c>
      <c r="J7202" s="8" t="s">
        <v>21608</v>
      </c>
    </row>
    <row r="7203">
      <c r="A7203" s="7">
        <v>2.0060767E7</v>
      </c>
      <c r="B7203" s="8" t="s">
        <v>1828</v>
      </c>
      <c r="C7203" s="8" t="s">
        <v>21609</v>
      </c>
      <c r="D7203" s="8" t="s">
        <v>16</v>
      </c>
      <c r="E7203" s="8" t="s">
        <v>17</v>
      </c>
      <c r="F7203" s="9">
        <v>46178.0</v>
      </c>
      <c r="G7203" s="8" t="s">
        <v>6936</v>
      </c>
      <c r="H7203" s="8" t="s">
        <v>6937</v>
      </c>
      <c r="I7203" s="8" t="s">
        <v>21610</v>
      </c>
      <c r="J7203" s="8" t="s">
        <v>21611</v>
      </c>
    </row>
    <row r="7204">
      <c r="A7204" s="7">
        <v>2.0059235E7</v>
      </c>
      <c r="B7204" s="8" t="s">
        <v>1828</v>
      </c>
      <c r="C7204" s="8" t="s">
        <v>21612</v>
      </c>
      <c r="D7204" s="8" t="s">
        <v>16</v>
      </c>
      <c r="E7204" s="8" t="s">
        <v>17</v>
      </c>
      <c r="F7204" s="9">
        <v>46186.0</v>
      </c>
      <c r="G7204" s="8" t="s">
        <v>21613</v>
      </c>
      <c r="H7204" s="8" t="s">
        <v>21614</v>
      </c>
      <c r="I7204" s="8" t="s">
        <v>21615</v>
      </c>
      <c r="J7204" s="8" t="s">
        <v>21616</v>
      </c>
    </row>
    <row r="7205">
      <c r="A7205" s="7">
        <v>2.0057903E7</v>
      </c>
      <c r="B7205" s="8" t="s">
        <v>1828</v>
      </c>
      <c r="C7205" s="8" t="s">
        <v>21617</v>
      </c>
      <c r="D7205" s="8" t="s">
        <v>16</v>
      </c>
      <c r="E7205" s="8" t="s">
        <v>17</v>
      </c>
      <c r="F7205" s="9">
        <v>46132.0</v>
      </c>
      <c r="G7205" s="8" t="s">
        <v>59</v>
      </c>
      <c r="H7205" s="8" t="s">
        <v>60</v>
      </c>
      <c r="I7205" s="8" t="s">
        <v>21618</v>
      </c>
      <c r="J7205" s="8" t="s">
        <v>21619</v>
      </c>
    </row>
    <row r="7206">
      <c r="A7206" s="7">
        <v>2.0056654E7</v>
      </c>
      <c r="B7206" s="8" t="s">
        <v>1828</v>
      </c>
      <c r="C7206" s="8" t="s">
        <v>21620</v>
      </c>
      <c r="D7206" s="8" t="s">
        <v>16</v>
      </c>
      <c r="E7206" s="8" t="s">
        <v>17</v>
      </c>
      <c r="F7206" s="9">
        <v>46147.0</v>
      </c>
      <c r="G7206" s="8" t="s">
        <v>3136</v>
      </c>
      <c r="H7206" s="8" t="s">
        <v>3137</v>
      </c>
      <c r="I7206" s="8" t="s">
        <v>21621</v>
      </c>
      <c r="J7206" s="8"/>
    </row>
    <row r="7207">
      <c r="A7207" s="7">
        <v>2.0052531E7</v>
      </c>
      <c r="B7207" s="8" t="s">
        <v>1828</v>
      </c>
      <c r="C7207" s="8" t="s">
        <v>21622</v>
      </c>
      <c r="D7207" s="8" t="s">
        <v>16</v>
      </c>
      <c r="E7207" s="8" t="s">
        <v>17</v>
      </c>
      <c r="F7207" s="9">
        <v>46126.0</v>
      </c>
      <c r="G7207" s="8" t="s">
        <v>1746</v>
      </c>
      <c r="H7207" s="8" t="s">
        <v>4130</v>
      </c>
      <c r="I7207" s="8" t="s">
        <v>21623</v>
      </c>
      <c r="J7207" s="8" t="s">
        <v>21624</v>
      </c>
    </row>
    <row r="7208">
      <c r="A7208" s="7">
        <v>2.0052921E7</v>
      </c>
      <c r="B7208" s="8" t="s">
        <v>1828</v>
      </c>
      <c r="C7208" s="8" t="s">
        <v>21625</v>
      </c>
      <c r="D7208" s="8" t="s">
        <v>16</v>
      </c>
      <c r="E7208" s="8" t="s">
        <v>17</v>
      </c>
      <c r="F7208" s="9">
        <v>46110.0</v>
      </c>
      <c r="G7208" s="8" t="s">
        <v>3012</v>
      </c>
      <c r="H7208" s="8" t="s">
        <v>3013</v>
      </c>
      <c r="I7208" s="8" t="s">
        <v>21626</v>
      </c>
      <c r="J7208" s="8" t="s">
        <v>21627</v>
      </c>
    </row>
    <row r="7209">
      <c r="A7209" s="7">
        <v>2.004424E7</v>
      </c>
      <c r="B7209" s="8" t="s">
        <v>1828</v>
      </c>
      <c r="C7209" s="8" t="s">
        <v>21628</v>
      </c>
      <c r="D7209" s="8" t="s">
        <v>16</v>
      </c>
      <c r="E7209" s="8" t="s">
        <v>17</v>
      </c>
      <c r="F7209" s="9">
        <v>46075.0</v>
      </c>
      <c r="G7209" s="8" t="s">
        <v>247</v>
      </c>
      <c r="H7209" s="8" t="s">
        <v>248</v>
      </c>
      <c r="I7209" s="8" t="s">
        <v>21629</v>
      </c>
      <c r="J7209" s="8" t="s">
        <v>21630</v>
      </c>
    </row>
    <row r="7210">
      <c r="A7210" s="7">
        <v>2.0043349E7</v>
      </c>
      <c r="B7210" s="8" t="s">
        <v>1828</v>
      </c>
      <c r="C7210" s="8" t="s">
        <v>21631</v>
      </c>
      <c r="D7210" s="8" t="s">
        <v>2136</v>
      </c>
      <c r="E7210" s="8" t="s">
        <v>17</v>
      </c>
      <c r="F7210" s="9">
        <v>46073.0</v>
      </c>
      <c r="G7210" s="8" t="s">
        <v>195</v>
      </c>
      <c r="H7210" s="8" t="s">
        <v>196</v>
      </c>
      <c r="I7210" s="8" t="s">
        <v>21632</v>
      </c>
      <c r="J7210" s="8" t="s">
        <v>21633</v>
      </c>
    </row>
    <row r="7211">
      <c r="A7211" s="7">
        <v>2.0038966E7</v>
      </c>
      <c r="B7211" s="8" t="s">
        <v>1828</v>
      </c>
      <c r="C7211" s="8" t="s">
        <v>21634</v>
      </c>
      <c r="D7211" s="8" t="s">
        <v>16</v>
      </c>
      <c r="E7211" s="8" t="s">
        <v>17</v>
      </c>
      <c r="F7211" s="9">
        <v>46065.0</v>
      </c>
      <c r="G7211" s="8" t="s">
        <v>1557</v>
      </c>
      <c r="H7211" s="8" t="s">
        <v>1558</v>
      </c>
      <c r="I7211" s="8" t="s">
        <v>21635</v>
      </c>
      <c r="J7211" s="8" t="s">
        <v>21636</v>
      </c>
    </row>
    <row r="7212">
      <c r="A7212" s="7">
        <v>2.003501E7</v>
      </c>
      <c r="B7212" s="8" t="s">
        <v>1828</v>
      </c>
      <c r="C7212" s="8" t="s">
        <v>21637</v>
      </c>
      <c r="D7212" s="8" t="s">
        <v>16</v>
      </c>
      <c r="E7212" s="8" t="s">
        <v>17</v>
      </c>
      <c r="F7212" s="9">
        <v>46043.0</v>
      </c>
      <c r="G7212" s="8" t="s">
        <v>352</v>
      </c>
      <c r="H7212" s="8" t="s">
        <v>353</v>
      </c>
      <c r="I7212" s="8" t="s">
        <v>21638</v>
      </c>
      <c r="J7212" s="8" t="s">
        <v>21639</v>
      </c>
    </row>
    <row r="7213">
      <c r="A7213" s="7">
        <v>2.003387E7</v>
      </c>
      <c r="B7213" s="8" t="s">
        <v>1828</v>
      </c>
      <c r="C7213" s="8" t="s">
        <v>21640</v>
      </c>
      <c r="D7213" s="8" t="s">
        <v>16</v>
      </c>
      <c r="E7213" s="8" t="s">
        <v>17</v>
      </c>
      <c r="F7213" s="9">
        <v>46035.0</v>
      </c>
      <c r="G7213" s="8" t="s">
        <v>195</v>
      </c>
      <c r="H7213" s="8" t="s">
        <v>196</v>
      </c>
      <c r="I7213" s="8" t="s">
        <v>21641</v>
      </c>
      <c r="J7213" s="8" t="s">
        <v>21642</v>
      </c>
    </row>
    <row r="7214">
      <c r="A7214" s="7">
        <v>2.006637E7</v>
      </c>
      <c r="B7214" s="8" t="s">
        <v>1828</v>
      </c>
      <c r="C7214" s="8" t="s">
        <v>21643</v>
      </c>
      <c r="D7214" s="8" t="s">
        <v>16</v>
      </c>
      <c r="E7214" s="8" t="s">
        <v>17</v>
      </c>
      <c r="F7214" s="9">
        <v>46193.0</v>
      </c>
      <c r="G7214" s="8" t="s">
        <v>1754</v>
      </c>
      <c r="H7214" s="8" t="s">
        <v>1755</v>
      </c>
      <c r="I7214" s="8" t="s">
        <v>21644</v>
      </c>
      <c r="J7214" s="8" t="s">
        <v>21645</v>
      </c>
    </row>
    <row r="7215">
      <c r="A7215" s="7">
        <v>2.0066028E7</v>
      </c>
      <c r="B7215" s="8" t="s">
        <v>1828</v>
      </c>
      <c r="C7215" s="8" t="s">
        <v>21646</v>
      </c>
      <c r="D7215" s="8" t="s">
        <v>16</v>
      </c>
      <c r="E7215" s="8" t="s">
        <v>17</v>
      </c>
      <c r="F7215" s="9">
        <v>46177.0</v>
      </c>
      <c r="G7215" s="8" t="s">
        <v>234</v>
      </c>
      <c r="H7215" s="8" t="s">
        <v>235</v>
      </c>
      <c r="I7215" s="8" t="s">
        <v>21647</v>
      </c>
      <c r="J7215" s="8" t="s">
        <v>21648</v>
      </c>
    </row>
    <row r="7216">
      <c r="A7216" s="7">
        <v>2.0066028E7</v>
      </c>
      <c r="B7216" s="8" t="s">
        <v>1828</v>
      </c>
      <c r="C7216" s="8" t="s">
        <v>21646</v>
      </c>
      <c r="D7216" s="8" t="s">
        <v>16</v>
      </c>
      <c r="E7216" s="8" t="s">
        <v>17</v>
      </c>
      <c r="F7216" s="9">
        <v>46177.0</v>
      </c>
      <c r="G7216" s="8" t="s">
        <v>3255</v>
      </c>
      <c r="H7216" s="8" t="s">
        <v>3256</v>
      </c>
      <c r="I7216" s="8" t="s">
        <v>21649</v>
      </c>
      <c r="J7216" s="8" t="s">
        <v>21650</v>
      </c>
    </row>
    <row r="7217">
      <c r="A7217" s="7">
        <v>2.0066109E7</v>
      </c>
      <c r="B7217" s="8" t="s">
        <v>1828</v>
      </c>
      <c r="C7217" s="8" t="s">
        <v>21651</v>
      </c>
      <c r="D7217" s="8" t="s">
        <v>2136</v>
      </c>
      <c r="E7217" s="8" t="s">
        <v>17</v>
      </c>
      <c r="F7217" s="9">
        <v>46166.0</v>
      </c>
      <c r="G7217" s="8" t="s">
        <v>339</v>
      </c>
      <c r="H7217" s="8" t="s">
        <v>340</v>
      </c>
      <c r="I7217" s="8" t="s">
        <v>21652</v>
      </c>
      <c r="J7217" s="8" t="s">
        <v>21653</v>
      </c>
    </row>
    <row r="7218">
      <c r="A7218" s="7">
        <v>2.0065363E7</v>
      </c>
      <c r="B7218" s="8" t="s">
        <v>1828</v>
      </c>
      <c r="C7218" s="8" t="s">
        <v>21654</v>
      </c>
      <c r="D7218" s="8" t="s">
        <v>16</v>
      </c>
      <c r="E7218" s="8" t="s">
        <v>17</v>
      </c>
      <c r="F7218" s="9">
        <v>46187.0</v>
      </c>
      <c r="G7218" s="8" t="s">
        <v>361</v>
      </c>
      <c r="H7218" s="8" t="s">
        <v>362</v>
      </c>
      <c r="I7218" s="8" t="s">
        <v>21655</v>
      </c>
      <c r="J7218" s="8" t="s">
        <v>21656</v>
      </c>
    </row>
    <row r="7219">
      <c r="A7219" s="7">
        <v>2.0063885E7</v>
      </c>
      <c r="B7219" s="8" t="s">
        <v>1828</v>
      </c>
      <c r="C7219" s="8" t="s">
        <v>21657</v>
      </c>
      <c r="D7219" s="8" t="s">
        <v>16</v>
      </c>
      <c r="E7219" s="8" t="s">
        <v>17</v>
      </c>
      <c r="F7219" s="9">
        <v>46183.0</v>
      </c>
      <c r="G7219" s="8" t="s">
        <v>1583</v>
      </c>
      <c r="H7219" s="8" t="s">
        <v>1584</v>
      </c>
      <c r="I7219" s="8" t="s">
        <v>21658</v>
      </c>
      <c r="J7219" s="8"/>
    </row>
    <row r="7220">
      <c r="A7220" s="7">
        <v>2.0054718E7</v>
      </c>
      <c r="B7220" s="8" t="s">
        <v>1828</v>
      </c>
      <c r="C7220" s="8" t="s">
        <v>21659</v>
      </c>
      <c r="D7220" s="8" t="s">
        <v>16</v>
      </c>
      <c r="E7220" s="8" t="s">
        <v>17</v>
      </c>
      <c r="F7220" s="9">
        <v>46122.0</v>
      </c>
      <c r="G7220" s="8" t="s">
        <v>873</v>
      </c>
      <c r="H7220" s="8" t="s">
        <v>874</v>
      </c>
      <c r="I7220" s="8" t="s">
        <v>21660</v>
      </c>
      <c r="J7220" s="8" t="s">
        <v>21661</v>
      </c>
    </row>
    <row r="7221">
      <c r="A7221" s="7">
        <v>2.0054646E7</v>
      </c>
      <c r="B7221" s="8" t="s">
        <v>1828</v>
      </c>
      <c r="C7221" s="8" t="s">
        <v>21662</v>
      </c>
      <c r="D7221" s="8" t="s">
        <v>16</v>
      </c>
      <c r="E7221" s="8" t="s">
        <v>17</v>
      </c>
      <c r="F7221" s="9">
        <v>46118.0</v>
      </c>
      <c r="G7221" s="8" t="s">
        <v>868</v>
      </c>
      <c r="H7221" s="8" t="s">
        <v>869</v>
      </c>
      <c r="I7221" s="8" t="s">
        <v>21663</v>
      </c>
      <c r="J7221" s="8" t="s">
        <v>21664</v>
      </c>
    </row>
    <row r="7222">
      <c r="A7222" s="7">
        <v>2.0051726E7</v>
      </c>
      <c r="B7222" s="8" t="s">
        <v>1828</v>
      </c>
      <c r="C7222" s="8" t="s">
        <v>21665</v>
      </c>
      <c r="D7222" s="8" t="s">
        <v>16</v>
      </c>
      <c r="E7222" s="8" t="s">
        <v>17</v>
      </c>
      <c r="F7222" s="9">
        <v>46105.0</v>
      </c>
      <c r="G7222" s="8" t="s">
        <v>91</v>
      </c>
      <c r="H7222" s="8" t="s">
        <v>92</v>
      </c>
      <c r="I7222" s="8" t="s">
        <v>21666</v>
      </c>
      <c r="J7222" s="8" t="s">
        <v>21667</v>
      </c>
    </row>
    <row r="7223">
      <c r="A7223" s="7">
        <v>2.0051463E7</v>
      </c>
      <c r="B7223" s="8" t="s">
        <v>1828</v>
      </c>
      <c r="C7223" s="8" t="s">
        <v>21668</v>
      </c>
      <c r="D7223" s="8" t="s">
        <v>16</v>
      </c>
      <c r="E7223" s="8" t="s">
        <v>17</v>
      </c>
      <c r="F7223" s="9">
        <v>46106.0</v>
      </c>
      <c r="G7223" s="8" t="s">
        <v>21669</v>
      </c>
      <c r="H7223" s="8" t="s">
        <v>21670</v>
      </c>
      <c r="I7223" s="8" t="s">
        <v>21671</v>
      </c>
      <c r="J7223" s="8" t="s">
        <v>21672</v>
      </c>
    </row>
    <row r="7224">
      <c r="A7224" s="7">
        <v>2.0047944E7</v>
      </c>
      <c r="B7224" s="8" t="s">
        <v>1828</v>
      </c>
      <c r="C7224" s="8" t="s">
        <v>21673</v>
      </c>
      <c r="D7224" s="8" t="s">
        <v>16</v>
      </c>
      <c r="E7224" s="8" t="s">
        <v>17</v>
      </c>
      <c r="F7224" s="9">
        <v>46093.0</v>
      </c>
      <c r="G7224" s="8" t="s">
        <v>7894</v>
      </c>
      <c r="H7224" s="8" t="s">
        <v>7895</v>
      </c>
      <c r="I7224" s="8" t="s">
        <v>21674</v>
      </c>
      <c r="J7224" s="8" t="s">
        <v>21675</v>
      </c>
    </row>
    <row r="7225">
      <c r="A7225" s="7">
        <v>2.0043033E7</v>
      </c>
      <c r="B7225" s="8" t="s">
        <v>1828</v>
      </c>
      <c r="C7225" s="8" t="s">
        <v>21676</v>
      </c>
      <c r="D7225" s="8" t="s">
        <v>16</v>
      </c>
      <c r="E7225" s="8" t="s">
        <v>17</v>
      </c>
      <c r="F7225" s="9">
        <v>46092.0</v>
      </c>
      <c r="G7225" s="8" t="s">
        <v>9334</v>
      </c>
      <c r="H7225" s="8" t="s">
        <v>9335</v>
      </c>
      <c r="I7225" s="8" t="s">
        <v>21677</v>
      </c>
      <c r="J7225" s="8" t="s">
        <v>21678</v>
      </c>
    </row>
    <row r="7226">
      <c r="A7226" s="7">
        <v>2.0043224E7</v>
      </c>
      <c r="B7226" s="8" t="s">
        <v>1828</v>
      </c>
      <c r="C7226" s="8" t="s">
        <v>21679</v>
      </c>
      <c r="D7226" s="8" t="s">
        <v>16</v>
      </c>
      <c r="E7226" s="8" t="s">
        <v>17</v>
      </c>
      <c r="F7226" s="9">
        <v>46074.0</v>
      </c>
      <c r="G7226" s="8" t="s">
        <v>504</v>
      </c>
      <c r="H7226" s="8" t="s">
        <v>505</v>
      </c>
      <c r="I7226" s="8" t="s">
        <v>21680</v>
      </c>
      <c r="J7226" s="8" t="s">
        <v>21681</v>
      </c>
    </row>
    <row r="7227">
      <c r="A7227" s="7">
        <v>2.0043224E7</v>
      </c>
      <c r="B7227" s="8" t="s">
        <v>1828</v>
      </c>
      <c r="C7227" s="8" t="s">
        <v>21679</v>
      </c>
      <c r="D7227" s="8" t="s">
        <v>16</v>
      </c>
      <c r="E7227" s="8" t="s">
        <v>17</v>
      </c>
      <c r="F7227" s="9">
        <v>46074.0</v>
      </c>
      <c r="G7227" s="8" t="s">
        <v>517</v>
      </c>
      <c r="H7227" s="8" t="s">
        <v>518</v>
      </c>
      <c r="I7227" s="8" t="s">
        <v>21682</v>
      </c>
      <c r="J7227" s="8" t="s">
        <v>21683</v>
      </c>
    </row>
    <row r="7228">
      <c r="A7228" s="7">
        <v>2.0041646E7</v>
      </c>
      <c r="B7228" s="8" t="s">
        <v>1828</v>
      </c>
      <c r="C7228" s="8" t="s">
        <v>21684</v>
      </c>
      <c r="D7228" s="8" t="s">
        <v>16</v>
      </c>
      <c r="E7228" s="8" t="s">
        <v>17</v>
      </c>
      <c r="F7228" s="9">
        <v>46069.0</v>
      </c>
      <c r="G7228" s="8" t="s">
        <v>339</v>
      </c>
      <c r="H7228" s="8" t="s">
        <v>340</v>
      </c>
      <c r="I7228" s="8" t="s">
        <v>21685</v>
      </c>
      <c r="J7228" s="8" t="s">
        <v>21686</v>
      </c>
    </row>
    <row r="7229">
      <c r="A7229" s="7">
        <v>2.0042282E7</v>
      </c>
      <c r="B7229" s="8" t="s">
        <v>1828</v>
      </c>
      <c r="C7229" s="8" t="s">
        <v>21687</v>
      </c>
      <c r="D7229" s="8" t="s">
        <v>2136</v>
      </c>
      <c r="E7229" s="8" t="s">
        <v>17</v>
      </c>
      <c r="F7229" s="9">
        <v>46068.0</v>
      </c>
      <c r="G7229" s="8" t="s">
        <v>3207</v>
      </c>
      <c r="H7229" s="8" t="s">
        <v>3208</v>
      </c>
      <c r="I7229" s="8" t="s">
        <v>21688</v>
      </c>
      <c r="J7229" s="8" t="s">
        <v>21689</v>
      </c>
    </row>
    <row r="7230">
      <c r="A7230" s="7">
        <v>2.0036176E7</v>
      </c>
      <c r="B7230" s="8" t="s">
        <v>1828</v>
      </c>
      <c r="C7230" s="8" t="s">
        <v>21690</v>
      </c>
      <c r="D7230" s="8" t="s">
        <v>16</v>
      </c>
      <c r="E7230" s="8" t="s">
        <v>17</v>
      </c>
      <c r="F7230" s="9">
        <v>46049.0</v>
      </c>
      <c r="G7230" s="8" t="s">
        <v>59</v>
      </c>
      <c r="H7230" s="8" t="s">
        <v>60</v>
      </c>
      <c r="I7230" s="8" t="s">
        <v>21691</v>
      </c>
      <c r="J7230" s="8" t="s">
        <v>21692</v>
      </c>
    </row>
    <row r="7231">
      <c r="A7231" s="7">
        <v>2.0035989E7</v>
      </c>
      <c r="B7231" s="8" t="s">
        <v>1828</v>
      </c>
      <c r="C7231" s="8" t="s">
        <v>21693</v>
      </c>
      <c r="D7231" s="8" t="s">
        <v>16</v>
      </c>
      <c r="E7231" s="8" t="s">
        <v>17</v>
      </c>
      <c r="F7231" s="9">
        <v>46052.0</v>
      </c>
      <c r="G7231" s="8" t="s">
        <v>5105</v>
      </c>
      <c r="H7231" s="8" t="s">
        <v>909</v>
      </c>
      <c r="I7231" s="8" t="s">
        <v>21694</v>
      </c>
      <c r="J7231" s="8" t="s">
        <v>21695</v>
      </c>
    </row>
    <row r="7232">
      <c r="A7232" s="7">
        <v>2.0067404E7</v>
      </c>
      <c r="B7232" s="8" t="s">
        <v>1828</v>
      </c>
      <c r="C7232" s="8" t="s">
        <v>21696</v>
      </c>
      <c r="D7232" s="8" t="s">
        <v>16</v>
      </c>
      <c r="E7232" s="8" t="s">
        <v>17</v>
      </c>
      <c r="F7232" s="9">
        <v>46190.0</v>
      </c>
      <c r="G7232" s="8" t="s">
        <v>826</v>
      </c>
      <c r="H7232" s="8" t="s">
        <v>7633</v>
      </c>
      <c r="I7232" s="8" t="s">
        <v>21697</v>
      </c>
      <c r="J7232" s="8" t="s">
        <v>21698</v>
      </c>
    </row>
    <row r="7233">
      <c r="A7233" s="7">
        <v>2.0068382E7</v>
      </c>
      <c r="B7233" s="8" t="s">
        <v>1828</v>
      </c>
      <c r="C7233" s="8" t="s">
        <v>21699</v>
      </c>
      <c r="D7233" s="8" t="s">
        <v>16</v>
      </c>
      <c r="E7233" s="8" t="s">
        <v>17</v>
      </c>
      <c r="F7233" s="9">
        <v>46176.0</v>
      </c>
      <c r="G7233" s="8" t="s">
        <v>34</v>
      </c>
      <c r="H7233" s="8" t="s">
        <v>35</v>
      </c>
      <c r="I7233" s="8" t="s">
        <v>21700</v>
      </c>
      <c r="J7233" s="8" t="s">
        <v>21701</v>
      </c>
    </row>
    <row r="7234">
      <c r="A7234" s="7">
        <v>2.0059598E7</v>
      </c>
      <c r="B7234" s="8" t="s">
        <v>1828</v>
      </c>
      <c r="C7234" s="8" t="s">
        <v>21702</v>
      </c>
      <c r="D7234" s="8" t="s">
        <v>16</v>
      </c>
      <c r="E7234" s="8" t="s">
        <v>17</v>
      </c>
      <c r="F7234" s="9">
        <v>46177.0</v>
      </c>
      <c r="G7234" s="8" t="s">
        <v>601</v>
      </c>
      <c r="H7234" s="8" t="s">
        <v>602</v>
      </c>
      <c r="I7234" s="8" t="s">
        <v>21703</v>
      </c>
      <c r="J7234" s="8" t="s">
        <v>21704</v>
      </c>
    </row>
    <row r="7235">
      <c r="A7235" s="7">
        <v>2.0057857E7</v>
      </c>
      <c r="B7235" s="8" t="s">
        <v>1828</v>
      </c>
      <c r="C7235" s="8" t="s">
        <v>21705</v>
      </c>
      <c r="D7235" s="8" t="s">
        <v>16</v>
      </c>
      <c r="E7235" s="8" t="s">
        <v>17</v>
      </c>
      <c r="F7235" s="9">
        <v>46138.0</v>
      </c>
      <c r="G7235" s="8" t="s">
        <v>846</v>
      </c>
      <c r="H7235" s="8" t="s">
        <v>847</v>
      </c>
      <c r="I7235" s="8" t="s">
        <v>21706</v>
      </c>
      <c r="J7235" s="8" t="s">
        <v>21707</v>
      </c>
    </row>
    <row r="7236">
      <c r="A7236" s="7">
        <v>2.0058042E7</v>
      </c>
      <c r="B7236" s="8" t="s">
        <v>1828</v>
      </c>
      <c r="C7236" s="8" t="s">
        <v>21708</v>
      </c>
      <c r="D7236" s="8" t="s">
        <v>16</v>
      </c>
      <c r="E7236" s="8" t="s">
        <v>17</v>
      </c>
      <c r="F7236" s="9">
        <v>46137.0</v>
      </c>
      <c r="G7236" s="8" t="s">
        <v>3207</v>
      </c>
      <c r="H7236" s="8" t="s">
        <v>3208</v>
      </c>
      <c r="I7236" s="8" t="s">
        <v>21709</v>
      </c>
      <c r="J7236" s="8" t="s">
        <v>21710</v>
      </c>
    </row>
    <row r="7237">
      <c r="A7237" s="7">
        <v>2.0056268E7</v>
      </c>
      <c r="B7237" s="8" t="s">
        <v>1828</v>
      </c>
      <c r="C7237" s="8" t="s">
        <v>21711</v>
      </c>
      <c r="D7237" s="8" t="s">
        <v>16</v>
      </c>
      <c r="E7237" s="8" t="s">
        <v>17</v>
      </c>
      <c r="F7237" s="9">
        <v>46130.0</v>
      </c>
      <c r="G7237" s="8" t="s">
        <v>385</v>
      </c>
      <c r="H7237" s="8" t="s">
        <v>386</v>
      </c>
      <c r="I7237" s="8" t="s">
        <v>21712</v>
      </c>
      <c r="J7237" s="8" t="s">
        <v>21713</v>
      </c>
    </row>
    <row r="7238">
      <c r="A7238" s="7">
        <v>2.0054194E7</v>
      </c>
      <c r="B7238" s="8" t="s">
        <v>1828</v>
      </c>
      <c r="C7238" s="8" t="s">
        <v>21714</v>
      </c>
      <c r="D7238" s="8" t="s">
        <v>16</v>
      </c>
      <c r="E7238" s="8" t="s">
        <v>17</v>
      </c>
      <c r="F7238" s="9">
        <v>46116.0</v>
      </c>
      <c r="G7238" s="8" t="s">
        <v>247</v>
      </c>
      <c r="H7238" s="8" t="s">
        <v>248</v>
      </c>
      <c r="I7238" s="8" t="s">
        <v>21715</v>
      </c>
      <c r="J7238" s="8" t="s">
        <v>21716</v>
      </c>
    </row>
    <row r="7239">
      <c r="A7239" s="7">
        <v>2.0050454E7</v>
      </c>
      <c r="B7239" s="8" t="s">
        <v>1828</v>
      </c>
      <c r="C7239" s="8" t="s">
        <v>21717</v>
      </c>
      <c r="D7239" s="8" t="s">
        <v>16</v>
      </c>
      <c r="E7239" s="8" t="s">
        <v>17</v>
      </c>
      <c r="F7239" s="9">
        <v>46105.0</v>
      </c>
      <c r="G7239" s="8" t="s">
        <v>1880</v>
      </c>
      <c r="H7239" s="8" t="s">
        <v>55</v>
      </c>
      <c r="I7239" s="8" t="s">
        <v>21718</v>
      </c>
      <c r="J7239" s="8" t="s">
        <v>21719</v>
      </c>
    </row>
    <row r="7240">
      <c r="A7240" s="7">
        <v>2.0048432E7</v>
      </c>
      <c r="B7240" s="8" t="s">
        <v>1828</v>
      </c>
      <c r="C7240" s="8" t="s">
        <v>21720</v>
      </c>
      <c r="D7240" s="8" t="s">
        <v>16</v>
      </c>
      <c r="E7240" s="8" t="s">
        <v>17</v>
      </c>
      <c r="F7240" s="9">
        <v>46100.0</v>
      </c>
      <c r="G7240" s="8" t="s">
        <v>908</v>
      </c>
      <c r="H7240" s="8" t="s">
        <v>909</v>
      </c>
      <c r="I7240" s="8" t="s">
        <v>21721</v>
      </c>
      <c r="J7240" s="8" t="s">
        <v>21722</v>
      </c>
    </row>
    <row r="7241">
      <c r="A7241" s="7">
        <v>2.0047973E7</v>
      </c>
      <c r="B7241" s="8" t="s">
        <v>1828</v>
      </c>
      <c r="C7241" s="8" t="s">
        <v>21723</v>
      </c>
      <c r="D7241" s="8" t="s">
        <v>16</v>
      </c>
      <c r="E7241" s="8" t="s">
        <v>17</v>
      </c>
      <c r="F7241" s="9">
        <v>46093.0</v>
      </c>
      <c r="G7241" s="8" t="s">
        <v>109</v>
      </c>
      <c r="H7241" s="8" t="s">
        <v>110</v>
      </c>
      <c r="I7241" s="8" t="s">
        <v>21724</v>
      </c>
      <c r="J7241" s="8" t="s">
        <v>21725</v>
      </c>
    </row>
    <row r="7242">
      <c r="A7242" s="7">
        <v>2.0045429E7</v>
      </c>
      <c r="B7242" s="8" t="s">
        <v>1828</v>
      </c>
      <c r="C7242" s="8" t="s">
        <v>21726</v>
      </c>
      <c r="D7242" s="8" t="s">
        <v>16</v>
      </c>
      <c r="E7242" s="8" t="s">
        <v>17</v>
      </c>
      <c r="F7242" s="9">
        <v>46086.0</v>
      </c>
      <c r="G7242" s="8" t="s">
        <v>220</v>
      </c>
      <c r="H7242" s="8" t="s">
        <v>221</v>
      </c>
      <c r="I7242" s="8" t="s">
        <v>21727</v>
      </c>
      <c r="J7242" s="8" t="s">
        <v>21728</v>
      </c>
    </row>
    <row r="7243">
      <c r="A7243" s="7">
        <v>2.0045356E7</v>
      </c>
      <c r="B7243" s="8" t="s">
        <v>1828</v>
      </c>
      <c r="C7243" s="8" t="s">
        <v>21729</v>
      </c>
      <c r="D7243" s="8" t="s">
        <v>16</v>
      </c>
      <c r="E7243" s="8" t="s">
        <v>17</v>
      </c>
      <c r="F7243" s="9">
        <v>46081.0</v>
      </c>
      <c r="G7243" s="8" t="s">
        <v>3088</v>
      </c>
      <c r="H7243" s="8" t="s">
        <v>3089</v>
      </c>
      <c r="I7243" s="8" t="s">
        <v>21730</v>
      </c>
      <c r="J7243" s="8" t="s">
        <v>21731</v>
      </c>
    </row>
    <row r="7244">
      <c r="A7244" s="7">
        <v>2.0033468E7</v>
      </c>
      <c r="B7244" s="8" t="s">
        <v>1828</v>
      </c>
      <c r="C7244" s="8" t="s">
        <v>21732</v>
      </c>
      <c r="D7244" s="8" t="s">
        <v>16</v>
      </c>
      <c r="E7244" s="8" t="s">
        <v>17</v>
      </c>
      <c r="F7244" s="9">
        <v>46087.0</v>
      </c>
      <c r="G7244" s="8" t="s">
        <v>873</v>
      </c>
      <c r="H7244" s="8" t="s">
        <v>874</v>
      </c>
      <c r="I7244" s="8"/>
      <c r="J7244" s="8" t="s">
        <v>21733</v>
      </c>
    </row>
    <row r="7245">
      <c r="A7245" s="7">
        <v>2.0033468E7</v>
      </c>
      <c r="B7245" s="8" t="s">
        <v>1828</v>
      </c>
      <c r="C7245" s="8" t="s">
        <v>21732</v>
      </c>
      <c r="D7245" s="8" t="s">
        <v>16</v>
      </c>
      <c r="E7245" s="8" t="s">
        <v>17</v>
      </c>
      <c r="F7245" s="9">
        <v>46087.0</v>
      </c>
      <c r="G7245" s="8" t="s">
        <v>339</v>
      </c>
      <c r="H7245" s="8" t="s">
        <v>340</v>
      </c>
      <c r="I7245" s="8" t="s">
        <v>21734</v>
      </c>
      <c r="J7245" s="8" t="s">
        <v>21735</v>
      </c>
    </row>
    <row r="7246">
      <c r="A7246" s="7">
        <v>2.0033468E7</v>
      </c>
      <c r="B7246" s="8" t="s">
        <v>1828</v>
      </c>
      <c r="C7246" s="8" t="s">
        <v>21732</v>
      </c>
      <c r="D7246" s="8" t="s">
        <v>16</v>
      </c>
      <c r="E7246" s="8" t="s">
        <v>17</v>
      </c>
      <c r="F7246" s="9">
        <v>46087.0</v>
      </c>
      <c r="G7246" s="8" t="s">
        <v>873</v>
      </c>
      <c r="H7246" s="8" t="s">
        <v>874</v>
      </c>
      <c r="I7246" s="8" t="s">
        <v>21736</v>
      </c>
      <c r="J7246" s="8" t="s">
        <v>21737</v>
      </c>
    </row>
    <row r="7247">
      <c r="A7247" s="7">
        <v>2.0044319E7</v>
      </c>
      <c r="B7247" s="8" t="s">
        <v>1828</v>
      </c>
      <c r="C7247" s="8" t="s">
        <v>21738</v>
      </c>
      <c r="D7247" s="8" t="s">
        <v>16</v>
      </c>
      <c r="E7247" s="8" t="s">
        <v>17</v>
      </c>
      <c r="F7247" s="9">
        <v>46091.0</v>
      </c>
      <c r="G7247" s="8" t="s">
        <v>5127</v>
      </c>
      <c r="H7247" s="8" t="s">
        <v>5128</v>
      </c>
      <c r="I7247" s="8" t="s">
        <v>21739</v>
      </c>
      <c r="J7247" s="8" t="s">
        <v>21740</v>
      </c>
    </row>
    <row r="7248">
      <c r="A7248" s="7">
        <v>2.0037663E7</v>
      </c>
      <c r="B7248" s="8" t="s">
        <v>1828</v>
      </c>
      <c r="C7248" s="8" t="s">
        <v>21741</v>
      </c>
      <c r="D7248" s="8" t="s">
        <v>16</v>
      </c>
      <c r="E7248" s="8" t="s">
        <v>17</v>
      </c>
      <c r="F7248" s="9">
        <v>46049.0</v>
      </c>
      <c r="G7248" s="8" t="s">
        <v>109</v>
      </c>
      <c r="H7248" s="8" t="s">
        <v>110</v>
      </c>
      <c r="I7248" s="8" t="s">
        <v>21742</v>
      </c>
      <c r="J7248" s="8" t="s">
        <v>21743</v>
      </c>
    </row>
    <row r="7249">
      <c r="A7249" s="7">
        <v>2.0037637E7</v>
      </c>
      <c r="B7249" s="8" t="s">
        <v>1828</v>
      </c>
      <c r="C7249" s="8" t="s">
        <v>21744</v>
      </c>
      <c r="D7249" s="8" t="s">
        <v>16</v>
      </c>
      <c r="E7249" s="8" t="s">
        <v>17</v>
      </c>
      <c r="F7249" s="9">
        <v>46069.0</v>
      </c>
      <c r="G7249" s="8" t="s">
        <v>171</v>
      </c>
      <c r="H7249" s="8" t="s">
        <v>172</v>
      </c>
      <c r="I7249" s="8" t="s">
        <v>21745</v>
      </c>
      <c r="J7249" s="8" t="s">
        <v>21746</v>
      </c>
    </row>
    <row r="7250">
      <c r="A7250" s="7">
        <v>2.0034333E7</v>
      </c>
      <c r="B7250" s="8" t="s">
        <v>1828</v>
      </c>
      <c r="C7250" s="8" t="s">
        <v>21747</v>
      </c>
      <c r="D7250" s="8" t="s">
        <v>16</v>
      </c>
      <c r="E7250" s="8" t="s">
        <v>17</v>
      </c>
      <c r="F7250" s="9">
        <v>46089.0</v>
      </c>
      <c r="G7250" s="8" t="s">
        <v>2122</v>
      </c>
      <c r="H7250" s="8" t="s">
        <v>2123</v>
      </c>
      <c r="I7250" s="8" t="s">
        <v>21748</v>
      </c>
      <c r="J7250" s="8"/>
    </row>
    <row r="7251">
      <c r="A7251" s="7">
        <v>2.0066765E7</v>
      </c>
      <c r="B7251" s="8" t="s">
        <v>1828</v>
      </c>
      <c r="C7251" s="8" t="s">
        <v>21749</v>
      </c>
      <c r="D7251" s="8" t="s">
        <v>16</v>
      </c>
      <c r="E7251" s="8" t="s">
        <v>17</v>
      </c>
      <c r="F7251" s="9">
        <v>46175.0</v>
      </c>
      <c r="G7251" s="8" t="s">
        <v>846</v>
      </c>
      <c r="H7251" s="8" t="s">
        <v>847</v>
      </c>
      <c r="I7251" s="8" t="s">
        <v>21750</v>
      </c>
      <c r="J7251" s="8" t="s">
        <v>21751</v>
      </c>
    </row>
    <row r="7252">
      <c r="A7252" s="7">
        <v>2.0064601E7</v>
      </c>
      <c r="B7252" s="8" t="s">
        <v>1828</v>
      </c>
      <c r="C7252" s="8" t="s">
        <v>21752</v>
      </c>
      <c r="D7252" s="8" t="s">
        <v>16</v>
      </c>
      <c r="E7252" s="8" t="s">
        <v>17</v>
      </c>
      <c r="F7252" s="9">
        <v>46163.0</v>
      </c>
      <c r="G7252" s="8" t="s">
        <v>59</v>
      </c>
      <c r="H7252" s="8" t="s">
        <v>60</v>
      </c>
      <c r="I7252" s="8" t="s">
        <v>21753</v>
      </c>
      <c r="J7252" s="8" t="s">
        <v>21754</v>
      </c>
    </row>
    <row r="7253">
      <c r="A7253" s="7">
        <v>2.0063765E7</v>
      </c>
      <c r="B7253" s="8" t="s">
        <v>1828</v>
      </c>
      <c r="C7253" s="8" t="s">
        <v>21755</v>
      </c>
      <c r="D7253" s="8" t="s">
        <v>16</v>
      </c>
      <c r="E7253" s="8" t="s">
        <v>17</v>
      </c>
      <c r="F7253" s="9">
        <v>46180.0</v>
      </c>
      <c r="G7253" s="8" t="s">
        <v>361</v>
      </c>
      <c r="H7253" s="8" t="s">
        <v>362</v>
      </c>
      <c r="I7253" s="8" t="s">
        <v>21756</v>
      </c>
      <c r="J7253" s="8" t="s">
        <v>21757</v>
      </c>
    </row>
    <row r="7254">
      <c r="A7254" s="7">
        <v>2.0063725E7</v>
      </c>
      <c r="B7254" s="8" t="s">
        <v>1828</v>
      </c>
      <c r="C7254" s="8" t="s">
        <v>21758</v>
      </c>
      <c r="D7254" s="8" t="s">
        <v>2136</v>
      </c>
      <c r="E7254" s="8" t="s">
        <v>69</v>
      </c>
      <c r="F7254" s="9">
        <v>46155.0</v>
      </c>
      <c r="G7254" s="8" t="s">
        <v>234</v>
      </c>
      <c r="H7254" s="8" t="s">
        <v>235</v>
      </c>
      <c r="I7254" s="8" t="s">
        <v>21759</v>
      </c>
      <c r="J7254" s="8" t="s">
        <v>21760</v>
      </c>
    </row>
    <row r="7255">
      <c r="A7255" s="7">
        <v>2.0058816E7</v>
      </c>
      <c r="B7255" s="8" t="s">
        <v>1828</v>
      </c>
      <c r="C7255" s="8" t="s">
        <v>21761</v>
      </c>
      <c r="D7255" s="8" t="s">
        <v>16</v>
      </c>
      <c r="E7255" s="8" t="s">
        <v>17</v>
      </c>
      <c r="F7255" s="9">
        <v>46179.0</v>
      </c>
      <c r="G7255" s="8" t="s">
        <v>5951</v>
      </c>
      <c r="H7255" s="8" t="s">
        <v>5952</v>
      </c>
      <c r="I7255" s="8" t="s">
        <v>21762</v>
      </c>
      <c r="J7255" s="8" t="s">
        <v>21763</v>
      </c>
    </row>
    <row r="7256">
      <c r="A7256" s="7">
        <v>2.005437E7</v>
      </c>
      <c r="B7256" s="8" t="s">
        <v>1828</v>
      </c>
      <c r="C7256" s="8" t="s">
        <v>21764</v>
      </c>
      <c r="D7256" s="8" t="s">
        <v>16</v>
      </c>
      <c r="E7256" s="8" t="s">
        <v>17</v>
      </c>
      <c r="F7256" s="9">
        <v>46120.0</v>
      </c>
      <c r="G7256" s="8" t="s">
        <v>418</v>
      </c>
      <c r="H7256" s="8" t="s">
        <v>419</v>
      </c>
      <c r="I7256" s="8" t="s">
        <v>21765</v>
      </c>
      <c r="J7256" s="8" t="s">
        <v>21766</v>
      </c>
    </row>
    <row r="7257">
      <c r="A7257" s="7">
        <v>2.0052929E7</v>
      </c>
      <c r="B7257" s="8" t="s">
        <v>1828</v>
      </c>
      <c r="C7257" s="8" t="s">
        <v>21767</v>
      </c>
      <c r="D7257" s="8" t="s">
        <v>16</v>
      </c>
      <c r="E7257" s="8" t="s">
        <v>17</v>
      </c>
      <c r="F7257" s="9">
        <v>46139.0</v>
      </c>
      <c r="G7257" s="8" t="s">
        <v>613</v>
      </c>
      <c r="H7257" s="8" t="s">
        <v>614</v>
      </c>
      <c r="I7257" s="8" t="s">
        <v>21768</v>
      </c>
      <c r="J7257" s="8" t="s">
        <v>21769</v>
      </c>
    </row>
    <row r="7258">
      <c r="A7258" s="7">
        <v>2.0045849E7</v>
      </c>
      <c r="B7258" s="8" t="s">
        <v>1828</v>
      </c>
      <c r="C7258" s="8" t="s">
        <v>21770</v>
      </c>
      <c r="D7258" s="8" t="s">
        <v>16</v>
      </c>
      <c r="E7258" s="8" t="s">
        <v>17</v>
      </c>
      <c r="F7258" s="9">
        <v>46082.0</v>
      </c>
      <c r="G7258" s="8" t="s">
        <v>59</v>
      </c>
      <c r="H7258" s="8" t="s">
        <v>60</v>
      </c>
      <c r="I7258" s="8" t="s">
        <v>21771</v>
      </c>
      <c r="J7258" s="8" t="s">
        <v>21772</v>
      </c>
    </row>
    <row r="7259">
      <c r="A7259" s="7">
        <v>2.0042578E7</v>
      </c>
      <c r="B7259" s="8" t="s">
        <v>1828</v>
      </c>
      <c r="C7259" s="8" t="s">
        <v>21773</v>
      </c>
      <c r="D7259" s="8" t="s">
        <v>16</v>
      </c>
      <c r="E7259" s="8" t="s">
        <v>17</v>
      </c>
      <c r="F7259" s="9">
        <v>46093.0</v>
      </c>
      <c r="G7259" s="8" t="s">
        <v>21774</v>
      </c>
      <c r="H7259" s="8" t="s">
        <v>21775</v>
      </c>
      <c r="I7259" s="8" t="s">
        <v>21776</v>
      </c>
      <c r="J7259" s="8" t="s">
        <v>21777</v>
      </c>
    </row>
    <row r="7260">
      <c r="A7260" s="7">
        <v>2.004238E7</v>
      </c>
      <c r="B7260" s="8" t="s">
        <v>1828</v>
      </c>
      <c r="C7260" s="8" t="s">
        <v>21778</v>
      </c>
      <c r="D7260" s="8" t="s">
        <v>16</v>
      </c>
      <c r="E7260" s="8" t="s">
        <v>17</v>
      </c>
      <c r="F7260" s="9">
        <v>46084.0</v>
      </c>
      <c r="G7260" s="8" t="s">
        <v>1045</v>
      </c>
      <c r="H7260" s="8" t="s">
        <v>909</v>
      </c>
      <c r="I7260" s="8" t="s">
        <v>21779</v>
      </c>
      <c r="J7260" s="8" t="s">
        <v>21780</v>
      </c>
    </row>
    <row r="7261">
      <c r="A7261" s="7">
        <v>2.0038228E7</v>
      </c>
      <c r="B7261" s="8" t="s">
        <v>1828</v>
      </c>
      <c r="C7261" s="8" t="s">
        <v>21781</v>
      </c>
      <c r="D7261" s="8" t="s">
        <v>16</v>
      </c>
      <c r="E7261" s="8" t="s">
        <v>17</v>
      </c>
      <c r="F7261" s="9">
        <v>46051.0</v>
      </c>
      <c r="G7261" s="8" t="s">
        <v>59</v>
      </c>
      <c r="H7261" s="8" t="s">
        <v>60</v>
      </c>
      <c r="I7261" s="8" t="s">
        <v>21782</v>
      </c>
      <c r="J7261" s="8" t="s">
        <v>21783</v>
      </c>
    </row>
    <row r="7262">
      <c r="A7262" s="7">
        <v>2.0035964E7</v>
      </c>
      <c r="B7262" s="8" t="s">
        <v>1828</v>
      </c>
      <c r="C7262" s="8" t="s">
        <v>21784</v>
      </c>
      <c r="D7262" s="8" t="s">
        <v>16</v>
      </c>
      <c r="E7262" s="8" t="s">
        <v>17</v>
      </c>
      <c r="F7262" s="9">
        <v>46042.0</v>
      </c>
      <c r="G7262" s="8" t="s">
        <v>109</v>
      </c>
      <c r="H7262" s="8" t="s">
        <v>110</v>
      </c>
      <c r="I7262" s="8" t="s">
        <v>21785</v>
      </c>
      <c r="J7262" s="8" t="s">
        <v>21786</v>
      </c>
    </row>
    <row r="7263">
      <c r="A7263" s="7">
        <v>2.0067863E7</v>
      </c>
      <c r="B7263" s="8" t="s">
        <v>1828</v>
      </c>
      <c r="C7263" s="8" t="s">
        <v>21787</v>
      </c>
      <c r="D7263" s="8" t="s">
        <v>16</v>
      </c>
      <c r="E7263" s="8" t="s">
        <v>17</v>
      </c>
      <c r="F7263" s="9">
        <v>46188.0</v>
      </c>
      <c r="G7263" s="8" t="s">
        <v>4170</v>
      </c>
      <c r="H7263" s="8" t="s">
        <v>21788</v>
      </c>
      <c r="I7263" s="8" t="s">
        <v>21789</v>
      </c>
      <c r="J7263" s="8" t="s">
        <v>21790</v>
      </c>
    </row>
    <row r="7264">
      <c r="A7264" s="7">
        <v>2.0052889E7</v>
      </c>
      <c r="B7264" s="8" t="s">
        <v>1828</v>
      </c>
      <c r="C7264" s="8" t="s">
        <v>21791</v>
      </c>
      <c r="D7264" s="8" t="s">
        <v>16</v>
      </c>
      <c r="E7264" s="8" t="s">
        <v>17</v>
      </c>
      <c r="F7264" s="9">
        <v>46109.0</v>
      </c>
      <c r="G7264" s="8" t="s">
        <v>59</v>
      </c>
      <c r="H7264" s="8" t="s">
        <v>60</v>
      </c>
      <c r="I7264" s="8" t="s">
        <v>21792</v>
      </c>
      <c r="J7264" s="8" t="s">
        <v>21793</v>
      </c>
    </row>
    <row r="7265">
      <c r="A7265" s="7">
        <v>2.0048741E7</v>
      </c>
      <c r="B7265" s="8" t="s">
        <v>1828</v>
      </c>
      <c r="C7265" s="8" t="s">
        <v>21794</v>
      </c>
      <c r="D7265" s="8" t="s">
        <v>16</v>
      </c>
      <c r="E7265" s="8" t="s">
        <v>17</v>
      </c>
      <c r="F7265" s="9">
        <v>46096.0</v>
      </c>
      <c r="G7265" s="8" t="s">
        <v>1110</v>
      </c>
      <c r="H7265" s="8" t="s">
        <v>1111</v>
      </c>
      <c r="I7265" s="8" t="s">
        <v>21795</v>
      </c>
      <c r="J7265" s="8" t="s">
        <v>21796</v>
      </c>
    </row>
    <row r="7266">
      <c r="A7266" s="7">
        <v>2.0046266E7</v>
      </c>
      <c r="B7266" s="8" t="s">
        <v>1828</v>
      </c>
      <c r="C7266" s="8" t="s">
        <v>21797</v>
      </c>
      <c r="D7266" s="8" t="s">
        <v>16</v>
      </c>
      <c r="E7266" s="8" t="s">
        <v>17</v>
      </c>
      <c r="F7266" s="9">
        <v>46093.0</v>
      </c>
      <c r="G7266" s="8" t="s">
        <v>234</v>
      </c>
      <c r="H7266" s="8" t="s">
        <v>235</v>
      </c>
      <c r="I7266" s="8" t="s">
        <v>21798</v>
      </c>
      <c r="J7266" s="8" t="s">
        <v>21799</v>
      </c>
    </row>
    <row r="7267">
      <c r="A7267" s="7">
        <v>2.0044617E7</v>
      </c>
      <c r="B7267" s="8" t="s">
        <v>1828</v>
      </c>
      <c r="C7267" s="8" t="s">
        <v>21800</v>
      </c>
      <c r="D7267" s="8" t="s">
        <v>16</v>
      </c>
      <c r="E7267" s="8" t="s">
        <v>17</v>
      </c>
      <c r="F7267" s="9">
        <v>46093.0</v>
      </c>
      <c r="G7267" s="8" t="s">
        <v>54</v>
      </c>
      <c r="H7267" s="8" t="s">
        <v>55</v>
      </c>
      <c r="I7267" s="8" t="s">
        <v>21801</v>
      </c>
      <c r="J7267" s="8" t="s">
        <v>21802</v>
      </c>
    </row>
    <row r="7268">
      <c r="A7268" s="7">
        <v>2.0044651E7</v>
      </c>
      <c r="B7268" s="8" t="s">
        <v>1828</v>
      </c>
      <c r="C7268" s="8" t="s">
        <v>21803</v>
      </c>
      <c r="D7268" s="8" t="s">
        <v>16</v>
      </c>
      <c r="E7268" s="8" t="s">
        <v>17</v>
      </c>
      <c r="F7268" s="9">
        <v>46081.0</v>
      </c>
      <c r="G7268" s="8" t="s">
        <v>339</v>
      </c>
      <c r="H7268" s="8" t="s">
        <v>340</v>
      </c>
      <c r="I7268" s="8" t="s">
        <v>21804</v>
      </c>
      <c r="J7268" s="8" t="s">
        <v>21805</v>
      </c>
    </row>
    <row r="7269">
      <c r="A7269" s="7">
        <v>2.0043861E7</v>
      </c>
      <c r="B7269" s="8" t="s">
        <v>1828</v>
      </c>
      <c r="C7269" s="8" t="s">
        <v>21806</v>
      </c>
      <c r="D7269" s="8" t="s">
        <v>16</v>
      </c>
      <c r="E7269" s="8" t="s">
        <v>17</v>
      </c>
      <c r="F7269" s="9">
        <v>46090.0</v>
      </c>
      <c r="G7269" s="8" t="s">
        <v>613</v>
      </c>
      <c r="H7269" s="8" t="s">
        <v>614</v>
      </c>
      <c r="I7269" s="8" t="s">
        <v>21769</v>
      </c>
      <c r="J7269" s="8" t="s">
        <v>21807</v>
      </c>
    </row>
    <row r="7270">
      <c r="A7270" s="7">
        <v>2.0043017E7</v>
      </c>
      <c r="B7270" s="8" t="s">
        <v>1828</v>
      </c>
      <c r="C7270" s="8" t="s">
        <v>21808</v>
      </c>
      <c r="D7270" s="8" t="s">
        <v>16</v>
      </c>
      <c r="E7270" s="8" t="s">
        <v>17</v>
      </c>
      <c r="F7270" s="9">
        <v>46074.0</v>
      </c>
      <c r="G7270" s="8" t="s">
        <v>59</v>
      </c>
      <c r="H7270" s="8" t="s">
        <v>60</v>
      </c>
      <c r="I7270" s="8" t="s">
        <v>21809</v>
      </c>
      <c r="J7270" s="8" t="s">
        <v>21810</v>
      </c>
    </row>
    <row r="7271">
      <c r="A7271" s="7">
        <v>2.0039529E7</v>
      </c>
      <c r="B7271" s="8" t="s">
        <v>1828</v>
      </c>
      <c r="C7271" s="8" t="s">
        <v>21811</v>
      </c>
      <c r="D7271" s="8" t="s">
        <v>16</v>
      </c>
      <c r="E7271" s="8" t="s">
        <v>17</v>
      </c>
      <c r="F7271" s="9">
        <v>46056.0</v>
      </c>
      <c r="G7271" s="8" t="s">
        <v>75</v>
      </c>
      <c r="H7271" s="8" t="s">
        <v>76</v>
      </c>
      <c r="I7271" s="8" t="s">
        <v>21812</v>
      </c>
      <c r="J7271" s="8" t="s">
        <v>21813</v>
      </c>
    </row>
    <row r="7272">
      <c r="A7272" s="7">
        <v>2.003908E7</v>
      </c>
      <c r="B7272" s="8" t="s">
        <v>1828</v>
      </c>
      <c r="C7272" s="8" t="s">
        <v>21814</v>
      </c>
      <c r="D7272" s="8" t="s">
        <v>16</v>
      </c>
      <c r="E7272" s="8" t="s">
        <v>17</v>
      </c>
      <c r="F7272" s="9">
        <v>46069.0</v>
      </c>
      <c r="G7272" s="8" t="s">
        <v>158</v>
      </c>
      <c r="H7272" s="8" t="s">
        <v>159</v>
      </c>
      <c r="I7272" s="8" t="s">
        <v>21815</v>
      </c>
      <c r="J7272" s="8" t="s">
        <v>21816</v>
      </c>
    </row>
    <row r="7273">
      <c r="A7273" s="7">
        <v>2.0037986E7</v>
      </c>
      <c r="B7273" s="8" t="s">
        <v>1828</v>
      </c>
      <c r="C7273" s="8" t="s">
        <v>21817</v>
      </c>
      <c r="D7273" s="8" t="s">
        <v>16</v>
      </c>
      <c r="E7273" s="8" t="s">
        <v>17</v>
      </c>
      <c r="F7273" s="9">
        <v>46051.0</v>
      </c>
      <c r="G7273" s="8" t="s">
        <v>873</v>
      </c>
      <c r="H7273" s="8" t="s">
        <v>874</v>
      </c>
      <c r="I7273" s="8" t="s">
        <v>21818</v>
      </c>
      <c r="J7273" s="8" t="s">
        <v>21819</v>
      </c>
    </row>
    <row r="7274">
      <c r="A7274" s="7">
        <v>2.0037986E7</v>
      </c>
      <c r="B7274" s="8" t="s">
        <v>1828</v>
      </c>
      <c r="C7274" s="8" t="s">
        <v>21817</v>
      </c>
      <c r="D7274" s="8" t="s">
        <v>16</v>
      </c>
      <c r="E7274" s="8" t="s">
        <v>17</v>
      </c>
      <c r="F7274" s="9">
        <v>46051.0</v>
      </c>
      <c r="G7274" s="8" t="s">
        <v>339</v>
      </c>
      <c r="H7274" s="8" t="s">
        <v>340</v>
      </c>
      <c r="I7274" s="8" t="s">
        <v>21820</v>
      </c>
      <c r="J7274" s="8" t="s">
        <v>21821</v>
      </c>
    </row>
    <row r="7275">
      <c r="A7275" s="7">
        <v>2.0069266E7</v>
      </c>
      <c r="B7275" s="8" t="s">
        <v>1828</v>
      </c>
      <c r="C7275" s="8" t="s">
        <v>21822</v>
      </c>
      <c r="D7275" s="8" t="s">
        <v>16</v>
      </c>
      <c r="E7275" s="8" t="s">
        <v>17</v>
      </c>
      <c r="F7275" s="9">
        <v>46193.0</v>
      </c>
      <c r="G7275" s="8" t="s">
        <v>1045</v>
      </c>
      <c r="H7275" s="8" t="s">
        <v>909</v>
      </c>
      <c r="I7275" s="8" t="s">
        <v>21823</v>
      </c>
      <c r="J7275" s="8" t="s">
        <v>21824</v>
      </c>
    </row>
    <row r="7276">
      <c r="A7276" s="7">
        <v>2.0068444E7</v>
      </c>
      <c r="B7276" s="8" t="s">
        <v>1828</v>
      </c>
      <c r="C7276" s="8" t="s">
        <v>21825</v>
      </c>
      <c r="D7276" s="8" t="s">
        <v>16</v>
      </c>
      <c r="E7276" s="8" t="s">
        <v>17</v>
      </c>
      <c r="F7276" s="9">
        <v>46184.0</v>
      </c>
      <c r="G7276" s="8" t="s">
        <v>234</v>
      </c>
      <c r="H7276" s="8" t="s">
        <v>235</v>
      </c>
      <c r="I7276" s="8" t="s">
        <v>21826</v>
      </c>
      <c r="J7276" s="8" t="s">
        <v>21827</v>
      </c>
    </row>
    <row r="7277">
      <c r="A7277" s="7">
        <v>2.0067652E7</v>
      </c>
      <c r="B7277" s="8" t="s">
        <v>1828</v>
      </c>
      <c r="C7277" s="8" t="s">
        <v>21828</v>
      </c>
      <c r="D7277" s="8" t="s">
        <v>16</v>
      </c>
      <c r="E7277" s="8" t="s">
        <v>17</v>
      </c>
      <c r="F7277" s="9">
        <v>46182.0</v>
      </c>
      <c r="G7277" s="8" t="s">
        <v>234</v>
      </c>
      <c r="H7277" s="8" t="s">
        <v>235</v>
      </c>
      <c r="I7277" s="8" t="s">
        <v>21829</v>
      </c>
      <c r="J7277" s="8" t="s">
        <v>21830</v>
      </c>
    </row>
    <row r="7278">
      <c r="A7278" s="7">
        <v>2.0067652E7</v>
      </c>
      <c r="B7278" s="8" t="s">
        <v>1828</v>
      </c>
      <c r="C7278" s="8" t="s">
        <v>21828</v>
      </c>
      <c r="D7278" s="8" t="s">
        <v>16</v>
      </c>
      <c r="E7278" s="8" t="s">
        <v>17</v>
      </c>
      <c r="F7278" s="9">
        <v>46182.0</v>
      </c>
      <c r="G7278" s="8" t="s">
        <v>3255</v>
      </c>
      <c r="H7278" s="8" t="s">
        <v>3256</v>
      </c>
      <c r="I7278" s="8" t="s">
        <v>21831</v>
      </c>
      <c r="J7278" s="8" t="s">
        <v>21832</v>
      </c>
    </row>
    <row r="7279">
      <c r="A7279" s="7">
        <v>2.006655E7</v>
      </c>
      <c r="B7279" s="8" t="s">
        <v>1828</v>
      </c>
      <c r="C7279" s="8" t="s">
        <v>21833</v>
      </c>
      <c r="D7279" s="8" t="s">
        <v>16</v>
      </c>
      <c r="E7279" s="8" t="s">
        <v>17</v>
      </c>
      <c r="F7279" s="9">
        <v>46192.0</v>
      </c>
      <c r="G7279" s="8" t="s">
        <v>21834</v>
      </c>
      <c r="H7279" s="8" t="s">
        <v>21835</v>
      </c>
      <c r="I7279" s="8" t="s">
        <v>21836</v>
      </c>
      <c r="J7279" s="8" t="s">
        <v>21837</v>
      </c>
    </row>
    <row r="7280">
      <c r="A7280" s="7">
        <v>2.0061101E7</v>
      </c>
      <c r="B7280" s="8" t="s">
        <v>1828</v>
      </c>
      <c r="C7280" s="8" t="s">
        <v>21838</v>
      </c>
      <c r="D7280" s="8" t="s">
        <v>16</v>
      </c>
      <c r="E7280" s="8" t="s">
        <v>17</v>
      </c>
      <c r="F7280" s="9">
        <v>46191.0</v>
      </c>
      <c r="G7280" s="8" t="s">
        <v>21839</v>
      </c>
      <c r="H7280" s="8" t="s">
        <v>21840</v>
      </c>
      <c r="I7280" s="8" t="s">
        <v>21841</v>
      </c>
      <c r="J7280" s="8" t="s">
        <v>21842</v>
      </c>
    </row>
    <row r="7281">
      <c r="A7281" s="7">
        <v>2.0060593E7</v>
      </c>
      <c r="B7281" s="8" t="s">
        <v>1828</v>
      </c>
      <c r="C7281" s="8" t="s">
        <v>21843</v>
      </c>
      <c r="D7281" s="8" t="s">
        <v>16</v>
      </c>
      <c r="E7281" s="8" t="s">
        <v>17</v>
      </c>
      <c r="F7281" s="9">
        <v>46147.0</v>
      </c>
      <c r="G7281" s="8" t="s">
        <v>385</v>
      </c>
      <c r="H7281" s="8" t="s">
        <v>386</v>
      </c>
      <c r="I7281" s="8" t="s">
        <v>21844</v>
      </c>
      <c r="J7281" s="8" t="s">
        <v>21845</v>
      </c>
    </row>
    <row r="7282">
      <c r="A7282" s="7">
        <v>2.0060243E7</v>
      </c>
      <c r="B7282" s="8" t="s">
        <v>1828</v>
      </c>
      <c r="C7282" s="8" t="s">
        <v>21846</v>
      </c>
      <c r="D7282" s="8" t="s">
        <v>16</v>
      </c>
      <c r="E7282" s="8" t="s">
        <v>17</v>
      </c>
      <c r="F7282" s="9">
        <v>46143.0</v>
      </c>
      <c r="G7282" s="8" t="s">
        <v>59</v>
      </c>
      <c r="H7282" s="8" t="s">
        <v>60</v>
      </c>
      <c r="I7282" s="8" t="s">
        <v>21847</v>
      </c>
      <c r="J7282" s="8" t="s">
        <v>21848</v>
      </c>
    </row>
    <row r="7283">
      <c r="A7283" s="7">
        <v>2.0058494E7</v>
      </c>
      <c r="B7283" s="8" t="s">
        <v>1828</v>
      </c>
      <c r="C7283" s="8" t="s">
        <v>21849</v>
      </c>
      <c r="D7283" s="8" t="s">
        <v>16</v>
      </c>
      <c r="E7283" s="8" t="s">
        <v>17</v>
      </c>
      <c r="F7283" s="9">
        <v>46178.0</v>
      </c>
      <c r="G7283" s="8" t="s">
        <v>324</v>
      </c>
      <c r="H7283" s="8" t="s">
        <v>325</v>
      </c>
      <c r="I7283" s="8" t="s">
        <v>21850</v>
      </c>
      <c r="J7283" s="8" t="s">
        <v>21851</v>
      </c>
    </row>
    <row r="7284">
      <c r="A7284" s="7">
        <v>2.0052285E7</v>
      </c>
      <c r="B7284" s="8" t="s">
        <v>1828</v>
      </c>
      <c r="C7284" s="8" t="s">
        <v>21852</v>
      </c>
      <c r="D7284" s="8" t="s">
        <v>16</v>
      </c>
      <c r="E7284" s="8" t="s">
        <v>17</v>
      </c>
      <c r="F7284" s="9">
        <v>46126.0</v>
      </c>
      <c r="G7284" s="8" t="s">
        <v>21853</v>
      </c>
      <c r="H7284" s="8" t="s">
        <v>21854</v>
      </c>
      <c r="I7284" s="8" t="s">
        <v>21855</v>
      </c>
      <c r="J7284" s="8" t="s">
        <v>21856</v>
      </c>
    </row>
    <row r="7285">
      <c r="A7285" s="7">
        <v>2.0052285E7</v>
      </c>
      <c r="B7285" s="8" t="s">
        <v>1828</v>
      </c>
      <c r="C7285" s="8" t="s">
        <v>21852</v>
      </c>
      <c r="D7285" s="8" t="s">
        <v>16</v>
      </c>
      <c r="E7285" s="8" t="s">
        <v>17</v>
      </c>
      <c r="F7285" s="9">
        <v>46126.0</v>
      </c>
      <c r="G7285" s="8" t="s">
        <v>21857</v>
      </c>
      <c r="H7285" s="8" t="s">
        <v>21858</v>
      </c>
      <c r="I7285" s="8" t="s">
        <v>21859</v>
      </c>
      <c r="J7285" s="8" t="s">
        <v>21860</v>
      </c>
    </row>
    <row r="7286">
      <c r="A7286" s="7">
        <v>2.0051705E7</v>
      </c>
      <c r="B7286" s="8" t="s">
        <v>1828</v>
      </c>
      <c r="C7286" s="8" t="s">
        <v>21861</v>
      </c>
      <c r="D7286" s="8" t="s">
        <v>16</v>
      </c>
      <c r="E7286" s="8" t="s">
        <v>17</v>
      </c>
      <c r="F7286" s="9">
        <v>46107.0</v>
      </c>
      <c r="G7286" s="8" t="s">
        <v>59</v>
      </c>
      <c r="H7286" s="8" t="s">
        <v>60</v>
      </c>
      <c r="I7286" s="8" t="s">
        <v>21862</v>
      </c>
      <c r="J7286" s="8" t="s">
        <v>21863</v>
      </c>
    </row>
    <row r="7287">
      <c r="A7287" s="7">
        <v>2.0045632E7</v>
      </c>
      <c r="B7287" s="8" t="s">
        <v>1828</v>
      </c>
      <c r="C7287" s="8" t="s">
        <v>21864</v>
      </c>
      <c r="D7287" s="8" t="s">
        <v>16</v>
      </c>
      <c r="E7287" s="8" t="s">
        <v>17</v>
      </c>
      <c r="F7287" s="9">
        <v>46106.0</v>
      </c>
      <c r="G7287" s="8" t="s">
        <v>732</v>
      </c>
      <c r="H7287" s="8" t="s">
        <v>733</v>
      </c>
      <c r="I7287" s="8" t="s">
        <v>21865</v>
      </c>
      <c r="J7287" s="8" t="s">
        <v>21866</v>
      </c>
    </row>
    <row r="7288">
      <c r="A7288" s="7">
        <v>2.0043774E7</v>
      </c>
      <c r="B7288" s="8" t="s">
        <v>1828</v>
      </c>
      <c r="C7288" s="8" t="s">
        <v>21867</v>
      </c>
      <c r="D7288" s="8" t="s">
        <v>16</v>
      </c>
      <c r="E7288" s="8" t="s">
        <v>17</v>
      </c>
      <c r="F7288" s="9">
        <v>46083.0</v>
      </c>
      <c r="G7288" s="8" t="s">
        <v>59</v>
      </c>
      <c r="H7288" s="8" t="s">
        <v>60</v>
      </c>
      <c r="I7288" s="8" t="s">
        <v>21868</v>
      </c>
      <c r="J7288" s="8" t="s">
        <v>21869</v>
      </c>
    </row>
    <row r="7289">
      <c r="A7289" s="7">
        <v>2.004186E7</v>
      </c>
      <c r="B7289" s="8" t="s">
        <v>1828</v>
      </c>
      <c r="C7289" s="8" t="s">
        <v>21870</v>
      </c>
      <c r="D7289" s="8" t="s">
        <v>16</v>
      </c>
      <c r="E7289" s="8" t="s">
        <v>17</v>
      </c>
      <c r="F7289" s="9">
        <v>46080.0</v>
      </c>
      <c r="G7289" s="8" t="s">
        <v>339</v>
      </c>
      <c r="H7289" s="8" t="s">
        <v>340</v>
      </c>
      <c r="I7289" s="8" t="s">
        <v>21871</v>
      </c>
      <c r="J7289" s="8" t="s">
        <v>21872</v>
      </c>
    </row>
    <row r="7290">
      <c r="A7290" s="7">
        <v>2.0041187E7</v>
      </c>
      <c r="B7290" s="8" t="s">
        <v>1828</v>
      </c>
      <c r="C7290" s="8" t="s">
        <v>21873</v>
      </c>
      <c r="D7290" s="8" t="s">
        <v>16</v>
      </c>
      <c r="E7290" s="8" t="s">
        <v>17</v>
      </c>
      <c r="F7290" s="9">
        <v>46077.0</v>
      </c>
      <c r="G7290" s="8" t="s">
        <v>5866</v>
      </c>
      <c r="H7290" s="8" t="s">
        <v>1111</v>
      </c>
      <c r="I7290" s="8" t="s">
        <v>21874</v>
      </c>
      <c r="J7290" s="8" t="s">
        <v>21875</v>
      </c>
    </row>
    <row r="7291">
      <c r="A7291" s="7">
        <v>2.004262E7</v>
      </c>
      <c r="B7291" s="8" t="s">
        <v>1828</v>
      </c>
      <c r="C7291" s="8" t="s">
        <v>21876</v>
      </c>
      <c r="D7291" s="8" t="s">
        <v>16</v>
      </c>
      <c r="E7291" s="8" t="s">
        <v>17</v>
      </c>
      <c r="F7291" s="9">
        <v>46075.0</v>
      </c>
      <c r="G7291" s="8" t="s">
        <v>882</v>
      </c>
      <c r="H7291" s="8" t="s">
        <v>883</v>
      </c>
      <c r="I7291" s="8" t="s">
        <v>21877</v>
      </c>
      <c r="J7291" s="8" t="s">
        <v>21878</v>
      </c>
    </row>
    <row r="7292">
      <c r="A7292" s="7">
        <v>2.0039231E7</v>
      </c>
      <c r="B7292" s="8" t="s">
        <v>1828</v>
      </c>
      <c r="C7292" s="8" t="s">
        <v>21879</v>
      </c>
      <c r="D7292" s="8" t="s">
        <v>16</v>
      </c>
      <c r="E7292" s="8" t="s">
        <v>17</v>
      </c>
      <c r="F7292" s="9">
        <v>46064.0</v>
      </c>
      <c r="G7292" s="8" t="s">
        <v>247</v>
      </c>
      <c r="H7292" s="8" t="s">
        <v>248</v>
      </c>
      <c r="I7292" s="8" t="s">
        <v>21880</v>
      </c>
      <c r="J7292" s="8" t="s">
        <v>21881</v>
      </c>
    </row>
    <row r="7293">
      <c r="A7293" s="7">
        <v>2.0037529E7</v>
      </c>
      <c r="B7293" s="8" t="s">
        <v>1828</v>
      </c>
      <c r="C7293" s="8" t="s">
        <v>21882</v>
      </c>
      <c r="D7293" s="8" t="s">
        <v>16</v>
      </c>
      <c r="E7293" s="8" t="s">
        <v>17</v>
      </c>
      <c r="F7293" s="9">
        <v>46050.0</v>
      </c>
      <c r="G7293" s="8" t="s">
        <v>352</v>
      </c>
      <c r="H7293" s="8" t="s">
        <v>353</v>
      </c>
      <c r="I7293" s="8" t="s">
        <v>21883</v>
      </c>
      <c r="J7293" s="8" t="s">
        <v>21884</v>
      </c>
    </row>
    <row r="7294">
      <c r="A7294" s="7">
        <v>2.0070373E7</v>
      </c>
      <c r="B7294" s="8" t="s">
        <v>1828</v>
      </c>
      <c r="C7294" s="8" t="s">
        <v>21885</v>
      </c>
      <c r="D7294" s="8" t="s">
        <v>16</v>
      </c>
      <c r="E7294" s="8" t="s">
        <v>17</v>
      </c>
      <c r="F7294" s="9">
        <v>46188.0</v>
      </c>
      <c r="G7294" s="8" t="s">
        <v>220</v>
      </c>
      <c r="H7294" s="8" t="s">
        <v>221</v>
      </c>
      <c r="I7294" s="8" t="s">
        <v>21886</v>
      </c>
      <c r="J7294" s="8" t="s">
        <v>21887</v>
      </c>
    </row>
    <row r="7295">
      <c r="A7295" s="7">
        <v>2.0059325E7</v>
      </c>
      <c r="B7295" s="8" t="s">
        <v>5514</v>
      </c>
      <c r="C7295" s="8" t="s">
        <v>21888</v>
      </c>
      <c r="D7295" s="8" t="s">
        <v>16</v>
      </c>
      <c r="E7295" s="8" t="s">
        <v>17</v>
      </c>
      <c r="F7295" s="9">
        <v>46139.0</v>
      </c>
      <c r="G7295" s="8" t="s">
        <v>385</v>
      </c>
      <c r="H7295" s="8" t="s">
        <v>386</v>
      </c>
      <c r="I7295" s="8" t="s">
        <v>21889</v>
      </c>
      <c r="J7295" s="8" t="s">
        <v>21890</v>
      </c>
    </row>
    <row r="7296">
      <c r="A7296" s="7">
        <v>2.0058699E7</v>
      </c>
      <c r="B7296" s="8" t="s">
        <v>5514</v>
      </c>
      <c r="C7296" s="8" t="s">
        <v>21891</v>
      </c>
      <c r="D7296" s="8" t="s">
        <v>16</v>
      </c>
      <c r="E7296" s="8" t="s">
        <v>17</v>
      </c>
      <c r="F7296" s="9">
        <v>46139.0</v>
      </c>
      <c r="G7296" s="8" t="s">
        <v>428</v>
      </c>
      <c r="H7296" s="8" t="s">
        <v>429</v>
      </c>
      <c r="I7296" s="8" t="s">
        <v>21892</v>
      </c>
      <c r="J7296" s="8" t="s">
        <v>21893</v>
      </c>
    </row>
    <row r="7297">
      <c r="A7297" s="7">
        <v>2.0055839E7</v>
      </c>
      <c r="B7297" s="8" t="s">
        <v>5514</v>
      </c>
      <c r="C7297" s="8" t="s">
        <v>21894</v>
      </c>
      <c r="D7297" s="8" t="s">
        <v>16</v>
      </c>
      <c r="E7297" s="8" t="s">
        <v>17</v>
      </c>
      <c r="F7297" s="9">
        <v>46184.0</v>
      </c>
      <c r="G7297" s="8" t="s">
        <v>171</v>
      </c>
      <c r="H7297" s="8" t="s">
        <v>172</v>
      </c>
      <c r="I7297" s="8" t="s">
        <v>21895</v>
      </c>
      <c r="J7297" s="8" t="s">
        <v>21896</v>
      </c>
    </row>
    <row r="7298">
      <c r="A7298" s="7">
        <v>2.0041494E7</v>
      </c>
      <c r="B7298" s="8" t="s">
        <v>5514</v>
      </c>
      <c r="C7298" s="8" t="s">
        <v>21897</v>
      </c>
      <c r="D7298" s="8" t="s">
        <v>16</v>
      </c>
      <c r="E7298" s="8" t="s">
        <v>17</v>
      </c>
      <c r="F7298" s="9">
        <v>46079.0</v>
      </c>
      <c r="G7298" s="8" t="s">
        <v>21898</v>
      </c>
      <c r="H7298" s="8" t="s">
        <v>21899</v>
      </c>
      <c r="I7298" s="8" t="s">
        <v>21900</v>
      </c>
      <c r="J7298" s="8" t="s">
        <v>21901</v>
      </c>
    </row>
    <row r="7299">
      <c r="A7299" s="7">
        <v>2.0041494E7</v>
      </c>
      <c r="B7299" s="8" t="s">
        <v>5514</v>
      </c>
      <c r="C7299" s="8" t="s">
        <v>21897</v>
      </c>
      <c r="D7299" s="8" t="s">
        <v>16</v>
      </c>
      <c r="E7299" s="8" t="s">
        <v>17</v>
      </c>
      <c r="F7299" s="9">
        <v>46079.0</v>
      </c>
      <c r="G7299" s="8" t="s">
        <v>21902</v>
      </c>
      <c r="H7299" s="8" t="s">
        <v>21903</v>
      </c>
      <c r="I7299" s="8" t="s">
        <v>21904</v>
      </c>
      <c r="J7299" s="8" t="s">
        <v>21905</v>
      </c>
    </row>
    <row r="7300">
      <c r="A7300" s="7">
        <v>2.0052103E7</v>
      </c>
      <c r="B7300" s="8" t="s">
        <v>5514</v>
      </c>
      <c r="C7300" s="8" t="s">
        <v>21906</v>
      </c>
      <c r="D7300" s="8" t="s">
        <v>16</v>
      </c>
      <c r="E7300" s="8" t="s">
        <v>17</v>
      </c>
      <c r="F7300" s="9">
        <v>46119.0</v>
      </c>
      <c r="G7300" s="8" t="s">
        <v>54</v>
      </c>
      <c r="H7300" s="8" t="s">
        <v>55</v>
      </c>
      <c r="I7300" s="8" t="s">
        <v>21907</v>
      </c>
      <c r="J7300" s="8" t="s">
        <v>21908</v>
      </c>
    </row>
    <row r="7301">
      <c r="A7301" s="7">
        <v>2.0059183E7</v>
      </c>
      <c r="B7301" s="8" t="s">
        <v>5514</v>
      </c>
      <c r="C7301" s="8" t="s">
        <v>21909</v>
      </c>
      <c r="D7301" s="8" t="s">
        <v>16</v>
      </c>
      <c r="E7301" s="8" t="s">
        <v>17</v>
      </c>
      <c r="F7301" s="9">
        <v>46140.0</v>
      </c>
      <c r="G7301" s="8" t="s">
        <v>5030</v>
      </c>
      <c r="H7301" s="8" t="s">
        <v>10431</v>
      </c>
      <c r="I7301" s="8" t="s">
        <v>21910</v>
      </c>
      <c r="J7301" s="8" t="s">
        <v>21911</v>
      </c>
    </row>
    <row r="7302">
      <c r="A7302" s="7">
        <v>2.0046211E7</v>
      </c>
      <c r="B7302" s="8" t="s">
        <v>5514</v>
      </c>
      <c r="C7302" s="8" t="s">
        <v>21912</v>
      </c>
      <c r="D7302" s="8" t="s">
        <v>16</v>
      </c>
      <c r="E7302" s="8" t="s">
        <v>17</v>
      </c>
      <c r="F7302" s="9">
        <v>46088.0</v>
      </c>
      <c r="G7302" s="8" t="s">
        <v>339</v>
      </c>
      <c r="H7302" s="8" t="s">
        <v>340</v>
      </c>
      <c r="I7302" s="8" t="s">
        <v>21913</v>
      </c>
      <c r="J7302" s="8" t="s">
        <v>21914</v>
      </c>
    </row>
    <row r="7303">
      <c r="A7303" s="7">
        <v>2.0040299E7</v>
      </c>
      <c r="B7303" s="8" t="s">
        <v>5514</v>
      </c>
      <c r="C7303" s="8" t="s">
        <v>21915</v>
      </c>
      <c r="D7303" s="8" t="s">
        <v>16</v>
      </c>
      <c r="E7303" s="8" t="s">
        <v>17</v>
      </c>
      <c r="F7303" s="9">
        <v>46063.0</v>
      </c>
      <c r="G7303" s="8" t="s">
        <v>517</v>
      </c>
      <c r="H7303" s="8" t="s">
        <v>518</v>
      </c>
      <c r="I7303" s="8" t="s">
        <v>21916</v>
      </c>
      <c r="J7303" s="8" t="s">
        <v>21917</v>
      </c>
    </row>
    <row r="7304">
      <c r="A7304" s="7">
        <v>2.0060934E7</v>
      </c>
      <c r="B7304" s="8" t="s">
        <v>5514</v>
      </c>
      <c r="C7304" s="8" t="s">
        <v>21918</v>
      </c>
      <c r="D7304" s="8" t="s">
        <v>16</v>
      </c>
      <c r="E7304" s="8" t="s">
        <v>17</v>
      </c>
      <c r="F7304" s="9">
        <v>46186.0</v>
      </c>
      <c r="G7304" s="8" t="s">
        <v>171</v>
      </c>
      <c r="H7304" s="8" t="s">
        <v>172</v>
      </c>
      <c r="I7304" s="8" t="s">
        <v>21919</v>
      </c>
      <c r="J7304" s="8" t="s">
        <v>21920</v>
      </c>
    </row>
    <row r="7305">
      <c r="A7305" s="7">
        <v>2.0055142E7</v>
      </c>
      <c r="B7305" s="8" t="s">
        <v>5514</v>
      </c>
      <c r="C7305" s="8" t="s">
        <v>21921</v>
      </c>
      <c r="D7305" s="8" t="s">
        <v>16</v>
      </c>
      <c r="E7305" s="8" t="s">
        <v>17</v>
      </c>
      <c r="F7305" s="9">
        <v>46186.0</v>
      </c>
      <c r="G7305" s="8" t="s">
        <v>3965</v>
      </c>
      <c r="H7305" s="8" t="s">
        <v>3966</v>
      </c>
      <c r="I7305" s="8" t="s">
        <v>21922</v>
      </c>
      <c r="J7305" s="8" t="s">
        <v>21923</v>
      </c>
    </row>
    <row r="7306">
      <c r="A7306" s="7">
        <v>2.0040329E7</v>
      </c>
      <c r="B7306" s="8" t="s">
        <v>5514</v>
      </c>
      <c r="C7306" s="8" t="s">
        <v>21924</v>
      </c>
      <c r="D7306" s="8" t="s">
        <v>16</v>
      </c>
      <c r="E7306" s="8" t="s">
        <v>17</v>
      </c>
      <c r="F7306" s="9">
        <v>46071.0</v>
      </c>
      <c r="G7306" s="8" t="s">
        <v>5916</v>
      </c>
      <c r="H7306" s="8" t="s">
        <v>6548</v>
      </c>
      <c r="I7306" s="8" t="s">
        <v>21925</v>
      </c>
      <c r="J7306" s="8" t="s">
        <v>21926</v>
      </c>
    </row>
    <row r="7307">
      <c r="A7307" s="7">
        <v>2.0064057E7</v>
      </c>
      <c r="B7307" s="8" t="s">
        <v>5514</v>
      </c>
      <c r="C7307" s="8" t="s">
        <v>21927</v>
      </c>
      <c r="D7307" s="8" t="s">
        <v>16</v>
      </c>
      <c r="E7307" s="8" t="s">
        <v>17</v>
      </c>
      <c r="F7307" s="9">
        <v>46157.0</v>
      </c>
      <c r="G7307" s="8" t="s">
        <v>3012</v>
      </c>
      <c r="H7307" s="8" t="s">
        <v>3013</v>
      </c>
      <c r="I7307" s="8" t="s">
        <v>21928</v>
      </c>
      <c r="J7307" s="8" t="s">
        <v>21929</v>
      </c>
    </row>
    <row r="7308">
      <c r="A7308" s="7">
        <v>2.0061758E7</v>
      </c>
      <c r="B7308" s="8" t="s">
        <v>5514</v>
      </c>
      <c r="C7308" s="8" t="s">
        <v>21930</v>
      </c>
      <c r="D7308" s="8" t="s">
        <v>16</v>
      </c>
      <c r="E7308" s="8" t="s">
        <v>17</v>
      </c>
      <c r="F7308" s="9">
        <v>46157.0</v>
      </c>
      <c r="G7308" s="8" t="s">
        <v>826</v>
      </c>
      <c r="H7308" s="8" t="s">
        <v>7633</v>
      </c>
      <c r="I7308" s="8" t="s">
        <v>21931</v>
      </c>
      <c r="J7308" s="8" t="s">
        <v>21932</v>
      </c>
    </row>
    <row r="7309">
      <c r="A7309" s="7">
        <v>2.0054516E7</v>
      </c>
      <c r="B7309" s="8" t="s">
        <v>5514</v>
      </c>
      <c r="C7309" s="8" t="s">
        <v>21933</v>
      </c>
      <c r="D7309" s="8" t="s">
        <v>16</v>
      </c>
      <c r="E7309" s="8" t="s">
        <v>17</v>
      </c>
      <c r="F7309" s="9">
        <v>46119.0</v>
      </c>
      <c r="G7309" s="8" t="s">
        <v>91</v>
      </c>
      <c r="H7309" s="8" t="s">
        <v>92</v>
      </c>
      <c r="I7309" s="8" t="s">
        <v>21934</v>
      </c>
      <c r="J7309" s="8" t="s">
        <v>21935</v>
      </c>
    </row>
    <row r="7310">
      <c r="A7310" s="7">
        <v>2.0053681E7</v>
      </c>
      <c r="B7310" s="8" t="s">
        <v>5514</v>
      </c>
      <c r="C7310" s="8" t="s">
        <v>21936</v>
      </c>
      <c r="D7310" s="8" t="s">
        <v>16</v>
      </c>
      <c r="E7310" s="8" t="s">
        <v>17</v>
      </c>
      <c r="F7310" s="9">
        <v>46119.0</v>
      </c>
      <c r="G7310" s="8" t="s">
        <v>3207</v>
      </c>
      <c r="H7310" s="8" t="s">
        <v>3208</v>
      </c>
      <c r="I7310" s="8" t="s">
        <v>21937</v>
      </c>
      <c r="J7310" s="8" t="s">
        <v>21938</v>
      </c>
    </row>
    <row r="7311">
      <c r="A7311" s="7">
        <v>2.0045111E7</v>
      </c>
      <c r="B7311" s="8" t="s">
        <v>5514</v>
      </c>
      <c r="C7311" s="8" t="s">
        <v>21939</v>
      </c>
      <c r="D7311" s="8" t="s">
        <v>16</v>
      </c>
      <c r="E7311" s="8" t="s">
        <v>17</v>
      </c>
      <c r="F7311" s="9">
        <v>46079.0</v>
      </c>
      <c r="G7311" s="8" t="s">
        <v>365</v>
      </c>
      <c r="H7311" s="8" t="s">
        <v>366</v>
      </c>
      <c r="I7311" s="8" t="s">
        <v>21940</v>
      </c>
      <c r="J7311" s="8" t="s">
        <v>21941</v>
      </c>
    </row>
    <row r="7312">
      <c r="A7312" s="7">
        <v>2.0044628E7</v>
      </c>
      <c r="B7312" s="8" t="s">
        <v>5514</v>
      </c>
      <c r="C7312" s="8" t="s">
        <v>21942</v>
      </c>
      <c r="D7312" s="8" t="s">
        <v>16</v>
      </c>
      <c r="E7312" s="8" t="s">
        <v>17</v>
      </c>
      <c r="F7312" s="9">
        <v>46094.0</v>
      </c>
      <c r="G7312" s="8" t="s">
        <v>1591</v>
      </c>
      <c r="H7312" s="8" t="s">
        <v>1592</v>
      </c>
      <c r="I7312" s="8" t="s">
        <v>21943</v>
      </c>
      <c r="J7312" s="8" t="s">
        <v>21944</v>
      </c>
    </row>
    <row r="7313">
      <c r="A7313" s="7">
        <v>2.0041793E7</v>
      </c>
      <c r="B7313" s="8" t="s">
        <v>5514</v>
      </c>
      <c r="C7313" s="8" t="s">
        <v>21945</v>
      </c>
      <c r="D7313" s="8" t="s">
        <v>16</v>
      </c>
      <c r="E7313" s="8" t="s">
        <v>17</v>
      </c>
      <c r="F7313" s="9">
        <v>46078.0</v>
      </c>
      <c r="G7313" s="8" t="s">
        <v>805</v>
      </c>
      <c r="H7313" s="8" t="s">
        <v>806</v>
      </c>
      <c r="I7313" s="8" t="s">
        <v>21946</v>
      </c>
      <c r="J7313" s="8" t="s">
        <v>21947</v>
      </c>
    </row>
    <row r="7314">
      <c r="A7314" s="7">
        <v>2.0057994E7</v>
      </c>
      <c r="B7314" s="8" t="s">
        <v>5514</v>
      </c>
      <c r="C7314" s="8" t="s">
        <v>21948</v>
      </c>
      <c r="D7314" s="8" t="s">
        <v>16</v>
      </c>
      <c r="E7314" s="8" t="s">
        <v>17</v>
      </c>
      <c r="F7314" s="9">
        <v>46140.0</v>
      </c>
      <c r="G7314" s="8" t="s">
        <v>339</v>
      </c>
      <c r="H7314" s="8" t="s">
        <v>340</v>
      </c>
      <c r="I7314" s="8" t="s">
        <v>21949</v>
      </c>
      <c r="J7314" s="8" t="s">
        <v>21950</v>
      </c>
    </row>
    <row r="7315">
      <c r="A7315" s="7">
        <v>2.0052274E7</v>
      </c>
      <c r="B7315" s="8" t="s">
        <v>5514</v>
      </c>
      <c r="C7315" s="8" t="s">
        <v>21951</v>
      </c>
      <c r="D7315" s="8" t="s">
        <v>16</v>
      </c>
      <c r="E7315" s="8" t="s">
        <v>17</v>
      </c>
      <c r="F7315" s="9">
        <v>46127.0</v>
      </c>
      <c r="G7315" s="8" t="s">
        <v>361</v>
      </c>
      <c r="H7315" s="8" t="s">
        <v>362</v>
      </c>
      <c r="I7315" s="8" t="s">
        <v>21952</v>
      </c>
      <c r="J7315" s="8" t="s">
        <v>21953</v>
      </c>
    </row>
    <row r="7316">
      <c r="A7316" s="7">
        <v>2.0064162E7</v>
      </c>
      <c r="B7316" s="8" t="s">
        <v>5514</v>
      </c>
      <c r="C7316" s="8" t="s">
        <v>21954</v>
      </c>
      <c r="D7316" s="8" t="s">
        <v>16</v>
      </c>
      <c r="E7316" s="8" t="s">
        <v>17</v>
      </c>
      <c r="F7316" s="9">
        <v>46162.0</v>
      </c>
      <c r="G7316" s="8" t="s">
        <v>3088</v>
      </c>
      <c r="H7316" s="8" t="s">
        <v>3089</v>
      </c>
      <c r="I7316" s="8" t="s">
        <v>21955</v>
      </c>
      <c r="J7316" s="8" t="s">
        <v>21956</v>
      </c>
    </row>
    <row r="7317">
      <c r="A7317" s="7">
        <v>2.0057584E7</v>
      </c>
      <c r="B7317" s="8" t="s">
        <v>5514</v>
      </c>
      <c r="C7317" s="8" t="s">
        <v>21957</v>
      </c>
      <c r="D7317" s="8" t="s">
        <v>16</v>
      </c>
      <c r="E7317" s="8" t="s">
        <v>17</v>
      </c>
      <c r="F7317" s="9">
        <v>46152.0</v>
      </c>
      <c r="G7317" s="8" t="s">
        <v>64</v>
      </c>
      <c r="H7317" s="8" t="s">
        <v>65</v>
      </c>
      <c r="I7317" s="8" t="s">
        <v>21958</v>
      </c>
      <c r="J7317" s="8" t="s">
        <v>21959</v>
      </c>
    </row>
    <row r="7318">
      <c r="A7318" s="7">
        <v>2.0059806E7</v>
      </c>
      <c r="B7318" s="8" t="s">
        <v>5514</v>
      </c>
      <c r="C7318" s="8" t="s">
        <v>21960</v>
      </c>
      <c r="D7318" s="8" t="s">
        <v>16</v>
      </c>
      <c r="E7318" s="8" t="s">
        <v>17</v>
      </c>
      <c r="F7318" s="9">
        <v>46151.0</v>
      </c>
      <c r="G7318" s="8" t="s">
        <v>630</v>
      </c>
      <c r="H7318" s="8" t="s">
        <v>631</v>
      </c>
      <c r="I7318" s="8" t="s">
        <v>21961</v>
      </c>
      <c r="J7318" s="8" t="s">
        <v>21962</v>
      </c>
    </row>
    <row r="7319">
      <c r="A7319" s="7">
        <v>2.0054742E7</v>
      </c>
      <c r="B7319" s="8" t="s">
        <v>5514</v>
      </c>
      <c r="C7319" s="8" t="s">
        <v>21963</v>
      </c>
      <c r="D7319" s="8" t="s">
        <v>16</v>
      </c>
      <c r="E7319" s="8" t="s">
        <v>17</v>
      </c>
      <c r="F7319" s="9">
        <v>46124.0</v>
      </c>
      <c r="G7319" s="8" t="s">
        <v>109</v>
      </c>
      <c r="H7319" s="8" t="s">
        <v>110</v>
      </c>
      <c r="I7319" s="8" t="s">
        <v>21964</v>
      </c>
      <c r="J7319" s="8" t="s">
        <v>21965</v>
      </c>
    </row>
    <row r="7320">
      <c r="A7320" s="7">
        <v>2.0044621E7</v>
      </c>
      <c r="B7320" s="8" t="s">
        <v>5514</v>
      </c>
      <c r="C7320" s="8" t="s">
        <v>21966</v>
      </c>
      <c r="D7320" s="8" t="s">
        <v>16</v>
      </c>
      <c r="E7320" s="8" t="s">
        <v>17</v>
      </c>
      <c r="F7320" s="9">
        <v>46088.0</v>
      </c>
      <c r="G7320" s="8" t="s">
        <v>220</v>
      </c>
      <c r="H7320" s="8" t="s">
        <v>221</v>
      </c>
      <c r="I7320" s="8" t="s">
        <v>21967</v>
      </c>
      <c r="J7320" s="8" t="s">
        <v>21968</v>
      </c>
    </row>
    <row r="7321">
      <c r="A7321" s="7">
        <v>2.005584E7</v>
      </c>
      <c r="B7321" s="8" t="s">
        <v>5514</v>
      </c>
      <c r="C7321" s="8" t="s">
        <v>21969</v>
      </c>
      <c r="D7321" s="8" t="s">
        <v>16</v>
      </c>
      <c r="E7321" s="8" t="s">
        <v>17</v>
      </c>
      <c r="F7321" s="9">
        <v>46185.0</v>
      </c>
      <c r="G7321" s="8" t="s">
        <v>171</v>
      </c>
      <c r="H7321" s="8" t="s">
        <v>172</v>
      </c>
      <c r="I7321" s="8" t="s">
        <v>21970</v>
      </c>
      <c r="J7321" s="8" t="s">
        <v>21971</v>
      </c>
    </row>
    <row r="7322">
      <c r="A7322" s="7">
        <v>2.0046626E7</v>
      </c>
      <c r="B7322" s="8" t="s">
        <v>5514</v>
      </c>
      <c r="C7322" s="8" t="s">
        <v>21972</v>
      </c>
      <c r="D7322" s="8" t="s">
        <v>16</v>
      </c>
      <c r="E7322" s="8" t="s">
        <v>17</v>
      </c>
      <c r="F7322" s="9">
        <v>46088.0</v>
      </c>
      <c r="G7322" s="8" t="s">
        <v>75</v>
      </c>
      <c r="H7322" s="8" t="s">
        <v>76</v>
      </c>
      <c r="I7322" s="8" t="s">
        <v>21973</v>
      </c>
      <c r="J7322" s="8" t="s">
        <v>21974</v>
      </c>
    </row>
    <row r="7323">
      <c r="A7323" s="7">
        <v>2.0045042E7</v>
      </c>
      <c r="B7323" s="8" t="s">
        <v>5514</v>
      </c>
      <c r="C7323" s="8" t="s">
        <v>21975</v>
      </c>
      <c r="D7323" s="8" t="s">
        <v>16</v>
      </c>
      <c r="E7323" s="8" t="s">
        <v>48</v>
      </c>
      <c r="F7323" s="9">
        <v>46086.0</v>
      </c>
      <c r="G7323" s="8" t="s">
        <v>3339</v>
      </c>
      <c r="H7323" s="8" t="s">
        <v>1301</v>
      </c>
      <c r="I7323" s="8" t="s">
        <v>21976</v>
      </c>
      <c r="J7323" s="8" t="s">
        <v>21977</v>
      </c>
    </row>
    <row r="7324">
      <c r="A7324" s="7">
        <v>2.0040486E7</v>
      </c>
      <c r="B7324" s="8" t="s">
        <v>5514</v>
      </c>
      <c r="C7324" s="8" t="s">
        <v>21978</v>
      </c>
      <c r="D7324" s="8" t="s">
        <v>16</v>
      </c>
      <c r="E7324" s="8" t="s">
        <v>17</v>
      </c>
      <c r="F7324" s="9">
        <v>46064.0</v>
      </c>
      <c r="G7324" s="8" t="s">
        <v>1132</v>
      </c>
      <c r="H7324" s="8" t="s">
        <v>1133</v>
      </c>
      <c r="I7324" s="8" t="s">
        <v>21979</v>
      </c>
      <c r="J7324" s="8" t="s">
        <v>21980</v>
      </c>
    </row>
    <row r="7325">
      <c r="A7325" s="7">
        <v>2.0036517E7</v>
      </c>
      <c r="B7325" s="8" t="s">
        <v>5514</v>
      </c>
      <c r="C7325" s="8" t="s">
        <v>21981</v>
      </c>
      <c r="D7325" s="8" t="s">
        <v>16</v>
      </c>
      <c r="E7325" s="8" t="s">
        <v>17</v>
      </c>
      <c r="F7325" s="9">
        <v>46059.0</v>
      </c>
      <c r="G7325" s="8" t="s">
        <v>361</v>
      </c>
      <c r="H7325" s="8" t="s">
        <v>362</v>
      </c>
      <c r="I7325" s="8" t="s">
        <v>21982</v>
      </c>
      <c r="J7325" s="8" t="s">
        <v>21983</v>
      </c>
    </row>
    <row r="7326">
      <c r="A7326" s="7">
        <v>2.003483E7</v>
      </c>
      <c r="B7326" s="8" t="s">
        <v>5514</v>
      </c>
      <c r="C7326" s="8" t="s">
        <v>21984</v>
      </c>
      <c r="D7326" s="8" t="s">
        <v>16</v>
      </c>
      <c r="E7326" s="8" t="s">
        <v>17</v>
      </c>
      <c r="F7326" s="9">
        <v>46046.0</v>
      </c>
      <c r="G7326" s="8" t="s">
        <v>2625</v>
      </c>
      <c r="H7326" s="8" t="s">
        <v>827</v>
      </c>
      <c r="I7326" s="8" t="s">
        <v>21985</v>
      </c>
      <c r="J7326" s="8" t="s">
        <v>21986</v>
      </c>
    </row>
    <row r="7327">
      <c r="A7327" s="7">
        <v>2.0069899E7</v>
      </c>
      <c r="B7327" s="8" t="s">
        <v>5514</v>
      </c>
      <c r="C7327" s="8" t="s">
        <v>21987</v>
      </c>
      <c r="D7327" s="8" t="s">
        <v>16</v>
      </c>
      <c r="E7327" s="8" t="s">
        <v>17</v>
      </c>
      <c r="F7327" s="9">
        <v>46183.0</v>
      </c>
      <c r="G7327" s="8" t="s">
        <v>91</v>
      </c>
      <c r="H7327" s="8" t="s">
        <v>92</v>
      </c>
      <c r="I7327" s="8" t="s">
        <v>21988</v>
      </c>
      <c r="J7327" s="8" t="s">
        <v>21989</v>
      </c>
    </row>
    <row r="7328">
      <c r="A7328" s="7">
        <v>2.0065755E7</v>
      </c>
      <c r="B7328" s="8" t="s">
        <v>5514</v>
      </c>
      <c r="C7328" s="8" t="s">
        <v>21990</v>
      </c>
      <c r="D7328" s="8" t="s">
        <v>16</v>
      </c>
      <c r="E7328" s="8" t="s">
        <v>17</v>
      </c>
      <c r="F7328" s="9">
        <v>46169.0</v>
      </c>
      <c r="G7328" s="8" t="s">
        <v>34</v>
      </c>
      <c r="H7328" s="8" t="s">
        <v>35</v>
      </c>
      <c r="I7328" s="8" t="s">
        <v>21991</v>
      </c>
      <c r="J7328" s="8" t="s">
        <v>21992</v>
      </c>
    </row>
    <row r="7329">
      <c r="A7329" s="7">
        <v>2.0063629E7</v>
      </c>
      <c r="B7329" s="8" t="s">
        <v>5514</v>
      </c>
      <c r="C7329" s="8" t="s">
        <v>21993</v>
      </c>
      <c r="D7329" s="8" t="s">
        <v>16</v>
      </c>
      <c r="E7329" s="8" t="s">
        <v>17</v>
      </c>
      <c r="F7329" s="9">
        <v>46156.0</v>
      </c>
      <c r="G7329" s="8" t="s">
        <v>3012</v>
      </c>
      <c r="H7329" s="8" t="s">
        <v>3013</v>
      </c>
      <c r="I7329" s="8" t="s">
        <v>21994</v>
      </c>
      <c r="J7329" s="8" t="s">
        <v>21995</v>
      </c>
    </row>
    <row r="7330">
      <c r="A7330" s="7">
        <v>2.0053088E7</v>
      </c>
      <c r="B7330" s="8" t="s">
        <v>5514</v>
      </c>
      <c r="C7330" s="8" t="s">
        <v>21996</v>
      </c>
      <c r="D7330" s="8" t="s">
        <v>16</v>
      </c>
      <c r="E7330" s="8" t="s">
        <v>17</v>
      </c>
      <c r="F7330" s="9">
        <v>46112.0</v>
      </c>
      <c r="G7330" s="8" t="s">
        <v>277</v>
      </c>
      <c r="H7330" s="8" t="s">
        <v>278</v>
      </c>
      <c r="I7330" s="8" t="s">
        <v>21997</v>
      </c>
      <c r="J7330" s="8" t="s">
        <v>21998</v>
      </c>
    </row>
    <row r="7331">
      <c r="A7331" s="7">
        <v>2.0048363E7</v>
      </c>
      <c r="B7331" s="8" t="s">
        <v>5514</v>
      </c>
      <c r="C7331" s="8" t="s">
        <v>21999</v>
      </c>
      <c r="D7331" s="8" t="s">
        <v>16</v>
      </c>
      <c r="E7331" s="8" t="s">
        <v>17</v>
      </c>
      <c r="F7331" s="9">
        <v>46093.0</v>
      </c>
      <c r="G7331" s="8" t="s">
        <v>91</v>
      </c>
      <c r="H7331" s="8" t="s">
        <v>92</v>
      </c>
      <c r="I7331" s="8" t="s">
        <v>22000</v>
      </c>
      <c r="J7331" s="8" t="s">
        <v>22001</v>
      </c>
    </row>
    <row r="7332">
      <c r="A7332" s="7">
        <v>2.0061176E7</v>
      </c>
      <c r="B7332" s="8" t="s">
        <v>5514</v>
      </c>
      <c r="C7332" s="8" t="s">
        <v>22002</v>
      </c>
      <c r="D7332" s="8" t="s">
        <v>16</v>
      </c>
      <c r="E7332" s="8" t="s">
        <v>17</v>
      </c>
      <c r="F7332" s="9">
        <v>46186.0</v>
      </c>
      <c r="G7332" s="8" t="s">
        <v>454</v>
      </c>
      <c r="H7332" s="8" t="s">
        <v>455</v>
      </c>
      <c r="I7332" s="8" t="s">
        <v>22003</v>
      </c>
      <c r="J7332" s="8" t="s">
        <v>22004</v>
      </c>
    </row>
    <row r="7333">
      <c r="A7333" s="7">
        <v>2.005233E7</v>
      </c>
      <c r="B7333" s="8" t="s">
        <v>5514</v>
      </c>
      <c r="C7333" s="8" t="s">
        <v>22005</v>
      </c>
      <c r="D7333" s="8" t="s">
        <v>16</v>
      </c>
      <c r="E7333" s="8" t="s">
        <v>17</v>
      </c>
      <c r="F7333" s="9">
        <v>46108.0</v>
      </c>
      <c r="G7333" s="8" t="s">
        <v>4850</v>
      </c>
      <c r="H7333" s="8" t="s">
        <v>4851</v>
      </c>
      <c r="I7333" s="8" t="s">
        <v>22006</v>
      </c>
      <c r="J7333" s="8" t="s">
        <v>22007</v>
      </c>
    </row>
    <row r="7334">
      <c r="A7334" s="7">
        <v>2.005038E7</v>
      </c>
      <c r="B7334" s="8" t="s">
        <v>5514</v>
      </c>
      <c r="C7334" s="8" t="s">
        <v>22008</v>
      </c>
      <c r="D7334" s="8" t="s">
        <v>16</v>
      </c>
      <c r="E7334" s="8" t="s">
        <v>17</v>
      </c>
      <c r="F7334" s="9">
        <v>46107.0</v>
      </c>
      <c r="G7334" s="8" t="s">
        <v>220</v>
      </c>
      <c r="H7334" s="8" t="s">
        <v>221</v>
      </c>
      <c r="I7334" s="8" t="s">
        <v>22009</v>
      </c>
      <c r="J7334" s="8" t="s">
        <v>22010</v>
      </c>
    </row>
    <row r="7335">
      <c r="A7335" s="7">
        <v>2.004679E7</v>
      </c>
      <c r="B7335" s="8" t="s">
        <v>5514</v>
      </c>
      <c r="C7335" s="8" t="s">
        <v>22011</v>
      </c>
      <c r="D7335" s="8" t="s">
        <v>16</v>
      </c>
      <c r="E7335" s="8" t="s">
        <v>17</v>
      </c>
      <c r="F7335" s="9">
        <v>46092.0</v>
      </c>
      <c r="G7335" s="8" t="s">
        <v>826</v>
      </c>
      <c r="H7335" s="8" t="s">
        <v>827</v>
      </c>
      <c r="I7335" s="8" t="s">
        <v>22012</v>
      </c>
      <c r="J7335" s="8" t="s">
        <v>22013</v>
      </c>
    </row>
    <row r="7336">
      <c r="A7336" s="7">
        <v>2.004657E7</v>
      </c>
      <c r="B7336" s="8" t="s">
        <v>5514</v>
      </c>
      <c r="C7336" s="8" t="s">
        <v>22014</v>
      </c>
      <c r="D7336" s="8" t="s">
        <v>16</v>
      </c>
      <c r="E7336" s="8" t="s">
        <v>17</v>
      </c>
      <c r="F7336" s="9">
        <v>46087.0</v>
      </c>
      <c r="G7336" s="8" t="s">
        <v>3572</v>
      </c>
      <c r="H7336" s="8" t="s">
        <v>3573</v>
      </c>
      <c r="I7336" s="8" t="s">
        <v>22015</v>
      </c>
      <c r="J7336" s="8" t="s">
        <v>22016</v>
      </c>
    </row>
    <row r="7337">
      <c r="A7337" s="7">
        <v>2.0062415E7</v>
      </c>
      <c r="B7337" s="8" t="s">
        <v>5514</v>
      </c>
      <c r="C7337" s="8" t="s">
        <v>22017</v>
      </c>
      <c r="D7337" s="8" t="s">
        <v>2136</v>
      </c>
      <c r="E7337" s="8" t="s">
        <v>17</v>
      </c>
      <c r="F7337" s="9">
        <v>46151.0</v>
      </c>
      <c r="G7337" s="8" t="s">
        <v>59</v>
      </c>
      <c r="H7337" s="8" t="s">
        <v>60</v>
      </c>
      <c r="I7337" s="8" t="s">
        <v>22018</v>
      </c>
      <c r="J7337" s="8" t="s">
        <v>22019</v>
      </c>
    </row>
    <row r="7338">
      <c r="A7338" s="7">
        <v>2.005407E7</v>
      </c>
      <c r="B7338" s="8" t="s">
        <v>5514</v>
      </c>
      <c r="C7338" s="8" t="s">
        <v>22020</v>
      </c>
      <c r="D7338" s="8" t="s">
        <v>16</v>
      </c>
      <c r="E7338" s="8" t="s">
        <v>17</v>
      </c>
      <c r="F7338" s="9">
        <v>46189.0</v>
      </c>
      <c r="G7338" s="8" t="s">
        <v>314</v>
      </c>
      <c r="H7338" s="8" t="s">
        <v>315</v>
      </c>
      <c r="I7338" s="8" t="s">
        <v>22021</v>
      </c>
      <c r="J7338" s="8" t="s">
        <v>22022</v>
      </c>
    </row>
    <row r="7339">
      <c r="A7339" s="7">
        <v>2.0053711E7</v>
      </c>
      <c r="B7339" s="8" t="s">
        <v>5514</v>
      </c>
      <c r="C7339" s="8" t="s">
        <v>22023</v>
      </c>
      <c r="D7339" s="8" t="s">
        <v>16</v>
      </c>
      <c r="E7339" s="8" t="s">
        <v>17</v>
      </c>
      <c r="F7339" s="9">
        <v>46119.0</v>
      </c>
      <c r="G7339" s="8" t="s">
        <v>29</v>
      </c>
      <c r="H7339" s="8" t="s">
        <v>30</v>
      </c>
      <c r="I7339" s="8" t="s">
        <v>22024</v>
      </c>
      <c r="J7339" s="8" t="s">
        <v>22025</v>
      </c>
    </row>
    <row r="7340">
      <c r="A7340" s="7">
        <v>2.0040081E7</v>
      </c>
      <c r="B7340" s="8" t="s">
        <v>5514</v>
      </c>
      <c r="C7340" s="8" t="s">
        <v>22026</v>
      </c>
      <c r="D7340" s="8" t="s">
        <v>16</v>
      </c>
      <c r="E7340" s="8" t="s">
        <v>17</v>
      </c>
      <c r="F7340" s="9">
        <v>46093.0</v>
      </c>
      <c r="G7340" s="8" t="s">
        <v>846</v>
      </c>
      <c r="H7340" s="8" t="s">
        <v>847</v>
      </c>
      <c r="I7340" s="8" t="s">
        <v>22027</v>
      </c>
      <c r="J7340" s="8" t="s">
        <v>22028</v>
      </c>
    </row>
    <row r="7341">
      <c r="A7341" s="7">
        <v>2.0059858E7</v>
      </c>
      <c r="B7341" s="8" t="s">
        <v>5514</v>
      </c>
      <c r="C7341" s="8" t="s">
        <v>22029</v>
      </c>
      <c r="D7341" s="8" t="s">
        <v>16</v>
      </c>
      <c r="E7341" s="8" t="s">
        <v>17</v>
      </c>
      <c r="F7341" s="9">
        <v>46162.0</v>
      </c>
      <c r="G7341" s="8" t="s">
        <v>25</v>
      </c>
      <c r="H7341" s="8" t="s">
        <v>26</v>
      </c>
      <c r="I7341" s="8" t="s">
        <v>22030</v>
      </c>
      <c r="J7341" s="8"/>
    </row>
    <row r="7342">
      <c r="A7342" s="7">
        <v>2.0057315E7</v>
      </c>
      <c r="B7342" s="8" t="s">
        <v>5514</v>
      </c>
      <c r="C7342" s="8" t="s">
        <v>22031</v>
      </c>
      <c r="D7342" s="8" t="s">
        <v>16</v>
      </c>
      <c r="E7342" s="8" t="s">
        <v>17</v>
      </c>
      <c r="F7342" s="9">
        <v>46150.0</v>
      </c>
      <c r="G7342" s="8" t="s">
        <v>791</v>
      </c>
      <c r="H7342" s="8" t="s">
        <v>792</v>
      </c>
      <c r="I7342" s="8" t="s">
        <v>22032</v>
      </c>
      <c r="J7342" s="8" t="s">
        <v>22033</v>
      </c>
    </row>
    <row r="7343">
      <c r="A7343" s="7">
        <v>2.0052331E7</v>
      </c>
      <c r="B7343" s="8" t="s">
        <v>5514</v>
      </c>
      <c r="C7343" s="8" t="s">
        <v>22034</v>
      </c>
      <c r="D7343" s="8" t="s">
        <v>16</v>
      </c>
      <c r="E7343" s="8" t="s">
        <v>17</v>
      </c>
      <c r="F7343" s="9">
        <v>46109.0</v>
      </c>
      <c r="G7343" s="8" t="s">
        <v>2225</v>
      </c>
      <c r="H7343" s="8" t="s">
        <v>2226</v>
      </c>
      <c r="I7343" s="8" t="s">
        <v>22035</v>
      </c>
      <c r="J7343" s="8" t="s">
        <v>22036</v>
      </c>
    </row>
    <row r="7344">
      <c r="A7344" s="7">
        <v>2.0052331E7</v>
      </c>
      <c r="B7344" s="8" t="s">
        <v>5514</v>
      </c>
      <c r="C7344" s="8" t="s">
        <v>22034</v>
      </c>
      <c r="D7344" s="8" t="s">
        <v>16</v>
      </c>
      <c r="E7344" s="8" t="s">
        <v>17</v>
      </c>
      <c r="F7344" s="9">
        <v>46109.0</v>
      </c>
      <c r="G7344" s="8" t="s">
        <v>21407</v>
      </c>
      <c r="H7344" s="8" t="s">
        <v>21408</v>
      </c>
      <c r="I7344" s="8" t="s">
        <v>22037</v>
      </c>
      <c r="J7344" s="8" t="s">
        <v>22038</v>
      </c>
    </row>
    <row r="7345">
      <c r="A7345" s="7">
        <v>2.0046794E7</v>
      </c>
      <c r="B7345" s="8" t="s">
        <v>5514</v>
      </c>
      <c r="C7345" s="8" t="s">
        <v>22039</v>
      </c>
      <c r="D7345" s="8" t="s">
        <v>16</v>
      </c>
      <c r="E7345" s="8" t="s">
        <v>17</v>
      </c>
      <c r="F7345" s="9">
        <v>46091.0</v>
      </c>
      <c r="G7345" s="8" t="s">
        <v>1045</v>
      </c>
      <c r="H7345" s="8" t="s">
        <v>909</v>
      </c>
      <c r="I7345" s="8" t="s">
        <v>22040</v>
      </c>
      <c r="J7345" s="8" t="s">
        <v>22041</v>
      </c>
    </row>
    <row r="7346">
      <c r="A7346" s="7">
        <v>2.0051281E7</v>
      </c>
      <c r="B7346" s="8" t="s">
        <v>5514</v>
      </c>
      <c r="C7346" s="8" t="s">
        <v>22042</v>
      </c>
      <c r="D7346" s="8" t="s">
        <v>16</v>
      </c>
      <c r="E7346" s="8" t="s">
        <v>17</v>
      </c>
      <c r="F7346" s="9">
        <v>46107.0</v>
      </c>
      <c r="G7346" s="8" t="s">
        <v>22043</v>
      </c>
      <c r="H7346" s="8" t="s">
        <v>44</v>
      </c>
      <c r="I7346" s="8" t="s">
        <v>22044</v>
      </c>
      <c r="J7346" s="8" t="s">
        <v>22045</v>
      </c>
    </row>
    <row r="7347">
      <c r="A7347" s="7">
        <v>2.0048206E7</v>
      </c>
      <c r="B7347" s="8" t="s">
        <v>5514</v>
      </c>
      <c r="C7347" s="8" t="s">
        <v>22046</v>
      </c>
      <c r="D7347" s="8" t="s">
        <v>16</v>
      </c>
      <c r="E7347" s="8" t="s">
        <v>17</v>
      </c>
      <c r="F7347" s="9">
        <v>46096.0</v>
      </c>
      <c r="G7347" s="8" t="s">
        <v>385</v>
      </c>
      <c r="H7347" s="8" t="s">
        <v>386</v>
      </c>
      <c r="I7347" s="8" t="s">
        <v>22047</v>
      </c>
      <c r="J7347" s="8" t="s">
        <v>22048</v>
      </c>
    </row>
    <row r="7348">
      <c r="A7348" s="7">
        <v>2.0056719E7</v>
      </c>
      <c r="B7348" s="8" t="s">
        <v>5514</v>
      </c>
      <c r="C7348" s="8" t="s">
        <v>22049</v>
      </c>
      <c r="D7348" s="8" t="s">
        <v>16</v>
      </c>
      <c r="E7348" s="8" t="s">
        <v>48</v>
      </c>
      <c r="F7348" s="9">
        <v>46143.0</v>
      </c>
      <c r="G7348" s="8" t="s">
        <v>3706</v>
      </c>
      <c r="H7348" s="8" t="s">
        <v>3707</v>
      </c>
      <c r="I7348" s="8" t="s">
        <v>22050</v>
      </c>
      <c r="J7348" s="8"/>
    </row>
    <row r="7349">
      <c r="A7349" s="7">
        <v>2.003438E7</v>
      </c>
      <c r="B7349" s="8" t="s">
        <v>5514</v>
      </c>
      <c r="C7349" s="8" t="s">
        <v>22051</v>
      </c>
      <c r="D7349" s="8" t="s">
        <v>16</v>
      </c>
      <c r="E7349" s="8" t="s">
        <v>17</v>
      </c>
      <c r="F7349" s="9">
        <v>46045.0</v>
      </c>
      <c r="G7349" s="8" t="s">
        <v>3140</v>
      </c>
      <c r="H7349" s="8" t="s">
        <v>3141</v>
      </c>
      <c r="I7349" s="8" t="s">
        <v>22052</v>
      </c>
      <c r="J7349" s="8" t="s">
        <v>22053</v>
      </c>
    </row>
    <row r="7350">
      <c r="A7350" s="7">
        <v>2.0058742E7</v>
      </c>
      <c r="B7350" s="8" t="s">
        <v>5514</v>
      </c>
      <c r="C7350" s="8" t="s">
        <v>22054</v>
      </c>
      <c r="D7350" s="8" t="s">
        <v>16</v>
      </c>
      <c r="E7350" s="8" t="s">
        <v>17</v>
      </c>
      <c r="F7350" s="9">
        <v>46184.0</v>
      </c>
      <c r="G7350" s="8" t="s">
        <v>10268</v>
      </c>
      <c r="H7350" s="8" t="s">
        <v>10269</v>
      </c>
      <c r="I7350" s="8" t="s">
        <v>22055</v>
      </c>
      <c r="J7350" s="8" t="s">
        <v>22056</v>
      </c>
    </row>
    <row r="7351">
      <c r="A7351" s="7">
        <v>2.0058891E7</v>
      </c>
      <c r="B7351" s="8" t="s">
        <v>5514</v>
      </c>
      <c r="C7351" s="8" t="s">
        <v>22057</v>
      </c>
      <c r="D7351" s="8" t="s">
        <v>16</v>
      </c>
      <c r="E7351" s="8" t="s">
        <v>17</v>
      </c>
      <c r="F7351" s="9">
        <v>46187.0</v>
      </c>
      <c r="G7351" s="8" t="s">
        <v>171</v>
      </c>
      <c r="H7351" s="8" t="s">
        <v>172</v>
      </c>
      <c r="I7351" s="8" t="s">
        <v>22058</v>
      </c>
      <c r="J7351" s="8" t="s">
        <v>22059</v>
      </c>
    </row>
    <row r="7352">
      <c r="A7352" s="7">
        <v>2.0053274E7</v>
      </c>
      <c r="B7352" s="8" t="s">
        <v>5514</v>
      </c>
      <c r="C7352" s="8" t="s">
        <v>22060</v>
      </c>
      <c r="D7352" s="8" t="s">
        <v>16</v>
      </c>
      <c r="E7352" s="8" t="s">
        <v>17</v>
      </c>
      <c r="F7352" s="9">
        <v>46131.0</v>
      </c>
      <c r="G7352" s="8" t="s">
        <v>1537</v>
      </c>
      <c r="H7352" s="8" t="s">
        <v>1538</v>
      </c>
      <c r="I7352" s="8" t="s">
        <v>22061</v>
      </c>
      <c r="J7352" s="8" t="s">
        <v>22062</v>
      </c>
    </row>
    <row r="7353">
      <c r="A7353" s="7">
        <v>2.0050556E7</v>
      </c>
      <c r="B7353" s="8" t="s">
        <v>5514</v>
      </c>
      <c r="C7353" s="8" t="s">
        <v>22063</v>
      </c>
      <c r="D7353" s="8" t="s">
        <v>16</v>
      </c>
      <c r="E7353" s="8" t="s">
        <v>17</v>
      </c>
      <c r="F7353" s="9">
        <v>46106.0</v>
      </c>
      <c r="G7353" s="8" t="s">
        <v>385</v>
      </c>
      <c r="H7353" s="8" t="s">
        <v>386</v>
      </c>
      <c r="I7353" s="8" t="s">
        <v>22064</v>
      </c>
      <c r="J7353" s="8" t="s">
        <v>22065</v>
      </c>
    </row>
    <row r="7354">
      <c r="A7354" s="7">
        <v>2.0041617E7</v>
      </c>
      <c r="B7354" s="8" t="s">
        <v>5514</v>
      </c>
      <c r="C7354" s="8" t="s">
        <v>22066</v>
      </c>
      <c r="D7354" s="8" t="s">
        <v>16</v>
      </c>
      <c r="E7354" s="8" t="s">
        <v>17</v>
      </c>
      <c r="F7354" s="9">
        <v>46081.0</v>
      </c>
      <c r="G7354" s="8" t="s">
        <v>70</v>
      </c>
      <c r="H7354" s="8" t="s">
        <v>71</v>
      </c>
      <c r="I7354" s="8" t="s">
        <v>22067</v>
      </c>
      <c r="J7354" s="8" t="s">
        <v>22068</v>
      </c>
    </row>
    <row r="7355">
      <c r="A7355" s="7">
        <v>2.0041617E7</v>
      </c>
      <c r="B7355" s="8" t="s">
        <v>5514</v>
      </c>
      <c r="C7355" s="8" t="s">
        <v>22066</v>
      </c>
      <c r="D7355" s="8" t="s">
        <v>16</v>
      </c>
      <c r="E7355" s="8" t="s">
        <v>17</v>
      </c>
      <c r="F7355" s="9">
        <v>46081.0</v>
      </c>
      <c r="G7355" s="8" t="s">
        <v>39</v>
      </c>
      <c r="H7355" s="8" t="s">
        <v>40</v>
      </c>
      <c r="I7355" s="8" t="s">
        <v>22069</v>
      </c>
      <c r="J7355" s="8" t="s">
        <v>22070</v>
      </c>
    </row>
    <row r="7356">
      <c r="A7356" s="7">
        <v>2.0069822E7</v>
      </c>
      <c r="B7356" s="8" t="s">
        <v>5514</v>
      </c>
      <c r="C7356" s="8" t="s">
        <v>22071</v>
      </c>
      <c r="D7356" s="8" t="s">
        <v>16</v>
      </c>
      <c r="E7356" s="8" t="s">
        <v>17</v>
      </c>
      <c r="F7356" s="9">
        <v>46186.0</v>
      </c>
      <c r="G7356" s="8" t="s">
        <v>34</v>
      </c>
      <c r="H7356" s="8" t="s">
        <v>35</v>
      </c>
      <c r="I7356" s="8" t="s">
        <v>22072</v>
      </c>
      <c r="J7356" s="8" t="s">
        <v>22073</v>
      </c>
    </row>
    <row r="7357">
      <c r="A7357" s="7">
        <v>2.0069822E7</v>
      </c>
      <c r="B7357" s="8" t="s">
        <v>5514</v>
      </c>
      <c r="C7357" s="8" t="s">
        <v>22071</v>
      </c>
      <c r="D7357" s="8" t="s">
        <v>16</v>
      </c>
      <c r="E7357" s="8" t="s">
        <v>17</v>
      </c>
      <c r="F7357" s="9">
        <v>46186.0</v>
      </c>
      <c r="G7357" s="8" t="s">
        <v>34</v>
      </c>
      <c r="H7357" s="8" t="s">
        <v>35</v>
      </c>
      <c r="I7357" s="8" t="s">
        <v>22074</v>
      </c>
      <c r="J7357" s="8" t="s">
        <v>22073</v>
      </c>
    </row>
    <row r="7358">
      <c r="A7358" s="7">
        <v>2.0057482E7</v>
      </c>
      <c r="B7358" s="8" t="s">
        <v>5514</v>
      </c>
      <c r="C7358" s="8" t="s">
        <v>22075</v>
      </c>
      <c r="D7358" s="8" t="s">
        <v>16</v>
      </c>
      <c r="E7358" s="8" t="s">
        <v>17</v>
      </c>
      <c r="F7358" s="9">
        <v>46132.0</v>
      </c>
      <c r="G7358" s="8" t="s">
        <v>29</v>
      </c>
      <c r="H7358" s="8" t="s">
        <v>30</v>
      </c>
      <c r="I7358" s="8" t="s">
        <v>22076</v>
      </c>
      <c r="J7358" s="8" t="s">
        <v>22077</v>
      </c>
    </row>
    <row r="7359">
      <c r="A7359" s="7">
        <v>2.0048544E7</v>
      </c>
      <c r="B7359" s="8" t="s">
        <v>5514</v>
      </c>
      <c r="C7359" s="8" t="s">
        <v>22078</v>
      </c>
      <c r="D7359" s="8" t="s">
        <v>16</v>
      </c>
      <c r="E7359" s="8" t="s">
        <v>17</v>
      </c>
      <c r="F7359" s="9">
        <v>46093.0</v>
      </c>
      <c r="G7359" s="8" t="s">
        <v>805</v>
      </c>
      <c r="H7359" s="8" t="s">
        <v>806</v>
      </c>
      <c r="I7359" s="8" t="s">
        <v>22079</v>
      </c>
      <c r="J7359" s="8" t="s">
        <v>22080</v>
      </c>
    </row>
    <row r="7360">
      <c r="A7360" s="7">
        <v>2.0069114E7</v>
      </c>
      <c r="B7360" s="8" t="s">
        <v>5514</v>
      </c>
      <c r="C7360" s="8" t="s">
        <v>22081</v>
      </c>
      <c r="D7360" s="8" t="s">
        <v>16</v>
      </c>
      <c r="E7360" s="8" t="s">
        <v>17</v>
      </c>
      <c r="F7360" s="9">
        <v>46186.0</v>
      </c>
      <c r="G7360" s="8" t="s">
        <v>861</v>
      </c>
      <c r="H7360" s="8" t="s">
        <v>862</v>
      </c>
      <c r="I7360" s="8" t="s">
        <v>22082</v>
      </c>
      <c r="J7360" s="8" t="s">
        <v>22083</v>
      </c>
    </row>
    <row r="7361">
      <c r="A7361" s="7">
        <v>2.0069114E7</v>
      </c>
      <c r="B7361" s="8" t="s">
        <v>5514</v>
      </c>
      <c r="C7361" s="8" t="s">
        <v>22081</v>
      </c>
      <c r="D7361" s="8" t="s">
        <v>16</v>
      </c>
      <c r="E7361" s="8" t="s">
        <v>17</v>
      </c>
      <c r="F7361" s="9">
        <v>46186.0</v>
      </c>
      <c r="G7361" s="8" t="s">
        <v>75</v>
      </c>
      <c r="H7361" s="8" t="s">
        <v>76</v>
      </c>
      <c r="I7361" s="8" t="s">
        <v>22084</v>
      </c>
      <c r="J7361" s="8" t="s">
        <v>22085</v>
      </c>
    </row>
    <row r="7362">
      <c r="A7362" s="7">
        <v>2.0063505E7</v>
      </c>
      <c r="B7362" s="8" t="s">
        <v>5514</v>
      </c>
      <c r="C7362" s="8" t="s">
        <v>22086</v>
      </c>
      <c r="D7362" s="8" t="s">
        <v>16</v>
      </c>
      <c r="E7362" s="8" t="s">
        <v>17</v>
      </c>
      <c r="F7362" s="9">
        <v>46158.0</v>
      </c>
      <c r="G7362" s="8" t="s">
        <v>6268</v>
      </c>
      <c r="H7362" s="8" t="s">
        <v>6269</v>
      </c>
      <c r="I7362" s="8" t="s">
        <v>22087</v>
      </c>
      <c r="J7362" s="8" t="s">
        <v>22088</v>
      </c>
    </row>
    <row r="7363">
      <c r="A7363" s="7">
        <v>2.0056166E7</v>
      </c>
      <c r="B7363" s="8" t="s">
        <v>5514</v>
      </c>
      <c r="C7363" s="8" t="s">
        <v>22089</v>
      </c>
      <c r="D7363" s="8" t="s">
        <v>16</v>
      </c>
      <c r="E7363" s="8" t="s">
        <v>17</v>
      </c>
      <c r="F7363" s="9">
        <v>46126.0</v>
      </c>
      <c r="G7363" s="8" t="s">
        <v>365</v>
      </c>
      <c r="H7363" s="8" t="s">
        <v>366</v>
      </c>
      <c r="I7363" s="8" t="s">
        <v>22090</v>
      </c>
      <c r="J7363" s="8" t="s">
        <v>22091</v>
      </c>
    </row>
    <row r="7364">
      <c r="A7364" s="7">
        <v>2.0051648E7</v>
      </c>
      <c r="B7364" s="8" t="s">
        <v>5514</v>
      </c>
      <c r="C7364" s="8" t="s">
        <v>22092</v>
      </c>
      <c r="D7364" s="8" t="s">
        <v>16</v>
      </c>
      <c r="E7364" s="8" t="s">
        <v>17</v>
      </c>
      <c r="F7364" s="9">
        <v>46109.0</v>
      </c>
      <c r="G7364" s="8" t="s">
        <v>59</v>
      </c>
      <c r="H7364" s="8" t="s">
        <v>60</v>
      </c>
      <c r="I7364" s="8" t="s">
        <v>22093</v>
      </c>
      <c r="J7364" s="8" t="s">
        <v>22094</v>
      </c>
    </row>
    <row r="7365">
      <c r="A7365" s="7">
        <v>2.0040853E7</v>
      </c>
      <c r="B7365" s="8" t="s">
        <v>5514</v>
      </c>
      <c r="C7365" s="8" t="s">
        <v>22095</v>
      </c>
      <c r="D7365" s="8" t="s">
        <v>16</v>
      </c>
      <c r="E7365" s="8" t="s">
        <v>17</v>
      </c>
      <c r="F7365" s="9">
        <v>46065.0</v>
      </c>
      <c r="G7365" s="8" t="s">
        <v>6142</v>
      </c>
      <c r="H7365" s="8" t="s">
        <v>7962</v>
      </c>
      <c r="I7365" s="8" t="s">
        <v>22096</v>
      </c>
      <c r="J7365" s="8" t="s">
        <v>22097</v>
      </c>
    </row>
    <row r="7366">
      <c r="A7366" s="7">
        <v>2.0059699E7</v>
      </c>
      <c r="B7366" s="8" t="s">
        <v>5514</v>
      </c>
      <c r="C7366" s="8" t="s">
        <v>22098</v>
      </c>
      <c r="D7366" s="8" t="s">
        <v>16</v>
      </c>
      <c r="E7366" s="8" t="s">
        <v>17</v>
      </c>
      <c r="F7366" s="9">
        <v>46143.0</v>
      </c>
      <c r="G7366" s="8" t="s">
        <v>800</v>
      </c>
      <c r="H7366" s="8" t="s">
        <v>801</v>
      </c>
      <c r="I7366" s="8" t="s">
        <v>22099</v>
      </c>
      <c r="J7366" s="8" t="s">
        <v>22100</v>
      </c>
    </row>
    <row r="7367">
      <c r="A7367" s="7">
        <v>2.004631E7</v>
      </c>
      <c r="B7367" s="8" t="s">
        <v>5514</v>
      </c>
      <c r="C7367" s="8" t="s">
        <v>22101</v>
      </c>
      <c r="D7367" s="8" t="s">
        <v>16</v>
      </c>
      <c r="E7367" s="8" t="s">
        <v>17</v>
      </c>
      <c r="F7367" s="9">
        <v>46085.0</v>
      </c>
      <c r="G7367" s="8" t="s">
        <v>423</v>
      </c>
      <c r="H7367" s="8" t="s">
        <v>424</v>
      </c>
      <c r="I7367" s="8" t="s">
        <v>22102</v>
      </c>
      <c r="J7367" s="8" t="s">
        <v>22103</v>
      </c>
    </row>
    <row r="7368">
      <c r="A7368" s="7">
        <v>2.0062636E7</v>
      </c>
      <c r="B7368" s="8" t="s">
        <v>5514</v>
      </c>
      <c r="C7368" s="8" t="s">
        <v>22104</v>
      </c>
      <c r="D7368" s="8" t="s">
        <v>2136</v>
      </c>
      <c r="E7368" s="8" t="s">
        <v>17</v>
      </c>
      <c r="F7368" s="9">
        <v>46153.0</v>
      </c>
      <c r="G7368" s="8" t="s">
        <v>1969</v>
      </c>
      <c r="H7368" s="8" t="s">
        <v>1970</v>
      </c>
      <c r="I7368" s="8" t="s">
        <v>22105</v>
      </c>
      <c r="J7368" s="8" t="s">
        <v>22106</v>
      </c>
    </row>
    <row r="7369">
      <c r="A7369" s="7">
        <v>2.0061655E7</v>
      </c>
      <c r="B7369" s="8" t="s">
        <v>5514</v>
      </c>
      <c r="C7369" s="8" t="s">
        <v>22107</v>
      </c>
      <c r="D7369" s="8" t="s">
        <v>16</v>
      </c>
      <c r="E7369" s="8" t="s">
        <v>17</v>
      </c>
      <c r="F7369" s="9">
        <v>46188.0</v>
      </c>
      <c r="G7369" s="8" t="s">
        <v>171</v>
      </c>
      <c r="H7369" s="8" t="s">
        <v>172</v>
      </c>
      <c r="I7369" s="8" t="s">
        <v>22108</v>
      </c>
      <c r="J7369" s="8" t="s">
        <v>22109</v>
      </c>
    </row>
    <row r="7370">
      <c r="A7370" s="7">
        <v>2.0044753E7</v>
      </c>
      <c r="B7370" s="8" t="s">
        <v>5514</v>
      </c>
      <c r="C7370" s="8" t="s">
        <v>22110</v>
      </c>
      <c r="D7370" s="8" t="s">
        <v>16</v>
      </c>
      <c r="E7370" s="8" t="s">
        <v>17</v>
      </c>
      <c r="F7370" s="9">
        <v>46086.0</v>
      </c>
      <c r="G7370" s="8" t="s">
        <v>234</v>
      </c>
      <c r="H7370" s="8" t="s">
        <v>235</v>
      </c>
      <c r="I7370" s="8" t="s">
        <v>22111</v>
      </c>
      <c r="J7370" s="8" t="s">
        <v>22112</v>
      </c>
    </row>
    <row r="7371">
      <c r="A7371" s="7">
        <v>2.0041166E7</v>
      </c>
      <c r="B7371" s="8" t="s">
        <v>5514</v>
      </c>
      <c r="C7371" s="8" t="s">
        <v>22113</v>
      </c>
      <c r="D7371" s="8" t="s">
        <v>16</v>
      </c>
      <c r="E7371" s="8" t="s">
        <v>17</v>
      </c>
      <c r="F7371" s="9">
        <v>46092.0</v>
      </c>
      <c r="G7371" s="8" t="s">
        <v>2621</v>
      </c>
      <c r="H7371" s="8" t="s">
        <v>2622</v>
      </c>
      <c r="I7371" s="8" t="s">
        <v>22114</v>
      </c>
      <c r="J7371" s="8" t="s">
        <v>22115</v>
      </c>
    </row>
    <row r="7372">
      <c r="A7372" s="7">
        <v>2.0041166E7</v>
      </c>
      <c r="B7372" s="8" t="s">
        <v>5514</v>
      </c>
      <c r="C7372" s="8" t="s">
        <v>22113</v>
      </c>
      <c r="D7372" s="8" t="s">
        <v>16</v>
      </c>
      <c r="E7372" s="8" t="s">
        <v>17</v>
      </c>
      <c r="F7372" s="9">
        <v>46092.0</v>
      </c>
      <c r="G7372" s="8" t="s">
        <v>207</v>
      </c>
      <c r="H7372" s="8" t="s">
        <v>208</v>
      </c>
      <c r="I7372" s="8" t="s">
        <v>22116</v>
      </c>
      <c r="J7372" s="8" t="s">
        <v>22117</v>
      </c>
    </row>
    <row r="7373">
      <c r="A7373" s="7">
        <v>2.0041166E7</v>
      </c>
      <c r="B7373" s="8" t="s">
        <v>5514</v>
      </c>
      <c r="C7373" s="8" t="s">
        <v>22113</v>
      </c>
      <c r="D7373" s="8" t="s">
        <v>16</v>
      </c>
      <c r="E7373" s="8" t="s">
        <v>17</v>
      </c>
      <c r="F7373" s="9">
        <v>46092.0</v>
      </c>
      <c r="G7373" s="8" t="s">
        <v>2625</v>
      </c>
      <c r="H7373" s="8" t="s">
        <v>827</v>
      </c>
      <c r="I7373" s="8" t="s">
        <v>22118</v>
      </c>
      <c r="J7373" s="8" t="s">
        <v>22119</v>
      </c>
    </row>
    <row r="7374">
      <c r="A7374" s="7">
        <v>2.0040485E7</v>
      </c>
      <c r="B7374" s="8" t="s">
        <v>5514</v>
      </c>
      <c r="C7374" s="8" t="s">
        <v>22120</v>
      </c>
      <c r="D7374" s="8" t="s">
        <v>16</v>
      </c>
      <c r="E7374" s="8" t="s">
        <v>48</v>
      </c>
      <c r="F7374" s="9">
        <v>46074.0</v>
      </c>
      <c r="G7374" s="8" t="s">
        <v>290</v>
      </c>
      <c r="H7374" s="8" t="s">
        <v>291</v>
      </c>
      <c r="I7374" s="8"/>
      <c r="J7374" s="8" t="s">
        <v>22121</v>
      </c>
    </row>
    <row r="7375">
      <c r="A7375" s="7">
        <v>2.0034379E7</v>
      </c>
      <c r="B7375" s="8" t="s">
        <v>5514</v>
      </c>
      <c r="C7375" s="8" t="s">
        <v>22122</v>
      </c>
      <c r="D7375" s="8" t="s">
        <v>16</v>
      </c>
      <c r="E7375" s="8" t="s">
        <v>17</v>
      </c>
      <c r="F7375" s="9">
        <v>46040.0</v>
      </c>
      <c r="G7375" s="8" t="s">
        <v>220</v>
      </c>
      <c r="H7375" s="8" t="s">
        <v>221</v>
      </c>
      <c r="I7375" s="8" t="s">
        <v>22123</v>
      </c>
      <c r="J7375" s="8" t="s">
        <v>22124</v>
      </c>
    </row>
    <row r="7376">
      <c r="A7376" s="7">
        <v>2.0052983E7</v>
      </c>
      <c r="B7376" s="8" t="s">
        <v>5514</v>
      </c>
      <c r="C7376" s="8" t="s">
        <v>22125</v>
      </c>
      <c r="D7376" s="8" t="s">
        <v>16</v>
      </c>
      <c r="E7376" s="8" t="s">
        <v>17</v>
      </c>
      <c r="F7376" s="9">
        <v>46111.0</v>
      </c>
      <c r="G7376" s="8" t="s">
        <v>59</v>
      </c>
      <c r="H7376" s="8" t="s">
        <v>60</v>
      </c>
      <c r="I7376" s="8" t="s">
        <v>22126</v>
      </c>
      <c r="J7376" s="8" t="s">
        <v>22127</v>
      </c>
    </row>
    <row r="7377">
      <c r="A7377" s="7">
        <v>2.0047545E7</v>
      </c>
      <c r="B7377" s="8" t="s">
        <v>5514</v>
      </c>
      <c r="C7377" s="8" t="s">
        <v>22128</v>
      </c>
      <c r="D7377" s="8" t="s">
        <v>16</v>
      </c>
      <c r="E7377" s="8" t="s">
        <v>17</v>
      </c>
      <c r="F7377" s="9">
        <v>46094.0</v>
      </c>
      <c r="G7377" s="8" t="s">
        <v>400</v>
      </c>
      <c r="H7377" s="8" t="s">
        <v>401</v>
      </c>
      <c r="I7377" s="8" t="s">
        <v>22129</v>
      </c>
      <c r="J7377" s="8" t="s">
        <v>22130</v>
      </c>
    </row>
    <row r="7378">
      <c r="A7378" s="7">
        <v>2.0046933E7</v>
      </c>
      <c r="B7378" s="8" t="s">
        <v>5514</v>
      </c>
      <c r="C7378" s="8" t="s">
        <v>22131</v>
      </c>
      <c r="D7378" s="8" t="s">
        <v>16</v>
      </c>
      <c r="E7378" s="8" t="s">
        <v>48</v>
      </c>
      <c r="F7378" s="9">
        <v>46087.0</v>
      </c>
      <c r="G7378" s="8" t="s">
        <v>339</v>
      </c>
      <c r="H7378" s="8" t="s">
        <v>340</v>
      </c>
      <c r="I7378" s="8" t="s">
        <v>22132</v>
      </c>
      <c r="J7378" s="8" t="s">
        <v>22133</v>
      </c>
    </row>
    <row r="7379">
      <c r="A7379" s="7">
        <v>2.0046933E7</v>
      </c>
      <c r="B7379" s="8" t="s">
        <v>5514</v>
      </c>
      <c r="C7379" s="8" t="s">
        <v>22131</v>
      </c>
      <c r="D7379" s="8" t="s">
        <v>16</v>
      </c>
      <c r="E7379" s="8" t="s">
        <v>48</v>
      </c>
      <c r="F7379" s="9">
        <v>46087.0</v>
      </c>
      <c r="G7379" s="8" t="s">
        <v>339</v>
      </c>
      <c r="H7379" s="8" t="s">
        <v>340</v>
      </c>
      <c r="I7379" s="8" t="s">
        <v>22134</v>
      </c>
      <c r="J7379" s="8" t="s">
        <v>22135</v>
      </c>
    </row>
    <row r="7380">
      <c r="A7380" s="7">
        <v>2.0056231E7</v>
      </c>
      <c r="B7380" s="8" t="s">
        <v>5514</v>
      </c>
      <c r="C7380" s="8" t="s">
        <v>22136</v>
      </c>
      <c r="D7380" s="8" t="s">
        <v>16</v>
      </c>
      <c r="E7380" s="8" t="s">
        <v>17</v>
      </c>
      <c r="F7380" s="9">
        <v>46128.0</v>
      </c>
      <c r="G7380" s="8" t="s">
        <v>846</v>
      </c>
      <c r="H7380" s="8" t="s">
        <v>847</v>
      </c>
      <c r="I7380" s="8" t="s">
        <v>22137</v>
      </c>
      <c r="J7380" s="8" t="s">
        <v>22138</v>
      </c>
    </row>
    <row r="7381">
      <c r="A7381" s="7">
        <v>2.0037754E7</v>
      </c>
      <c r="B7381" s="8" t="s">
        <v>5514</v>
      </c>
      <c r="C7381" s="8" t="s">
        <v>22139</v>
      </c>
      <c r="D7381" s="8" t="s">
        <v>16</v>
      </c>
      <c r="E7381" s="8" t="s">
        <v>48</v>
      </c>
      <c r="F7381" s="9">
        <v>46051.0</v>
      </c>
      <c r="G7381" s="8" t="s">
        <v>273</v>
      </c>
      <c r="H7381" s="8" t="s">
        <v>274</v>
      </c>
      <c r="I7381" s="8" t="s">
        <v>22140</v>
      </c>
      <c r="J7381" s="8" t="s">
        <v>22141</v>
      </c>
    </row>
    <row r="7382">
      <c r="A7382" s="7">
        <v>2.0037754E7</v>
      </c>
      <c r="B7382" s="8" t="s">
        <v>5514</v>
      </c>
      <c r="C7382" s="8" t="s">
        <v>22139</v>
      </c>
      <c r="D7382" s="8" t="s">
        <v>16</v>
      </c>
      <c r="E7382" s="8" t="s">
        <v>48</v>
      </c>
      <c r="F7382" s="9">
        <v>46051.0</v>
      </c>
      <c r="G7382" s="8" t="s">
        <v>22142</v>
      </c>
      <c r="H7382" s="8" t="s">
        <v>22143</v>
      </c>
      <c r="I7382" s="8" t="s">
        <v>22144</v>
      </c>
      <c r="J7382" s="8" t="s">
        <v>22145</v>
      </c>
    </row>
    <row r="7383">
      <c r="A7383" s="7">
        <v>2.0036296E7</v>
      </c>
      <c r="B7383" s="8" t="s">
        <v>5514</v>
      </c>
      <c r="C7383" s="8" t="s">
        <v>22146</v>
      </c>
      <c r="D7383" s="8" t="s">
        <v>16</v>
      </c>
      <c r="E7383" s="8" t="s">
        <v>17</v>
      </c>
      <c r="F7383" s="9">
        <v>46051.0</v>
      </c>
      <c r="G7383" s="8" t="s">
        <v>171</v>
      </c>
      <c r="H7383" s="8" t="s">
        <v>172</v>
      </c>
      <c r="I7383" s="8" t="s">
        <v>22147</v>
      </c>
      <c r="J7383" s="8" t="s">
        <v>22148</v>
      </c>
    </row>
    <row r="7384">
      <c r="A7384" s="7">
        <v>2.0065078E7</v>
      </c>
      <c r="B7384" s="8" t="s">
        <v>5514</v>
      </c>
      <c r="C7384" s="8" t="s">
        <v>22149</v>
      </c>
      <c r="D7384" s="8" t="s">
        <v>2136</v>
      </c>
      <c r="E7384" s="8" t="s">
        <v>17</v>
      </c>
      <c r="F7384" s="9">
        <v>46162.0</v>
      </c>
      <c r="G7384" s="8" t="s">
        <v>153</v>
      </c>
      <c r="H7384" s="8" t="s">
        <v>154</v>
      </c>
      <c r="I7384" s="8" t="s">
        <v>22150</v>
      </c>
      <c r="J7384" s="8" t="s">
        <v>22151</v>
      </c>
    </row>
    <row r="7385">
      <c r="A7385" s="7">
        <v>2.0063121E7</v>
      </c>
      <c r="B7385" s="8" t="s">
        <v>5514</v>
      </c>
      <c r="C7385" s="8" t="s">
        <v>22152</v>
      </c>
      <c r="D7385" s="8" t="s">
        <v>2136</v>
      </c>
      <c r="E7385" s="8" t="s">
        <v>17</v>
      </c>
      <c r="F7385" s="9">
        <v>46154.0</v>
      </c>
      <c r="G7385" s="8" t="s">
        <v>805</v>
      </c>
      <c r="H7385" s="8" t="s">
        <v>806</v>
      </c>
      <c r="I7385" s="8" t="s">
        <v>22153</v>
      </c>
      <c r="J7385" s="8" t="s">
        <v>22154</v>
      </c>
    </row>
    <row r="7386">
      <c r="A7386" s="7">
        <v>2.005311E7</v>
      </c>
      <c r="B7386" s="8" t="s">
        <v>5514</v>
      </c>
      <c r="C7386" s="8" t="s">
        <v>22155</v>
      </c>
      <c r="D7386" s="8" t="s">
        <v>16</v>
      </c>
      <c r="E7386" s="8" t="s">
        <v>17</v>
      </c>
      <c r="F7386" s="9">
        <v>46110.0</v>
      </c>
      <c r="G7386" s="8" t="s">
        <v>805</v>
      </c>
      <c r="H7386" s="8" t="s">
        <v>806</v>
      </c>
      <c r="I7386" s="8" t="s">
        <v>22156</v>
      </c>
      <c r="J7386" s="8" t="s">
        <v>22157</v>
      </c>
    </row>
    <row r="7387">
      <c r="A7387" s="7">
        <v>2.0046003E7</v>
      </c>
      <c r="B7387" s="8" t="s">
        <v>5514</v>
      </c>
      <c r="C7387" s="8" t="s">
        <v>22158</v>
      </c>
      <c r="D7387" s="8" t="s">
        <v>16</v>
      </c>
      <c r="E7387" s="8" t="s">
        <v>17</v>
      </c>
      <c r="F7387" s="9">
        <v>46093.0</v>
      </c>
      <c r="G7387" s="8" t="s">
        <v>59</v>
      </c>
      <c r="H7387" s="8" t="s">
        <v>60</v>
      </c>
      <c r="I7387" s="8" t="s">
        <v>22159</v>
      </c>
      <c r="J7387" s="8" t="s">
        <v>22160</v>
      </c>
    </row>
    <row r="7388">
      <c r="A7388" s="7">
        <v>2.0056868E7</v>
      </c>
      <c r="B7388" s="8" t="s">
        <v>5514</v>
      </c>
      <c r="C7388" s="8" t="s">
        <v>22161</v>
      </c>
      <c r="D7388" s="8" t="s">
        <v>16</v>
      </c>
      <c r="E7388" s="8" t="s">
        <v>17</v>
      </c>
      <c r="F7388" s="9">
        <v>46143.0</v>
      </c>
      <c r="G7388" s="8" t="s">
        <v>2989</v>
      </c>
      <c r="H7388" s="8" t="s">
        <v>2990</v>
      </c>
      <c r="I7388" s="8" t="s">
        <v>22162</v>
      </c>
      <c r="J7388" s="8" t="s">
        <v>22163</v>
      </c>
    </row>
    <row r="7389">
      <c r="A7389" s="7">
        <v>2.0055117E7</v>
      </c>
      <c r="B7389" s="8" t="s">
        <v>5514</v>
      </c>
      <c r="C7389" s="8" t="s">
        <v>22164</v>
      </c>
      <c r="D7389" s="8" t="s">
        <v>16</v>
      </c>
      <c r="E7389" s="8" t="s">
        <v>17</v>
      </c>
      <c r="F7389" s="9">
        <v>46125.0</v>
      </c>
      <c r="G7389" s="8" t="s">
        <v>1285</v>
      </c>
      <c r="H7389" s="8" t="s">
        <v>1286</v>
      </c>
      <c r="I7389" s="8" t="s">
        <v>22165</v>
      </c>
      <c r="J7389" s="8" t="s">
        <v>22166</v>
      </c>
    </row>
    <row r="7390">
      <c r="A7390" s="7">
        <v>2.0051026E7</v>
      </c>
      <c r="B7390" s="8" t="s">
        <v>5514</v>
      </c>
      <c r="C7390" s="8" t="s">
        <v>22167</v>
      </c>
      <c r="D7390" s="8" t="s">
        <v>16</v>
      </c>
      <c r="E7390" s="8" t="s">
        <v>17</v>
      </c>
      <c r="F7390" s="9">
        <v>46119.0</v>
      </c>
      <c r="G7390" s="8" t="s">
        <v>339</v>
      </c>
      <c r="H7390" s="8" t="s">
        <v>340</v>
      </c>
      <c r="I7390" s="8" t="s">
        <v>22168</v>
      </c>
      <c r="J7390" s="8" t="s">
        <v>22169</v>
      </c>
    </row>
    <row r="7391">
      <c r="A7391" s="7">
        <v>2.005748E7</v>
      </c>
      <c r="B7391" s="8" t="s">
        <v>5514</v>
      </c>
      <c r="C7391" s="8" t="s">
        <v>22170</v>
      </c>
      <c r="D7391" s="8" t="s">
        <v>16</v>
      </c>
      <c r="E7391" s="8" t="s">
        <v>17</v>
      </c>
      <c r="F7391" s="9">
        <v>46183.0</v>
      </c>
      <c r="G7391" s="8" t="s">
        <v>601</v>
      </c>
      <c r="H7391" s="8" t="s">
        <v>602</v>
      </c>
      <c r="I7391" s="8" t="s">
        <v>22171</v>
      </c>
      <c r="J7391" s="8" t="s">
        <v>22172</v>
      </c>
    </row>
    <row r="7392">
      <c r="A7392" s="7">
        <v>2.0040302E7</v>
      </c>
      <c r="B7392" s="8" t="s">
        <v>5514</v>
      </c>
      <c r="C7392" s="8" t="s">
        <v>22173</v>
      </c>
      <c r="D7392" s="8" t="s">
        <v>16</v>
      </c>
      <c r="E7392" s="8" t="s">
        <v>17</v>
      </c>
      <c r="F7392" s="9">
        <v>46064.0</v>
      </c>
      <c r="G7392" s="8" t="s">
        <v>2225</v>
      </c>
      <c r="H7392" s="8" t="s">
        <v>2226</v>
      </c>
      <c r="I7392" s="8" t="s">
        <v>22174</v>
      </c>
      <c r="J7392" s="8" t="s">
        <v>22175</v>
      </c>
    </row>
    <row r="7393">
      <c r="A7393" s="7">
        <v>2.005446E7</v>
      </c>
      <c r="B7393" s="8" t="s">
        <v>5514</v>
      </c>
      <c r="C7393" s="8" t="s">
        <v>22176</v>
      </c>
      <c r="D7393" s="8" t="s">
        <v>16</v>
      </c>
      <c r="E7393" s="8" t="s">
        <v>17</v>
      </c>
      <c r="F7393" s="9">
        <v>46120.0</v>
      </c>
      <c r="G7393" s="8" t="s">
        <v>1532</v>
      </c>
      <c r="H7393" s="8" t="s">
        <v>1533</v>
      </c>
      <c r="I7393" s="8" t="s">
        <v>22177</v>
      </c>
      <c r="J7393" s="8" t="s">
        <v>22178</v>
      </c>
    </row>
    <row r="7394">
      <c r="A7394" s="7">
        <v>2.005446E7</v>
      </c>
      <c r="B7394" s="8" t="s">
        <v>5514</v>
      </c>
      <c r="C7394" s="8" t="s">
        <v>22176</v>
      </c>
      <c r="D7394" s="8" t="s">
        <v>16</v>
      </c>
      <c r="E7394" s="8" t="s">
        <v>17</v>
      </c>
      <c r="F7394" s="9">
        <v>46120.0</v>
      </c>
      <c r="G7394" s="8" t="s">
        <v>21542</v>
      </c>
      <c r="H7394" s="8" t="s">
        <v>21543</v>
      </c>
      <c r="I7394" s="8" t="s">
        <v>22179</v>
      </c>
      <c r="J7394" s="8" t="s">
        <v>22180</v>
      </c>
    </row>
    <row r="7395">
      <c r="A7395" s="7">
        <v>2.0039014E7</v>
      </c>
      <c r="B7395" s="8" t="s">
        <v>5585</v>
      </c>
      <c r="C7395" s="8" t="s">
        <v>22181</v>
      </c>
      <c r="D7395" s="8" t="s">
        <v>16</v>
      </c>
      <c r="E7395" s="8" t="s">
        <v>17</v>
      </c>
      <c r="F7395" s="9">
        <v>46068.0</v>
      </c>
      <c r="G7395" s="8" t="s">
        <v>2236</v>
      </c>
      <c r="H7395" s="8" t="s">
        <v>2237</v>
      </c>
      <c r="I7395" s="8" t="s">
        <v>22182</v>
      </c>
      <c r="J7395" s="8" t="s">
        <v>22183</v>
      </c>
    </row>
    <row r="7396">
      <c r="A7396" s="7">
        <v>2.0038527E7</v>
      </c>
      <c r="B7396" s="8" t="s">
        <v>5585</v>
      </c>
      <c r="C7396" s="8" t="s">
        <v>22184</v>
      </c>
      <c r="D7396" s="8" t="s">
        <v>16</v>
      </c>
      <c r="E7396" s="8" t="s">
        <v>17</v>
      </c>
      <c r="F7396" s="9">
        <v>46071.0</v>
      </c>
      <c r="G7396" s="8" t="s">
        <v>171</v>
      </c>
      <c r="H7396" s="8" t="s">
        <v>172</v>
      </c>
      <c r="I7396" s="8" t="s">
        <v>22185</v>
      </c>
      <c r="J7396" s="8" t="s">
        <v>22186</v>
      </c>
    </row>
    <row r="7397">
      <c r="A7397" s="7">
        <v>2.0058974E7</v>
      </c>
      <c r="B7397" s="8" t="s">
        <v>5585</v>
      </c>
      <c r="C7397" s="8" t="s">
        <v>22187</v>
      </c>
      <c r="D7397" s="8" t="s">
        <v>16</v>
      </c>
      <c r="E7397" s="8" t="s">
        <v>17</v>
      </c>
      <c r="F7397" s="9">
        <v>46179.0</v>
      </c>
      <c r="G7397" s="8" t="s">
        <v>390</v>
      </c>
      <c r="H7397" s="8" t="s">
        <v>391</v>
      </c>
      <c r="I7397" s="8" t="s">
        <v>22188</v>
      </c>
      <c r="J7397" s="8" t="s">
        <v>22189</v>
      </c>
    </row>
    <row r="7398">
      <c r="A7398" s="7">
        <v>2.004609E7</v>
      </c>
      <c r="B7398" s="8" t="s">
        <v>5585</v>
      </c>
      <c r="C7398" s="8" t="s">
        <v>22190</v>
      </c>
      <c r="D7398" s="8" t="s">
        <v>16</v>
      </c>
      <c r="E7398" s="8" t="s">
        <v>17</v>
      </c>
      <c r="F7398" s="9">
        <v>46093.0</v>
      </c>
      <c r="G7398" s="8" t="s">
        <v>1949</v>
      </c>
      <c r="H7398" s="8" t="s">
        <v>1950</v>
      </c>
      <c r="I7398" s="8" t="s">
        <v>22191</v>
      </c>
      <c r="J7398" s="8" t="s">
        <v>22192</v>
      </c>
    </row>
    <row r="7399">
      <c r="A7399" s="7">
        <v>2.0044492E7</v>
      </c>
      <c r="B7399" s="8" t="s">
        <v>5585</v>
      </c>
      <c r="C7399" s="8" t="s">
        <v>22193</v>
      </c>
      <c r="D7399" s="8" t="s">
        <v>16</v>
      </c>
      <c r="E7399" s="8" t="s">
        <v>17</v>
      </c>
      <c r="F7399" s="9">
        <v>46094.0</v>
      </c>
      <c r="G7399" s="8" t="s">
        <v>1557</v>
      </c>
      <c r="H7399" s="8" t="s">
        <v>1558</v>
      </c>
      <c r="I7399" s="8" t="s">
        <v>22194</v>
      </c>
      <c r="J7399" s="8" t="s">
        <v>22195</v>
      </c>
    </row>
    <row r="7400">
      <c r="A7400" s="7">
        <v>2.0037073E7</v>
      </c>
      <c r="B7400" s="8" t="s">
        <v>5585</v>
      </c>
      <c r="C7400" s="8" t="s">
        <v>22196</v>
      </c>
      <c r="D7400" s="8" t="s">
        <v>16</v>
      </c>
      <c r="E7400" s="8" t="s">
        <v>17</v>
      </c>
      <c r="F7400" s="9">
        <v>46083.0</v>
      </c>
      <c r="G7400" s="8" t="s">
        <v>59</v>
      </c>
      <c r="H7400" s="8" t="s">
        <v>60</v>
      </c>
      <c r="I7400" s="8" t="s">
        <v>22197</v>
      </c>
      <c r="J7400" s="8" t="s">
        <v>22198</v>
      </c>
    </row>
    <row r="7401">
      <c r="A7401" s="7">
        <v>2.0058537E7</v>
      </c>
      <c r="B7401" s="8" t="s">
        <v>5585</v>
      </c>
      <c r="C7401" s="8" t="s">
        <v>22199</v>
      </c>
      <c r="D7401" s="8" t="s">
        <v>16</v>
      </c>
      <c r="E7401" s="8" t="s">
        <v>17</v>
      </c>
      <c r="F7401" s="9">
        <v>46147.0</v>
      </c>
      <c r="G7401" s="8" t="s">
        <v>220</v>
      </c>
      <c r="H7401" s="8" t="s">
        <v>221</v>
      </c>
      <c r="I7401" s="8" t="s">
        <v>22200</v>
      </c>
      <c r="J7401" s="8" t="s">
        <v>22201</v>
      </c>
    </row>
    <row r="7402">
      <c r="A7402" s="7">
        <v>2.0048005E7</v>
      </c>
      <c r="B7402" s="8" t="s">
        <v>5585</v>
      </c>
      <c r="C7402" s="8" t="s">
        <v>22202</v>
      </c>
      <c r="D7402" s="8" t="s">
        <v>16</v>
      </c>
      <c r="E7402" s="8" t="s">
        <v>17</v>
      </c>
      <c r="F7402" s="9">
        <v>46119.0</v>
      </c>
      <c r="G7402" s="8" t="s">
        <v>978</v>
      </c>
      <c r="H7402" s="8" t="s">
        <v>979</v>
      </c>
      <c r="I7402" s="8" t="s">
        <v>22203</v>
      </c>
      <c r="J7402" s="8" t="s">
        <v>22204</v>
      </c>
    </row>
    <row r="7403">
      <c r="A7403" s="7">
        <v>2.0040707E7</v>
      </c>
      <c r="B7403" s="8" t="s">
        <v>5585</v>
      </c>
      <c r="C7403" s="8" t="s">
        <v>22205</v>
      </c>
      <c r="D7403" s="8" t="s">
        <v>16</v>
      </c>
      <c r="E7403" s="8" t="s">
        <v>17</v>
      </c>
      <c r="F7403" s="9">
        <v>46083.0</v>
      </c>
      <c r="G7403" s="8" t="s">
        <v>390</v>
      </c>
      <c r="H7403" s="8" t="s">
        <v>391</v>
      </c>
      <c r="I7403" s="8" t="s">
        <v>22206</v>
      </c>
      <c r="J7403" s="8" t="s">
        <v>22207</v>
      </c>
    </row>
    <row r="7404">
      <c r="A7404" s="7">
        <v>2.0038646E7</v>
      </c>
      <c r="B7404" s="8" t="s">
        <v>5585</v>
      </c>
      <c r="C7404" s="8" t="s">
        <v>22208</v>
      </c>
      <c r="D7404" s="8" t="s">
        <v>16</v>
      </c>
      <c r="E7404" s="8" t="s">
        <v>17</v>
      </c>
      <c r="F7404" s="9">
        <v>46067.0</v>
      </c>
      <c r="G7404" s="8" t="s">
        <v>54</v>
      </c>
      <c r="H7404" s="8" t="s">
        <v>55</v>
      </c>
      <c r="I7404" s="8" t="s">
        <v>22209</v>
      </c>
      <c r="J7404" s="8" t="s">
        <v>22210</v>
      </c>
    </row>
    <row r="7405">
      <c r="A7405" s="7">
        <v>2.0065089E7</v>
      </c>
      <c r="B7405" s="8" t="s">
        <v>5585</v>
      </c>
      <c r="C7405" s="8" t="s">
        <v>22211</v>
      </c>
      <c r="D7405" s="8" t="s">
        <v>16</v>
      </c>
      <c r="E7405" s="8" t="s">
        <v>17</v>
      </c>
      <c r="F7405" s="9">
        <v>46178.0</v>
      </c>
      <c r="G7405" s="8" t="s">
        <v>91</v>
      </c>
      <c r="H7405" s="8" t="s">
        <v>92</v>
      </c>
      <c r="I7405" s="8" t="s">
        <v>22212</v>
      </c>
      <c r="J7405" s="8" t="s">
        <v>22213</v>
      </c>
    </row>
    <row r="7406">
      <c r="A7406" s="7">
        <v>2.0063326E7</v>
      </c>
      <c r="B7406" s="8" t="s">
        <v>5585</v>
      </c>
      <c r="C7406" s="8" t="s">
        <v>22214</v>
      </c>
      <c r="D7406" s="8" t="s">
        <v>16</v>
      </c>
      <c r="E7406" s="8" t="s">
        <v>17</v>
      </c>
      <c r="F7406" s="9">
        <v>46182.0</v>
      </c>
      <c r="G7406" s="8" t="s">
        <v>361</v>
      </c>
      <c r="H7406" s="8" t="s">
        <v>362</v>
      </c>
      <c r="I7406" s="8" t="s">
        <v>22215</v>
      </c>
      <c r="J7406" s="8"/>
    </row>
    <row r="7407">
      <c r="A7407" s="7">
        <v>2.0054204E7</v>
      </c>
      <c r="B7407" s="8" t="s">
        <v>5585</v>
      </c>
      <c r="C7407" s="8" t="s">
        <v>22216</v>
      </c>
      <c r="D7407" s="8" t="s">
        <v>16</v>
      </c>
      <c r="E7407" s="8" t="s">
        <v>17</v>
      </c>
      <c r="F7407" s="9">
        <v>46137.0</v>
      </c>
      <c r="G7407" s="8" t="s">
        <v>3706</v>
      </c>
      <c r="H7407" s="8" t="s">
        <v>3707</v>
      </c>
      <c r="I7407" s="8" t="s">
        <v>22217</v>
      </c>
      <c r="J7407" s="8"/>
    </row>
    <row r="7408">
      <c r="A7408" s="7">
        <v>2.0068912E7</v>
      </c>
      <c r="B7408" s="8" t="s">
        <v>5585</v>
      </c>
      <c r="C7408" s="8" t="s">
        <v>22218</v>
      </c>
      <c r="D7408" s="8" t="s">
        <v>16</v>
      </c>
      <c r="E7408" s="8" t="s">
        <v>17</v>
      </c>
      <c r="F7408" s="9">
        <v>46189.0</v>
      </c>
      <c r="G7408" s="8" t="s">
        <v>22219</v>
      </c>
      <c r="H7408" s="8" t="s">
        <v>22220</v>
      </c>
      <c r="I7408" s="8" t="s">
        <v>22221</v>
      </c>
      <c r="J7408" s="8" t="s">
        <v>22222</v>
      </c>
    </row>
    <row r="7409">
      <c r="A7409" s="7">
        <v>2.0068912E7</v>
      </c>
      <c r="B7409" s="8" t="s">
        <v>5585</v>
      </c>
      <c r="C7409" s="8" t="s">
        <v>22218</v>
      </c>
      <c r="D7409" s="8" t="s">
        <v>16</v>
      </c>
      <c r="E7409" s="8" t="s">
        <v>17</v>
      </c>
      <c r="F7409" s="9">
        <v>46189.0</v>
      </c>
      <c r="G7409" s="8" t="s">
        <v>34</v>
      </c>
      <c r="H7409" s="8" t="s">
        <v>35</v>
      </c>
      <c r="I7409" s="8" t="s">
        <v>22223</v>
      </c>
      <c r="J7409" s="8" t="s">
        <v>22224</v>
      </c>
    </row>
    <row r="7410">
      <c r="A7410" s="7">
        <v>2.00469E7</v>
      </c>
      <c r="B7410" s="8" t="s">
        <v>5585</v>
      </c>
      <c r="C7410" s="8" t="s">
        <v>22225</v>
      </c>
      <c r="D7410" s="8" t="s">
        <v>16</v>
      </c>
      <c r="E7410" s="8" t="s">
        <v>17</v>
      </c>
      <c r="F7410" s="9">
        <v>46087.0</v>
      </c>
      <c r="G7410" s="8" t="s">
        <v>91</v>
      </c>
      <c r="H7410" s="8" t="s">
        <v>92</v>
      </c>
      <c r="I7410" s="8" t="s">
        <v>22226</v>
      </c>
      <c r="J7410" s="8" t="s">
        <v>22227</v>
      </c>
    </row>
    <row r="7411">
      <c r="A7411" s="7">
        <v>2.0064556E7</v>
      </c>
      <c r="B7411" s="8" t="s">
        <v>5585</v>
      </c>
      <c r="C7411" s="8" t="s">
        <v>22228</v>
      </c>
      <c r="D7411" s="8" t="s">
        <v>16</v>
      </c>
      <c r="E7411" s="8" t="s">
        <v>17</v>
      </c>
      <c r="F7411" s="9">
        <v>46193.0</v>
      </c>
      <c r="G7411" s="8" t="s">
        <v>22229</v>
      </c>
      <c r="H7411" s="8" t="s">
        <v>22230</v>
      </c>
      <c r="I7411" s="8" t="s">
        <v>22231</v>
      </c>
      <c r="J7411" s="8" t="s">
        <v>22232</v>
      </c>
    </row>
    <row r="7412">
      <c r="A7412" s="7">
        <v>2.0053888E7</v>
      </c>
      <c r="B7412" s="8" t="s">
        <v>5585</v>
      </c>
      <c r="C7412" s="8" t="s">
        <v>22233</v>
      </c>
      <c r="D7412" s="8" t="s">
        <v>16</v>
      </c>
      <c r="E7412" s="8" t="s">
        <v>17</v>
      </c>
      <c r="F7412" s="9">
        <v>46114.0</v>
      </c>
      <c r="G7412" s="8" t="s">
        <v>365</v>
      </c>
      <c r="H7412" s="8" t="s">
        <v>366</v>
      </c>
      <c r="I7412" s="8" t="s">
        <v>22234</v>
      </c>
      <c r="J7412" s="8" t="s">
        <v>22235</v>
      </c>
    </row>
    <row r="7413">
      <c r="A7413" s="7">
        <v>2.0038189E7</v>
      </c>
      <c r="B7413" s="8" t="s">
        <v>5585</v>
      </c>
      <c r="C7413" s="8" t="s">
        <v>22236</v>
      </c>
      <c r="D7413" s="8" t="s">
        <v>16</v>
      </c>
      <c r="E7413" s="8" t="s">
        <v>17</v>
      </c>
      <c r="F7413" s="9">
        <v>46078.0</v>
      </c>
      <c r="G7413" s="8" t="s">
        <v>543</v>
      </c>
      <c r="H7413" s="8" t="s">
        <v>544</v>
      </c>
      <c r="I7413" s="8" t="s">
        <v>22237</v>
      </c>
      <c r="J7413" s="8" t="s">
        <v>22238</v>
      </c>
    </row>
    <row r="7414">
      <c r="A7414" s="7">
        <v>2.0038256E7</v>
      </c>
      <c r="B7414" s="8" t="s">
        <v>5585</v>
      </c>
      <c r="C7414" s="8" t="s">
        <v>22239</v>
      </c>
      <c r="D7414" s="8" t="s">
        <v>16</v>
      </c>
      <c r="E7414" s="8" t="s">
        <v>17</v>
      </c>
      <c r="F7414" s="9">
        <v>46059.0</v>
      </c>
      <c r="G7414" s="8" t="s">
        <v>22219</v>
      </c>
      <c r="H7414" s="8" t="s">
        <v>22220</v>
      </c>
      <c r="I7414" s="8" t="s">
        <v>22240</v>
      </c>
      <c r="J7414" s="8" t="s">
        <v>22241</v>
      </c>
    </row>
    <row r="7415">
      <c r="A7415" s="7">
        <v>2.0038256E7</v>
      </c>
      <c r="B7415" s="8" t="s">
        <v>5585</v>
      </c>
      <c r="C7415" s="8" t="s">
        <v>22239</v>
      </c>
      <c r="D7415" s="8" t="s">
        <v>16</v>
      </c>
      <c r="E7415" s="8" t="s">
        <v>17</v>
      </c>
      <c r="F7415" s="9">
        <v>46059.0</v>
      </c>
      <c r="G7415" s="8" t="s">
        <v>34</v>
      </c>
      <c r="H7415" s="8" t="s">
        <v>35</v>
      </c>
      <c r="I7415" s="8" t="s">
        <v>22242</v>
      </c>
      <c r="J7415" s="8" t="s">
        <v>22243</v>
      </c>
    </row>
    <row r="7416">
      <c r="A7416" s="7">
        <v>2.0035403E7</v>
      </c>
      <c r="B7416" s="8" t="s">
        <v>5585</v>
      </c>
      <c r="C7416" s="8" t="s">
        <v>22244</v>
      </c>
      <c r="D7416" s="8" t="s">
        <v>16</v>
      </c>
      <c r="E7416" s="8" t="s">
        <v>17</v>
      </c>
      <c r="F7416" s="9">
        <v>46062.0</v>
      </c>
      <c r="G7416" s="8" t="s">
        <v>1236</v>
      </c>
      <c r="H7416" s="8" t="s">
        <v>1237</v>
      </c>
      <c r="I7416" s="8" t="s">
        <v>22245</v>
      </c>
      <c r="J7416" s="8" t="s">
        <v>22246</v>
      </c>
    </row>
    <row r="7417">
      <c r="A7417" s="7">
        <v>2.0068378E7</v>
      </c>
      <c r="B7417" s="8" t="s">
        <v>5585</v>
      </c>
      <c r="C7417" s="8" t="s">
        <v>22247</v>
      </c>
      <c r="D7417" s="8" t="s">
        <v>16</v>
      </c>
      <c r="E7417" s="8" t="s">
        <v>17</v>
      </c>
      <c r="F7417" s="9">
        <v>46190.0</v>
      </c>
      <c r="G7417" s="8" t="s">
        <v>1319</v>
      </c>
      <c r="H7417" s="8" t="s">
        <v>1320</v>
      </c>
      <c r="I7417" s="8" t="s">
        <v>22248</v>
      </c>
      <c r="J7417" s="8" t="s">
        <v>22249</v>
      </c>
    </row>
    <row r="7418">
      <c r="A7418" s="7">
        <v>2.007276E7</v>
      </c>
      <c r="B7418" s="8" t="s">
        <v>5585</v>
      </c>
      <c r="C7418" s="8" t="s">
        <v>22250</v>
      </c>
      <c r="D7418" s="8" t="s">
        <v>16</v>
      </c>
      <c r="E7418" s="8" t="s">
        <v>7889</v>
      </c>
      <c r="F7418" s="9">
        <v>46192.0</v>
      </c>
      <c r="G7418" s="8" t="s">
        <v>109</v>
      </c>
      <c r="H7418" s="8" t="s">
        <v>110</v>
      </c>
      <c r="I7418" s="8"/>
      <c r="J7418" s="8" t="s">
        <v>22251</v>
      </c>
    </row>
    <row r="7419">
      <c r="A7419" s="7">
        <v>2.007276E7</v>
      </c>
      <c r="B7419" s="8" t="s">
        <v>5585</v>
      </c>
      <c r="C7419" s="8" t="s">
        <v>22252</v>
      </c>
      <c r="D7419" s="8" t="s">
        <v>2136</v>
      </c>
      <c r="E7419" s="8" t="s">
        <v>17</v>
      </c>
      <c r="F7419" s="9">
        <v>46193.0</v>
      </c>
      <c r="G7419" s="8" t="s">
        <v>109</v>
      </c>
      <c r="H7419" s="8" t="s">
        <v>110</v>
      </c>
      <c r="I7419" s="8" t="s">
        <v>22253</v>
      </c>
      <c r="J7419" s="8" t="s">
        <v>22251</v>
      </c>
    </row>
    <row r="7420">
      <c r="A7420" s="7">
        <v>2.0054655E7</v>
      </c>
      <c r="B7420" s="8" t="s">
        <v>5585</v>
      </c>
      <c r="C7420" s="8" t="s">
        <v>22254</v>
      </c>
      <c r="D7420" s="8" t="s">
        <v>16</v>
      </c>
      <c r="E7420" s="8" t="s">
        <v>17</v>
      </c>
      <c r="F7420" s="9">
        <v>46139.0</v>
      </c>
      <c r="G7420" s="8" t="s">
        <v>3136</v>
      </c>
      <c r="H7420" s="8" t="s">
        <v>3137</v>
      </c>
      <c r="I7420" s="8" t="s">
        <v>22255</v>
      </c>
      <c r="J7420" s="8"/>
    </row>
    <row r="7421">
      <c r="A7421" s="7">
        <v>2.0044023E7</v>
      </c>
      <c r="B7421" s="8" t="s">
        <v>5585</v>
      </c>
      <c r="C7421" s="8" t="s">
        <v>22256</v>
      </c>
      <c r="D7421" s="8" t="s">
        <v>16</v>
      </c>
      <c r="E7421" s="8" t="s">
        <v>17</v>
      </c>
      <c r="F7421" s="9">
        <v>46084.0</v>
      </c>
      <c r="G7421" s="8" t="s">
        <v>75</v>
      </c>
      <c r="H7421" s="8" t="s">
        <v>76</v>
      </c>
      <c r="I7421" s="8" t="s">
        <v>22257</v>
      </c>
      <c r="J7421" s="8" t="s">
        <v>22258</v>
      </c>
    </row>
    <row r="7422">
      <c r="A7422" s="7">
        <v>2.0043047E7</v>
      </c>
      <c r="B7422" s="8" t="s">
        <v>5585</v>
      </c>
      <c r="C7422" s="8" t="s">
        <v>22259</v>
      </c>
      <c r="D7422" s="8" t="s">
        <v>16</v>
      </c>
      <c r="E7422" s="8" t="s">
        <v>48</v>
      </c>
      <c r="F7422" s="9">
        <v>46097.0</v>
      </c>
      <c r="G7422" s="8" t="s">
        <v>390</v>
      </c>
      <c r="H7422" s="8" t="s">
        <v>391</v>
      </c>
      <c r="I7422" s="8" t="s">
        <v>22260</v>
      </c>
      <c r="J7422" s="8" t="s">
        <v>22261</v>
      </c>
    </row>
    <row r="7423">
      <c r="A7423" s="7">
        <v>2.00429E7</v>
      </c>
      <c r="B7423" s="8" t="s">
        <v>5585</v>
      </c>
      <c r="C7423" s="8" t="s">
        <v>22262</v>
      </c>
      <c r="D7423" s="8" t="s">
        <v>16</v>
      </c>
      <c r="E7423" s="8" t="s">
        <v>17</v>
      </c>
      <c r="F7423" s="9">
        <v>46091.0</v>
      </c>
      <c r="G7423" s="8" t="s">
        <v>8696</v>
      </c>
      <c r="H7423" s="8" t="s">
        <v>8697</v>
      </c>
      <c r="I7423" s="8" t="s">
        <v>22263</v>
      </c>
      <c r="J7423" s="8" t="s">
        <v>22264</v>
      </c>
    </row>
    <row r="7424">
      <c r="A7424" s="7">
        <v>2.0036907E7</v>
      </c>
      <c r="B7424" s="8" t="s">
        <v>5585</v>
      </c>
      <c r="C7424" s="8" t="s">
        <v>22265</v>
      </c>
      <c r="D7424" s="8" t="s">
        <v>16</v>
      </c>
      <c r="E7424" s="8" t="s">
        <v>17</v>
      </c>
      <c r="F7424" s="9">
        <v>46059.0</v>
      </c>
      <c r="G7424" s="8" t="s">
        <v>1085</v>
      </c>
      <c r="H7424" s="8" t="s">
        <v>1086</v>
      </c>
      <c r="I7424" s="8" t="s">
        <v>22266</v>
      </c>
      <c r="J7424" s="8" t="s">
        <v>22267</v>
      </c>
    </row>
    <row r="7425">
      <c r="A7425" s="7">
        <v>2.0045347E7</v>
      </c>
      <c r="B7425" s="8" t="s">
        <v>5585</v>
      </c>
      <c r="C7425" s="8" t="s">
        <v>22268</v>
      </c>
      <c r="D7425" s="8" t="s">
        <v>16</v>
      </c>
      <c r="E7425" s="8" t="s">
        <v>17</v>
      </c>
      <c r="F7425" s="9">
        <v>46098.0</v>
      </c>
      <c r="G7425" s="8" t="s">
        <v>390</v>
      </c>
      <c r="H7425" s="8" t="s">
        <v>391</v>
      </c>
      <c r="I7425" s="8" t="s">
        <v>22269</v>
      </c>
      <c r="J7425" s="8" t="s">
        <v>22270</v>
      </c>
    </row>
    <row r="7426">
      <c r="A7426" s="7">
        <v>2.0052573E7</v>
      </c>
      <c r="B7426" s="8" t="s">
        <v>5585</v>
      </c>
      <c r="C7426" s="8" t="s">
        <v>22271</v>
      </c>
      <c r="D7426" s="8" t="s">
        <v>16</v>
      </c>
      <c r="E7426" s="8" t="s">
        <v>17</v>
      </c>
      <c r="F7426" s="9">
        <v>46130.0</v>
      </c>
      <c r="G7426" s="8" t="s">
        <v>361</v>
      </c>
      <c r="H7426" s="8" t="s">
        <v>362</v>
      </c>
      <c r="I7426" s="8" t="s">
        <v>22272</v>
      </c>
      <c r="J7426" s="8" t="s">
        <v>22273</v>
      </c>
    </row>
    <row r="7427">
      <c r="A7427" s="7">
        <v>2.0058878E7</v>
      </c>
      <c r="B7427" s="8" t="s">
        <v>5585</v>
      </c>
      <c r="C7427" s="8" t="s">
        <v>22274</v>
      </c>
      <c r="D7427" s="8" t="s">
        <v>16</v>
      </c>
      <c r="E7427" s="8" t="s">
        <v>17</v>
      </c>
      <c r="F7427" s="9">
        <v>46170.0</v>
      </c>
      <c r="G7427" s="8" t="s">
        <v>25</v>
      </c>
      <c r="H7427" s="8" t="s">
        <v>26</v>
      </c>
      <c r="I7427" s="8" t="s">
        <v>22275</v>
      </c>
      <c r="J7427" s="8"/>
    </row>
    <row r="7428">
      <c r="A7428" s="7">
        <v>2.0058878E7</v>
      </c>
      <c r="B7428" s="8" t="s">
        <v>5585</v>
      </c>
      <c r="C7428" s="8" t="s">
        <v>22274</v>
      </c>
      <c r="D7428" s="8" t="s">
        <v>16</v>
      </c>
      <c r="E7428" s="8" t="s">
        <v>17</v>
      </c>
      <c r="F7428" s="9">
        <v>46170.0</v>
      </c>
      <c r="G7428" s="8" t="s">
        <v>428</v>
      </c>
      <c r="H7428" s="8" t="s">
        <v>429</v>
      </c>
      <c r="I7428" s="8" t="s">
        <v>22276</v>
      </c>
      <c r="J7428" s="8" t="s">
        <v>22277</v>
      </c>
    </row>
    <row r="7429">
      <c r="A7429" s="7">
        <v>2.0045603E7</v>
      </c>
      <c r="B7429" s="8" t="s">
        <v>5585</v>
      </c>
      <c r="C7429" s="8" t="s">
        <v>22278</v>
      </c>
      <c r="D7429" s="8" t="s">
        <v>16</v>
      </c>
      <c r="E7429" s="8" t="s">
        <v>17</v>
      </c>
      <c r="F7429" s="9">
        <v>46100.0</v>
      </c>
      <c r="G7429" s="8" t="s">
        <v>1085</v>
      </c>
      <c r="H7429" s="8" t="s">
        <v>1086</v>
      </c>
      <c r="I7429" s="8" t="s">
        <v>22279</v>
      </c>
      <c r="J7429" s="8"/>
    </row>
    <row r="7430">
      <c r="A7430" s="7">
        <v>2.0069529E7</v>
      </c>
      <c r="B7430" s="8" t="s">
        <v>5585</v>
      </c>
      <c r="C7430" s="8" t="s">
        <v>22280</v>
      </c>
      <c r="D7430" s="8" t="s">
        <v>2136</v>
      </c>
      <c r="E7430" s="8" t="s">
        <v>17</v>
      </c>
      <c r="F7430" s="9">
        <v>46180.0</v>
      </c>
      <c r="G7430" s="8" t="s">
        <v>339</v>
      </c>
      <c r="H7430" s="8" t="s">
        <v>340</v>
      </c>
      <c r="I7430" s="8" t="s">
        <v>22281</v>
      </c>
      <c r="J7430" s="8" t="s">
        <v>22282</v>
      </c>
    </row>
    <row r="7431">
      <c r="A7431" s="7">
        <v>2.005727E7</v>
      </c>
      <c r="B7431" s="8" t="s">
        <v>5585</v>
      </c>
      <c r="C7431" s="8" t="s">
        <v>22283</v>
      </c>
      <c r="D7431" s="8" t="s">
        <v>16</v>
      </c>
      <c r="E7431" s="8" t="s">
        <v>17</v>
      </c>
      <c r="F7431" s="9">
        <v>46154.0</v>
      </c>
      <c r="G7431" s="8" t="s">
        <v>184</v>
      </c>
      <c r="H7431" s="8" t="s">
        <v>185</v>
      </c>
      <c r="I7431" s="8" t="s">
        <v>22284</v>
      </c>
      <c r="J7431" s="8" t="s">
        <v>22285</v>
      </c>
    </row>
    <row r="7432">
      <c r="A7432" s="7">
        <v>2.0053131E7</v>
      </c>
      <c r="B7432" s="8" t="s">
        <v>5585</v>
      </c>
      <c r="C7432" s="8" t="s">
        <v>22286</v>
      </c>
      <c r="D7432" s="8" t="s">
        <v>16</v>
      </c>
      <c r="E7432" s="8" t="s">
        <v>17</v>
      </c>
      <c r="F7432" s="9">
        <v>46129.0</v>
      </c>
      <c r="G7432" s="8" t="s">
        <v>410</v>
      </c>
      <c r="H7432" s="8" t="s">
        <v>411</v>
      </c>
      <c r="I7432" s="8" t="s">
        <v>22287</v>
      </c>
      <c r="J7432" s="8" t="s">
        <v>22288</v>
      </c>
    </row>
    <row r="7433">
      <c r="A7433" s="7">
        <v>2.0044678E7</v>
      </c>
      <c r="B7433" s="8" t="s">
        <v>5585</v>
      </c>
      <c r="C7433" s="8" t="s">
        <v>22289</v>
      </c>
      <c r="D7433" s="8" t="s">
        <v>16</v>
      </c>
      <c r="E7433" s="8" t="s">
        <v>17</v>
      </c>
      <c r="F7433" s="9">
        <v>46084.0</v>
      </c>
      <c r="G7433" s="8" t="s">
        <v>385</v>
      </c>
      <c r="H7433" s="8" t="s">
        <v>386</v>
      </c>
      <c r="I7433" s="8" t="s">
        <v>22290</v>
      </c>
      <c r="J7433" s="8" t="s">
        <v>22291</v>
      </c>
    </row>
    <row r="7434">
      <c r="A7434" s="7">
        <v>2.004067E7</v>
      </c>
      <c r="B7434" s="8" t="s">
        <v>5585</v>
      </c>
      <c r="C7434" s="8" t="s">
        <v>22292</v>
      </c>
      <c r="D7434" s="8" t="s">
        <v>16</v>
      </c>
      <c r="E7434" s="8" t="s">
        <v>17</v>
      </c>
      <c r="F7434" s="9">
        <v>46068.0</v>
      </c>
      <c r="G7434" s="8" t="s">
        <v>385</v>
      </c>
      <c r="H7434" s="8" t="s">
        <v>386</v>
      </c>
      <c r="I7434" s="8" t="s">
        <v>22293</v>
      </c>
      <c r="J7434" s="8" t="s">
        <v>22294</v>
      </c>
    </row>
    <row r="7435">
      <c r="A7435" s="7">
        <v>2.0034667E7</v>
      </c>
      <c r="B7435" s="8" t="s">
        <v>5585</v>
      </c>
      <c r="C7435" s="8" t="s">
        <v>22295</v>
      </c>
      <c r="D7435" s="8" t="s">
        <v>16</v>
      </c>
      <c r="E7435" s="8" t="s">
        <v>17</v>
      </c>
      <c r="F7435" s="9">
        <v>46062.0</v>
      </c>
      <c r="G7435" s="8" t="s">
        <v>1627</v>
      </c>
      <c r="H7435" s="8" t="s">
        <v>1628</v>
      </c>
      <c r="I7435" s="8" t="s">
        <v>22296</v>
      </c>
      <c r="J7435" s="8" t="s">
        <v>22297</v>
      </c>
    </row>
    <row r="7436">
      <c r="A7436" s="7">
        <v>2.0034847E7</v>
      </c>
      <c r="B7436" s="8" t="s">
        <v>5585</v>
      </c>
      <c r="C7436" s="8" t="s">
        <v>22298</v>
      </c>
      <c r="D7436" s="8" t="s">
        <v>16</v>
      </c>
      <c r="E7436" s="8" t="s">
        <v>17</v>
      </c>
      <c r="F7436" s="9">
        <v>46060.0</v>
      </c>
      <c r="G7436" s="8" t="s">
        <v>171</v>
      </c>
      <c r="H7436" s="8" t="s">
        <v>172</v>
      </c>
      <c r="I7436" s="8" t="s">
        <v>22299</v>
      </c>
      <c r="J7436" s="8" t="s">
        <v>22300</v>
      </c>
    </row>
    <row r="7437">
      <c r="A7437" s="7">
        <v>2.006497E7</v>
      </c>
      <c r="B7437" s="8" t="s">
        <v>5585</v>
      </c>
      <c r="C7437" s="8" t="s">
        <v>22301</v>
      </c>
      <c r="D7437" s="8" t="s">
        <v>16</v>
      </c>
      <c r="E7437" s="8" t="s">
        <v>17</v>
      </c>
      <c r="F7437" s="9">
        <v>46192.0</v>
      </c>
      <c r="G7437" s="8" t="s">
        <v>390</v>
      </c>
      <c r="H7437" s="8" t="s">
        <v>391</v>
      </c>
      <c r="I7437" s="8" t="s">
        <v>22302</v>
      </c>
      <c r="J7437" s="8" t="s">
        <v>22303</v>
      </c>
    </row>
    <row r="7438">
      <c r="A7438" s="7">
        <v>2.0055564E7</v>
      </c>
      <c r="B7438" s="8" t="s">
        <v>5585</v>
      </c>
      <c r="C7438" s="8" t="s">
        <v>22304</v>
      </c>
      <c r="D7438" s="8" t="s">
        <v>16</v>
      </c>
      <c r="E7438" s="8" t="s">
        <v>17</v>
      </c>
      <c r="F7438" s="9">
        <v>46179.0</v>
      </c>
      <c r="G7438" s="8" t="s">
        <v>436</v>
      </c>
      <c r="H7438" s="8" t="s">
        <v>437</v>
      </c>
      <c r="I7438" s="8" t="s">
        <v>22305</v>
      </c>
      <c r="J7438" s="8" t="s">
        <v>22306</v>
      </c>
    </row>
    <row r="7439">
      <c r="A7439" s="7">
        <v>2.0055564E7</v>
      </c>
      <c r="B7439" s="8" t="s">
        <v>5585</v>
      </c>
      <c r="C7439" s="8" t="s">
        <v>22304</v>
      </c>
      <c r="D7439" s="8" t="s">
        <v>16</v>
      </c>
      <c r="E7439" s="8" t="s">
        <v>17</v>
      </c>
      <c r="F7439" s="9">
        <v>46179.0</v>
      </c>
      <c r="G7439" s="8" t="s">
        <v>436</v>
      </c>
      <c r="H7439" s="8" t="s">
        <v>437</v>
      </c>
      <c r="I7439" s="8" t="s">
        <v>22307</v>
      </c>
      <c r="J7439" s="8"/>
    </row>
    <row r="7440">
      <c r="A7440" s="7">
        <v>2.0038972E7</v>
      </c>
      <c r="B7440" s="8" t="s">
        <v>5585</v>
      </c>
      <c r="C7440" s="8" t="s">
        <v>22308</v>
      </c>
      <c r="D7440" s="8" t="s">
        <v>16</v>
      </c>
      <c r="E7440" s="8" t="s">
        <v>17</v>
      </c>
      <c r="F7440" s="9">
        <v>46075.0</v>
      </c>
      <c r="G7440" s="8" t="s">
        <v>1049</v>
      </c>
      <c r="H7440" s="8" t="s">
        <v>1050</v>
      </c>
      <c r="I7440" s="8" t="s">
        <v>22309</v>
      </c>
      <c r="J7440" s="8" t="s">
        <v>22310</v>
      </c>
    </row>
    <row r="7441">
      <c r="A7441" s="7">
        <v>2.0067935E7</v>
      </c>
      <c r="B7441" s="8" t="s">
        <v>5585</v>
      </c>
      <c r="C7441" s="8" t="s">
        <v>22311</v>
      </c>
      <c r="D7441" s="8" t="s">
        <v>2136</v>
      </c>
      <c r="E7441" s="8" t="s">
        <v>17</v>
      </c>
      <c r="F7441" s="9">
        <v>46174.0</v>
      </c>
      <c r="G7441" s="8" t="s">
        <v>75</v>
      </c>
      <c r="H7441" s="8" t="s">
        <v>76</v>
      </c>
      <c r="I7441" s="8" t="s">
        <v>22312</v>
      </c>
      <c r="J7441" s="8" t="s">
        <v>22313</v>
      </c>
    </row>
    <row r="7442">
      <c r="A7442" s="7">
        <v>2.0054553E7</v>
      </c>
      <c r="B7442" s="8" t="s">
        <v>5585</v>
      </c>
      <c r="C7442" s="8" t="s">
        <v>22314</v>
      </c>
      <c r="D7442" s="8" t="s">
        <v>16</v>
      </c>
      <c r="E7442" s="8" t="s">
        <v>17</v>
      </c>
      <c r="F7442" s="9">
        <v>46140.0</v>
      </c>
      <c r="G7442" s="8" t="s">
        <v>184</v>
      </c>
      <c r="H7442" s="8" t="s">
        <v>185</v>
      </c>
      <c r="I7442" s="8" t="s">
        <v>22315</v>
      </c>
      <c r="J7442" s="8" t="s">
        <v>22316</v>
      </c>
    </row>
    <row r="7443">
      <c r="A7443" s="7">
        <v>2.0046261E7</v>
      </c>
      <c r="B7443" s="8" t="s">
        <v>5585</v>
      </c>
      <c r="C7443" s="8" t="s">
        <v>22317</v>
      </c>
      <c r="D7443" s="8" t="s">
        <v>16</v>
      </c>
      <c r="E7443" s="8" t="s">
        <v>17</v>
      </c>
      <c r="F7443" s="9">
        <v>46099.0</v>
      </c>
      <c r="G7443" s="8" t="s">
        <v>11113</v>
      </c>
      <c r="H7443" s="8" t="s">
        <v>11114</v>
      </c>
      <c r="I7443" s="8" t="s">
        <v>22318</v>
      </c>
      <c r="J7443" s="8" t="s">
        <v>22319</v>
      </c>
    </row>
    <row r="7444">
      <c r="A7444" s="7">
        <v>2.0046261E7</v>
      </c>
      <c r="B7444" s="8" t="s">
        <v>5585</v>
      </c>
      <c r="C7444" s="8" t="s">
        <v>22317</v>
      </c>
      <c r="D7444" s="8" t="s">
        <v>16</v>
      </c>
      <c r="E7444" s="8" t="s">
        <v>17</v>
      </c>
      <c r="F7444" s="9">
        <v>46099.0</v>
      </c>
      <c r="G7444" s="8" t="s">
        <v>11113</v>
      </c>
      <c r="H7444" s="8" t="s">
        <v>11114</v>
      </c>
      <c r="I7444" s="8" t="s">
        <v>22320</v>
      </c>
      <c r="J7444" s="8" t="s">
        <v>22319</v>
      </c>
    </row>
    <row r="7445">
      <c r="A7445" s="7">
        <v>2.0039658E7</v>
      </c>
      <c r="B7445" s="8" t="s">
        <v>5585</v>
      </c>
      <c r="C7445" s="8" t="s">
        <v>22321</v>
      </c>
      <c r="D7445" s="8" t="s">
        <v>16</v>
      </c>
      <c r="E7445" s="8" t="s">
        <v>17</v>
      </c>
      <c r="F7445" s="9">
        <v>46077.0</v>
      </c>
      <c r="G7445" s="8" t="s">
        <v>361</v>
      </c>
      <c r="H7445" s="8" t="s">
        <v>362</v>
      </c>
      <c r="I7445" s="8" t="s">
        <v>22322</v>
      </c>
      <c r="J7445" s="8" t="s">
        <v>22323</v>
      </c>
    </row>
    <row r="7446">
      <c r="A7446" s="7">
        <v>2.0034799E7</v>
      </c>
      <c r="B7446" s="8" t="s">
        <v>5585</v>
      </c>
      <c r="C7446" s="8" t="s">
        <v>22324</v>
      </c>
      <c r="D7446" s="8" t="s">
        <v>16</v>
      </c>
      <c r="E7446" s="8" t="s">
        <v>17</v>
      </c>
      <c r="F7446" s="9">
        <v>46059.0</v>
      </c>
      <c r="G7446" s="8" t="s">
        <v>436</v>
      </c>
      <c r="H7446" s="8" t="s">
        <v>437</v>
      </c>
      <c r="I7446" s="8" t="s">
        <v>22325</v>
      </c>
      <c r="J7446" s="8" t="s">
        <v>22326</v>
      </c>
    </row>
    <row r="7447">
      <c r="A7447" s="7">
        <v>2.0052372E7</v>
      </c>
      <c r="B7447" s="8" t="s">
        <v>5585</v>
      </c>
      <c r="C7447" s="8" t="s">
        <v>22327</v>
      </c>
      <c r="D7447" s="8" t="s">
        <v>16</v>
      </c>
      <c r="E7447" s="8" t="s">
        <v>17</v>
      </c>
      <c r="F7447" s="9">
        <v>46108.0</v>
      </c>
      <c r="G7447" s="8" t="s">
        <v>91</v>
      </c>
      <c r="H7447" s="8" t="s">
        <v>92</v>
      </c>
      <c r="I7447" s="8" t="s">
        <v>22328</v>
      </c>
      <c r="J7447" s="8" t="s">
        <v>22329</v>
      </c>
    </row>
    <row r="7448">
      <c r="A7448" s="7">
        <v>2.0048572E7</v>
      </c>
      <c r="B7448" s="8" t="s">
        <v>5585</v>
      </c>
      <c r="C7448" s="8" t="s">
        <v>22330</v>
      </c>
      <c r="D7448" s="8" t="s">
        <v>16</v>
      </c>
      <c r="E7448" s="8" t="s">
        <v>17</v>
      </c>
      <c r="F7448" s="9">
        <v>46108.0</v>
      </c>
      <c r="G7448" s="8" t="s">
        <v>923</v>
      </c>
      <c r="H7448" s="8" t="s">
        <v>71</v>
      </c>
      <c r="I7448" s="8" t="s">
        <v>22331</v>
      </c>
      <c r="J7448" s="8" t="s">
        <v>22332</v>
      </c>
    </row>
    <row r="7449">
      <c r="A7449" s="7">
        <v>2.0047699E7</v>
      </c>
      <c r="B7449" s="8" t="s">
        <v>5585</v>
      </c>
      <c r="C7449" s="8" t="s">
        <v>22333</v>
      </c>
      <c r="D7449" s="8" t="s">
        <v>16</v>
      </c>
      <c r="E7449" s="8" t="s">
        <v>17</v>
      </c>
      <c r="F7449" s="9">
        <v>46113.0</v>
      </c>
      <c r="G7449" s="8" t="s">
        <v>486</v>
      </c>
      <c r="H7449" s="8" t="s">
        <v>487</v>
      </c>
      <c r="I7449" s="8" t="s">
        <v>22334</v>
      </c>
      <c r="J7449" s="8" t="s">
        <v>22335</v>
      </c>
    </row>
    <row r="7450">
      <c r="A7450" s="7">
        <v>2.0043269E7</v>
      </c>
      <c r="B7450" s="8" t="s">
        <v>5585</v>
      </c>
      <c r="C7450" s="8" t="s">
        <v>22336</v>
      </c>
      <c r="D7450" s="8" t="s">
        <v>16</v>
      </c>
      <c r="E7450" s="8" t="s">
        <v>7889</v>
      </c>
      <c r="F7450" s="9">
        <v>46071.0</v>
      </c>
      <c r="G7450" s="8" t="s">
        <v>195</v>
      </c>
      <c r="H7450" s="8" t="s">
        <v>196</v>
      </c>
      <c r="I7450" s="8"/>
      <c r="J7450" s="8" t="s">
        <v>22337</v>
      </c>
    </row>
    <row r="7451">
      <c r="A7451" s="7">
        <v>2.0043269E7</v>
      </c>
      <c r="B7451" s="8" t="s">
        <v>5585</v>
      </c>
      <c r="C7451" s="8" t="s">
        <v>22338</v>
      </c>
      <c r="D7451" s="8" t="s">
        <v>2136</v>
      </c>
      <c r="E7451" s="8" t="s">
        <v>48</v>
      </c>
      <c r="F7451" s="9">
        <v>46071.0</v>
      </c>
      <c r="G7451" s="8" t="s">
        <v>195</v>
      </c>
      <c r="H7451" s="8" t="s">
        <v>196</v>
      </c>
      <c r="I7451" s="8" t="s">
        <v>22339</v>
      </c>
      <c r="J7451" s="8" t="s">
        <v>22337</v>
      </c>
    </row>
    <row r="7452">
      <c r="A7452" s="7">
        <v>2.004092E7</v>
      </c>
      <c r="B7452" s="8" t="s">
        <v>5585</v>
      </c>
      <c r="C7452" s="8" t="s">
        <v>22340</v>
      </c>
      <c r="D7452" s="8" t="s">
        <v>16</v>
      </c>
      <c r="E7452" s="8" t="s">
        <v>17</v>
      </c>
      <c r="F7452" s="9">
        <v>46069.0</v>
      </c>
      <c r="G7452" s="8" t="s">
        <v>1132</v>
      </c>
      <c r="H7452" s="8" t="s">
        <v>1133</v>
      </c>
      <c r="I7452" s="8" t="s">
        <v>22341</v>
      </c>
      <c r="J7452" s="8" t="s">
        <v>22342</v>
      </c>
    </row>
    <row r="7453">
      <c r="A7453" s="7">
        <v>2.0057724E7</v>
      </c>
      <c r="B7453" s="8" t="s">
        <v>5585</v>
      </c>
      <c r="C7453" s="8" t="s">
        <v>22343</v>
      </c>
      <c r="D7453" s="8" t="s">
        <v>16</v>
      </c>
      <c r="E7453" s="8" t="s">
        <v>17</v>
      </c>
      <c r="F7453" s="9">
        <v>46140.0</v>
      </c>
      <c r="G7453" s="8" t="s">
        <v>759</v>
      </c>
      <c r="H7453" s="8" t="s">
        <v>760</v>
      </c>
      <c r="I7453" s="8" t="s">
        <v>22344</v>
      </c>
      <c r="J7453" s="8" t="s">
        <v>22345</v>
      </c>
    </row>
    <row r="7454">
      <c r="A7454" s="7">
        <v>2.0053798E7</v>
      </c>
      <c r="B7454" s="8" t="s">
        <v>5585</v>
      </c>
      <c r="C7454" s="8" t="s">
        <v>22346</v>
      </c>
      <c r="D7454" s="8" t="s">
        <v>16</v>
      </c>
      <c r="E7454" s="8" t="s">
        <v>17</v>
      </c>
      <c r="F7454" s="9">
        <v>46134.0</v>
      </c>
      <c r="G7454" s="8" t="s">
        <v>137</v>
      </c>
      <c r="H7454" s="8" t="s">
        <v>138</v>
      </c>
      <c r="I7454" s="8" t="s">
        <v>22347</v>
      </c>
      <c r="J7454" s="8" t="s">
        <v>22348</v>
      </c>
    </row>
    <row r="7455">
      <c r="A7455" s="7">
        <v>2.0037641E7</v>
      </c>
      <c r="B7455" s="8" t="s">
        <v>5585</v>
      </c>
      <c r="C7455" s="8" t="s">
        <v>22349</v>
      </c>
      <c r="D7455" s="8" t="s">
        <v>16</v>
      </c>
      <c r="E7455" s="8" t="s">
        <v>17</v>
      </c>
      <c r="F7455" s="9">
        <v>46099.0</v>
      </c>
      <c r="G7455" s="8" t="s">
        <v>436</v>
      </c>
      <c r="H7455" s="8" t="s">
        <v>437</v>
      </c>
      <c r="I7455" s="8" t="s">
        <v>22350</v>
      </c>
      <c r="J7455" s="8" t="s">
        <v>22351</v>
      </c>
    </row>
    <row r="7456">
      <c r="A7456" s="7">
        <v>2.0037641E7</v>
      </c>
      <c r="B7456" s="8" t="s">
        <v>5585</v>
      </c>
      <c r="C7456" s="8" t="s">
        <v>22349</v>
      </c>
      <c r="D7456" s="8" t="s">
        <v>16</v>
      </c>
      <c r="E7456" s="8" t="s">
        <v>17</v>
      </c>
      <c r="F7456" s="9">
        <v>46099.0</v>
      </c>
      <c r="G7456" s="8" t="s">
        <v>436</v>
      </c>
      <c r="H7456" s="8" t="s">
        <v>437</v>
      </c>
      <c r="I7456" s="8" t="s">
        <v>22352</v>
      </c>
      <c r="J7456" s="8" t="s">
        <v>22351</v>
      </c>
    </row>
    <row r="7457">
      <c r="A7457" s="7">
        <v>2.0036998E7</v>
      </c>
      <c r="B7457" s="8" t="s">
        <v>5585</v>
      </c>
      <c r="C7457" s="8" t="s">
        <v>22353</v>
      </c>
      <c r="D7457" s="8" t="s">
        <v>16</v>
      </c>
      <c r="E7457" s="8" t="s">
        <v>17</v>
      </c>
      <c r="F7457" s="9">
        <v>46067.0</v>
      </c>
      <c r="G7457" s="8" t="s">
        <v>234</v>
      </c>
      <c r="H7457" s="8" t="s">
        <v>235</v>
      </c>
      <c r="I7457" s="8" t="s">
        <v>22354</v>
      </c>
      <c r="J7457" s="8" t="s">
        <v>22355</v>
      </c>
    </row>
    <row r="7458">
      <c r="A7458" s="7">
        <v>2.0067629E7</v>
      </c>
      <c r="B7458" s="8" t="s">
        <v>5585</v>
      </c>
      <c r="C7458" s="8" t="s">
        <v>22356</v>
      </c>
      <c r="D7458" s="8" t="s">
        <v>16</v>
      </c>
      <c r="E7458" s="8" t="s">
        <v>17</v>
      </c>
      <c r="F7458" s="9">
        <v>46172.0</v>
      </c>
      <c r="G7458" s="8" t="s">
        <v>91</v>
      </c>
      <c r="H7458" s="8" t="s">
        <v>92</v>
      </c>
      <c r="I7458" s="8" t="s">
        <v>22357</v>
      </c>
      <c r="J7458" s="8" t="s">
        <v>22358</v>
      </c>
    </row>
    <row r="7459">
      <c r="A7459" s="7">
        <v>2.0053691E7</v>
      </c>
      <c r="B7459" s="8" t="s">
        <v>5585</v>
      </c>
      <c r="C7459" s="8" t="s">
        <v>22359</v>
      </c>
      <c r="D7459" s="8" t="s">
        <v>16</v>
      </c>
      <c r="E7459" s="8" t="s">
        <v>17</v>
      </c>
      <c r="F7459" s="9">
        <v>46113.0</v>
      </c>
      <c r="G7459" s="8" t="s">
        <v>339</v>
      </c>
      <c r="H7459" s="8" t="s">
        <v>340</v>
      </c>
      <c r="I7459" s="8" t="s">
        <v>22360</v>
      </c>
      <c r="J7459" s="8" t="s">
        <v>22361</v>
      </c>
    </row>
    <row r="7460">
      <c r="A7460" s="7">
        <v>2.0049168E7</v>
      </c>
      <c r="B7460" s="8" t="s">
        <v>5585</v>
      </c>
      <c r="C7460" s="8" t="s">
        <v>22362</v>
      </c>
      <c r="D7460" s="8" t="s">
        <v>16</v>
      </c>
      <c r="E7460" s="8" t="s">
        <v>17</v>
      </c>
      <c r="F7460" s="9">
        <v>46107.0</v>
      </c>
      <c r="G7460" s="8" t="s">
        <v>3572</v>
      </c>
      <c r="H7460" s="8" t="s">
        <v>3573</v>
      </c>
      <c r="I7460" s="8" t="s">
        <v>22363</v>
      </c>
      <c r="J7460" s="8" t="s">
        <v>22364</v>
      </c>
    </row>
    <row r="7461">
      <c r="A7461" s="7">
        <v>2.0042842E7</v>
      </c>
      <c r="B7461" s="8" t="s">
        <v>5585</v>
      </c>
      <c r="C7461" s="8" t="s">
        <v>22365</v>
      </c>
      <c r="D7461" s="8" t="s">
        <v>16</v>
      </c>
      <c r="E7461" s="8" t="s">
        <v>17</v>
      </c>
      <c r="F7461" s="9">
        <v>46080.0</v>
      </c>
      <c r="G7461" s="8" t="s">
        <v>3012</v>
      </c>
      <c r="H7461" s="8" t="s">
        <v>3013</v>
      </c>
      <c r="I7461" s="8" t="s">
        <v>22366</v>
      </c>
      <c r="J7461" s="8" t="s">
        <v>22367</v>
      </c>
    </row>
    <row r="7462">
      <c r="A7462" s="7">
        <v>2.0064238E7</v>
      </c>
      <c r="B7462" s="8" t="s">
        <v>5585</v>
      </c>
      <c r="C7462" s="8" t="s">
        <v>22368</v>
      </c>
      <c r="D7462" s="8" t="s">
        <v>16</v>
      </c>
      <c r="E7462" s="8" t="s">
        <v>69</v>
      </c>
      <c r="F7462" s="9">
        <v>46158.0</v>
      </c>
      <c r="G7462" s="8" t="s">
        <v>184</v>
      </c>
      <c r="H7462" s="8" t="s">
        <v>185</v>
      </c>
      <c r="I7462" s="8"/>
      <c r="J7462" s="8" t="s">
        <v>22369</v>
      </c>
    </row>
    <row r="7463">
      <c r="A7463" s="7">
        <v>2.0063163E7</v>
      </c>
      <c r="B7463" s="8" t="s">
        <v>5585</v>
      </c>
      <c r="C7463" s="8" t="s">
        <v>22370</v>
      </c>
      <c r="D7463" s="8" t="s">
        <v>16</v>
      </c>
      <c r="E7463" s="8" t="s">
        <v>17</v>
      </c>
      <c r="F7463" s="9">
        <v>46190.0</v>
      </c>
      <c r="G7463" s="8" t="s">
        <v>2479</v>
      </c>
      <c r="H7463" s="8" t="s">
        <v>2480</v>
      </c>
      <c r="I7463" s="8" t="s">
        <v>22371</v>
      </c>
      <c r="J7463" s="8" t="s">
        <v>22372</v>
      </c>
    </row>
    <row r="7464">
      <c r="A7464" s="7">
        <v>2.0050971E7</v>
      </c>
      <c r="B7464" s="8" t="s">
        <v>5585</v>
      </c>
      <c r="C7464" s="8" t="s">
        <v>22373</v>
      </c>
      <c r="D7464" s="8" t="s">
        <v>16</v>
      </c>
      <c r="E7464" s="8" t="s">
        <v>17</v>
      </c>
      <c r="F7464" s="9">
        <v>46122.0</v>
      </c>
      <c r="G7464" s="8" t="s">
        <v>12775</v>
      </c>
      <c r="H7464" s="8" t="s">
        <v>12776</v>
      </c>
      <c r="I7464" s="8" t="s">
        <v>22374</v>
      </c>
      <c r="J7464" s="8"/>
    </row>
    <row r="7465">
      <c r="A7465" s="7">
        <v>2.0050354E7</v>
      </c>
      <c r="B7465" s="8" t="s">
        <v>5585</v>
      </c>
      <c r="C7465" s="8" t="s">
        <v>22375</v>
      </c>
      <c r="D7465" s="8" t="s">
        <v>16</v>
      </c>
      <c r="E7465" s="8" t="s">
        <v>17</v>
      </c>
      <c r="F7465" s="9">
        <v>46124.0</v>
      </c>
      <c r="G7465" s="8" t="s">
        <v>390</v>
      </c>
      <c r="H7465" s="8" t="s">
        <v>391</v>
      </c>
      <c r="I7465" s="8" t="s">
        <v>22376</v>
      </c>
      <c r="J7465" s="8"/>
    </row>
    <row r="7466">
      <c r="A7466" s="7">
        <v>2.0066263E7</v>
      </c>
      <c r="B7466" s="8" t="s">
        <v>5585</v>
      </c>
      <c r="C7466" s="8" t="s">
        <v>22377</v>
      </c>
      <c r="D7466" s="8" t="s">
        <v>16</v>
      </c>
      <c r="E7466" s="8" t="s">
        <v>17</v>
      </c>
      <c r="F7466" s="9">
        <v>46178.0</v>
      </c>
      <c r="G7466" s="8" t="s">
        <v>282</v>
      </c>
      <c r="H7466" s="8" t="s">
        <v>3005</v>
      </c>
      <c r="I7466" s="8" t="s">
        <v>22378</v>
      </c>
      <c r="J7466" s="8" t="s">
        <v>22379</v>
      </c>
    </row>
    <row r="7467">
      <c r="A7467" s="7">
        <v>2.0051475E7</v>
      </c>
      <c r="B7467" s="8" t="s">
        <v>5585</v>
      </c>
      <c r="C7467" s="8" t="s">
        <v>22380</v>
      </c>
      <c r="D7467" s="8" t="s">
        <v>16</v>
      </c>
      <c r="E7467" s="8" t="s">
        <v>17</v>
      </c>
      <c r="F7467" s="9">
        <v>46134.0</v>
      </c>
      <c r="G7467" s="8" t="s">
        <v>314</v>
      </c>
      <c r="H7467" s="8" t="s">
        <v>315</v>
      </c>
      <c r="I7467" s="8" t="s">
        <v>22381</v>
      </c>
      <c r="J7467" s="8" t="s">
        <v>22382</v>
      </c>
    </row>
    <row r="7468">
      <c r="A7468" s="7">
        <v>2.0051475E7</v>
      </c>
      <c r="B7468" s="8" t="s">
        <v>5585</v>
      </c>
      <c r="C7468" s="8" t="s">
        <v>22380</v>
      </c>
      <c r="D7468" s="8" t="s">
        <v>16</v>
      </c>
      <c r="E7468" s="8" t="s">
        <v>17</v>
      </c>
      <c r="F7468" s="9">
        <v>46134.0</v>
      </c>
      <c r="G7468" s="8" t="s">
        <v>282</v>
      </c>
      <c r="H7468" s="8" t="s">
        <v>3005</v>
      </c>
      <c r="I7468" s="8" t="s">
        <v>22383</v>
      </c>
      <c r="J7468" s="8" t="s">
        <v>22384</v>
      </c>
    </row>
    <row r="7469">
      <c r="A7469" s="7">
        <v>2.0051475E7</v>
      </c>
      <c r="B7469" s="8" t="s">
        <v>5585</v>
      </c>
      <c r="C7469" s="8" t="s">
        <v>22380</v>
      </c>
      <c r="D7469" s="8" t="s">
        <v>16</v>
      </c>
      <c r="E7469" s="8" t="s">
        <v>17</v>
      </c>
      <c r="F7469" s="9">
        <v>46134.0</v>
      </c>
      <c r="G7469" s="8" t="s">
        <v>3008</v>
      </c>
      <c r="H7469" s="8" t="s">
        <v>3009</v>
      </c>
      <c r="I7469" s="8" t="s">
        <v>22385</v>
      </c>
      <c r="J7469" s="8"/>
    </row>
    <row r="7470">
      <c r="A7470" s="7">
        <v>2.0051488E7</v>
      </c>
      <c r="B7470" s="8" t="s">
        <v>5585</v>
      </c>
      <c r="C7470" s="8" t="s">
        <v>22386</v>
      </c>
      <c r="D7470" s="8" t="s">
        <v>16</v>
      </c>
      <c r="E7470" s="8" t="s">
        <v>17</v>
      </c>
      <c r="F7470" s="9">
        <v>46121.0</v>
      </c>
      <c r="G7470" s="8" t="s">
        <v>1049</v>
      </c>
      <c r="H7470" s="8" t="s">
        <v>1050</v>
      </c>
      <c r="I7470" s="8" t="s">
        <v>22387</v>
      </c>
      <c r="J7470" s="8" t="s">
        <v>22388</v>
      </c>
    </row>
    <row r="7471">
      <c r="A7471" s="7">
        <v>2.0069403E7</v>
      </c>
      <c r="B7471" s="8" t="s">
        <v>5585</v>
      </c>
      <c r="C7471" s="8" t="s">
        <v>22389</v>
      </c>
      <c r="D7471" s="8" t="s">
        <v>2136</v>
      </c>
      <c r="E7471" s="8" t="s">
        <v>17</v>
      </c>
      <c r="F7471" s="9">
        <v>46179.0</v>
      </c>
      <c r="G7471" s="8" t="s">
        <v>3207</v>
      </c>
      <c r="H7471" s="8" t="s">
        <v>3208</v>
      </c>
      <c r="I7471" s="8" t="s">
        <v>22390</v>
      </c>
      <c r="J7471" s="8" t="s">
        <v>22391</v>
      </c>
    </row>
    <row r="7472">
      <c r="A7472" s="7">
        <v>2.0063945E7</v>
      </c>
      <c r="B7472" s="8" t="s">
        <v>5585</v>
      </c>
      <c r="C7472" s="8" t="s">
        <v>22392</v>
      </c>
      <c r="D7472" s="8" t="s">
        <v>16</v>
      </c>
      <c r="E7472" s="8" t="s">
        <v>17</v>
      </c>
      <c r="F7472" s="9">
        <v>46189.0</v>
      </c>
      <c r="G7472" s="8" t="s">
        <v>148</v>
      </c>
      <c r="H7472" s="8" t="s">
        <v>149</v>
      </c>
      <c r="I7472" s="8" t="s">
        <v>22393</v>
      </c>
      <c r="J7472" s="8" t="s">
        <v>22394</v>
      </c>
    </row>
    <row r="7473">
      <c r="A7473" s="7">
        <v>2.0061903E7</v>
      </c>
      <c r="B7473" s="8" t="s">
        <v>5585</v>
      </c>
      <c r="C7473" s="8" t="s">
        <v>22395</v>
      </c>
      <c r="D7473" s="8" t="s">
        <v>16</v>
      </c>
      <c r="E7473" s="8" t="s">
        <v>17</v>
      </c>
      <c r="F7473" s="9">
        <v>46184.0</v>
      </c>
      <c r="G7473" s="8" t="s">
        <v>543</v>
      </c>
      <c r="H7473" s="8" t="s">
        <v>544</v>
      </c>
      <c r="I7473" s="8" t="s">
        <v>22396</v>
      </c>
      <c r="J7473" s="8" t="s">
        <v>22397</v>
      </c>
    </row>
    <row r="7474">
      <c r="A7474" s="7">
        <v>2.0060793E7</v>
      </c>
      <c r="B7474" s="8" t="s">
        <v>5585</v>
      </c>
      <c r="C7474" s="8" t="s">
        <v>22398</v>
      </c>
      <c r="D7474" s="8" t="s">
        <v>16</v>
      </c>
      <c r="E7474" s="8" t="s">
        <v>17</v>
      </c>
      <c r="F7474" s="9">
        <v>46170.0</v>
      </c>
      <c r="G7474" s="8" t="s">
        <v>153</v>
      </c>
      <c r="H7474" s="8" t="s">
        <v>154</v>
      </c>
      <c r="I7474" s="8" t="s">
        <v>22399</v>
      </c>
      <c r="J7474" s="8" t="s">
        <v>22400</v>
      </c>
    </row>
    <row r="7475">
      <c r="A7475" s="7">
        <v>2.0049143E7</v>
      </c>
      <c r="B7475" s="8" t="s">
        <v>5585</v>
      </c>
      <c r="C7475" s="8" t="s">
        <v>22401</v>
      </c>
      <c r="D7475" s="8" t="s">
        <v>16</v>
      </c>
      <c r="E7475" s="8" t="s">
        <v>17</v>
      </c>
      <c r="F7475" s="9">
        <v>46112.0</v>
      </c>
      <c r="G7475" s="8" t="s">
        <v>10348</v>
      </c>
      <c r="H7475" s="8" t="s">
        <v>10349</v>
      </c>
      <c r="I7475" s="8" t="s">
        <v>22402</v>
      </c>
      <c r="J7475" s="8" t="s">
        <v>22403</v>
      </c>
    </row>
    <row r="7476">
      <c r="A7476" s="7">
        <v>2.0058379E7</v>
      </c>
      <c r="B7476" s="8" t="s">
        <v>5585</v>
      </c>
      <c r="C7476" s="8" t="s">
        <v>22404</v>
      </c>
      <c r="D7476" s="8" t="s">
        <v>16</v>
      </c>
      <c r="E7476" s="8" t="s">
        <v>17</v>
      </c>
      <c r="F7476" s="9">
        <v>46179.0</v>
      </c>
      <c r="G7476" s="8" t="s">
        <v>1049</v>
      </c>
      <c r="H7476" s="8" t="s">
        <v>1050</v>
      </c>
      <c r="I7476" s="8" t="s">
        <v>22405</v>
      </c>
      <c r="J7476" s="8"/>
    </row>
    <row r="7477">
      <c r="A7477" s="7">
        <v>2.0053077E7</v>
      </c>
      <c r="B7477" s="8" t="s">
        <v>5585</v>
      </c>
      <c r="C7477" s="8" t="s">
        <v>22406</v>
      </c>
      <c r="D7477" s="8" t="s">
        <v>16</v>
      </c>
      <c r="E7477" s="8" t="s">
        <v>17</v>
      </c>
      <c r="F7477" s="9">
        <v>46129.0</v>
      </c>
      <c r="G7477" s="8" t="s">
        <v>4523</v>
      </c>
      <c r="H7477" s="8" t="s">
        <v>4524</v>
      </c>
      <c r="I7477" s="8" t="s">
        <v>22407</v>
      </c>
      <c r="J7477" s="8"/>
    </row>
    <row r="7478">
      <c r="A7478" s="7">
        <v>2.0048047E7</v>
      </c>
      <c r="B7478" s="8" t="s">
        <v>5585</v>
      </c>
      <c r="C7478" s="8" t="s">
        <v>22408</v>
      </c>
      <c r="D7478" s="8" t="s">
        <v>16</v>
      </c>
      <c r="E7478" s="8" t="s">
        <v>17</v>
      </c>
      <c r="F7478" s="9">
        <v>46113.0</v>
      </c>
      <c r="G7478" s="8" t="s">
        <v>2479</v>
      </c>
      <c r="H7478" s="8" t="s">
        <v>2480</v>
      </c>
      <c r="I7478" s="8" t="s">
        <v>22372</v>
      </c>
      <c r="J7478" s="8" t="s">
        <v>22409</v>
      </c>
    </row>
    <row r="7479">
      <c r="A7479" s="7">
        <v>2.0060921E7</v>
      </c>
      <c r="B7479" s="8" t="s">
        <v>5585</v>
      </c>
      <c r="C7479" s="8" t="s">
        <v>22410</v>
      </c>
      <c r="D7479" s="8" t="s">
        <v>16</v>
      </c>
      <c r="E7479" s="8" t="s">
        <v>17</v>
      </c>
      <c r="F7479" s="9">
        <v>46184.0</v>
      </c>
      <c r="G7479" s="8" t="s">
        <v>601</v>
      </c>
      <c r="H7479" s="8" t="s">
        <v>602</v>
      </c>
      <c r="I7479" s="8" t="s">
        <v>22411</v>
      </c>
      <c r="J7479" s="8" t="s">
        <v>22412</v>
      </c>
    </row>
    <row r="7480">
      <c r="A7480" s="7">
        <v>2.0037889E7</v>
      </c>
      <c r="B7480" s="8" t="s">
        <v>5585</v>
      </c>
      <c r="C7480" s="8" t="s">
        <v>22413</v>
      </c>
      <c r="D7480" s="8" t="s">
        <v>16</v>
      </c>
      <c r="E7480" s="8" t="s">
        <v>17</v>
      </c>
      <c r="F7480" s="9">
        <v>46067.0</v>
      </c>
      <c r="G7480" s="8" t="s">
        <v>4467</v>
      </c>
      <c r="H7480" s="8" t="s">
        <v>4468</v>
      </c>
      <c r="I7480" s="8" t="s">
        <v>22414</v>
      </c>
      <c r="J7480" s="8" t="s">
        <v>5597</v>
      </c>
    </row>
    <row r="7481">
      <c r="A7481" s="7">
        <v>2.0063917E7</v>
      </c>
      <c r="B7481" s="8" t="s">
        <v>5585</v>
      </c>
      <c r="C7481" s="8" t="s">
        <v>22415</v>
      </c>
      <c r="D7481" s="8" t="s">
        <v>16</v>
      </c>
      <c r="E7481" s="8" t="s">
        <v>17</v>
      </c>
      <c r="F7481" s="9">
        <v>46157.0</v>
      </c>
      <c r="G7481" s="8" t="s">
        <v>91</v>
      </c>
      <c r="H7481" s="8" t="s">
        <v>92</v>
      </c>
      <c r="I7481" s="8" t="s">
        <v>22416</v>
      </c>
      <c r="J7481" s="8" t="s">
        <v>22417</v>
      </c>
    </row>
    <row r="7482">
      <c r="A7482" s="7">
        <v>2.0060266E7</v>
      </c>
      <c r="B7482" s="8" t="s">
        <v>5585</v>
      </c>
      <c r="C7482" s="8" t="s">
        <v>22418</v>
      </c>
      <c r="D7482" s="8" t="s">
        <v>16</v>
      </c>
      <c r="E7482" s="8" t="s">
        <v>17</v>
      </c>
      <c r="F7482" s="9">
        <v>46148.0</v>
      </c>
      <c r="G7482" s="8" t="s">
        <v>882</v>
      </c>
      <c r="H7482" s="8" t="s">
        <v>883</v>
      </c>
      <c r="I7482" s="8" t="s">
        <v>22419</v>
      </c>
      <c r="J7482" s="8" t="s">
        <v>22420</v>
      </c>
    </row>
    <row r="7483">
      <c r="A7483" s="7">
        <v>2.0054501E7</v>
      </c>
      <c r="B7483" s="8" t="s">
        <v>5585</v>
      </c>
      <c r="C7483" s="8" t="s">
        <v>22421</v>
      </c>
      <c r="D7483" s="8" t="s">
        <v>16</v>
      </c>
      <c r="E7483" s="8" t="s">
        <v>17</v>
      </c>
      <c r="F7483" s="9">
        <v>46125.0</v>
      </c>
      <c r="G7483" s="8" t="s">
        <v>3255</v>
      </c>
      <c r="H7483" s="8" t="s">
        <v>3256</v>
      </c>
      <c r="I7483" s="8" t="s">
        <v>22422</v>
      </c>
      <c r="J7483" s="8" t="s">
        <v>22423</v>
      </c>
    </row>
    <row r="7484">
      <c r="A7484" s="7">
        <v>2.0060755E7</v>
      </c>
      <c r="B7484" s="8" t="s">
        <v>5585</v>
      </c>
      <c r="C7484" s="8" t="s">
        <v>22424</v>
      </c>
      <c r="D7484" s="8" t="s">
        <v>16</v>
      </c>
      <c r="E7484" s="8" t="s">
        <v>17</v>
      </c>
      <c r="F7484" s="9">
        <v>46155.0</v>
      </c>
      <c r="G7484" s="8" t="s">
        <v>3012</v>
      </c>
      <c r="H7484" s="8" t="s">
        <v>3013</v>
      </c>
      <c r="I7484" s="8" t="s">
        <v>22425</v>
      </c>
      <c r="J7484" s="8" t="s">
        <v>22426</v>
      </c>
    </row>
    <row r="7485">
      <c r="A7485" s="7">
        <v>2.005065E7</v>
      </c>
      <c r="B7485" s="8" t="s">
        <v>5585</v>
      </c>
      <c r="C7485" s="8" t="s">
        <v>22427</v>
      </c>
      <c r="D7485" s="8" t="s">
        <v>16</v>
      </c>
      <c r="E7485" s="8" t="s">
        <v>17</v>
      </c>
      <c r="F7485" s="9">
        <v>46101.0</v>
      </c>
      <c r="G7485" s="8" t="s">
        <v>91</v>
      </c>
      <c r="H7485" s="8" t="s">
        <v>92</v>
      </c>
      <c r="I7485" s="8" t="s">
        <v>22428</v>
      </c>
      <c r="J7485" s="8" t="s">
        <v>22429</v>
      </c>
    </row>
    <row r="7486">
      <c r="A7486" s="7">
        <v>2.003768E7</v>
      </c>
      <c r="B7486" s="8" t="s">
        <v>5585</v>
      </c>
      <c r="C7486" s="8" t="s">
        <v>22430</v>
      </c>
      <c r="D7486" s="8" t="s">
        <v>16</v>
      </c>
      <c r="E7486" s="8" t="s">
        <v>17</v>
      </c>
      <c r="F7486" s="9">
        <v>46059.0</v>
      </c>
      <c r="G7486" s="8" t="s">
        <v>59</v>
      </c>
      <c r="H7486" s="8" t="s">
        <v>60</v>
      </c>
      <c r="I7486" s="8" t="s">
        <v>22431</v>
      </c>
      <c r="J7486" s="8" t="s">
        <v>22432</v>
      </c>
    </row>
    <row r="7487">
      <c r="A7487" s="7">
        <v>2.0034783E7</v>
      </c>
      <c r="B7487" s="8" t="s">
        <v>5585</v>
      </c>
      <c r="C7487" s="8" t="s">
        <v>22433</v>
      </c>
      <c r="D7487" s="8" t="s">
        <v>16</v>
      </c>
      <c r="E7487" s="8" t="s">
        <v>17</v>
      </c>
      <c r="F7487" s="9">
        <v>46057.0</v>
      </c>
      <c r="G7487" s="8" t="s">
        <v>6467</v>
      </c>
      <c r="H7487" s="8" t="s">
        <v>6468</v>
      </c>
      <c r="I7487" s="8" t="s">
        <v>22434</v>
      </c>
      <c r="J7487" s="8" t="s">
        <v>22435</v>
      </c>
    </row>
    <row r="7488">
      <c r="A7488" s="7">
        <v>2.0055355E7</v>
      </c>
      <c r="B7488" s="8" t="s">
        <v>5585</v>
      </c>
      <c r="C7488" s="8" t="s">
        <v>22436</v>
      </c>
      <c r="D7488" s="8" t="s">
        <v>16</v>
      </c>
      <c r="E7488" s="8" t="s">
        <v>17</v>
      </c>
      <c r="F7488" s="9">
        <v>46130.0</v>
      </c>
      <c r="G7488" s="8" t="s">
        <v>400</v>
      </c>
      <c r="H7488" s="8" t="s">
        <v>2144</v>
      </c>
      <c r="I7488" s="8" t="s">
        <v>22437</v>
      </c>
      <c r="J7488" s="8" t="s">
        <v>22438</v>
      </c>
    </row>
    <row r="7489">
      <c r="A7489" s="7">
        <v>2.0054867E7</v>
      </c>
      <c r="B7489" s="8" t="s">
        <v>5585</v>
      </c>
      <c r="C7489" s="8" t="s">
        <v>22439</v>
      </c>
      <c r="D7489" s="8" t="s">
        <v>16</v>
      </c>
      <c r="E7489" s="8" t="s">
        <v>17</v>
      </c>
      <c r="F7489" s="9">
        <v>46140.0</v>
      </c>
      <c r="G7489" s="8" t="s">
        <v>344</v>
      </c>
      <c r="H7489" s="8" t="s">
        <v>345</v>
      </c>
      <c r="I7489" s="8" t="s">
        <v>22440</v>
      </c>
      <c r="J7489" s="8"/>
    </row>
    <row r="7490">
      <c r="A7490" s="7">
        <v>2.0049536E7</v>
      </c>
      <c r="B7490" s="8" t="s">
        <v>5585</v>
      </c>
      <c r="C7490" s="8" t="s">
        <v>22441</v>
      </c>
      <c r="D7490" s="8" t="s">
        <v>16</v>
      </c>
      <c r="E7490" s="8" t="s">
        <v>17</v>
      </c>
      <c r="F7490" s="9">
        <v>46112.0</v>
      </c>
      <c r="G7490" s="8" t="s">
        <v>158</v>
      </c>
      <c r="H7490" s="8" t="s">
        <v>159</v>
      </c>
      <c r="I7490" s="8" t="s">
        <v>22442</v>
      </c>
      <c r="J7490" s="8" t="s">
        <v>22443</v>
      </c>
    </row>
    <row r="7491">
      <c r="A7491" s="7">
        <v>2.0046619E7</v>
      </c>
      <c r="B7491" s="8" t="s">
        <v>5585</v>
      </c>
      <c r="C7491" s="8" t="s">
        <v>22444</v>
      </c>
      <c r="D7491" s="8" t="s">
        <v>16</v>
      </c>
      <c r="E7491" s="8" t="s">
        <v>17</v>
      </c>
      <c r="F7491" s="9">
        <v>46106.0</v>
      </c>
      <c r="G7491" s="8" t="s">
        <v>361</v>
      </c>
      <c r="H7491" s="8" t="s">
        <v>362</v>
      </c>
      <c r="I7491" s="8" t="s">
        <v>22445</v>
      </c>
      <c r="J7491" s="8" t="s">
        <v>22322</v>
      </c>
    </row>
    <row r="7492">
      <c r="A7492" s="7">
        <v>2.0038678E7</v>
      </c>
      <c r="B7492" s="8" t="s">
        <v>5585</v>
      </c>
      <c r="C7492" s="8" t="s">
        <v>22446</v>
      </c>
      <c r="D7492" s="8" t="s">
        <v>16</v>
      </c>
      <c r="E7492" s="8" t="s">
        <v>17</v>
      </c>
      <c r="F7492" s="9">
        <v>46080.0</v>
      </c>
      <c r="G7492" s="8" t="s">
        <v>1045</v>
      </c>
      <c r="H7492" s="8" t="s">
        <v>909</v>
      </c>
      <c r="I7492" s="8" t="s">
        <v>22447</v>
      </c>
      <c r="J7492" s="8" t="s">
        <v>22448</v>
      </c>
    </row>
    <row r="7493">
      <c r="A7493" s="7">
        <v>2.0067908E7</v>
      </c>
      <c r="B7493" s="8" t="s">
        <v>1034</v>
      </c>
      <c r="C7493" s="8" t="s">
        <v>22449</v>
      </c>
      <c r="D7493" s="8" t="s">
        <v>16</v>
      </c>
      <c r="E7493" s="8" t="s">
        <v>17</v>
      </c>
      <c r="F7493" s="9">
        <v>46180.0</v>
      </c>
      <c r="G7493" s="8" t="s">
        <v>234</v>
      </c>
      <c r="H7493" s="8" t="s">
        <v>235</v>
      </c>
      <c r="I7493" s="8" t="s">
        <v>22450</v>
      </c>
      <c r="J7493" s="8" t="s">
        <v>22451</v>
      </c>
    </row>
    <row r="7494">
      <c r="A7494" s="7">
        <v>2.0067908E7</v>
      </c>
      <c r="B7494" s="8" t="s">
        <v>1034</v>
      </c>
      <c r="C7494" s="8" t="s">
        <v>22449</v>
      </c>
      <c r="D7494" s="8" t="s">
        <v>16</v>
      </c>
      <c r="E7494" s="8" t="s">
        <v>17</v>
      </c>
      <c r="F7494" s="9">
        <v>46180.0</v>
      </c>
      <c r="G7494" s="8" t="s">
        <v>3255</v>
      </c>
      <c r="H7494" s="8" t="s">
        <v>3256</v>
      </c>
      <c r="I7494" s="8" t="s">
        <v>22452</v>
      </c>
      <c r="J7494" s="8" t="s">
        <v>22453</v>
      </c>
    </row>
    <row r="7495">
      <c r="A7495" s="7">
        <v>2.006585E7</v>
      </c>
      <c r="B7495" s="8" t="s">
        <v>1034</v>
      </c>
      <c r="C7495" s="8" t="s">
        <v>22454</v>
      </c>
      <c r="D7495" s="8" t="s">
        <v>16</v>
      </c>
      <c r="E7495" s="8" t="s">
        <v>17</v>
      </c>
      <c r="F7495" s="9">
        <v>46179.0</v>
      </c>
      <c r="G7495" s="8" t="s">
        <v>59</v>
      </c>
      <c r="H7495" s="8" t="s">
        <v>60</v>
      </c>
      <c r="I7495" s="8" t="s">
        <v>22455</v>
      </c>
      <c r="J7495" s="8" t="s">
        <v>22456</v>
      </c>
    </row>
    <row r="7496">
      <c r="A7496" s="7">
        <v>2.005914E7</v>
      </c>
      <c r="B7496" s="8" t="s">
        <v>1034</v>
      </c>
      <c r="C7496" s="8" t="s">
        <v>22457</v>
      </c>
      <c r="D7496" s="8" t="s">
        <v>16</v>
      </c>
      <c r="E7496" s="8" t="s">
        <v>17</v>
      </c>
      <c r="F7496" s="9">
        <v>46183.0</v>
      </c>
      <c r="G7496" s="8" t="s">
        <v>1355</v>
      </c>
      <c r="H7496" s="8" t="s">
        <v>1356</v>
      </c>
      <c r="I7496" s="8" t="s">
        <v>22458</v>
      </c>
      <c r="J7496" s="8" t="s">
        <v>1675</v>
      </c>
    </row>
    <row r="7497">
      <c r="A7497" s="7">
        <v>2.0062914E7</v>
      </c>
      <c r="B7497" s="8" t="s">
        <v>1034</v>
      </c>
      <c r="C7497" s="8" t="s">
        <v>22459</v>
      </c>
      <c r="D7497" s="8" t="s">
        <v>16</v>
      </c>
      <c r="E7497" s="8" t="s">
        <v>17</v>
      </c>
      <c r="F7497" s="9">
        <v>46186.0</v>
      </c>
      <c r="G7497" s="8" t="s">
        <v>573</v>
      </c>
      <c r="H7497" s="8" t="s">
        <v>574</v>
      </c>
      <c r="I7497" s="8" t="s">
        <v>22460</v>
      </c>
      <c r="J7497" s="8" t="s">
        <v>22461</v>
      </c>
    </row>
    <row r="7498">
      <c r="A7498" s="7">
        <v>2.0062223E7</v>
      </c>
      <c r="B7498" s="8" t="s">
        <v>1034</v>
      </c>
      <c r="C7498" s="8" t="s">
        <v>22462</v>
      </c>
      <c r="D7498" s="8" t="s">
        <v>16</v>
      </c>
      <c r="E7498" s="8" t="s">
        <v>17</v>
      </c>
      <c r="F7498" s="9">
        <v>46178.0</v>
      </c>
      <c r="G7498" s="8" t="s">
        <v>390</v>
      </c>
      <c r="H7498" s="8" t="s">
        <v>391</v>
      </c>
      <c r="I7498" s="8" t="s">
        <v>22463</v>
      </c>
      <c r="J7498" s="8" t="s">
        <v>22464</v>
      </c>
    </row>
    <row r="7499">
      <c r="A7499" s="7">
        <v>2.0061943E7</v>
      </c>
      <c r="B7499" s="8" t="s">
        <v>1034</v>
      </c>
      <c r="C7499" s="8" t="s">
        <v>22465</v>
      </c>
      <c r="D7499" s="8" t="s">
        <v>16</v>
      </c>
      <c r="E7499" s="8" t="s">
        <v>17</v>
      </c>
      <c r="F7499" s="9">
        <v>46158.0</v>
      </c>
      <c r="G7499" s="8" t="s">
        <v>59</v>
      </c>
      <c r="H7499" s="8" t="s">
        <v>60</v>
      </c>
      <c r="I7499" s="8" t="s">
        <v>22466</v>
      </c>
      <c r="J7499" s="8" t="s">
        <v>22467</v>
      </c>
    </row>
    <row r="7500">
      <c r="A7500" s="7">
        <v>2.0059285E7</v>
      </c>
      <c r="B7500" s="8" t="s">
        <v>1034</v>
      </c>
      <c r="C7500" s="8" t="s">
        <v>22468</v>
      </c>
      <c r="D7500" s="8" t="s">
        <v>16</v>
      </c>
      <c r="E7500" s="8" t="s">
        <v>17</v>
      </c>
      <c r="F7500" s="9">
        <v>46178.0</v>
      </c>
      <c r="G7500" s="8" t="s">
        <v>1427</v>
      </c>
      <c r="H7500" s="8" t="s">
        <v>1428</v>
      </c>
      <c r="I7500" s="8" t="s">
        <v>22469</v>
      </c>
      <c r="J7500" s="8" t="s">
        <v>22470</v>
      </c>
    </row>
    <row r="7501">
      <c r="A7501" s="7">
        <v>2.0057118E7</v>
      </c>
      <c r="B7501" s="8" t="s">
        <v>1034</v>
      </c>
      <c r="C7501" s="8" t="s">
        <v>22471</v>
      </c>
      <c r="D7501" s="8" t="s">
        <v>16</v>
      </c>
      <c r="E7501" s="8" t="s">
        <v>17</v>
      </c>
      <c r="F7501" s="9">
        <v>46180.0</v>
      </c>
      <c r="G7501" s="8" t="s">
        <v>22472</v>
      </c>
      <c r="H7501" s="8" t="s">
        <v>22473</v>
      </c>
      <c r="I7501" s="8" t="s">
        <v>22474</v>
      </c>
      <c r="J7501" s="8" t="s">
        <v>22475</v>
      </c>
    </row>
    <row r="7502">
      <c r="A7502" s="7">
        <v>2.0056107E7</v>
      </c>
      <c r="B7502" s="8" t="s">
        <v>1034</v>
      </c>
      <c r="C7502" s="8" t="s">
        <v>22476</v>
      </c>
      <c r="D7502" s="8" t="s">
        <v>16</v>
      </c>
      <c r="E7502" s="8" t="s">
        <v>17</v>
      </c>
      <c r="F7502" s="9">
        <v>46145.0</v>
      </c>
      <c r="G7502" s="8" t="s">
        <v>1280</v>
      </c>
      <c r="H7502" s="8" t="s">
        <v>1281</v>
      </c>
      <c r="I7502" s="8" t="s">
        <v>22477</v>
      </c>
      <c r="J7502" s="8" t="s">
        <v>22478</v>
      </c>
    </row>
    <row r="7503">
      <c r="A7503" s="7">
        <v>2.0055255E7</v>
      </c>
      <c r="B7503" s="8" t="s">
        <v>1034</v>
      </c>
      <c r="C7503" s="8" t="s">
        <v>22479</v>
      </c>
      <c r="D7503" s="8" t="s">
        <v>16</v>
      </c>
      <c r="E7503" s="8" t="s">
        <v>17</v>
      </c>
      <c r="F7503" s="9">
        <v>46142.0</v>
      </c>
      <c r="G7503" s="8" t="s">
        <v>688</v>
      </c>
      <c r="H7503" s="8" t="s">
        <v>689</v>
      </c>
      <c r="I7503" s="8" t="s">
        <v>22480</v>
      </c>
      <c r="J7503" s="8" t="s">
        <v>22481</v>
      </c>
    </row>
    <row r="7504">
      <c r="A7504" s="7">
        <v>2.0054686E7</v>
      </c>
      <c r="B7504" s="8" t="s">
        <v>1034</v>
      </c>
      <c r="C7504" s="8" t="s">
        <v>22482</v>
      </c>
      <c r="D7504" s="8" t="s">
        <v>16</v>
      </c>
      <c r="E7504" s="8" t="s">
        <v>17</v>
      </c>
      <c r="F7504" s="9">
        <v>46125.0</v>
      </c>
      <c r="G7504" s="8" t="s">
        <v>1461</v>
      </c>
      <c r="H7504" s="8" t="s">
        <v>1462</v>
      </c>
      <c r="I7504" s="8" t="s">
        <v>22483</v>
      </c>
      <c r="J7504" s="8" t="s">
        <v>22484</v>
      </c>
    </row>
    <row r="7505">
      <c r="A7505" s="7">
        <v>2.0053162E7</v>
      </c>
      <c r="B7505" s="8" t="s">
        <v>1034</v>
      </c>
      <c r="C7505" s="8" t="s">
        <v>22485</v>
      </c>
      <c r="D7505" s="8" t="s">
        <v>16</v>
      </c>
      <c r="E7505" s="8" t="s">
        <v>17</v>
      </c>
      <c r="F7505" s="9">
        <v>46117.0</v>
      </c>
      <c r="G7505" s="8" t="s">
        <v>504</v>
      </c>
      <c r="H7505" s="8" t="s">
        <v>505</v>
      </c>
      <c r="I7505" s="8" t="s">
        <v>22486</v>
      </c>
      <c r="J7505" s="8" t="s">
        <v>22487</v>
      </c>
    </row>
    <row r="7506">
      <c r="A7506" s="7">
        <v>2.0053162E7</v>
      </c>
      <c r="B7506" s="8" t="s">
        <v>1034</v>
      </c>
      <c r="C7506" s="8" t="s">
        <v>22485</v>
      </c>
      <c r="D7506" s="8" t="s">
        <v>16</v>
      </c>
      <c r="E7506" s="8" t="s">
        <v>17</v>
      </c>
      <c r="F7506" s="9">
        <v>46117.0</v>
      </c>
      <c r="G7506" s="8" t="s">
        <v>517</v>
      </c>
      <c r="H7506" s="8" t="s">
        <v>518</v>
      </c>
      <c r="I7506" s="8" t="s">
        <v>22488</v>
      </c>
      <c r="J7506" s="8" t="s">
        <v>22489</v>
      </c>
    </row>
    <row r="7507">
      <c r="A7507" s="7">
        <v>2.0049293E7</v>
      </c>
      <c r="B7507" s="8" t="s">
        <v>1034</v>
      </c>
      <c r="C7507" s="8" t="s">
        <v>22490</v>
      </c>
      <c r="D7507" s="8" t="s">
        <v>16</v>
      </c>
      <c r="E7507" s="8" t="s">
        <v>17</v>
      </c>
      <c r="F7507" s="9">
        <v>46128.0</v>
      </c>
      <c r="G7507" s="8" t="s">
        <v>6072</v>
      </c>
      <c r="H7507" s="8" t="s">
        <v>6073</v>
      </c>
      <c r="I7507" s="8" t="s">
        <v>22491</v>
      </c>
      <c r="J7507" s="8" t="s">
        <v>22492</v>
      </c>
    </row>
    <row r="7508">
      <c r="A7508" s="7">
        <v>2.0050698E7</v>
      </c>
      <c r="B7508" s="8" t="s">
        <v>1034</v>
      </c>
      <c r="C7508" s="8" t="s">
        <v>22493</v>
      </c>
      <c r="D7508" s="8" t="s">
        <v>16</v>
      </c>
      <c r="E7508" s="8" t="s">
        <v>17</v>
      </c>
      <c r="F7508" s="9">
        <v>46126.0</v>
      </c>
      <c r="G7508" s="8" t="s">
        <v>7416</v>
      </c>
      <c r="H7508" s="8" t="s">
        <v>7417</v>
      </c>
      <c r="I7508" s="8" t="s">
        <v>22494</v>
      </c>
      <c r="J7508" s="8" t="s">
        <v>22495</v>
      </c>
    </row>
    <row r="7509">
      <c r="A7509" s="7">
        <v>2.0048176E7</v>
      </c>
      <c r="B7509" s="8" t="s">
        <v>1034</v>
      </c>
      <c r="C7509" s="8" t="s">
        <v>22496</v>
      </c>
      <c r="D7509" s="8" t="s">
        <v>16</v>
      </c>
      <c r="E7509" s="8" t="s">
        <v>17</v>
      </c>
      <c r="F7509" s="9">
        <v>46119.0</v>
      </c>
      <c r="G7509" s="8" t="s">
        <v>1557</v>
      </c>
      <c r="H7509" s="8" t="s">
        <v>1558</v>
      </c>
      <c r="I7509" s="8" t="s">
        <v>22497</v>
      </c>
      <c r="J7509" s="8" t="s">
        <v>22498</v>
      </c>
    </row>
    <row r="7510">
      <c r="A7510" s="7">
        <v>2.0045541E7</v>
      </c>
      <c r="B7510" s="8" t="s">
        <v>1034</v>
      </c>
      <c r="C7510" s="8" t="s">
        <v>22499</v>
      </c>
      <c r="D7510" s="8" t="s">
        <v>16</v>
      </c>
      <c r="E7510" s="8" t="s">
        <v>17</v>
      </c>
      <c r="F7510" s="9">
        <v>46112.0</v>
      </c>
      <c r="G7510" s="8" t="s">
        <v>923</v>
      </c>
      <c r="H7510" s="8" t="s">
        <v>71</v>
      </c>
      <c r="I7510" s="8" t="s">
        <v>22500</v>
      </c>
      <c r="J7510" s="8" t="s">
        <v>22501</v>
      </c>
    </row>
    <row r="7511">
      <c r="A7511" s="7">
        <v>2.0045541E7</v>
      </c>
      <c r="B7511" s="8" t="s">
        <v>1034</v>
      </c>
      <c r="C7511" s="8" t="s">
        <v>22499</v>
      </c>
      <c r="D7511" s="8" t="s">
        <v>16</v>
      </c>
      <c r="E7511" s="8" t="s">
        <v>17</v>
      </c>
      <c r="F7511" s="9">
        <v>46112.0</v>
      </c>
      <c r="G7511" s="8" t="s">
        <v>3093</v>
      </c>
      <c r="H7511" s="8" t="s">
        <v>3094</v>
      </c>
      <c r="I7511" s="8" t="s">
        <v>22502</v>
      </c>
      <c r="J7511" s="8" t="s">
        <v>22503</v>
      </c>
    </row>
    <row r="7512">
      <c r="A7512" s="7">
        <v>2.0037657E7</v>
      </c>
      <c r="B7512" s="8" t="s">
        <v>1034</v>
      </c>
      <c r="C7512" s="8" t="s">
        <v>22504</v>
      </c>
      <c r="D7512" s="8" t="s">
        <v>16</v>
      </c>
      <c r="E7512" s="8" t="s">
        <v>17</v>
      </c>
      <c r="F7512" s="9">
        <v>46064.0</v>
      </c>
      <c r="G7512" s="8" t="s">
        <v>378</v>
      </c>
      <c r="H7512" s="8" t="s">
        <v>379</v>
      </c>
      <c r="I7512" s="8" t="s">
        <v>22505</v>
      </c>
      <c r="J7512" s="8" t="s">
        <v>22506</v>
      </c>
    </row>
    <row r="7513">
      <c r="A7513" s="7">
        <v>2.0037551E7</v>
      </c>
      <c r="B7513" s="8" t="s">
        <v>1034</v>
      </c>
      <c r="C7513" s="8" t="s">
        <v>22507</v>
      </c>
      <c r="D7513" s="8" t="s">
        <v>16</v>
      </c>
      <c r="E7513" s="8" t="s">
        <v>17</v>
      </c>
      <c r="F7513" s="9">
        <v>46064.0</v>
      </c>
      <c r="G7513" s="8" t="s">
        <v>436</v>
      </c>
      <c r="H7513" s="8" t="s">
        <v>437</v>
      </c>
      <c r="I7513" s="8" t="s">
        <v>22508</v>
      </c>
      <c r="J7513" s="8" t="s">
        <v>22509</v>
      </c>
    </row>
    <row r="7514">
      <c r="A7514" s="7">
        <v>2.003405E7</v>
      </c>
      <c r="B7514" s="8" t="s">
        <v>1034</v>
      </c>
      <c r="C7514" s="8" t="s">
        <v>22510</v>
      </c>
      <c r="D7514" s="8" t="s">
        <v>16</v>
      </c>
      <c r="E7514" s="8" t="s">
        <v>17</v>
      </c>
      <c r="F7514" s="9">
        <v>46046.0</v>
      </c>
      <c r="G7514" s="8" t="s">
        <v>339</v>
      </c>
      <c r="H7514" s="8" t="s">
        <v>340</v>
      </c>
      <c r="I7514" s="8" t="s">
        <v>22511</v>
      </c>
      <c r="J7514" s="8" t="s">
        <v>22512</v>
      </c>
    </row>
    <row r="7515">
      <c r="A7515" s="7">
        <v>2.0036109E7</v>
      </c>
      <c r="B7515" s="8" t="s">
        <v>1034</v>
      </c>
      <c r="C7515" s="8" t="s">
        <v>22513</v>
      </c>
      <c r="D7515" s="8" t="s">
        <v>16</v>
      </c>
      <c r="E7515" s="8" t="s">
        <v>17</v>
      </c>
      <c r="F7515" s="9">
        <v>46060.0</v>
      </c>
      <c r="G7515" s="8" t="s">
        <v>234</v>
      </c>
      <c r="H7515" s="8" t="s">
        <v>235</v>
      </c>
      <c r="I7515" s="8" t="s">
        <v>22514</v>
      </c>
      <c r="J7515" s="8" t="s">
        <v>22515</v>
      </c>
    </row>
    <row r="7516">
      <c r="A7516" s="7">
        <v>2.0036088E7</v>
      </c>
      <c r="B7516" s="8" t="s">
        <v>1034</v>
      </c>
      <c r="C7516" s="8" t="s">
        <v>22516</v>
      </c>
      <c r="D7516" s="8" t="s">
        <v>16</v>
      </c>
      <c r="E7516" s="8" t="s">
        <v>17</v>
      </c>
      <c r="F7516" s="9">
        <v>46059.0</v>
      </c>
      <c r="G7516" s="8" t="s">
        <v>759</v>
      </c>
      <c r="H7516" s="8" t="s">
        <v>760</v>
      </c>
      <c r="I7516" s="8" t="s">
        <v>22517</v>
      </c>
      <c r="J7516" s="8" t="s">
        <v>22518</v>
      </c>
    </row>
    <row r="7517">
      <c r="A7517" s="7">
        <v>2.0035537E7</v>
      </c>
      <c r="B7517" s="8" t="s">
        <v>1034</v>
      </c>
      <c r="C7517" s="8" t="s">
        <v>22519</v>
      </c>
      <c r="D7517" s="8" t="s">
        <v>16</v>
      </c>
      <c r="E7517" s="8" t="s">
        <v>17</v>
      </c>
      <c r="F7517" s="9">
        <v>46053.0</v>
      </c>
      <c r="G7517" s="8" t="s">
        <v>365</v>
      </c>
      <c r="H7517" s="8" t="s">
        <v>366</v>
      </c>
      <c r="I7517" s="8" t="s">
        <v>22520</v>
      </c>
      <c r="J7517" s="8" t="s">
        <v>22521</v>
      </c>
    </row>
    <row r="7518">
      <c r="A7518" s="7">
        <v>2.0034857E7</v>
      </c>
      <c r="B7518" s="8" t="s">
        <v>1034</v>
      </c>
      <c r="C7518" s="8" t="s">
        <v>22522</v>
      </c>
      <c r="D7518" s="8" t="s">
        <v>16</v>
      </c>
      <c r="E7518" s="8" t="s">
        <v>17</v>
      </c>
      <c r="F7518" s="9">
        <v>46053.0</v>
      </c>
      <c r="G7518" s="8" t="s">
        <v>365</v>
      </c>
      <c r="H7518" s="8" t="s">
        <v>366</v>
      </c>
      <c r="I7518" s="8" t="s">
        <v>22523</v>
      </c>
      <c r="J7518" s="8" t="s">
        <v>22524</v>
      </c>
    </row>
    <row r="7519">
      <c r="A7519" s="7">
        <v>2.0034258E7</v>
      </c>
      <c r="B7519" s="8" t="s">
        <v>1034</v>
      </c>
      <c r="C7519" s="8" t="s">
        <v>22525</v>
      </c>
      <c r="D7519" s="8" t="s">
        <v>16</v>
      </c>
      <c r="E7519" s="8" t="s">
        <v>17</v>
      </c>
      <c r="F7519" s="9">
        <v>46042.0</v>
      </c>
      <c r="G7519" s="8" t="s">
        <v>247</v>
      </c>
      <c r="H7519" s="8" t="s">
        <v>248</v>
      </c>
      <c r="I7519" s="8" t="s">
        <v>22526</v>
      </c>
      <c r="J7519" s="8" t="s">
        <v>22527</v>
      </c>
    </row>
    <row r="7520">
      <c r="A7520" s="7">
        <v>2.0033591E7</v>
      </c>
      <c r="B7520" s="8" t="s">
        <v>1034</v>
      </c>
      <c r="C7520" s="8" t="s">
        <v>22528</v>
      </c>
      <c r="D7520" s="8" t="s">
        <v>16</v>
      </c>
      <c r="E7520" s="8" t="s">
        <v>17</v>
      </c>
      <c r="F7520" s="9">
        <v>46056.0</v>
      </c>
      <c r="G7520" s="8" t="s">
        <v>721</v>
      </c>
      <c r="H7520" s="8" t="s">
        <v>722</v>
      </c>
      <c r="I7520" s="8" t="s">
        <v>22529</v>
      </c>
      <c r="J7520" s="8" t="s">
        <v>22530</v>
      </c>
    </row>
    <row r="7521">
      <c r="A7521" s="7">
        <v>2.0033591E7</v>
      </c>
      <c r="B7521" s="8" t="s">
        <v>1034</v>
      </c>
      <c r="C7521" s="8" t="s">
        <v>22528</v>
      </c>
      <c r="D7521" s="8" t="s">
        <v>16</v>
      </c>
      <c r="E7521" s="8" t="s">
        <v>17</v>
      </c>
      <c r="F7521" s="9">
        <v>46056.0</v>
      </c>
      <c r="G7521" s="8" t="s">
        <v>22531</v>
      </c>
      <c r="H7521" s="8" t="s">
        <v>22532</v>
      </c>
      <c r="I7521" s="8" t="s">
        <v>22533</v>
      </c>
      <c r="J7521" s="8" t="s">
        <v>22534</v>
      </c>
    </row>
    <row r="7522">
      <c r="A7522" s="7">
        <v>2.0069979E7</v>
      </c>
      <c r="B7522" s="8" t="s">
        <v>1034</v>
      </c>
      <c r="C7522" s="8" t="s">
        <v>22535</v>
      </c>
      <c r="D7522" s="8" t="s">
        <v>16</v>
      </c>
      <c r="E7522" s="8" t="s">
        <v>17</v>
      </c>
      <c r="F7522" s="9">
        <v>46187.0</v>
      </c>
      <c r="G7522" s="8" t="s">
        <v>365</v>
      </c>
      <c r="H7522" s="8" t="s">
        <v>366</v>
      </c>
      <c r="I7522" s="8" t="s">
        <v>22536</v>
      </c>
      <c r="J7522" s="8" t="s">
        <v>22537</v>
      </c>
    </row>
    <row r="7523">
      <c r="A7523" s="7">
        <v>2.0069952E7</v>
      </c>
      <c r="B7523" s="8" t="s">
        <v>1034</v>
      </c>
      <c r="C7523" s="8" t="s">
        <v>22538</v>
      </c>
      <c r="D7523" s="8" t="s">
        <v>16</v>
      </c>
      <c r="E7523" s="8" t="s">
        <v>17</v>
      </c>
      <c r="F7523" s="9">
        <v>46186.0</v>
      </c>
      <c r="G7523" s="8" t="s">
        <v>59</v>
      </c>
      <c r="H7523" s="8" t="s">
        <v>60</v>
      </c>
      <c r="I7523" s="8" t="s">
        <v>22539</v>
      </c>
      <c r="J7523" s="8" t="s">
        <v>22540</v>
      </c>
    </row>
    <row r="7524">
      <c r="A7524" s="7">
        <v>2.0065019E7</v>
      </c>
      <c r="B7524" s="8" t="s">
        <v>1034</v>
      </c>
      <c r="C7524" s="8" t="s">
        <v>22541</v>
      </c>
      <c r="D7524" s="8" t="s">
        <v>16</v>
      </c>
      <c r="E7524" s="8" t="s">
        <v>17</v>
      </c>
      <c r="F7524" s="9">
        <v>46169.0</v>
      </c>
      <c r="G7524" s="8" t="s">
        <v>12390</v>
      </c>
      <c r="H7524" s="8" t="s">
        <v>12391</v>
      </c>
      <c r="I7524" s="8" t="s">
        <v>22542</v>
      </c>
      <c r="J7524" s="8" t="s">
        <v>22543</v>
      </c>
    </row>
    <row r="7525">
      <c r="A7525" s="7">
        <v>2.0065325E7</v>
      </c>
      <c r="B7525" s="8" t="s">
        <v>1034</v>
      </c>
      <c r="C7525" s="8" t="s">
        <v>22544</v>
      </c>
      <c r="D7525" s="8" t="s">
        <v>16</v>
      </c>
      <c r="E7525" s="8" t="s">
        <v>17</v>
      </c>
      <c r="F7525" s="9">
        <v>46167.0</v>
      </c>
      <c r="G7525" s="8" t="s">
        <v>3012</v>
      </c>
      <c r="H7525" s="8" t="s">
        <v>3013</v>
      </c>
      <c r="I7525" s="8" t="s">
        <v>22545</v>
      </c>
      <c r="J7525" s="8" t="s">
        <v>22546</v>
      </c>
    </row>
    <row r="7526">
      <c r="A7526" s="7">
        <v>2.0059815E7</v>
      </c>
      <c r="B7526" s="8" t="s">
        <v>1034</v>
      </c>
      <c r="C7526" s="8" t="s">
        <v>22547</v>
      </c>
      <c r="D7526" s="8" t="s">
        <v>16</v>
      </c>
      <c r="E7526" s="8" t="s">
        <v>17</v>
      </c>
      <c r="F7526" s="9">
        <v>46189.0</v>
      </c>
      <c r="G7526" s="8" t="s">
        <v>184</v>
      </c>
      <c r="H7526" s="8" t="s">
        <v>185</v>
      </c>
      <c r="I7526" s="8" t="s">
        <v>22548</v>
      </c>
      <c r="J7526" s="8" t="s">
        <v>22549</v>
      </c>
    </row>
    <row r="7527">
      <c r="A7527" s="7">
        <v>2.0062842E7</v>
      </c>
      <c r="B7527" s="8" t="s">
        <v>1034</v>
      </c>
      <c r="C7527" s="8" t="s">
        <v>22550</v>
      </c>
      <c r="D7527" s="8" t="s">
        <v>16</v>
      </c>
      <c r="E7527" s="8" t="s">
        <v>17</v>
      </c>
      <c r="F7527" s="9">
        <v>46160.0</v>
      </c>
      <c r="G7527" s="8" t="s">
        <v>59</v>
      </c>
      <c r="H7527" s="8" t="s">
        <v>60</v>
      </c>
      <c r="I7527" s="8" t="s">
        <v>22551</v>
      </c>
      <c r="J7527" s="8" t="s">
        <v>22552</v>
      </c>
    </row>
    <row r="7528">
      <c r="A7528" s="7">
        <v>2.0062839E7</v>
      </c>
      <c r="B7528" s="8" t="s">
        <v>1034</v>
      </c>
      <c r="C7528" s="8" t="s">
        <v>22553</v>
      </c>
      <c r="D7528" s="8" t="s">
        <v>16</v>
      </c>
      <c r="E7528" s="8" t="s">
        <v>17</v>
      </c>
      <c r="F7528" s="9">
        <v>46189.0</v>
      </c>
      <c r="G7528" s="8" t="s">
        <v>410</v>
      </c>
      <c r="H7528" s="8" t="s">
        <v>411</v>
      </c>
      <c r="I7528" s="8" t="s">
        <v>22554</v>
      </c>
      <c r="J7528" s="8" t="s">
        <v>22555</v>
      </c>
    </row>
    <row r="7529">
      <c r="A7529" s="7">
        <v>2.0062989E7</v>
      </c>
      <c r="B7529" s="8" t="s">
        <v>1034</v>
      </c>
      <c r="C7529" s="8" t="s">
        <v>22556</v>
      </c>
      <c r="D7529" s="8" t="s">
        <v>16</v>
      </c>
      <c r="E7529" s="8" t="s">
        <v>17</v>
      </c>
      <c r="F7529" s="9">
        <v>46158.0</v>
      </c>
      <c r="G7529" s="8" t="s">
        <v>352</v>
      </c>
      <c r="H7529" s="8" t="s">
        <v>353</v>
      </c>
      <c r="I7529" s="8" t="s">
        <v>22557</v>
      </c>
      <c r="J7529" s="8" t="s">
        <v>22558</v>
      </c>
    </row>
    <row r="7530">
      <c r="A7530" s="7">
        <v>2.0060003E7</v>
      </c>
      <c r="B7530" s="8" t="s">
        <v>1034</v>
      </c>
      <c r="C7530" s="8" t="s">
        <v>22559</v>
      </c>
      <c r="D7530" s="8" t="s">
        <v>16</v>
      </c>
      <c r="E7530" s="8" t="s">
        <v>17</v>
      </c>
      <c r="F7530" s="9">
        <v>46145.0</v>
      </c>
      <c r="G7530" s="8" t="s">
        <v>234</v>
      </c>
      <c r="H7530" s="8" t="s">
        <v>235</v>
      </c>
      <c r="I7530" s="8" t="s">
        <v>22560</v>
      </c>
      <c r="J7530" s="8" t="s">
        <v>22561</v>
      </c>
    </row>
    <row r="7531">
      <c r="A7531" s="7">
        <v>2.0059228E7</v>
      </c>
      <c r="B7531" s="8" t="s">
        <v>1034</v>
      </c>
      <c r="C7531" s="8" t="s">
        <v>22562</v>
      </c>
      <c r="D7531" s="8" t="s">
        <v>16</v>
      </c>
      <c r="E7531" s="8" t="s">
        <v>17</v>
      </c>
      <c r="F7531" s="9">
        <v>46149.0</v>
      </c>
      <c r="G7531" s="8" t="s">
        <v>59</v>
      </c>
      <c r="H7531" s="8" t="s">
        <v>60</v>
      </c>
      <c r="I7531" s="8" t="s">
        <v>22563</v>
      </c>
      <c r="J7531" s="8" t="s">
        <v>22564</v>
      </c>
    </row>
    <row r="7532">
      <c r="A7532" s="7">
        <v>2.005786E7</v>
      </c>
      <c r="B7532" s="8" t="s">
        <v>1034</v>
      </c>
      <c r="C7532" s="8" t="s">
        <v>22565</v>
      </c>
      <c r="D7532" s="8" t="s">
        <v>16</v>
      </c>
      <c r="E7532" s="8" t="s">
        <v>17</v>
      </c>
      <c r="F7532" s="9">
        <v>46162.0</v>
      </c>
      <c r="G7532" s="8" t="s">
        <v>22566</v>
      </c>
      <c r="H7532" s="8" t="s">
        <v>22567</v>
      </c>
      <c r="I7532" s="8" t="s">
        <v>22568</v>
      </c>
      <c r="J7532" s="8" t="s">
        <v>22569</v>
      </c>
    </row>
    <row r="7533">
      <c r="A7533" s="7">
        <v>2.0057092E7</v>
      </c>
      <c r="B7533" s="8" t="s">
        <v>1034</v>
      </c>
      <c r="C7533" s="8" t="s">
        <v>22570</v>
      </c>
      <c r="D7533" s="8" t="s">
        <v>16</v>
      </c>
      <c r="E7533" s="8" t="s">
        <v>17</v>
      </c>
      <c r="F7533" s="9">
        <v>46150.0</v>
      </c>
      <c r="G7533" s="8" t="s">
        <v>543</v>
      </c>
      <c r="H7533" s="8" t="s">
        <v>544</v>
      </c>
      <c r="I7533" s="8" t="s">
        <v>22571</v>
      </c>
      <c r="J7533" s="8" t="s">
        <v>22572</v>
      </c>
    </row>
    <row r="7534">
      <c r="A7534" s="7">
        <v>2.0053134E7</v>
      </c>
      <c r="B7534" s="8" t="s">
        <v>1034</v>
      </c>
      <c r="C7534" s="8" t="s">
        <v>22573</v>
      </c>
      <c r="D7534" s="8" t="s">
        <v>16</v>
      </c>
      <c r="E7534" s="8" t="s">
        <v>17</v>
      </c>
      <c r="F7534" s="9">
        <v>46126.0</v>
      </c>
      <c r="G7534" s="8" t="s">
        <v>124</v>
      </c>
      <c r="H7534" s="8" t="s">
        <v>125</v>
      </c>
      <c r="I7534" s="8" t="s">
        <v>22574</v>
      </c>
      <c r="J7534" s="8" t="s">
        <v>22575</v>
      </c>
    </row>
    <row r="7535">
      <c r="A7535" s="7">
        <v>2.0052369E7</v>
      </c>
      <c r="B7535" s="8" t="s">
        <v>1034</v>
      </c>
      <c r="C7535" s="8" t="s">
        <v>22576</v>
      </c>
      <c r="D7535" s="8" t="s">
        <v>16</v>
      </c>
      <c r="E7535" s="8" t="s">
        <v>17</v>
      </c>
      <c r="F7535" s="9">
        <v>46123.0</v>
      </c>
      <c r="G7535" s="8" t="s">
        <v>1085</v>
      </c>
      <c r="H7535" s="8" t="s">
        <v>1086</v>
      </c>
      <c r="I7535" s="8" t="s">
        <v>22577</v>
      </c>
      <c r="J7535" s="8" t="s">
        <v>22578</v>
      </c>
    </row>
    <row r="7536">
      <c r="A7536" s="7">
        <v>2.0051009E7</v>
      </c>
      <c r="B7536" s="8" t="s">
        <v>1034</v>
      </c>
      <c r="C7536" s="8" t="s">
        <v>22579</v>
      </c>
      <c r="D7536" s="8" t="s">
        <v>16</v>
      </c>
      <c r="E7536" s="8" t="s">
        <v>17</v>
      </c>
      <c r="F7536" s="9">
        <v>46107.0</v>
      </c>
      <c r="G7536" s="8" t="s">
        <v>1319</v>
      </c>
      <c r="H7536" s="8" t="s">
        <v>1320</v>
      </c>
      <c r="I7536" s="8" t="s">
        <v>22580</v>
      </c>
      <c r="J7536" s="8" t="s">
        <v>22581</v>
      </c>
    </row>
    <row r="7537">
      <c r="A7537" s="7">
        <v>2.0050127E7</v>
      </c>
      <c r="B7537" s="8" t="s">
        <v>1034</v>
      </c>
      <c r="C7537" s="8" t="s">
        <v>22582</v>
      </c>
      <c r="D7537" s="8" t="s">
        <v>16</v>
      </c>
      <c r="E7537" s="8" t="s">
        <v>17</v>
      </c>
      <c r="F7537" s="9">
        <v>46117.0</v>
      </c>
      <c r="G7537" s="8" t="s">
        <v>365</v>
      </c>
      <c r="H7537" s="8" t="s">
        <v>366</v>
      </c>
      <c r="I7537" s="8" t="s">
        <v>22583</v>
      </c>
      <c r="J7537" s="8" t="s">
        <v>22584</v>
      </c>
    </row>
    <row r="7538">
      <c r="A7538" s="7">
        <v>2.0048665E7</v>
      </c>
      <c r="B7538" s="8" t="s">
        <v>1034</v>
      </c>
      <c r="C7538" s="8" t="s">
        <v>22585</v>
      </c>
      <c r="D7538" s="8" t="s">
        <v>16</v>
      </c>
      <c r="E7538" s="8" t="s">
        <v>17</v>
      </c>
      <c r="F7538" s="9">
        <v>46121.0</v>
      </c>
      <c r="G7538" s="8" t="s">
        <v>18</v>
      </c>
      <c r="H7538" s="8" t="s">
        <v>19</v>
      </c>
      <c r="I7538" s="8" t="s">
        <v>22586</v>
      </c>
      <c r="J7538" s="8" t="s">
        <v>22587</v>
      </c>
    </row>
    <row r="7539">
      <c r="A7539" s="7">
        <v>2.0048959E7</v>
      </c>
      <c r="B7539" s="8" t="s">
        <v>1034</v>
      </c>
      <c r="C7539" s="8" t="s">
        <v>22588</v>
      </c>
      <c r="D7539" s="8" t="s">
        <v>16</v>
      </c>
      <c r="E7539" s="8" t="s">
        <v>17</v>
      </c>
      <c r="F7539" s="9">
        <v>46098.0</v>
      </c>
      <c r="G7539" s="8" t="s">
        <v>1045</v>
      </c>
      <c r="H7539" s="8" t="s">
        <v>909</v>
      </c>
      <c r="I7539" s="8" t="s">
        <v>22589</v>
      </c>
      <c r="J7539" s="8" t="s">
        <v>22590</v>
      </c>
    </row>
    <row r="7540">
      <c r="A7540" s="7">
        <v>2.0048173E7</v>
      </c>
      <c r="B7540" s="8" t="s">
        <v>1034</v>
      </c>
      <c r="C7540" s="8" t="s">
        <v>22591</v>
      </c>
      <c r="D7540" s="8" t="s">
        <v>16</v>
      </c>
      <c r="E7540" s="8" t="s">
        <v>17</v>
      </c>
      <c r="F7540" s="9">
        <v>46123.0</v>
      </c>
      <c r="G7540" s="8" t="s">
        <v>1754</v>
      </c>
      <c r="H7540" s="8" t="s">
        <v>1755</v>
      </c>
      <c r="I7540" s="8" t="s">
        <v>22592</v>
      </c>
      <c r="J7540" s="8" t="s">
        <v>22593</v>
      </c>
    </row>
    <row r="7541">
      <c r="A7541" s="7">
        <v>2.0048173E7</v>
      </c>
      <c r="B7541" s="8" t="s">
        <v>1034</v>
      </c>
      <c r="C7541" s="8" t="s">
        <v>22591</v>
      </c>
      <c r="D7541" s="8" t="s">
        <v>16</v>
      </c>
      <c r="E7541" s="8" t="s">
        <v>17</v>
      </c>
      <c r="F7541" s="9">
        <v>46123.0</v>
      </c>
      <c r="G7541" s="8" t="s">
        <v>6038</v>
      </c>
      <c r="H7541" s="8" t="s">
        <v>6039</v>
      </c>
      <c r="I7541" s="8" t="s">
        <v>22594</v>
      </c>
      <c r="J7541" s="8" t="s">
        <v>1752</v>
      </c>
    </row>
    <row r="7542">
      <c r="A7542" s="7">
        <v>2.0047799E7</v>
      </c>
      <c r="B7542" s="8" t="s">
        <v>1034</v>
      </c>
      <c r="C7542" s="8" t="s">
        <v>22595</v>
      </c>
      <c r="D7542" s="8" t="s">
        <v>16</v>
      </c>
      <c r="E7542" s="8" t="s">
        <v>17</v>
      </c>
      <c r="F7542" s="9">
        <v>46092.0</v>
      </c>
      <c r="G7542" s="8" t="s">
        <v>352</v>
      </c>
      <c r="H7542" s="8" t="s">
        <v>353</v>
      </c>
      <c r="I7542" s="8" t="s">
        <v>22596</v>
      </c>
      <c r="J7542" s="8" t="s">
        <v>22597</v>
      </c>
    </row>
    <row r="7543">
      <c r="A7543" s="7">
        <v>2.0048081E7</v>
      </c>
      <c r="B7543" s="8" t="s">
        <v>1034</v>
      </c>
      <c r="C7543" s="8" t="s">
        <v>22598</v>
      </c>
      <c r="D7543" s="8" t="s">
        <v>16</v>
      </c>
      <c r="E7543" s="8" t="s">
        <v>17</v>
      </c>
      <c r="F7543" s="9">
        <v>46113.0</v>
      </c>
      <c r="G7543" s="8" t="s">
        <v>1427</v>
      </c>
      <c r="H7543" s="8" t="s">
        <v>1428</v>
      </c>
      <c r="I7543" s="8" t="s">
        <v>22599</v>
      </c>
      <c r="J7543" s="8" t="s">
        <v>22600</v>
      </c>
    </row>
    <row r="7544">
      <c r="A7544" s="7">
        <v>2.0046577E7</v>
      </c>
      <c r="B7544" s="8" t="s">
        <v>1034</v>
      </c>
      <c r="C7544" s="8" t="s">
        <v>22601</v>
      </c>
      <c r="D7544" s="8" t="s">
        <v>16</v>
      </c>
      <c r="E7544" s="8" t="s">
        <v>17</v>
      </c>
      <c r="F7544" s="9">
        <v>46104.0</v>
      </c>
      <c r="G7544" s="8" t="s">
        <v>1754</v>
      </c>
      <c r="H7544" s="8" t="s">
        <v>1755</v>
      </c>
      <c r="I7544" s="8" t="s">
        <v>22602</v>
      </c>
      <c r="J7544" s="8" t="s">
        <v>22603</v>
      </c>
    </row>
    <row r="7545">
      <c r="A7545" s="7">
        <v>2.0043739E7</v>
      </c>
      <c r="B7545" s="8" t="s">
        <v>1034</v>
      </c>
      <c r="C7545" s="8" t="s">
        <v>22604</v>
      </c>
      <c r="D7545" s="8" t="s">
        <v>16</v>
      </c>
      <c r="E7545" s="8" t="s">
        <v>17</v>
      </c>
      <c r="F7545" s="9">
        <v>46080.0</v>
      </c>
      <c r="G7545" s="8" t="s">
        <v>339</v>
      </c>
      <c r="H7545" s="8" t="s">
        <v>340</v>
      </c>
      <c r="I7545" s="8" t="s">
        <v>22605</v>
      </c>
      <c r="J7545" s="8" t="s">
        <v>22606</v>
      </c>
    </row>
    <row r="7546">
      <c r="A7546" s="7">
        <v>2.0043244E7</v>
      </c>
      <c r="B7546" s="8" t="s">
        <v>1034</v>
      </c>
      <c r="C7546" s="8" t="s">
        <v>22607</v>
      </c>
      <c r="D7546" s="8" t="s">
        <v>16</v>
      </c>
      <c r="E7546" s="8" t="s">
        <v>17</v>
      </c>
      <c r="F7546" s="9">
        <v>46087.0</v>
      </c>
      <c r="G7546" s="8" t="s">
        <v>158</v>
      </c>
      <c r="H7546" s="8" t="s">
        <v>159</v>
      </c>
      <c r="I7546" s="8" t="s">
        <v>22608</v>
      </c>
      <c r="J7546" s="8" t="s">
        <v>22609</v>
      </c>
    </row>
    <row r="7547">
      <c r="A7547" s="7">
        <v>2.0030594E7</v>
      </c>
      <c r="B7547" s="8" t="s">
        <v>1034</v>
      </c>
      <c r="C7547" s="8" t="s">
        <v>22610</v>
      </c>
      <c r="D7547" s="8" t="s">
        <v>16</v>
      </c>
      <c r="E7547" s="8" t="s">
        <v>17</v>
      </c>
      <c r="F7547" s="9">
        <v>46093.0</v>
      </c>
      <c r="G7547" s="8" t="s">
        <v>613</v>
      </c>
      <c r="H7547" s="8" t="s">
        <v>614</v>
      </c>
      <c r="I7547" s="8" t="s">
        <v>22611</v>
      </c>
      <c r="J7547" s="8" t="s">
        <v>22612</v>
      </c>
    </row>
    <row r="7548">
      <c r="A7548" s="7">
        <v>2.0042926E7</v>
      </c>
      <c r="B7548" s="8" t="s">
        <v>1034</v>
      </c>
      <c r="C7548" s="8" t="s">
        <v>22613</v>
      </c>
      <c r="D7548" s="8" t="s">
        <v>16</v>
      </c>
      <c r="E7548" s="8" t="s">
        <v>17</v>
      </c>
      <c r="F7548" s="9">
        <v>46093.0</v>
      </c>
      <c r="G7548" s="8" t="s">
        <v>2400</v>
      </c>
      <c r="H7548" s="8" t="s">
        <v>2401</v>
      </c>
      <c r="I7548" s="8" t="s">
        <v>22614</v>
      </c>
      <c r="J7548" s="8" t="s">
        <v>22615</v>
      </c>
    </row>
    <row r="7549">
      <c r="A7549" s="7">
        <v>2.0042227E7</v>
      </c>
      <c r="B7549" s="8" t="s">
        <v>1034</v>
      </c>
      <c r="C7549" s="8" t="s">
        <v>22616</v>
      </c>
      <c r="D7549" s="8" t="s">
        <v>16</v>
      </c>
      <c r="E7549" s="8" t="s">
        <v>17</v>
      </c>
      <c r="F7549" s="9">
        <v>46093.0</v>
      </c>
      <c r="G7549" s="8" t="s">
        <v>626</v>
      </c>
      <c r="H7549" s="8" t="s">
        <v>627</v>
      </c>
      <c r="I7549" s="8" t="s">
        <v>22617</v>
      </c>
      <c r="J7549" s="8" t="s">
        <v>22618</v>
      </c>
    </row>
    <row r="7550">
      <c r="A7550" s="7">
        <v>2.0040179E7</v>
      </c>
      <c r="B7550" s="8" t="s">
        <v>1034</v>
      </c>
      <c r="C7550" s="8" t="s">
        <v>22619</v>
      </c>
      <c r="D7550" s="8" t="s">
        <v>16</v>
      </c>
      <c r="E7550" s="8" t="s">
        <v>17</v>
      </c>
      <c r="F7550" s="9">
        <v>46073.0</v>
      </c>
      <c r="G7550" s="8" t="s">
        <v>3291</v>
      </c>
      <c r="H7550" s="8" t="s">
        <v>3292</v>
      </c>
      <c r="I7550" s="8" t="s">
        <v>22620</v>
      </c>
      <c r="J7550" s="8" t="s">
        <v>22621</v>
      </c>
    </row>
    <row r="7551">
      <c r="A7551" s="7">
        <v>2.0039632E7</v>
      </c>
      <c r="B7551" s="8" t="s">
        <v>1034</v>
      </c>
      <c r="C7551" s="8" t="s">
        <v>22622</v>
      </c>
      <c r="D7551" s="8" t="s">
        <v>16</v>
      </c>
      <c r="E7551" s="8" t="s">
        <v>17</v>
      </c>
      <c r="F7551" s="9">
        <v>46066.0</v>
      </c>
      <c r="G7551" s="8" t="s">
        <v>423</v>
      </c>
      <c r="H7551" s="8" t="s">
        <v>424</v>
      </c>
      <c r="I7551" s="8" t="s">
        <v>22623</v>
      </c>
      <c r="J7551" s="8" t="s">
        <v>22624</v>
      </c>
    </row>
    <row r="7552">
      <c r="A7552" s="7">
        <v>2.0035781E7</v>
      </c>
      <c r="B7552" s="8" t="s">
        <v>1034</v>
      </c>
      <c r="C7552" s="8" t="s">
        <v>22625</v>
      </c>
      <c r="D7552" s="8" t="s">
        <v>16</v>
      </c>
      <c r="E7552" s="8" t="s">
        <v>17</v>
      </c>
      <c r="F7552" s="9">
        <v>46040.0</v>
      </c>
      <c r="G7552" s="8" t="s">
        <v>339</v>
      </c>
      <c r="H7552" s="8" t="s">
        <v>340</v>
      </c>
      <c r="I7552" s="8" t="s">
        <v>22626</v>
      </c>
      <c r="J7552" s="8" t="s">
        <v>22627</v>
      </c>
    </row>
    <row r="7553">
      <c r="A7553" s="7">
        <v>2.0026314E7</v>
      </c>
      <c r="B7553" s="8" t="s">
        <v>1034</v>
      </c>
      <c r="C7553" s="8" t="s">
        <v>22628</v>
      </c>
      <c r="D7553" s="8" t="s">
        <v>16</v>
      </c>
      <c r="E7553" s="8" t="s">
        <v>17</v>
      </c>
      <c r="F7553" s="9">
        <v>46061.0</v>
      </c>
      <c r="G7553" s="8" t="s">
        <v>436</v>
      </c>
      <c r="H7553" s="8" t="s">
        <v>437</v>
      </c>
      <c r="I7553" s="8" t="s">
        <v>22629</v>
      </c>
      <c r="J7553" s="8" t="s">
        <v>22630</v>
      </c>
    </row>
    <row r="7554">
      <c r="A7554" s="7">
        <v>2.0032828E7</v>
      </c>
      <c r="B7554" s="8" t="s">
        <v>1034</v>
      </c>
      <c r="C7554" s="8" t="s">
        <v>22631</v>
      </c>
      <c r="D7554" s="8" t="s">
        <v>16</v>
      </c>
      <c r="E7554" s="8" t="s">
        <v>17</v>
      </c>
      <c r="F7554" s="9">
        <v>46040.0</v>
      </c>
      <c r="G7554" s="8" t="s">
        <v>34</v>
      </c>
      <c r="H7554" s="8" t="s">
        <v>35</v>
      </c>
      <c r="I7554" s="8" t="s">
        <v>22632</v>
      </c>
      <c r="J7554" s="8" t="s">
        <v>22633</v>
      </c>
    </row>
    <row r="7555">
      <c r="A7555" s="7">
        <v>2.0064611E7</v>
      </c>
      <c r="B7555" s="8" t="s">
        <v>1034</v>
      </c>
      <c r="C7555" s="8" t="s">
        <v>22634</v>
      </c>
      <c r="D7555" s="8" t="s">
        <v>16</v>
      </c>
      <c r="E7555" s="8" t="s">
        <v>17</v>
      </c>
      <c r="F7555" s="9">
        <v>46185.0</v>
      </c>
      <c r="G7555" s="8" t="s">
        <v>486</v>
      </c>
      <c r="H7555" s="8" t="s">
        <v>487</v>
      </c>
      <c r="I7555" s="8" t="s">
        <v>22635</v>
      </c>
      <c r="J7555" s="8" t="s">
        <v>22636</v>
      </c>
    </row>
    <row r="7556">
      <c r="A7556" s="7">
        <v>2.0064375E7</v>
      </c>
      <c r="B7556" s="8" t="s">
        <v>1034</v>
      </c>
      <c r="C7556" s="8" t="s">
        <v>22637</v>
      </c>
      <c r="D7556" s="8" t="s">
        <v>16</v>
      </c>
      <c r="E7556" s="8" t="s">
        <v>17</v>
      </c>
      <c r="F7556" s="9">
        <v>46166.0</v>
      </c>
      <c r="G7556" s="8" t="s">
        <v>59</v>
      </c>
      <c r="H7556" s="8" t="s">
        <v>60</v>
      </c>
      <c r="I7556" s="8" t="s">
        <v>22638</v>
      </c>
      <c r="J7556" s="8" t="s">
        <v>22639</v>
      </c>
    </row>
    <row r="7557">
      <c r="A7557" s="7">
        <v>2.0061916E7</v>
      </c>
      <c r="B7557" s="8" t="s">
        <v>1034</v>
      </c>
      <c r="C7557" s="8" t="s">
        <v>22640</v>
      </c>
      <c r="D7557" s="8" t="s">
        <v>16</v>
      </c>
      <c r="E7557" s="8" t="s">
        <v>17</v>
      </c>
      <c r="F7557" s="9">
        <v>46156.0</v>
      </c>
      <c r="G7557" s="8" t="s">
        <v>385</v>
      </c>
      <c r="H7557" s="8" t="s">
        <v>386</v>
      </c>
      <c r="I7557" s="8" t="s">
        <v>22641</v>
      </c>
      <c r="J7557" s="8" t="s">
        <v>22642</v>
      </c>
    </row>
    <row r="7558">
      <c r="A7558" s="7">
        <v>2.0059631E7</v>
      </c>
      <c r="B7558" s="8" t="s">
        <v>1034</v>
      </c>
      <c r="C7558" s="8" t="s">
        <v>22643</v>
      </c>
      <c r="D7558" s="8" t="s">
        <v>16</v>
      </c>
      <c r="E7558" s="8" t="s">
        <v>17</v>
      </c>
      <c r="F7558" s="9">
        <v>46149.0</v>
      </c>
      <c r="G7558" s="8" t="s">
        <v>385</v>
      </c>
      <c r="H7558" s="8" t="s">
        <v>386</v>
      </c>
      <c r="I7558" s="8" t="s">
        <v>22644</v>
      </c>
      <c r="J7558" s="8" t="s">
        <v>22645</v>
      </c>
    </row>
    <row r="7559">
      <c r="A7559" s="7">
        <v>2.0060696E7</v>
      </c>
      <c r="B7559" s="8" t="s">
        <v>1034</v>
      </c>
      <c r="C7559" s="8" t="s">
        <v>22646</v>
      </c>
      <c r="D7559" s="8" t="s">
        <v>16</v>
      </c>
      <c r="E7559" s="8" t="s">
        <v>17</v>
      </c>
      <c r="F7559" s="9">
        <v>46185.0</v>
      </c>
      <c r="G7559" s="8" t="s">
        <v>9334</v>
      </c>
      <c r="H7559" s="8" t="s">
        <v>9335</v>
      </c>
      <c r="I7559" s="8" t="s">
        <v>22647</v>
      </c>
      <c r="J7559" s="8" t="s">
        <v>22648</v>
      </c>
    </row>
    <row r="7560">
      <c r="A7560" s="7">
        <v>2.0053399E7</v>
      </c>
      <c r="B7560" s="8" t="s">
        <v>1034</v>
      </c>
      <c r="C7560" s="8" t="s">
        <v>22649</v>
      </c>
      <c r="D7560" s="8" t="s">
        <v>16</v>
      </c>
      <c r="E7560" s="8" t="s">
        <v>17</v>
      </c>
      <c r="F7560" s="9">
        <v>46171.0</v>
      </c>
      <c r="G7560" s="8" t="s">
        <v>4148</v>
      </c>
      <c r="H7560" s="8" t="s">
        <v>4149</v>
      </c>
      <c r="I7560" s="8" t="s">
        <v>22650</v>
      </c>
      <c r="J7560" s="8" t="s">
        <v>22651</v>
      </c>
    </row>
    <row r="7561">
      <c r="A7561" s="7">
        <v>2.0055484E7</v>
      </c>
      <c r="B7561" s="8" t="s">
        <v>1034</v>
      </c>
      <c r="C7561" s="8" t="s">
        <v>22652</v>
      </c>
      <c r="D7561" s="8" t="s">
        <v>16</v>
      </c>
      <c r="E7561" s="8" t="s">
        <v>1074</v>
      </c>
      <c r="F7561" s="9">
        <v>46133.0</v>
      </c>
      <c r="G7561" s="8" t="s">
        <v>1427</v>
      </c>
      <c r="H7561" s="8" t="s">
        <v>1428</v>
      </c>
      <c r="I7561" s="8" t="s">
        <v>22653</v>
      </c>
      <c r="J7561" s="8" t="s">
        <v>22654</v>
      </c>
    </row>
    <row r="7562">
      <c r="A7562" s="7">
        <v>2.0055106E7</v>
      </c>
      <c r="B7562" s="8" t="s">
        <v>1034</v>
      </c>
      <c r="C7562" s="8" t="s">
        <v>22655</v>
      </c>
      <c r="D7562" s="8" t="s">
        <v>16</v>
      </c>
      <c r="E7562" s="8" t="s">
        <v>1074</v>
      </c>
      <c r="F7562" s="9">
        <v>46123.0</v>
      </c>
      <c r="G7562" s="8" t="s">
        <v>273</v>
      </c>
      <c r="H7562" s="8" t="s">
        <v>274</v>
      </c>
      <c r="I7562" s="8" t="s">
        <v>22656</v>
      </c>
      <c r="J7562" s="8" t="s">
        <v>22657</v>
      </c>
    </row>
    <row r="7563">
      <c r="A7563" s="7">
        <v>2.0050977E7</v>
      </c>
      <c r="B7563" s="8" t="s">
        <v>1034</v>
      </c>
      <c r="C7563" s="8" t="s">
        <v>22658</v>
      </c>
      <c r="D7563" s="8" t="s">
        <v>16</v>
      </c>
      <c r="E7563" s="8" t="s">
        <v>17</v>
      </c>
      <c r="F7563" s="9">
        <v>46108.0</v>
      </c>
      <c r="G7563" s="8" t="s">
        <v>826</v>
      </c>
      <c r="H7563" s="8" t="s">
        <v>827</v>
      </c>
      <c r="I7563" s="8" t="s">
        <v>22659</v>
      </c>
      <c r="J7563" s="8" t="s">
        <v>22660</v>
      </c>
    </row>
    <row r="7564">
      <c r="A7564" s="7">
        <v>2.0049676E7</v>
      </c>
      <c r="B7564" s="8" t="s">
        <v>1034</v>
      </c>
      <c r="C7564" s="8" t="s">
        <v>22661</v>
      </c>
      <c r="D7564" s="8" t="s">
        <v>16</v>
      </c>
      <c r="E7564" s="8" t="s">
        <v>17</v>
      </c>
      <c r="F7564" s="9">
        <v>46116.0</v>
      </c>
      <c r="G7564" s="8" t="s">
        <v>561</v>
      </c>
      <c r="H7564" s="8" t="s">
        <v>562</v>
      </c>
      <c r="I7564" s="8" t="s">
        <v>22662</v>
      </c>
      <c r="J7564" s="8" t="s">
        <v>22663</v>
      </c>
    </row>
    <row r="7565">
      <c r="A7565" s="7">
        <v>2.0046811E7</v>
      </c>
      <c r="B7565" s="8" t="s">
        <v>1034</v>
      </c>
      <c r="C7565" s="8" t="s">
        <v>22664</v>
      </c>
      <c r="D7565" s="8" t="s">
        <v>16</v>
      </c>
      <c r="E7565" s="8" t="s">
        <v>17</v>
      </c>
      <c r="F7565" s="9">
        <v>46110.0</v>
      </c>
      <c r="G7565" s="8" t="s">
        <v>2666</v>
      </c>
      <c r="H7565" s="8" t="s">
        <v>2667</v>
      </c>
      <c r="I7565" s="8" t="s">
        <v>22665</v>
      </c>
      <c r="J7565" s="8" t="s">
        <v>22666</v>
      </c>
    </row>
    <row r="7566">
      <c r="A7566" s="7">
        <v>2.0046311E7</v>
      </c>
      <c r="B7566" s="8" t="s">
        <v>1034</v>
      </c>
      <c r="C7566" s="8" t="s">
        <v>22667</v>
      </c>
      <c r="D7566" s="8" t="s">
        <v>16</v>
      </c>
      <c r="E7566" s="8" t="s">
        <v>17</v>
      </c>
      <c r="F7566" s="9">
        <v>46098.0</v>
      </c>
      <c r="G7566" s="8" t="s">
        <v>410</v>
      </c>
      <c r="H7566" s="8" t="s">
        <v>411</v>
      </c>
      <c r="I7566" s="8" t="s">
        <v>22668</v>
      </c>
      <c r="J7566" s="8" t="s">
        <v>22669</v>
      </c>
    </row>
    <row r="7567">
      <c r="A7567" s="7">
        <v>2.0045846E7</v>
      </c>
      <c r="B7567" s="8" t="s">
        <v>1034</v>
      </c>
      <c r="C7567" s="8" t="s">
        <v>22670</v>
      </c>
      <c r="D7567" s="8" t="s">
        <v>16</v>
      </c>
      <c r="E7567" s="8" t="s">
        <v>17</v>
      </c>
      <c r="F7567" s="9">
        <v>46101.0</v>
      </c>
      <c r="G7567" s="8" t="s">
        <v>1085</v>
      </c>
      <c r="H7567" s="8" t="s">
        <v>1086</v>
      </c>
      <c r="I7567" s="8" t="s">
        <v>22671</v>
      </c>
      <c r="J7567" s="8" t="s">
        <v>22672</v>
      </c>
    </row>
    <row r="7568">
      <c r="A7568" s="7">
        <v>2.0039688E7</v>
      </c>
      <c r="B7568" s="8" t="s">
        <v>1034</v>
      </c>
      <c r="C7568" s="8" t="s">
        <v>22673</v>
      </c>
      <c r="D7568" s="8" t="s">
        <v>16</v>
      </c>
      <c r="E7568" s="8" t="s">
        <v>17</v>
      </c>
      <c r="F7568" s="9">
        <v>46079.0</v>
      </c>
      <c r="G7568" s="8" t="s">
        <v>12537</v>
      </c>
      <c r="H7568" s="8" t="s">
        <v>12538</v>
      </c>
      <c r="I7568" s="8" t="s">
        <v>22674</v>
      </c>
      <c r="J7568" s="8" t="s">
        <v>22675</v>
      </c>
    </row>
    <row r="7569">
      <c r="A7569" s="7">
        <v>2.0037858E7</v>
      </c>
      <c r="B7569" s="8" t="s">
        <v>1034</v>
      </c>
      <c r="C7569" s="8" t="s">
        <v>22676</v>
      </c>
      <c r="D7569" s="8" t="s">
        <v>16</v>
      </c>
      <c r="E7569" s="8" t="s">
        <v>17</v>
      </c>
      <c r="F7569" s="9">
        <v>46068.0</v>
      </c>
      <c r="G7569" s="8" t="s">
        <v>3456</v>
      </c>
      <c r="H7569" s="8" t="s">
        <v>3457</v>
      </c>
      <c r="I7569" s="8" t="s">
        <v>22677</v>
      </c>
      <c r="J7569" s="8" t="s">
        <v>22678</v>
      </c>
    </row>
    <row r="7570">
      <c r="A7570" s="7">
        <v>2.0036259E7</v>
      </c>
      <c r="B7570" s="8" t="s">
        <v>1034</v>
      </c>
      <c r="C7570" s="8" t="s">
        <v>22679</v>
      </c>
      <c r="D7570" s="8" t="s">
        <v>16</v>
      </c>
      <c r="E7570" s="8" t="s">
        <v>17</v>
      </c>
      <c r="F7570" s="9">
        <v>46070.0</v>
      </c>
      <c r="G7570" s="8" t="s">
        <v>763</v>
      </c>
      <c r="H7570" s="8" t="s">
        <v>764</v>
      </c>
      <c r="I7570" s="8" t="s">
        <v>22680</v>
      </c>
      <c r="J7570" s="8" t="s">
        <v>22681</v>
      </c>
    </row>
    <row r="7571">
      <c r="A7571" s="7">
        <v>2.0037241E7</v>
      </c>
      <c r="B7571" s="8" t="s">
        <v>1034</v>
      </c>
      <c r="C7571" s="8" t="s">
        <v>22682</v>
      </c>
      <c r="D7571" s="8" t="s">
        <v>16</v>
      </c>
      <c r="E7571" s="8" t="s">
        <v>17</v>
      </c>
      <c r="F7571" s="9">
        <v>46046.0</v>
      </c>
      <c r="G7571" s="8" t="s">
        <v>75</v>
      </c>
      <c r="H7571" s="8" t="s">
        <v>76</v>
      </c>
      <c r="I7571" s="8" t="s">
        <v>22683</v>
      </c>
      <c r="J7571" s="8" t="s">
        <v>22684</v>
      </c>
    </row>
    <row r="7572">
      <c r="A7572" s="7">
        <v>2.0034567E7</v>
      </c>
      <c r="B7572" s="8" t="s">
        <v>1034</v>
      </c>
      <c r="C7572" s="8" t="s">
        <v>22685</v>
      </c>
      <c r="D7572" s="8" t="s">
        <v>16</v>
      </c>
      <c r="E7572" s="8" t="s">
        <v>17</v>
      </c>
      <c r="F7572" s="9">
        <v>46040.0</v>
      </c>
      <c r="G7572" s="8" t="s">
        <v>365</v>
      </c>
      <c r="H7572" s="8" t="s">
        <v>366</v>
      </c>
      <c r="I7572" s="8" t="s">
        <v>22686</v>
      </c>
      <c r="J7572" s="8" t="s">
        <v>22687</v>
      </c>
    </row>
    <row r="7573">
      <c r="A7573" s="7">
        <v>2.0034187E7</v>
      </c>
      <c r="B7573" s="8" t="s">
        <v>1034</v>
      </c>
      <c r="C7573" s="8" t="s">
        <v>22688</v>
      </c>
      <c r="D7573" s="8" t="s">
        <v>16</v>
      </c>
      <c r="E7573" s="8" t="s">
        <v>17</v>
      </c>
      <c r="F7573" s="9">
        <v>46053.0</v>
      </c>
      <c r="G7573" s="8" t="s">
        <v>158</v>
      </c>
      <c r="H7573" s="8" t="s">
        <v>159</v>
      </c>
      <c r="I7573" s="8" t="s">
        <v>22689</v>
      </c>
      <c r="J7573" s="8" t="s">
        <v>22690</v>
      </c>
    </row>
    <row r="7574">
      <c r="A7574" s="7">
        <v>2.0061956E7</v>
      </c>
      <c r="B7574" s="8" t="s">
        <v>1034</v>
      </c>
      <c r="C7574" s="8" t="s">
        <v>22691</v>
      </c>
      <c r="D7574" s="8" t="s">
        <v>16</v>
      </c>
      <c r="E7574" s="8" t="s">
        <v>17</v>
      </c>
      <c r="F7574" s="9">
        <v>46178.0</v>
      </c>
      <c r="G7574" s="8" t="s">
        <v>1049</v>
      </c>
      <c r="H7574" s="8" t="s">
        <v>1050</v>
      </c>
      <c r="I7574" s="8" t="s">
        <v>22692</v>
      </c>
      <c r="J7574" s="8" t="s">
        <v>22693</v>
      </c>
    </row>
    <row r="7575">
      <c r="A7575" s="7">
        <v>2.0056615E7</v>
      </c>
      <c r="B7575" s="8" t="s">
        <v>1034</v>
      </c>
      <c r="C7575" s="8" t="s">
        <v>22694</v>
      </c>
      <c r="D7575" s="8" t="s">
        <v>16</v>
      </c>
      <c r="E7575" s="8" t="s">
        <v>17</v>
      </c>
      <c r="F7575" s="9">
        <v>46143.0</v>
      </c>
      <c r="G7575" s="8" t="s">
        <v>385</v>
      </c>
      <c r="H7575" s="8" t="s">
        <v>386</v>
      </c>
      <c r="I7575" s="8" t="s">
        <v>22695</v>
      </c>
      <c r="J7575" s="8" t="s">
        <v>22696</v>
      </c>
    </row>
    <row r="7576">
      <c r="A7576" s="7">
        <v>2.005359E7</v>
      </c>
      <c r="B7576" s="8" t="s">
        <v>1034</v>
      </c>
      <c r="C7576" s="8" t="s">
        <v>22697</v>
      </c>
      <c r="D7576" s="8" t="s">
        <v>16</v>
      </c>
      <c r="E7576" s="8" t="s">
        <v>17</v>
      </c>
      <c r="F7576" s="9">
        <v>46128.0</v>
      </c>
      <c r="G7576" s="8" t="s">
        <v>1045</v>
      </c>
      <c r="H7576" s="8" t="s">
        <v>909</v>
      </c>
      <c r="I7576" s="8" t="s">
        <v>22698</v>
      </c>
      <c r="J7576" s="8" t="s">
        <v>22699</v>
      </c>
    </row>
    <row r="7577">
      <c r="A7577" s="7">
        <v>2.0053859E7</v>
      </c>
      <c r="B7577" s="8" t="s">
        <v>1034</v>
      </c>
      <c r="C7577" s="8" t="s">
        <v>22700</v>
      </c>
      <c r="D7577" s="8" t="s">
        <v>16</v>
      </c>
      <c r="E7577" s="8" t="s">
        <v>17</v>
      </c>
      <c r="F7577" s="9">
        <v>46125.0</v>
      </c>
      <c r="G7577" s="8" t="s">
        <v>59</v>
      </c>
      <c r="H7577" s="8" t="s">
        <v>60</v>
      </c>
      <c r="I7577" s="8" t="s">
        <v>22701</v>
      </c>
      <c r="J7577" s="8" t="s">
        <v>22702</v>
      </c>
    </row>
    <row r="7578">
      <c r="A7578" s="7">
        <v>2.005054E7</v>
      </c>
      <c r="B7578" s="8" t="s">
        <v>1034</v>
      </c>
      <c r="C7578" s="8" t="s">
        <v>22703</v>
      </c>
      <c r="D7578" s="8" t="s">
        <v>16</v>
      </c>
      <c r="E7578" s="8" t="s">
        <v>17</v>
      </c>
      <c r="F7578" s="9">
        <v>46106.0</v>
      </c>
      <c r="G7578" s="8" t="s">
        <v>365</v>
      </c>
      <c r="H7578" s="8" t="s">
        <v>366</v>
      </c>
      <c r="I7578" s="8" t="s">
        <v>22704</v>
      </c>
      <c r="J7578" s="8" t="s">
        <v>22705</v>
      </c>
    </row>
    <row r="7579">
      <c r="A7579" s="7">
        <v>2.004718E7</v>
      </c>
      <c r="B7579" s="8" t="s">
        <v>1034</v>
      </c>
      <c r="C7579" s="8" t="s">
        <v>22706</v>
      </c>
      <c r="D7579" s="8" t="s">
        <v>16</v>
      </c>
      <c r="E7579" s="8" t="s">
        <v>17</v>
      </c>
      <c r="F7579" s="9">
        <v>46102.0</v>
      </c>
      <c r="G7579" s="8" t="s">
        <v>826</v>
      </c>
      <c r="H7579" s="8" t="s">
        <v>827</v>
      </c>
      <c r="I7579" s="8" t="s">
        <v>22707</v>
      </c>
      <c r="J7579" s="8" t="s">
        <v>22708</v>
      </c>
    </row>
    <row r="7580">
      <c r="A7580" s="7">
        <v>2.0045096E7</v>
      </c>
      <c r="B7580" s="8" t="s">
        <v>1034</v>
      </c>
      <c r="C7580" s="8" t="s">
        <v>22709</v>
      </c>
      <c r="D7580" s="8" t="s">
        <v>16</v>
      </c>
      <c r="E7580" s="8" t="s">
        <v>17</v>
      </c>
      <c r="F7580" s="9">
        <v>46095.0</v>
      </c>
      <c r="G7580" s="8" t="s">
        <v>1627</v>
      </c>
      <c r="H7580" s="8" t="s">
        <v>1628</v>
      </c>
      <c r="I7580" s="8" t="s">
        <v>22710</v>
      </c>
      <c r="J7580" s="8" t="s">
        <v>22711</v>
      </c>
    </row>
    <row r="7581">
      <c r="A7581" s="7">
        <v>2.0042693E7</v>
      </c>
      <c r="B7581" s="8" t="s">
        <v>1034</v>
      </c>
      <c r="C7581" s="8" t="s">
        <v>22712</v>
      </c>
      <c r="D7581" s="8" t="s">
        <v>16</v>
      </c>
      <c r="E7581" s="8" t="s">
        <v>17</v>
      </c>
      <c r="F7581" s="9">
        <v>46082.0</v>
      </c>
      <c r="G7581" s="8" t="s">
        <v>1169</v>
      </c>
      <c r="H7581" s="8" t="s">
        <v>1170</v>
      </c>
      <c r="I7581" s="8" t="s">
        <v>22713</v>
      </c>
      <c r="J7581" s="8" t="s">
        <v>22714</v>
      </c>
    </row>
    <row r="7582">
      <c r="A7582" s="7">
        <v>2.0041785E7</v>
      </c>
      <c r="B7582" s="8" t="s">
        <v>1034</v>
      </c>
      <c r="C7582" s="8" t="s">
        <v>22715</v>
      </c>
      <c r="D7582" s="8" t="s">
        <v>16</v>
      </c>
      <c r="E7582" s="8" t="s">
        <v>17</v>
      </c>
      <c r="F7582" s="9">
        <v>46075.0</v>
      </c>
      <c r="G7582" s="8" t="s">
        <v>13468</v>
      </c>
      <c r="H7582" s="8" t="s">
        <v>13469</v>
      </c>
      <c r="I7582" s="8" t="s">
        <v>22716</v>
      </c>
      <c r="J7582" s="8" t="s">
        <v>1752</v>
      </c>
    </row>
    <row r="7583">
      <c r="A7583" s="7">
        <v>2.0039262E7</v>
      </c>
      <c r="B7583" s="8" t="s">
        <v>1034</v>
      </c>
      <c r="C7583" s="8" t="s">
        <v>22717</v>
      </c>
      <c r="D7583" s="8" t="s">
        <v>16</v>
      </c>
      <c r="E7583" s="8" t="s">
        <v>17</v>
      </c>
      <c r="F7583" s="9">
        <v>46064.0</v>
      </c>
      <c r="G7583" s="8" t="s">
        <v>29</v>
      </c>
      <c r="H7583" s="8" t="s">
        <v>30</v>
      </c>
      <c r="I7583" s="8" t="s">
        <v>22718</v>
      </c>
      <c r="J7583" s="8" t="s">
        <v>22719</v>
      </c>
    </row>
    <row r="7584">
      <c r="A7584" s="7">
        <v>2.0039415E7</v>
      </c>
      <c r="B7584" s="8" t="s">
        <v>1034</v>
      </c>
      <c r="C7584" s="8" t="s">
        <v>22720</v>
      </c>
      <c r="D7584" s="8" t="s">
        <v>16</v>
      </c>
      <c r="E7584" s="8" t="s">
        <v>17</v>
      </c>
      <c r="F7584" s="9">
        <v>46055.0</v>
      </c>
      <c r="G7584" s="8" t="s">
        <v>846</v>
      </c>
      <c r="H7584" s="8" t="s">
        <v>847</v>
      </c>
      <c r="I7584" s="8" t="s">
        <v>22721</v>
      </c>
      <c r="J7584" s="8" t="s">
        <v>22722</v>
      </c>
    </row>
    <row r="7585">
      <c r="A7585" s="7">
        <v>2.0037715E7</v>
      </c>
      <c r="B7585" s="8" t="s">
        <v>1034</v>
      </c>
      <c r="C7585" s="8" t="s">
        <v>22723</v>
      </c>
      <c r="D7585" s="8" t="s">
        <v>16</v>
      </c>
      <c r="E7585" s="8" t="s">
        <v>17</v>
      </c>
      <c r="F7585" s="9">
        <v>46057.0</v>
      </c>
      <c r="G7585" s="8" t="s">
        <v>3012</v>
      </c>
      <c r="H7585" s="8" t="s">
        <v>3013</v>
      </c>
      <c r="I7585" s="8" t="s">
        <v>22724</v>
      </c>
      <c r="J7585" s="8" t="s">
        <v>22725</v>
      </c>
    </row>
    <row r="7586">
      <c r="A7586" s="7">
        <v>2.0037078E7</v>
      </c>
      <c r="B7586" s="8" t="s">
        <v>1034</v>
      </c>
      <c r="C7586" s="8" t="s">
        <v>22726</v>
      </c>
      <c r="D7586" s="8" t="s">
        <v>16</v>
      </c>
      <c r="E7586" s="8" t="s">
        <v>17</v>
      </c>
      <c r="F7586" s="9">
        <v>46066.0</v>
      </c>
      <c r="G7586" s="8" t="s">
        <v>184</v>
      </c>
      <c r="H7586" s="8" t="s">
        <v>185</v>
      </c>
      <c r="I7586" s="8" t="s">
        <v>22727</v>
      </c>
      <c r="J7586" s="8" t="s">
        <v>22728</v>
      </c>
    </row>
    <row r="7587">
      <c r="A7587" s="7">
        <v>2.0035144E7</v>
      </c>
      <c r="B7587" s="8" t="s">
        <v>1034</v>
      </c>
      <c r="C7587" s="8" t="s">
        <v>22729</v>
      </c>
      <c r="D7587" s="8" t="s">
        <v>16</v>
      </c>
      <c r="E7587" s="8" t="s">
        <v>17</v>
      </c>
      <c r="F7587" s="9">
        <v>46038.0</v>
      </c>
      <c r="G7587" s="8" t="s">
        <v>59</v>
      </c>
      <c r="H7587" s="8" t="s">
        <v>60</v>
      </c>
      <c r="I7587" s="8" t="s">
        <v>22730</v>
      </c>
      <c r="J7587" s="8" t="s">
        <v>22731</v>
      </c>
    </row>
    <row r="7588">
      <c r="A7588" s="7">
        <v>2.0029414E7</v>
      </c>
      <c r="B7588" s="8" t="s">
        <v>1034</v>
      </c>
      <c r="C7588" s="8" t="s">
        <v>22732</v>
      </c>
      <c r="D7588" s="8" t="s">
        <v>16</v>
      </c>
      <c r="E7588" s="8" t="s">
        <v>17</v>
      </c>
      <c r="F7588" s="9">
        <v>46057.0</v>
      </c>
      <c r="G7588" s="8" t="s">
        <v>688</v>
      </c>
      <c r="H7588" s="8" t="s">
        <v>689</v>
      </c>
      <c r="I7588" s="8" t="s">
        <v>22733</v>
      </c>
      <c r="J7588" s="8" t="s">
        <v>22734</v>
      </c>
    </row>
    <row r="7589">
      <c r="A7589" s="7">
        <v>2.0034335E7</v>
      </c>
      <c r="B7589" s="8" t="s">
        <v>1034</v>
      </c>
      <c r="C7589" s="8" t="s">
        <v>22735</v>
      </c>
      <c r="D7589" s="8" t="s">
        <v>16</v>
      </c>
      <c r="E7589" s="8" t="s">
        <v>17</v>
      </c>
      <c r="F7589" s="9">
        <v>46047.0</v>
      </c>
      <c r="G7589" s="8" t="s">
        <v>882</v>
      </c>
      <c r="H7589" s="8" t="s">
        <v>883</v>
      </c>
      <c r="I7589" s="8" t="s">
        <v>22736</v>
      </c>
      <c r="J7589" s="8" t="s">
        <v>22737</v>
      </c>
    </row>
    <row r="7590">
      <c r="A7590" s="7">
        <v>2.0067429E7</v>
      </c>
      <c r="B7590" s="8" t="s">
        <v>1034</v>
      </c>
      <c r="C7590" s="8" t="s">
        <v>22738</v>
      </c>
      <c r="D7590" s="8" t="s">
        <v>16</v>
      </c>
      <c r="E7590" s="8" t="s">
        <v>17</v>
      </c>
      <c r="F7590" s="9">
        <v>46180.0</v>
      </c>
      <c r="G7590" s="8" t="s">
        <v>339</v>
      </c>
      <c r="H7590" s="8" t="s">
        <v>340</v>
      </c>
      <c r="I7590" s="8" t="s">
        <v>22739</v>
      </c>
      <c r="J7590" s="8" t="s">
        <v>22740</v>
      </c>
    </row>
    <row r="7591">
      <c r="A7591" s="7">
        <v>2.0067356E7</v>
      </c>
      <c r="B7591" s="8" t="s">
        <v>1034</v>
      </c>
      <c r="C7591" s="8" t="s">
        <v>22741</v>
      </c>
      <c r="D7591" s="8" t="s">
        <v>16</v>
      </c>
      <c r="E7591" s="8" t="s">
        <v>17</v>
      </c>
      <c r="F7591" s="9">
        <v>46179.0</v>
      </c>
      <c r="G7591" s="8" t="s">
        <v>59</v>
      </c>
      <c r="H7591" s="8" t="s">
        <v>60</v>
      </c>
      <c r="I7591" s="8" t="s">
        <v>22742</v>
      </c>
      <c r="J7591" s="8" t="s">
        <v>22743</v>
      </c>
    </row>
    <row r="7592">
      <c r="A7592" s="7">
        <v>2.006576E7</v>
      </c>
      <c r="B7592" s="8" t="s">
        <v>1034</v>
      </c>
      <c r="C7592" s="8" t="s">
        <v>22744</v>
      </c>
      <c r="D7592" s="8" t="s">
        <v>16</v>
      </c>
      <c r="E7592" s="8" t="s">
        <v>17</v>
      </c>
      <c r="F7592" s="9">
        <v>46172.0</v>
      </c>
      <c r="G7592" s="8" t="s">
        <v>234</v>
      </c>
      <c r="H7592" s="8" t="s">
        <v>235</v>
      </c>
      <c r="I7592" s="8" t="s">
        <v>22745</v>
      </c>
      <c r="J7592" s="8" t="s">
        <v>22746</v>
      </c>
    </row>
    <row r="7593">
      <c r="A7593" s="7">
        <v>2.0065331E7</v>
      </c>
      <c r="B7593" s="8" t="s">
        <v>1034</v>
      </c>
      <c r="C7593" s="8" t="s">
        <v>22747</v>
      </c>
      <c r="D7593" s="8" t="s">
        <v>16</v>
      </c>
      <c r="E7593" s="8" t="s">
        <v>17</v>
      </c>
      <c r="F7593" s="9">
        <v>46169.0</v>
      </c>
      <c r="G7593" s="8" t="s">
        <v>59</v>
      </c>
      <c r="H7593" s="8" t="s">
        <v>60</v>
      </c>
      <c r="I7593" s="8" t="s">
        <v>22748</v>
      </c>
      <c r="J7593" s="8" t="s">
        <v>22749</v>
      </c>
    </row>
    <row r="7594">
      <c r="A7594" s="7">
        <v>2.0065016E7</v>
      </c>
      <c r="B7594" s="8" t="s">
        <v>1034</v>
      </c>
      <c r="C7594" s="8" t="s">
        <v>22750</v>
      </c>
      <c r="D7594" s="8" t="s">
        <v>16</v>
      </c>
      <c r="E7594" s="8" t="s">
        <v>17</v>
      </c>
      <c r="F7594" s="9">
        <v>46187.0</v>
      </c>
      <c r="G7594" s="8" t="s">
        <v>158</v>
      </c>
      <c r="H7594" s="8" t="s">
        <v>159</v>
      </c>
      <c r="I7594" s="8" t="s">
        <v>22751</v>
      </c>
      <c r="J7594" s="8" t="s">
        <v>22752</v>
      </c>
    </row>
    <row r="7595">
      <c r="A7595" s="7">
        <v>2.0064478E7</v>
      </c>
      <c r="B7595" s="8" t="s">
        <v>1034</v>
      </c>
      <c r="C7595" s="8" t="s">
        <v>22753</v>
      </c>
      <c r="D7595" s="8" t="s">
        <v>16</v>
      </c>
      <c r="E7595" s="8" t="s">
        <v>17</v>
      </c>
      <c r="F7595" s="9">
        <v>46187.0</v>
      </c>
      <c r="G7595" s="8" t="s">
        <v>361</v>
      </c>
      <c r="H7595" s="8" t="s">
        <v>362</v>
      </c>
      <c r="I7595" s="8" t="s">
        <v>22754</v>
      </c>
      <c r="J7595" s="8" t="s">
        <v>22755</v>
      </c>
    </row>
    <row r="7596">
      <c r="A7596" s="7">
        <v>2.0061734E7</v>
      </c>
      <c r="B7596" s="8" t="s">
        <v>1034</v>
      </c>
      <c r="C7596" s="8" t="s">
        <v>22756</v>
      </c>
      <c r="D7596" s="8" t="s">
        <v>16</v>
      </c>
      <c r="E7596" s="8" t="s">
        <v>17</v>
      </c>
      <c r="F7596" s="9">
        <v>46183.0</v>
      </c>
      <c r="G7596" s="8" t="s">
        <v>1627</v>
      </c>
      <c r="H7596" s="8" t="s">
        <v>1628</v>
      </c>
      <c r="I7596" s="8" t="s">
        <v>22757</v>
      </c>
      <c r="J7596" s="8" t="s">
        <v>22758</v>
      </c>
    </row>
    <row r="7597">
      <c r="A7597" s="7">
        <v>2.006202E7</v>
      </c>
      <c r="B7597" s="8" t="s">
        <v>1034</v>
      </c>
      <c r="C7597" s="8" t="s">
        <v>22759</v>
      </c>
      <c r="D7597" s="8" t="s">
        <v>16</v>
      </c>
      <c r="E7597" s="8" t="s">
        <v>17</v>
      </c>
      <c r="F7597" s="9">
        <v>46150.0</v>
      </c>
      <c r="G7597" s="8" t="s">
        <v>846</v>
      </c>
      <c r="H7597" s="8" t="s">
        <v>847</v>
      </c>
      <c r="I7597" s="8" t="s">
        <v>22760</v>
      </c>
      <c r="J7597" s="8" t="s">
        <v>22761</v>
      </c>
    </row>
    <row r="7598">
      <c r="A7598" s="7">
        <v>2.0054717E7</v>
      </c>
      <c r="B7598" s="8" t="s">
        <v>1034</v>
      </c>
      <c r="C7598" s="8" t="s">
        <v>22762</v>
      </c>
      <c r="D7598" s="8" t="s">
        <v>16</v>
      </c>
      <c r="E7598" s="8" t="s">
        <v>17</v>
      </c>
      <c r="F7598" s="9">
        <v>46131.0</v>
      </c>
      <c r="G7598" s="8" t="s">
        <v>91</v>
      </c>
      <c r="H7598" s="8" t="s">
        <v>92</v>
      </c>
      <c r="I7598" s="8" t="s">
        <v>22763</v>
      </c>
      <c r="J7598" s="8" t="s">
        <v>22764</v>
      </c>
    </row>
    <row r="7599">
      <c r="A7599" s="7">
        <v>2.0054702E7</v>
      </c>
      <c r="B7599" s="8" t="s">
        <v>1034</v>
      </c>
      <c r="C7599" s="8" t="s">
        <v>22765</v>
      </c>
      <c r="D7599" s="8" t="s">
        <v>16</v>
      </c>
      <c r="E7599" s="8" t="s">
        <v>17</v>
      </c>
      <c r="F7599" s="9">
        <v>46138.0</v>
      </c>
      <c r="G7599" s="8" t="s">
        <v>390</v>
      </c>
      <c r="H7599" s="8" t="s">
        <v>391</v>
      </c>
      <c r="I7599" s="8" t="s">
        <v>22766</v>
      </c>
      <c r="J7599" s="8" t="s">
        <v>22767</v>
      </c>
    </row>
    <row r="7600">
      <c r="A7600" s="7">
        <v>2.0050512E7</v>
      </c>
      <c r="B7600" s="8" t="s">
        <v>1034</v>
      </c>
      <c r="C7600" s="8" t="s">
        <v>22768</v>
      </c>
      <c r="D7600" s="8" t="s">
        <v>16</v>
      </c>
      <c r="E7600" s="8" t="s">
        <v>17</v>
      </c>
      <c r="F7600" s="9">
        <v>46105.0</v>
      </c>
      <c r="G7600" s="8" t="s">
        <v>2486</v>
      </c>
      <c r="H7600" s="8" t="s">
        <v>44</v>
      </c>
      <c r="I7600" s="8" t="s">
        <v>22769</v>
      </c>
      <c r="J7600" s="8" t="s">
        <v>22770</v>
      </c>
    </row>
    <row r="7601">
      <c r="A7601" s="7">
        <v>2.0048519E7</v>
      </c>
      <c r="B7601" s="8" t="s">
        <v>1034</v>
      </c>
      <c r="C7601" s="8" t="s">
        <v>22771</v>
      </c>
      <c r="D7601" s="8" t="s">
        <v>16</v>
      </c>
      <c r="E7601" s="8" t="s">
        <v>17</v>
      </c>
      <c r="F7601" s="9">
        <v>46097.0</v>
      </c>
      <c r="G7601" s="8" t="s">
        <v>1132</v>
      </c>
      <c r="H7601" s="8" t="s">
        <v>1133</v>
      </c>
      <c r="I7601" s="8" t="s">
        <v>22772</v>
      </c>
      <c r="J7601" s="8" t="s">
        <v>22773</v>
      </c>
    </row>
    <row r="7602">
      <c r="A7602" s="7">
        <v>2.0037044E7</v>
      </c>
      <c r="B7602" s="8" t="s">
        <v>1034</v>
      </c>
      <c r="C7602" s="8" t="s">
        <v>22774</v>
      </c>
      <c r="D7602" s="8" t="s">
        <v>16</v>
      </c>
      <c r="E7602" s="8" t="s">
        <v>17</v>
      </c>
      <c r="F7602" s="9">
        <v>46088.0</v>
      </c>
      <c r="G7602" s="8" t="s">
        <v>124</v>
      </c>
      <c r="H7602" s="8" t="s">
        <v>125</v>
      </c>
      <c r="I7602" s="8" t="s">
        <v>22775</v>
      </c>
      <c r="J7602" s="8"/>
    </row>
    <row r="7603">
      <c r="A7603" s="7">
        <v>2.0039485E7</v>
      </c>
      <c r="B7603" s="8" t="s">
        <v>1034</v>
      </c>
      <c r="C7603" s="8" t="s">
        <v>22776</v>
      </c>
      <c r="D7603" s="8" t="s">
        <v>16</v>
      </c>
      <c r="E7603" s="8" t="s">
        <v>17</v>
      </c>
      <c r="F7603" s="9">
        <v>46076.0</v>
      </c>
      <c r="G7603" s="8" t="s">
        <v>390</v>
      </c>
      <c r="H7603" s="8" t="s">
        <v>391</v>
      </c>
      <c r="I7603" s="8" t="s">
        <v>22777</v>
      </c>
      <c r="J7603" s="8" t="s">
        <v>22778</v>
      </c>
    </row>
    <row r="7604">
      <c r="A7604" s="7">
        <v>2.0037398E7</v>
      </c>
      <c r="B7604" s="8" t="s">
        <v>1034</v>
      </c>
      <c r="C7604" s="8" t="s">
        <v>22779</v>
      </c>
      <c r="D7604" s="8" t="s">
        <v>16</v>
      </c>
      <c r="E7604" s="8" t="s">
        <v>17</v>
      </c>
      <c r="F7604" s="9">
        <v>46064.0</v>
      </c>
      <c r="G7604" s="8" t="s">
        <v>124</v>
      </c>
      <c r="H7604" s="8" t="s">
        <v>125</v>
      </c>
      <c r="I7604" s="8" t="s">
        <v>22780</v>
      </c>
      <c r="J7604" s="8" t="s">
        <v>22781</v>
      </c>
    </row>
    <row r="7605">
      <c r="A7605" s="7">
        <v>2.0033742E7</v>
      </c>
      <c r="B7605" s="8" t="s">
        <v>1034</v>
      </c>
      <c r="C7605" s="8" t="s">
        <v>22782</v>
      </c>
      <c r="D7605" s="8" t="s">
        <v>16</v>
      </c>
      <c r="E7605" s="8" t="s">
        <v>17</v>
      </c>
      <c r="F7605" s="9">
        <v>46046.0</v>
      </c>
      <c r="G7605" s="8" t="s">
        <v>59</v>
      </c>
      <c r="H7605" s="8" t="s">
        <v>60</v>
      </c>
      <c r="I7605" s="8" t="s">
        <v>22783</v>
      </c>
      <c r="J7605" s="8" t="s">
        <v>22784</v>
      </c>
    </row>
    <row r="7606">
      <c r="A7606" s="7">
        <v>2.003402E7</v>
      </c>
      <c r="B7606" s="8" t="s">
        <v>1034</v>
      </c>
      <c r="C7606" s="8" t="s">
        <v>22785</v>
      </c>
      <c r="D7606" s="8" t="s">
        <v>16</v>
      </c>
      <c r="E7606" s="8" t="s">
        <v>17</v>
      </c>
      <c r="F7606" s="9">
        <v>46049.0</v>
      </c>
      <c r="G7606" s="8" t="s">
        <v>13108</v>
      </c>
      <c r="H7606" s="8" t="s">
        <v>13109</v>
      </c>
      <c r="I7606" s="8" t="s">
        <v>22786</v>
      </c>
      <c r="J7606" s="8" t="s">
        <v>22787</v>
      </c>
    </row>
    <row r="7607">
      <c r="A7607" s="7">
        <v>2.0069575E7</v>
      </c>
      <c r="B7607" s="8" t="s">
        <v>1034</v>
      </c>
      <c r="C7607" s="8" t="s">
        <v>22788</v>
      </c>
      <c r="D7607" s="8" t="s">
        <v>16</v>
      </c>
      <c r="E7607" s="8" t="s">
        <v>17</v>
      </c>
      <c r="F7607" s="9">
        <v>46188.0</v>
      </c>
      <c r="G7607" s="8" t="s">
        <v>428</v>
      </c>
      <c r="H7607" s="8" t="s">
        <v>429</v>
      </c>
      <c r="I7607" s="8" t="s">
        <v>22789</v>
      </c>
      <c r="J7607" s="8" t="s">
        <v>22790</v>
      </c>
    </row>
    <row r="7608">
      <c r="A7608" s="7">
        <v>2.0066537E7</v>
      </c>
      <c r="B7608" s="8" t="s">
        <v>1034</v>
      </c>
      <c r="C7608" s="8" t="s">
        <v>22791</v>
      </c>
      <c r="D7608" s="8" t="s">
        <v>16</v>
      </c>
      <c r="E7608" s="8" t="s">
        <v>17</v>
      </c>
      <c r="F7608" s="9">
        <v>46167.0</v>
      </c>
      <c r="G7608" s="8" t="s">
        <v>1391</v>
      </c>
      <c r="H7608" s="8" t="s">
        <v>1392</v>
      </c>
      <c r="I7608" s="8" t="s">
        <v>22792</v>
      </c>
      <c r="J7608" s="8" t="s">
        <v>22793</v>
      </c>
    </row>
    <row r="7609">
      <c r="A7609" s="7">
        <v>2.0061648E7</v>
      </c>
      <c r="B7609" s="8" t="s">
        <v>1034</v>
      </c>
      <c r="C7609" s="8" t="s">
        <v>22794</v>
      </c>
      <c r="D7609" s="8" t="s">
        <v>16</v>
      </c>
      <c r="E7609" s="8" t="s">
        <v>17</v>
      </c>
      <c r="F7609" s="9">
        <v>46156.0</v>
      </c>
      <c r="G7609" s="8" t="s">
        <v>59</v>
      </c>
      <c r="H7609" s="8" t="s">
        <v>60</v>
      </c>
      <c r="I7609" s="8" t="s">
        <v>22795</v>
      </c>
      <c r="J7609" s="8" t="s">
        <v>22796</v>
      </c>
    </row>
    <row r="7610">
      <c r="A7610" s="7">
        <v>2.0053532E7</v>
      </c>
      <c r="B7610" s="8" t="s">
        <v>1034</v>
      </c>
      <c r="C7610" s="8" t="s">
        <v>22797</v>
      </c>
      <c r="D7610" s="8" t="s">
        <v>16</v>
      </c>
      <c r="E7610" s="8" t="s">
        <v>17</v>
      </c>
      <c r="F7610" s="9">
        <v>46120.0</v>
      </c>
      <c r="G7610" s="8" t="s">
        <v>59</v>
      </c>
      <c r="H7610" s="8" t="s">
        <v>60</v>
      </c>
      <c r="I7610" s="8" t="s">
        <v>22798</v>
      </c>
      <c r="J7610" s="8" t="s">
        <v>22799</v>
      </c>
    </row>
    <row r="7611">
      <c r="A7611" s="7">
        <v>2.0050857E7</v>
      </c>
      <c r="B7611" s="8" t="s">
        <v>1034</v>
      </c>
      <c r="C7611" s="8" t="s">
        <v>22800</v>
      </c>
      <c r="D7611" s="8" t="s">
        <v>16</v>
      </c>
      <c r="E7611" s="8" t="s">
        <v>17</v>
      </c>
      <c r="F7611" s="9">
        <v>46119.0</v>
      </c>
      <c r="G7611" s="8" t="s">
        <v>319</v>
      </c>
      <c r="H7611" s="8" t="s">
        <v>320</v>
      </c>
      <c r="I7611" s="8" t="s">
        <v>22801</v>
      </c>
      <c r="J7611" s="8" t="s">
        <v>22802</v>
      </c>
    </row>
    <row r="7612">
      <c r="A7612" s="7">
        <v>2.0047755E7</v>
      </c>
      <c r="B7612" s="8" t="s">
        <v>1034</v>
      </c>
      <c r="C7612" s="8" t="s">
        <v>22803</v>
      </c>
      <c r="D7612" s="8" t="s">
        <v>16</v>
      </c>
      <c r="E7612" s="8" t="s">
        <v>17</v>
      </c>
      <c r="F7612" s="9">
        <v>46094.0</v>
      </c>
      <c r="G7612" s="8" t="s">
        <v>59</v>
      </c>
      <c r="H7612" s="8" t="s">
        <v>60</v>
      </c>
      <c r="I7612" s="8" t="s">
        <v>22804</v>
      </c>
      <c r="J7612" s="8" t="s">
        <v>22805</v>
      </c>
    </row>
    <row r="7613">
      <c r="A7613" s="7">
        <v>2.0046264E7</v>
      </c>
      <c r="B7613" s="8" t="s">
        <v>1034</v>
      </c>
      <c r="C7613" s="8" t="s">
        <v>22806</v>
      </c>
      <c r="D7613" s="8" t="s">
        <v>16</v>
      </c>
      <c r="E7613" s="8" t="s">
        <v>17</v>
      </c>
      <c r="F7613" s="9">
        <v>46095.0</v>
      </c>
      <c r="G7613" s="8" t="s">
        <v>59</v>
      </c>
      <c r="H7613" s="8" t="s">
        <v>60</v>
      </c>
      <c r="I7613" s="8" t="s">
        <v>22807</v>
      </c>
      <c r="J7613" s="8" t="s">
        <v>22808</v>
      </c>
    </row>
    <row r="7614">
      <c r="A7614" s="7">
        <v>2.0045079E7</v>
      </c>
      <c r="B7614" s="8" t="s">
        <v>1034</v>
      </c>
      <c r="C7614" s="8" t="s">
        <v>22809</v>
      </c>
      <c r="D7614" s="8" t="s">
        <v>16</v>
      </c>
      <c r="E7614" s="8" t="s">
        <v>17</v>
      </c>
      <c r="F7614" s="9">
        <v>46087.0</v>
      </c>
      <c r="G7614" s="8" t="s">
        <v>352</v>
      </c>
      <c r="H7614" s="8" t="s">
        <v>353</v>
      </c>
      <c r="I7614" s="8" t="s">
        <v>22810</v>
      </c>
      <c r="J7614" s="8" t="s">
        <v>22811</v>
      </c>
    </row>
    <row r="7615">
      <c r="A7615" s="7">
        <v>2.0045079E7</v>
      </c>
      <c r="B7615" s="8" t="s">
        <v>1034</v>
      </c>
      <c r="C7615" s="8" t="s">
        <v>22812</v>
      </c>
      <c r="D7615" s="8" t="s">
        <v>16</v>
      </c>
      <c r="E7615" s="8" t="s">
        <v>17</v>
      </c>
      <c r="F7615" s="9">
        <v>46110.0</v>
      </c>
      <c r="G7615" s="8" t="s">
        <v>22813</v>
      </c>
      <c r="H7615" s="8" t="s">
        <v>22814</v>
      </c>
      <c r="I7615" s="8" t="s">
        <v>22815</v>
      </c>
      <c r="J7615" s="8" t="s">
        <v>22816</v>
      </c>
    </row>
    <row r="7616">
      <c r="A7616" s="7">
        <v>2.0044436E7</v>
      </c>
      <c r="B7616" s="8" t="s">
        <v>1034</v>
      </c>
      <c r="C7616" s="8" t="s">
        <v>22817</v>
      </c>
      <c r="D7616" s="8" t="s">
        <v>16</v>
      </c>
      <c r="E7616" s="8" t="s">
        <v>17</v>
      </c>
      <c r="F7616" s="9">
        <v>46096.0</v>
      </c>
      <c r="G7616" s="8" t="s">
        <v>390</v>
      </c>
      <c r="H7616" s="8" t="s">
        <v>391</v>
      </c>
      <c r="I7616" s="8" t="s">
        <v>22818</v>
      </c>
      <c r="J7616" s="8" t="s">
        <v>22819</v>
      </c>
    </row>
    <row r="7617">
      <c r="A7617" s="7">
        <v>2.0041073E7</v>
      </c>
      <c r="B7617" s="8" t="s">
        <v>1034</v>
      </c>
      <c r="C7617" s="8" t="s">
        <v>22820</v>
      </c>
      <c r="D7617" s="8" t="s">
        <v>16</v>
      </c>
      <c r="E7617" s="8" t="s">
        <v>17</v>
      </c>
      <c r="F7617" s="9">
        <v>46076.0</v>
      </c>
      <c r="G7617" s="8" t="s">
        <v>91</v>
      </c>
      <c r="H7617" s="8" t="s">
        <v>92</v>
      </c>
      <c r="I7617" s="8" t="s">
        <v>22821</v>
      </c>
      <c r="J7617" s="8" t="s">
        <v>22822</v>
      </c>
    </row>
    <row r="7618">
      <c r="A7618" s="7">
        <v>2.0042075E7</v>
      </c>
      <c r="B7618" s="8" t="s">
        <v>1034</v>
      </c>
      <c r="C7618" s="8" t="s">
        <v>22823</v>
      </c>
      <c r="D7618" s="8" t="s">
        <v>16</v>
      </c>
      <c r="E7618" s="8" t="s">
        <v>17</v>
      </c>
      <c r="F7618" s="9">
        <v>46074.0</v>
      </c>
      <c r="G7618" s="8" t="s">
        <v>365</v>
      </c>
      <c r="H7618" s="8" t="s">
        <v>366</v>
      </c>
      <c r="I7618" s="8" t="s">
        <v>22824</v>
      </c>
      <c r="J7618" s="8" t="s">
        <v>1198</v>
      </c>
    </row>
    <row r="7619">
      <c r="A7619" s="7">
        <v>2.0037764E7</v>
      </c>
      <c r="B7619" s="8" t="s">
        <v>1034</v>
      </c>
      <c r="C7619" s="8" t="s">
        <v>22825</v>
      </c>
      <c r="D7619" s="8" t="s">
        <v>16</v>
      </c>
      <c r="E7619" s="8" t="s">
        <v>17</v>
      </c>
      <c r="F7619" s="9">
        <v>46057.0</v>
      </c>
      <c r="G7619" s="8" t="s">
        <v>59</v>
      </c>
      <c r="H7619" s="8" t="s">
        <v>60</v>
      </c>
      <c r="I7619" s="8" t="s">
        <v>22826</v>
      </c>
      <c r="J7619" s="8" t="s">
        <v>22827</v>
      </c>
    </row>
    <row r="7620">
      <c r="A7620" s="7">
        <v>2.0035875E7</v>
      </c>
      <c r="B7620" s="8" t="s">
        <v>1034</v>
      </c>
      <c r="C7620" s="8" t="s">
        <v>22828</v>
      </c>
      <c r="D7620" s="8" t="s">
        <v>16</v>
      </c>
      <c r="E7620" s="8" t="s">
        <v>17</v>
      </c>
      <c r="F7620" s="9">
        <v>46054.0</v>
      </c>
      <c r="G7620" s="8" t="s">
        <v>504</v>
      </c>
      <c r="H7620" s="8" t="s">
        <v>505</v>
      </c>
      <c r="I7620" s="8" t="s">
        <v>22829</v>
      </c>
      <c r="J7620" s="8" t="s">
        <v>22830</v>
      </c>
    </row>
    <row r="7621">
      <c r="A7621" s="7">
        <v>2.0071055E7</v>
      </c>
      <c r="B7621" s="8" t="s">
        <v>1034</v>
      </c>
      <c r="C7621" s="8" t="s">
        <v>22831</v>
      </c>
      <c r="D7621" s="8" t="s">
        <v>16</v>
      </c>
      <c r="E7621" s="8" t="s">
        <v>17</v>
      </c>
      <c r="F7621" s="9">
        <v>46193.0</v>
      </c>
      <c r="G7621" s="8" t="s">
        <v>3812</v>
      </c>
      <c r="H7621" s="8" t="s">
        <v>3813</v>
      </c>
      <c r="I7621" s="8" t="s">
        <v>22832</v>
      </c>
      <c r="J7621" s="8" t="s">
        <v>22833</v>
      </c>
    </row>
    <row r="7622">
      <c r="A7622" s="7">
        <v>2.0068154E7</v>
      </c>
      <c r="B7622" s="8" t="s">
        <v>1034</v>
      </c>
      <c r="C7622" s="8" t="s">
        <v>22834</v>
      </c>
      <c r="D7622" s="8" t="s">
        <v>16</v>
      </c>
      <c r="E7622" s="8" t="s">
        <v>17</v>
      </c>
      <c r="F7622" s="9">
        <v>46179.0</v>
      </c>
      <c r="G7622" s="8" t="s">
        <v>59</v>
      </c>
      <c r="H7622" s="8" t="s">
        <v>60</v>
      </c>
      <c r="I7622" s="8" t="s">
        <v>22835</v>
      </c>
      <c r="J7622" s="8" t="s">
        <v>22836</v>
      </c>
    </row>
    <row r="7623">
      <c r="A7623" s="7">
        <v>2.0064408E7</v>
      </c>
      <c r="B7623" s="8" t="s">
        <v>1034</v>
      </c>
      <c r="C7623" s="8" t="s">
        <v>22837</v>
      </c>
      <c r="D7623" s="8" t="s">
        <v>16</v>
      </c>
      <c r="E7623" s="8" t="s">
        <v>17</v>
      </c>
      <c r="F7623" s="9">
        <v>46165.0</v>
      </c>
      <c r="G7623" s="8" t="s">
        <v>352</v>
      </c>
      <c r="H7623" s="8" t="s">
        <v>353</v>
      </c>
      <c r="I7623" s="8" t="s">
        <v>22838</v>
      </c>
      <c r="J7623" s="8" t="s">
        <v>22839</v>
      </c>
    </row>
    <row r="7624">
      <c r="A7624" s="7">
        <v>2.0064157E7</v>
      </c>
      <c r="B7624" s="8" t="s">
        <v>1034</v>
      </c>
      <c r="C7624" s="8" t="s">
        <v>22840</v>
      </c>
      <c r="D7624" s="8" t="s">
        <v>16</v>
      </c>
      <c r="E7624" s="8" t="s">
        <v>17</v>
      </c>
      <c r="F7624" s="9">
        <v>46186.0</v>
      </c>
      <c r="G7624" s="8" t="s">
        <v>361</v>
      </c>
      <c r="H7624" s="8" t="s">
        <v>362</v>
      </c>
      <c r="I7624" s="8" t="s">
        <v>22841</v>
      </c>
      <c r="J7624" s="8" t="s">
        <v>22842</v>
      </c>
    </row>
    <row r="7625">
      <c r="A7625" s="7">
        <v>2.0060071E7</v>
      </c>
      <c r="B7625" s="8" t="s">
        <v>1034</v>
      </c>
      <c r="C7625" s="8" t="s">
        <v>22843</v>
      </c>
      <c r="D7625" s="8" t="s">
        <v>16</v>
      </c>
      <c r="E7625" s="8" t="s">
        <v>17</v>
      </c>
      <c r="F7625" s="9">
        <v>46179.0</v>
      </c>
      <c r="G7625" s="8" t="s">
        <v>400</v>
      </c>
      <c r="H7625" s="8" t="s">
        <v>2144</v>
      </c>
      <c r="I7625" s="8" t="s">
        <v>22844</v>
      </c>
      <c r="J7625" s="8" t="s">
        <v>22845</v>
      </c>
    </row>
    <row r="7626">
      <c r="A7626" s="7">
        <v>2.0060071E7</v>
      </c>
      <c r="B7626" s="8" t="s">
        <v>1034</v>
      </c>
      <c r="C7626" s="8" t="s">
        <v>22843</v>
      </c>
      <c r="D7626" s="8" t="s">
        <v>16</v>
      </c>
      <c r="E7626" s="8" t="s">
        <v>17</v>
      </c>
      <c r="F7626" s="9">
        <v>46179.0</v>
      </c>
      <c r="G7626" s="8" t="s">
        <v>454</v>
      </c>
      <c r="H7626" s="8" t="s">
        <v>455</v>
      </c>
      <c r="I7626" s="8" t="s">
        <v>22846</v>
      </c>
      <c r="J7626" s="8" t="s">
        <v>22847</v>
      </c>
    </row>
    <row r="7627">
      <c r="A7627" s="7">
        <v>2.0060285E7</v>
      </c>
      <c r="B7627" s="8" t="s">
        <v>1034</v>
      </c>
      <c r="C7627" s="8" t="s">
        <v>22848</v>
      </c>
      <c r="D7627" s="8" t="s">
        <v>16</v>
      </c>
      <c r="E7627" s="8" t="s">
        <v>17</v>
      </c>
      <c r="F7627" s="9">
        <v>46151.0</v>
      </c>
      <c r="G7627" s="8" t="s">
        <v>282</v>
      </c>
      <c r="H7627" s="8" t="s">
        <v>3005</v>
      </c>
      <c r="I7627" s="8" t="s">
        <v>22849</v>
      </c>
      <c r="J7627" s="8" t="s">
        <v>22850</v>
      </c>
    </row>
    <row r="7628">
      <c r="A7628" s="7">
        <v>2.0060233E7</v>
      </c>
      <c r="B7628" s="8" t="s">
        <v>1034</v>
      </c>
      <c r="C7628" s="8" t="s">
        <v>22851</v>
      </c>
      <c r="D7628" s="8" t="s">
        <v>16</v>
      </c>
      <c r="E7628" s="8" t="s">
        <v>17</v>
      </c>
      <c r="F7628" s="9">
        <v>46150.0</v>
      </c>
      <c r="G7628" s="8" t="s">
        <v>220</v>
      </c>
      <c r="H7628" s="8" t="s">
        <v>221</v>
      </c>
      <c r="I7628" s="8" t="s">
        <v>22852</v>
      </c>
      <c r="J7628" s="8" t="s">
        <v>22853</v>
      </c>
    </row>
    <row r="7629">
      <c r="A7629" s="7">
        <v>2.0058004E7</v>
      </c>
      <c r="B7629" s="8" t="s">
        <v>1034</v>
      </c>
      <c r="C7629" s="8" t="s">
        <v>22854</v>
      </c>
      <c r="D7629" s="8" t="s">
        <v>16</v>
      </c>
      <c r="E7629" s="8" t="s">
        <v>17</v>
      </c>
      <c r="F7629" s="9">
        <v>46140.0</v>
      </c>
      <c r="G7629" s="8" t="s">
        <v>220</v>
      </c>
      <c r="H7629" s="8" t="s">
        <v>221</v>
      </c>
      <c r="I7629" s="8" t="s">
        <v>22855</v>
      </c>
      <c r="J7629" s="8" t="s">
        <v>22856</v>
      </c>
    </row>
    <row r="7630">
      <c r="A7630" s="7">
        <v>2.0058298E7</v>
      </c>
      <c r="B7630" s="8" t="s">
        <v>1034</v>
      </c>
      <c r="C7630" s="8" t="s">
        <v>22857</v>
      </c>
      <c r="D7630" s="8" t="s">
        <v>16</v>
      </c>
      <c r="E7630" s="8" t="s">
        <v>17</v>
      </c>
      <c r="F7630" s="9">
        <v>46177.0</v>
      </c>
      <c r="G7630" s="8" t="s">
        <v>171</v>
      </c>
      <c r="H7630" s="8" t="s">
        <v>172</v>
      </c>
      <c r="I7630" s="8" t="s">
        <v>22858</v>
      </c>
      <c r="J7630" s="8" t="s">
        <v>22859</v>
      </c>
    </row>
    <row r="7631">
      <c r="A7631" s="7">
        <v>2.0056144E7</v>
      </c>
      <c r="B7631" s="8" t="s">
        <v>1034</v>
      </c>
      <c r="C7631" s="8" t="s">
        <v>22860</v>
      </c>
      <c r="D7631" s="8" t="s">
        <v>16</v>
      </c>
      <c r="E7631" s="8" t="s">
        <v>17</v>
      </c>
      <c r="F7631" s="9">
        <v>46144.0</v>
      </c>
      <c r="G7631" s="8" t="s">
        <v>9870</v>
      </c>
      <c r="H7631" s="8" t="s">
        <v>9871</v>
      </c>
      <c r="I7631" s="8" t="s">
        <v>22861</v>
      </c>
      <c r="J7631" s="8" t="s">
        <v>22862</v>
      </c>
    </row>
    <row r="7632">
      <c r="A7632" s="7">
        <v>2.0050685E7</v>
      </c>
      <c r="B7632" s="8" t="s">
        <v>1034</v>
      </c>
      <c r="C7632" s="8" t="s">
        <v>22863</v>
      </c>
      <c r="D7632" s="8" t="s">
        <v>16</v>
      </c>
      <c r="E7632" s="8" t="s">
        <v>17</v>
      </c>
      <c r="F7632" s="9">
        <v>46107.0</v>
      </c>
      <c r="G7632" s="8" t="s">
        <v>2625</v>
      </c>
      <c r="H7632" s="8" t="s">
        <v>827</v>
      </c>
      <c r="I7632" s="8" t="s">
        <v>22864</v>
      </c>
      <c r="J7632" s="8" t="s">
        <v>22865</v>
      </c>
    </row>
    <row r="7633">
      <c r="A7633" s="7">
        <v>2.0051204E7</v>
      </c>
      <c r="B7633" s="8" t="s">
        <v>1034</v>
      </c>
      <c r="C7633" s="8" t="s">
        <v>22866</v>
      </c>
      <c r="D7633" s="8" t="s">
        <v>16</v>
      </c>
      <c r="E7633" s="8" t="s">
        <v>17</v>
      </c>
      <c r="F7633" s="9">
        <v>46119.0</v>
      </c>
      <c r="G7633" s="8" t="s">
        <v>361</v>
      </c>
      <c r="H7633" s="8" t="s">
        <v>362</v>
      </c>
      <c r="I7633" s="8" t="s">
        <v>22867</v>
      </c>
      <c r="J7633" s="8" t="s">
        <v>22868</v>
      </c>
    </row>
    <row r="7634">
      <c r="A7634" s="7">
        <v>2.0050104E7</v>
      </c>
      <c r="B7634" s="8" t="s">
        <v>1034</v>
      </c>
      <c r="C7634" s="8" t="s">
        <v>22869</v>
      </c>
      <c r="D7634" s="8" t="s">
        <v>16</v>
      </c>
      <c r="E7634" s="8" t="s">
        <v>17</v>
      </c>
      <c r="F7634" s="9">
        <v>46111.0</v>
      </c>
      <c r="G7634" s="8" t="s">
        <v>59</v>
      </c>
      <c r="H7634" s="8" t="s">
        <v>60</v>
      </c>
      <c r="I7634" s="8" t="s">
        <v>22870</v>
      </c>
      <c r="J7634" s="8" t="s">
        <v>22871</v>
      </c>
    </row>
    <row r="7635">
      <c r="A7635" s="7">
        <v>2.004869E7</v>
      </c>
      <c r="B7635" s="8" t="s">
        <v>1034</v>
      </c>
      <c r="C7635" s="8" t="s">
        <v>22872</v>
      </c>
      <c r="D7635" s="8" t="s">
        <v>16</v>
      </c>
      <c r="E7635" s="8" t="s">
        <v>17</v>
      </c>
      <c r="F7635" s="9">
        <v>46107.0</v>
      </c>
      <c r="G7635" s="8" t="s">
        <v>1427</v>
      </c>
      <c r="H7635" s="8" t="s">
        <v>1428</v>
      </c>
      <c r="I7635" s="8" t="s">
        <v>22873</v>
      </c>
      <c r="J7635" s="8" t="s">
        <v>22874</v>
      </c>
    </row>
    <row r="7636">
      <c r="A7636" s="7">
        <v>2.0047228E7</v>
      </c>
      <c r="B7636" s="8" t="s">
        <v>1034</v>
      </c>
      <c r="C7636" s="8" t="s">
        <v>22875</v>
      </c>
      <c r="D7636" s="8" t="s">
        <v>16</v>
      </c>
      <c r="E7636" s="8" t="s">
        <v>17</v>
      </c>
      <c r="F7636" s="9">
        <v>46106.0</v>
      </c>
      <c r="G7636" s="8" t="s">
        <v>242</v>
      </c>
      <c r="H7636" s="8" t="s">
        <v>243</v>
      </c>
      <c r="I7636" s="8" t="s">
        <v>22876</v>
      </c>
      <c r="J7636" s="8" t="s">
        <v>22877</v>
      </c>
    </row>
    <row r="7637">
      <c r="A7637" s="7">
        <v>2.004589E7</v>
      </c>
      <c r="B7637" s="8" t="s">
        <v>1034</v>
      </c>
      <c r="C7637" s="8" t="s">
        <v>22878</v>
      </c>
      <c r="D7637" s="8" t="s">
        <v>16</v>
      </c>
      <c r="E7637" s="8" t="s">
        <v>17</v>
      </c>
      <c r="F7637" s="9">
        <v>46103.0</v>
      </c>
      <c r="G7637" s="8" t="s">
        <v>15258</v>
      </c>
      <c r="H7637" s="8" t="s">
        <v>15259</v>
      </c>
      <c r="I7637" s="8" t="s">
        <v>22879</v>
      </c>
      <c r="J7637" s="8" t="s">
        <v>22880</v>
      </c>
    </row>
    <row r="7638">
      <c r="A7638" s="7">
        <v>2.0044532E7</v>
      </c>
      <c r="B7638" s="8" t="s">
        <v>1034</v>
      </c>
      <c r="C7638" s="8" t="s">
        <v>22881</v>
      </c>
      <c r="D7638" s="8" t="s">
        <v>16</v>
      </c>
      <c r="E7638" s="8" t="s">
        <v>17</v>
      </c>
      <c r="F7638" s="9">
        <v>46106.0</v>
      </c>
      <c r="G7638" s="8" t="s">
        <v>1638</v>
      </c>
      <c r="H7638" s="8" t="s">
        <v>1639</v>
      </c>
      <c r="I7638" s="8" t="s">
        <v>22882</v>
      </c>
      <c r="J7638" s="8" t="s">
        <v>22883</v>
      </c>
    </row>
    <row r="7639">
      <c r="A7639" s="7">
        <v>2.0041572E7</v>
      </c>
      <c r="B7639" s="8" t="s">
        <v>1034</v>
      </c>
      <c r="C7639" s="8" t="s">
        <v>22884</v>
      </c>
      <c r="D7639" s="8" t="s">
        <v>16</v>
      </c>
      <c r="E7639" s="8" t="s">
        <v>17</v>
      </c>
      <c r="F7639" s="9">
        <v>46076.0</v>
      </c>
      <c r="G7639" s="8" t="s">
        <v>385</v>
      </c>
      <c r="H7639" s="8" t="s">
        <v>386</v>
      </c>
      <c r="I7639" s="8" t="s">
        <v>22885</v>
      </c>
      <c r="J7639" s="8" t="s">
        <v>22886</v>
      </c>
    </row>
    <row r="7640">
      <c r="A7640" s="7">
        <v>2.004231E7</v>
      </c>
      <c r="B7640" s="8" t="s">
        <v>1034</v>
      </c>
      <c r="C7640" s="8" t="s">
        <v>22887</v>
      </c>
      <c r="D7640" s="8" t="s">
        <v>16</v>
      </c>
      <c r="E7640" s="8" t="s">
        <v>17</v>
      </c>
      <c r="F7640" s="9">
        <v>46090.0</v>
      </c>
      <c r="G7640" s="8" t="s">
        <v>22888</v>
      </c>
      <c r="H7640" s="8" t="s">
        <v>22889</v>
      </c>
      <c r="I7640" s="8" t="s">
        <v>22890</v>
      </c>
      <c r="J7640" s="8" t="s">
        <v>22891</v>
      </c>
    </row>
    <row r="7641">
      <c r="A7641" s="7">
        <v>2.004236E7</v>
      </c>
      <c r="B7641" s="8" t="s">
        <v>1034</v>
      </c>
      <c r="C7641" s="8" t="s">
        <v>22892</v>
      </c>
      <c r="D7641" s="8" t="s">
        <v>16</v>
      </c>
      <c r="E7641" s="8" t="s">
        <v>17</v>
      </c>
      <c r="F7641" s="9">
        <v>46082.0</v>
      </c>
      <c r="G7641" s="8" t="s">
        <v>34</v>
      </c>
      <c r="H7641" s="8" t="s">
        <v>35</v>
      </c>
      <c r="I7641" s="8" t="s">
        <v>22893</v>
      </c>
      <c r="J7641" s="8" t="s">
        <v>22894</v>
      </c>
    </row>
    <row r="7642">
      <c r="A7642" s="7">
        <v>2.0041333E7</v>
      </c>
      <c r="B7642" s="8" t="s">
        <v>1034</v>
      </c>
      <c r="C7642" s="8" t="s">
        <v>22895</v>
      </c>
      <c r="D7642" s="8" t="s">
        <v>16</v>
      </c>
      <c r="E7642" s="8" t="s">
        <v>17</v>
      </c>
      <c r="F7642" s="9">
        <v>46069.0</v>
      </c>
      <c r="G7642" s="8" t="s">
        <v>59</v>
      </c>
      <c r="H7642" s="8" t="s">
        <v>60</v>
      </c>
      <c r="I7642" s="8" t="s">
        <v>22896</v>
      </c>
      <c r="J7642" s="8" t="s">
        <v>22897</v>
      </c>
    </row>
    <row r="7643">
      <c r="A7643" s="7">
        <v>2.0041318E7</v>
      </c>
      <c r="B7643" s="8" t="s">
        <v>1034</v>
      </c>
      <c r="C7643" s="8" t="s">
        <v>22898</v>
      </c>
      <c r="D7643" s="8" t="s">
        <v>16</v>
      </c>
      <c r="E7643" s="8" t="s">
        <v>17</v>
      </c>
      <c r="F7643" s="9">
        <v>46081.0</v>
      </c>
      <c r="G7643" s="8" t="s">
        <v>2339</v>
      </c>
      <c r="H7643" s="8" t="s">
        <v>2340</v>
      </c>
      <c r="I7643" s="8" t="s">
        <v>22899</v>
      </c>
      <c r="J7643" s="8" t="s">
        <v>22900</v>
      </c>
    </row>
    <row r="7644">
      <c r="A7644" s="7">
        <v>2.0036195E7</v>
      </c>
      <c r="B7644" s="8" t="s">
        <v>1034</v>
      </c>
      <c r="C7644" s="8" t="s">
        <v>22901</v>
      </c>
      <c r="D7644" s="8" t="s">
        <v>16</v>
      </c>
      <c r="E7644" s="8" t="s">
        <v>17</v>
      </c>
      <c r="F7644" s="9">
        <v>46080.0</v>
      </c>
      <c r="G7644" s="8" t="s">
        <v>1155</v>
      </c>
      <c r="H7644" s="8" t="s">
        <v>1156</v>
      </c>
      <c r="I7644" s="8" t="s">
        <v>22902</v>
      </c>
      <c r="J7644" s="8" t="s">
        <v>22903</v>
      </c>
    </row>
    <row r="7645">
      <c r="A7645" s="7">
        <v>2.0038969E7</v>
      </c>
      <c r="B7645" s="8" t="s">
        <v>1034</v>
      </c>
      <c r="C7645" s="8" t="s">
        <v>22904</v>
      </c>
      <c r="D7645" s="8" t="s">
        <v>16</v>
      </c>
      <c r="E7645" s="8" t="s">
        <v>17</v>
      </c>
      <c r="F7645" s="9">
        <v>46062.0</v>
      </c>
      <c r="G7645" s="8" t="s">
        <v>759</v>
      </c>
      <c r="H7645" s="8" t="s">
        <v>760</v>
      </c>
      <c r="I7645" s="8" t="s">
        <v>22905</v>
      </c>
      <c r="J7645" s="8" t="s">
        <v>22906</v>
      </c>
    </row>
    <row r="7646">
      <c r="A7646" s="7">
        <v>2.0038445E7</v>
      </c>
      <c r="B7646" s="8" t="s">
        <v>1034</v>
      </c>
      <c r="C7646" s="8" t="s">
        <v>22907</v>
      </c>
      <c r="D7646" s="8" t="s">
        <v>16</v>
      </c>
      <c r="E7646" s="8" t="s">
        <v>17</v>
      </c>
      <c r="F7646" s="9">
        <v>46074.0</v>
      </c>
      <c r="G7646" s="8" t="s">
        <v>2632</v>
      </c>
      <c r="H7646" s="8" t="s">
        <v>2633</v>
      </c>
      <c r="I7646" s="8" t="s">
        <v>22908</v>
      </c>
      <c r="J7646" s="8" t="s">
        <v>22909</v>
      </c>
    </row>
    <row r="7647">
      <c r="A7647" s="7">
        <v>2.0037071E7</v>
      </c>
      <c r="B7647" s="8" t="s">
        <v>1034</v>
      </c>
      <c r="C7647" s="8" t="s">
        <v>22910</v>
      </c>
      <c r="D7647" s="8" t="s">
        <v>16</v>
      </c>
      <c r="E7647" s="8" t="s">
        <v>17</v>
      </c>
      <c r="F7647" s="9">
        <v>46071.0</v>
      </c>
      <c r="G7647" s="8" t="s">
        <v>390</v>
      </c>
      <c r="H7647" s="8" t="s">
        <v>391</v>
      </c>
      <c r="I7647" s="8" t="s">
        <v>22911</v>
      </c>
      <c r="J7647" s="8" t="s">
        <v>22912</v>
      </c>
    </row>
    <row r="7648">
      <c r="A7648" s="7">
        <v>2.0037326E7</v>
      </c>
      <c r="B7648" s="8" t="s">
        <v>1034</v>
      </c>
      <c r="C7648" s="8" t="s">
        <v>22913</v>
      </c>
      <c r="D7648" s="8" t="s">
        <v>16</v>
      </c>
      <c r="E7648" s="8" t="s">
        <v>17</v>
      </c>
      <c r="F7648" s="9">
        <v>46046.0</v>
      </c>
      <c r="G7648" s="8" t="s">
        <v>59</v>
      </c>
      <c r="H7648" s="8" t="s">
        <v>60</v>
      </c>
      <c r="I7648" s="8" t="s">
        <v>22914</v>
      </c>
      <c r="J7648" s="8" t="s">
        <v>22915</v>
      </c>
    </row>
    <row r="7649">
      <c r="A7649" s="7">
        <v>2.0035457E7</v>
      </c>
      <c r="B7649" s="8" t="s">
        <v>1034</v>
      </c>
      <c r="C7649" s="8" t="s">
        <v>22916</v>
      </c>
      <c r="D7649" s="8" t="s">
        <v>16</v>
      </c>
      <c r="E7649" s="8" t="s">
        <v>17</v>
      </c>
      <c r="F7649" s="9">
        <v>46067.0</v>
      </c>
      <c r="G7649" s="8" t="s">
        <v>1344</v>
      </c>
      <c r="H7649" s="8" t="s">
        <v>1345</v>
      </c>
      <c r="I7649" s="8" t="s">
        <v>22917</v>
      </c>
      <c r="J7649" s="8" t="s">
        <v>22918</v>
      </c>
    </row>
    <row r="7650">
      <c r="A7650" s="7">
        <v>2.0061135E7</v>
      </c>
      <c r="B7650" s="8" t="s">
        <v>1034</v>
      </c>
      <c r="C7650" s="8" t="s">
        <v>22919</v>
      </c>
      <c r="D7650" s="8" t="s">
        <v>16</v>
      </c>
      <c r="E7650" s="8" t="s">
        <v>17</v>
      </c>
      <c r="F7650" s="9">
        <v>46155.0</v>
      </c>
      <c r="G7650" s="8" t="s">
        <v>5317</v>
      </c>
      <c r="H7650" s="8" t="s">
        <v>5318</v>
      </c>
      <c r="I7650" s="8" t="s">
        <v>22920</v>
      </c>
      <c r="J7650" s="8" t="s">
        <v>22921</v>
      </c>
    </row>
    <row r="7651">
      <c r="A7651" s="7">
        <v>2.0059037E7</v>
      </c>
      <c r="B7651" s="8" t="s">
        <v>1034</v>
      </c>
      <c r="C7651" s="8" t="s">
        <v>22922</v>
      </c>
      <c r="D7651" s="8" t="s">
        <v>16</v>
      </c>
      <c r="E7651" s="8" t="s">
        <v>17</v>
      </c>
      <c r="F7651" s="9">
        <v>46187.0</v>
      </c>
      <c r="G7651" s="8" t="s">
        <v>361</v>
      </c>
      <c r="H7651" s="8" t="s">
        <v>362</v>
      </c>
      <c r="I7651" s="8" t="s">
        <v>22923</v>
      </c>
      <c r="J7651" s="8" t="s">
        <v>22924</v>
      </c>
    </row>
    <row r="7652">
      <c r="A7652" s="7">
        <v>2.006141E7</v>
      </c>
      <c r="B7652" s="8" t="s">
        <v>1034</v>
      </c>
      <c r="C7652" s="8" t="s">
        <v>22925</v>
      </c>
      <c r="D7652" s="8" t="s">
        <v>16</v>
      </c>
      <c r="E7652" s="8" t="s">
        <v>17</v>
      </c>
      <c r="F7652" s="9">
        <v>46180.0</v>
      </c>
      <c r="G7652" s="8" t="s">
        <v>4564</v>
      </c>
      <c r="H7652" s="8" t="s">
        <v>4565</v>
      </c>
      <c r="I7652" s="8" t="s">
        <v>22926</v>
      </c>
      <c r="J7652" s="8" t="s">
        <v>22927</v>
      </c>
    </row>
    <row r="7653">
      <c r="A7653" s="7">
        <v>2.006074E7</v>
      </c>
      <c r="B7653" s="8" t="s">
        <v>1034</v>
      </c>
      <c r="C7653" s="8" t="s">
        <v>22928</v>
      </c>
      <c r="D7653" s="8" t="s">
        <v>16</v>
      </c>
      <c r="E7653" s="8" t="s">
        <v>17</v>
      </c>
      <c r="F7653" s="9">
        <v>46178.0</v>
      </c>
      <c r="G7653" s="8" t="s">
        <v>6778</v>
      </c>
      <c r="H7653" s="8" t="s">
        <v>6779</v>
      </c>
      <c r="I7653" s="8" t="s">
        <v>22929</v>
      </c>
      <c r="J7653" s="8" t="s">
        <v>22930</v>
      </c>
    </row>
    <row r="7654">
      <c r="A7654" s="7">
        <v>2.0058179E7</v>
      </c>
      <c r="B7654" s="8" t="s">
        <v>1034</v>
      </c>
      <c r="C7654" s="8" t="s">
        <v>22931</v>
      </c>
      <c r="D7654" s="8" t="s">
        <v>16</v>
      </c>
      <c r="E7654" s="8" t="s">
        <v>17</v>
      </c>
      <c r="F7654" s="9">
        <v>46139.0</v>
      </c>
      <c r="G7654" s="8" t="s">
        <v>423</v>
      </c>
      <c r="H7654" s="8" t="s">
        <v>6351</v>
      </c>
      <c r="I7654" s="8" t="s">
        <v>22932</v>
      </c>
      <c r="J7654" s="8" t="s">
        <v>22933</v>
      </c>
    </row>
    <row r="7655">
      <c r="A7655" s="7">
        <v>2.00581E7</v>
      </c>
      <c r="B7655" s="8" t="s">
        <v>1034</v>
      </c>
      <c r="C7655" s="8" t="s">
        <v>22934</v>
      </c>
      <c r="D7655" s="8" t="s">
        <v>16</v>
      </c>
      <c r="E7655" s="8" t="s">
        <v>1074</v>
      </c>
      <c r="F7655" s="9">
        <v>46140.0</v>
      </c>
      <c r="G7655" s="8" t="s">
        <v>1085</v>
      </c>
      <c r="H7655" s="8" t="s">
        <v>1086</v>
      </c>
      <c r="I7655" s="8" t="s">
        <v>22935</v>
      </c>
      <c r="J7655" s="8" t="s">
        <v>22671</v>
      </c>
    </row>
    <row r="7656">
      <c r="A7656" s="7">
        <v>2.0056471E7</v>
      </c>
      <c r="B7656" s="8" t="s">
        <v>1034</v>
      </c>
      <c r="C7656" s="8" t="s">
        <v>22936</v>
      </c>
      <c r="D7656" s="8" t="s">
        <v>16</v>
      </c>
      <c r="E7656" s="8" t="s">
        <v>17</v>
      </c>
      <c r="F7656" s="9">
        <v>46145.0</v>
      </c>
      <c r="G7656" s="8" t="s">
        <v>630</v>
      </c>
      <c r="H7656" s="8" t="s">
        <v>631</v>
      </c>
      <c r="I7656" s="8" t="s">
        <v>22937</v>
      </c>
      <c r="J7656" s="8" t="s">
        <v>22938</v>
      </c>
    </row>
    <row r="7657">
      <c r="A7657" s="7">
        <v>2.0057103E7</v>
      </c>
      <c r="B7657" s="8" t="s">
        <v>1034</v>
      </c>
      <c r="C7657" s="8" t="s">
        <v>22939</v>
      </c>
      <c r="D7657" s="8" t="s">
        <v>16</v>
      </c>
      <c r="E7657" s="8" t="s">
        <v>17</v>
      </c>
      <c r="F7657" s="9">
        <v>46138.0</v>
      </c>
      <c r="G7657" s="8" t="s">
        <v>6038</v>
      </c>
      <c r="H7657" s="8" t="s">
        <v>6039</v>
      </c>
      <c r="I7657" s="8" t="s">
        <v>22940</v>
      </c>
      <c r="J7657" s="8" t="s">
        <v>1752</v>
      </c>
    </row>
    <row r="7658">
      <c r="A7658" s="7">
        <v>2.0056646E7</v>
      </c>
      <c r="B7658" s="8" t="s">
        <v>1034</v>
      </c>
      <c r="C7658" s="8" t="s">
        <v>22941</v>
      </c>
      <c r="D7658" s="8" t="s">
        <v>16</v>
      </c>
      <c r="E7658" s="8" t="s">
        <v>17</v>
      </c>
      <c r="F7658" s="9">
        <v>46139.0</v>
      </c>
      <c r="G7658" s="8" t="s">
        <v>2666</v>
      </c>
      <c r="H7658" s="8" t="s">
        <v>2667</v>
      </c>
      <c r="I7658" s="8" t="s">
        <v>22942</v>
      </c>
      <c r="J7658" s="8" t="s">
        <v>22943</v>
      </c>
    </row>
    <row r="7659">
      <c r="A7659" s="7">
        <v>2.0055456E7</v>
      </c>
      <c r="B7659" s="8" t="s">
        <v>1034</v>
      </c>
      <c r="C7659" s="8" t="s">
        <v>22944</v>
      </c>
      <c r="D7659" s="8" t="s">
        <v>16</v>
      </c>
      <c r="E7659" s="8" t="s">
        <v>17</v>
      </c>
      <c r="F7659" s="9">
        <v>46145.0</v>
      </c>
      <c r="G7659" s="8" t="s">
        <v>4574</v>
      </c>
      <c r="H7659" s="8" t="s">
        <v>4575</v>
      </c>
      <c r="I7659" s="8" t="s">
        <v>22945</v>
      </c>
      <c r="J7659" s="8" t="s">
        <v>22946</v>
      </c>
    </row>
    <row r="7660">
      <c r="A7660" s="7">
        <v>2.0050412E7</v>
      </c>
      <c r="B7660" s="8" t="s">
        <v>1034</v>
      </c>
      <c r="C7660" s="8" t="s">
        <v>22947</v>
      </c>
      <c r="D7660" s="8" t="s">
        <v>16</v>
      </c>
      <c r="E7660" s="8" t="s">
        <v>17</v>
      </c>
      <c r="F7660" s="9">
        <v>46103.0</v>
      </c>
      <c r="G7660" s="8" t="s">
        <v>220</v>
      </c>
      <c r="H7660" s="8" t="s">
        <v>221</v>
      </c>
      <c r="I7660" s="8" t="s">
        <v>22948</v>
      </c>
      <c r="J7660" s="8" t="s">
        <v>22949</v>
      </c>
    </row>
    <row r="7661">
      <c r="A7661" s="7">
        <v>2.0045983E7</v>
      </c>
      <c r="B7661" s="8" t="s">
        <v>1034</v>
      </c>
      <c r="C7661" s="8" t="s">
        <v>22950</v>
      </c>
      <c r="D7661" s="8" t="s">
        <v>16</v>
      </c>
      <c r="E7661" s="8" t="s">
        <v>17</v>
      </c>
      <c r="F7661" s="9">
        <v>46099.0</v>
      </c>
      <c r="G7661" s="8" t="s">
        <v>3917</v>
      </c>
      <c r="H7661" s="8" t="s">
        <v>3918</v>
      </c>
      <c r="I7661" s="8" t="s">
        <v>22951</v>
      </c>
      <c r="J7661" s="8" t="s">
        <v>22952</v>
      </c>
    </row>
    <row r="7662">
      <c r="A7662" s="7">
        <v>2.0042115E7</v>
      </c>
      <c r="B7662" s="8" t="s">
        <v>1034</v>
      </c>
      <c r="C7662" s="8" t="s">
        <v>22953</v>
      </c>
      <c r="D7662" s="8" t="s">
        <v>16</v>
      </c>
      <c r="E7662" s="8" t="s">
        <v>17</v>
      </c>
      <c r="F7662" s="9">
        <v>46076.0</v>
      </c>
      <c r="G7662" s="8" t="s">
        <v>22954</v>
      </c>
      <c r="H7662" s="8" t="s">
        <v>22955</v>
      </c>
      <c r="I7662" s="8" t="s">
        <v>22956</v>
      </c>
      <c r="J7662" s="8" t="s">
        <v>22957</v>
      </c>
    </row>
    <row r="7663">
      <c r="A7663" s="7">
        <v>2.0042115E7</v>
      </c>
      <c r="B7663" s="8" t="s">
        <v>1034</v>
      </c>
      <c r="C7663" s="8" t="s">
        <v>22953</v>
      </c>
      <c r="D7663" s="8" t="s">
        <v>16</v>
      </c>
      <c r="E7663" s="8" t="s">
        <v>17</v>
      </c>
      <c r="F7663" s="9">
        <v>46076.0</v>
      </c>
      <c r="G7663" s="8" t="s">
        <v>22958</v>
      </c>
      <c r="H7663" s="8" t="s">
        <v>22959</v>
      </c>
      <c r="I7663" s="8" t="s">
        <v>22960</v>
      </c>
      <c r="J7663" s="8" t="s">
        <v>22961</v>
      </c>
    </row>
    <row r="7664">
      <c r="A7664" s="7">
        <v>2.0041724E7</v>
      </c>
      <c r="B7664" s="8" t="s">
        <v>1034</v>
      </c>
      <c r="C7664" s="8" t="s">
        <v>22962</v>
      </c>
      <c r="D7664" s="8" t="s">
        <v>16</v>
      </c>
      <c r="E7664" s="8" t="s">
        <v>17</v>
      </c>
      <c r="F7664" s="9">
        <v>46072.0</v>
      </c>
      <c r="G7664" s="8" t="s">
        <v>59</v>
      </c>
      <c r="H7664" s="8" t="s">
        <v>60</v>
      </c>
      <c r="I7664" s="8" t="s">
        <v>22963</v>
      </c>
      <c r="J7664" s="8" t="s">
        <v>22964</v>
      </c>
    </row>
    <row r="7665">
      <c r="A7665" s="7">
        <v>2.004012E7</v>
      </c>
      <c r="B7665" s="8" t="s">
        <v>1034</v>
      </c>
      <c r="C7665" s="8" t="s">
        <v>22965</v>
      </c>
      <c r="D7665" s="8" t="s">
        <v>16</v>
      </c>
      <c r="E7665" s="8" t="s">
        <v>17</v>
      </c>
      <c r="F7665" s="9">
        <v>46064.0</v>
      </c>
      <c r="G7665" s="8" t="s">
        <v>365</v>
      </c>
      <c r="H7665" s="8" t="s">
        <v>366</v>
      </c>
      <c r="I7665" s="8" t="s">
        <v>22966</v>
      </c>
      <c r="J7665" s="8" t="s">
        <v>22967</v>
      </c>
    </row>
    <row r="7666">
      <c r="A7666" s="7">
        <v>2.0037784E7</v>
      </c>
      <c r="B7666" s="8" t="s">
        <v>1034</v>
      </c>
      <c r="C7666" s="8" t="s">
        <v>22968</v>
      </c>
      <c r="D7666" s="8" t="s">
        <v>16</v>
      </c>
      <c r="E7666" s="8" t="s">
        <v>17</v>
      </c>
      <c r="F7666" s="9">
        <v>46069.0</v>
      </c>
      <c r="G7666" s="8" t="s">
        <v>390</v>
      </c>
      <c r="H7666" s="8" t="s">
        <v>391</v>
      </c>
      <c r="I7666" s="8" t="s">
        <v>22969</v>
      </c>
      <c r="J7666" s="8" t="s">
        <v>22970</v>
      </c>
    </row>
    <row r="7667">
      <c r="A7667" s="7">
        <v>2.0035387E7</v>
      </c>
      <c r="B7667" s="8" t="s">
        <v>1034</v>
      </c>
      <c r="C7667" s="8" t="s">
        <v>22971</v>
      </c>
      <c r="D7667" s="8" t="s">
        <v>16</v>
      </c>
      <c r="E7667" s="8" t="s">
        <v>17</v>
      </c>
      <c r="F7667" s="9">
        <v>46058.0</v>
      </c>
      <c r="G7667" s="8" t="s">
        <v>365</v>
      </c>
      <c r="H7667" s="8" t="s">
        <v>366</v>
      </c>
      <c r="I7667" s="8" t="s">
        <v>22972</v>
      </c>
      <c r="J7667" s="8" t="s">
        <v>22973</v>
      </c>
    </row>
    <row r="7668">
      <c r="A7668" s="7">
        <v>2.0068385E7</v>
      </c>
      <c r="B7668" s="8" t="s">
        <v>1034</v>
      </c>
      <c r="C7668" s="8" t="s">
        <v>22974</v>
      </c>
      <c r="D7668" s="8" t="s">
        <v>16</v>
      </c>
      <c r="E7668" s="8" t="s">
        <v>17</v>
      </c>
      <c r="F7668" s="9">
        <v>46180.0</v>
      </c>
      <c r="G7668" s="8" t="s">
        <v>59</v>
      </c>
      <c r="H7668" s="8" t="s">
        <v>60</v>
      </c>
      <c r="I7668" s="8" t="s">
        <v>22975</v>
      </c>
      <c r="J7668" s="8" t="s">
        <v>22976</v>
      </c>
    </row>
    <row r="7669">
      <c r="A7669" s="7">
        <v>2.0066881E7</v>
      </c>
      <c r="B7669" s="8" t="s">
        <v>1034</v>
      </c>
      <c r="C7669" s="8" t="s">
        <v>22977</v>
      </c>
      <c r="D7669" s="8" t="s">
        <v>16</v>
      </c>
      <c r="E7669" s="8" t="s">
        <v>17</v>
      </c>
      <c r="F7669" s="9">
        <v>46177.0</v>
      </c>
      <c r="G7669" s="8" t="s">
        <v>352</v>
      </c>
      <c r="H7669" s="8" t="s">
        <v>353</v>
      </c>
      <c r="I7669" s="8" t="s">
        <v>22978</v>
      </c>
      <c r="J7669" s="8" t="s">
        <v>22979</v>
      </c>
    </row>
    <row r="7670">
      <c r="A7670" s="7">
        <v>2.0063497E7</v>
      </c>
      <c r="B7670" s="8" t="s">
        <v>1034</v>
      </c>
      <c r="C7670" s="8" t="s">
        <v>22980</v>
      </c>
      <c r="D7670" s="8" t="s">
        <v>16</v>
      </c>
      <c r="E7670" s="8" t="s">
        <v>17</v>
      </c>
      <c r="F7670" s="9">
        <v>46161.0</v>
      </c>
      <c r="G7670" s="8" t="s">
        <v>352</v>
      </c>
      <c r="H7670" s="8" t="s">
        <v>353</v>
      </c>
      <c r="I7670" s="8" t="s">
        <v>22981</v>
      </c>
      <c r="J7670" s="8" t="s">
        <v>22982</v>
      </c>
    </row>
    <row r="7671">
      <c r="A7671" s="7">
        <v>2.0059281E7</v>
      </c>
      <c r="B7671" s="8" t="s">
        <v>1034</v>
      </c>
      <c r="C7671" s="8" t="s">
        <v>22983</v>
      </c>
      <c r="D7671" s="8" t="s">
        <v>16</v>
      </c>
      <c r="E7671" s="8" t="s">
        <v>17</v>
      </c>
      <c r="F7671" s="9">
        <v>46180.0</v>
      </c>
      <c r="G7671" s="8" t="s">
        <v>1049</v>
      </c>
      <c r="H7671" s="8" t="s">
        <v>1050</v>
      </c>
      <c r="I7671" s="8" t="s">
        <v>22984</v>
      </c>
      <c r="J7671" s="8" t="s">
        <v>22985</v>
      </c>
    </row>
    <row r="7672">
      <c r="A7672" s="7">
        <v>2.005749E7</v>
      </c>
      <c r="B7672" s="8" t="s">
        <v>1034</v>
      </c>
      <c r="C7672" s="8" t="s">
        <v>22986</v>
      </c>
      <c r="D7672" s="8" t="s">
        <v>16</v>
      </c>
      <c r="E7672" s="8" t="s">
        <v>17</v>
      </c>
      <c r="F7672" s="9">
        <v>46153.0</v>
      </c>
      <c r="G7672" s="8" t="s">
        <v>4796</v>
      </c>
      <c r="H7672" s="8" t="s">
        <v>4797</v>
      </c>
      <c r="I7672" s="8" t="s">
        <v>22987</v>
      </c>
      <c r="J7672" s="8" t="s">
        <v>22988</v>
      </c>
    </row>
    <row r="7673">
      <c r="A7673" s="7">
        <v>2.0056425E7</v>
      </c>
      <c r="B7673" s="8" t="s">
        <v>1034</v>
      </c>
      <c r="C7673" s="8" t="s">
        <v>22989</v>
      </c>
      <c r="D7673" s="8" t="s">
        <v>16</v>
      </c>
      <c r="E7673" s="8" t="s">
        <v>17</v>
      </c>
      <c r="F7673" s="9">
        <v>46144.0</v>
      </c>
      <c r="G7673" s="8" t="s">
        <v>626</v>
      </c>
      <c r="H7673" s="8" t="s">
        <v>627</v>
      </c>
      <c r="I7673" s="8" t="s">
        <v>22990</v>
      </c>
      <c r="J7673" s="8" t="s">
        <v>22991</v>
      </c>
    </row>
    <row r="7674">
      <c r="A7674" s="7">
        <v>2.0056104E7</v>
      </c>
      <c r="B7674" s="8" t="s">
        <v>1034</v>
      </c>
      <c r="C7674" s="8" t="s">
        <v>22992</v>
      </c>
      <c r="D7674" s="8" t="s">
        <v>16</v>
      </c>
      <c r="E7674" s="8" t="s">
        <v>17</v>
      </c>
      <c r="F7674" s="9">
        <v>46124.0</v>
      </c>
      <c r="G7674" s="8" t="s">
        <v>846</v>
      </c>
      <c r="H7674" s="8" t="s">
        <v>847</v>
      </c>
      <c r="I7674" s="8" t="s">
        <v>22993</v>
      </c>
      <c r="J7674" s="8" t="s">
        <v>22994</v>
      </c>
    </row>
    <row r="7675">
      <c r="A7675" s="7">
        <v>2.0053632E7</v>
      </c>
      <c r="B7675" s="8" t="s">
        <v>1034</v>
      </c>
      <c r="C7675" s="8" t="s">
        <v>22995</v>
      </c>
      <c r="D7675" s="8" t="s">
        <v>16</v>
      </c>
      <c r="E7675" s="8" t="s">
        <v>17</v>
      </c>
      <c r="F7675" s="9">
        <v>46139.0</v>
      </c>
      <c r="G7675" s="8" t="s">
        <v>1049</v>
      </c>
      <c r="H7675" s="8" t="s">
        <v>1050</v>
      </c>
      <c r="I7675" s="8" t="s">
        <v>22996</v>
      </c>
      <c r="J7675" s="8" t="s">
        <v>22997</v>
      </c>
    </row>
    <row r="7676">
      <c r="A7676" s="7">
        <v>2.0053365E7</v>
      </c>
      <c r="B7676" s="8" t="s">
        <v>1034</v>
      </c>
      <c r="C7676" s="8" t="s">
        <v>22998</v>
      </c>
      <c r="D7676" s="8" t="s">
        <v>16</v>
      </c>
      <c r="E7676" s="8" t="s">
        <v>17</v>
      </c>
      <c r="F7676" s="9">
        <v>46136.0</v>
      </c>
      <c r="G7676" s="8" t="s">
        <v>4423</v>
      </c>
      <c r="H7676" s="8" t="s">
        <v>4424</v>
      </c>
      <c r="I7676" s="8" t="s">
        <v>22999</v>
      </c>
      <c r="J7676" s="8" t="s">
        <v>23000</v>
      </c>
    </row>
    <row r="7677">
      <c r="A7677" s="7">
        <v>2.0050209E7</v>
      </c>
      <c r="B7677" s="8" t="s">
        <v>1034</v>
      </c>
      <c r="C7677" s="8" t="s">
        <v>23001</v>
      </c>
      <c r="D7677" s="8" t="s">
        <v>16</v>
      </c>
      <c r="E7677" s="8" t="s">
        <v>17</v>
      </c>
      <c r="F7677" s="9">
        <v>46121.0</v>
      </c>
      <c r="G7677" s="8" t="s">
        <v>2666</v>
      </c>
      <c r="H7677" s="8" t="s">
        <v>2667</v>
      </c>
      <c r="I7677" s="8" t="s">
        <v>23002</v>
      </c>
      <c r="J7677" s="8" t="s">
        <v>23003</v>
      </c>
    </row>
    <row r="7678">
      <c r="A7678" s="7">
        <v>2.0048148E7</v>
      </c>
      <c r="B7678" s="8" t="s">
        <v>1034</v>
      </c>
      <c r="C7678" s="8" t="s">
        <v>23004</v>
      </c>
      <c r="D7678" s="8" t="s">
        <v>16</v>
      </c>
      <c r="E7678" s="8" t="s">
        <v>17</v>
      </c>
      <c r="F7678" s="9">
        <v>46096.0</v>
      </c>
      <c r="G7678" s="8" t="s">
        <v>1132</v>
      </c>
      <c r="H7678" s="8" t="s">
        <v>1133</v>
      </c>
      <c r="I7678" s="8" t="s">
        <v>23005</v>
      </c>
      <c r="J7678" s="8" t="s">
        <v>23006</v>
      </c>
    </row>
    <row r="7679">
      <c r="A7679" s="7">
        <v>2.0047428E7</v>
      </c>
      <c r="B7679" s="8" t="s">
        <v>1034</v>
      </c>
      <c r="C7679" s="8" t="s">
        <v>23007</v>
      </c>
      <c r="D7679" s="8" t="s">
        <v>16</v>
      </c>
      <c r="E7679" s="8" t="s">
        <v>17</v>
      </c>
      <c r="F7679" s="9">
        <v>46109.0</v>
      </c>
      <c r="G7679" s="8" t="s">
        <v>158</v>
      </c>
      <c r="H7679" s="8" t="s">
        <v>159</v>
      </c>
      <c r="I7679" s="8" t="s">
        <v>23008</v>
      </c>
      <c r="J7679" s="8" t="s">
        <v>23009</v>
      </c>
    </row>
    <row r="7680">
      <c r="A7680" s="7">
        <v>2.0046055E7</v>
      </c>
      <c r="B7680" s="8" t="s">
        <v>1034</v>
      </c>
      <c r="C7680" s="8" t="s">
        <v>23010</v>
      </c>
      <c r="D7680" s="8" t="s">
        <v>16</v>
      </c>
      <c r="E7680" s="8" t="s">
        <v>17</v>
      </c>
      <c r="F7680" s="9">
        <v>46099.0</v>
      </c>
      <c r="G7680" s="8" t="s">
        <v>584</v>
      </c>
      <c r="H7680" s="8" t="s">
        <v>585</v>
      </c>
      <c r="I7680" s="8" t="s">
        <v>23011</v>
      </c>
      <c r="J7680" s="8" t="s">
        <v>23012</v>
      </c>
    </row>
    <row r="7681">
      <c r="A7681" s="7">
        <v>2.004351E7</v>
      </c>
      <c r="B7681" s="8" t="s">
        <v>1034</v>
      </c>
      <c r="C7681" s="8" t="s">
        <v>23013</v>
      </c>
      <c r="D7681" s="8" t="s">
        <v>16</v>
      </c>
      <c r="E7681" s="8" t="s">
        <v>17</v>
      </c>
      <c r="F7681" s="9">
        <v>46087.0</v>
      </c>
      <c r="G7681" s="8" t="s">
        <v>357</v>
      </c>
      <c r="H7681" s="8" t="s">
        <v>358</v>
      </c>
      <c r="I7681" s="8" t="s">
        <v>23014</v>
      </c>
      <c r="J7681" s="8" t="s">
        <v>23015</v>
      </c>
    </row>
    <row r="7682">
      <c r="A7682" s="7">
        <v>2.0033811E7</v>
      </c>
      <c r="B7682" s="8" t="s">
        <v>1034</v>
      </c>
      <c r="C7682" s="8" t="s">
        <v>23016</v>
      </c>
      <c r="D7682" s="8" t="s">
        <v>16</v>
      </c>
      <c r="E7682" s="8" t="s">
        <v>17</v>
      </c>
      <c r="F7682" s="9">
        <v>46090.0</v>
      </c>
      <c r="G7682" s="8" t="s">
        <v>6204</v>
      </c>
      <c r="H7682" s="8" t="s">
        <v>6205</v>
      </c>
      <c r="I7682" s="8"/>
      <c r="J7682" s="8" t="s">
        <v>23017</v>
      </c>
    </row>
    <row r="7683">
      <c r="A7683" s="7">
        <v>2.0039358E7</v>
      </c>
      <c r="B7683" s="8" t="s">
        <v>1034</v>
      </c>
      <c r="C7683" s="8" t="s">
        <v>23018</v>
      </c>
      <c r="D7683" s="8" t="s">
        <v>16</v>
      </c>
      <c r="E7683" s="8" t="s">
        <v>17</v>
      </c>
      <c r="F7683" s="9">
        <v>46075.0</v>
      </c>
      <c r="G7683" s="8" t="s">
        <v>1280</v>
      </c>
      <c r="H7683" s="8" t="s">
        <v>1281</v>
      </c>
      <c r="I7683" s="8" t="s">
        <v>23019</v>
      </c>
      <c r="J7683" s="8" t="s">
        <v>23020</v>
      </c>
    </row>
    <row r="7684">
      <c r="A7684" s="7">
        <v>2.0039037E7</v>
      </c>
      <c r="B7684" s="8" t="s">
        <v>1034</v>
      </c>
      <c r="C7684" s="8" t="s">
        <v>23021</v>
      </c>
      <c r="D7684" s="8" t="s">
        <v>16</v>
      </c>
      <c r="E7684" s="8" t="s">
        <v>17</v>
      </c>
      <c r="F7684" s="9">
        <v>46065.0</v>
      </c>
      <c r="G7684" s="8" t="s">
        <v>365</v>
      </c>
      <c r="H7684" s="8" t="s">
        <v>366</v>
      </c>
      <c r="I7684" s="8" t="s">
        <v>23022</v>
      </c>
      <c r="J7684" s="8" t="s">
        <v>23023</v>
      </c>
    </row>
    <row r="7685">
      <c r="A7685" s="7">
        <v>2.0034558E7</v>
      </c>
      <c r="B7685" s="8" t="s">
        <v>1034</v>
      </c>
      <c r="C7685" s="8" t="s">
        <v>23024</v>
      </c>
      <c r="D7685" s="8" t="s">
        <v>16</v>
      </c>
      <c r="E7685" s="8" t="s">
        <v>17</v>
      </c>
      <c r="F7685" s="9">
        <v>46058.0</v>
      </c>
      <c r="G7685" s="8" t="s">
        <v>3012</v>
      </c>
      <c r="H7685" s="8" t="s">
        <v>3013</v>
      </c>
      <c r="I7685" s="8" t="s">
        <v>23025</v>
      </c>
      <c r="J7685" s="8" t="s">
        <v>23026</v>
      </c>
    </row>
    <row r="7686">
      <c r="A7686" s="7">
        <v>2.0035019E7</v>
      </c>
      <c r="B7686" s="8" t="s">
        <v>1034</v>
      </c>
      <c r="C7686" s="8" t="s">
        <v>23027</v>
      </c>
      <c r="D7686" s="8" t="s">
        <v>16</v>
      </c>
      <c r="E7686" s="8" t="s">
        <v>17</v>
      </c>
      <c r="F7686" s="9">
        <v>46061.0</v>
      </c>
      <c r="G7686" s="8" t="s">
        <v>1280</v>
      </c>
      <c r="H7686" s="8" t="s">
        <v>1281</v>
      </c>
      <c r="I7686" s="8" t="s">
        <v>23028</v>
      </c>
      <c r="J7686" s="8" t="s">
        <v>23029</v>
      </c>
    </row>
    <row r="7687">
      <c r="A7687" s="7">
        <v>2.0034056E7</v>
      </c>
      <c r="B7687" s="8" t="s">
        <v>1034</v>
      </c>
      <c r="C7687" s="8" t="s">
        <v>23030</v>
      </c>
      <c r="D7687" s="8" t="s">
        <v>16</v>
      </c>
      <c r="E7687" s="8" t="s">
        <v>17</v>
      </c>
      <c r="F7687" s="9">
        <v>46041.0</v>
      </c>
      <c r="G7687" s="8" t="s">
        <v>1949</v>
      </c>
      <c r="H7687" s="8" t="s">
        <v>1950</v>
      </c>
      <c r="I7687" s="8" t="s">
        <v>23031</v>
      </c>
      <c r="J7687" s="8" t="s">
        <v>23032</v>
      </c>
    </row>
    <row r="7688">
      <c r="A7688" s="7">
        <v>2.0033944E7</v>
      </c>
      <c r="B7688" s="8" t="s">
        <v>1034</v>
      </c>
      <c r="C7688" s="8" t="s">
        <v>23033</v>
      </c>
      <c r="D7688" s="8" t="s">
        <v>16</v>
      </c>
      <c r="E7688" s="8" t="s">
        <v>17</v>
      </c>
      <c r="F7688" s="9">
        <v>46056.0</v>
      </c>
      <c r="G7688" s="8" t="s">
        <v>171</v>
      </c>
      <c r="H7688" s="8" t="s">
        <v>172</v>
      </c>
      <c r="I7688" s="8" t="s">
        <v>23034</v>
      </c>
      <c r="J7688" s="8" t="s">
        <v>23035</v>
      </c>
    </row>
    <row r="7689">
      <c r="A7689" s="7">
        <v>2.0068321E7</v>
      </c>
      <c r="B7689" s="8" t="s">
        <v>1034</v>
      </c>
      <c r="C7689" s="8" t="s">
        <v>23036</v>
      </c>
      <c r="D7689" s="8" t="s">
        <v>16</v>
      </c>
      <c r="E7689" s="8" t="s">
        <v>17</v>
      </c>
      <c r="F7689" s="9">
        <v>46180.0</v>
      </c>
      <c r="G7689" s="8" t="s">
        <v>29</v>
      </c>
      <c r="H7689" s="8" t="s">
        <v>30</v>
      </c>
      <c r="I7689" s="8" t="s">
        <v>23037</v>
      </c>
      <c r="J7689" s="8" t="s">
        <v>23038</v>
      </c>
    </row>
    <row r="7690">
      <c r="A7690" s="7">
        <v>2.006421E7</v>
      </c>
      <c r="B7690" s="8" t="s">
        <v>1034</v>
      </c>
      <c r="C7690" s="8" t="s">
        <v>23039</v>
      </c>
      <c r="D7690" s="8" t="s">
        <v>16</v>
      </c>
      <c r="E7690" s="8" t="s">
        <v>17</v>
      </c>
      <c r="F7690" s="9">
        <v>46163.0</v>
      </c>
      <c r="G7690" s="8" t="s">
        <v>220</v>
      </c>
      <c r="H7690" s="8" t="s">
        <v>221</v>
      </c>
      <c r="I7690" s="8" t="s">
        <v>23040</v>
      </c>
      <c r="J7690" s="8" t="s">
        <v>23041</v>
      </c>
    </row>
    <row r="7691">
      <c r="A7691" s="7">
        <v>2.0063408E7</v>
      </c>
      <c r="B7691" s="8" t="s">
        <v>1034</v>
      </c>
      <c r="C7691" s="8" t="s">
        <v>23042</v>
      </c>
      <c r="D7691" s="8" t="s">
        <v>16</v>
      </c>
      <c r="E7691" s="8" t="s">
        <v>17</v>
      </c>
      <c r="F7691" s="9">
        <v>46181.0</v>
      </c>
      <c r="G7691" s="8" t="s">
        <v>23043</v>
      </c>
      <c r="H7691" s="8" t="s">
        <v>23044</v>
      </c>
      <c r="I7691" s="8" t="s">
        <v>23045</v>
      </c>
      <c r="J7691" s="8" t="s">
        <v>23046</v>
      </c>
    </row>
    <row r="7692">
      <c r="A7692" s="7">
        <v>2.0063185E7</v>
      </c>
      <c r="B7692" s="8" t="s">
        <v>1034</v>
      </c>
      <c r="C7692" s="8" t="s">
        <v>23047</v>
      </c>
      <c r="D7692" s="8" t="s">
        <v>16</v>
      </c>
      <c r="E7692" s="8" t="s">
        <v>17</v>
      </c>
      <c r="F7692" s="9">
        <v>46164.0</v>
      </c>
      <c r="G7692" s="8" t="s">
        <v>504</v>
      </c>
      <c r="H7692" s="8" t="s">
        <v>505</v>
      </c>
      <c r="I7692" s="8" t="s">
        <v>23048</v>
      </c>
      <c r="J7692" s="8" t="s">
        <v>23049</v>
      </c>
    </row>
    <row r="7693">
      <c r="A7693" s="7">
        <v>2.0059766E7</v>
      </c>
      <c r="B7693" s="8" t="s">
        <v>1034</v>
      </c>
      <c r="C7693" s="8" t="s">
        <v>23050</v>
      </c>
      <c r="D7693" s="8" t="s">
        <v>16</v>
      </c>
      <c r="E7693" s="8" t="s">
        <v>17</v>
      </c>
      <c r="F7693" s="9">
        <v>46139.0</v>
      </c>
      <c r="G7693" s="8" t="s">
        <v>59</v>
      </c>
      <c r="H7693" s="8" t="s">
        <v>60</v>
      </c>
      <c r="I7693" s="8" t="s">
        <v>23051</v>
      </c>
      <c r="J7693" s="8" t="s">
        <v>23052</v>
      </c>
    </row>
    <row r="7694">
      <c r="A7694" s="7">
        <v>2.0057284E7</v>
      </c>
      <c r="B7694" s="8" t="s">
        <v>1034</v>
      </c>
      <c r="C7694" s="8" t="s">
        <v>23053</v>
      </c>
      <c r="D7694" s="8" t="s">
        <v>16</v>
      </c>
      <c r="E7694" s="8" t="s">
        <v>17</v>
      </c>
      <c r="F7694" s="9">
        <v>46158.0</v>
      </c>
      <c r="G7694" s="8" t="s">
        <v>171</v>
      </c>
      <c r="H7694" s="8" t="s">
        <v>172</v>
      </c>
      <c r="I7694" s="8" t="s">
        <v>23054</v>
      </c>
      <c r="J7694" s="8" t="s">
        <v>23055</v>
      </c>
    </row>
    <row r="7695">
      <c r="A7695" s="7">
        <v>2.0054581E7</v>
      </c>
      <c r="B7695" s="8" t="s">
        <v>1034</v>
      </c>
      <c r="C7695" s="8" t="s">
        <v>23056</v>
      </c>
      <c r="D7695" s="8" t="s">
        <v>16</v>
      </c>
      <c r="E7695" s="8" t="s">
        <v>17</v>
      </c>
      <c r="F7695" s="9">
        <v>46125.0</v>
      </c>
      <c r="G7695" s="8" t="s">
        <v>365</v>
      </c>
      <c r="H7695" s="8" t="s">
        <v>366</v>
      </c>
      <c r="I7695" s="8" t="s">
        <v>23057</v>
      </c>
      <c r="J7695" s="8" t="s">
        <v>22704</v>
      </c>
    </row>
    <row r="7696">
      <c r="A7696" s="7">
        <v>2.0054581E7</v>
      </c>
      <c r="B7696" s="8" t="s">
        <v>1034</v>
      </c>
      <c r="C7696" s="8" t="s">
        <v>23058</v>
      </c>
      <c r="D7696" s="8" t="s">
        <v>16</v>
      </c>
      <c r="E7696" s="8" t="s">
        <v>17</v>
      </c>
      <c r="F7696" s="9">
        <v>46146.0</v>
      </c>
      <c r="G7696" s="8" t="s">
        <v>137</v>
      </c>
      <c r="H7696" s="8" t="s">
        <v>138</v>
      </c>
      <c r="I7696" s="8" t="s">
        <v>23059</v>
      </c>
      <c r="J7696" s="8" t="s">
        <v>23060</v>
      </c>
    </row>
    <row r="7697">
      <c r="A7697" s="7">
        <v>2.005434E7</v>
      </c>
      <c r="B7697" s="8" t="s">
        <v>1034</v>
      </c>
      <c r="C7697" s="8" t="s">
        <v>23061</v>
      </c>
      <c r="D7697" s="8" t="s">
        <v>16</v>
      </c>
      <c r="E7697" s="8" t="s">
        <v>17</v>
      </c>
      <c r="F7697" s="9">
        <v>46125.0</v>
      </c>
      <c r="G7697" s="8" t="s">
        <v>247</v>
      </c>
      <c r="H7697" s="8" t="s">
        <v>248</v>
      </c>
      <c r="I7697" s="8" t="s">
        <v>23062</v>
      </c>
      <c r="J7697" s="8" t="s">
        <v>23063</v>
      </c>
    </row>
    <row r="7698">
      <c r="A7698" s="7">
        <v>2.0053684E7</v>
      </c>
      <c r="B7698" s="8" t="s">
        <v>1034</v>
      </c>
      <c r="C7698" s="8" t="s">
        <v>23064</v>
      </c>
      <c r="D7698" s="8" t="s">
        <v>16</v>
      </c>
      <c r="E7698" s="8" t="s">
        <v>17</v>
      </c>
      <c r="F7698" s="9">
        <v>46120.0</v>
      </c>
      <c r="G7698" s="8" t="s">
        <v>385</v>
      </c>
      <c r="H7698" s="8" t="s">
        <v>386</v>
      </c>
      <c r="I7698" s="8" t="s">
        <v>23065</v>
      </c>
      <c r="J7698" s="8" t="s">
        <v>23066</v>
      </c>
    </row>
    <row r="7699">
      <c r="A7699" s="7">
        <v>2.0053688E7</v>
      </c>
      <c r="B7699" s="8" t="s">
        <v>1034</v>
      </c>
      <c r="C7699" s="8" t="s">
        <v>23067</v>
      </c>
      <c r="D7699" s="8" t="s">
        <v>16</v>
      </c>
      <c r="E7699" s="8" t="s">
        <v>17</v>
      </c>
      <c r="F7699" s="9">
        <v>46121.0</v>
      </c>
      <c r="G7699" s="8" t="s">
        <v>34</v>
      </c>
      <c r="H7699" s="8" t="s">
        <v>35</v>
      </c>
      <c r="I7699" s="8" t="s">
        <v>23068</v>
      </c>
      <c r="J7699" s="8" t="s">
        <v>23069</v>
      </c>
    </row>
    <row r="7700">
      <c r="A7700" s="7">
        <v>2.0053688E7</v>
      </c>
      <c r="B7700" s="8" t="s">
        <v>1034</v>
      </c>
      <c r="C7700" s="8" t="s">
        <v>23070</v>
      </c>
      <c r="D7700" s="8" t="s">
        <v>16</v>
      </c>
      <c r="E7700" s="8" t="s">
        <v>17</v>
      </c>
      <c r="F7700" s="9">
        <v>46141.0</v>
      </c>
      <c r="G7700" s="8" t="s">
        <v>467</v>
      </c>
      <c r="H7700" s="8" t="s">
        <v>468</v>
      </c>
      <c r="I7700" s="8" t="s">
        <v>23071</v>
      </c>
      <c r="J7700" s="8" t="s">
        <v>23072</v>
      </c>
    </row>
    <row r="7701">
      <c r="A7701" s="7">
        <v>2.0051864E7</v>
      </c>
      <c r="B7701" s="8" t="s">
        <v>1034</v>
      </c>
      <c r="C7701" s="8" t="s">
        <v>23073</v>
      </c>
      <c r="D7701" s="8" t="s">
        <v>16</v>
      </c>
      <c r="E7701" s="8" t="s">
        <v>17</v>
      </c>
      <c r="F7701" s="9">
        <v>46105.0</v>
      </c>
      <c r="G7701" s="8" t="s">
        <v>846</v>
      </c>
      <c r="H7701" s="8" t="s">
        <v>847</v>
      </c>
      <c r="I7701" s="8" t="s">
        <v>23074</v>
      </c>
      <c r="J7701" s="8" t="s">
        <v>23075</v>
      </c>
    </row>
    <row r="7702">
      <c r="A7702" s="7">
        <v>2.0049165E7</v>
      </c>
      <c r="B7702" s="8" t="s">
        <v>1034</v>
      </c>
      <c r="C7702" s="8" t="s">
        <v>23076</v>
      </c>
      <c r="D7702" s="8" t="s">
        <v>16</v>
      </c>
      <c r="E7702" s="8" t="s">
        <v>48</v>
      </c>
      <c r="F7702" s="9">
        <v>46119.0</v>
      </c>
      <c r="G7702" s="8" t="s">
        <v>184</v>
      </c>
      <c r="H7702" s="8" t="s">
        <v>185</v>
      </c>
      <c r="I7702" s="8" t="s">
        <v>23077</v>
      </c>
      <c r="J7702" s="8" t="s">
        <v>23078</v>
      </c>
    </row>
    <row r="7703">
      <c r="A7703" s="7">
        <v>2.0048397E7</v>
      </c>
      <c r="B7703" s="8" t="s">
        <v>1034</v>
      </c>
      <c r="C7703" s="8" t="s">
        <v>23079</v>
      </c>
      <c r="D7703" s="8" t="s">
        <v>16</v>
      </c>
      <c r="E7703" s="8" t="s">
        <v>17</v>
      </c>
      <c r="F7703" s="9">
        <v>46116.0</v>
      </c>
      <c r="G7703" s="8" t="s">
        <v>436</v>
      </c>
      <c r="H7703" s="8" t="s">
        <v>437</v>
      </c>
      <c r="I7703" s="8" t="s">
        <v>23080</v>
      </c>
      <c r="J7703" s="8" t="s">
        <v>23081</v>
      </c>
    </row>
    <row r="7704">
      <c r="A7704" s="7">
        <v>2.0044602E7</v>
      </c>
      <c r="B7704" s="8" t="s">
        <v>1034</v>
      </c>
      <c r="C7704" s="8" t="s">
        <v>23082</v>
      </c>
      <c r="D7704" s="8" t="s">
        <v>16</v>
      </c>
      <c r="E7704" s="8" t="s">
        <v>17</v>
      </c>
      <c r="F7704" s="9">
        <v>46093.0</v>
      </c>
      <c r="G7704" s="8" t="s">
        <v>1297</v>
      </c>
      <c r="H7704" s="8" t="s">
        <v>827</v>
      </c>
      <c r="I7704" s="8" t="s">
        <v>23083</v>
      </c>
      <c r="J7704" s="8" t="s">
        <v>23084</v>
      </c>
    </row>
    <row r="7705">
      <c r="A7705" s="7">
        <v>2.0046659E7</v>
      </c>
      <c r="B7705" s="8" t="s">
        <v>1034</v>
      </c>
      <c r="C7705" s="8" t="s">
        <v>23085</v>
      </c>
      <c r="D7705" s="8" t="s">
        <v>16</v>
      </c>
      <c r="E7705" s="8" t="s">
        <v>17</v>
      </c>
      <c r="F7705" s="9">
        <v>46112.0</v>
      </c>
      <c r="G7705" s="8" t="s">
        <v>20706</v>
      </c>
      <c r="H7705" s="8" t="s">
        <v>20707</v>
      </c>
      <c r="I7705" s="8" t="s">
        <v>23086</v>
      </c>
      <c r="J7705" s="8" t="s">
        <v>23087</v>
      </c>
    </row>
    <row r="7706">
      <c r="A7706" s="7">
        <v>2.0044433E7</v>
      </c>
      <c r="B7706" s="8" t="s">
        <v>1034</v>
      </c>
      <c r="C7706" s="8" t="s">
        <v>23088</v>
      </c>
      <c r="D7706" s="8" t="s">
        <v>16</v>
      </c>
      <c r="E7706" s="8" t="s">
        <v>17</v>
      </c>
      <c r="F7706" s="9">
        <v>46075.0</v>
      </c>
      <c r="G7706" s="8" t="s">
        <v>59</v>
      </c>
      <c r="H7706" s="8" t="s">
        <v>60</v>
      </c>
      <c r="I7706" s="8" t="s">
        <v>23089</v>
      </c>
      <c r="J7706" s="8" t="s">
        <v>23090</v>
      </c>
    </row>
    <row r="7707">
      <c r="A7707" s="7">
        <v>2.0044225E7</v>
      </c>
      <c r="B7707" s="8" t="s">
        <v>1034</v>
      </c>
      <c r="C7707" s="8" t="s">
        <v>23091</v>
      </c>
      <c r="D7707" s="8" t="s">
        <v>16</v>
      </c>
      <c r="E7707" s="8" t="s">
        <v>17</v>
      </c>
      <c r="F7707" s="9">
        <v>46099.0</v>
      </c>
      <c r="G7707" s="8" t="s">
        <v>23092</v>
      </c>
      <c r="H7707" s="8" t="s">
        <v>23093</v>
      </c>
      <c r="I7707" s="8" t="s">
        <v>23094</v>
      </c>
      <c r="J7707" s="8" t="s">
        <v>23095</v>
      </c>
    </row>
    <row r="7708">
      <c r="A7708" s="7">
        <v>2.0036103E7</v>
      </c>
      <c r="B7708" s="8" t="s">
        <v>1034</v>
      </c>
      <c r="C7708" s="8" t="s">
        <v>23096</v>
      </c>
      <c r="D7708" s="8" t="s">
        <v>16</v>
      </c>
      <c r="E7708" s="8" t="s">
        <v>17</v>
      </c>
      <c r="F7708" s="9">
        <v>46088.0</v>
      </c>
      <c r="G7708" s="8" t="s">
        <v>3291</v>
      </c>
      <c r="H7708" s="8" t="s">
        <v>3292</v>
      </c>
      <c r="I7708" s="8" t="s">
        <v>23097</v>
      </c>
      <c r="J7708" s="8" t="s">
        <v>23098</v>
      </c>
    </row>
    <row r="7709">
      <c r="A7709" s="7">
        <v>2.0039313E7</v>
      </c>
      <c r="B7709" s="8" t="s">
        <v>1034</v>
      </c>
      <c r="C7709" s="8" t="s">
        <v>23099</v>
      </c>
      <c r="D7709" s="8" t="s">
        <v>16</v>
      </c>
      <c r="E7709" s="8" t="s">
        <v>17</v>
      </c>
      <c r="F7709" s="9">
        <v>46064.0</v>
      </c>
      <c r="G7709" s="8" t="s">
        <v>59</v>
      </c>
      <c r="H7709" s="8" t="s">
        <v>60</v>
      </c>
      <c r="I7709" s="8" t="s">
        <v>23100</v>
      </c>
      <c r="J7709" s="8" t="s">
        <v>23101</v>
      </c>
    </row>
    <row r="7710">
      <c r="A7710" s="7">
        <v>2.0037278E7</v>
      </c>
      <c r="B7710" s="8" t="s">
        <v>1034</v>
      </c>
      <c r="C7710" s="8" t="s">
        <v>23102</v>
      </c>
      <c r="D7710" s="8" t="s">
        <v>16</v>
      </c>
      <c r="E7710" s="8" t="s">
        <v>17</v>
      </c>
      <c r="F7710" s="9">
        <v>46060.0</v>
      </c>
      <c r="G7710" s="8" t="s">
        <v>282</v>
      </c>
      <c r="H7710" s="8" t="s">
        <v>71</v>
      </c>
      <c r="I7710" s="8" t="s">
        <v>23103</v>
      </c>
      <c r="J7710" s="8" t="s">
        <v>23104</v>
      </c>
    </row>
    <row r="7711">
      <c r="A7711" s="7">
        <v>2.0036541E7</v>
      </c>
      <c r="B7711" s="8" t="s">
        <v>1034</v>
      </c>
      <c r="C7711" s="8" t="s">
        <v>23105</v>
      </c>
      <c r="D7711" s="8" t="s">
        <v>16</v>
      </c>
      <c r="E7711" s="8" t="s">
        <v>17</v>
      </c>
      <c r="F7711" s="9">
        <v>46067.0</v>
      </c>
      <c r="G7711" s="8" t="s">
        <v>390</v>
      </c>
      <c r="H7711" s="8" t="s">
        <v>391</v>
      </c>
      <c r="I7711" s="8" t="s">
        <v>23106</v>
      </c>
      <c r="J7711" s="8" t="s">
        <v>23107</v>
      </c>
    </row>
    <row r="7712">
      <c r="A7712" s="7">
        <v>2.0035824E7</v>
      </c>
      <c r="B7712" s="8" t="s">
        <v>1034</v>
      </c>
      <c r="C7712" s="8" t="s">
        <v>23108</v>
      </c>
      <c r="D7712" s="8" t="s">
        <v>16</v>
      </c>
      <c r="E7712" s="8" t="s">
        <v>17</v>
      </c>
      <c r="F7712" s="9">
        <v>46061.0</v>
      </c>
      <c r="G7712" s="8" t="s">
        <v>4574</v>
      </c>
      <c r="H7712" s="8" t="s">
        <v>4575</v>
      </c>
      <c r="I7712" s="8" t="s">
        <v>23109</v>
      </c>
      <c r="J7712" s="8" t="s">
        <v>23110</v>
      </c>
    </row>
    <row r="7713">
      <c r="A7713" s="7">
        <v>2.0036018E7</v>
      </c>
      <c r="B7713" s="8" t="s">
        <v>1034</v>
      </c>
      <c r="C7713" s="8" t="s">
        <v>23111</v>
      </c>
      <c r="D7713" s="8" t="s">
        <v>16</v>
      </c>
      <c r="E7713" s="8" t="s">
        <v>17</v>
      </c>
      <c r="F7713" s="9">
        <v>46054.0</v>
      </c>
      <c r="G7713" s="8" t="s">
        <v>171</v>
      </c>
      <c r="H7713" s="8" t="s">
        <v>172</v>
      </c>
      <c r="I7713" s="8" t="s">
        <v>23112</v>
      </c>
      <c r="J7713" s="8" t="s">
        <v>23113</v>
      </c>
    </row>
    <row r="7714">
      <c r="A7714" s="7">
        <v>2.0036004E7</v>
      </c>
      <c r="B7714" s="8" t="s">
        <v>1034</v>
      </c>
      <c r="C7714" s="8" t="s">
        <v>23114</v>
      </c>
      <c r="D7714" s="8" t="s">
        <v>16</v>
      </c>
      <c r="E7714" s="8" t="s">
        <v>17</v>
      </c>
      <c r="F7714" s="9">
        <v>46041.0</v>
      </c>
      <c r="G7714" s="8" t="s">
        <v>195</v>
      </c>
      <c r="H7714" s="8" t="s">
        <v>196</v>
      </c>
      <c r="I7714" s="8" t="s">
        <v>23115</v>
      </c>
      <c r="J7714" s="8" t="s">
        <v>23116</v>
      </c>
    </row>
    <row r="7715">
      <c r="A7715" s="7">
        <v>2.0032579E7</v>
      </c>
      <c r="B7715" s="8" t="s">
        <v>1034</v>
      </c>
      <c r="C7715" s="8" t="s">
        <v>23117</v>
      </c>
      <c r="D7715" s="8" t="s">
        <v>16</v>
      </c>
      <c r="E7715" s="8" t="s">
        <v>17</v>
      </c>
      <c r="F7715" s="9">
        <v>46040.0</v>
      </c>
      <c r="G7715" s="8" t="s">
        <v>5472</v>
      </c>
      <c r="H7715" s="8" t="s">
        <v>3410</v>
      </c>
      <c r="I7715" s="8" t="s">
        <v>23118</v>
      </c>
      <c r="J7715" s="8" t="s">
        <v>23119</v>
      </c>
    </row>
    <row r="7716">
      <c r="A7716" s="7">
        <v>2.0064639E7</v>
      </c>
      <c r="B7716" s="8" t="s">
        <v>1034</v>
      </c>
      <c r="C7716" s="8" t="s">
        <v>23120</v>
      </c>
      <c r="D7716" s="8" t="s">
        <v>2136</v>
      </c>
      <c r="E7716" s="8" t="s">
        <v>17</v>
      </c>
      <c r="F7716" s="9">
        <v>46166.0</v>
      </c>
      <c r="G7716" s="8" t="s">
        <v>339</v>
      </c>
      <c r="H7716" s="8" t="s">
        <v>340</v>
      </c>
      <c r="I7716" s="8" t="s">
        <v>23121</v>
      </c>
      <c r="J7716" s="8" t="s">
        <v>23122</v>
      </c>
    </row>
    <row r="7717">
      <c r="A7717" s="7">
        <v>2.0063742E7</v>
      </c>
      <c r="B7717" s="8" t="s">
        <v>1034</v>
      </c>
      <c r="C7717" s="8" t="s">
        <v>23123</v>
      </c>
      <c r="D7717" s="8" t="s">
        <v>16</v>
      </c>
      <c r="E7717" s="8" t="s">
        <v>17</v>
      </c>
      <c r="F7717" s="9">
        <v>46161.0</v>
      </c>
      <c r="G7717" s="8" t="s">
        <v>59</v>
      </c>
      <c r="H7717" s="8" t="s">
        <v>60</v>
      </c>
      <c r="I7717" s="8" t="s">
        <v>23124</v>
      </c>
      <c r="J7717" s="8" t="s">
        <v>23125</v>
      </c>
    </row>
    <row r="7718">
      <c r="A7718" s="7">
        <v>2.0062617E7</v>
      </c>
      <c r="B7718" s="8" t="s">
        <v>1034</v>
      </c>
      <c r="C7718" s="8" t="s">
        <v>23126</v>
      </c>
      <c r="D7718" s="8" t="s">
        <v>2136</v>
      </c>
      <c r="E7718" s="8" t="s">
        <v>4243</v>
      </c>
      <c r="F7718" s="9">
        <v>46151.0</v>
      </c>
      <c r="G7718" s="8" t="s">
        <v>339</v>
      </c>
      <c r="H7718" s="8" t="s">
        <v>340</v>
      </c>
      <c r="I7718" s="8" t="s">
        <v>23127</v>
      </c>
      <c r="J7718" s="8" t="s">
        <v>23128</v>
      </c>
    </row>
    <row r="7719">
      <c r="A7719" s="7">
        <v>2.0061063E7</v>
      </c>
      <c r="B7719" s="8" t="s">
        <v>1034</v>
      </c>
      <c r="C7719" s="8" t="s">
        <v>23129</v>
      </c>
      <c r="D7719" s="8" t="s">
        <v>16</v>
      </c>
      <c r="E7719" s="8" t="s">
        <v>17</v>
      </c>
      <c r="F7719" s="9">
        <v>46180.0</v>
      </c>
      <c r="G7719" s="8" t="s">
        <v>184</v>
      </c>
      <c r="H7719" s="8" t="s">
        <v>185</v>
      </c>
      <c r="I7719" s="8" t="s">
        <v>23130</v>
      </c>
      <c r="J7719" s="8" t="s">
        <v>23131</v>
      </c>
    </row>
    <row r="7720">
      <c r="A7720" s="7">
        <v>2.0060651E7</v>
      </c>
      <c r="B7720" s="8" t="s">
        <v>1034</v>
      </c>
      <c r="C7720" s="8" t="s">
        <v>23132</v>
      </c>
      <c r="D7720" s="8" t="s">
        <v>16</v>
      </c>
      <c r="E7720" s="8" t="s">
        <v>17</v>
      </c>
      <c r="F7720" s="9">
        <v>46150.0</v>
      </c>
      <c r="G7720" s="8" t="s">
        <v>3012</v>
      </c>
      <c r="H7720" s="8" t="s">
        <v>3013</v>
      </c>
      <c r="I7720" s="8" t="s">
        <v>23133</v>
      </c>
      <c r="J7720" s="8" t="s">
        <v>23134</v>
      </c>
    </row>
    <row r="7721">
      <c r="A7721" s="7">
        <v>2.0059005E7</v>
      </c>
      <c r="B7721" s="8" t="s">
        <v>1034</v>
      </c>
      <c r="C7721" s="8" t="s">
        <v>23135</v>
      </c>
      <c r="D7721" s="8" t="s">
        <v>16</v>
      </c>
      <c r="E7721" s="8" t="s">
        <v>17</v>
      </c>
      <c r="F7721" s="9">
        <v>46188.0</v>
      </c>
      <c r="G7721" s="8" t="s">
        <v>486</v>
      </c>
      <c r="H7721" s="8" t="s">
        <v>487</v>
      </c>
      <c r="I7721" s="8" t="s">
        <v>23136</v>
      </c>
      <c r="J7721" s="8" t="s">
        <v>23137</v>
      </c>
    </row>
    <row r="7722">
      <c r="A7722" s="7">
        <v>2.0057954E7</v>
      </c>
      <c r="B7722" s="8" t="s">
        <v>1034</v>
      </c>
      <c r="C7722" s="8" t="s">
        <v>23138</v>
      </c>
      <c r="D7722" s="8" t="s">
        <v>16</v>
      </c>
      <c r="E7722" s="8" t="s">
        <v>17</v>
      </c>
      <c r="F7722" s="9">
        <v>46139.0</v>
      </c>
      <c r="G7722" s="8" t="s">
        <v>10934</v>
      </c>
      <c r="H7722" s="8" t="s">
        <v>10935</v>
      </c>
      <c r="I7722" s="8" t="s">
        <v>23139</v>
      </c>
      <c r="J7722" s="8" t="s">
        <v>23140</v>
      </c>
    </row>
    <row r="7723">
      <c r="A7723" s="7">
        <v>2.005736E7</v>
      </c>
      <c r="B7723" s="8" t="s">
        <v>1034</v>
      </c>
      <c r="C7723" s="8" t="s">
        <v>23141</v>
      </c>
      <c r="D7723" s="8" t="s">
        <v>16</v>
      </c>
      <c r="E7723" s="8" t="s">
        <v>17</v>
      </c>
      <c r="F7723" s="9">
        <v>46169.0</v>
      </c>
      <c r="G7723" s="8" t="s">
        <v>348</v>
      </c>
      <c r="H7723" s="8" t="s">
        <v>349</v>
      </c>
      <c r="I7723" s="8" t="s">
        <v>23142</v>
      </c>
      <c r="J7723" s="8" t="s">
        <v>23143</v>
      </c>
    </row>
    <row r="7724">
      <c r="A7724" s="7">
        <v>2.0054692E7</v>
      </c>
      <c r="B7724" s="8" t="s">
        <v>1034</v>
      </c>
      <c r="C7724" s="8" t="s">
        <v>23144</v>
      </c>
      <c r="D7724" s="8" t="s">
        <v>16</v>
      </c>
      <c r="E7724" s="8" t="s">
        <v>17</v>
      </c>
      <c r="F7724" s="9">
        <v>46144.0</v>
      </c>
      <c r="G7724" s="8" t="s">
        <v>436</v>
      </c>
      <c r="H7724" s="8" t="s">
        <v>437</v>
      </c>
      <c r="I7724" s="8" t="s">
        <v>23145</v>
      </c>
      <c r="J7724" s="8" t="s">
        <v>23146</v>
      </c>
    </row>
    <row r="7725">
      <c r="A7725" s="7">
        <v>2.0054346E7</v>
      </c>
      <c r="B7725" s="8" t="s">
        <v>1034</v>
      </c>
      <c r="C7725" s="8" t="s">
        <v>23147</v>
      </c>
      <c r="D7725" s="8" t="s">
        <v>16</v>
      </c>
      <c r="E7725" s="8" t="s">
        <v>17</v>
      </c>
      <c r="F7725" s="9">
        <v>46137.0</v>
      </c>
      <c r="G7725" s="8" t="s">
        <v>348</v>
      </c>
      <c r="H7725" s="8" t="s">
        <v>349</v>
      </c>
      <c r="I7725" s="8" t="s">
        <v>23148</v>
      </c>
      <c r="J7725" s="8" t="s">
        <v>23149</v>
      </c>
    </row>
    <row r="7726">
      <c r="A7726" s="7">
        <v>2.0051823E7</v>
      </c>
      <c r="B7726" s="8" t="s">
        <v>1034</v>
      </c>
      <c r="C7726" s="8" t="s">
        <v>23150</v>
      </c>
      <c r="D7726" s="8" t="s">
        <v>16</v>
      </c>
      <c r="E7726" s="8" t="s">
        <v>17</v>
      </c>
      <c r="F7726" s="9">
        <v>46130.0</v>
      </c>
      <c r="G7726" s="8" t="s">
        <v>486</v>
      </c>
      <c r="H7726" s="8" t="s">
        <v>487</v>
      </c>
      <c r="I7726" s="8" t="s">
        <v>23151</v>
      </c>
      <c r="J7726" s="8" t="s">
        <v>23152</v>
      </c>
    </row>
    <row r="7727">
      <c r="A7727" s="7">
        <v>2.0051646E7</v>
      </c>
      <c r="B7727" s="8" t="s">
        <v>1034</v>
      </c>
      <c r="C7727" s="8" t="s">
        <v>23153</v>
      </c>
      <c r="D7727" s="8" t="s">
        <v>16</v>
      </c>
      <c r="E7727" s="8" t="s">
        <v>17</v>
      </c>
      <c r="F7727" s="9">
        <v>46120.0</v>
      </c>
      <c r="G7727" s="8" t="s">
        <v>390</v>
      </c>
      <c r="H7727" s="8" t="s">
        <v>391</v>
      </c>
      <c r="I7727" s="8" t="s">
        <v>23154</v>
      </c>
      <c r="J7727" s="8" t="s">
        <v>23155</v>
      </c>
    </row>
    <row r="7728">
      <c r="A7728" s="7">
        <v>2.0048616E7</v>
      </c>
      <c r="B7728" s="8" t="s">
        <v>1034</v>
      </c>
      <c r="C7728" s="8" t="s">
        <v>23156</v>
      </c>
      <c r="D7728" s="8" t="s">
        <v>16</v>
      </c>
      <c r="E7728" s="8" t="s">
        <v>17</v>
      </c>
      <c r="F7728" s="9">
        <v>46106.0</v>
      </c>
      <c r="G7728" s="8" t="s">
        <v>59</v>
      </c>
      <c r="H7728" s="8" t="s">
        <v>60</v>
      </c>
      <c r="I7728" s="8" t="s">
        <v>23157</v>
      </c>
      <c r="J7728" s="8" t="s">
        <v>23158</v>
      </c>
    </row>
    <row r="7729">
      <c r="A7729" s="7">
        <v>2.004892E7</v>
      </c>
      <c r="B7729" s="8" t="s">
        <v>1034</v>
      </c>
      <c r="C7729" s="8" t="s">
        <v>23159</v>
      </c>
      <c r="D7729" s="8" t="s">
        <v>16</v>
      </c>
      <c r="E7729" s="8" t="s">
        <v>17</v>
      </c>
      <c r="F7729" s="9">
        <v>46092.0</v>
      </c>
      <c r="G7729" s="8" t="s">
        <v>846</v>
      </c>
      <c r="H7729" s="8" t="s">
        <v>847</v>
      </c>
      <c r="I7729" s="8" t="s">
        <v>23160</v>
      </c>
      <c r="J7729" s="8" t="s">
        <v>23161</v>
      </c>
    </row>
    <row r="7730">
      <c r="A7730" s="7">
        <v>2.0046673E7</v>
      </c>
      <c r="B7730" s="8" t="s">
        <v>1034</v>
      </c>
      <c r="C7730" s="8" t="s">
        <v>23162</v>
      </c>
      <c r="D7730" s="8" t="s">
        <v>16</v>
      </c>
      <c r="E7730" s="8" t="s">
        <v>17</v>
      </c>
      <c r="F7730" s="9">
        <v>46087.0</v>
      </c>
      <c r="G7730" s="8" t="s">
        <v>34</v>
      </c>
      <c r="H7730" s="8" t="s">
        <v>35</v>
      </c>
      <c r="I7730" s="8" t="s">
        <v>23163</v>
      </c>
      <c r="J7730" s="8" t="s">
        <v>23164</v>
      </c>
    </row>
    <row r="7731">
      <c r="A7731" s="7">
        <v>2.0044893E7</v>
      </c>
      <c r="B7731" s="8" t="s">
        <v>1034</v>
      </c>
      <c r="C7731" s="8" t="s">
        <v>23165</v>
      </c>
      <c r="D7731" s="8" t="s">
        <v>16</v>
      </c>
      <c r="E7731" s="8" t="s">
        <v>17</v>
      </c>
      <c r="F7731" s="9">
        <v>46085.0</v>
      </c>
      <c r="G7731" s="8" t="s">
        <v>153</v>
      </c>
      <c r="H7731" s="8" t="s">
        <v>154</v>
      </c>
      <c r="I7731" s="8" t="s">
        <v>23166</v>
      </c>
      <c r="J7731" s="8" t="s">
        <v>23167</v>
      </c>
    </row>
    <row r="7732">
      <c r="A7732" s="7">
        <v>2.004184E7</v>
      </c>
      <c r="B7732" s="8" t="s">
        <v>1034</v>
      </c>
      <c r="C7732" s="8" t="s">
        <v>23168</v>
      </c>
      <c r="D7732" s="8" t="s">
        <v>16</v>
      </c>
      <c r="E7732" s="8" t="s">
        <v>17</v>
      </c>
      <c r="F7732" s="9">
        <v>46083.0</v>
      </c>
      <c r="G7732" s="8" t="s">
        <v>365</v>
      </c>
      <c r="H7732" s="8" t="s">
        <v>366</v>
      </c>
      <c r="I7732" s="8" t="s">
        <v>23169</v>
      </c>
      <c r="J7732" s="8" t="s">
        <v>23170</v>
      </c>
    </row>
    <row r="7733">
      <c r="A7733" s="7">
        <v>2.0040158E7</v>
      </c>
      <c r="B7733" s="8" t="s">
        <v>1034</v>
      </c>
      <c r="C7733" s="8" t="s">
        <v>23171</v>
      </c>
      <c r="D7733" s="8" t="s">
        <v>16</v>
      </c>
      <c r="E7733" s="8" t="s">
        <v>1074</v>
      </c>
      <c r="F7733" s="9">
        <v>46075.0</v>
      </c>
      <c r="G7733" s="8" t="s">
        <v>4472</v>
      </c>
      <c r="H7733" s="8" t="s">
        <v>4473</v>
      </c>
      <c r="I7733" s="8" t="s">
        <v>23172</v>
      </c>
      <c r="J7733" s="8" t="s">
        <v>23173</v>
      </c>
    </row>
    <row r="7734">
      <c r="A7734" s="7">
        <v>2.0038115E7</v>
      </c>
      <c r="B7734" s="8" t="s">
        <v>1034</v>
      </c>
      <c r="C7734" s="8" t="s">
        <v>23174</v>
      </c>
      <c r="D7734" s="8" t="s">
        <v>16</v>
      </c>
      <c r="E7734" s="8" t="s">
        <v>17</v>
      </c>
      <c r="F7734" s="9">
        <v>46058.0</v>
      </c>
      <c r="G7734" s="8" t="s">
        <v>1949</v>
      </c>
      <c r="H7734" s="8" t="s">
        <v>1950</v>
      </c>
      <c r="I7734" s="8" t="s">
        <v>23175</v>
      </c>
      <c r="J7734" s="8" t="s">
        <v>23176</v>
      </c>
    </row>
    <row r="7735">
      <c r="A7735" s="7">
        <v>2.0038361E7</v>
      </c>
      <c r="B7735" s="8" t="s">
        <v>1034</v>
      </c>
      <c r="C7735" s="8" t="s">
        <v>23177</v>
      </c>
      <c r="D7735" s="8" t="s">
        <v>16</v>
      </c>
      <c r="E7735" s="8" t="s">
        <v>17</v>
      </c>
      <c r="F7735" s="9">
        <v>46071.0</v>
      </c>
      <c r="G7735" s="8" t="s">
        <v>626</v>
      </c>
      <c r="H7735" s="8" t="s">
        <v>627</v>
      </c>
      <c r="I7735" s="8" t="s">
        <v>23178</v>
      </c>
      <c r="J7735" s="8" t="s">
        <v>23179</v>
      </c>
    </row>
    <row r="7736">
      <c r="A7736" s="7">
        <v>2.0035593E7</v>
      </c>
      <c r="B7736" s="8" t="s">
        <v>1034</v>
      </c>
      <c r="C7736" s="8" t="s">
        <v>23180</v>
      </c>
      <c r="D7736" s="8" t="s">
        <v>16</v>
      </c>
      <c r="E7736" s="8" t="s">
        <v>17</v>
      </c>
      <c r="F7736" s="9">
        <v>46054.0</v>
      </c>
      <c r="G7736" s="8" t="s">
        <v>282</v>
      </c>
      <c r="H7736" s="8" t="s">
        <v>71</v>
      </c>
      <c r="I7736" s="8" t="s">
        <v>23181</v>
      </c>
      <c r="J7736" s="8" t="s">
        <v>23182</v>
      </c>
    </row>
    <row r="7737">
      <c r="A7737" s="7">
        <v>2.0028446E7</v>
      </c>
      <c r="B7737" s="8" t="s">
        <v>1034</v>
      </c>
      <c r="C7737" s="8" t="s">
        <v>23183</v>
      </c>
      <c r="D7737" s="8" t="s">
        <v>16</v>
      </c>
      <c r="E7737" s="8" t="s">
        <v>17</v>
      </c>
      <c r="F7737" s="9">
        <v>46052.0</v>
      </c>
      <c r="G7737" s="8" t="s">
        <v>1057</v>
      </c>
      <c r="H7737" s="8" t="s">
        <v>1058</v>
      </c>
      <c r="I7737" s="8" t="s">
        <v>23184</v>
      </c>
      <c r="J7737" s="8" t="s">
        <v>23185</v>
      </c>
    </row>
    <row r="7738">
      <c r="A7738" s="7">
        <v>2.0034072E7</v>
      </c>
      <c r="B7738" s="8" t="s">
        <v>1034</v>
      </c>
      <c r="C7738" s="8" t="s">
        <v>23186</v>
      </c>
      <c r="D7738" s="8" t="s">
        <v>16</v>
      </c>
      <c r="E7738" s="8" t="s">
        <v>17</v>
      </c>
      <c r="F7738" s="9">
        <v>46060.0</v>
      </c>
      <c r="G7738" s="8" t="s">
        <v>390</v>
      </c>
      <c r="H7738" s="8" t="s">
        <v>391</v>
      </c>
      <c r="I7738" s="8" t="s">
        <v>23187</v>
      </c>
      <c r="J7738" s="8" t="s">
        <v>23188</v>
      </c>
    </row>
    <row r="7739">
      <c r="A7739" s="7">
        <v>2.0066762E7</v>
      </c>
      <c r="B7739" s="8" t="s">
        <v>1034</v>
      </c>
      <c r="C7739" s="8" t="s">
        <v>23189</v>
      </c>
      <c r="D7739" s="8" t="s">
        <v>16</v>
      </c>
      <c r="E7739" s="8" t="s">
        <v>17</v>
      </c>
      <c r="F7739" s="9">
        <v>46172.0</v>
      </c>
      <c r="G7739" s="8" t="s">
        <v>220</v>
      </c>
      <c r="H7739" s="8" t="s">
        <v>221</v>
      </c>
      <c r="I7739" s="8" t="s">
        <v>23190</v>
      </c>
      <c r="J7739" s="8" t="s">
        <v>23191</v>
      </c>
    </row>
    <row r="7740">
      <c r="A7740" s="7">
        <v>2.0065553E7</v>
      </c>
      <c r="B7740" s="8" t="s">
        <v>1034</v>
      </c>
      <c r="C7740" s="8" t="s">
        <v>23192</v>
      </c>
      <c r="D7740" s="8" t="s">
        <v>16</v>
      </c>
      <c r="E7740" s="8" t="s">
        <v>17</v>
      </c>
      <c r="F7740" s="9">
        <v>46174.0</v>
      </c>
      <c r="G7740" s="8" t="s">
        <v>59</v>
      </c>
      <c r="H7740" s="8" t="s">
        <v>60</v>
      </c>
      <c r="I7740" s="8" t="s">
        <v>23193</v>
      </c>
      <c r="J7740" s="8" t="s">
        <v>23194</v>
      </c>
    </row>
    <row r="7741">
      <c r="A7741" s="7">
        <v>2.0061675E7</v>
      </c>
      <c r="B7741" s="8" t="s">
        <v>1034</v>
      </c>
      <c r="C7741" s="8" t="s">
        <v>23195</v>
      </c>
      <c r="D7741" s="8" t="s">
        <v>16</v>
      </c>
      <c r="E7741" s="8" t="s">
        <v>17</v>
      </c>
      <c r="F7741" s="9">
        <v>46161.0</v>
      </c>
      <c r="G7741" s="8" t="s">
        <v>54</v>
      </c>
      <c r="H7741" s="8" t="s">
        <v>6010</v>
      </c>
      <c r="I7741" s="8" t="s">
        <v>23196</v>
      </c>
      <c r="J7741" s="8" t="s">
        <v>23197</v>
      </c>
    </row>
    <row r="7742">
      <c r="A7742" s="7">
        <v>2.0060028E7</v>
      </c>
      <c r="B7742" s="8" t="s">
        <v>1034</v>
      </c>
      <c r="C7742" s="8" t="s">
        <v>23198</v>
      </c>
      <c r="D7742" s="8" t="s">
        <v>16</v>
      </c>
      <c r="E7742" s="8" t="s">
        <v>17</v>
      </c>
      <c r="F7742" s="9">
        <v>46145.0</v>
      </c>
      <c r="G7742" s="8" t="s">
        <v>59</v>
      </c>
      <c r="H7742" s="8" t="s">
        <v>60</v>
      </c>
      <c r="I7742" s="8" t="s">
        <v>23199</v>
      </c>
      <c r="J7742" s="8" t="s">
        <v>23200</v>
      </c>
    </row>
    <row r="7743">
      <c r="A7743" s="7">
        <v>2.0051374E7</v>
      </c>
      <c r="B7743" s="8" t="s">
        <v>1034</v>
      </c>
      <c r="C7743" s="8" t="s">
        <v>23201</v>
      </c>
      <c r="D7743" s="8" t="s">
        <v>16</v>
      </c>
      <c r="E7743" s="8" t="s">
        <v>17</v>
      </c>
      <c r="F7743" s="9">
        <v>46185.0</v>
      </c>
      <c r="G7743" s="8" t="s">
        <v>21137</v>
      </c>
      <c r="H7743" s="8" t="s">
        <v>21138</v>
      </c>
      <c r="I7743" s="8" t="s">
        <v>23202</v>
      </c>
      <c r="J7743" s="8" t="s">
        <v>23203</v>
      </c>
    </row>
    <row r="7744">
      <c r="A7744" s="7">
        <v>2.0055863E7</v>
      </c>
      <c r="B7744" s="8" t="s">
        <v>1034</v>
      </c>
      <c r="C7744" s="8" t="s">
        <v>23204</v>
      </c>
      <c r="D7744" s="8" t="s">
        <v>16</v>
      </c>
      <c r="E7744" s="8" t="s">
        <v>17</v>
      </c>
      <c r="F7744" s="9">
        <v>46147.0</v>
      </c>
      <c r="G7744" s="8" t="s">
        <v>2666</v>
      </c>
      <c r="H7744" s="8" t="s">
        <v>2667</v>
      </c>
      <c r="I7744" s="8" t="s">
        <v>23205</v>
      </c>
      <c r="J7744" s="8" t="s">
        <v>23206</v>
      </c>
    </row>
    <row r="7745">
      <c r="A7745" s="7">
        <v>2.0054311E7</v>
      </c>
      <c r="B7745" s="8" t="s">
        <v>1034</v>
      </c>
      <c r="C7745" s="8" t="s">
        <v>23207</v>
      </c>
      <c r="D7745" s="8" t="s">
        <v>16</v>
      </c>
      <c r="E7745" s="8" t="s">
        <v>17</v>
      </c>
      <c r="F7745" s="9">
        <v>46120.0</v>
      </c>
      <c r="G7745" s="8" t="s">
        <v>882</v>
      </c>
      <c r="H7745" s="8" t="s">
        <v>883</v>
      </c>
      <c r="I7745" s="8" t="s">
        <v>23208</v>
      </c>
      <c r="J7745" s="8" t="s">
        <v>23209</v>
      </c>
    </row>
    <row r="7746">
      <c r="A7746" s="7">
        <v>2.0054151E7</v>
      </c>
      <c r="B7746" s="8" t="s">
        <v>1034</v>
      </c>
      <c r="C7746" s="8" t="s">
        <v>23210</v>
      </c>
      <c r="D7746" s="8" t="s">
        <v>16</v>
      </c>
      <c r="E7746" s="8" t="s">
        <v>17</v>
      </c>
      <c r="F7746" s="9">
        <v>46136.0</v>
      </c>
      <c r="G7746" s="8" t="s">
        <v>23211</v>
      </c>
      <c r="H7746" s="8" t="s">
        <v>23212</v>
      </c>
      <c r="I7746" s="8" t="s">
        <v>23213</v>
      </c>
      <c r="J7746" s="8" t="s">
        <v>23214</v>
      </c>
    </row>
    <row r="7747">
      <c r="A7747" s="7">
        <v>2.0053802E7</v>
      </c>
      <c r="B7747" s="8" t="s">
        <v>1034</v>
      </c>
      <c r="C7747" s="8" t="s">
        <v>23215</v>
      </c>
      <c r="D7747" s="8" t="s">
        <v>16</v>
      </c>
      <c r="E7747" s="8" t="s">
        <v>17</v>
      </c>
      <c r="F7747" s="9">
        <v>46129.0</v>
      </c>
      <c r="G7747" s="8" t="s">
        <v>59</v>
      </c>
      <c r="H7747" s="8" t="s">
        <v>60</v>
      </c>
      <c r="I7747" s="8" t="s">
        <v>23216</v>
      </c>
      <c r="J7747" s="8" t="s">
        <v>23217</v>
      </c>
    </row>
    <row r="7748">
      <c r="A7748" s="7">
        <v>2.004661E7</v>
      </c>
      <c r="B7748" s="8" t="s">
        <v>1034</v>
      </c>
      <c r="C7748" s="8" t="s">
        <v>23218</v>
      </c>
      <c r="D7748" s="8" t="s">
        <v>16</v>
      </c>
      <c r="E7748" s="8" t="s">
        <v>17</v>
      </c>
      <c r="F7748" s="9">
        <v>46119.0</v>
      </c>
      <c r="G7748" s="8" t="s">
        <v>5038</v>
      </c>
      <c r="H7748" s="8" t="s">
        <v>5039</v>
      </c>
      <c r="I7748" s="8" t="s">
        <v>23219</v>
      </c>
      <c r="J7748" s="8" t="s">
        <v>23220</v>
      </c>
    </row>
    <row r="7749">
      <c r="A7749" s="7">
        <v>2.0050126E7</v>
      </c>
      <c r="B7749" s="8" t="s">
        <v>1034</v>
      </c>
      <c r="C7749" s="8" t="s">
        <v>23221</v>
      </c>
      <c r="D7749" s="8" t="s">
        <v>16</v>
      </c>
      <c r="E7749" s="8" t="s">
        <v>17</v>
      </c>
      <c r="F7749" s="9">
        <v>46097.0</v>
      </c>
      <c r="G7749" s="8" t="s">
        <v>59</v>
      </c>
      <c r="H7749" s="8" t="s">
        <v>60</v>
      </c>
      <c r="I7749" s="8" t="s">
        <v>23222</v>
      </c>
      <c r="J7749" s="8" t="s">
        <v>23223</v>
      </c>
    </row>
    <row r="7750">
      <c r="A7750" s="7">
        <v>2.0049191E7</v>
      </c>
      <c r="B7750" s="8" t="s">
        <v>1034</v>
      </c>
      <c r="C7750" s="8" t="s">
        <v>23224</v>
      </c>
      <c r="D7750" s="8" t="s">
        <v>16</v>
      </c>
      <c r="E7750" s="8" t="s">
        <v>17</v>
      </c>
      <c r="F7750" s="9">
        <v>46109.0</v>
      </c>
      <c r="G7750" s="8" t="s">
        <v>9596</v>
      </c>
      <c r="H7750" s="8" t="s">
        <v>9597</v>
      </c>
      <c r="I7750" s="8" t="s">
        <v>23225</v>
      </c>
      <c r="J7750" s="8" t="s">
        <v>23226</v>
      </c>
    </row>
    <row r="7751">
      <c r="A7751" s="7">
        <v>2.0048836E7</v>
      </c>
      <c r="B7751" s="8" t="s">
        <v>1034</v>
      </c>
      <c r="C7751" s="8" t="s">
        <v>23227</v>
      </c>
      <c r="D7751" s="8" t="s">
        <v>16</v>
      </c>
      <c r="E7751" s="8" t="s">
        <v>17</v>
      </c>
      <c r="F7751" s="9">
        <v>46109.0</v>
      </c>
      <c r="G7751" s="8" t="s">
        <v>5431</v>
      </c>
      <c r="H7751" s="8" t="s">
        <v>5432</v>
      </c>
      <c r="I7751" s="8" t="s">
        <v>23228</v>
      </c>
      <c r="J7751" s="8" t="s">
        <v>23229</v>
      </c>
    </row>
    <row r="7752">
      <c r="A7752" s="7">
        <v>2.0046154E7</v>
      </c>
      <c r="B7752" s="8" t="s">
        <v>1034</v>
      </c>
      <c r="C7752" s="8" t="s">
        <v>23230</v>
      </c>
      <c r="D7752" s="8" t="s">
        <v>16</v>
      </c>
      <c r="E7752" s="8" t="s">
        <v>17</v>
      </c>
      <c r="F7752" s="9">
        <v>46086.0</v>
      </c>
      <c r="G7752" s="8" t="s">
        <v>873</v>
      </c>
      <c r="H7752" s="8" t="s">
        <v>874</v>
      </c>
      <c r="I7752" s="8" t="s">
        <v>23231</v>
      </c>
      <c r="J7752" s="8" t="s">
        <v>23232</v>
      </c>
    </row>
    <row r="7753">
      <c r="A7753" s="7">
        <v>2.0046154E7</v>
      </c>
      <c r="B7753" s="8" t="s">
        <v>1034</v>
      </c>
      <c r="C7753" s="8" t="s">
        <v>23230</v>
      </c>
      <c r="D7753" s="8" t="s">
        <v>16</v>
      </c>
      <c r="E7753" s="8" t="s">
        <v>17</v>
      </c>
      <c r="F7753" s="9">
        <v>46086.0</v>
      </c>
      <c r="G7753" s="8" t="s">
        <v>339</v>
      </c>
      <c r="H7753" s="8" t="s">
        <v>340</v>
      </c>
      <c r="I7753" s="8" t="s">
        <v>23233</v>
      </c>
      <c r="J7753" s="8" t="s">
        <v>23234</v>
      </c>
    </row>
    <row r="7754">
      <c r="A7754" s="7">
        <v>2.0026496E7</v>
      </c>
      <c r="B7754" s="8" t="s">
        <v>1034</v>
      </c>
      <c r="C7754" s="8" t="s">
        <v>23235</v>
      </c>
      <c r="D7754" s="8" t="s">
        <v>16</v>
      </c>
      <c r="E7754" s="8" t="s">
        <v>17</v>
      </c>
      <c r="F7754" s="9">
        <v>46105.0</v>
      </c>
      <c r="G7754" s="8" t="s">
        <v>1998</v>
      </c>
      <c r="H7754" s="8" t="s">
        <v>1999</v>
      </c>
      <c r="I7754" s="8" t="s">
        <v>23236</v>
      </c>
      <c r="J7754" s="8" t="s">
        <v>23237</v>
      </c>
    </row>
    <row r="7755">
      <c r="A7755" s="7">
        <v>2.0044861E7</v>
      </c>
      <c r="B7755" s="8" t="s">
        <v>1034</v>
      </c>
      <c r="C7755" s="8" t="s">
        <v>23238</v>
      </c>
      <c r="D7755" s="8" t="s">
        <v>16</v>
      </c>
      <c r="E7755" s="8" t="s">
        <v>17</v>
      </c>
      <c r="F7755" s="9">
        <v>46081.0</v>
      </c>
      <c r="G7755" s="8" t="s">
        <v>385</v>
      </c>
      <c r="H7755" s="8" t="s">
        <v>386</v>
      </c>
      <c r="I7755" s="8" t="s">
        <v>23239</v>
      </c>
      <c r="J7755" s="8" t="s">
        <v>23240</v>
      </c>
    </row>
    <row r="7756">
      <c r="A7756" s="7">
        <v>2.0041765E7</v>
      </c>
      <c r="B7756" s="8" t="s">
        <v>1034</v>
      </c>
      <c r="C7756" s="8" t="s">
        <v>23241</v>
      </c>
      <c r="D7756" s="8" t="s">
        <v>16</v>
      </c>
      <c r="E7756" s="8" t="s">
        <v>17</v>
      </c>
      <c r="F7756" s="9">
        <v>46090.0</v>
      </c>
      <c r="G7756" s="8" t="s">
        <v>6467</v>
      </c>
      <c r="H7756" s="8" t="s">
        <v>6468</v>
      </c>
      <c r="I7756" s="8" t="s">
        <v>23242</v>
      </c>
      <c r="J7756" s="8" t="s">
        <v>23243</v>
      </c>
    </row>
    <row r="7757">
      <c r="A7757" s="7">
        <v>2.0040925E7</v>
      </c>
      <c r="B7757" s="8" t="s">
        <v>1034</v>
      </c>
      <c r="C7757" s="8" t="s">
        <v>23244</v>
      </c>
      <c r="D7757" s="8" t="s">
        <v>16</v>
      </c>
      <c r="E7757" s="8" t="s">
        <v>17</v>
      </c>
      <c r="F7757" s="9">
        <v>46085.0</v>
      </c>
      <c r="G7757" s="8" t="s">
        <v>23245</v>
      </c>
      <c r="H7757" s="8" t="s">
        <v>23246</v>
      </c>
      <c r="I7757" s="8" t="s">
        <v>23247</v>
      </c>
      <c r="J7757" s="8"/>
    </row>
    <row r="7758">
      <c r="A7758" s="7">
        <v>2.0038251E7</v>
      </c>
      <c r="B7758" s="8" t="s">
        <v>1034</v>
      </c>
      <c r="C7758" s="8" t="s">
        <v>23248</v>
      </c>
      <c r="D7758" s="8" t="s">
        <v>16</v>
      </c>
      <c r="E7758" s="8" t="s">
        <v>17</v>
      </c>
      <c r="F7758" s="9">
        <v>46084.0</v>
      </c>
      <c r="G7758" s="8" t="s">
        <v>688</v>
      </c>
      <c r="H7758" s="8" t="s">
        <v>689</v>
      </c>
      <c r="I7758" s="8" t="s">
        <v>23249</v>
      </c>
      <c r="J7758" s="8" t="s">
        <v>23250</v>
      </c>
    </row>
    <row r="7759">
      <c r="A7759" s="7">
        <v>2.003868E7</v>
      </c>
      <c r="B7759" s="8" t="s">
        <v>1034</v>
      </c>
      <c r="C7759" s="8" t="s">
        <v>23251</v>
      </c>
      <c r="D7759" s="8" t="s">
        <v>16</v>
      </c>
      <c r="E7759" s="8" t="s">
        <v>17</v>
      </c>
      <c r="F7759" s="9">
        <v>46082.0</v>
      </c>
      <c r="G7759" s="8" t="s">
        <v>390</v>
      </c>
      <c r="H7759" s="8" t="s">
        <v>391</v>
      </c>
      <c r="I7759" s="8" t="s">
        <v>23252</v>
      </c>
      <c r="J7759" s="8" t="s">
        <v>23253</v>
      </c>
    </row>
    <row r="7760">
      <c r="A7760" s="7">
        <v>2.0033851E7</v>
      </c>
      <c r="B7760" s="8" t="s">
        <v>1034</v>
      </c>
      <c r="C7760" s="8" t="s">
        <v>23254</v>
      </c>
      <c r="D7760" s="8" t="s">
        <v>16</v>
      </c>
      <c r="E7760" s="8" t="s">
        <v>17</v>
      </c>
      <c r="F7760" s="9">
        <v>46082.0</v>
      </c>
      <c r="G7760" s="8" t="s">
        <v>626</v>
      </c>
      <c r="H7760" s="8" t="s">
        <v>627</v>
      </c>
      <c r="I7760" s="8" t="s">
        <v>23255</v>
      </c>
      <c r="J7760" s="8" t="s">
        <v>23256</v>
      </c>
    </row>
    <row r="7761">
      <c r="A7761" s="7">
        <v>2.0036314E7</v>
      </c>
      <c r="B7761" s="8" t="s">
        <v>1034</v>
      </c>
      <c r="C7761" s="8" t="s">
        <v>23257</v>
      </c>
      <c r="D7761" s="8" t="s">
        <v>16</v>
      </c>
      <c r="E7761" s="8" t="s">
        <v>17</v>
      </c>
      <c r="F7761" s="9">
        <v>46069.0</v>
      </c>
      <c r="G7761" s="8" t="s">
        <v>5590</v>
      </c>
      <c r="H7761" s="8" t="s">
        <v>2062</v>
      </c>
      <c r="I7761" s="8" t="s">
        <v>23258</v>
      </c>
      <c r="J7761" s="8" t="s">
        <v>23259</v>
      </c>
    </row>
    <row r="7762">
      <c r="A7762" s="7">
        <v>2.0036314E7</v>
      </c>
      <c r="B7762" s="8" t="s">
        <v>1034</v>
      </c>
      <c r="C7762" s="8" t="s">
        <v>23257</v>
      </c>
      <c r="D7762" s="8" t="s">
        <v>16</v>
      </c>
      <c r="E7762" s="8" t="s">
        <v>17</v>
      </c>
      <c r="F7762" s="9">
        <v>46069.0</v>
      </c>
      <c r="G7762" s="8" t="s">
        <v>517</v>
      </c>
      <c r="H7762" s="8" t="s">
        <v>518</v>
      </c>
      <c r="I7762" s="8" t="s">
        <v>23260</v>
      </c>
      <c r="J7762" s="8" t="s">
        <v>23261</v>
      </c>
    </row>
    <row r="7763">
      <c r="A7763" s="7">
        <v>2.0038498E7</v>
      </c>
      <c r="B7763" s="8" t="s">
        <v>1034</v>
      </c>
      <c r="C7763" s="8" t="s">
        <v>23262</v>
      </c>
      <c r="D7763" s="8" t="s">
        <v>16</v>
      </c>
      <c r="E7763" s="8" t="s">
        <v>17</v>
      </c>
      <c r="F7763" s="9">
        <v>46066.0</v>
      </c>
      <c r="G7763" s="8" t="s">
        <v>385</v>
      </c>
      <c r="H7763" s="8" t="s">
        <v>386</v>
      </c>
      <c r="I7763" s="8" t="s">
        <v>23263</v>
      </c>
      <c r="J7763" s="8" t="s">
        <v>23264</v>
      </c>
    </row>
    <row r="7764">
      <c r="A7764" s="7">
        <v>2.0037335E7</v>
      </c>
      <c r="B7764" s="8" t="s">
        <v>1034</v>
      </c>
      <c r="C7764" s="8" t="s">
        <v>23265</v>
      </c>
      <c r="D7764" s="8" t="s">
        <v>16</v>
      </c>
      <c r="E7764" s="8" t="s">
        <v>17</v>
      </c>
      <c r="F7764" s="9">
        <v>46056.0</v>
      </c>
      <c r="G7764" s="8" t="s">
        <v>1431</v>
      </c>
      <c r="H7764" s="8" t="s">
        <v>1432</v>
      </c>
      <c r="I7764" s="8" t="s">
        <v>23266</v>
      </c>
      <c r="J7764" s="8" t="s">
        <v>23267</v>
      </c>
    </row>
    <row r="7765">
      <c r="A7765" s="7">
        <v>2.0037335E7</v>
      </c>
      <c r="B7765" s="8" t="s">
        <v>1034</v>
      </c>
      <c r="C7765" s="8" t="s">
        <v>23265</v>
      </c>
      <c r="D7765" s="8" t="s">
        <v>16</v>
      </c>
      <c r="E7765" s="8" t="s">
        <v>17</v>
      </c>
      <c r="F7765" s="9">
        <v>46056.0</v>
      </c>
      <c r="G7765" s="8" t="s">
        <v>418</v>
      </c>
      <c r="H7765" s="8" t="s">
        <v>419</v>
      </c>
      <c r="I7765" s="8" t="s">
        <v>23268</v>
      </c>
      <c r="J7765" s="8" t="s">
        <v>23269</v>
      </c>
    </row>
    <row r="7766">
      <c r="A7766" s="7">
        <v>2.0037335E7</v>
      </c>
      <c r="B7766" s="8" t="s">
        <v>1034</v>
      </c>
      <c r="C7766" s="8" t="s">
        <v>23270</v>
      </c>
      <c r="D7766" s="8" t="s">
        <v>16</v>
      </c>
      <c r="E7766" s="8" t="s">
        <v>17</v>
      </c>
      <c r="F7766" s="9">
        <v>46078.0</v>
      </c>
      <c r="G7766" s="8" t="s">
        <v>14612</v>
      </c>
      <c r="H7766" s="8" t="s">
        <v>14613</v>
      </c>
      <c r="I7766" s="8" t="s">
        <v>23271</v>
      </c>
      <c r="J7766" s="8" t="s">
        <v>23272</v>
      </c>
    </row>
    <row r="7767">
      <c r="A7767" s="7">
        <v>2.0036886E7</v>
      </c>
      <c r="B7767" s="8" t="s">
        <v>1034</v>
      </c>
      <c r="C7767" s="8" t="s">
        <v>23273</v>
      </c>
      <c r="D7767" s="8" t="s">
        <v>16</v>
      </c>
      <c r="E7767" s="8" t="s">
        <v>17</v>
      </c>
      <c r="F7767" s="9">
        <v>46066.0</v>
      </c>
      <c r="G7767" s="8" t="s">
        <v>1179</v>
      </c>
      <c r="H7767" s="8" t="s">
        <v>1180</v>
      </c>
      <c r="I7767" s="8" t="s">
        <v>23274</v>
      </c>
      <c r="J7767" s="8" t="s">
        <v>23275</v>
      </c>
    </row>
    <row r="7768">
      <c r="A7768" s="7">
        <v>2.0035564E7</v>
      </c>
      <c r="B7768" s="8" t="s">
        <v>1034</v>
      </c>
      <c r="C7768" s="8" t="s">
        <v>23276</v>
      </c>
      <c r="D7768" s="8" t="s">
        <v>16</v>
      </c>
      <c r="E7768" s="8" t="s">
        <v>17</v>
      </c>
      <c r="F7768" s="9">
        <v>46055.0</v>
      </c>
      <c r="G7768" s="8" t="s">
        <v>91</v>
      </c>
      <c r="H7768" s="8" t="s">
        <v>92</v>
      </c>
      <c r="I7768" s="8" t="s">
        <v>23277</v>
      </c>
      <c r="J7768" s="8" t="s">
        <v>23278</v>
      </c>
    </row>
    <row r="7769">
      <c r="A7769" s="7">
        <v>2.0065802E7</v>
      </c>
      <c r="B7769" s="8" t="s">
        <v>1034</v>
      </c>
      <c r="C7769" s="8" t="s">
        <v>23279</v>
      </c>
      <c r="D7769" s="8" t="s">
        <v>16</v>
      </c>
      <c r="E7769" s="8" t="s">
        <v>17</v>
      </c>
      <c r="F7769" s="9">
        <v>46172.0</v>
      </c>
      <c r="G7769" s="8" t="s">
        <v>1169</v>
      </c>
      <c r="H7769" s="8" t="s">
        <v>1170</v>
      </c>
      <c r="I7769" s="8" t="s">
        <v>23280</v>
      </c>
      <c r="J7769" s="8" t="s">
        <v>23281</v>
      </c>
    </row>
    <row r="7770">
      <c r="A7770" s="7">
        <v>2.0065802E7</v>
      </c>
      <c r="B7770" s="8" t="s">
        <v>1034</v>
      </c>
      <c r="C7770" s="8" t="s">
        <v>23279</v>
      </c>
      <c r="D7770" s="8" t="s">
        <v>16</v>
      </c>
      <c r="E7770" s="8" t="s">
        <v>17</v>
      </c>
      <c r="F7770" s="9">
        <v>46172.0</v>
      </c>
      <c r="G7770" s="8" t="s">
        <v>1093</v>
      </c>
      <c r="H7770" s="8" t="s">
        <v>1094</v>
      </c>
      <c r="I7770" s="8" t="s">
        <v>23282</v>
      </c>
      <c r="J7770" s="8" t="s">
        <v>23283</v>
      </c>
    </row>
    <row r="7771">
      <c r="A7771" s="7">
        <v>2.0065802E7</v>
      </c>
      <c r="B7771" s="8" t="s">
        <v>1034</v>
      </c>
      <c r="C7771" s="8" t="s">
        <v>23284</v>
      </c>
      <c r="D7771" s="8" t="s">
        <v>16</v>
      </c>
      <c r="E7771" s="8" t="s">
        <v>17</v>
      </c>
      <c r="F7771" s="9">
        <v>46191.0</v>
      </c>
      <c r="G7771" s="8" t="s">
        <v>137</v>
      </c>
      <c r="H7771" s="8" t="s">
        <v>138</v>
      </c>
      <c r="I7771" s="8" t="s">
        <v>23285</v>
      </c>
      <c r="J7771" s="8" t="s">
        <v>23286</v>
      </c>
    </row>
    <row r="7772">
      <c r="A7772" s="7">
        <v>2.006491E7</v>
      </c>
      <c r="B7772" s="8" t="s">
        <v>1034</v>
      </c>
      <c r="C7772" s="8" t="s">
        <v>23287</v>
      </c>
      <c r="D7772" s="8" t="s">
        <v>16</v>
      </c>
      <c r="E7772" s="8" t="s">
        <v>17</v>
      </c>
      <c r="F7772" s="9">
        <v>46192.0</v>
      </c>
      <c r="G7772" s="8" t="s">
        <v>314</v>
      </c>
      <c r="H7772" s="8" t="s">
        <v>315</v>
      </c>
      <c r="I7772" s="8" t="s">
        <v>23288</v>
      </c>
      <c r="J7772" s="8" t="s">
        <v>23289</v>
      </c>
    </row>
    <row r="7773">
      <c r="A7773" s="7">
        <v>2.0064314E7</v>
      </c>
      <c r="B7773" s="8" t="s">
        <v>1034</v>
      </c>
      <c r="C7773" s="8" t="s">
        <v>23290</v>
      </c>
      <c r="D7773" s="8" t="s">
        <v>16</v>
      </c>
      <c r="E7773" s="8" t="s">
        <v>17</v>
      </c>
      <c r="F7773" s="9">
        <v>46169.0</v>
      </c>
      <c r="G7773" s="8" t="s">
        <v>1093</v>
      </c>
      <c r="H7773" s="8" t="s">
        <v>1094</v>
      </c>
      <c r="I7773" s="8" t="s">
        <v>23291</v>
      </c>
      <c r="J7773" s="8" t="s">
        <v>23292</v>
      </c>
    </row>
    <row r="7774">
      <c r="A7774" s="7">
        <v>2.0064314E7</v>
      </c>
      <c r="B7774" s="8" t="s">
        <v>1034</v>
      </c>
      <c r="C7774" s="8" t="s">
        <v>23290</v>
      </c>
      <c r="D7774" s="8" t="s">
        <v>16</v>
      </c>
      <c r="E7774" s="8" t="s">
        <v>17</v>
      </c>
      <c r="F7774" s="9">
        <v>46169.0</v>
      </c>
      <c r="G7774" s="8" t="s">
        <v>1169</v>
      </c>
      <c r="H7774" s="8" t="s">
        <v>1170</v>
      </c>
      <c r="I7774" s="8" t="s">
        <v>23293</v>
      </c>
      <c r="J7774" s="8" t="s">
        <v>23294</v>
      </c>
    </row>
    <row r="7775">
      <c r="A7775" s="7">
        <v>2.0060613E7</v>
      </c>
      <c r="B7775" s="8" t="s">
        <v>1034</v>
      </c>
      <c r="C7775" s="8" t="s">
        <v>23295</v>
      </c>
      <c r="D7775" s="8" t="s">
        <v>16</v>
      </c>
      <c r="E7775" s="8" t="s">
        <v>17</v>
      </c>
      <c r="F7775" s="9">
        <v>46154.0</v>
      </c>
      <c r="G7775" s="8" t="s">
        <v>21542</v>
      </c>
      <c r="H7775" s="8" t="s">
        <v>21543</v>
      </c>
      <c r="I7775" s="8" t="s">
        <v>23296</v>
      </c>
      <c r="J7775" s="8" t="s">
        <v>23297</v>
      </c>
    </row>
    <row r="7776">
      <c r="A7776" s="7">
        <v>2.0060613E7</v>
      </c>
      <c r="B7776" s="8" t="s">
        <v>1034</v>
      </c>
      <c r="C7776" s="8" t="s">
        <v>23295</v>
      </c>
      <c r="D7776" s="8" t="s">
        <v>16</v>
      </c>
      <c r="E7776" s="8" t="s">
        <v>17</v>
      </c>
      <c r="F7776" s="9">
        <v>46154.0</v>
      </c>
      <c r="G7776" s="8" t="s">
        <v>805</v>
      </c>
      <c r="H7776" s="8" t="s">
        <v>806</v>
      </c>
      <c r="I7776" s="8" t="s">
        <v>23298</v>
      </c>
      <c r="J7776" s="8" t="s">
        <v>23299</v>
      </c>
    </row>
    <row r="7777">
      <c r="A7777" s="7">
        <v>2.005777E7</v>
      </c>
      <c r="B7777" s="8" t="s">
        <v>1034</v>
      </c>
      <c r="C7777" s="8" t="s">
        <v>23300</v>
      </c>
      <c r="D7777" s="8" t="s">
        <v>16</v>
      </c>
      <c r="E7777" s="8" t="s">
        <v>17</v>
      </c>
      <c r="F7777" s="9">
        <v>46131.0</v>
      </c>
      <c r="G7777" s="8" t="s">
        <v>846</v>
      </c>
      <c r="H7777" s="8" t="s">
        <v>847</v>
      </c>
      <c r="I7777" s="8" t="s">
        <v>23301</v>
      </c>
      <c r="J7777" s="8" t="s">
        <v>23302</v>
      </c>
    </row>
    <row r="7778">
      <c r="A7778" s="7">
        <v>2.005091E7</v>
      </c>
      <c r="B7778" s="8" t="s">
        <v>1034</v>
      </c>
      <c r="C7778" s="8" t="s">
        <v>23303</v>
      </c>
      <c r="D7778" s="8" t="s">
        <v>16</v>
      </c>
      <c r="E7778" s="8" t="s">
        <v>17</v>
      </c>
      <c r="F7778" s="9">
        <v>46151.0</v>
      </c>
      <c r="G7778" s="8" t="s">
        <v>348</v>
      </c>
      <c r="H7778" s="8" t="s">
        <v>349</v>
      </c>
      <c r="I7778" s="8" t="s">
        <v>23304</v>
      </c>
      <c r="J7778" s="8" t="s">
        <v>23305</v>
      </c>
    </row>
    <row r="7779">
      <c r="A7779" s="7">
        <v>2.0051035E7</v>
      </c>
      <c r="B7779" s="8" t="s">
        <v>1034</v>
      </c>
      <c r="C7779" s="8" t="s">
        <v>23306</v>
      </c>
      <c r="D7779" s="8" t="s">
        <v>16</v>
      </c>
      <c r="E7779" s="8" t="s">
        <v>17</v>
      </c>
      <c r="F7779" s="9">
        <v>46121.0</v>
      </c>
      <c r="G7779" s="8" t="s">
        <v>15218</v>
      </c>
      <c r="H7779" s="8" t="s">
        <v>15219</v>
      </c>
      <c r="I7779" s="8" t="s">
        <v>23307</v>
      </c>
      <c r="J7779" s="8" t="s">
        <v>23308</v>
      </c>
    </row>
    <row r="7780">
      <c r="A7780" s="7">
        <v>2.0049657E7</v>
      </c>
      <c r="B7780" s="8" t="s">
        <v>1034</v>
      </c>
      <c r="C7780" s="8" t="s">
        <v>23309</v>
      </c>
      <c r="D7780" s="8" t="s">
        <v>16</v>
      </c>
      <c r="E7780" s="8" t="s">
        <v>17</v>
      </c>
      <c r="F7780" s="9">
        <v>46107.0</v>
      </c>
      <c r="G7780" s="8" t="s">
        <v>59</v>
      </c>
      <c r="H7780" s="8" t="s">
        <v>60</v>
      </c>
      <c r="I7780" s="8" t="s">
        <v>23310</v>
      </c>
      <c r="J7780" s="8" t="s">
        <v>23311</v>
      </c>
    </row>
    <row r="7781">
      <c r="A7781" s="7">
        <v>2.0046824E7</v>
      </c>
      <c r="B7781" s="8" t="s">
        <v>1034</v>
      </c>
      <c r="C7781" s="8" t="s">
        <v>23312</v>
      </c>
      <c r="D7781" s="8" t="s">
        <v>16</v>
      </c>
      <c r="E7781" s="8" t="s">
        <v>17</v>
      </c>
      <c r="F7781" s="9">
        <v>46103.0</v>
      </c>
      <c r="G7781" s="8" t="s">
        <v>158</v>
      </c>
      <c r="H7781" s="8" t="s">
        <v>159</v>
      </c>
      <c r="I7781" s="8" t="s">
        <v>23313</v>
      </c>
      <c r="J7781" s="8" t="s">
        <v>23314</v>
      </c>
    </row>
    <row r="7782">
      <c r="A7782" s="7">
        <v>2.004268E7</v>
      </c>
      <c r="B7782" s="8" t="s">
        <v>1034</v>
      </c>
      <c r="C7782" s="8" t="s">
        <v>23315</v>
      </c>
      <c r="D7782" s="8" t="s">
        <v>16</v>
      </c>
      <c r="E7782" s="8" t="s">
        <v>17</v>
      </c>
      <c r="F7782" s="9">
        <v>46086.0</v>
      </c>
      <c r="G7782" s="8" t="s">
        <v>390</v>
      </c>
      <c r="H7782" s="8" t="s">
        <v>391</v>
      </c>
      <c r="I7782" s="8" t="s">
        <v>23316</v>
      </c>
      <c r="J7782" s="8" t="s">
        <v>23317</v>
      </c>
    </row>
    <row r="7783">
      <c r="A7783" s="7">
        <v>2.0040857E7</v>
      </c>
      <c r="B7783" s="8" t="s">
        <v>1034</v>
      </c>
      <c r="C7783" s="8" t="s">
        <v>23318</v>
      </c>
      <c r="D7783" s="8" t="s">
        <v>16</v>
      </c>
      <c r="E7783" s="8" t="s">
        <v>17</v>
      </c>
      <c r="F7783" s="9">
        <v>46075.0</v>
      </c>
      <c r="G7783" s="8" t="s">
        <v>220</v>
      </c>
      <c r="H7783" s="8" t="s">
        <v>221</v>
      </c>
      <c r="I7783" s="8" t="s">
        <v>23319</v>
      </c>
      <c r="J7783" s="8" t="s">
        <v>23320</v>
      </c>
    </row>
    <row r="7784">
      <c r="A7784" s="7">
        <v>2.0039835E7</v>
      </c>
      <c r="B7784" s="8" t="s">
        <v>1034</v>
      </c>
      <c r="C7784" s="8" t="s">
        <v>23321</v>
      </c>
      <c r="D7784" s="8" t="s">
        <v>2136</v>
      </c>
      <c r="E7784" s="8" t="s">
        <v>17</v>
      </c>
      <c r="F7784" s="9">
        <v>46057.0</v>
      </c>
      <c r="G7784" s="8" t="s">
        <v>109</v>
      </c>
      <c r="H7784" s="8" t="s">
        <v>110</v>
      </c>
      <c r="I7784" s="8" t="s">
        <v>23322</v>
      </c>
      <c r="J7784" s="8" t="s">
        <v>23323</v>
      </c>
    </row>
    <row r="7785">
      <c r="A7785" s="7">
        <v>2.0020271E7</v>
      </c>
      <c r="B7785" s="8" t="s">
        <v>1034</v>
      </c>
      <c r="C7785" s="8" t="s">
        <v>23324</v>
      </c>
      <c r="D7785" s="8" t="s">
        <v>16</v>
      </c>
      <c r="E7785" s="8" t="s">
        <v>17</v>
      </c>
      <c r="F7785" s="9">
        <v>46081.0</v>
      </c>
      <c r="G7785" s="8" t="s">
        <v>7416</v>
      </c>
      <c r="H7785" s="8" t="s">
        <v>7417</v>
      </c>
      <c r="I7785" s="8" t="s">
        <v>23325</v>
      </c>
      <c r="J7785" s="8" t="s">
        <v>23326</v>
      </c>
    </row>
    <row r="7786">
      <c r="A7786" s="7">
        <v>2.0029748E7</v>
      </c>
      <c r="B7786" s="8" t="s">
        <v>1034</v>
      </c>
      <c r="C7786" s="8" t="s">
        <v>23327</v>
      </c>
      <c r="D7786" s="8" t="s">
        <v>16</v>
      </c>
      <c r="E7786" s="8" t="s">
        <v>17</v>
      </c>
      <c r="F7786" s="9">
        <v>46062.0</v>
      </c>
      <c r="G7786" s="8" t="s">
        <v>23328</v>
      </c>
      <c r="H7786" s="8" t="s">
        <v>23329</v>
      </c>
      <c r="I7786" s="8" t="s">
        <v>23330</v>
      </c>
      <c r="J7786" s="8" t="s">
        <v>23331</v>
      </c>
    </row>
    <row r="7787">
      <c r="A7787" s="7">
        <v>2.0036417E7</v>
      </c>
      <c r="B7787" s="8" t="s">
        <v>1034</v>
      </c>
      <c r="C7787" s="8" t="s">
        <v>23332</v>
      </c>
      <c r="D7787" s="8" t="s">
        <v>16</v>
      </c>
      <c r="E7787" s="8" t="s">
        <v>17</v>
      </c>
      <c r="F7787" s="9">
        <v>46057.0</v>
      </c>
      <c r="G7787" s="8" t="s">
        <v>1880</v>
      </c>
      <c r="H7787" s="8" t="s">
        <v>55</v>
      </c>
      <c r="I7787" s="8" t="s">
        <v>23333</v>
      </c>
      <c r="J7787" s="8" t="s">
        <v>23334</v>
      </c>
    </row>
    <row r="7788">
      <c r="A7788" s="7">
        <v>2.0036679E7</v>
      </c>
      <c r="B7788" s="8" t="s">
        <v>1034</v>
      </c>
      <c r="C7788" s="8" t="s">
        <v>23335</v>
      </c>
      <c r="D7788" s="8" t="s">
        <v>16</v>
      </c>
      <c r="E7788" s="8" t="s">
        <v>17</v>
      </c>
      <c r="F7788" s="9">
        <v>46065.0</v>
      </c>
      <c r="G7788" s="8" t="s">
        <v>171</v>
      </c>
      <c r="H7788" s="8" t="s">
        <v>172</v>
      </c>
      <c r="I7788" s="8" t="s">
        <v>23336</v>
      </c>
      <c r="J7788" s="8" t="s">
        <v>23337</v>
      </c>
    </row>
    <row r="7789">
      <c r="A7789" s="7">
        <v>2.0067022E7</v>
      </c>
      <c r="B7789" s="8" t="s">
        <v>1034</v>
      </c>
      <c r="C7789" s="8" t="s">
        <v>23338</v>
      </c>
      <c r="D7789" s="8" t="s">
        <v>16</v>
      </c>
      <c r="E7789" s="8" t="s">
        <v>17</v>
      </c>
      <c r="F7789" s="9">
        <v>46179.0</v>
      </c>
      <c r="G7789" s="8" t="s">
        <v>7637</v>
      </c>
      <c r="H7789" s="8" t="s">
        <v>7638</v>
      </c>
      <c r="I7789" s="8" t="s">
        <v>23339</v>
      </c>
      <c r="J7789" s="8" t="s">
        <v>23340</v>
      </c>
    </row>
    <row r="7790">
      <c r="A7790" s="7">
        <v>2.006062E7</v>
      </c>
      <c r="B7790" s="8" t="s">
        <v>1034</v>
      </c>
      <c r="C7790" s="8" t="s">
        <v>23341</v>
      </c>
      <c r="D7790" s="8" t="s">
        <v>16</v>
      </c>
      <c r="E7790" s="8" t="s">
        <v>17</v>
      </c>
      <c r="F7790" s="9">
        <v>46170.0</v>
      </c>
      <c r="G7790" s="8" t="s">
        <v>2256</v>
      </c>
      <c r="H7790" s="8" t="s">
        <v>2257</v>
      </c>
      <c r="I7790" s="8" t="s">
        <v>23342</v>
      </c>
      <c r="J7790" s="8" t="s">
        <v>23343</v>
      </c>
    </row>
    <row r="7791">
      <c r="A7791" s="7">
        <v>2.0059632E7</v>
      </c>
      <c r="B7791" s="8" t="s">
        <v>1034</v>
      </c>
      <c r="C7791" s="8" t="s">
        <v>23344</v>
      </c>
      <c r="D7791" s="8" t="s">
        <v>16</v>
      </c>
      <c r="E7791" s="8" t="s">
        <v>17</v>
      </c>
      <c r="F7791" s="9">
        <v>46144.0</v>
      </c>
      <c r="G7791" s="8" t="s">
        <v>1734</v>
      </c>
      <c r="H7791" s="8" t="s">
        <v>1735</v>
      </c>
      <c r="I7791" s="8" t="s">
        <v>23345</v>
      </c>
      <c r="J7791" s="8" t="s">
        <v>23346</v>
      </c>
    </row>
    <row r="7792">
      <c r="A7792" s="7">
        <v>2.0059028E7</v>
      </c>
      <c r="B7792" s="8" t="s">
        <v>1034</v>
      </c>
      <c r="C7792" s="8" t="s">
        <v>23347</v>
      </c>
      <c r="D7792" s="8" t="s">
        <v>16</v>
      </c>
      <c r="E7792" s="8" t="s">
        <v>17</v>
      </c>
      <c r="F7792" s="9">
        <v>46147.0</v>
      </c>
      <c r="G7792" s="8" t="s">
        <v>59</v>
      </c>
      <c r="H7792" s="8" t="s">
        <v>60</v>
      </c>
      <c r="I7792" s="8" t="s">
        <v>23348</v>
      </c>
      <c r="J7792" s="8" t="s">
        <v>23349</v>
      </c>
    </row>
    <row r="7793">
      <c r="A7793" s="7">
        <v>2.0053299E7</v>
      </c>
      <c r="B7793" s="8" t="s">
        <v>1034</v>
      </c>
      <c r="C7793" s="8" t="s">
        <v>23350</v>
      </c>
      <c r="D7793" s="8" t="s">
        <v>16</v>
      </c>
      <c r="E7793" s="8" t="s">
        <v>17</v>
      </c>
      <c r="F7793" s="9">
        <v>46124.0</v>
      </c>
      <c r="G7793" s="8" t="s">
        <v>1110</v>
      </c>
      <c r="H7793" s="8" t="s">
        <v>1111</v>
      </c>
      <c r="I7793" s="8" t="s">
        <v>23351</v>
      </c>
      <c r="J7793" s="8" t="s">
        <v>23352</v>
      </c>
    </row>
    <row r="7794">
      <c r="A7794" s="7">
        <v>2.0043113E7</v>
      </c>
      <c r="B7794" s="8" t="s">
        <v>1034</v>
      </c>
      <c r="C7794" s="8" t="s">
        <v>23353</v>
      </c>
      <c r="D7794" s="8" t="s">
        <v>16</v>
      </c>
      <c r="E7794" s="8" t="s">
        <v>17</v>
      </c>
      <c r="F7794" s="9">
        <v>46122.0</v>
      </c>
      <c r="G7794" s="8" t="s">
        <v>826</v>
      </c>
      <c r="H7794" s="8" t="s">
        <v>827</v>
      </c>
      <c r="I7794" s="8" t="s">
        <v>23354</v>
      </c>
      <c r="J7794" s="8" t="s">
        <v>23355</v>
      </c>
    </row>
    <row r="7795">
      <c r="A7795" s="7">
        <v>2.0051865E7</v>
      </c>
      <c r="B7795" s="8" t="s">
        <v>1034</v>
      </c>
      <c r="C7795" s="8" t="s">
        <v>23356</v>
      </c>
      <c r="D7795" s="8" t="s">
        <v>16</v>
      </c>
      <c r="E7795" s="8" t="s">
        <v>17</v>
      </c>
      <c r="F7795" s="9">
        <v>46110.0</v>
      </c>
      <c r="G7795" s="8" t="s">
        <v>365</v>
      </c>
      <c r="H7795" s="8" t="s">
        <v>366</v>
      </c>
      <c r="I7795" s="8" t="s">
        <v>23357</v>
      </c>
      <c r="J7795" s="8" t="s">
        <v>23358</v>
      </c>
    </row>
    <row r="7796">
      <c r="A7796" s="7">
        <v>2.0051597E7</v>
      </c>
      <c r="B7796" s="8" t="s">
        <v>1034</v>
      </c>
      <c r="C7796" s="8" t="s">
        <v>23359</v>
      </c>
      <c r="D7796" s="8" t="s">
        <v>16</v>
      </c>
      <c r="E7796" s="8" t="s">
        <v>17</v>
      </c>
      <c r="F7796" s="9">
        <v>46123.0</v>
      </c>
      <c r="G7796" s="8" t="s">
        <v>1085</v>
      </c>
      <c r="H7796" s="8" t="s">
        <v>1086</v>
      </c>
      <c r="I7796" s="8" t="s">
        <v>23360</v>
      </c>
      <c r="J7796" s="8" t="s">
        <v>23361</v>
      </c>
    </row>
    <row r="7797">
      <c r="A7797" s="7">
        <v>2.0051166E7</v>
      </c>
      <c r="B7797" s="8" t="s">
        <v>1034</v>
      </c>
      <c r="C7797" s="8" t="s">
        <v>23362</v>
      </c>
      <c r="D7797" s="8" t="s">
        <v>16</v>
      </c>
      <c r="E7797" s="8" t="s">
        <v>17</v>
      </c>
      <c r="F7797" s="9">
        <v>46121.0</v>
      </c>
      <c r="G7797" s="8" t="s">
        <v>1049</v>
      </c>
      <c r="H7797" s="8" t="s">
        <v>1050</v>
      </c>
      <c r="I7797" s="8" t="s">
        <v>23363</v>
      </c>
      <c r="J7797" s="8" t="s">
        <v>23364</v>
      </c>
    </row>
    <row r="7798">
      <c r="A7798" s="7">
        <v>2.0048234E7</v>
      </c>
      <c r="B7798" s="8" t="s">
        <v>1034</v>
      </c>
      <c r="C7798" s="8" t="s">
        <v>23365</v>
      </c>
      <c r="D7798" s="8" t="s">
        <v>16</v>
      </c>
      <c r="E7798" s="8" t="s">
        <v>17</v>
      </c>
      <c r="F7798" s="9">
        <v>46103.0</v>
      </c>
      <c r="G7798" s="8" t="s">
        <v>10934</v>
      </c>
      <c r="H7798" s="8" t="s">
        <v>10935</v>
      </c>
      <c r="I7798" s="8" t="s">
        <v>23366</v>
      </c>
      <c r="J7798" s="8" t="s">
        <v>23367</v>
      </c>
    </row>
    <row r="7799">
      <c r="A7799" s="7">
        <v>2.0047841E7</v>
      </c>
      <c r="B7799" s="8" t="s">
        <v>1034</v>
      </c>
      <c r="C7799" s="8" t="s">
        <v>23368</v>
      </c>
      <c r="D7799" s="8" t="s">
        <v>16</v>
      </c>
      <c r="E7799" s="8" t="s">
        <v>17</v>
      </c>
      <c r="F7799" s="9">
        <v>46112.0</v>
      </c>
      <c r="G7799" s="8" t="s">
        <v>2666</v>
      </c>
      <c r="H7799" s="8" t="s">
        <v>2667</v>
      </c>
      <c r="I7799" s="8" t="s">
        <v>23369</v>
      </c>
      <c r="J7799" s="8" t="s">
        <v>23370</v>
      </c>
    </row>
    <row r="7800">
      <c r="A7800" s="7">
        <v>2.0047328E7</v>
      </c>
      <c r="B7800" s="8" t="s">
        <v>1034</v>
      </c>
      <c r="C7800" s="8" t="s">
        <v>23371</v>
      </c>
      <c r="D7800" s="8" t="s">
        <v>16</v>
      </c>
      <c r="E7800" s="8" t="s">
        <v>17</v>
      </c>
      <c r="F7800" s="9">
        <v>46092.0</v>
      </c>
      <c r="G7800" s="8" t="s">
        <v>234</v>
      </c>
      <c r="H7800" s="8" t="s">
        <v>235</v>
      </c>
      <c r="I7800" s="8" t="s">
        <v>23372</v>
      </c>
      <c r="J7800" s="8" t="s">
        <v>23373</v>
      </c>
    </row>
    <row r="7801">
      <c r="A7801" s="7">
        <v>2.0047189E7</v>
      </c>
      <c r="B7801" s="8" t="s">
        <v>1034</v>
      </c>
      <c r="C7801" s="8" t="s">
        <v>23374</v>
      </c>
      <c r="D7801" s="8" t="s">
        <v>16</v>
      </c>
      <c r="E7801" s="8" t="s">
        <v>4243</v>
      </c>
      <c r="F7801" s="9">
        <v>46108.0</v>
      </c>
      <c r="G7801" s="8" t="s">
        <v>436</v>
      </c>
      <c r="H7801" s="8" t="s">
        <v>437</v>
      </c>
      <c r="I7801" s="8" t="s">
        <v>23375</v>
      </c>
      <c r="J7801" s="8" t="s">
        <v>22575</v>
      </c>
    </row>
    <row r="7802">
      <c r="A7802" s="7">
        <v>2.0045358E7</v>
      </c>
      <c r="B7802" s="8" t="s">
        <v>1034</v>
      </c>
      <c r="C7802" s="8" t="s">
        <v>23376</v>
      </c>
      <c r="D7802" s="8" t="s">
        <v>16</v>
      </c>
      <c r="E7802" s="8" t="s">
        <v>17</v>
      </c>
      <c r="F7802" s="9">
        <v>46086.0</v>
      </c>
      <c r="G7802" s="8" t="s">
        <v>34</v>
      </c>
      <c r="H7802" s="8" t="s">
        <v>35</v>
      </c>
      <c r="I7802" s="8" t="s">
        <v>23377</v>
      </c>
      <c r="J7802" s="8" t="s">
        <v>23378</v>
      </c>
    </row>
    <row r="7803">
      <c r="A7803" s="7">
        <v>2.0044501E7</v>
      </c>
      <c r="B7803" s="8" t="s">
        <v>1034</v>
      </c>
      <c r="C7803" s="8" t="s">
        <v>23379</v>
      </c>
      <c r="D7803" s="8" t="s">
        <v>16</v>
      </c>
      <c r="E7803" s="8" t="s">
        <v>17</v>
      </c>
      <c r="F7803" s="9">
        <v>46085.0</v>
      </c>
      <c r="G7803" s="8" t="s">
        <v>365</v>
      </c>
      <c r="H7803" s="8" t="s">
        <v>366</v>
      </c>
      <c r="I7803" s="8" t="s">
        <v>22705</v>
      </c>
      <c r="J7803" s="8" t="s">
        <v>23380</v>
      </c>
    </row>
    <row r="7804">
      <c r="A7804" s="7">
        <v>2.004434E7</v>
      </c>
      <c r="B7804" s="8" t="s">
        <v>1034</v>
      </c>
      <c r="C7804" s="8" t="s">
        <v>23381</v>
      </c>
      <c r="D7804" s="8" t="s">
        <v>16</v>
      </c>
      <c r="E7804" s="8" t="s">
        <v>17</v>
      </c>
      <c r="F7804" s="9">
        <v>46100.0</v>
      </c>
      <c r="G7804" s="8" t="s">
        <v>64</v>
      </c>
      <c r="H7804" s="8" t="s">
        <v>65</v>
      </c>
      <c r="I7804" s="8" t="s">
        <v>23382</v>
      </c>
      <c r="J7804" s="8" t="s">
        <v>23383</v>
      </c>
    </row>
    <row r="7805">
      <c r="A7805" s="7">
        <v>2.0038515E7</v>
      </c>
      <c r="B7805" s="8" t="s">
        <v>1034</v>
      </c>
      <c r="C7805" s="8" t="s">
        <v>23384</v>
      </c>
      <c r="D7805" s="8" t="s">
        <v>16</v>
      </c>
      <c r="E7805" s="8" t="s">
        <v>17</v>
      </c>
      <c r="F7805" s="9">
        <v>46076.0</v>
      </c>
      <c r="G7805" s="8" t="s">
        <v>826</v>
      </c>
      <c r="H7805" s="8" t="s">
        <v>827</v>
      </c>
      <c r="I7805" s="8" t="s">
        <v>23385</v>
      </c>
      <c r="J7805" s="8" t="s">
        <v>23386</v>
      </c>
    </row>
    <row r="7806">
      <c r="A7806" s="7">
        <v>2.0034559E7</v>
      </c>
      <c r="B7806" s="8" t="s">
        <v>1034</v>
      </c>
      <c r="C7806" s="8" t="s">
        <v>23387</v>
      </c>
      <c r="D7806" s="8" t="s">
        <v>16</v>
      </c>
      <c r="E7806" s="8" t="s">
        <v>17</v>
      </c>
      <c r="F7806" s="9">
        <v>46041.0</v>
      </c>
      <c r="G7806" s="8" t="s">
        <v>3012</v>
      </c>
      <c r="H7806" s="8" t="s">
        <v>3013</v>
      </c>
      <c r="I7806" s="8" t="s">
        <v>23388</v>
      </c>
      <c r="J7806" s="8" t="s">
        <v>23389</v>
      </c>
    </row>
    <row r="7807">
      <c r="A7807" s="7">
        <v>2.0070496E7</v>
      </c>
      <c r="B7807" s="8" t="s">
        <v>1034</v>
      </c>
      <c r="C7807" s="8" t="s">
        <v>23390</v>
      </c>
      <c r="D7807" s="8" t="s">
        <v>16</v>
      </c>
      <c r="E7807" s="8" t="s">
        <v>17</v>
      </c>
      <c r="F7807" s="9">
        <v>46193.0</v>
      </c>
      <c r="G7807" s="8" t="s">
        <v>59</v>
      </c>
      <c r="H7807" s="8" t="s">
        <v>60</v>
      </c>
      <c r="I7807" s="8" t="s">
        <v>23391</v>
      </c>
      <c r="J7807" s="8" t="s">
        <v>23392</v>
      </c>
    </row>
    <row r="7808">
      <c r="A7808" s="7">
        <v>2.0068293E7</v>
      </c>
      <c r="B7808" s="8" t="s">
        <v>1034</v>
      </c>
      <c r="C7808" s="8" t="s">
        <v>23393</v>
      </c>
      <c r="D7808" s="8" t="s">
        <v>16</v>
      </c>
      <c r="E7808" s="8" t="s">
        <v>17</v>
      </c>
      <c r="F7808" s="9">
        <v>46183.0</v>
      </c>
      <c r="G7808" s="8" t="s">
        <v>75</v>
      </c>
      <c r="H7808" s="8" t="s">
        <v>76</v>
      </c>
      <c r="I7808" s="8" t="s">
        <v>23394</v>
      </c>
      <c r="J7808" s="8" t="s">
        <v>23395</v>
      </c>
    </row>
    <row r="7809">
      <c r="A7809" s="7">
        <v>2.0059854E7</v>
      </c>
      <c r="B7809" s="8" t="s">
        <v>1034</v>
      </c>
      <c r="C7809" s="8" t="s">
        <v>23396</v>
      </c>
      <c r="D7809" s="8" t="s">
        <v>16</v>
      </c>
      <c r="E7809" s="8" t="s">
        <v>17</v>
      </c>
      <c r="F7809" s="9">
        <v>46150.0</v>
      </c>
      <c r="G7809" s="8" t="s">
        <v>54</v>
      </c>
      <c r="H7809" s="8" t="s">
        <v>6010</v>
      </c>
      <c r="I7809" s="8" t="s">
        <v>23397</v>
      </c>
      <c r="J7809" s="8" t="s">
        <v>23398</v>
      </c>
    </row>
    <row r="7810">
      <c r="A7810" s="7">
        <v>2.0054513E7</v>
      </c>
      <c r="B7810" s="8" t="s">
        <v>1034</v>
      </c>
      <c r="C7810" s="8" t="s">
        <v>23399</v>
      </c>
      <c r="D7810" s="8" t="s">
        <v>16</v>
      </c>
      <c r="E7810" s="8" t="s">
        <v>17</v>
      </c>
      <c r="F7810" s="9">
        <v>46138.0</v>
      </c>
      <c r="G7810" s="8" t="s">
        <v>314</v>
      </c>
      <c r="H7810" s="8" t="s">
        <v>315</v>
      </c>
      <c r="I7810" s="8" t="s">
        <v>23400</v>
      </c>
      <c r="J7810" s="8" t="s">
        <v>23401</v>
      </c>
    </row>
    <row r="7811">
      <c r="A7811" s="7">
        <v>2.0049933E7</v>
      </c>
      <c r="B7811" s="8" t="s">
        <v>1034</v>
      </c>
      <c r="C7811" s="8" t="s">
        <v>23402</v>
      </c>
      <c r="D7811" s="8" t="s">
        <v>16</v>
      </c>
      <c r="E7811" s="8" t="s">
        <v>17</v>
      </c>
      <c r="F7811" s="9">
        <v>46116.0</v>
      </c>
      <c r="G7811" s="8" t="s">
        <v>1344</v>
      </c>
      <c r="H7811" s="8" t="s">
        <v>1345</v>
      </c>
      <c r="I7811" s="8" t="s">
        <v>23403</v>
      </c>
      <c r="J7811" s="8" t="s">
        <v>23404</v>
      </c>
    </row>
    <row r="7812">
      <c r="A7812" s="7">
        <v>2.0047914E7</v>
      </c>
      <c r="B7812" s="8" t="s">
        <v>1034</v>
      </c>
      <c r="C7812" s="8" t="s">
        <v>23405</v>
      </c>
      <c r="D7812" s="8" t="s">
        <v>16</v>
      </c>
      <c r="E7812" s="8" t="s">
        <v>17</v>
      </c>
      <c r="F7812" s="9">
        <v>46109.0</v>
      </c>
      <c r="G7812" s="8" t="s">
        <v>522</v>
      </c>
      <c r="H7812" s="8" t="s">
        <v>523</v>
      </c>
      <c r="I7812" s="8" t="s">
        <v>23406</v>
      </c>
      <c r="J7812" s="8" t="s">
        <v>23407</v>
      </c>
    </row>
    <row r="7813">
      <c r="A7813" s="7">
        <v>2.0046082E7</v>
      </c>
      <c r="B7813" s="8" t="s">
        <v>1034</v>
      </c>
      <c r="C7813" s="8" t="s">
        <v>23408</v>
      </c>
      <c r="D7813" s="8" t="s">
        <v>16</v>
      </c>
      <c r="E7813" s="8" t="s">
        <v>17</v>
      </c>
      <c r="F7813" s="9">
        <v>46087.0</v>
      </c>
      <c r="G7813" s="8" t="s">
        <v>109</v>
      </c>
      <c r="H7813" s="8" t="s">
        <v>110</v>
      </c>
      <c r="I7813" s="8" t="s">
        <v>23409</v>
      </c>
      <c r="J7813" s="8" t="s">
        <v>23410</v>
      </c>
    </row>
    <row r="7814">
      <c r="A7814" s="7">
        <v>2.0042894E7</v>
      </c>
      <c r="B7814" s="8" t="s">
        <v>1034</v>
      </c>
      <c r="C7814" s="8" t="s">
        <v>23411</v>
      </c>
      <c r="D7814" s="8" t="s">
        <v>16</v>
      </c>
      <c r="E7814" s="8" t="s">
        <v>17</v>
      </c>
      <c r="F7814" s="9">
        <v>46069.0</v>
      </c>
      <c r="G7814" s="8" t="s">
        <v>339</v>
      </c>
      <c r="H7814" s="8" t="s">
        <v>340</v>
      </c>
      <c r="I7814" s="8" t="s">
        <v>23412</v>
      </c>
      <c r="J7814" s="8" t="s">
        <v>23413</v>
      </c>
    </row>
    <row r="7815">
      <c r="A7815" s="7">
        <v>2.0042067E7</v>
      </c>
      <c r="B7815" s="8" t="s">
        <v>1034</v>
      </c>
      <c r="C7815" s="8" t="s">
        <v>23414</v>
      </c>
      <c r="D7815" s="8" t="s">
        <v>16</v>
      </c>
      <c r="E7815" s="8" t="s">
        <v>17</v>
      </c>
      <c r="F7815" s="9">
        <v>46066.0</v>
      </c>
      <c r="G7815" s="8" t="s">
        <v>339</v>
      </c>
      <c r="H7815" s="8" t="s">
        <v>340</v>
      </c>
      <c r="I7815" s="8" t="s">
        <v>23415</v>
      </c>
      <c r="J7815" s="8" t="s">
        <v>23416</v>
      </c>
    </row>
    <row r="7816">
      <c r="A7816" s="7">
        <v>2.0041041E7</v>
      </c>
      <c r="B7816" s="8" t="s">
        <v>1034</v>
      </c>
      <c r="C7816" s="8" t="s">
        <v>23417</v>
      </c>
      <c r="D7816" s="8" t="s">
        <v>16</v>
      </c>
      <c r="E7816" s="8" t="s">
        <v>17</v>
      </c>
      <c r="F7816" s="9">
        <v>46079.0</v>
      </c>
      <c r="G7816" s="8" t="s">
        <v>390</v>
      </c>
      <c r="H7816" s="8" t="s">
        <v>391</v>
      </c>
      <c r="I7816" s="8" t="s">
        <v>23418</v>
      </c>
      <c r="J7816" s="8" t="s">
        <v>23419</v>
      </c>
    </row>
    <row r="7817">
      <c r="A7817" s="7">
        <v>2.0039971E7</v>
      </c>
      <c r="B7817" s="8" t="s">
        <v>1034</v>
      </c>
      <c r="C7817" s="8" t="s">
        <v>23420</v>
      </c>
      <c r="D7817" s="8" t="s">
        <v>16</v>
      </c>
      <c r="E7817" s="8" t="s">
        <v>17</v>
      </c>
      <c r="F7817" s="9">
        <v>46068.0</v>
      </c>
      <c r="G7817" s="8" t="s">
        <v>365</v>
      </c>
      <c r="H7817" s="8" t="s">
        <v>366</v>
      </c>
      <c r="I7817" s="8" t="s">
        <v>23421</v>
      </c>
      <c r="J7817" s="8" t="s">
        <v>23422</v>
      </c>
    </row>
    <row r="7818">
      <c r="A7818" s="7">
        <v>2.0038438E7</v>
      </c>
      <c r="B7818" s="8" t="s">
        <v>1034</v>
      </c>
      <c r="C7818" s="8" t="s">
        <v>23423</v>
      </c>
      <c r="D7818" s="8" t="s">
        <v>16</v>
      </c>
      <c r="E7818" s="8" t="s">
        <v>17</v>
      </c>
      <c r="F7818" s="9">
        <v>46051.0</v>
      </c>
      <c r="G7818" s="8" t="s">
        <v>339</v>
      </c>
      <c r="H7818" s="8" t="s">
        <v>340</v>
      </c>
      <c r="I7818" s="8" t="s">
        <v>23424</v>
      </c>
      <c r="J7818" s="8" t="s">
        <v>23425</v>
      </c>
    </row>
    <row r="7819">
      <c r="A7819" s="7">
        <v>2.0036374E7</v>
      </c>
      <c r="B7819" s="8" t="s">
        <v>1034</v>
      </c>
      <c r="C7819" s="8" t="s">
        <v>23426</v>
      </c>
      <c r="D7819" s="8" t="s">
        <v>16</v>
      </c>
      <c r="E7819" s="8" t="s">
        <v>17</v>
      </c>
      <c r="F7819" s="9">
        <v>46057.0</v>
      </c>
      <c r="G7819" s="8" t="s">
        <v>91</v>
      </c>
      <c r="H7819" s="8" t="s">
        <v>92</v>
      </c>
      <c r="I7819" s="8" t="s">
        <v>23427</v>
      </c>
      <c r="J7819" s="8" t="s">
        <v>23428</v>
      </c>
    </row>
    <row r="7820">
      <c r="A7820" s="7">
        <v>2.003455E7</v>
      </c>
      <c r="B7820" s="8" t="s">
        <v>1034</v>
      </c>
      <c r="C7820" s="8" t="s">
        <v>23429</v>
      </c>
      <c r="D7820" s="8" t="s">
        <v>16</v>
      </c>
      <c r="E7820" s="8" t="s">
        <v>17</v>
      </c>
      <c r="F7820" s="9">
        <v>46065.0</v>
      </c>
      <c r="G7820" s="8" t="s">
        <v>18</v>
      </c>
      <c r="H7820" s="8" t="s">
        <v>19</v>
      </c>
      <c r="I7820" s="8" t="s">
        <v>23430</v>
      </c>
      <c r="J7820" s="8" t="s">
        <v>23431</v>
      </c>
    </row>
    <row r="7821">
      <c r="A7821" s="7">
        <v>2.003515E7</v>
      </c>
      <c r="B7821" s="8" t="s">
        <v>1034</v>
      </c>
      <c r="C7821" s="8" t="s">
        <v>23432</v>
      </c>
      <c r="D7821" s="8" t="s">
        <v>16</v>
      </c>
      <c r="E7821" s="8" t="s">
        <v>17</v>
      </c>
      <c r="F7821" s="9">
        <v>46062.0</v>
      </c>
      <c r="G7821" s="8" t="s">
        <v>436</v>
      </c>
      <c r="H7821" s="8" t="s">
        <v>437</v>
      </c>
      <c r="I7821" s="8" t="s">
        <v>23433</v>
      </c>
      <c r="J7821" s="8" t="s">
        <v>23434</v>
      </c>
    </row>
    <row r="7822">
      <c r="A7822" s="7">
        <v>2.0034644E7</v>
      </c>
      <c r="B7822" s="8" t="s">
        <v>1034</v>
      </c>
      <c r="C7822" s="8" t="s">
        <v>23435</v>
      </c>
      <c r="D7822" s="8" t="s">
        <v>16</v>
      </c>
      <c r="E7822" s="8" t="s">
        <v>17</v>
      </c>
      <c r="F7822" s="9">
        <v>46058.0</v>
      </c>
      <c r="G7822" s="8" t="s">
        <v>1049</v>
      </c>
      <c r="H7822" s="8" t="s">
        <v>1050</v>
      </c>
      <c r="I7822" s="8" t="s">
        <v>23436</v>
      </c>
      <c r="J7822" s="8" t="s">
        <v>23437</v>
      </c>
    </row>
    <row r="7823">
      <c r="A7823" s="7">
        <v>2.0056435E7</v>
      </c>
      <c r="B7823" s="8" t="s">
        <v>1034</v>
      </c>
      <c r="C7823" s="8" t="s">
        <v>23438</v>
      </c>
      <c r="D7823" s="8" t="s">
        <v>16</v>
      </c>
      <c r="E7823" s="8" t="s">
        <v>17</v>
      </c>
      <c r="F7823" s="9">
        <v>46180.0</v>
      </c>
      <c r="G7823" s="8" t="s">
        <v>3012</v>
      </c>
      <c r="H7823" s="8" t="s">
        <v>3013</v>
      </c>
      <c r="I7823" s="8" t="s">
        <v>23439</v>
      </c>
      <c r="J7823" s="8" t="s">
        <v>23440</v>
      </c>
    </row>
    <row r="7824">
      <c r="A7824" s="7">
        <v>2.0064977E7</v>
      </c>
      <c r="B7824" s="8" t="s">
        <v>1034</v>
      </c>
      <c r="C7824" s="8" t="s">
        <v>23441</v>
      </c>
      <c r="D7824" s="8" t="s">
        <v>16</v>
      </c>
      <c r="E7824" s="8" t="s">
        <v>17</v>
      </c>
      <c r="F7824" s="9">
        <v>46175.0</v>
      </c>
      <c r="G7824" s="8" t="s">
        <v>70</v>
      </c>
      <c r="H7824" s="8" t="s">
        <v>9466</v>
      </c>
      <c r="I7824" s="8" t="s">
        <v>23442</v>
      </c>
      <c r="J7824" s="8" t="s">
        <v>23443</v>
      </c>
    </row>
    <row r="7825">
      <c r="A7825" s="7">
        <v>2.0064445E7</v>
      </c>
      <c r="B7825" s="8" t="s">
        <v>1034</v>
      </c>
      <c r="C7825" s="8" t="s">
        <v>23444</v>
      </c>
      <c r="D7825" s="8" t="s">
        <v>16</v>
      </c>
      <c r="E7825" s="8" t="s">
        <v>17</v>
      </c>
      <c r="F7825" s="9">
        <v>46185.0</v>
      </c>
      <c r="G7825" s="8" t="s">
        <v>171</v>
      </c>
      <c r="H7825" s="8" t="s">
        <v>172</v>
      </c>
      <c r="I7825" s="8" t="s">
        <v>23445</v>
      </c>
      <c r="J7825" s="8" t="s">
        <v>23446</v>
      </c>
    </row>
    <row r="7826">
      <c r="A7826" s="7">
        <v>2.0063477E7</v>
      </c>
      <c r="B7826" s="8" t="s">
        <v>1034</v>
      </c>
      <c r="C7826" s="8" t="s">
        <v>23447</v>
      </c>
      <c r="D7826" s="8" t="s">
        <v>16</v>
      </c>
      <c r="E7826" s="8" t="s">
        <v>17</v>
      </c>
      <c r="F7826" s="9">
        <v>46163.0</v>
      </c>
      <c r="G7826" s="8" t="s">
        <v>34</v>
      </c>
      <c r="H7826" s="8" t="s">
        <v>35</v>
      </c>
      <c r="I7826" s="8" t="s">
        <v>23448</v>
      </c>
      <c r="J7826" s="8" t="s">
        <v>23449</v>
      </c>
    </row>
    <row r="7827">
      <c r="A7827" s="7">
        <v>2.0064099E7</v>
      </c>
      <c r="B7827" s="8" t="s">
        <v>1034</v>
      </c>
      <c r="C7827" s="8" t="s">
        <v>23450</v>
      </c>
      <c r="D7827" s="8" t="s">
        <v>16</v>
      </c>
      <c r="E7827" s="8" t="s">
        <v>17</v>
      </c>
      <c r="F7827" s="9">
        <v>46166.0</v>
      </c>
      <c r="G7827" s="8" t="s">
        <v>1949</v>
      </c>
      <c r="H7827" s="8" t="s">
        <v>1950</v>
      </c>
      <c r="I7827" s="8" t="s">
        <v>23451</v>
      </c>
      <c r="J7827" s="8" t="s">
        <v>23452</v>
      </c>
    </row>
    <row r="7828">
      <c r="A7828" s="7">
        <v>2.0060794E7</v>
      </c>
      <c r="B7828" s="8" t="s">
        <v>1034</v>
      </c>
      <c r="C7828" s="8" t="s">
        <v>23453</v>
      </c>
      <c r="D7828" s="8" t="s">
        <v>16</v>
      </c>
      <c r="E7828" s="8" t="s">
        <v>17</v>
      </c>
      <c r="F7828" s="9">
        <v>46168.0</v>
      </c>
      <c r="G7828" s="8" t="s">
        <v>23454</v>
      </c>
      <c r="H7828" s="8" t="s">
        <v>23455</v>
      </c>
      <c r="I7828" s="8" t="s">
        <v>23456</v>
      </c>
      <c r="J7828" s="8" t="s">
        <v>23457</v>
      </c>
    </row>
    <row r="7829">
      <c r="A7829" s="7">
        <v>2.0059266E7</v>
      </c>
      <c r="B7829" s="8" t="s">
        <v>1034</v>
      </c>
      <c r="C7829" s="8" t="s">
        <v>23458</v>
      </c>
      <c r="D7829" s="8" t="s">
        <v>16</v>
      </c>
      <c r="E7829" s="8" t="s">
        <v>17</v>
      </c>
      <c r="F7829" s="9">
        <v>46188.0</v>
      </c>
      <c r="G7829" s="8" t="s">
        <v>9870</v>
      </c>
      <c r="H7829" s="8" t="s">
        <v>9871</v>
      </c>
      <c r="I7829" s="8" t="s">
        <v>23459</v>
      </c>
      <c r="J7829" s="8" t="s">
        <v>23460</v>
      </c>
    </row>
    <row r="7830">
      <c r="A7830" s="7">
        <v>2.005795E7</v>
      </c>
      <c r="B7830" s="8" t="s">
        <v>1034</v>
      </c>
      <c r="C7830" s="8" t="s">
        <v>23461</v>
      </c>
      <c r="D7830" s="8" t="s">
        <v>16</v>
      </c>
      <c r="E7830" s="8" t="s">
        <v>17</v>
      </c>
      <c r="F7830" s="9">
        <v>46140.0</v>
      </c>
      <c r="G7830" s="8" t="s">
        <v>91</v>
      </c>
      <c r="H7830" s="8" t="s">
        <v>92</v>
      </c>
      <c r="I7830" s="8" t="s">
        <v>23462</v>
      </c>
      <c r="J7830" s="8" t="s">
        <v>23463</v>
      </c>
    </row>
    <row r="7831">
      <c r="A7831" s="7">
        <v>2.005795E7</v>
      </c>
      <c r="B7831" s="8" t="s">
        <v>1034</v>
      </c>
      <c r="C7831" s="8" t="s">
        <v>23461</v>
      </c>
      <c r="D7831" s="8" t="s">
        <v>16</v>
      </c>
      <c r="E7831" s="8" t="s">
        <v>17</v>
      </c>
      <c r="F7831" s="9">
        <v>46140.0</v>
      </c>
      <c r="G7831" s="8" t="s">
        <v>846</v>
      </c>
      <c r="H7831" s="8" t="s">
        <v>847</v>
      </c>
      <c r="I7831" s="8" t="s">
        <v>23464</v>
      </c>
      <c r="J7831" s="8" t="s">
        <v>23465</v>
      </c>
    </row>
    <row r="7832">
      <c r="A7832" s="7">
        <v>2.0056097E7</v>
      </c>
      <c r="B7832" s="8" t="s">
        <v>1034</v>
      </c>
      <c r="C7832" s="8" t="s">
        <v>23466</v>
      </c>
      <c r="D7832" s="8" t="s">
        <v>16</v>
      </c>
      <c r="E7832" s="8" t="s">
        <v>17</v>
      </c>
      <c r="F7832" s="9">
        <v>46134.0</v>
      </c>
      <c r="G7832" s="8" t="s">
        <v>34</v>
      </c>
      <c r="H7832" s="8" t="s">
        <v>35</v>
      </c>
      <c r="I7832" s="8" t="s">
        <v>23467</v>
      </c>
      <c r="J7832" s="8" t="s">
        <v>23468</v>
      </c>
    </row>
    <row r="7833">
      <c r="A7833" s="7">
        <v>2.0055647E7</v>
      </c>
      <c r="B7833" s="8" t="s">
        <v>1034</v>
      </c>
      <c r="C7833" s="8" t="s">
        <v>23469</v>
      </c>
      <c r="D7833" s="8" t="s">
        <v>16</v>
      </c>
      <c r="E7833" s="8" t="s">
        <v>17</v>
      </c>
      <c r="F7833" s="9">
        <v>46152.0</v>
      </c>
      <c r="G7833" s="8" t="s">
        <v>176</v>
      </c>
      <c r="H7833" s="8" t="s">
        <v>177</v>
      </c>
      <c r="I7833" s="8" t="s">
        <v>23470</v>
      </c>
      <c r="J7833" s="8" t="s">
        <v>23471</v>
      </c>
    </row>
    <row r="7834">
      <c r="A7834" s="7">
        <v>2.0053588E7</v>
      </c>
      <c r="B7834" s="8" t="s">
        <v>1034</v>
      </c>
      <c r="C7834" s="8" t="s">
        <v>23472</v>
      </c>
      <c r="D7834" s="8" t="s">
        <v>16</v>
      </c>
      <c r="E7834" s="8" t="s">
        <v>17</v>
      </c>
      <c r="F7834" s="9">
        <v>46128.0</v>
      </c>
      <c r="G7834" s="8" t="s">
        <v>1045</v>
      </c>
      <c r="H7834" s="8" t="s">
        <v>909</v>
      </c>
      <c r="I7834" s="8" t="s">
        <v>23473</v>
      </c>
      <c r="J7834" s="8" t="s">
        <v>23474</v>
      </c>
    </row>
    <row r="7835">
      <c r="A7835" s="7">
        <v>2.0052571E7</v>
      </c>
      <c r="B7835" s="8" t="s">
        <v>1034</v>
      </c>
      <c r="C7835" s="8" t="s">
        <v>23475</v>
      </c>
      <c r="D7835" s="8" t="s">
        <v>16</v>
      </c>
      <c r="E7835" s="8" t="s">
        <v>17</v>
      </c>
      <c r="F7835" s="9">
        <v>46116.0</v>
      </c>
      <c r="G7835" s="8" t="s">
        <v>1093</v>
      </c>
      <c r="H7835" s="8" t="s">
        <v>1094</v>
      </c>
      <c r="I7835" s="8" t="s">
        <v>23476</v>
      </c>
      <c r="J7835" s="8" t="s">
        <v>23477</v>
      </c>
    </row>
    <row r="7836">
      <c r="A7836" s="7">
        <v>2.0052133E7</v>
      </c>
      <c r="B7836" s="8" t="s">
        <v>1034</v>
      </c>
      <c r="C7836" s="8" t="s">
        <v>23478</v>
      </c>
      <c r="D7836" s="8" t="s">
        <v>16</v>
      </c>
      <c r="E7836" s="8" t="s">
        <v>17</v>
      </c>
      <c r="F7836" s="9">
        <v>46120.0</v>
      </c>
      <c r="G7836" s="8" t="s">
        <v>171</v>
      </c>
      <c r="H7836" s="8" t="s">
        <v>172</v>
      </c>
      <c r="I7836" s="8" t="s">
        <v>23479</v>
      </c>
      <c r="J7836" s="8" t="s">
        <v>23480</v>
      </c>
    </row>
    <row r="7837">
      <c r="A7837" s="7">
        <v>2.0049726E7</v>
      </c>
      <c r="B7837" s="8" t="s">
        <v>1034</v>
      </c>
      <c r="C7837" s="8" t="s">
        <v>23481</v>
      </c>
      <c r="D7837" s="8" t="s">
        <v>16</v>
      </c>
      <c r="E7837" s="8" t="s">
        <v>17</v>
      </c>
      <c r="F7837" s="9">
        <v>46126.0</v>
      </c>
      <c r="G7837" s="8" t="s">
        <v>1049</v>
      </c>
      <c r="H7837" s="8" t="s">
        <v>1050</v>
      </c>
      <c r="I7837" s="8" t="s">
        <v>23482</v>
      </c>
      <c r="J7837" s="8" t="s">
        <v>23483</v>
      </c>
    </row>
    <row r="7838">
      <c r="A7838" s="7">
        <v>2.0051262E7</v>
      </c>
      <c r="B7838" s="8" t="s">
        <v>1034</v>
      </c>
      <c r="C7838" s="8" t="s">
        <v>23484</v>
      </c>
      <c r="D7838" s="8" t="s">
        <v>16</v>
      </c>
      <c r="E7838" s="8" t="s">
        <v>17</v>
      </c>
      <c r="F7838" s="9">
        <v>46134.0</v>
      </c>
      <c r="G7838" s="8" t="s">
        <v>23485</v>
      </c>
      <c r="H7838" s="8" t="s">
        <v>23486</v>
      </c>
      <c r="I7838" s="8" t="s">
        <v>23487</v>
      </c>
      <c r="J7838" s="8" t="s">
        <v>23488</v>
      </c>
    </row>
    <row r="7839">
      <c r="A7839" s="7">
        <v>2.004748E7</v>
      </c>
      <c r="B7839" s="8" t="s">
        <v>1034</v>
      </c>
      <c r="C7839" s="8" t="s">
        <v>23489</v>
      </c>
      <c r="D7839" s="8" t="s">
        <v>16</v>
      </c>
      <c r="E7839" s="8" t="s">
        <v>17</v>
      </c>
      <c r="F7839" s="9">
        <v>46110.0</v>
      </c>
      <c r="G7839" s="8" t="s">
        <v>171</v>
      </c>
      <c r="H7839" s="8" t="s">
        <v>172</v>
      </c>
      <c r="I7839" s="8" t="s">
        <v>23490</v>
      </c>
      <c r="J7839" s="8" t="s">
        <v>23491</v>
      </c>
    </row>
    <row r="7840">
      <c r="A7840" s="7">
        <v>2.0045164E7</v>
      </c>
      <c r="B7840" s="8" t="s">
        <v>1034</v>
      </c>
      <c r="C7840" s="8" t="s">
        <v>23492</v>
      </c>
      <c r="D7840" s="8" t="s">
        <v>16</v>
      </c>
      <c r="E7840" s="8" t="s">
        <v>17</v>
      </c>
      <c r="F7840" s="9">
        <v>46080.0</v>
      </c>
      <c r="G7840" s="8" t="s">
        <v>517</v>
      </c>
      <c r="H7840" s="8" t="s">
        <v>518</v>
      </c>
      <c r="I7840" s="8" t="s">
        <v>23493</v>
      </c>
      <c r="J7840" s="8" t="s">
        <v>23494</v>
      </c>
    </row>
    <row r="7841">
      <c r="A7841" s="7">
        <v>2.0044545E7</v>
      </c>
      <c r="B7841" s="8" t="s">
        <v>1034</v>
      </c>
      <c r="C7841" s="8" t="s">
        <v>23495</v>
      </c>
      <c r="D7841" s="8" t="s">
        <v>16</v>
      </c>
      <c r="E7841" s="8" t="s">
        <v>17</v>
      </c>
      <c r="F7841" s="9">
        <v>46081.0</v>
      </c>
      <c r="G7841" s="8" t="s">
        <v>1132</v>
      </c>
      <c r="H7841" s="8" t="s">
        <v>1133</v>
      </c>
      <c r="I7841" s="8" t="s">
        <v>23496</v>
      </c>
      <c r="J7841" s="8" t="s">
        <v>23497</v>
      </c>
    </row>
    <row r="7842">
      <c r="A7842" s="7">
        <v>2.0043274E7</v>
      </c>
      <c r="B7842" s="8" t="s">
        <v>1034</v>
      </c>
      <c r="C7842" s="8" t="s">
        <v>23498</v>
      </c>
      <c r="D7842" s="8" t="s">
        <v>16</v>
      </c>
      <c r="E7842" s="8" t="s">
        <v>17</v>
      </c>
      <c r="F7842" s="9">
        <v>46081.0</v>
      </c>
      <c r="G7842" s="8" t="s">
        <v>109</v>
      </c>
      <c r="H7842" s="8" t="s">
        <v>110</v>
      </c>
      <c r="I7842" s="8" t="s">
        <v>23499</v>
      </c>
      <c r="J7842" s="8" t="s">
        <v>23500</v>
      </c>
    </row>
    <row r="7843">
      <c r="A7843" s="7">
        <v>2.0042551E7</v>
      </c>
      <c r="B7843" s="8" t="s">
        <v>1034</v>
      </c>
      <c r="C7843" s="8" t="s">
        <v>23501</v>
      </c>
      <c r="D7843" s="8" t="s">
        <v>16</v>
      </c>
      <c r="E7843" s="8" t="s">
        <v>17</v>
      </c>
      <c r="F7843" s="9">
        <v>46087.0</v>
      </c>
      <c r="G7843" s="8" t="s">
        <v>1616</v>
      </c>
      <c r="H7843" s="8" t="s">
        <v>1617</v>
      </c>
      <c r="I7843" s="8" t="s">
        <v>23502</v>
      </c>
      <c r="J7843" s="8" t="s">
        <v>23503</v>
      </c>
    </row>
    <row r="7844">
      <c r="A7844" s="7">
        <v>2.0042245E7</v>
      </c>
      <c r="B7844" s="8" t="s">
        <v>1034</v>
      </c>
      <c r="C7844" s="8" t="s">
        <v>23504</v>
      </c>
      <c r="D7844" s="8" t="s">
        <v>16</v>
      </c>
      <c r="E7844" s="8" t="s">
        <v>17</v>
      </c>
      <c r="F7844" s="9">
        <v>46087.0</v>
      </c>
      <c r="G7844" s="8" t="s">
        <v>410</v>
      </c>
      <c r="H7844" s="8" t="s">
        <v>411</v>
      </c>
      <c r="I7844" s="8" t="s">
        <v>23505</v>
      </c>
      <c r="J7844" s="8" t="s">
        <v>23506</v>
      </c>
    </row>
    <row r="7845">
      <c r="A7845" s="7">
        <v>2.0040108E7</v>
      </c>
      <c r="B7845" s="8" t="s">
        <v>1034</v>
      </c>
      <c r="C7845" s="8" t="s">
        <v>23507</v>
      </c>
      <c r="D7845" s="8" t="s">
        <v>16</v>
      </c>
      <c r="E7845" s="8" t="s">
        <v>17</v>
      </c>
      <c r="F7845" s="9">
        <v>46081.0</v>
      </c>
      <c r="G7845" s="8" t="s">
        <v>171</v>
      </c>
      <c r="H7845" s="8" t="s">
        <v>172</v>
      </c>
      <c r="I7845" s="8" t="s">
        <v>23508</v>
      </c>
      <c r="J7845" s="8" t="s">
        <v>23509</v>
      </c>
    </row>
    <row r="7846">
      <c r="A7846" s="7">
        <v>2.0039469E7</v>
      </c>
      <c r="B7846" s="8" t="s">
        <v>1034</v>
      </c>
      <c r="C7846" s="8" t="s">
        <v>23510</v>
      </c>
      <c r="D7846" s="8" t="s">
        <v>16</v>
      </c>
      <c r="E7846" s="8" t="s">
        <v>17</v>
      </c>
      <c r="F7846" s="9">
        <v>46076.0</v>
      </c>
      <c r="G7846" s="8" t="s">
        <v>390</v>
      </c>
      <c r="H7846" s="8" t="s">
        <v>391</v>
      </c>
      <c r="I7846" s="8" t="s">
        <v>23511</v>
      </c>
      <c r="J7846" s="8" t="s">
        <v>23512</v>
      </c>
    </row>
    <row r="7847">
      <c r="A7847" s="7">
        <v>2.0039209E7</v>
      </c>
      <c r="B7847" s="8" t="s">
        <v>1034</v>
      </c>
      <c r="C7847" s="8" t="s">
        <v>23513</v>
      </c>
      <c r="D7847" s="8" t="s">
        <v>16</v>
      </c>
      <c r="E7847" s="8" t="s">
        <v>17</v>
      </c>
      <c r="F7847" s="9">
        <v>46064.0</v>
      </c>
      <c r="G7847" s="8" t="s">
        <v>1045</v>
      </c>
      <c r="H7847" s="8" t="s">
        <v>909</v>
      </c>
      <c r="I7847" s="8" t="s">
        <v>23514</v>
      </c>
      <c r="J7847" s="8" t="s">
        <v>23515</v>
      </c>
    </row>
    <row r="7848">
      <c r="A7848" s="7">
        <v>2.0039209E7</v>
      </c>
      <c r="B7848" s="8" t="s">
        <v>1034</v>
      </c>
      <c r="C7848" s="8" t="s">
        <v>23516</v>
      </c>
      <c r="D7848" s="8" t="s">
        <v>16</v>
      </c>
      <c r="E7848" s="8" t="s">
        <v>17</v>
      </c>
      <c r="F7848" s="9">
        <v>46093.0</v>
      </c>
      <c r="G7848" s="8" t="s">
        <v>1045</v>
      </c>
      <c r="H7848" s="8" t="s">
        <v>909</v>
      </c>
      <c r="I7848" s="8" t="s">
        <v>23517</v>
      </c>
      <c r="J7848" s="8" t="s">
        <v>23514</v>
      </c>
    </row>
    <row r="7849">
      <c r="A7849" s="7">
        <v>2.0039209E7</v>
      </c>
      <c r="B7849" s="8" t="s">
        <v>1034</v>
      </c>
      <c r="C7849" s="8" t="s">
        <v>23516</v>
      </c>
      <c r="D7849" s="8" t="s">
        <v>16</v>
      </c>
      <c r="E7849" s="8" t="s">
        <v>17</v>
      </c>
      <c r="F7849" s="9">
        <v>46093.0</v>
      </c>
      <c r="G7849" s="8" t="s">
        <v>1045</v>
      </c>
      <c r="H7849" s="8" t="s">
        <v>909</v>
      </c>
      <c r="I7849" s="8" t="s">
        <v>23518</v>
      </c>
      <c r="J7849" s="8" t="s">
        <v>23514</v>
      </c>
    </row>
    <row r="7850">
      <c r="A7850" s="7">
        <v>2.0039209E7</v>
      </c>
      <c r="B7850" s="8" t="s">
        <v>1034</v>
      </c>
      <c r="C7850" s="8" t="s">
        <v>23516</v>
      </c>
      <c r="D7850" s="8" t="s">
        <v>16</v>
      </c>
      <c r="E7850" s="8" t="s">
        <v>17</v>
      </c>
      <c r="F7850" s="9">
        <v>46093.0</v>
      </c>
      <c r="G7850" s="8" t="s">
        <v>613</v>
      </c>
      <c r="H7850" s="8" t="s">
        <v>614</v>
      </c>
      <c r="I7850" s="8" t="s">
        <v>23519</v>
      </c>
      <c r="J7850" s="8" t="s">
        <v>23520</v>
      </c>
    </row>
    <row r="7851">
      <c r="A7851" s="7">
        <v>2.0038055E7</v>
      </c>
      <c r="B7851" s="8" t="s">
        <v>1034</v>
      </c>
      <c r="C7851" s="8" t="s">
        <v>23521</v>
      </c>
      <c r="D7851" s="8" t="s">
        <v>16</v>
      </c>
      <c r="E7851" s="8" t="s">
        <v>17</v>
      </c>
      <c r="F7851" s="9">
        <v>46069.0</v>
      </c>
      <c r="G7851" s="8" t="s">
        <v>176</v>
      </c>
      <c r="H7851" s="8" t="s">
        <v>177</v>
      </c>
      <c r="I7851" s="8" t="s">
        <v>23522</v>
      </c>
      <c r="J7851" s="8" t="s">
        <v>23523</v>
      </c>
    </row>
    <row r="7852">
      <c r="A7852" s="7">
        <v>2.0036532E7</v>
      </c>
      <c r="B7852" s="8" t="s">
        <v>1034</v>
      </c>
      <c r="C7852" s="8" t="s">
        <v>23524</v>
      </c>
      <c r="D7852" s="8" t="s">
        <v>16</v>
      </c>
      <c r="E7852" s="8" t="s">
        <v>17</v>
      </c>
      <c r="F7852" s="9">
        <v>46067.0</v>
      </c>
      <c r="G7852" s="8" t="s">
        <v>436</v>
      </c>
      <c r="H7852" s="8" t="s">
        <v>437</v>
      </c>
      <c r="I7852" s="8" t="s">
        <v>23525</v>
      </c>
      <c r="J7852" s="8" t="s">
        <v>23526</v>
      </c>
    </row>
    <row r="7853">
      <c r="A7853" s="7">
        <v>2.0071501E7</v>
      </c>
      <c r="B7853" s="8" t="s">
        <v>1034</v>
      </c>
      <c r="C7853" s="8" t="s">
        <v>23527</v>
      </c>
      <c r="D7853" s="8" t="s">
        <v>16</v>
      </c>
      <c r="E7853" s="8" t="s">
        <v>17</v>
      </c>
      <c r="F7853" s="9">
        <v>46193.0</v>
      </c>
      <c r="G7853" s="8" t="s">
        <v>846</v>
      </c>
      <c r="H7853" s="8" t="s">
        <v>847</v>
      </c>
      <c r="I7853" s="8" t="s">
        <v>23528</v>
      </c>
      <c r="J7853" s="8" t="s">
        <v>23529</v>
      </c>
    </row>
    <row r="7854">
      <c r="A7854" s="7">
        <v>2.0069496E7</v>
      </c>
      <c r="B7854" s="8" t="s">
        <v>1034</v>
      </c>
      <c r="C7854" s="8" t="s">
        <v>23530</v>
      </c>
      <c r="D7854" s="8" t="s">
        <v>16</v>
      </c>
      <c r="E7854" s="8" t="s">
        <v>17</v>
      </c>
      <c r="F7854" s="9">
        <v>46184.0</v>
      </c>
      <c r="G7854" s="8" t="s">
        <v>109</v>
      </c>
      <c r="H7854" s="8" t="s">
        <v>110</v>
      </c>
      <c r="I7854" s="8" t="s">
        <v>23531</v>
      </c>
      <c r="J7854" s="8" t="s">
        <v>23532</v>
      </c>
    </row>
    <row r="7855">
      <c r="A7855" s="7">
        <v>2.0064006E7</v>
      </c>
      <c r="B7855" s="8" t="s">
        <v>1034</v>
      </c>
      <c r="C7855" s="8" t="s">
        <v>23533</v>
      </c>
      <c r="D7855" s="8" t="s">
        <v>16</v>
      </c>
      <c r="E7855" s="8" t="s">
        <v>17</v>
      </c>
      <c r="F7855" s="9">
        <v>46182.0</v>
      </c>
      <c r="G7855" s="8" t="s">
        <v>846</v>
      </c>
      <c r="H7855" s="8" t="s">
        <v>847</v>
      </c>
      <c r="I7855" s="8" t="s">
        <v>23534</v>
      </c>
      <c r="J7855" s="8" t="s">
        <v>23535</v>
      </c>
    </row>
    <row r="7856">
      <c r="A7856" s="7">
        <v>2.0065299E7</v>
      </c>
      <c r="B7856" s="8" t="s">
        <v>1034</v>
      </c>
      <c r="C7856" s="8" t="s">
        <v>23536</v>
      </c>
      <c r="D7856" s="8" t="s">
        <v>16</v>
      </c>
      <c r="E7856" s="8" t="s">
        <v>17</v>
      </c>
      <c r="F7856" s="9">
        <v>46166.0</v>
      </c>
      <c r="G7856" s="8" t="s">
        <v>978</v>
      </c>
      <c r="H7856" s="8" t="s">
        <v>979</v>
      </c>
      <c r="I7856" s="8" t="s">
        <v>23537</v>
      </c>
      <c r="J7856" s="8" t="s">
        <v>23538</v>
      </c>
    </row>
    <row r="7857">
      <c r="A7857" s="7">
        <v>2.0064627E7</v>
      </c>
      <c r="B7857" s="8" t="s">
        <v>1034</v>
      </c>
      <c r="C7857" s="8" t="s">
        <v>23539</v>
      </c>
      <c r="D7857" s="8" t="s">
        <v>16</v>
      </c>
      <c r="E7857" s="8" t="s">
        <v>17</v>
      </c>
      <c r="F7857" s="9">
        <v>46185.0</v>
      </c>
      <c r="G7857" s="8" t="s">
        <v>158</v>
      </c>
      <c r="H7857" s="8" t="s">
        <v>159</v>
      </c>
      <c r="I7857" s="8" t="s">
        <v>23540</v>
      </c>
      <c r="J7857" s="8" t="s">
        <v>23541</v>
      </c>
    </row>
    <row r="7858">
      <c r="A7858" s="7">
        <v>2.0059786E7</v>
      </c>
      <c r="B7858" s="8" t="s">
        <v>1034</v>
      </c>
      <c r="C7858" s="8" t="s">
        <v>23542</v>
      </c>
      <c r="D7858" s="8" t="s">
        <v>16</v>
      </c>
      <c r="E7858" s="8" t="s">
        <v>17</v>
      </c>
      <c r="F7858" s="9">
        <v>46193.0</v>
      </c>
      <c r="G7858" s="8" t="s">
        <v>18</v>
      </c>
      <c r="H7858" s="8" t="s">
        <v>19</v>
      </c>
      <c r="I7858" s="8" t="s">
        <v>23543</v>
      </c>
      <c r="J7858" s="8" t="s">
        <v>23544</v>
      </c>
    </row>
    <row r="7859">
      <c r="A7859" s="7">
        <v>2.0055871E7</v>
      </c>
      <c r="B7859" s="8" t="s">
        <v>1034</v>
      </c>
      <c r="C7859" s="8" t="s">
        <v>23545</v>
      </c>
      <c r="D7859" s="8" t="s">
        <v>16</v>
      </c>
      <c r="E7859" s="8" t="s">
        <v>17</v>
      </c>
      <c r="F7859" s="9">
        <v>46134.0</v>
      </c>
      <c r="G7859" s="8" t="s">
        <v>882</v>
      </c>
      <c r="H7859" s="8" t="s">
        <v>883</v>
      </c>
      <c r="I7859" s="8" t="s">
        <v>23546</v>
      </c>
      <c r="J7859" s="8" t="s">
        <v>23547</v>
      </c>
    </row>
    <row r="7860">
      <c r="A7860" s="7">
        <v>2.005617E7</v>
      </c>
      <c r="B7860" s="8" t="s">
        <v>1034</v>
      </c>
      <c r="C7860" s="8" t="s">
        <v>23548</v>
      </c>
      <c r="D7860" s="8" t="s">
        <v>16</v>
      </c>
      <c r="E7860" s="8" t="s">
        <v>17</v>
      </c>
      <c r="F7860" s="9">
        <v>46125.0</v>
      </c>
      <c r="G7860" s="8" t="s">
        <v>868</v>
      </c>
      <c r="H7860" s="8" t="s">
        <v>869</v>
      </c>
      <c r="I7860" s="8" t="s">
        <v>23549</v>
      </c>
      <c r="J7860" s="8" t="s">
        <v>23550</v>
      </c>
    </row>
    <row r="7861">
      <c r="A7861" s="7">
        <v>2.0052501E7</v>
      </c>
      <c r="B7861" s="8" t="s">
        <v>1034</v>
      </c>
      <c r="C7861" s="8" t="s">
        <v>23551</v>
      </c>
      <c r="D7861" s="8" t="s">
        <v>16</v>
      </c>
      <c r="E7861" s="8" t="s">
        <v>17</v>
      </c>
      <c r="F7861" s="9">
        <v>46121.0</v>
      </c>
      <c r="G7861" s="8" t="s">
        <v>365</v>
      </c>
      <c r="H7861" s="8" t="s">
        <v>366</v>
      </c>
      <c r="I7861" s="8" t="s">
        <v>23552</v>
      </c>
      <c r="J7861" s="8" t="s">
        <v>23553</v>
      </c>
    </row>
    <row r="7862">
      <c r="A7862" s="7">
        <v>2.0050424E7</v>
      </c>
      <c r="B7862" s="8" t="s">
        <v>1034</v>
      </c>
      <c r="C7862" s="8" t="s">
        <v>23554</v>
      </c>
      <c r="D7862" s="8" t="s">
        <v>16</v>
      </c>
      <c r="E7862" s="8" t="s">
        <v>17</v>
      </c>
      <c r="F7862" s="9">
        <v>46107.0</v>
      </c>
      <c r="G7862" s="8" t="s">
        <v>59</v>
      </c>
      <c r="H7862" s="8" t="s">
        <v>60</v>
      </c>
      <c r="I7862" s="8" t="s">
        <v>23555</v>
      </c>
      <c r="J7862" s="8" t="s">
        <v>23556</v>
      </c>
    </row>
    <row r="7863">
      <c r="A7863" s="7">
        <v>2.0047637E7</v>
      </c>
      <c r="B7863" s="8" t="s">
        <v>1034</v>
      </c>
      <c r="C7863" s="8" t="s">
        <v>23557</v>
      </c>
      <c r="D7863" s="8" t="s">
        <v>16</v>
      </c>
      <c r="E7863" s="8" t="s">
        <v>17</v>
      </c>
      <c r="F7863" s="9">
        <v>46104.0</v>
      </c>
      <c r="G7863" s="8" t="s">
        <v>104</v>
      </c>
      <c r="H7863" s="8" t="s">
        <v>105</v>
      </c>
      <c r="I7863" s="8" t="s">
        <v>23558</v>
      </c>
      <c r="J7863" s="8" t="s">
        <v>23559</v>
      </c>
    </row>
    <row r="7864">
      <c r="A7864" s="7">
        <v>2.0047148E7</v>
      </c>
      <c r="B7864" s="8" t="s">
        <v>1034</v>
      </c>
      <c r="C7864" s="8" t="s">
        <v>23560</v>
      </c>
      <c r="D7864" s="8" t="s">
        <v>16</v>
      </c>
      <c r="E7864" s="8" t="s">
        <v>17</v>
      </c>
      <c r="F7864" s="9">
        <v>46092.0</v>
      </c>
      <c r="G7864" s="8" t="s">
        <v>630</v>
      </c>
      <c r="H7864" s="8" t="s">
        <v>631</v>
      </c>
      <c r="I7864" s="8" t="s">
        <v>23561</v>
      </c>
      <c r="J7864" s="8" t="s">
        <v>23562</v>
      </c>
    </row>
    <row r="7865">
      <c r="A7865" s="7">
        <v>2.0044635E7</v>
      </c>
      <c r="B7865" s="8" t="s">
        <v>1034</v>
      </c>
      <c r="C7865" s="8" t="s">
        <v>23563</v>
      </c>
      <c r="D7865" s="8" t="s">
        <v>16</v>
      </c>
      <c r="E7865" s="8" t="s">
        <v>17</v>
      </c>
      <c r="F7865" s="9">
        <v>46085.0</v>
      </c>
      <c r="G7865" s="8" t="s">
        <v>2724</v>
      </c>
      <c r="H7865" s="8" t="s">
        <v>2725</v>
      </c>
      <c r="I7865" s="8" t="s">
        <v>23564</v>
      </c>
      <c r="J7865" s="8" t="s">
        <v>23565</v>
      </c>
    </row>
    <row r="7866">
      <c r="A7866" s="7">
        <v>2.0043272E7</v>
      </c>
      <c r="B7866" s="8" t="s">
        <v>1034</v>
      </c>
      <c r="C7866" s="8" t="s">
        <v>23566</v>
      </c>
      <c r="D7866" s="8" t="s">
        <v>16</v>
      </c>
      <c r="E7866" s="8" t="s">
        <v>17</v>
      </c>
      <c r="F7866" s="9">
        <v>46092.0</v>
      </c>
      <c r="G7866" s="8" t="s">
        <v>1936</v>
      </c>
      <c r="H7866" s="8" t="s">
        <v>1937</v>
      </c>
      <c r="I7866" s="8" t="s">
        <v>23567</v>
      </c>
      <c r="J7866" s="8" t="s">
        <v>23568</v>
      </c>
    </row>
    <row r="7867">
      <c r="A7867" s="7">
        <v>2.0042567E7</v>
      </c>
      <c r="B7867" s="8" t="s">
        <v>1034</v>
      </c>
      <c r="C7867" s="8" t="s">
        <v>23569</v>
      </c>
      <c r="D7867" s="8" t="s">
        <v>16</v>
      </c>
      <c r="E7867" s="8" t="s">
        <v>17</v>
      </c>
      <c r="F7867" s="9">
        <v>46091.0</v>
      </c>
      <c r="G7867" s="8" t="s">
        <v>314</v>
      </c>
      <c r="H7867" s="8" t="s">
        <v>315</v>
      </c>
      <c r="I7867" s="8" t="s">
        <v>23570</v>
      </c>
      <c r="J7867" s="8" t="s">
        <v>23571</v>
      </c>
    </row>
    <row r="7868">
      <c r="A7868" s="7">
        <v>2.0043092E7</v>
      </c>
      <c r="B7868" s="8" t="s">
        <v>1034</v>
      </c>
      <c r="C7868" s="8" t="s">
        <v>23572</v>
      </c>
      <c r="D7868" s="8" t="s">
        <v>2136</v>
      </c>
      <c r="E7868" s="8" t="s">
        <v>17</v>
      </c>
      <c r="F7868" s="9">
        <v>46078.0</v>
      </c>
      <c r="G7868" s="8" t="s">
        <v>195</v>
      </c>
      <c r="H7868" s="8" t="s">
        <v>196</v>
      </c>
      <c r="I7868" s="8" t="s">
        <v>23573</v>
      </c>
      <c r="J7868" s="8" t="s">
        <v>23574</v>
      </c>
    </row>
    <row r="7869">
      <c r="A7869" s="7">
        <v>2.0040586E7</v>
      </c>
      <c r="B7869" s="8" t="s">
        <v>1034</v>
      </c>
      <c r="C7869" s="8" t="s">
        <v>23575</v>
      </c>
      <c r="D7869" s="8" t="s">
        <v>16</v>
      </c>
      <c r="E7869" s="8" t="s">
        <v>17</v>
      </c>
      <c r="F7869" s="9">
        <v>46085.0</v>
      </c>
      <c r="G7869" s="8" t="s">
        <v>7416</v>
      </c>
      <c r="H7869" s="8" t="s">
        <v>7417</v>
      </c>
      <c r="I7869" s="8" t="s">
        <v>23576</v>
      </c>
      <c r="J7869" s="8" t="s">
        <v>23577</v>
      </c>
    </row>
    <row r="7870">
      <c r="A7870" s="7">
        <v>2.003811E7</v>
      </c>
      <c r="B7870" s="8" t="s">
        <v>1034</v>
      </c>
      <c r="C7870" s="8" t="s">
        <v>23578</v>
      </c>
      <c r="D7870" s="8" t="s">
        <v>16</v>
      </c>
      <c r="E7870" s="8" t="s">
        <v>17</v>
      </c>
      <c r="F7870" s="9">
        <v>46063.0</v>
      </c>
      <c r="G7870" s="8" t="s">
        <v>800</v>
      </c>
      <c r="H7870" s="8" t="s">
        <v>801</v>
      </c>
      <c r="I7870" s="8" t="s">
        <v>23579</v>
      </c>
      <c r="J7870" s="8" t="s">
        <v>23580</v>
      </c>
    </row>
    <row r="7871">
      <c r="A7871" s="7">
        <v>2.0038014E7</v>
      </c>
      <c r="B7871" s="8" t="s">
        <v>1034</v>
      </c>
      <c r="C7871" s="8" t="s">
        <v>23581</v>
      </c>
      <c r="D7871" s="8" t="s">
        <v>16</v>
      </c>
      <c r="E7871" s="8" t="s">
        <v>17</v>
      </c>
      <c r="F7871" s="9">
        <v>46076.0</v>
      </c>
      <c r="G7871" s="8" t="s">
        <v>2109</v>
      </c>
      <c r="H7871" s="8" t="s">
        <v>2110</v>
      </c>
      <c r="I7871" s="8" t="s">
        <v>23582</v>
      </c>
      <c r="J7871" s="8" t="s">
        <v>23583</v>
      </c>
    </row>
    <row r="7872">
      <c r="A7872" s="7">
        <v>2.0037882E7</v>
      </c>
      <c r="B7872" s="8" t="s">
        <v>1034</v>
      </c>
      <c r="C7872" s="8" t="s">
        <v>23584</v>
      </c>
      <c r="D7872" s="8" t="s">
        <v>16</v>
      </c>
      <c r="E7872" s="8" t="s">
        <v>17</v>
      </c>
      <c r="F7872" s="9">
        <v>46067.0</v>
      </c>
      <c r="G7872" s="8" t="s">
        <v>171</v>
      </c>
      <c r="H7872" s="8" t="s">
        <v>172</v>
      </c>
      <c r="I7872" s="8" t="s">
        <v>23585</v>
      </c>
      <c r="J7872" s="8" t="s">
        <v>23586</v>
      </c>
    </row>
    <row r="7873">
      <c r="A7873" s="7">
        <v>2.0036691E7</v>
      </c>
      <c r="B7873" s="8" t="s">
        <v>1034</v>
      </c>
      <c r="C7873" s="8" t="s">
        <v>23587</v>
      </c>
      <c r="D7873" s="8" t="s">
        <v>16</v>
      </c>
      <c r="E7873" s="8" t="s">
        <v>17</v>
      </c>
      <c r="F7873" s="9">
        <v>46064.0</v>
      </c>
      <c r="G7873" s="8" t="s">
        <v>486</v>
      </c>
      <c r="H7873" s="8" t="s">
        <v>487</v>
      </c>
      <c r="I7873" s="8" t="s">
        <v>23588</v>
      </c>
      <c r="J7873" s="8" t="s">
        <v>23589</v>
      </c>
    </row>
    <row r="7874">
      <c r="A7874" s="7">
        <v>2.0070463E7</v>
      </c>
      <c r="B7874" s="8" t="s">
        <v>1034</v>
      </c>
      <c r="C7874" s="8" t="s">
        <v>23590</v>
      </c>
      <c r="D7874" s="8" t="s">
        <v>16</v>
      </c>
      <c r="E7874" s="8" t="s">
        <v>17</v>
      </c>
      <c r="F7874" s="9">
        <v>46192.0</v>
      </c>
      <c r="G7874" s="8" t="s">
        <v>352</v>
      </c>
      <c r="H7874" s="8" t="s">
        <v>353</v>
      </c>
      <c r="I7874" s="8" t="s">
        <v>23591</v>
      </c>
      <c r="J7874" s="8" t="s">
        <v>23592</v>
      </c>
    </row>
    <row r="7875">
      <c r="A7875" s="7">
        <v>2.0066843E7</v>
      </c>
      <c r="B7875" s="8" t="s">
        <v>1034</v>
      </c>
      <c r="C7875" s="8" t="s">
        <v>23593</v>
      </c>
      <c r="D7875" s="8" t="s">
        <v>16</v>
      </c>
      <c r="E7875" s="8" t="s">
        <v>17</v>
      </c>
      <c r="F7875" s="9">
        <v>46172.0</v>
      </c>
      <c r="G7875" s="8" t="s">
        <v>34</v>
      </c>
      <c r="H7875" s="8" t="s">
        <v>35</v>
      </c>
      <c r="I7875" s="8" t="s">
        <v>23594</v>
      </c>
      <c r="J7875" s="8" t="s">
        <v>23595</v>
      </c>
    </row>
    <row r="7876">
      <c r="A7876" s="7">
        <v>2.006105E7</v>
      </c>
      <c r="B7876" s="8" t="s">
        <v>1034</v>
      </c>
      <c r="C7876" s="8" t="s">
        <v>23596</v>
      </c>
      <c r="D7876" s="8" t="s">
        <v>16</v>
      </c>
      <c r="E7876" s="8" t="s">
        <v>17</v>
      </c>
      <c r="F7876" s="9">
        <v>46185.0</v>
      </c>
      <c r="G7876" s="8" t="s">
        <v>171</v>
      </c>
      <c r="H7876" s="8" t="s">
        <v>172</v>
      </c>
      <c r="I7876" s="8" t="s">
        <v>23597</v>
      </c>
      <c r="J7876" s="8" t="s">
        <v>23598</v>
      </c>
    </row>
    <row r="7877">
      <c r="A7877" s="7">
        <v>2.0055402E7</v>
      </c>
      <c r="B7877" s="8" t="s">
        <v>1034</v>
      </c>
      <c r="C7877" s="8" t="s">
        <v>23599</v>
      </c>
      <c r="D7877" s="8" t="s">
        <v>16</v>
      </c>
      <c r="E7877" s="8" t="s">
        <v>17</v>
      </c>
      <c r="F7877" s="9">
        <v>46136.0</v>
      </c>
      <c r="G7877" s="8" t="s">
        <v>1427</v>
      </c>
      <c r="H7877" s="8" t="s">
        <v>1428</v>
      </c>
      <c r="I7877" s="8" t="s">
        <v>23600</v>
      </c>
      <c r="J7877" s="8" t="s">
        <v>23601</v>
      </c>
    </row>
    <row r="7878">
      <c r="A7878" s="7">
        <v>2.0054542E7</v>
      </c>
      <c r="B7878" s="8" t="s">
        <v>1034</v>
      </c>
      <c r="C7878" s="8" t="s">
        <v>23602</v>
      </c>
      <c r="D7878" s="8" t="s">
        <v>16</v>
      </c>
      <c r="E7878" s="8" t="s">
        <v>17</v>
      </c>
      <c r="F7878" s="9">
        <v>46124.0</v>
      </c>
      <c r="G7878" s="8" t="s">
        <v>11113</v>
      </c>
      <c r="H7878" s="8" t="s">
        <v>11114</v>
      </c>
      <c r="I7878" s="8" t="s">
        <v>23603</v>
      </c>
      <c r="J7878" s="8" t="s">
        <v>1752</v>
      </c>
    </row>
    <row r="7879">
      <c r="A7879" s="7">
        <v>2.0054542E7</v>
      </c>
      <c r="B7879" s="8" t="s">
        <v>1034</v>
      </c>
      <c r="C7879" s="8" t="s">
        <v>23602</v>
      </c>
      <c r="D7879" s="8" t="s">
        <v>16</v>
      </c>
      <c r="E7879" s="8" t="s">
        <v>17</v>
      </c>
      <c r="F7879" s="9">
        <v>46124.0</v>
      </c>
      <c r="G7879" s="8" t="s">
        <v>12566</v>
      </c>
      <c r="H7879" s="8" t="s">
        <v>12567</v>
      </c>
      <c r="I7879" s="8" t="s">
        <v>23604</v>
      </c>
      <c r="J7879" s="8" t="s">
        <v>23605</v>
      </c>
    </row>
    <row r="7880">
      <c r="A7880" s="7">
        <v>2.004834E7</v>
      </c>
      <c r="B7880" s="8" t="s">
        <v>1034</v>
      </c>
      <c r="C7880" s="8" t="s">
        <v>23606</v>
      </c>
      <c r="D7880" s="8" t="s">
        <v>16</v>
      </c>
      <c r="E7880" s="8" t="s">
        <v>17</v>
      </c>
      <c r="F7880" s="9">
        <v>46112.0</v>
      </c>
      <c r="G7880" s="8" t="s">
        <v>9194</v>
      </c>
      <c r="H7880" s="8" t="s">
        <v>9195</v>
      </c>
      <c r="I7880" s="8" t="s">
        <v>23607</v>
      </c>
      <c r="J7880" s="8" t="s">
        <v>23608</v>
      </c>
    </row>
    <row r="7881">
      <c r="A7881" s="7">
        <v>2.0047621E7</v>
      </c>
      <c r="B7881" s="8" t="s">
        <v>1034</v>
      </c>
      <c r="C7881" s="8" t="s">
        <v>23609</v>
      </c>
      <c r="D7881" s="8" t="s">
        <v>16</v>
      </c>
      <c r="E7881" s="8" t="s">
        <v>17</v>
      </c>
      <c r="F7881" s="9">
        <v>46088.0</v>
      </c>
      <c r="G7881" s="8" t="s">
        <v>339</v>
      </c>
      <c r="H7881" s="8" t="s">
        <v>340</v>
      </c>
      <c r="I7881" s="8" t="s">
        <v>23610</v>
      </c>
      <c r="J7881" s="8" t="s">
        <v>23611</v>
      </c>
    </row>
    <row r="7882">
      <c r="A7882" s="7">
        <v>2.0046458E7</v>
      </c>
      <c r="B7882" s="8" t="s">
        <v>1034</v>
      </c>
      <c r="C7882" s="8" t="s">
        <v>23612</v>
      </c>
      <c r="D7882" s="8" t="s">
        <v>16</v>
      </c>
      <c r="E7882" s="8" t="s">
        <v>17</v>
      </c>
      <c r="F7882" s="9">
        <v>46098.0</v>
      </c>
      <c r="G7882" s="8" t="s">
        <v>390</v>
      </c>
      <c r="H7882" s="8" t="s">
        <v>391</v>
      </c>
      <c r="I7882" s="8" t="s">
        <v>23613</v>
      </c>
      <c r="J7882" s="8" t="s">
        <v>23614</v>
      </c>
    </row>
    <row r="7883">
      <c r="A7883" s="7">
        <v>2.0044079E7</v>
      </c>
      <c r="B7883" s="8" t="s">
        <v>1034</v>
      </c>
      <c r="C7883" s="8" t="s">
        <v>23615</v>
      </c>
      <c r="D7883" s="8" t="s">
        <v>16</v>
      </c>
      <c r="E7883" s="8" t="s">
        <v>17</v>
      </c>
      <c r="F7883" s="9">
        <v>46092.0</v>
      </c>
      <c r="G7883" s="8" t="s">
        <v>390</v>
      </c>
      <c r="H7883" s="8" t="s">
        <v>391</v>
      </c>
      <c r="I7883" s="8" t="s">
        <v>23616</v>
      </c>
      <c r="J7883" s="8" t="s">
        <v>23617</v>
      </c>
    </row>
    <row r="7884">
      <c r="A7884" s="7">
        <v>2.0041383E7</v>
      </c>
      <c r="B7884" s="8" t="s">
        <v>1034</v>
      </c>
      <c r="C7884" s="8" t="s">
        <v>23618</v>
      </c>
      <c r="D7884" s="8" t="s">
        <v>16</v>
      </c>
      <c r="E7884" s="8" t="s">
        <v>17</v>
      </c>
      <c r="F7884" s="9">
        <v>46083.0</v>
      </c>
      <c r="G7884" s="8" t="s">
        <v>385</v>
      </c>
      <c r="H7884" s="8" t="s">
        <v>386</v>
      </c>
      <c r="I7884" s="8" t="s">
        <v>23619</v>
      </c>
      <c r="J7884" s="8" t="s">
        <v>23620</v>
      </c>
    </row>
    <row r="7885">
      <c r="A7885" s="7">
        <v>2.0042031E7</v>
      </c>
      <c r="B7885" s="8" t="s">
        <v>1034</v>
      </c>
      <c r="C7885" s="8" t="s">
        <v>23621</v>
      </c>
      <c r="D7885" s="8" t="s">
        <v>16</v>
      </c>
      <c r="E7885" s="8" t="s">
        <v>17</v>
      </c>
      <c r="F7885" s="9">
        <v>46090.0</v>
      </c>
      <c r="G7885" s="8" t="s">
        <v>436</v>
      </c>
      <c r="H7885" s="8" t="s">
        <v>437</v>
      </c>
      <c r="I7885" s="8" t="s">
        <v>23622</v>
      </c>
      <c r="J7885" s="8" t="s">
        <v>23623</v>
      </c>
    </row>
    <row r="7886">
      <c r="A7886" s="7">
        <v>2.0040655E7</v>
      </c>
      <c r="B7886" s="8" t="s">
        <v>1034</v>
      </c>
      <c r="C7886" s="8" t="s">
        <v>23624</v>
      </c>
      <c r="D7886" s="8" t="s">
        <v>2136</v>
      </c>
      <c r="E7886" s="8" t="s">
        <v>17</v>
      </c>
      <c r="F7886" s="9">
        <v>46060.0</v>
      </c>
      <c r="G7886" s="8" t="s">
        <v>75</v>
      </c>
      <c r="H7886" s="8" t="s">
        <v>76</v>
      </c>
      <c r="I7886" s="8" t="s">
        <v>23625</v>
      </c>
      <c r="J7886" s="8" t="s">
        <v>23626</v>
      </c>
    </row>
    <row r="7887">
      <c r="A7887" s="7">
        <v>2.0038339E7</v>
      </c>
      <c r="B7887" s="8" t="s">
        <v>1034</v>
      </c>
      <c r="C7887" s="8" t="s">
        <v>23627</v>
      </c>
      <c r="D7887" s="8" t="s">
        <v>16</v>
      </c>
      <c r="E7887" s="8" t="s">
        <v>17</v>
      </c>
      <c r="F7887" s="9">
        <v>46061.0</v>
      </c>
      <c r="G7887" s="8" t="s">
        <v>423</v>
      </c>
      <c r="H7887" s="8" t="s">
        <v>424</v>
      </c>
      <c r="I7887" s="8" t="s">
        <v>23628</v>
      </c>
      <c r="J7887" s="8" t="s">
        <v>23629</v>
      </c>
    </row>
    <row r="7888">
      <c r="A7888" s="7">
        <v>2.0037413E7</v>
      </c>
      <c r="B7888" s="8" t="s">
        <v>1034</v>
      </c>
      <c r="C7888" s="8" t="s">
        <v>23630</v>
      </c>
      <c r="D7888" s="8" t="s">
        <v>16</v>
      </c>
      <c r="E7888" s="8" t="s">
        <v>17</v>
      </c>
      <c r="F7888" s="9">
        <v>46057.0</v>
      </c>
      <c r="G7888" s="8" t="s">
        <v>234</v>
      </c>
      <c r="H7888" s="8" t="s">
        <v>235</v>
      </c>
      <c r="I7888" s="8" t="s">
        <v>23631</v>
      </c>
      <c r="J7888" s="8" t="s">
        <v>23632</v>
      </c>
    </row>
    <row r="7889">
      <c r="A7889" s="7">
        <v>2.0037654E7</v>
      </c>
      <c r="B7889" s="8" t="s">
        <v>1034</v>
      </c>
      <c r="C7889" s="8" t="s">
        <v>23633</v>
      </c>
      <c r="D7889" s="8" t="s">
        <v>16</v>
      </c>
      <c r="E7889" s="8" t="s">
        <v>17</v>
      </c>
      <c r="F7889" s="9">
        <v>46061.0</v>
      </c>
      <c r="G7889" s="8" t="s">
        <v>908</v>
      </c>
      <c r="H7889" s="8" t="s">
        <v>909</v>
      </c>
      <c r="I7889" s="8" t="s">
        <v>23634</v>
      </c>
      <c r="J7889" s="8" t="s">
        <v>23635</v>
      </c>
    </row>
    <row r="7890">
      <c r="A7890" s="7">
        <v>2.0037563E7</v>
      </c>
      <c r="B7890" s="8" t="s">
        <v>1034</v>
      </c>
      <c r="C7890" s="8" t="s">
        <v>23636</v>
      </c>
      <c r="D7890" s="8" t="s">
        <v>16</v>
      </c>
      <c r="E7890" s="8" t="s">
        <v>17</v>
      </c>
      <c r="F7890" s="9">
        <v>46064.0</v>
      </c>
      <c r="G7890" s="8" t="s">
        <v>234</v>
      </c>
      <c r="H7890" s="8" t="s">
        <v>235</v>
      </c>
      <c r="I7890" s="8" t="s">
        <v>23637</v>
      </c>
      <c r="J7890" s="8" t="s">
        <v>23638</v>
      </c>
    </row>
    <row r="7891">
      <c r="A7891" s="7">
        <v>2.0036331E7</v>
      </c>
      <c r="B7891" s="8" t="s">
        <v>1034</v>
      </c>
      <c r="C7891" s="8" t="s">
        <v>23639</v>
      </c>
      <c r="D7891" s="8" t="s">
        <v>16</v>
      </c>
      <c r="E7891" s="8" t="s">
        <v>17</v>
      </c>
      <c r="F7891" s="9">
        <v>46060.0</v>
      </c>
      <c r="G7891" s="8" t="s">
        <v>352</v>
      </c>
      <c r="H7891" s="8" t="s">
        <v>353</v>
      </c>
      <c r="I7891" s="8" t="s">
        <v>22811</v>
      </c>
      <c r="J7891" s="8" t="s">
        <v>23640</v>
      </c>
    </row>
    <row r="7892">
      <c r="A7892" s="7">
        <v>2.0036162E7</v>
      </c>
      <c r="B7892" s="8" t="s">
        <v>1034</v>
      </c>
      <c r="C7892" s="8" t="s">
        <v>23641</v>
      </c>
      <c r="D7892" s="8" t="s">
        <v>16</v>
      </c>
      <c r="E7892" s="8" t="s">
        <v>17</v>
      </c>
      <c r="F7892" s="9">
        <v>46051.0</v>
      </c>
      <c r="G7892" s="8" t="s">
        <v>59</v>
      </c>
      <c r="H7892" s="8" t="s">
        <v>60</v>
      </c>
      <c r="I7892" s="8" t="s">
        <v>23642</v>
      </c>
      <c r="J7892" s="8" t="s">
        <v>23643</v>
      </c>
    </row>
    <row r="7893">
      <c r="A7893" s="7">
        <v>2.0036064E7</v>
      </c>
      <c r="B7893" s="8" t="s">
        <v>1034</v>
      </c>
      <c r="C7893" s="8" t="s">
        <v>23644</v>
      </c>
      <c r="D7893" s="8" t="s">
        <v>16</v>
      </c>
      <c r="E7893" s="8" t="s">
        <v>17</v>
      </c>
      <c r="F7893" s="9">
        <v>46069.0</v>
      </c>
      <c r="G7893" s="8" t="s">
        <v>390</v>
      </c>
      <c r="H7893" s="8" t="s">
        <v>391</v>
      </c>
      <c r="I7893" s="8" t="s">
        <v>23645</v>
      </c>
      <c r="J7893" s="8" t="s">
        <v>23646</v>
      </c>
    </row>
    <row r="7894">
      <c r="A7894" s="7">
        <v>2.0033485E7</v>
      </c>
      <c r="B7894" s="8" t="s">
        <v>1034</v>
      </c>
      <c r="C7894" s="8" t="s">
        <v>23647</v>
      </c>
      <c r="D7894" s="8" t="s">
        <v>16</v>
      </c>
      <c r="E7894" s="8" t="s">
        <v>17</v>
      </c>
      <c r="F7894" s="9">
        <v>46045.0</v>
      </c>
      <c r="G7894" s="8" t="s">
        <v>365</v>
      </c>
      <c r="H7894" s="8" t="s">
        <v>366</v>
      </c>
      <c r="I7894" s="8" t="s">
        <v>23648</v>
      </c>
      <c r="J7894" s="8" t="s">
        <v>23649</v>
      </c>
    </row>
    <row r="7895">
      <c r="A7895" s="7">
        <v>2.0068628E7</v>
      </c>
      <c r="B7895" s="8" t="s">
        <v>1034</v>
      </c>
      <c r="C7895" s="8" t="s">
        <v>23650</v>
      </c>
      <c r="D7895" s="8" t="s">
        <v>16</v>
      </c>
      <c r="E7895" s="8" t="s">
        <v>48</v>
      </c>
      <c r="F7895" s="9">
        <v>46185.0</v>
      </c>
      <c r="G7895" s="8" t="s">
        <v>6715</v>
      </c>
      <c r="H7895" s="8" t="s">
        <v>6716</v>
      </c>
      <c r="I7895" s="8" t="s">
        <v>23651</v>
      </c>
      <c r="J7895" s="8" t="s">
        <v>23652</v>
      </c>
    </row>
    <row r="7896">
      <c r="A7896" s="7">
        <v>2.0063397E7</v>
      </c>
      <c r="B7896" s="8" t="s">
        <v>1034</v>
      </c>
      <c r="C7896" s="8" t="s">
        <v>23653</v>
      </c>
      <c r="D7896" s="8" t="s">
        <v>2136</v>
      </c>
      <c r="E7896" s="8" t="s">
        <v>17</v>
      </c>
      <c r="F7896" s="9">
        <v>46157.0</v>
      </c>
      <c r="G7896" s="8" t="s">
        <v>846</v>
      </c>
      <c r="H7896" s="8" t="s">
        <v>847</v>
      </c>
      <c r="I7896" s="8" t="s">
        <v>23654</v>
      </c>
      <c r="J7896" s="8" t="s">
        <v>23655</v>
      </c>
    </row>
    <row r="7897">
      <c r="A7897" s="7">
        <v>2.0059249E7</v>
      </c>
      <c r="B7897" s="8" t="s">
        <v>1034</v>
      </c>
      <c r="C7897" s="8" t="s">
        <v>23656</v>
      </c>
      <c r="D7897" s="8" t="s">
        <v>16</v>
      </c>
      <c r="E7897" s="8" t="s">
        <v>17</v>
      </c>
      <c r="F7897" s="9">
        <v>46148.0</v>
      </c>
      <c r="G7897" s="8" t="s">
        <v>23657</v>
      </c>
      <c r="H7897" s="8" t="s">
        <v>23658</v>
      </c>
      <c r="I7897" s="8" t="s">
        <v>23659</v>
      </c>
      <c r="J7897" s="8"/>
    </row>
    <row r="7898">
      <c r="A7898" s="7">
        <v>2.0057736E7</v>
      </c>
      <c r="B7898" s="8" t="s">
        <v>1034</v>
      </c>
      <c r="C7898" s="8" t="s">
        <v>23660</v>
      </c>
      <c r="D7898" s="8" t="s">
        <v>16</v>
      </c>
      <c r="E7898" s="8" t="s">
        <v>17</v>
      </c>
      <c r="F7898" s="9">
        <v>46131.0</v>
      </c>
      <c r="G7898" s="8" t="s">
        <v>59</v>
      </c>
      <c r="H7898" s="8" t="s">
        <v>60</v>
      </c>
      <c r="I7898" s="8" t="s">
        <v>23661</v>
      </c>
      <c r="J7898" s="8" t="s">
        <v>23662</v>
      </c>
    </row>
    <row r="7899">
      <c r="A7899" s="7">
        <v>2.0054814E7</v>
      </c>
      <c r="B7899" s="8" t="s">
        <v>1034</v>
      </c>
      <c r="C7899" s="8" t="s">
        <v>23663</v>
      </c>
      <c r="D7899" s="8" t="s">
        <v>16</v>
      </c>
      <c r="E7899" s="8" t="s">
        <v>17</v>
      </c>
      <c r="F7899" s="9">
        <v>46155.0</v>
      </c>
      <c r="G7899" s="8" t="s">
        <v>171</v>
      </c>
      <c r="H7899" s="8" t="s">
        <v>172</v>
      </c>
      <c r="I7899" s="8" t="s">
        <v>23664</v>
      </c>
      <c r="J7899" s="8" t="s">
        <v>23665</v>
      </c>
    </row>
    <row r="7900">
      <c r="A7900" s="7">
        <v>2.005716E7</v>
      </c>
      <c r="B7900" s="8" t="s">
        <v>1034</v>
      </c>
      <c r="C7900" s="8" t="s">
        <v>23666</v>
      </c>
      <c r="D7900" s="8" t="s">
        <v>16</v>
      </c>
      <c r="E7900" s="8" t="s">
        <v>17</v>
      </c>
      <c r="F7900" s="9">
        <v>46193.0</v>
      </c>
      <c r="G7900" s="8" t="s">
        <v>23667</v>
      </c>
      <c r="H7900" s="8" t="s">
        <v>23668</v>
      </c>
      <c r="I7900" s="8" t="s">
        <v>23669</v>
      </c>
      <c r="J7900" s="8"/>
    </row>
    <row r="7901">
      <c r="A7901" s="7">
        <v>2.0045803E7</v>
      </c>
      <c r="B7901" s="8" t="s">
        <v>1034</v>
      </c>
      <c r="C7901" s="8" t="s">
        <v>23670</v>
      </c>
      <c r="D7901" s="8" t="s">
        <v>16</v>
      </c>
      <c r="E7901" s="8" t="s">
        <v>17</v>
      </c>
      <c r="F7901" s="9">
        <v>46116.0</v>
      </c>
      <c r="G7901" s="8" t="s">
        <v>822</v>
      </c>
      <c r="H7901" s="8" t="s">
        <v>120</v>
      </c>
      <c r="I7901" s="8" t="s">
        <v>23671</v>
      </c>
      <c r="J7901" s="8" t="s">
        <v>23672</v>
      </c>
    </row>
    <row r="7902">
      <c r="A7902" s="7">
        <v>2.0052048E7</v>
      </c>
      <c r="B7902" s="8" t="s">
        <v>1034</v>
      </c>
      <c r="C7902" s="8" t="s">
        <v>23673</v>
      </c>
      <c r="D7902" s="8" t="s">
        <v>16</v>
      </c>
      <c r="E7902" s="8" t="s">
        <v>17</v>
      </c>
      <c r="F7902" s="9">
        <v>46109.0</v>
      </c>
      <c r="G7902" s="8" t="s">
        <v>75</v>
      </c>
      <c r="H7902" s="8" t="s">
        <v>76</v>
      </c>
      <c r="I7902" s="8" t="s">
        <v>23674</v>
      </c>
      <c r="J7902" s="8" t="s">
        <v>23675</v>
      </c>
    </row>
    <row r="7903">
      <c r="A7903" s="7">
        <v>2.0049752E7</v>
      </c>
      <c r="B7903" s="8" t="s">
        <v>1034</v>
      </c>
      <c r="C7903" s="8" t="s">
        <v>23676</v>
      </c>
      <c r="D7903" s="8" t="s">
        <v>16</v>
      </c>
      <c r="E7903" s="8" t="s">
        <v>17</v>
      </c>
      <c r="F7903" s="9">
        <v>46117.0</v>
      </c>
      <c r="G7903" s="8" t="s">
        <v>436</v>
      </c>
      <c r="H7903" s="8" t="s">
        <v>437</v>
      </c>
      <c r="I7903" s="8" t="s">
        <v>23677</v>
      </c>
      <c r="J7903" s="8" t="s">
        <v>23678</v>
      </c>
    </row>
    <row r="7904">
      <c r="A7904" s="7">
        <v>2.0049109E7</v>
      </c>
      <c r="B7904" s="8" t="s">
        <v>1034</v>
      </c>
      <c r="C7904" s="8" t="s">
        <v>23679</v>
      </c>
      <c r="D7904" s="8" t="s">
        <v>16</v>
      </c>
      <c r="E7904" s="8" t="s">
        <v>17</v>
      </c>
      <c r="F7904" s="9">
        <v>46093.0</v>
      </c>
      <c r="G7904" s="8" t="s">
        <v>868</v>
      </c>
      <c r="H7904" s="8" t="s">
        <v>869</v>
      </c>
      <c r="I7904" s="8" t="s">
        <v>23680</v>
      </c>
      <c r="J7904" s="8" t="s">
        <v>23681</v>
      </c>
    </row>
    <row r="7905">
      <c r="A7905" s="7">
        <v>2.0047422E7</v>
      </c>
      <c r="B7905" s="8" t="s">
        <v>1034</v>
      </c>
      <c r="C7905" s="8" t="s">
        <v>23682</v>
      </c>
      <c r="D7905" s="8" t="s">
        <v>16</v>
      </c>
      <c r="E7905" s="8" t="s">
        <v>17</v>
      </c>
      <c r="F7905" s="9">
        <v>46116.0</v>
      </c>
      <c r="G7905" s="8" t="s">
        <v>390</v>
      </c>
      <c r="H7905" s="8" t="s">
        <v>391</v>
      </c>
      <c r="I7905" s="8" t="s">
        <v>23683</v>
      </c>
      <c r="J7905" s="8" t="s">
        <v>23684</v>
      </c>
    </row>
    <row r="7906">
      <c r="A7906" s="7">
        <v>2.0047226E7</v>
      </c>
      <c r="B7906" s="8" t="s">
        <v>1034</v>
      </c>
      <c r="C7906" s="8" t="s">
        <v>23685</v>
      </c>
      <c r="D7906" s="8" t="s">
        <v>16</v>
      </c>
      <c r="E7906" s="8" t="s">
        <v>17</v>
      </c>
      <c r="F7906" s="9">
        <v>46094.0</v>
      </c>
      <c r="G7906" s="8" t="s">
        <v>220</v>
      </c>
      <c r="H7906" s="8" t="s">
        <v>221</v>
      </c>
      <c r="I7906" s="8" t="s">
        <v>23686</v>
      </c>
      <c r="J7906" s="8" t="s">
        <v>23687</v>
      </c>
    </row>
    <row r="7907">
      <c r="A7907" s="7">
        <v>2.0046313E7</v>
      </c>
      <c r="B7907" s="8" t="s">
        <v>1034</v>
      </c>
      <c r="C7907" s="8" t="s">
        <v>23688</v>
      </c>
      <c r="D7907" s="8" t="s">
        <v>16</v>
      </c>
      <c r="E7907" s="8" t="s">
        <v>17</v>
      </c>
      <c r="F7907" s="9">
        <v>46087.0</v>
      </c>
      <c r="G7907" s="8" t="s">
        <v>220</v>
      </c>
      <c r="H7907" s="8" t="s">
        <v>221</v>
      </c>
      <c r="I7907" s="8" t="s">
        <v>23689</v>
      </c>
      <c r="J7907" s="8" t="s">
        <v>23690</v>
      </c>
    </row>
    <row r="7908">
      <c r="A7908" s="7">
        <v>2.004321E7</v>
      </c>
      <c r="B7908" s="8" t="s">
        <v>1034</v>
      </c>
      <c r="C7908" s="8" t="s">
        <v>23691</v>
      </c>
      <c r="D7908" s="8" t="s">
        <v>16</v>
      </c>
      <c r="E7908" s="8" t="s">
        <v>17</v>
      </c>
      <c r="F7908" s="9">
        <v>46091.0</v>
      </c>
      <c r="G7908" s="8" t="s">
        <v>1085</v>
      </c>
      <c r="H7908" s="8" t="s">
        <v>1086</v>
      </c>
      <c r="I7908" s="8" t="s">
        <v>23692</v>
      </c>
      <c r="J7908" s="8" t="s">
        <v>23693</v>
      </c>
    </row>
    <row r="7909">
      <c r="A7909" s="7">
        <v>2.0039497E7</v>
      </c>
      <c r="B7909" s="8" t="s">
        <v>1034</v>
      </c>
      <c r="C7909" s="8" t="s">
        <v>23694</v>
      </c>
      <c r="D7909" s="8" t="s">
        <v>16</v>
      </c>
      <c r="E7909" s="8" t="s">
        <v>17</v>
      </c>
      <c r="F7909" s="9">
        <v>46081.0</v>
      </c>
      <c r="G7909" s="8" t="s">
        <v>20706</v>
      </c>
      <c r="H7909" s="8" t="s">
        <v>20707</v>
      </c>
      <c r="I7909" s="8" t="s">
        <v>23087</v>
      </c>
      <c r="J7909" s="8" t="s">
        <v>23695</v>
      </c>
    </row>
    <row r="7910">
      <c r="A7910" s="7">
        <v>2.0036324E7</v>
      </c>
      <c r="B7910" s="8" t="s">
        <v>1034</v>
      </c>
      <c r="C7910" s="8" t="s">
        <v>23696</v>
      </c>
      <c r="D7910" s="8" t="s">
        <v>16</v>
      </c>
      <c r="E7910" s="8" t="s">
        <v>17</v>
      </c>
      <c r="F7910" s="9">
        <v>46070.0</v>
      </c>
      <c r="G7910" s="8" t="s">
        <v>9459</v>
      </c>
      <c r="H7910" s="8" t="s">
        <v>9460</v>
      </c>
      <c r="I7910" s="8" t="s">
        <v>23697</v>
      </c>
      <c r="J7910" s="8" t="s">
        <v>23698</v>
      </c>
    </row>
    <row r="7911">
      <c r="A7911" s="7">
        <v>2.0036307E7</v>
      </c>
      <c r="B7911" s="8" t="s">
        <v>1034</v>
      </c>
      <c r="C7911" s="8" t="s">
        <v>23699</v>
      </c>
      <c r="D7911" s="8" t="s">
        <v>16</v>
      </c>
      <c r="E7911" s="8" t="s">
        <v>17</v>
      </c>
      <c r="F7911" s="9">
        <v>46064.0</v>
      </c>
      <c r="G7911" s="8" t="s">
        <v>2400</v>
      </c>
      <c r="H7911" s="8" t="s">
        <v>2401</v>
      </c>
      <c r="I7911" s="8" t="s">
        <v>23700</v>
      </c>
      <c r="J7911" s="8" t="s">
        <v>23701</v>
      </c>
    </row>
    <row r="7912">
      <c r="A7912" s="7">
        <v>2.0035643E7</v>
      </c>
      <c r="B7912" s="8" t="s">
        <v>1034</v>
      </c>
      <c r="C7912" s="8" t="s">
        <v>23702</v>
      </c>
      <c r="D7912" s="8" t="s">
        <v>16</v>
      </c>
      <c r="E7912" s="8" t="s">
        <v>17</v>
      </c>
      <c r="F7912" s="9">
        <v>46054.0</v>
      </c>
      <c r="G7912" s="8" t="s">
        <v>91</v>
      </c>
      <c r="H7912" s="8" t="s">
        <v>92</v>
      </c>
      <c r="I7912" s="8" t="s">
        <v>23703</v>
      </c>
      <c r="J7912" s="8" t="s">
        <v>23704</v>
      </c>
    </row>
    <row r="7913">
      <c r="A7913" s="7">
        <v>2.0032454E7</v>
      </c>
      <c r="B7913" s="8" t="s">
        <v>1034</v>
      </c>
      <c r="C7913" s="8" t="s">
        <v>23705</v>
      </c>
      <c r="D7913" s="8" t="s">
        <v>16</v>
      </c>
      <c r="E7913" s="8" t="s">
        <v>17</v>
      </c>
      <c r="F7913" s="9">
        <v>46057.0</v>
      </c>
      <c r="G7913" s="8" t="s">
        <v>1746</v>
      </c>
      <c r="H7913" s="8" t="s">
        <v>4130</v>
      </c>
      <c r="I7913" s="8" t="s">
        <v>23706</v>
      </c>
      <c r="J7913" s="8" t="s">
        <v>23707</v>
      </c>
    </row>
    <row r="7914">
      <c r="A7914" s="7">
        <v>2.0066308E7</v>
      </c>
      <c r="B7914" s="8" t="s">
        <v>1034</v>
      </c>
      <c r="C7914" s="8" t="s">
        <v>23708</v>
      </c>
      <c r="D7914" s="8" t="s">
        <v>16</v>
      </c>
      <c r="E7914" s="8" t="s">
        <v>17</v>
      </c>
      <c r="F7914" s="9">
        <v>46174.0</v>
      </c>
      <c r="G7914" s="8" t="s">
        <v>2511</v>
      </c>
      <c r="H7914" s="8" t="s">
        <v>2512</v>
      </c>
      <c r="I7914" s="8" t="s">
        <v>23709</v>
      </c>
      <c r="J7914" s="8" t="s">
        <v>23710</v>
      </c>
    </row>
    <row r="7915">
      <c r="A7915" s="7">
        <v>2.0066308E7</v>
      </c>
      <c r="B7915" s="8" t="s">
        <v>1034</v>
      </c>
      <c r="C7915" s="8" t="s">
        <v>23708</v>
      </c>
      <c r="D7915" s="8" t="s">
        <v>16</v>
      </c>
      <c r="E7915" s="8" t="s">
        <v>17</v>
      </c>
      <c r="F7915" s="9">
        <v>46174.0</v>
      </c>
      <c r="G7915" s="8" t="s">
        <v>4850</v>
      </c>
      <c r="H7915" s="8" t="s">
        <v>4851</v>
      </c>
      <c r="I7915" s="8" t="s">
        <v>23711</v>
      </c>
      <c r="J7915" s="8" t="s">
        <v>23712</v>
      </c>
    </row>
    <row r="7916">
      <c r="A7916" s="7">
        <v>2.0065423E7</v>
      </c>
      <c r="B7916" s="8" t="s">
        <v>1034</v>
      </c>
      <c r="C7916" s="8" t="s">
        <v>23713</v>
      </c>
      <c r="D7916" s="8" t="s">
        <v>16</v>
      </c>
      <c r="E7916" s="8" t="s">
        <v>17</v>
      </c>
      <c r="F7916" s="9">
        <v>46171.0</v>
      </c>
      <c r="G7916" s="8" t="s">
        <v>59</v>
      </c>
      <c r="H7916" s="8" t="s">
        <v>60</v>
      </c>
      <c r="I7916" s="8" t="s">
        <v>23714</v>
      </c>
      <c r="J7916" s="8" t="s">
        <v>23715</v>
      </c>
    </row>
    <row r="7917">
      <c r="A7917" s="7">
        <v>2.00652E7</v>
      </c>
      <c r="B7917" s="8" t="s">
        <v>1034</v>
      </c>
      <c r="C7917" s="8" t="s">
        <v>23716</v>
      </c>
      <c r="D7917" s="8" t="s">
        <v>16</v>
      </c>
      <c r="E7917" s="8" t="s">
        <v>17</v>
      </c>
      <c r="F7917" s="9">
        <v>46190.0</v>
      </c>
      <c r="G7917" s="8" t="s">
        <v>2386</v>
      </c>
      <c r="H7917" s="8" t="s">
        <v>2387</v>
      </c>
      <c r="I7917" s="8" t="s">
        <v>23717</v>
      </c>
      <c r="J7917" s="8" t="s">
        <v>22614</v>
      </c>
    </row>
    <row r="7918">
      <c r="A7918" s="7">
        <v>2.0064593E7</v>
      </c>
      <c r="B7918" s="8" t="s">
        <v>1034</v>
      </c>
      <c r="C7918" s="8" t="s">
        <v>23718</v>
      </c>
      <c r="D7918" s="8" t="s">
        <v>16</v>
      </c>
      <c r="E7918" s="8" t="s">
        <v>17</v>
      </c>
      <c r="F7918" s="9">
        <v>46167.0</v>
      </c>
      <c r="G7918" s="8" t="s">
        <v>352</v>
      </c>
      <c r="H7918" s="8" t="s">
        <v>353</v>
      </c>
      <c r="I7918" s="8" t="s">
        <v>23719</v>
      </c>
      <c r="J7918" s="8" t="s">
        <v>23720</v>
      </c>
    </row>
    <row r="7919">
      <c r="A7919" s="7">
        <v>2.0060257E7</v>
      </c>
      <c r="B7919" s="8" t="s">
        <v>1034</v>
      </c>
      <c r="C7919" s="8" t="s">
        <v>23721</v>
      </c>
      <c r="D7919" s="8" t="s">
        <v>16</v>
      </c>
      <c r="E7919" s="8" t="s">
        <v>17</v>
      </c>
      <c r="F7919" s="9">
        <v>46143.0</v>
      </c>
      <c r="G7919" s="8" t="s">
        <v>23722</v>
      </c>
      <c r="H7919" s="8" t="s">
        <v>23723</v>
      </c>
      <c r="I7919" s="8" t="s">
        <v>23724</v>
      </c>
      <c r="J7919" s="8" t="s">
        <v>23725</v>
      </c>
    </row>
    <row r="7920">
      <c r="A7920" s="7">
        <v>2.0059474E7</v>
      </c>
      <c r="B7920" s="8" t="s">
        <v>1034</v>
      </c>
      <c r="C7920" s="8" t="s">
        <v>23726</v>
      </c>
      <c r="D7920" s="8" t="s">
        <v>16</v>
      </c>
      <c r="E7920" s="8" t="s">
        <v>17</v>
      </c>
      <c r="F7920" s="9">
        <v>46144.0</v>
      </c>
      <c r="G7920" s="8" t="s">
        <v>29</v>
      </c>
      <c r="H7920" s="8" t="s">
        <v>30</v>
      </c>
      <c r="I7920" s="8" t="s">
        <v>23727</v>
      </c>
      <c r="J7920" s="8" t="s">
        <v>23728</v>
      </c>
    </row>
    <row r="7921">
      <c r="A7921" s="7">
        <v>2.0057949E7</v>
      </c>
      <c r="B7921" s="8" t="s">
        <v>1034</v>
      </c>
      <c r="C7921" s="8" t="s">
        <v>23729</v>
      </c>
      <c r="D7921" s="8" t="s">
        <v>2136</v>
      </c>
      <c r="E7921" s="8" t="s">
        <v>17</v>
      </c>
      <c r="F7921" s="9">
        <v>46132.0</v>
      </c>
      <c r="G7921" s="8" t="s">
        <v>195</v>
      </c>
      <c r="H7921" s="8" t="s">
        <v>196</v>
      </c>
      <c r="I7921" s="8" t="s">
        <v>23730</v>
      </c>
      <c r="J7921" s="8" t="s">
        <v>23731</v>
      </c>
    </row>
    <row r="7922">
      <c r="A7922" s="7">
        <v>2.0057206E7</v>
      </c>
      <c r="B7922" s="8" t="s">
        <v>1034</v>
      </c>
      <c r="C7922" s="8" t="s">
        <v>23732</v>
      </c>
      <c r="D7922" s="8" t="s">
        <v>16</v>
      </c>
      <c r="E7922" s="8" t="s">
        <v>17</v>
      </c>
      <c r="F7922" s="9">
        <v>46155.0</v>
      </c>
      <c r="G7922" s="8" t="s">
        <v>158</v>
      </c>
      <c r="H7922" s="8" t="s">
        <v>159</v>
      </c>
      <c r="I7922" s="8" t="s">
        <v>23733</v>
      </c>
      <c r="J7922" s="8" t="s">
        <v>23734</v>
      </c>
    </row>
    <row r="7923">
      <c r="A7923" s="7">
        <v>2.0056959E7</v>
      </c>
      <c r="B7923" s="8" t="s">
        <v>1034</v>
      </c>
      <c r="C7923" s="8" t="s">
        <v>23735</v>
      </c>
      <c r="D7923" s="8" t="s">
        <v>16</v>
      </c>
      <c r="E7923" s="8" t="s">
        <v>4243</v>
      </c>
      <c r="F7923" s="9">
        <v>46129.0</v>
      </c>
      <c r="G7923" s="8" t="s">
        <v>91</v>
      </c>
      <c r="H7923" s="8" t="s">
        <v>92</v>
      </c>
      <c r="I7923" s="8" t="s">
        <v>23736</v>
      </c>
      <c r="J7923" s="8" t="s">
        <v>23737</v>
      </c>
    </row>
    <row r="7924">
      <c r="A7924" s="7">
        <v>2.0055884E7</v>
      </c>
      <c r="B7924" s="8" t="s">
        <v>1034</v>
      </c>
      <c r="C7924" s="8" t="s">
        <v>23738</v>
      </c>
      <c r="D7924" s="8" t="s">
        <v>16</v>
      </c>
      <c r="E7924" s="8" t="s">
        <v>700</v>
      </c>
      <c r="F7924" s="9">
        <v>46128.0</v>
      </c>
      <c r="G7924" s="8" t="s">
        <v>23739</v>
      </c>
      <c r="H7924" s="8" t="s">
        <v>23740</v>
      </c>
      <c r="I7924" s="8" t="s">
        <v>23741</v>
      </c>
      <c r="J7924" s="8"/>
    </row>
    <row r="7925">
      <c r="A7925" s="7">
        <v>2.0054967E7</v>
      </c>
      <c r="B7925" s="8" t="s">
        <v>1034</v>
      </c>
      <c r="C7925" s="8" t="s">
        <v>23742</v>
      </c>
      <c r="D7925" s="8" t="s">
        <v>16</v>
      </c>
      <c r="E7925" s="8" t="s">
        <v>17</v>
      </c>
      <c r="F7925" s="9">
        <v>46137.0</v>
      </c>
      <c r="G7925" s="8" t="s">
        <v>348</v>
      </c>
      <c r="H7925" s="8" t="s">
        <v>349</v>
      </c>
      <c r="I7925" s="8" t="s">
        <v>23743</v>
      </c>
      <c r="J7925" s="8" t="s">
        <v>23744</v>
      </c>
    </row>
    <row r="7926">
      <c r="A7926" s="7">
        <v>2.0051816E7</v>
      </c>
      <c r="B7926" s="8" t="s">
        <v>1034</v>
      </c>
      <c r="C7926" s="8" t="s">
        <v>23745</v>
      </c>
      <c r="D7926" s="8" t="s">
        <v>16</v>
      </c>
      <c r="E7926" s="8" t="s">
        <v>17</v>
      </c>
      <c r="F7926" s="9">
        <v>46121.0</v>
      </c>
      <c r="G7926" s="8" t="s">
        <v>1085</v>
      </c>
      <c r="H7926" s="8" t="s">
        <v>1086</v>
      </c>
      <c r="I7926" s="8" t="s">
        <v>23746</v>
      </c>
      <c r="J7926" s="8" t="s">
        <v>23747</v>
      </c>
    </row>
    <row r="7927">
      <c r="A7927" s="7">
        <v>2.0046101E7</v>
      </c>
      <c r="B7927" s="8" t="s">
        <v>1034</v>
      </c>
      <c r="C7927" s="8" t="s">
        <v>23748</v>
      </c>
      <c r="D7927" s="8" t="s">
        <v>16</v>
      </c>
      <c r="E7927" s="8" t="s">
        <v>17</v>
      </c>
      <c r="F7927" s="9">
        <v>46099.0</v>
      </c>
      <c r="G7927" s="8" t="s">
        <v>59</v>
      </c>
      <c r="H7927" s="8" t="s">
        <v>60</v>
      </c>
      <c r="I7927" s="8" t="s">
        <v>23749</v>
      </c>
      <c r="J7927" s="8" t="s">
        <v>23750</v>
      </c>
    </row>
    <row r="7928">
      <c r="A7928" s="7">
        <v>2.0044677E7</v>
      </c>
      <c r="B7928" s="8" t="s">
        <v>1034</v>
      </c>
      <c r="C7928" s="8" t="s">
        <v>23751</v>
      </c>
      <c r="D7928" s="8" t="s">
        <v>16</v>
      </c>
      <c r="E7928" s="8" t="s">
        <v>17</v>
      </c>
      <c r="F7928" s="9">
        <v>46098.0</v>
      </c>
      <c r="G7928" s="8" t="s">
        <v>184</v>
      </c>
      <c r="H7928" s="8" t="s">
        <v>185</v>
      </c>
      <c r="I7928" s="8" t="s">
        <v>23752</v>
      </c>
      <c r="J7928" s="8" t="s">
        <v>23753</v>
      </c>
    </row>
    <row r="7929">
      <c r="A7929" s="7">
        <v>2.0041836E7</v>
      </c>
      <c r="B7929" s="8" t="s">
        <v>1034</v>
      </c>
      <c r="C7929" s="8" t="s">
        <v>23754</v>
      </c>
      <c r="D7929" s="8" t="s">
        <v>16</v>
      </c>
      <c r="E7929" s="8" t="s">
        <v>17</v>
      </c>
      <c r="F7929" s="9">
        <v>46086.0</v>
      </c>
      <c r="G7929" s="8" t="s">
        <v>3339</v>
      </c>
      <c r="H7929" s="8" t="s">
        <v>1301</v>
      </c>
      <c r="I7929" s="8" t="s">
        <v>23755</v>
      </c>
      <c r="J7929" s="8" t="s">
        <v>23756</v>
      </c>
    </row>
    <row r="7930">
      <c r="A7930" s="7">
        <v>2.0041836E7</v>
      </c>
      <c r="B7930" s="8" t="s">
        <v>1034</v>
      </c>
      <c r="C7930" s="8" t="s">
        <v>23754</v>
      </c>
      <c r="D7930" s="8" t="s">
        <v>16</v>
      </c>
      <c r="E7930" s="8" t="s">
        <v>17</v>
      </c>
      <c r="F7930" s="9">
        <v>46086.0</v>
      </c>
      <c r="G7930" s="8" t="s">
        <v>20240</v>
      </c>
      <c r="H7930" s="8" t="s">
        <v>3321</v>
      </c>
      <c r="I7930" s="8" t="s">
        <v>23757</v>
      </c>
      <c r="J7930" s="8" t="s">
        <v>23758</v>
      </c>
    </row>
    <row r="7931">
      <c r="A7931" s="7">
        <v>2.0042366E7</v>
      </c>
      <c r="B7931" s="8" t="s">
        <v>1034</v>
      </c>
      <c r="C7931" s="8" t="s">
        <v>23759</v>
      </c>
      <c r="D7931" s="8" t="s">
        <v>16</v>
      </c>
      <c r="E7931" s="8" t="s">
        <v>17</v>
      </c>
      <c r="F7931" s="9">
        <v>46076.0</v>
      </c>
      <c r="G7931" s="8" t="s">
        <v>365</v>
      </c>
      <c r="H7931" s="8" t="s">
        <v>366</v>
      </c>
      <c r="I7931" s="8" t="s">
        <v>23760</v>
      </c>
      <c r="J7931" s="8" t="s">
        <v>23761</v>
      </c>
    </row>
    <row r="7932">
      <c r="A7932" s="7">
        <v>2.0041938E7</v>
      </c>
      <c r="B7932" s="8" t="s">
        <v>1034</v>
      </c>
      <c r="C7932" s="8" t="s">
        <v>23762</v>
      </c>
      <c r="D7932" s="8" t="s">
        <v>16</v>
      </c>
      <c r="E7932" s="8" t="s">
        <v>17</v>
      </c>
      <c r="F7932" s="9">
        <v>46073.0</v>
      </c>
      <c r="G7932" s="8" t="s">
        <v>59</v>
      </c>
      <c r="H7932" s="8" t="s">
        <v>60</v>
      </c>
      <c r="I7932" s="8" t="s">
        <v>23763</v>
      </c>
      <c r="J7932" s="8" t="s">
        <v>23764</v>
      </c>
    </row>
    <row r="7933">
      <c r="A7933" s="7">
        <v>2.0041987E7</v>
      </c>
      <c r="B7933" s="8" t="s">
        <v>1034</v>
      </c>
      <c r="C7933" s="8" t="s">
        <v>23765</v>
      </c>
      <c r="D7933" s="8" t="s">
        <v>16</v>
      </c>
      <c r="E7933" s="8" t="s">
        <v>17</v>
      </c>
      <c r="F7933" s="9">
        <v>46066.0</v>
      </c>
      <c r="G7933" s="8" t="s">
        <v>59</v>
      </c>
      <c r="H7933" s="8" t="s">
        <v>60</v>
      </c>
      <c r="I7933" s="8" t="s">
        <v>23766</v>
      </c>
      <c r="J7933" s="8" t="s">
        <v>23767</v>
      </c>
    </row>
    <row r="7934">
      <c r="A7934" s="7">
        <v>2.0038007E7</v>
      </c>
      <c r="B7934" s="8" t="s">
        <v>1034</v>
      </c>
      <c r="C7934" s="8" t="s">
        <v>23768</v>
      </c>
      <c r="D7934" s="8" t="s">
        <v>16</v>
      </c>
      <c r="E7934" s="8" t="s">
        <v>17</v>
      </c>
      <c r="F7934" s="9">
        <v>46075.0</v>
      </c>
      <c r="G7934" s="8" t="s">
        <v>2400</v>
      </c>
      <c r="H7934" s="8" t="s">
        <v>2401</v>
      </c>
      <c r="I7934" s="8" t="s">
        <v>23769</v>
      </c>
      <c r="J7934" s="8" t="s">
        <v>23770</v>
      </c>
    </row>
    <row r="7935">
      <c r="A7935" s="7">
        <v>2.0038843E7</v>
      </c>
      <c r="B7935" s="8" t="s">
        <v>1034</v>
      </c>
      <c r="C7935" s="8" t="s">
        <v>23771</v>
      </c>
      <c r="D7935" s="8" t="s">
        <v>16</v>
      </c>
      <c r="E7935" s="8" t="s">
        <v>17</v>
      </c>
      <c r="F7935" s="9">
        <v>46075.0</v>
      </c>
      <c r="G7935" s="8" t="s">
        <v>158</v>
      </c>
      <c r="H7935" s="8" t="s">
        <v>159</v>
      </c>
      <c r="I7935" s="8" t="s">
        <v>23772</v>
      </c>
      <c r="J7935" s="8" t="s">
        <v>23773</v>
      </c>
    </row>
    <row r="7936">
      <c r="A7936" s="7">
        <v>2.0038321E7</v>
      </c>
      <c r="B7936" s="8" t="s">
        <v>1034</v>
      </c>
      <c r="C7936" s="8" t="s">
        <v>23774</v>
      </c>
      <c r="D7936" s="8" t="s">
        <v>16</v>
      </c>
      <c r="E7936" s="8" t="s">
        <v>17</v>
      </c>
      <c r="F7936" s="9">
        <v>46072.0</v>
      </c>
      <c r="G7936" s="8" t="s">
        <v>314</v>
      </c>
      <c r="H7936" s="8" t="s">
        <v>315</v>
      </c>
      <c r="I7936" s="8" t="s">
        <v>23775</v>
      </c>
      <c r="J7936" s="8" t="s">
        <v>23776</v>
      </c>
    </row>
    <row r="7937">
      <c r="A7937" s="7">
        <v>2.0036408E7</v>
      </c>
      <c r="B7937" s="8" t="s">
        <v>1034</v>
      </c>
      <c r="C7937" s="8" t="s">
        <v>23777</v>
      </c>
      <c r="D7937" s="8" t="s">
        <v>16</v>
      </c>
      <c r="E7937" s="8" t="s">
        <v>17</v>
      </c>
      <c r="F7937" s="9">
        <v>46065.0</v>
      </c>
      <c r="G7937" s="8" t="s">
        <v>9579</v>
      </c>
      <c r="H7937" s="8" t="s">
        <v>9580</v>
      </c>
      <c r="I7937" s="8" t="s">
        <v>23778</v>
      </c>
      <c r="J7937" s="8" t="s">
        <v>1429</v>
      </c>
    </row>
    <row r="7938">
      <c r="A7938" s="7">
        <v>2.0034026E7</v>
      </c>
      <c r="B7938" s="8" t="s">
        <v>1034</v>
      </c>
      <c r="C7938" s="8" t="s">
        <v>23779</v>
      </c>
      <c r="D7938" s="8" t="s">
        <v>16</v>
      </c>
      <c r="E7938" s="8" t="s">
        <v>17</v>
      </c>
      <c r="F7938" s="9">
        <v>46033.0</v>
      </c>
      <c r="G7938" s="8" t="s">
        <v>75</v>
      </c>
      <c r="H7938" s="8" t="s">
        <v>76</v>
      </c>
      <c r="I7938" s="8" t="s">
        <v>23780</v>
      </c>
      <c r="J7938" s="8" t="s">
        <v>23781</v>
      </c>
    </row>
    <row r="7939">
      <c r="A7939" s="7">
        <v>2.0062522E7</v>
      </c>
      <c r="B7939" s="8" t="s">
        <v>1034</v>
      </c>
      <c r="C7939" s="8" t="s">
        <v>23782</v>
      </c>
      <c r="D7939" s="8" t="s">
        <v>16</v>
      </c>
      <c r="E7939" s="8" t="s">
        <v>17</v>
      </c>
      <c r="F7939" s="9">
        <v>46157.0</v>
      </c>
      <c r="G7939" s="8" t="s">
        <v>21407</v>
      </c>
      <c r="H7939" s="8" t="s">
        <v>21408</v>
      </c>
      <c r="I7939" s="8" t="s">
        <v>23783</v>
      </c>
      <c r="J7939" s="8" t="s">
        <v>23784</v>
      </c>
    </row>
    <row r="7940">
      <c r="A7940" s="7">
        <v>2.0062321E7</v>
      </c>
      <c r="B7940" s="8" t="s">
        <v>1034</v>
      </c>
      <c r="C7940" s="8" t="s">
        <v>23785</v>
      </c>
      <c r="D7940" s="8" t="s">
        <v>16</v>
      </c>
      <c r="E7940" s="8" t="s">
        <v>17</v>
      </c>
      <c r="F7940" s="9">
        <v>46182.0</v>
      </c>
      <c r="G7940" s="8" t="s">
        <v>9870</v>
      </c>
      <c r="H7940" s="8" t="s">
        <v>9871</v>
      </c>
      <c r="I7940" s="8" t="s">
        <v>23786</v>
      </c>
      <c r="J7940" s="8" t="s">
        <v>23787</v>
      </c>
    </row>
    <row r="7941">
      <c r="A7941" s="7">
        <v>2.006171E7</v>
      </c>
      <c r="B7941" s="8" t="s">
        <v>1034</v>
      </c>
      <c r="C7941" s="8" t="s">
        <v>23788</v>
      </c>
      <c r="D7941" s="8" t="s">
        <v>16</v>
      </c>
      <c r="E7941" s="8" t="s">
        <v>17</v>
      </c>
      <c r="F7941" s="9">
        <v>46178.0</v>
      </c>
      <c r="G7941" s="8" t="s">
        <v>511</v>
      </c>
      <c r="H7941" s="8" t="s">
        <v>512</v>
      </c>
      <c r="I7941" s="8" t="s">
        <v>23789</v>
      </c>
      <c r="J7941" s="8" t="s">
        <v>23790</v>
      </c>
    </row>
    <row r="7942">
      <c r="A7942" s="7">
        <v>2.0061177E7</v>
      </c>
      <c r="B7942" s="8" t="s">
        <v>1034</v>
      </c>
      <c r="C7942" s="8" t="s">
        <v>23791</v>
      </c>
      <c r="D7942" s="8" t="s">
        <v>16</v>
      </c>
      <c r="E7942" s="8" t="s">
        <v>17</v>
      </c>
      <c r="F7942" s="9">
        <v>46181.0</v>
      </c>
      <c r="G7942" s="8" t="s">
        <v>282</v>
      </c>
      <c r="H7942" s="8" t="s">
        <v>3005</v>
      </c>
      <c r="I7942" s="8" t="s">
        <v>23792</v>
      </c>
      <c r="J7942" s="8" t="s">
        <v>23793</v>
      </c>
    </row>
    <row r="7943">
      <c r="A7943" s="7">
        <v>2.0061177E7</v>
      </c>
      <c r="B7943" s="8" t="s">
        <v>1034</v>
      </c>
      <c r="C7943" s="8" t="s">
        <v>23791</v>
      </c>
      <c r="D7943" s="8" t="s">
        <v>16</v>
      </c>
      <c r="E7943" s="8" t="s">
        <v>17</v>
      </c>
      <c r="F7943" s="9">
        <v>46181.0</v>
      </c>
      <c r="G7943" s="8" t="s">
        <v>314</v>
      </c>
      <c r="H7943" s="8" t="s">
        <v>315</v>
      </c>
      <c r="I7943" s="8" t="s">
        <v>5603</v>
      </c>
      <c r="J7943" s="8" t="s">
        <v>23794</v>
      </c>
    </row>
    <row r="7944">
      <c r="A7944" s="7">
        <v>2.0057327E7</v>
      </c>
      <c r="B7944" s="8" t="s">
        <v>1034</v>
      </c>
      <c r="C7944" s="8" t="s">
        <v>23795</v>
      </c>
      <c r="D7944" s="8" t="s">
        <v>16</v>
      </c>
      <c r="E7944" s="8" t="s">
        <v>17</v>
      </c>
      <c r="F7944" s="9">
        <v>46181.0</v>
      </c>
      <c r="G7944" s="8" t="s">
        <v>1057</v>
      </c>
      <c r="H7944" s="8" t="s">
        <v>1058</v>
      </c>
      <c r="I7944" s="8" t="s">
        <v>23796</v>
      </c>
      <c r="J7944" s="8" t="s">
        <v>23797</v>
      </c>
    </row>
    <row r="7945">
      <c r="A7945" s="7">
        <v>2.006022E7</v>
      </c>
      <c r="B7945" s="8" t="s">
        <v>1034</v>
      </c>
      <c r="C7945" s="8" t="s">
        <v>23798</v>
      </c>
      <c r="D7945" s="8" t="s">
        <v>2136</v>
      </c>
      <c r="E7945" s="8" t="s">
        <v>17</v>
      </c>
      <c r="F7945" s="9">
        <v>46141.0</v>
      </c>
      <c r="G7945" s="8" t="s">
        <v>846</v>
      </c>
      <c r="H7945" s="8" t="s">
        <v>847</v>
      </c>
      <c r="I7945" s="8" t="s">
        <v>23799</v>
      </c>
      <c r="J7945" s="8" t="s">
        <v>23800</v>
      </c>
    </row>
    <row r="7946">
      <c r="A7946" s="7">
        <v>2.0053032E7</v>
      </c>
      <c r="B7946" s="8" t="s">
        <v>1034</v>
      </c>
      <c r="C7946" s="8" t="s">
        <v>23801</v>
      </c>
      <c r="D7946" s="8" t="s">
        <v>16</v>
      </c>
      <c r="E7946" s="8" t="s">
        <v>48</v>
      </c>
      <c r="F7946" s="9">
        <v>46113.0</v>
      </c>
      <c r="G7946" s="8" t="s">
        <v>23802</v>
      </c>
      <c r="H7946" s="8" t="s">
        <v>23803</v>
      </c>
      <c r="I7946" s="8" t="s">
        <v>23804</v>
      </c>
      <c r="J7946" s="8" t="s">
        <v>23805</v>
      </c>
    </row>
    <row r="7947">
      <c r="A7947" s="7">
        <v>2.0053032E7</v>
      </c>
      <c r="B7947" s="8" t="s">
        <v>1034</v>
      </c>
      <c r="C7947" s="8" t="s">
        <v>23801</v>
      </c>
      <c r="D7947" s="8" t="s">
        <v>16</v>
      </c>
      <c r="E7947" s="8" t="s">
        <v>48</v>
      </c>
      <c r="F7947" s="9">
        <v>46113.0</v>
      </c>
      <c r="G7947" s="8" t="s">
        <v>329</v>
      </c>
      <c r="H7947" s="8" t="s">
        <v>330</v>
      </c>
      <c r="I7947" s="8" t="s">
        <v>23806</v>
      </c>
      <c r="J7947" s="8" t="s">
        <v>23807</v>
      </c>
    </row>
    <row r="7948">
      <c r="A7948" s="7">
        <v>2.0053032E7</v>
      </c>
      <c r="B7948" s="8" t="s">
        <v>1034</v>
      </c>
      <c r="C7948" s="8" t="s">
        <v>23808</v>
      </c>
      <c r="D7948" s="8" t="s">
        <v>16</v>
      </c>
      <c r="E7948" s="8" t="s">
        <v>17</v>
      </c>
      <c r="F7948" s="9">
        <v>46139.0</v>
      </c>
      <c r="G7948" s="8" t="s">
        <v>23809</v>
      </c>
      <c r="H7948" s="8" t="s">
        <v>23810</v>
      </c>
      <c r="I7948" s="8" t="s">
        <v>23811</v>
      </c>
      <c r="J7948" s="8" t="s">
        <v>23812</v>
      </c>
    </row>
    <row r="7949">
      <c r="A7949" s="7">
        <v>2.0052828E7</v>
      </c>
      <c r="B7949" s="8" t="s">
        <v>1034</v>
      </c>
      <c r="C7949" s="8" t="s">
        <v>23813</v>
      </c>
      <c r="D7949" s="8" t="s">
        <v>16</v>
      </c>
      <c r="E7949" s="8" t="s">
        <v>17</v>
      </c>
      <c r="F7949" s="9">
        <v>46127.0</v>
      </c>
      <c r="G7949" s="8" t="s">
        <v>573</v>
      </c>
      <c r="H7949" s="8" t="s">
        <v>574</v>
      </c>
      <c r="I7949" s="8" t="s">
        <v>23814</v>
      </c>
      <c r="J7949" s="8" t="s">
        <v>23815</v>
      </c>
    </row>
    <row r="7950">
      <c r="A7950" s="7">
        <v>2.0052333E7</v>
      </c>
      <c r="B7950" s="8" t="s">
        <v>1034</v>
      </c>
      <c r="C7950" s="8" t="s">
        <v>23816</v>
      </c>
      <c r="D7950" s="8" t="s">
        <v>16</v>
      </c>
      <c r="E7950" s="8" t="s">
        <v>17</v>
      </c>
      <c r="F7950" s="9">
        <v>46135.0</v>
      </c>
      <c r="G7950" s="8" t="s">
        <v>1085</v>
      </c>
      <c r="H7950" s="8" t="s">
        <v>1086</v>
      </c>
      <c r="I7950" s="8" t="s">
        <v>23817</v>
      </c>
      <c r="J7950" s="8" t="s">
        <v>23818</v>
      </c>
    </row>
    <row r="7951">
      <c r="A7951" s="7">
        <v>2.0045289E7</v>
      </c>
      <c r="B7951" s="8" t="s">
        <v>1034</v>
      </c>
      <c r="C7951" s="8" t="s">
        <v>23819</v>
      </c>
      <c r="D7951" s="8" t="s">
        <v>16</v>
      </c>
      <c r="E7951" s="8" t="s">
        <v>17</v>
      </c>
      <c r="F7951" s="9">
        <v>46078.0</v>
      </c>
      <c r="G7951" s="8" t="s">
        <v>339</v>
      </c>
      <c r="H7951" s="8" t="s">
        <v>340</v>
      </c>
      <c r="I7951" s="8" t="s">
        <v>23820</v>
      </c>
      <c r="J7951" s="8" t="s">
        <v>23821</v>
      </c>
    </row>
    <row r="7952">
      <c r="A7952" s="7">
        <v>2.0044675E7</v>
      </c>
      <c r="B7952" s="8" t="s">
        <v>1034</v>
      </c>
      <c r="C7952" s="8" t="s">
        <v>23822</v>
      </c>
      <c r="D7952" s="8" t="s">
        <v>16</v>
      </c>
      <c r="E7952" s="8" t="s">
        <v>17</v>
      </c>
      <c r="F7952" s="9">
        <v>46080.0</v>
      </c>
      <c r="G7952" s="8" t="s">
        <v>247</v>
      </c>
      <c r="H7952" s="8" t="s">
        <v>248</v>
      </c>
      <c r="I7952" s="8" t="s">
        <v>23823</v>
      </c>
      <c r="J7952" s="8" t="s">
        <v>23824</v>
      </c>
    </row>
    <row r="7953">
      <c r="A7953" s="7">
        <v>2.0041729E7</v>
      </c>
      <c r="B7953" s="8" t="s">
        <v>1034</v>
      </c>
      <c r="C7953" s="8" t="s">
        <v>23825</v>
      </c>
      <c r="D7953" s="8" t="s">
        <v>16</v>
      </c>
      <c r="E7953" s="8" t="s">
        <v>17</v>
      </c>
      <c r="F7953" s="9">
        <v>46084.0</v>
      </c>
      <c r="G7953" s="8" t="s">
        <v>1408</v>
      </c>
      <c r="H7953" s="8" t="s">
        <v>1409</v>
      </c>
      <c r="I7953" s="8" t="s">
        <v>23826</v>
      </c>
      <c r="J7953" s="8" t="s">
        <v>23827</v>
      </c>
    </row>
    <row r="7954">
      <c r="A7954" s="7">
        <v>2.0039489E7</v>
      </c>
      <c r="B7954" s="8" t="s">
        <v>1034</v>
      </c>
      <c r="C7954" s="8" t="s">
        <v>23828</v>
      </c>
      <c r="D7954" s="8" t="s">
        <v>16</v>
      </c>
      <c r="E7954" s="8" t="s">
        <v>17</v>
      </c>
      <c r="F7954" s="9">
        <v>46082.0</v>
      </c>
      <c r="G7954" s="8" t="s">
        <v>171</v>
      </c>
      <c r="H7954" s="8" t="s">
        <v>172</v>
      </c>
      <c r="I7954" s="8" t="s">
        <v>23829</v>
      </c>
      <c r="J7954" s="8" t="s">
        <v>23830</v>
      </c>
    </row>
    <row r="7955">
      <c r="A7955" s="7">
        <v>2.0037866E7</v>
      </c>
      <c r="B7955" s="8" t="s">
        <v>1034</v>
      </c>
      <c r="C7955" s="8" t="s">
        <v>23831</v>
      </c>
      <c r="D7955" s="8" t="s">
        <v>16</v>
      </c>
      <c r="E7955" s="8" t="s">
        <v>17</v>
      </c>
      <c r="F7955" s="9">
        <v>46051.0</v>
      </c>
      <c r="G7955" s="8" t="s">
        <v>59</v>
      </c>
      <c r="H7955" s="8" t="s">
        <v>60</v>
      </c>
      <c r="I7955" s="8" t="s">
        <v>23832</v>
      </c>
      <c r="J7955" s="8" t="s">
        <v>23833</v>
      </c>
    </row>
    <row r="7956">
      <c r="A7956" s="7">
        <v>2.0034109E7</v>
      </c>
      <c r="B7956" s="8" t="s">
        <v>1034</v>
      </c>
      <c r="C7956" s="8" t="s">
        <v>23834</v>
      </c>
      <c r="D7956" s="8" t="s">
        <v>16</v>
      </c>
      <c r="E7956" s="8" t="s">
        <v>17</v>
      </c>
      <c r="F7956" s="9">
        <v>46041.0</v>
      </c>
      <c r="G7956" s="8" t="s">
        <v>846</v>
      </c>
      <c r="H7956" s="8" t="s">
        <v>847</v>
      </c>
      <c r="I7956" s="8" t="s">
        <v>23835</v>
      </c>
      <c r="J7956" s="8" t="s">
        <v>23836</v>
      </c>
    </row>
    <row r="7957">
      <c r="A7957" s="7">
        <v>2.0065839E7</v>
      </c>
      <c r="B7957" s="8" t="s">
        <v>1034</v>
      </c>
      <c r="C7957" s="8" t="s">
        <v>23837</v>
      </c>
      <c r="D7957" s="8" t="s">
        <v>16</v>
      </c>
      <c r="E7957" s="8" t="s">
        <v>17</v>
      </c>
      <c r="F7957" s="9">
        <v>46180.0</v>
      </c>
      <c r="G7957" s="8" t="s">
        <v>91</v>
      </c>
      <c r="H7957" s="8" t="s">
        <v>92</v>
      </c>
      <c r="I7957" s="8" t="s">
        <v>23838</v>
      </c>
      <c r="J7957" s="8" t="s">
        <v>23839</v>
      </c>
    </row>
    <row r="7958">
      <c r="A7958" s="7">
        <v>2.0065839E7</v>
      </c>
      <c r="B7958" s="8" t="s">
        <v>1034</v>
      </c>
      <c r="C7958" s="8" t="s">
        <v>23837</v>
      </c>
      <c r="D7958" s="8" t="s">
        <v>16</v>
      </c>
      <c r="E7958" s="8" t="s">
        <v>17</v>
      </c>
      <c r="F7958" s="9">
        <v>46180.0</v>
      </c>
      <c r="G7958" s="8" t="s">
        <v>846</v>
      </c>
      <c r="H7958" s="8" t="s">
        <v>847</v>
      </c>
      <c r="I7958" s="8" t="s">
        <v>23840</v>
      </c>
      <c r="J7958" s="8" t="s">
        <v>23841</v>
      </c>
    </row>
    <row r="7959">
      <c r="A7959" s="7">
        <v>2.0065591E7</v>
      </c>
      <c r="B7959" s="8" t="s">
        <v>1034</v>
      </c>
      <c r="C7959" s="8" t="s">
        <v>23842</v>
      </c>
      <c r="D7959" s="8" t="s">
        <v>16</v>
      </c>
      <c r="E7959" s="8" t="s">
        <v>17</v>
      </c>
      <c r="F7959" s="9">
        <v>46189.0</v>
      </c>
      <c r="G7959" s="8" t="s">
        <v>1085</v>
      </c>
      <c r="H7959" s="8" t="s">
        <v>1086</v>
      </c>
      <c r="I7959" s="8" t="s">
        <v>23843</v>
      </c>
      <c r="J7959" s="8" t="s">
        <v>23844</v>
      </c>
    </row>
    <row r="7960">
      <c r="A7960" s="7">
        <v>2.0065504E7</v>
      </c>
      <c r="B7960" s="8" t="s">
        <v>1034</v>
      </c>
      <c r="C7960" s="8" t="s">
        <v>23845</v>
      </c>
      <c r="D7960" s="8" t="s">
        <v>16</v>
      </c>
      <c r="E7960" s="8" t="s">
        <v>17</v>
      </c>
      <c r="F7960" s="9">
        <v>46168.0</v>
      </c>
      <c r="G7960" s="8" t="s">
        <v>59</v>
      </c>
      <c r="H7960" s="8" t="s">
        <v>60</v>
      </c>
      <c r="I7960" s="8" t="s">
        <v>23846</v>
      </c>
      <c r="J7960" s="8" t="s">
        <v>23847</v>
      </c>
    </row>
    <row r="7961">
      <c r="A7961" s="7">
        <v>2.0063245E7</v>
      </c>
      <c r="B7961" s="8" t="s">
        <v>1034</v>
      </c>
      <c r="C7961" s="8" t="s">
        <v>23848</v>
      </c>
      <c r="D7961" s="8" t="s">
        <v>16</v>
      </c>
      <c r="E7961" s="8" t="s">
        <v>17</v>
      </c>
      <c r="F7961" s="9">
        <v>46188.0</v>
      </c>
      <c r="G7961" s="8" t="s">
        <v>23849</v>
      </c>
      <c r="H7961" s="8" t="s">
        <v>23850</v>
      </c>
      <c r="I7961" s="8" t="s">
        <v>23851</v>
      </c>
      <c r="J7961" s="8" t="s">
        <v>23852</v>
      </c>
    </row>
    <row r="7962">
      <c r="A7962" s="7">
        <v>2.0062564E7</v>
      </c>
      <c r="B7962" s="8" t="s">
        <v>1034</v>
      </c>
      <c r="C7962" s="8" t="s">
        <v>23853</v>
      </c>
      <c r="D7962" s="8" t="s">
        <v>16</v>
      </c>
      <c r="E7962" s="8" t="s">
        <v>17</v>
      </c>
      <c r="F7962" s="9">
        <v>46182.0</v>
      </c>
      <c r="G7962" s="8" t="s">
        <v>361</v>
      </c>
      <c r="H7962" s="8" t="s">
        <v>362</v>
      </c>
      <c r="I7962" s="8" t="s">
        <v>23854</v>
      </c>
      <c r="J7962" s="8" t="s">
        <v>23855</v>
      </c>
    </row>
    <row r="7963">
      <c r="A7963" s="7">
        <v>2.0061068E7</v>
      </c>
      <c r="B7963" s="8" t="s">
        <v>1034</v>
      </c>
      <c r="C7963" s="8" t="s">
        <v>23856</v>
      </c>
      <c r="D7963" s="8" t="s">
        <v>16</v>
      </c>
      <c r="E7963" s="8" t="s">
        <v>17</v>
      </c>
      <c r="F7963" s="9">
        <v>46159.0</v>
      </c>
      <c r="G7963" s="8" t="s">
        <v>23857</v>
      </c>
      <c r="H7963" s="8" t="s">
        <v>23858</v>
      </c>
      <c r="I7963" s="8" t="s">
        <v>23859</v>
      </c>
      <c r="J7963" s="8"/>
    </row>
    <row r="7964">
      <c r="A7964" s="7">
        <v>2.0061493E7</v>
      </c>
      <c r="B7964" s="8" t="s">
        <v>1034</v>
      </c>
      <c r="C7964" s="8" t="s">
        <v>23860</v>
      </c>
      <c r="D7964" s="8" t="s">
        <v>16</v>
      </c>
      <c r="E7964" s="8" t="s">
        <v>17</v>
      </c>
      <c r="F7964" s="9">
        <v>46183.0</v>
      </c>
      <c r="G7964" s="8" t="s">
        <v>7416</v>
      </c>
      <c r="H7964" s="8" t="s">
        <v>7417</v>
      </c>
      <c r="I7964" s="8" t="s">
        <v>23861</v>
      </c>
      <c r="J7964" s="8" t="s">
        <v>23862</v>
      </c>
    </row>
    <row r="7965">
      <c r="A7965" s="7">
        <v>2.0057648E7</v>
      </c>
      <c r="B7965" s="8" t="s">
        <v>1034</v>
      </c>
      <c r="C7965" s="8" t="s">
        <v>23863</v>
      </c>
      <c r="D7965" s="8" t="s">
        <v>16</v>
      </c>
      <c r="E7965" s="8" t="s">
        <v>17</v>
      </c>
      <c r="F7965" s="9">
        <v>46138.0</v>
      </c>
      <c r="G7965" s="8" t="s">
        <v>34</v>
      </c>
      <c r="H7965" s="8" t="s">
        <v>35</v>
      </c>
      <c r="I7965" s="8" t="s">
        <v>23864</v>
      </c>
      <c r="J7965" s="8" t="s">
        <v>23865</v>
      </c>
    </row>
    <row r="7966">
      <c r="A7966" s="7">
        <v>2.0058036E7</v>
      </c>
      <c r="B7966" s="8" t="s">
        <v>1034</v>
      </c>
      <c r="C7966" s="8" t="s">
        <v>23866</v>
      </c>
      <c r="D7966" s="8" t="s">
        <v>16</v>
      </c>
      <c r="E7966" s="8" t="s">
        <v>17</v>
      </c>
      <c r="F7966" s="9">
        <v>46138.0</v>
      </c>
      <c r="G7966" s="8" t="s">
        <v>109</v>
      </c>
      <c r="H7966" s="8" t="s">
        <v>110</v>
      </c>
      <c r="I7966" s="8" t="s">
        <v>23867</v>
      </c>
      <c r="J7966" s="8" t="s">
        <v>23868</v>
      </c>
    </row>
    <row r="7967">
      <c r="A7967" s="7">
        <v>2.0057397E7</v>
      </c>
      <c r="B7967" s="8" t="s">
        <v>1034</v>
      </c>
      <c r="C7967" s="8" t="s">
        <v>23869</v>
      </c>
      <c r="D7967" s="8" t="s">
        <v>16</v>
      </c>
      <c r="E7967" s="8" t="s">
        <v>17</v>
      </c>
      <c r="F7967" s="9">
        <v>46155.0</v>
      </c>
      <c r="G7967" s="8" t="s">
        <v>86</v>
      </c>
      <c r="H7967" s="8" t="s">
        <v>87</v>
      </c>
      <c r="I7967" s="8" t="s">
        <v>23870</v>
      </c>
      <c r="J7967" s="8" t="s">
        <v>23871</v>
      </c>
    </row>
    <row r="7968">
      <c r="A7968" s="7">
        <v>2.0055476E7</v>
      </c>
      <c r="B7968" s="8" t="s">
        <v>1034</v>
      </c>
      <c r="C7968" s="8" t="s">
        <v>23872</v>
      </c>
      <c r="D7968" s="8" t="s">
        <v>16</v>
      </c>
      <c r="E7968" s="8" t="s">
        <v>17</v>
      </c>
      <c r="F7968" s="9">
        <v>46133.0</v>
      </c>
      <c r="G7968" s="8" t="s">
        <v>1557</v>
      </c>
      <c r="H7968" s="8" t="s">
        <v>1558</v>
      </c>
      <c r="I7968" s="8" t="s">
        <v>23873</v>
      </c>
      <c r="J7968" s="8" t="s">
        <v>23874</v>
      </c>
    </row>
    <row r="7969">
      <c r="A7969" s="7">
        <v>2.0049735E7</v>
      </c>
      <c r="B7969" s="8" t="s">
        <v>1034</v>
      </c>
      <c r="C7969" s="8" t="s">
        <v>23875</v>
      </c>
      <c r="D7969" s="8" t="s">
        <v>16</v>
      </c>
      <c r="E7969" s="8" t="s">
        <v>17</v>
      </c>
      <c r="F7969" s="9">
        <v>46100.0</v>
      </c>
      <c r="G7969" s="8" t="s">
        <v>3088</v>
      </c>
      <c r="H7969" s="8" t="s">
        <v>3089</v>
      </c>
      <c r="I7969" s="8" t="s">
        <v>23876</v>
      </c>
      <c r="J7969" s="8" t="s">
        <v>23877</v>
      </c>
    </row>
    <row r="7970">
      <c r="A7970" s="7">
        <v>2.0049211E7</v>
      </c>
      <c r="B7970" s="8" t="s">
        <v>1034</v>
      </c>
      <c r="C7970" s="8" t="s">
        <v>23878</v>
      </c>
      <c r="D7970" s="8" t="s">
        <v>16</v>
      </c>
      <c r="E7970" s="8" t="s">
        <v>17</v>
      </c>
      <c r="F7970" s="9">
        <v>46110.0</v>
      </c>
      <c r="G7970" s="8" t="s">
        <v>158</v>
      </c>
      <c r="H7970" s="8" t="s">
        <v>159</v>
      </c>
      <c r="I7970" s="8" t="s">
        <v>23879</v>
      </c>
      <c r="J7970" s="8" t="s">
        <v>23880</v>
      </c>
    </row>
    <row r="7971">
      <c r="A7971" s="7">
        <v>2.0048293E7</v>
      </c>
      <c r="B7971" s="8" t="s">
        <v>1034</v>
      </c>
      <c r="C7971" s="8" t="s">
        <v>23881</v>
      </c>
      <c r="D7971" s="8" t="s">
        <v>16</v>
      </c>
      <c r="E7971" s="8" t="s">
        <v>48</v>
      </c>
      <c r="F7971" s="9">
        <v>46096.0</v>
      </c>
      <c r="G7971" s="8" t="s">
        <v>23882</v>
      </c>
      <c r="H7971" s="8" t="s">
        <v>23883</v>
      </c>
      <c r="I7971" s="8" t="s">
        <v>23884</v>
      </c>
      <c r="J7971" s="8" t="s">
        <v>23885</v>
      </c>
    </row>
    <row r="7972">
      <c r="A7972" s="7">
        <v>2.0048293E7</v>
      </c>
      <c r="B7972" s="8" t="s">
        <v>1034</v>
      </c>
      <c r="C7972" s="8" t="s">
        <v>23881</v>
      </c>
      <c r="D7972" s="8" t="s">
        <v>16</v>
      </c>
      <c r="E7972" s="8" t="s">
        <v>48</v>
      </c>
      <c r="F7972" s="9">
        <v>46096.0</v>
      </c>
      <c r="G7972" s="8" t="s">
        <v>247</v>
      </c>
      <c r="H7972" s="8" t="s">
        <v>248</v>
      </c>
      <c r="I7972" s="8" t="s">
        <v>23886</v>
      </c>
      <c r="J7972" s="8" t="s">
        <v>23887</v>
      </c>
    </row>
    <row r="7973">
      <c r="A7973" s="7">
        <v>2.0048293E7</v>
      </c>
      <c r="B7973" s="8" t="s">
        <v>1034</v>
      </c>
      <c r="C7973" s="8" t="s">
        <v>23888</v>
      </c>
      <c r="D7973" s="8" t="s">
        <v>16</v>
      </c>
      <c r="E7973" s="8" t="s">
        <v>17</v>
      </c>
      <c r="F7973" s="9">
        <v>46117.0</v>
      </c>
      <c r="G7973" s="8" t="s">
        <v>23889</v>
      </c>
      <c r="H7973" s="8" t="s">
        <v>23890</v>
      </c>
      <c r="I7973" s="8" t="s">
        <v>23891</v>
      </c>
      <c r="J7973" s="8" t="s">
        <v>23892</v>
      </c>
    </row>
    <row r="7974">
      <c r="A7974" s="7">
        <v>2.004688E7</v>
      </c>
      <c r="B7974" s="8" t="s">
        <v>1034</v>
      </c>
      <c r="C7974" s="8" t="s">
        <v>23893</v>
      </c>
      <c r="D7974" s="8" t="s">
        <v>16</v>
      </c>
      <c r="E7974" s="8" t="s">
        <v>1074</v>
      </c>
      <c r="F7974" s="9">
        <v>46109.0</v>
      </c>
      <c r="G7974" s="8" t="s">
        <v>390</v>
      </c>
      <c r="H7974" s="8" t="s">
        <v>391</v>
      </c>
      <c r="I7974" s="8" t="s">
        <v>23894</v>
      </c>
      <c r="J7974" s="8" t="s">
        <v>23895</v>
      </c>
    </row>
    <row r="7975">
      <c r="A7975" s="7">
        <v>2.0047708E7</v>
      </c>
      <c r="B7975" s="8" t="s">
        <v>1034</v>
      </c>
      <c r="C7975" s="8" t="s">
        <v>23896</v>
      </c>
      <c r="D7975" s="8" t="s">
        <v>16</v>
      </c>
      <c r="E7975" s="8" t="s">
        <v>17</v>
      </c>
      <c r="F7975" s="9">
        <v>46117.0</v>
      </c>
      <c r="G7975" s="8" t="s">
        <v>361</v>
      </c>
      <c r="H7975" s="8" t="s">
        <v>362</v>
      </c>
      <c r="I7975" s="8" t="s">
        <v>23897</v>
      </c>
      <c r="J7975" s="8" t="s">
        <v>23898</v>
      </c>
    </row>
    <row r="7976">
      <c r="A7976" s="7">
        <v>2.0045969E7</v>
      </c>
      <c r="B7976" s="8" t="s">
        <v>1034</v>
      </c>
      <c r="C7976" s="8" t="s">
        <v>23899</v>
      </c>
      <c r="D7976" s="8" t="s">
        <v>16</v>
      </c>
      <c r="E7976" s="8" t="s">
        <v>17</v>
      </c>
      <c r="F7976" s="9">
        <v>46088.0</v>
      </c>
      <c r="G7976" s="8" t="s">
        <v>4850</v>
      </c>
      <c r="H7976" s="8" t="s">
        <v>4851</v>
      </c>
      <c r="I7976" s="8" t="s">
        <v>23900</v>
      </c>
      <c r="J7976" s="8" t="s">
        <v>1752</v>
      </c>
    </row>
    <row r="7977">
      <c r="A7977" s="7">
        <v>2.0044886E7</v>
      </c>
      <c r="B7977" s="8" t="s">
        <v>1034</v>
      </c>
      <c r="C7977" s="8" t="s">
        <v>23901</v>
      </c>
      <c r="D7977" s="8" t="s">
        <v>16</v>
      </c>
      <c r="E7977" s="8" t="s">
        <v>17</v>
      </c>
      <c r="F7977" s="9">
        <v>46085.0</v>
      </c>
      <c r="G7977" s="8" t="s">
        <v>247</v>
      </c>
      <c r="H7977" s="8" t="s">
        <v>248</v>
      </c>
      <c r="I7977" s="8" t="s">
        <v>23902</v>
      </c>
      <c r="J7977" s="8" t="s">
        <v>23903</v>
      </c>
    </row>
    <row r="7978">
      <c r="A7978" s="7">
        <v>2.0045101E7</v>
      </c>
      <c r="B7978" s="8" t="s">
        <v>1034</v>
      </c>
      <c r="C7978" s="8" t="s">
        <v>23904</v>
      </c>
      <c r="D7978" s="8" t="s">
        <v>16</v>
      </c>
      <c r="E7978" s="8" t="s">
        <v>17</v>
      </c>
      <c r="F7978" s="9">
        <v>46094.0</v>
      </c>
      <c r="G7978" s="8" t="s">
        <v>688</v>
      </c>
      <c r="H7978" s="8" t="s">
        <v>689</v>
      </c>
      <c r="I7978" s="8" t="s">
        <v>23905</v>
      </c>
      <c r="J7978" s="8" t="s">
        <v>23906</v>
      </c>
    </row>
    <row r="7979">
      <c r="A7979" s="7">
        <v>2.004279E7</v>
      </c>
      <c r="B7979" s="8" t="s">
        <v>1034</v>
      </c>
      <c r="C7979" s="8" t="s">
        <v>23907</v>
      </c>
      <c r="D7979" s="8" t="s">
        <v>16</v>
      </c>
      <c r="E7979" s="8" t="s">
        <v>17</v>
      </c>
      <c r="F7979" s="9">
        <v>46092.0</v>
      </c>
      <c r="G7979" s="8" t="s">
        <v>335</v>
      </c>
      <c r="H7979" s="8" t="s">
        <v>336</v>
      </c>
      <c r="I7979" s="8" t="s">
        <v>23908</v>
      </c>
      <c r="J7979" s="8" t="s">
        <v>23909</v>
      </c>
    </row>
    <row r="7980">
      <c r="A7980" s="7">
        <v>2.0043167E7</v>
      </c>
      <c r="B7980" s="8" t="s">
        <v>1034</v>
      </c>
      <c r="C7980" s="8" t="s">
        <v>23910</v>
      </c>
      <c r="D7980" s="8" t="s">
        <v>16</v>
      </c>
      <c r="E7980" s="8" t="s">
        <v>17</v>
      </c>
      <c r="F7980" s="9">
        <v>46086.0</v>
      </c>
      <c r="G7980" s="8" t="s">
        <v>59</v>
      </c>
      <c r="H7980" s="8" t="s">
        <v>60</v>
      </c>
      <c r="I7980" s="8" t="s">
        <v>23911</v>
      </c>
      <c r="J7980" s="8" t="s">
        <v>23912</v>
      </c>
    </row>
    <row r="7981">
      <c r="A7981" s="7">
        <v>2.0041753E7</v>
      </c>
      <c r="B7981" s="8" t="s">
        <v>1034</v>
      </c>
      <c r="C7981" s="8" t="s">
        <v>23913</v>
      </c>
      <c r="D7981" s="8" t="s">
        <v>16</v>
      </c>
      <c r="E7981" s="8" t="s">
        <v>17</v>
      </c>
      <c r="F7981" s="9">
        <v>46074.0</v>
      </c>
      <c r="G7981" s="8" t="s">
        <v>1169</v>
      </c>
      <c r="H7981" s="8" t="s">
        <v>1170</v>
      </c>
      <c r="I7981" s="8" t="s">
        <v>23914</v>
      </c>
      <c r="J7981" s="8" t="s">
        <v>23915</v>
      </c>
    </row>
    <row r="7982">
      <c r="A7982" s="7">
        <v>2.0039187E7</v>
      </c>
      <c r="B7982" s="8" t="s">
        <v>1034</v>
      </c>
      <c r="C7982" s="8" t="s">
        <v>23916</v>
      </c>
      <c r="D7982" s="8" t="s">
        <v>16</v>
      </c>
      <c r="E7982" s="8" t="s">
        <v>17</v>
      </c>
      <c r="F7982" s="9">
        <v>46082.0</v>
      </c>
      <c r="G7982" s="8" t="s">
        <v>18</v>
      </c>
      <c r="H7982" s="8" t="s">
        <v>19</v>
      </c>
      <c r="I7982" s="8" t="s">
        <v>23917</v>
      </c>
      <c r="J7982" s="8" t="s">
        <v>23918</v>
      </c>
    </row>
    <row r="7983">
      <c r="A7983" s="7">
        <v>2.003882E7</v>
      </c>
      <c r="B7983" s="8" t="s">
        <v>1034</v>
      </c>
      <c r="C7983" s="8" t="s">
        <v>23919</v>
      </c>
      <c r="D7983" s="8" t="s">
        <v>16</v>
      </c>
      <c r="E7983" s="8" t="s">
        <v>17</v>
      </c>
      <c r="F7983" s="9">
        <v>46074.0</v>
      </c>
      <c r="G7983" s="8" t="s">
        <v>1366</v>
      </c>
      <c r="H7983" s="8" t="s">
        <v>1367</v>
      </c>
      <c r="I7983" s="8" t="s">
        <v>23920</v>
      </c>
      <c r="J7983" s="8" t="s">
        <v>1262</v>
      </c>
    </row>
    <row r="7984">
      <c r="A7984" s="7">
        <v>2.0038891E7</v>
      </c>
      <c r="B7984" s="8" t="s">
        <v>1034</v>
      </c>
      <c r="C7984" s="8" t="s">
        <v>23921</v>
      </c>
      <c r="D7984" s="8" t="s">
        <v>16</v>
      </c>
      <c r="E7984" s="8" t="s">
        <v>17</v>
      </c>
      <c r="F7984" s="9">
        <v>46075.0</v>
      </c>
      <c r="G7984" s="8" t="s">
        <v>9844</v>
      </c>
      <c r="H7984" s="8" t="s">
        <v>9845</v>
      </c>
      <c r="I7984" s="8" t="s">
        <v>23922</v>
      </c>
      <c r="J7984" s="8" t="s">
        <v>23923</v>
      </c>
    </row>
    <row r="7985">
      <c r="A7985" s="7">
        <v>2.0039128E7</v>
      </c>
      <c r="B7985" s="8" t="s">
        <v>1034</v>
      </c>
      <c r="C7985" s="8" t="s">
        <v>23924</v>
      </c>
      <c r="D7985" s="8" t="s">
        <v>2136</v>
      </c>
      <c r="E7985" s="8" t="s">
        <v>17</v>
      </c>
      <c r="F7985" s="9">
        <v>46054.0</v>
      </c>
      <c r="G7985" s="8" t="s">
        <v>109</v>
      </c>
      <c r="H7985" s="8" t="s">
        <v>110</v>
      </c>
      <c r="I7985" s="8" t="s">
        <v>23925</v>
      </c>
      <c r="J7985" s="8" t="s">
        <v>23926</v>
      </c>
    </row>
    <row r="7986">
      <c r="A7986" s="7">
        <v>2.0038358E7</v>
      </c>
      <c r="B7986" s="8" t="s">
        <v>1034</v>
      </c>
      <c r="C7986" s="8" t="s">
        <v>23927</v>
      </c>
      <c r="D7986" s="8" t="s">
        <v>16</v>
      </c>
      <c r="E7986" s="8" t="s">
        <v>17</v>
      </c>
      <c r="F7986" s="9">
        <v>46059.0</v>
      </c>
      <c r="G7986" s="8" t="s">
        <v>59</v>
      </c>
      <c r="H7986" s="8" t="s">
        <v>60</v>
      </c>
      <c r="I7986" s="8" t="s">
        <v>23928</v>
      </c>
      <c r="J7986" s="8" t="s">
        <v>23929</v>
      </c>
    </row>
    <row r="7987">
      <c r="A7987" s="7">
        <v>2.0038351E7</v>
      </c>
      <c r="B7987" s="8" t="s">
        <v>1034</v>
      </c>
      <c r="C7987" s="8" t="s">
        <v>23930</v>
      </c>
      <c r="D7987" s="8" t="s">
        <v>16</v>
      </c>
      <c r="E7987" s="8" t="s">
        <v>17</v>
      </c>
      <c r="F7987" s="9">
        <v>46077.0</v>
      </c>
      <c r="G7987" s="8" t="s">
        <v>436</v>
      </c>
      <c r="H7987" s="8" t="s">
        <v>437</v>
      </c>
      <c r="I7987" s="8" t="s">
        <v>23931</v>
      </c>
      <c r="J7987" s="8" t="s">
        <v>23932</v>
      </c>
    </row>
    <row r="7988">
      <c r="A7988" s="7">
        <v>2.0037651E7</v>
      </c>
      <c r="B7988" s="8" t="s">
        <v>1034</v>
      </c>
      <c r="C7988" s="8" t="s">
        <v>23933</v>
      </c>
      <c r="D7988" s="8" t="s">
        <v>16</v>
      </c>
      <c r="E7988" s="8" t="s">
        <v>17</v>
      </c>
      <c r="F7988" s="9">
        <v>46058.0</v>
      </c>
      <c r="G7988" s="8" t="s">
        <v>365</v>
      </c>
      <c r="H7988" s="8" t="s">
        <v>366</v>
      </c>
      <c r="I7988" s="8" t="s">
        <v>23934</v>
      </c>
      <c r="J7988" s="8" t="s">
        <v>23935</v>
      </c>
    </row>
    <row r="7989">
      <c r="A7989" s="7">
        <v>2.0035878E7</v>
      </c>
      <c r="B7989" s="8" t="s">
        <v>1034</v>
      </c>
      <c r="C7989" s="8" t="s">
        <v>23936</v>
      </c>
      <c r="D7989" s="8" t="s">
        <v>16</v>
      </c>
      <c r="E7989" s="8" t="s">
        <v>17</v>
      </c>
      <c r="F7989" s="9">
        <v>46067.0</v>
      </c>
      <c r="G7989" s="8" t="s">
        <v>436</v>
      </c>
      <c r="H7989" s="8" t="s">
        <v>437</v>
      </c>
      <c r="I7989" s="8" t="s">
        <v>23937</v>
      </c>
      <c r="J7989" s="8" t="s">
        <v>23938</v>
      </c>
    </row>
    <row r="7990">
      <c r="A7990" s="7">
        <v>2.0034369E7</v>
      </c>
      <c r="B7990" s="8" t="s">
        <v>1034</v>
      </c>
      <c r="C7990" s="8" t="s">
        <v>23939</v>
      </c>
      <c r="D7990" s="8" t="s">
        <v>16</v>
      </c>
      <c r="E7990" s="8" t="s">
        <v>17</v>
      </c>
      <c r="F7990" s="9">
        <v>46048.0</v>
      </c>
      <c r="G7990" s="8" t="s">
        <v>171</v>
      </c>
      <c r="H7990" s="8" t="s">
        <v>172</v>
      </c>
      <c r="I7990" s="8" t="s">
        <v>23940</v>
      </c>
      <c r="J7990" s="8" t="s">
        <v>23941</v>
      </c>
    </row>
    <row r="7991">
      <c r="A7991" s="7">
        <v>2.0065586E7</v>
      </c>
      <c r="B7991" s="8" t="s">
        <v>1034</v>
      </c>
      <c r="C7991" s="8" t="s">
        <v>23942</v>
      </c>
      <c r="D7991" s="8" t="s">
        <v>16</v>
      </c>
      <c r="E7991" s="8" t="s">
        <v>17</v>
      </c>
      <c r="F7991" s="9">
        <v>46175.0</v>
      </c>
      <c r="G7991" s="8" t="s">
        <v>59</v>
      </c>
      <c r="H7991" s="8" t="s">
        <v>60</v>
      </c>
      <c r="I7991" s="8" t="s">
        <v>23943</v>
      </c>
      <c r="J7991" s="8" t="s">
        <v>23944</v>
      </c>
    </row>
    <row r="7992">
      <c r="A7992" s="7">
        <v>2.0064569E7</v>
      </c>
      <c r="B7992" s="8" t="s">
        <v>1034</v>
      </c>
      <c r="C7992" s="8" t="s">
        <v>23945</v>
      </c>
      <c r="D7992" s="8" t="s">
        <v>16</v>
      </c>
      <c r="E7992" s="8" t="s">
        <v>17</v>
      </c>
      <c r="F7992" s="9">
        <v>46187.0</v>
      </c>
      <c r="G7992" s="8" t="s">
        <v>436</v>
      </c>
      <c r="H7992" s="8" t="s">
        <v>437</v>
      </c>
      <c r="I7992" s="8" t="s">
        <v>23946</v>
      </c>
      <c r="J7992" s="8" t="s">
        <v>23947</v>
      </c>
    </row>
    <row r="7993">
      <c r="A7993" s="7">
        <v>2.0061703E7</v>
      </c>
      <c r="B7993" s="8" t="s">
        <v>1034</v>
      </c>
      <c r="C7993" s="8" t="s">
        <v>23948</v>
      </c>
      <c r="D7993" s="8" t="s">
        <v>16</v>
      </c>
      <c r="E7993" s="8" t="s">
        <v>17</v>
      </c>
      <c r="F7993" s="9">
        <v>46186.0</v>
      </c>
      <c r="G7993" s="8" t="s">
        <v>486</v>
      </c>
      <c r="H7993" s="8" t="s">
        <v>487</v>
      </c>
      <c r="I7993" s="8" t="s">
        <v>23949</v>
      </c>
      <c r="J7993" s="8" t="s">
        <v>23950</v>
      </c>
    </row>
    <row r="7994">
      <c r="A7994" s="7">
        <v>2.0062159E7</v>
      </c>
      <c r="B7994" s="8" t="s">
        <v>1034</v>
      </c>
      <c r="C7994" s="8" t="s">
        <v>23951</v>
      </c>
      <c r="D7994" s="8" t="s">
        <v>16</v>
      </c>
      <c r="E7994" s="8" t="s">
        <v>17</v>
      </c>
      <c r="F7994" s="9">
        <v>46157.0</v>
      </c>
      <c r="G7994" s="8" t="s">
        <v>5030</v>
      </c>
      <c r="H7994" s="8" t="s">
        <v>10431</v>
      </c>
      <c r="I7994" s="8" t="s">
        <v>23952</v>
      </c>
      <c r="J7994" s="8" t="s">
        <v>23953</v>
      </c>
    </row>
    <row r="7995">
      <c r="A7995" s="7">
        <v>2.0054707E7</v>
      </c>
      <c r="B7995" s="8" t="s">
        <v>1034</v>
      </c>
      <c r="C7995" s="8" t="s">
        <v>23954</v>
      </c>
      <c r="D7995" s="8" t="s">
        <v>16</v>
      </c>
      <c r="E7995" s="8" t="s">
        <v>17</v>
      </c>
      <c r="F7995" s="9">
        <v>46138.0</v>
      </c>
      <c r="G7995" s="8" t="s">
        <v>5938</v>
      </c>
      <c r="H7995" s="8" t="s">
        <v>5939</v>
      </c>
      <c r="I7995" s="8" t="s">
        <v>23955</v>
      </c>
      <c r="J7995" s="8" t="s">
        <v>23956</v>
      </c>
    </row>
    <row r="7996">
      <c r="A7996" s="7">
        <v>2.0054306E7</v>
      </c>
      <c r="B7996" s="8" t="s">
        <v>1034</v>
      </c>
      <c r="C7996" s="8" t="s">
        <v>23957</v>
      </c>
      <c r="D7996" s="8" t="s">
        <v>16</v>
      </c>
      <c r="E7996" s="8" t="s">
        <v>17</v>
      </c>
      <c r="F7996" s="9">
        <v>46123.0</v>
      </c>
      <c r="G7996" s="8" t="s">
        <v>504</v>
      </c>
      <c r="H7996" s="8" t="s">
        <v>505</v>
      </c>
      <c r="I7996" s="8" t="s">
        <v>23958</v>
      </c>
      <c r="J7996" s="8" t="s">
        <v>23959</v>
      </c>
    </row>
    <row r="7997">
      <c r="A7997" s="7">
        <v>2.0051156E7</v>
      </c>
      <c r="B7997" s="8" t="s">
        <v>1034</v>
      </c>
      <c r="C7997" s="8" t="s">
        <v>23960</v>
      </c>
      <c r="D7997" s="8" t="s">
        <v>16</v>
      </c>
      <c r="E7997" s="8" t="s">
        <v>17</v>
      </c>
      <c r="F7997" s="9">
        <v>46108.0</v>
      </c>
      <c r="G7997" s="8" t="s">
        <v>34</v>
      </c>
      <c r="H7997" s="8" t="s">
        <v>35</v>
      </c>
      <c r="I7997" s="8" t="s">
        <v>23961</v>
      </c>
      <c r="J7997" s="8" t="s">
        <v>23962</v>
      </c>
    </row>
    <row r="7998">
      <c r="A7998" s="7">
        <v>2.0050872E7</v>
      </c>
      <c r="B7998" s="8" t="s">
        <v>1034</v>
      </c>
      <c r="C7998" s="8" t="s">
        <v>23963</v>
      </c>
      <c r="D7998" s="8" t="s">
        <v>16</v>
      </c>
      <c r="E7998" s="8" t="s">
        <v>17</v>
      </c>
      <c r="F7998" s="9">
        <v>46110.0</v>
      </c>
      <c r="G7998" s="8" t="s">
        <v>59</v>
      </c>
      <c r="H7998" s="8" t="s">
        <v>60</v>
      </c>
      <c r="I7998" s="8" t="s">
        <v>23964</v>
      </c>
      <c r="J7998" s="8" t="s">
        <v>23965</v>
      </c>
    </row>
    <row r="7999">
      <c r="A7999" s="7">
        <v>2.0050003E7</v>
      </c>
      <c r="B7999" s="8" t="s">
        <v>1034</v>
      </c>
      <c r="C7999" s="8" t="s">
        <v>23966</v>
      </c>
      <c r="D7999" s="8" t="s">
        <v>16</v>
      </c>
      <c r="E7999" s="8" t="s">
        <v>17</v>
      </c>
      <c r="F7999" s="9">
        <v>46101.0</v>
      </c>
      <c r="G7999" s="8" t="s">
        <v>220</v>
      </c>
      <c r="H7999" s="8" t="s">
        <v>221</v>
      </c>
      <c r="I7999" s="8" t="s">
        <v>23967</v>
      </c>
      <c r="J7999" s="8" t="s">
        <v>23968</v>
      </c>
    </row>
    <row r="8000">
      <c r="A8000" s="7">
        <v>2.0048892E7</v>
      </c>
      <c r="B8000" s="8" t="s">
        <v>1034</v>
      </c>
      <c r="C8000" s="8" t="s">
        <v>23969</v>
      </c>
      <c r="D8000" s="8" t="s">
        <v>16</v>
      </c>
      <c r="E8000" s="8" t="s">
        <v>17</v>
      </c>
      <c r="F8000" s="9">
        <v>46101.0</v>
      </c>
      <c r="G8000" s="8" t="s">
        <v>247</v>
      </c>
      <c r="H8000" s="8" t="s">
        <v>248</v>
      </c>
      <c r="I8000" s="8" t="s">
        <v>23970</v>
      </c>
      <c r="J8000" s="8" t="s">
        <v>23971</v>
      </c>
    </row>
    <row r="8001">
      <c r="A8001" s="7">
        <v>2.0044243E7</v>
      </c>
      <c r="B8001" s="8" t="s">
        <v>1034</v>
      </c>
      <c r="C8001" s="8" t="s">
        <v>23972</v>
      </c>
      <c r="D8001" s="8" t="s">
        <v>16</v>
      </c>
      <c r="E8001" s="8" t="s">
        <v>17</v>
      </c>
      <c r="F8001" s="9">
        <v>46083.0</v>
      </c>
      <c r="G8001" s="8" t="s">
        <v>805</v>
      </c>
      <c r="H8001" s="8" t="s">
        <v>806</v>
      </c>
      <c r="I8001" s="8" t="s">
        <v>23973</v>
      </c>
      <c r="J8001" s="8" t="s">
        <v>23974</v>
      </c>
    </row>
    <row r="8002">
      <c r="A8002" s="7">
        <v>2.0043948E7</v>
      </c>
      <c r="B8002" s="8" t="s">
        <v>1034</v>
      </c>
      <c r="C8002" s="8" t="s">
        <v>23975</v>
      </c>
      <c r="D8002" s="8" t="s">
        <v>16</v>
      </c>
      <c r="E8002" s="8" t="s">
        <v>17</v>
      </c>
      <c r="F8002" s="9">
        <v>46092.0</v>
      </c>
      <c r="G8002" s="8" t="s">
        <v>436</v>
      </c>
      <c r="H8002" s="8" t="s">
        <v>437</v>
      </c>
      <c r="I8002" s="8" t="s">
        <v>23976</v>
      </c>
      <c r="J8002" s="8" t="s">
        <v>23977</v>
      </c>
    </row>
    <row r="8003">
      <c r="A8003" s="7">
        <v>2.0039565E7</v>
      </c>
      <c r="B8003" s="8" t="s">
        <v>1034</v>
      </c>
      <c r="C8003" s="8" t="s">
        <v>23978</v>
      </c>
      <c r="D8003" s="8" t="s">
        <v>16</v>
      </c>
      <c r="E8003" s="8" t="s">
        <v>17</v>
      </c>
      <c r="F8003" s="9">
        <v>46074.0</v>
      </c>
      <c r="G8003" s="8" t="s">
        <v>763</v>
      </c>
      <c r="H8003" s="8" t="s">
        <v>764</v>
      </c>
      <c r="I8003" s="8" t="s">
        <v>23979</v>
      </c>
      <c r="J8003" s="8" t="s">
        <v>23980</v>
      </c>
    </row>
    <row r="8004">
      <c r="A8004" s="7">
        <v>2.0036097E7</v>
      </c>
      <c r="B8004" s="8" t="s">
        <v>1034</v>
      </c>
      <c r="C8004" s="8" t="s">
        <v>23981</v>
      </c>
      <c r="D8004" s="8" t="s">
        <v>16</v>
      </c>
      <c r="E8004" s="8" t="s">
        <v>17</v>
      </c>
      <c r="F8004" s="9">
        <v>46059.0</v>
      </c>
      <c r="G8004" s="8" t="s">
        <v>39</v>
      </c>
      <c r="H8004" s="8" t="s">
        <v>40</v>
      </c>
      <c r="I8004" s="8" t="s">
        <v>23982</v>
      </c>
      <c r="J8004" s="8" t="s">
        <v>23983</v>
      </c>
    </row>
    <row r="8005">
      <c r="A8005" s="7">
        <v>2.0034657E7</v>
      </c>
      <c r="B8005" s="8" t="s">
        <v>1034</v>
      </c>
      <c r="C8005" s="8" t="s">
        <v>23984</v>
      </c>
      <c r="D8005" s="8" t="s">
        <v>16</v>
      </c>
      <c r="E8005" s="8" t="s">
        <v>17</v>
      </c>
      <c r="F8005" s="9">
        <v>46056.0</v>
      </c>
      <c r="G8005" s="8" t="s">
        <v>158</v>
      </c>
      <c r="H8005" s="8" t="s">
        <v>159</v>
      </c>
      <c r="I8005" s="8" t="s">
        <v>23985</v>
      </c>
      <c r="J8005" s="8" t="s">
        <v>23986</v>
      </c>
    </row>
    <row r="8006">
      <c r="A8006" s="7">
        <v>2.0034573E7</v>
      </c>
      <c r="B8006" s="8" t="s">
        <v>1034</v>
      </c>
      <c r="C8006" s="8" t="s">
        <v>23987</v>
      </c>
      <c r="D8006" s="8" t="s">
        <v>16</v>
      </c>
      <c r="E8006" s="8" t="s">
        <v>17</v>
      </c>
      <c r="F8006" s="9">
        <v>46035.0</v>
      </c>
      <c r="G8006" s="8" t="s">
        <v>195</v>
      </c>
      <c r="H8006" s="8" t="s">
        <v>196</v>
      </c>
      <c r="I8006" s="8" t="s">
        <v>23988</v>
      </c>
      <c r="J8006" s="8" t="s">
        <v>23989</v>
      </c>
    </row>
    <row r="8007">
      <c r="A8007" s="7">
        <v>2.006791E7</v>
      </c>
      <c r="B8007" s="8" t="s">
        <v>1034</v>
      </c>
      <c r="C8007" s="8" t="s">
        <v>23990</v>
      </c>
      <c r="D8007" s="8" t="s">
        <v>16</v>
      </c>
      <c r="E8007" s="8" t="s">
        <v>17</v>
      </c>
      <c r="F8007" s="9">
        <v>46179.0</v>
      </c>
      <c r="G8007" s="8" t="s">
        <v>846</v>
      </c>
      <c r="H8007" s="8" t="s">
        <v>847</v>
      </c>
      <c r="I8007" s="8" t="s">
        <v>23991</v>
      </c>
      <c r="J8007" s="8" t="s">
        <v>23992</v>
      </c>
    </row>
    <row r="8008">
      <c r="A8008" s="7">
        <v>2.0067375E7</v>
      </c>
      <c r="B8008" s="8" t="s">
        <v>1034</v>
      </c>
      <c r="C8008" s="8" t="s">
        <v>23993</v>
      </c>
      <c r="D8008" s="8" t="s">
        <v>16</v>
      </c>
      <c r="E8008" s="8" t="s">
        <v>17</v>
      </c>
      <c r="F8008" s="9">
        <v>46193.0</v>
      </c>
      <c r="G8008" s="8" t="s">
        <v>171</v>
      </c>
      <c r="H8008" s="8" t="s">
        <v>172</v>
      </c>
      <c r="I8008" s="8" t="s">
        <v>23994</v>
      </c>
      <c r="J8008" s="8" t="s">
        <v>23995</v>
      </c>
    </row>
    <row r="8009">
      <c r="A8009" s="7">
        <v>2.0067112E7</v>
      </c>
      <c r="B8009" s="8" t="s">
        <v>1034</v>
      </c>
      <c r="C8009" s="8" t="s">
        <v>23996</v>
      </c>
      <c r="D8009" s="8" t="s">
        <v>16</v>
      </c>
      <c r="E8009" s="8" t="s">
        <v>17</v>
      </c>
      <c r="F8009" s="9">
        <v>46172.0</v>
      </c>
      <c r="G8009" s="8" t="s">
        <v>3585</v>
      </c>
      <c r="H8009" s="8" t="s">
        <v>3586</v>
      </c>
      <c r="I8009" s="8" t="s">
        <v>23997</v>
      </c>
      <c r="J8009" s="8" t="s">
        <v>23998</v>
      </c>
    </row>
    <row r="8010">
      <c r="A8010" s="7">
        <v>2.006422E7</v>
      </c>
      <c r="B8010" s="8" t="s">
        <v>1034</v>
      </c>
      <c r="C8010" s="8" t="s">
        <v>23999</v>
      </c>
      <c r="D8010" s="8" t="s">
        <v>16</v>
      </c>
      <c r="E8010" s="8" t="s">
        <v>17</v>
      </c>
      <c r="F8010" s="9">
        <v>46164.0</v>
      </c>
      <c r="G8010" s="8" t="s">
        <v>365</v>
      </c>
      <c r="H8010" s="8" t="s">
        <v>366</v>
      </c>
      <c r="I8010" s="8" t="s">
        <v>24000</v>
      </c>
      <c r="J8010" s="8" t="s">
        <v>24001</v>
      </c>
    </row>
    <row r="8011">
      <c r="A8011" s="7">
        <v>2.0060051E7</v>
      </c>
      <c r="B8011" s="8" t="s">
        <v>1034</v>
      </c>
      <c r="C8011" s="8" t="s">
        <v>24002</v>
      </c>
      <c r="D8011" s="8" t="s">
        <v>16</v>
      </c>
      <c r="E8011" s="8" t="s">
        <v>17</v>
      </c>
      <c r="F8011" s="9">
        <v>46178.0</v>
      </c>
      <c r="G8011" s="8" t="s">
        <v>467</v>
      </c>
      <c r="H8011" s="8" t="s">
        <v>468</v>
      </c>
      <c r="I8011" s="8" t="s">
        <v>24003</v>
      </c>
      <c r="J8011" s="8" t="s">
        <v>22935</v>
      </c>
    </row>
    <row r="8012">
      <c r="A8012" s="7">
        <v>2.0057511E7</v>
      </c>
      <c r="B8012" s="8" t="s">
        <v>1034</v>
      </c>
      <c r="C8012" s="8" t="s">
        <v>24004</v>
      </c>
      <c r="D8012" s="8" t="s">
        <v>16</v>
      </c>
      <c r="E8012" s="8" t="s">
        <v>17</v>
      </c>
      <c r="F8012" s="9">
        <v>46139.0</v>
      </c>
      <c r="G8012" s="8" t="s">
        <v>385</v>
      </c>
      <c r="H8012" s="8" t="s">
        <v>386</v>
      </c>
      <c r="I8012" s="8" t="s">
        <v>24005</v>
      </c>
      <c r="J8012" s="8" t="s">
        <v>24006</v>
      </c>
    </row>
    <row r="8013">
      <c r="A8013" s="7">
        <v>2.005524E7</v>
      </c>
      <c r="B8013" s="8" t="s">
        <v>1034</v>
      </c>
      <c r="C8013" s="8" t="s">
        <v>24007</v>
      </c>
      <c r="D8013" s="8" t="s">
        <v>16</v>
      </c>
      <c r="E8013" s="8" t="s">
        <v>17</v>
      </c>
      <c r="F8013" s="9">
        <v>46145.0</v>
      </c>
      <c r="G8013" s="8" t="s">
        <v>390</v>
      </c>
      <c r="H8013" s="8" t="s">
        <v>391</v>
      </c>
      <c r="I8013" s="8" t="s">
        <v>24008</v>
      </c>
      <c r="J8013" s="8" t="s">
        <v>24009</v>
      </c>
    </row>
    <row r="8014">
      <c r="A8014" s="7">
        <v>2.005281E7</v>
      </c>
      <c r="B8014" s="8" t="s">
        <v>1034</v>
      </c>
      <c r="C8014" s="8" t="s">
        <v>24010</v>
      </c>
      <c r="D8014" s="8" t="s">
        <v>16</v>
      </c>
      <c r="E8014" s="8" t="s">
        <v>17</v>
      </c>
      <c r="F8014" s="9">
        <v>46126.0</v>
      </c>
      <c r="G8014" s="8" t="s">
        <v>385</v>
      </c>
      <c r="H8014" s="8" t="s">
        <v>386</v>
      </c>
      <c r="I8014" s="8" t="s">
        <v>24011</v>
      </c>
      <c r="J8014" s="8" t="s">
        <v>24012</v>
      </c>
    </row>
    <row r="8015">
      <c r="A8015" s="7">
        <v>2.005281E7</v>
      </c>
      <c r="B8015" s="8" t="s">
        <v>1034</v>
      </c>
      <c r="C8015" s="8" t="s">
        <v>24010</v>
      </c>
      <c r="D8015" s="8" t="s">
        <v>16</v>
      </c>
      <c r="E8015" s="8" t="s">
        <v>17</v>
      </c>
      <c r="F8015" s="9">
        <v>46126.0</v>
      </c>
      <c r="G8015" s="8" t="s">
        <v>504</v>
      </c>
      <c r="H8015" s="8" t="s">
        <v>505</v>
      </c>
      <c r="I8015" s="8" t="s">
        <v>24013</v>
      </c>
      <c r="J8015" s="8" t="s">
        <v>24014</v>
      </c>
    </row>
    <row r="8016">
      <c r="A8016" s="7">
        <v>2.004918E7</v>
      </c>
      <c r="B8016" s="8" t="s">
        <v>1034</v>
      </c>
      <c r="C8016" s="8" t="s">
        <v>24015</v>
      </c>
      <c r="D8016" s="8" t="s">
        <v>16</v>
      </c>
      <c r="E8016" s="8" t="s">
        <v>17</v>
      </c>
      <c r="F8016" s="9">
        <v>46100.0</v>
      </c>
      <c r="G8016" s="8" t="s">
        <v>504</v>
      </c>
      <c r="H8016" s="8" t="s">
        <v>505</v>
      </c>
      <c r="I8016" s="8" t="s">
        <v>24016</v>
      </c>
      <c r="J8016" s="8" t="s">
        <v>24017</v>
      </c>
    </row>
    <row r="8017">
      <c r="A8017" s="7">
        <v>2.0044343E7</v>
      </c>
      <c r="B8017" s="8" t="s">
        <v>1034</v>
      </c>
      <c r="C8017" s="8" t="s">
        <v>24018</v>
      </c>
      <c r="D8017" s="8" t="s">
        <v>16</v>
      </c>
      <c r="E8017" s="8" t="s">
        <v>17</v>
      </c>
      <c r="F8017" s="9">
        <v>46081.0</v>
      </c>
      <c r="G8017" s="8" t="s">
        <v>2225</v>
      </c>
      <c r="H8017" s="8" t="s">
        <v>2226</v>
      </c>
      <c r="I8017" s="8" t="s">
        <v>24019</v>
      </c>
      <c r="J8017" s="8" t="s">
        <v>24020</v>
      </c>
    </row>
    <row r="8018">
      <c r="A8018" s="7">
        <v>2.0044343E7</v>
      </c>
      <c r="B8018" s="8" t="s">
        <v>1034</v>
      </c>
      <c r="C8018" s="8" t="s">
        <v>24018</v>
      </c>
      <c r="D8018" s="8" t="s">
        <v>16</v>
      </c>
      <c r="E8018" s="8" t="s">
        <v>17</v>
      </c>
      <c r="F8018" s="9">
        <v>46081.0</v>
      </c>
      <c r="G8018" s="8" t="s">
        <v>21407</v>
      </c>
      <c r="H8018" s="8" t="s">
        <v>21408</v>
      </c>
      <c r="I8018" s="8" t="s">
        <v>24021</v>
      </c>
      <c r="J8018" s="8" t="s">
        <v>24022</v>
      </c>
    </row>
    <row r="8019">
      <c r="A8019" s="7">
        <v>2.0044343E7</v>
      </c>
      <c r="B8019" s="8" t="s">
        <v>1034</v>
      </c>
      <c r="C8019" s="8" t="s">
        <v>24023</v>
      </c>
      <c r="D8019" s="8" t="s">
        <v>16</v>
      </c>
      <c r="E8019" s="8" t="s">
        <v>17</v>
      </c>
      <c r="F8019" s="9">
        <v>46103.0</v>
      </c>
      <c r="G8019" s="8" t="s">
        <v>1155</v>
      </c>
      <c r="H8019" s="8" t="s">
        <v>1156</v>
      </c>
      <c r="I8019" s="8" t="s">
        <v>24024</v>
      </c>
      <c r="J8019" s="8" t="s">
        <v>24025</v>
      </c>
    </row>
    <row r="8020">
      <c r="A8020" s="7">
        <v>2.0041848E7</v>
      </c>
      <c r="B8020" s="8" t="s">
        <v>1034</v>
      </c>
      <c r="C8020" s="8" t="s">
        <v>24026</v>
      </c>
      <c r="D8020" s="8" t="s">
        <v>16</v>
      </c>
      <c r="E8020" s="8" t="s">
        <v>17</v>
      </c>
      <c r="F8020" s="9">
        <v>46074.0</v>
      </c>
      <c r="G8020" s="8" t="s">
        <v>34</v>
      </c>
      <c r="H8020" s="8" t="s">
        <v>35</v>
      </c>
      <c r="I8020" s="8" t="s">
        <v>24027</v>
      </c>
      <c r="J8020" s="8" t="s">
        <v>24028</v>
      </c>
    </row>
    <row r="8021">
      <c r="A8021" s="7">
        <v>2.0040394E7</v>
      </c>
      <c r="B8021" s="8" t="s">
        <v>1034</v>
      </c>
      <c r="C8021" s="8" t="s">
        <v>24029</v>
      </c>
      <c r="D8021" s="8" t="s">
        <v>16</v>
      </c>
      <c r="E8021" s="8" t="s">
        <v>17</v>
      </c>
      <c r="F8021" s="9">
        <v>46071.0</v>
      </c>
      <c r="G8021" s="8" t="s">
        <v>21407</v>
      </c>
      <c r="H8021" s="8" t="s">
        <v>21408</v>
      </c>
      <c r="I8021" s="8" t="s">
        <v>24030</v>
      </c>
      <c r="J8021" s="8" t="s">
        <v>24031</v>
      </c>
    </row>
    <row r="8022">
      <c r="A8022" s="7">
        <v>2.0040085E7</v>
      </c>
      <c r="B8022" s="8" t="s">
        <v>1034</v>
      </c>
      <c r="C8022" s="8" t="s">
        <v>24032</v>
      </c>
      <c r="D8022" s="8" t="s">
        <v>16</v>
      </c>
      <c r="E8022" s="8" t="s">
        <v>17</v>
      </c>
      <c r="F8022" s="9">
        <v>46062.0</v>
      </c>
      <c r="G8022" s="8" t="s">
        <v>882</v>
      </c>
      <c r="H8022" s="8" t="s">
        <v>883</v>
      </c>
      <c r="I8022" s="8" t="s">
        <v>24033</v>
      </c>
      <c r="J8022" s="8" t="s">
        <v>24034</v>
      </c>
    </row>
    <row r="8023">
      <c r="A8023" s="7">
        <v>2.0040048E7</v>
      </c>
      <c r="B8023" s="8" t="s">
        <v>1034</v>
      </c>
      <c r="C8023" s="8" t="s">
        <v>24035</v>
      </c>
      <c r="D8023" s="8" t="s">
        <v>16</v>
      </c>
      <c r="E8023" s="8" t="s">
        <v>17</v>
      </c>
      <c r="F8023" s="9">
        <v>46064.0</v>
      </c>
      <c r="G8023" s="8" t="s">
        <v>91</v>
      </c>
      <c r="H8023" s="8" t="s">
        <v>92</v>
      </c>
      <c r="I8023" s="8" t="s">
        <v>24036</v>
      </c>
      <c r="J8023" s="8" t="s">
        <v>24037</v>
      </c>
    </row>
    <row r="8024">
      <c r="A8024" s="7">
        <v>2.0039421E7</v>
      </c>
      <c r="B8024" s="8" t="s">
        <v>1034</v>
      </c>
      <c r="C8024" s="8" t="s">
        <v>24038</v>
      </c>
      <c r="D8024" s="8" t="s">
        <v>16</v>
      </c>
      <c r="E8024" s="8" t="s">
        <v>17</v>
      </c>
      <c r="F8024" s="9">
        <v>46062.0</v>
      </c>
      <c r="G8024" s="8" t="s">
        <v>91</v>
      </c>
      <c r="H8024" s="8" t="s">
        <v>92</v>
      </c>
      <c r="I8024" s="8" t="s">
        <v>24039</v>
      </c>
      <c r="J8024" s="8" t="s">
        <v>24040</v>
      </c>
    </row>
    <row r="8025">
      <c r="A8025" s="7">
        <v>2.0034267E7</v>
      </c>
      <c r="B8025" s="8" t="s">
        <v>1034</v>
      </c>
      <c r="C8025" s="8" t="s">
        <v>24041</v>
      </c>
      <c r="D8025" s="8" t="s">
        <v>16</v>
      </c>
      <c r="E8025" s="8" t="s">
        <v>17</v>
      </c>
      <c r="F8025" s="9">
        <v>46034.0</v>
      </c>
      <c r="G8025" s="8" t="s">
        <v>59</v>
      </c>
      <c r="H8025" s="8" t="s">
        <v>60</v>
      </c>
      <c r="I8025" s="8" t="s">
        <v>24042</v>
      </c>
      <c r="J8025" s="8" t="s">
        <v>24043</v>
      </c>
    </row>
    <row r="8026">
      <c r="A8026" s="7">
        <v>2.0068361E7</v>
      </c>
      <c r="B8026" s="8" t="s">
        <v>1034</v>
      </c>
      <c r="C8026" s="8" t="s">
        <v>24044</v>
      </c>
      <c r="D8026" s="8" t="s">
        <v>16</v>
      </c>
      <c r="E8026" s="8" t="s">
        <v>17</v>
      </c>
      <c r="F8026" s="9">
        <v>46186.0</v>
      </c>
      <c r="G8026" s="8" t="s">
        <v>1949</v>
      </c>
      <c r="H8026" s="8" t="s">
        <v>1950</v>
      </c>
      <c r="I8026" s="8" t="s">
        <v>24045</v>
      </c>
      <c r="J8026" s="8" t="s">
        <v>24046</v>
      </c>
    </row>
    <row r="8027">
      <c r="A8027" s="7">
        <v>2.00653E7</v>
      </c>
      <c r="B8027" s="8" t="s">
        <v>1034</v>
      </c>
      <c r="C8027" s="8" t="s">
        <v>24047</v>
      </c>
      <c r="D8027" s="8" t="s">
        <v>16</v>
      </c>
      <c r="E8027" s="8" t="s">
        <v>17</v>
      </c>
      <c r="F8027" s="9">
        <v>46188.0</v>
      </c>
      <c r="G8027" s="8" t="s">
        <v>24048</v>
      </c>
      <c r="H8027" s="8" t="s">
        <v>24049</v>
      </c>
      <c r="I8027" s="8" t="s">
        <v>24050</v>
      </c>
      <c r="J8027" s="8" t="s">
        <v>24051</v>
      </c>
    </row>
    <row r="8028">
      <c r="A8028" s="7">
        <v>2.0061047E7</v>
      </c>
      <c r="B8028" s="8" t="s">
        <v>1034</v>
      </c>
      <c r="C8028" s="8" t="s">
        <v>24052</v>
      </c>
      <c r="D8028" s="8" t="s">
        <v>16</v>
      </c>
      <c r="E8028" s="8" t="s">
        <v>17</v>
      </c>
      <c r="F8028" s="9">
        <v>46150.0</v>
      </c>
      <c r="G8028" s="8" t="s">
        <v>109</v>
      </c>
      <c r="H8028" s="8" t="s">
        <v>110</v>
      </c>
      <c r="I8028" s="8" t="s">
        <v>24053</v>
      </c>
      <c r="J8028" s="8" t="s">
        <v>24054</v>
      </c>
    </row>
    <row r="8029">
      <c r="A8029" s="7">
        <v>2.0060466E7</v>
      </c>
      <c r="B8029" s="8" t="s">
        <v>1034</v>
      </c>
      <c r="C8029" s="8" t="s">
        <v>24055</v>
      </c>
      <c r="D8029" s="8" t="s">
        <v>16</v>
      </c>
      <c r="E8029" s="8" t="s">
        <v>17</v>
      </c>
      <c r="F8029" s="9">
        <v>46182.0</v>
      </c>
      <c r="G8029" s="8" t="s">
        <v>4423</v>
      </c>
      <c r="H8029" s="8" t="s">
        <v>4424</v>
      </c>
      <c r="I8029" s="8" t="s">
        <v>24056</v>
      </c>
      <c r="J8029" s="8" t="s">
        <v>24057</v>
      </c>
    </row>
    <row r="8030">
      <c r="A8030" s="7">
        <v>2.005952E7</v>
      </c>
      <c r="B8030" s="8" t="s">
        <v>1034</v>
      </c>
      <c r="C8030" s="8" t="s">
        <v>24058</v>
      </c>
      <c r="D8030" s="8" t="s">
        <v>16</v>
      </c>
      <c r="E8030" s="8" t="s">
        <v>17</v>
      </c>
      <c r="F8030" s="9">
        <v>46180.0</v>
      </c>
      <c r="G8030" s="8" t="s">
        <v>522</v>
      </c>
      <c r="H8030" s="8" t="s">
        <v>523</v>
      </c>
      <c r="I8030" s="8" t="s">
        <v>24059</v>
      </c>
      <c r="J8030" s="8" t="s">
        <v>24060</v>
      </c>
    </row>
    <row r="8031">
      <c r="A8031" s="7">
        <v>2.0059644E7</v>
      </c>
      <c r="B8031" s="8" t="s">
        <v>1034</v>
      </c>
      <c r="C8031" s="8" t="s">
        <v>24061</v>
      </c>
      <c r="D8031" s="8" t="s">
        <v>16</v>
      </c>
      <c r="E8031" s="8" t="s">
        <v>17</v>
      </c>
      <c r="F8031" s="9">
        <v>46139.0</v>
      </c>
      <c r="G8031" s="8" t="s">
        <v>339</v>
      </c>
      <c r="H8031" s="8" t="s">
        <v>340</v>
      </c>
      <c r="I8031" s="8" t="s">
        <v>24062</v>
      </c>
      <c r="J8031" s="8" t="s">
        <v>24063</v>
      </c>
    </row>
    <row r="8032">
      <c r="A8032" s="7">
        <v>2.0058258E7</v>
      </c>
      <c r="B8032" s="8" t="s">
        <v>1034</v>
      </c>
      <c r="C8032" s="8" t="s">
        <v>24064</v>
      </c>
      <c r="D8032" s="8" t="s">
        <v>16</v>
      </c>
      <c r="E8032" s="8" t="s">
        <v>17</v>
      </c>
      <c r="F8032" s="9">
        <v>46148.0</v>
      </c>
      <c r="G8032" s="8" t="s">
        <v>9383</v>
      </c>
      <c r="H8032" s="8" t="s">
        <v>9384</v>
      </c>
      <c r="I8032" s="8" t="s">
        <v>24065</v>
      </c>
      <c r="J8032" s="8" t="s">
        <v>24066</v>
      </c>
    </row>
    <row r="8033">
      <c r="A8033" s="7">
        <v>2.0053288E7</v>
      </c>
      <c r="B8033" s="8" t="s">
        <v>1034</v>
      </c>
      <c r="C8033" s="8" t="s">
        <v>24067</v>
      </c>
      <c r="D8033" s="8" t="s">
        <v>16</v>
      </c>
      <c r="E8033" s="8" t="s">
        <v>17</v>
      </c>
      <c r="F8033" s="9">
        <v>46138.0</v>
      </c>
      <c r="G8033" s="8" t="s">
        <v>385</v>
      </c>
      <c r="H8033" s="8" t="s">
        <v>386</v>
      </c>
      <c r="I8033" s="8" t="s">
        <v>24068</v>
      </c>
      <c r="J8033" s="8" t="s">
        <v>24069</v>
      </c>
    </row>
    <row r="8034">
      <c r="A8034" s="7">
        <v>2.0055818E7</v>
      </c>
      <c r="B8034" s="8" t="s">
        <v>1034</v>
      </c>
      <c r="C8034" s="8" t="s">
        <v>24070</v>
      </c>
      <c r="D8034" s="8" t="s">
        <v>16</v>
      </c>
      <c r="E8034" s="8" t="s">
        <v>17</v>
      </c>
      <c r="F8034" s="9">
        <v>46138.0</v>
      </c>
      <c r="G8034" s="8" t="s">
        <v>385</v>
      </c>
      <c r="H8034" s="8" t="s">
        <v>386</v>
      </c>
      <c r="I8034" s="8" t="s">
        <v>24071</v>
      </c>
      <c r="J8034" s="8" t="s">
        <v>24072</v>
      </c>
    </row>
    <row r="8035">
      <c r="A8035" s="7">
        <v>2.005236E7</v>
      </c>
      <c r="B8035" s="8" t="s">
        <v>1034</v>
      </c>
      <c r="C8035" s="8" t="s">
        <v>24073</v>
      </c>
      <c r="D8035" s="8" t="s">
        <v>16</v>
      </c>
      <c r="E8035" s="8" t="s">
        <v>17</v>
      </c>
      <c r="F8035" s="9">
        <v>46126.0</v>
      </c>
      <c r="G8035" s="8" t="s">
        <v>24074</v>
      </c>
      <c r="H8035" s="8" t="s">
        <v>24075</v>
      </c>
      <c r="I8035" s="8" t="s">
        <v>24076</v>
      </c>
      <c r="J8035" s="8"/>
    </row>
    <row r="8036">
      <c r="A8036" s="7">
        <v>2.0051451E7</v>
      </c>
      <c r="B8036" s="8" t="s">
        <v>1034</v>
      </c>
      <c r="C8036" s="8" t="s">
        <v>24077</v>
      </c>
      <c r="D8036" s="8" t="s">
        <v>16</v>
      </c>
      <c r="E8036" s="8" t="s">
        <v>1074</v>
      </c>
      <c r="F8036" s="9">
        <v>46108.0</v>
      </c>
      <c r="G8036" s="8" t="s">
        <v>91</v>
      </c>
      <c r="H8036" s="8" t="s">
        <v>92</v>
      </c>
      <c r="I8036" s="8" t="s">
        <v>24078</v>
      </c>
      <c r="J8036" s="8" t="s">
        <v>24079</v>
      </c>
    </row>
    <row r="8037">
      <c r="A8037" s="7">
        <v>2.0045348E7</v>
      </c>
      <c r="B8037" s="8" t="s">
        <v>1034</v>
      </c>
      <c r="C8037" s="8" t="s">
        <v>24080</v>
      </c>
      <c r="D8037" s="8" t="s">
        <v>16</v>
      </c>
      <c r="E8037" s="8" t="s">
        <v>17</v>
      </c>
      <c r="F8037" s="9">
        <v>46105.0</v>
      </c>
      <c r="G8037" s="8" t="s">
        <v>171</v>
      </c>
      <c r="H8037" s="8" t="s">
        <v>172</v>
      </c>
      <c r="I8037" s="8" t="s">
        <v>24081</v>
      </c>
      <c r="J8037" s="8" t="s">
        <v>24082</v>
      </c>
    </row>
    <row r="8038">
      <c r="A8038" s="7">
        <v>2.0040378E7</v>
      </c>
      <c r="B8038" s="8" t="s">
        <v>1034</v>
      </c>
      <c r="C8038" s="8" t="s">
        <v>24083</v>
      </c>
      <c r="D8038" s="8" t="s">
        <v>16</v>
      </c>
      <c r="E8038" s="8" t="s">
        <v>17</v>
      </c>
      <c r="F8038" s="9">
        <v>46076.0</v>
      </c>
      <c r="G8038" s="8" t="s">
        <v>1557</v>
      </c>
      <c r="H8038" s="8" t="s">
        <v>1558</v>
      </c>
      <c r="I8038" s="8" t="s">
        <v>24084</v>
      </c>
      <c r="J8038" s="8" t="s">
        <v>24085</v>
      </c>
    </row>
    <row r="8039">
      <c r="A8039" s="7">
        <v>2.0039832E7</v>
      </c>
      <c r="B8039" s="8" t="s">
        <v>1034</v>
      </c>
      <c r="C8039" s="8" t="s">
        <v>24086</v>
      </c>
      <c r="D8039" s="8" t="s">
        <v>16</v>
      </c>
      <c r="E8039" s="8" t="s">
        <v>17</v>
      </c>
      <c r="F8039" s="9">
        <v>46093.0</v>
      </c>
      <c r="G8039" s="8" t="s">
        <v>13352</v>
      </c>
      <c r="H8039" s="8" t="s">
        <v>13353</v>
      </c>
      <c r="I8039" s="8" t="s">
        <v>24087</v>
      </c>
      <c r="J8039" s="8" t="s">
        <v>24088</v>
      </c>
    </row>
    <row r="8040">
      <c r="A8040" s="7">
        <v>2.0039832E7</v>
      </c>
      <c r="B8040" s="8" t="s">
        <v>1034</v>
      </c>
      <c r="C8040" s="8" t="s">
        <v>24086</v>
      </c>
      <c r="D8040" s="8" t="s">
        <v>16</v>
      </c>
      <c r="E8040" s="8" t="s">
        <v>17</v>
      </c>
      <c r="F8040" s="9">
        <v>46093.0</v>
      </c>
      <c r="G8040" s="8" t="s">
        <v>13352</v>
      </c>
      <c r="H8040" s="8" t="s">
        <v>13353</v>
      </c>
      <c r="I8040" s="8" t="s">
        <v>24089</v>
      </c>
      <c r="J8040" s="8" t="s">
        <v>24088</v>
      </c>
    </row>
    <row r="8041">
      <c r="A8041" s="7">
        <v>2.0035924E7</v>
      </c>
      <c r="B8041" s="8" t="s">
        <v>1034</v>
      </c>
      <c r="C8041" s="8" t="s">
        <v>24090</v>
      </c>
      <c r="D8041" s="8" t="s">
        <v>16</v>
      </c>
      <c r="E8041" s="8" t="s">
        <v>17</v>
      </c>
      <c r="F8041" s="9">
        <v>46056.0</v>
      </c>
      <c r="G8041" s="8" t="s">
        <v>59</v>
      </c>
      <c r="H8041" s="8" t="s">
        <v>60</v>
      </c>
      <c r="I8041" s="8" t="s">
        <v>24091</v>
      </c>
      <c r="J8041" s="8" t="s">
        <v>24092</v>
      </c>
    </row>
    <row r="8042">
      <c r="A8042" s="7">
        <v>2.0034594E7</v>
      </c>
      <c r="B8042" s="8" t="s">
        <v>1034</v>
      </c>
      <c r="C8042" s="8" t="s">
        <v>24093</v>
      </c>
      <c r="D8042" s="8" t="s">
        <v>16</v>
      </c>
      <c r="E8042" s="8" t="s">
        <v>17</v>
      </c>
      <c r="F8042" s="9">
        <v>46061.0</v>
      </c>
      <c r="G8042" s="8" t="s">
        <v>390</v>
      </c>
      <c r="H8042" s="8" t="s">
        <v>391</v>
      </c>
      <c r="I8042" s="8" t="s">
        <v>24094</v>
      </c>
      <c r="J8042" s="8" t="s">
        <v>24095</v>
      </c>
    </row>
    <row r="8043">
      <c r="A8043" s="7">
        <v>2.0034418E7</v>
      </c>
      <c r="B8043" s="8" t="s">
        <v>1034</v>
      </c>
      <c r="C8043" s="8" t="s">
        <v>24096</v>
      </c>
      <c r="D8043" s="8" t="s">
        <v>16</v>
      </c>
      <c r="E8043" s="8" t="s">
        <v>17</v>
      </c>
      <c r="F8043" s="9">
        <v>46042.0</v>
      </c>
      <c r="G8043" s="8" t="s">
        <v>873</v>
      </c>
      <c r="H8043" s="8" t="s">
        <v>874</v>
      </c>
      <c r="I8043" s="8" t="s">
        <v>24097</v>
      </c>
      <c r="J8043" s="8" t="s">
        <v>24098</v>
      </c>
    </row>
    <row r="8044">
      <c r="A8044" s="7">
        <v>2.0067026E7</v>
      </c>
      <c r="B8044" s="8" t="s">
        <v>1034</v>
      </c>
      <c r="C8044" s="8" t="s">
        <v>24099</v>
      </c>
      <c r="D8044" s="8" t="s">
        <v>16</v>
      </c>
      <c r="E8044" s="8" t="s">
        <v>17</v>
      </c>
      <c r="F8044" s="9">
        <v>46192.0</v>
      </c>
      <c r="G8044" s="8" t="s">
        <v>522</v>
      </c>
      <c r="H8044" s="8" t="s">
        <v>523</v>
      </c>
      <c r="I8044" s="8" t="s">
        <v>24100</v>
      </c>
      <c r="J8044" s="8" t="s">
        <v>24101</v>
      </c>
    </row>
    <row r="8045">
      <c r="A8045" s="7">
        <v>2.006572E7</v>
      </c>
      <c r="B8045" s="8" t="s">
        <v>1034</v>
      </c>
      <c r="C8045" s="8" t="s">
        <v>24102</v>
      </c>
      <c r="D8045" s="8" t="s">
        <v>16</v>
      </c>
      <c r="E8045" s="8" t="s">
        <v>17</v>
      </c>
      <c r="F8045" s="9">
        <v>46174.0</v>
      </c>
      <c r="G8045" s="8" t="s">
        <v>34</v>
      </c>
      <c r="H8045" s="8" t="s">
        <v>35</v>
      </c>
      <c r="I8045" s="8" t="s">
        <v>24103</v>
      </c>
      <c r="J8045" s="8" t="s">
        <v>24104</v>
      </c>
    </row>
    <row r="8046">
      <c r="A8046" s="7">
        <v>2.0061573E7</v>
      </c>
      <c r="B8046" s="8" t="s">
        <v>1034</v>
      </c>
      <c r="C8046" s="8" t="s">
        <v>24105</v>
      </c>
      <c r="D8046" s="8" t="s">
        <v>16</v>
      </c>
      <c r="E8046" s="8" t="s">
        <v>17</v>
      </c>
      <c r="F8046" s="9">
        <v>46153.0</v>
      </c>
      <c r="G8046" s="8" t="s">
        <v>59</v>
      </c>
      <c r="H8046" s="8" t="s">
        <v>60</v>
      </c>
      <c r="I8046" s="8" t="s">
        <v>24106</v>
      </c>
      <c r="J8046" s="8" t="s">
        <v>24107</v>
      </c>
    </row>
    <row r="8047">
      <c r="A8047" s="7">
        <v>2.0059088E7</v>
      </c>
      <c r="B8047" s="8" t="s">
        <v>1034</v>
      </c>
      <c r="C8047" s="8" t="s">
        <v>24108</v>
      </c>
      <c r="D8047" s="8" t="s">
        <v>16</v>
      </c>
      <c r="E8047" s="8" t="s">
        <v>17</v>
      </c>
      <c r="F8047" s="9">
        <v>46180.0</v>
      </c>
      <c r="G8047" s="8" t="s">
        <v>14612</v>
      </c>
      <c r="H8047" s="8" t="s">
        <v>14613</v>
      </c>
      <c r="I8047" s="8" t="s">
        <v>24109</v>
      </c>
      <c r="J8047" s="8" t="s">
        <v>23600</v>
      </c>
    </row>
    <row r="8048">
      <c r="A8048" s="7">
        <v>2.0055994E7</v>
      </c>
      <c r="B8048" s="8" t="s">
        <v>1034</v>
      </c>
      <c r="C8048" s="8" t="s">
        <v>24110</v>
      </c>
      <c r="D8048" s="8" t="s">
        <v>16</v>
      </c>
      <c r="E8048" s="8" t="s">
        <v>17</v>
      </c>
      <c r="F8048" s="9">
        <v>46147.0</v>
      </c>
      <c r="G8048" s="8" t="s">
        <v>361</v>
      </c>
      <c r="H8048" s="8" t="s">
        <v>362</v>
      </c>
      <c r="I8048" s="8" t="s">
        <v>24111</v>
      </c>
      <c r="J8048" s="8" t="s">
        <v>24112</v>
      </c>
    </row>
    <row r="8049">
      <c r="A8049" s="7">
        <v>2.0053912E7</v>
      </c>
      <c r="B8049" s="8" t="s">
        <v>1034</v>
      </c>
      <c r="C8049" s="8" t="s">
        <v>24113</v>
      </c>
      <c r="D8049" s="8" t="s">
        <v>16</v>
      </c>
      <c r="E8049" s="8" t="s">
        <v>17</v>
      </c>
      <c r="F8049" s="9">
        <v>46136.0</v>
      </c>
      <c r="G8049" s="8" t="s">
        <v>1280</v>
      </c>
      <c r="H8049" s="8" t="s">
        <v>1281</v>
      </c>
      <c r="I8049" s="8" t="s">
        <v>24114</v>
      </c>
      <c r="J8049" s="8" t="s">
        <v>24115</v>
      </c>
    </row>
    <row r="8050">
      <c r="A8050" s="7">
        <v>2.0047332E7</v>
      </c>
      <c r="B8050" s="8" t="s">
        <v>1034</v>
      </c>
      <c r="C8050" s="8" t="s">
        <v>24116</v>
      </c>
      <c r="D8050" s="8" t="s">
        <v>16</v>
      </c>
      <c r="E8050" s="8" t="s">
        <v>17</v>
      </c>
      <c r="F8050" s="9">
        <v>46092.0</v>
      </c>
      <c r="G8050" s="8" t="s">
        <v>234</v>
      </c>
      <c r="H8050" s="8" t="s">
        <v>235</v>
      </c>
      <c r="I8050" s="8" t="s">
        <v>24117</v>
      </c>
      <c r="J8050" s="8" t="s">
        <v>24118</v>
      </c>
    </row>
    <row r="8051">
      <c r="A8051" s="7">
        <v>2.0041991E7</v>
      </c>
      <c r="B8051" s="8" t="s">
        <v>1034</v>
      </c>
      <c r="C8051" s="8" t="s">
        <v>24119</v>
      </c>
      <c r="D8051" s="8" t="s">
        <v>16</v>
      </c>
      <c r="E8051" s="8" t="s">
        <v>17</v>
      </c>
      <c r="F8051" s="9">
        <v>46077.0</v>
      </c>
      <c r="G8051" s="8" t="s">
        <v>13538</v>
      </c>
      <c r="H8051" s="8" t="s">
        <v>13539</v>
      </c>
      <c r="I8051" s="8" t="s">
        <v>24120</v>
      </c>
      <c r="J8051" s="8" t="s">
        <v>24121</v>
      </c>
    </row>
    <row r="8052">
      <c r="A8052" s="7">
        <v>2.0040976E7</v>
      </c>
      <c r="B8052" s="8" t="s">
        <v>1034</v>
      </c>
      <c r="C8052" s="8" t="s">
        <v>24122</v>
      </c>
      <c r="D8052" s="8" t="s">
        <v>16</v>
      </c>
      <c r="E8052" s="8" t="s">
        <v>17</v>
      </c>
      <c r="F8052" s="9">
        <v>46088.0</v>
      </c>
      <c r="G8052" s="8" t="s">
        <v>721</v>
      </c>
      <c r="H8052" s="8" t="s">
        <v>722</v>
      </c>
      <c r="I8052" s="8" t="s">
        <v>24123</v>
      </c>
      <c r="J8052" s="8" t="s">
        <v>24124</v>
      </c>
    </row>
    <row r="8053">
      <c r="A8053" s="7">
        <v>2.0041296E7</v>
      </c>
      <c r="B8053" s="8" t="s">
        <v>1034</v>
      </c>
      <c r="C8053" s="8" t="s">
        <v>24125</v>
      </c>
      <c r="D8053" s="8" t="s">
        <v>16</v>
      </c>
      <c r="E8053" s="8" t="s">
        <v>17</v>
      </c>
      <c r="F8053" s="9">
        <v>46083.0</v>
      </c>
      <c r="G8053" s="8" t="s">
        <v>6936</v>
      </c>
      <c r="H8053" s="8" t="s">
        <v>6937</v>
      </c>
      <c r="I8053" s="8" t="s">
        <v>24126</v>
      </c>
      <c r="J8053" s="8" t="s">
        <v>24127</v>
      </c>
    </row>
    <row r="8054">
      <c r="A8054" s="7">
        <v>2.0039141E7</v>
      </c>
      <c r="B8054" s="8" t="s">
        <v>1034</v>
      </c>
      <c r="C8054" s="8" t="s">
        <v>24128</v>
      </c>
      <c r="D8054" s="8" t="s">
        <v>16</v>
      </c>
      <c r="E8054" s="8" t="s">
        <v>17</v>
      </c>
      <c r="F8054" s="9">
        <v>46062.0</v>
      </c>
      <c r="G8054" s="8" t="s">
        <v>220</v>
      </c>
      <c r="H8054" s="8" t="s">
        <v>221</v>
      </c>
      <c r="I8054" s="8" t="s">
        <v>24129</v>
      </c>
      <c r="J8054" s="8" t="s">
        <v>24130</v>
      </c>
    </row>
    <row r="8055">
      <c r="A8055" s="7">
        <v>2.0039388E7</v>
      </c>
      <c r="B8055" s="8" t="s">
        <v>1034</v>
      </c>
      <c r="C8055" s="8" t="s">
        <v>24131</v>
      </c>
      <c r="D8055" s="8" t="s">
        <v>16</v>
      </c>
      <c r="E8055" s="8" t="s">
        <v>17</v>
      </c>
      <c r="F8055" s="9">
        <v>46075.0</v>
      </c>
      <c r="G8055" s="8" t="s">
        <v>158</v>
      </c>
      <c r="H8055" s="8" t="s">
        <v>159</v>
      </c>
      <c r="I8055" s="8" t="s">
        <v>24132</v>
      </c>
      <c r="J8055" s="8" t="s">
        <v>24133</v>
      </c>
    </row>
    <row r="8056">
      <c r="A8056" s="7">
        <v>2.0035026E7</v>
      </c>
      <c r="B8056" s="8" t="s">
        <v>1034</v>
      </c>
      <c r="C8056" s="8" t="s">
        <v>24134</v>
      </c>
      <c r="D8056" s="8" t="s">
        <v>16</v>
      </c>
      <c r="E8056" s="8" t="s">
        <v>17</v>
      </c>
      <c r="F8056" s="9">
        <v>46058.0</v>
      </c>
      <c r="G8056" s="8" t="s">
        <v>390</v>
      </c>
      <c r="H8056" s="8" t="s">
        <v>391</v>
      </c>
      <c r="I8056" s="8" t="s">
        <v>24135</v>
      </c>
      <c r="J8056" s="8" t="s">
        <v>24136</v>
      </c>
    </row>
    <row r="8057">
      <c r="A8057" s="7">
        <v>2.0059212E7</v>
      </c>
      <c r="B8057" s="8" t="s">
        <v>1034</v>
      </c>
      <c r="C8057" s="8" t="s">
        <v>24137</v>
      </c>
      <c r="D8057" s="8" t="s">
        <v>16</v>
      </c>
      <c r="E8057" s="8" t="s">
        <v>17</v>
      </c>
      <c r="F8057" s="9">
        <v>46190.0</v>
      </c>
      <c r="G8057" s="8" t="s">
        <v>826</v>
      </c>
      <c r="H8057" s="8" t="s">
        <v>7633</v>
      </c>
      <c r="I8057" s="8" t="s">
        <v>24138</v>
      </c>
      <c r="J8057" s="8" t="s">
        <v>24139</v>
      </c>
    </row>
    <row r="8058">
      <c r="A8058" s="7">
        <v>2.0061468E7</v>
      </c>
      <c r="B8058" s="8" t="s">
        <v>1034</v>
      </c>
      <c r="C8058" s="8" t="s">
        <v>24140</v>
      </c>
      <c r="D8058" s="8" t="s">
        <v>16</v>
      </c>
      <c r="E8058" s="8" t="s">
        <v>48</v>
      </c>
      <c r="F8058" s="9">
        <v>46170.0</v>
      </c>
      <c r="G8058" s="8" t="s">
        <v>12868</v>
      </c>
      <c r="H8058" s="8" t="s">
        <v>12869</v>
      </c>
      <c r="I8058" s="8" t="s">
        <v>24141</v>
      </c>
      <c r="J8058" s="8"/>
    </row>
    <row r="8059">
      <c r="A8059" s="7">
        <v>2.0061991E7</v>
      </c>
      <c r="B8059" s="8" t="s">
        <v>1034</v>
      </c>
      <c r="C8059" s="8" t="s">
        <v>24142</v>
      </c>
      <c r="D8059" s="8" t="s">
        <v>16</v>
      </c>
      <c r="E8059" s="8" t="s">
        <v>17</v>
      </c>
      <c r="F8059" s="9">
        <v>46178.0</v>
      </c>
      <c r="G8059" s="8" t="s">
        <v>314</v>
      </c>
      <c r="H8059" s="8" t="s">
        <v>315</v>
      </c>
      <c r="I8059" s="8" t="s">
        <v>24143</v>
      </c>
      <c r="J8059" s="8" t="s">
        <v>24144</v>
      </c>
    </row>
    <row r="8060">
      <c r="A8060" s="7">
        <v>2.0057592E7</v>
      </c>
      <c r="B8060" s="8" t="s">
        <v>1034</v>
      </c>
      <c r="C8060" s="8" t="s">
        <v>24145</v>
      </c>
      <c r="D8060" s="8" t="s">
        <v>16</v>
      </c>
      <c r="E8060" s="8" t="s">
        <v>17</v>
      </c>
      <c r="F8060" s="9">
        <v>46185.0</v>
      </c>
      <c r="G8060" s="8" t="s">
        <v>18</v>
      </c>
      <c r="H8060" s="8" t="s">
        <v>19</v>
      </c>
      <c r="I8060" s="8" t="s">
        <v>24146</v>
      </c>
      <c r="J8060" s="8" t="s">
        <v>24147</v>
      </c>
    </row>
    <row r="8061">
      <c r="A8061" s="7">
        <v>2.0060925E7</v>
      </c>
      <c r="B8061" s="8" t="s">
        <v>1034</v>
      </c>
      <c r="C8061" s="8" t="s">
        <v>24148</v>
      </c>
      <c r="D8061" s="8" t="s">
        <v>2136</v>
      </c>
      <c r="E8061" s="8" t="s">
        <v>17</v>
      </c>
      <c r="F8061" s="9">
        <v>46144.0</v>
      </c>
      <c r="G8061" s="8" t="s">
        <v>195</v>
      </c>
      <c r="H8061" s="8" t="s">
        <v>196</v>
      </c>
      <c r="I8061" s="8" t="s">
        <v>24149</v>
      </c>
      <c r="J8061" s="8" t="s">
        <v>24150</v>
      </c>
    </row>
    <row r="8062">
      <c r="A8062" s="7">
        <v>2.0058334E7</v>
      </c>
      <c r="B8062" s="8" t="s">
        <v>1034</v>
      </c>
      <c r="C8062" s="8" t="s">
        <v>24151</v>
      </c>
      <c r="D8062" s="8" t="s">
        <v>16</v>
      </c>
      <c r="E8062" s="8" t="s">
        <v>17</v>
      </c>
      <c r="F8062" s="9">
        <v>46138.0</v>
      </c>
      <c r="G8062" s="8" t="s">
        <v>153</v>
      </c>
      <c r="H8062" s="8" t="s">
        <v>154</v>
      </c>
      <c r="I8062" s="8" t="s">
        <v>24152</v>
      </c>
      <c r="J8062" s="8" t="s">
        <v>24153</v>
      </c>
    </row>
    <row r="8063">
      <c r="A8063" s="7">
        <v>2.0057867E7</v>
      </c>
      <c r="B8063" s="8" t="s">
        <v>1034</v>
      </c>
      <c r="C8063" s="8" t="s">
        <v>24154</v>
      </c>
      <c r="D8063" s="8" t="s">
        <v>16</v>
      </c>
      <c r="E8063" s="8" t="s">
        <v>17</v>
      </c>
      <c r="F8063" s="9">
        <v>46134.0</v>
      </c>
      <c r="G8063" s="8" t="s">
        <v>882</v>
      </c>
      <c r="H8063" s="8" t="s">
        <v>883</v>
      </c>
      <c r="I8063" s="8" t="s">
        <v>24155</v>
      </c>
      <c r="J8063" s="8" t="s">
        <v>24156</v>
      </c>
    </row>
    <row r="8064">
      <c r="A8064" s="7">
        <v>2.0056861E7</v>
      </c>
      <c r="B8064" s="8" t="s">
        <v>1034</v>
      </c>
      <c r="C8064" s="8" t="s">
        <v>24157</v>
      </c>
      <c r="D8064" s="8" t="s">
        <v>16</v>
      </c>
      <c r="E8064" s="8" t="s">
        <v>17</v>
      </c>
      <c r="F8064" s="9">
        <v>46147.0</v>
      </c>
      <c r="G8064" s="8" t="s">
        <v>137</v>
      </c>
      <c r="H8064" s="8" t="s">
        <v>138</v>
      </c>
      <c r="I8064" s="8" t="s">
        <v>24158</v>
      </c>
      <c r="J8064" s="8" t="s">
        <v>24159</v>
      </c>
    </row>
    <row r="8065">
      <c r="A8065" s="7">
        <v>2.0054781E7</v>
      </c>
      <c r="B8065" s="8" t="s">
        <v>1034</v>
      </c>
      <c r="C8065" s="8" t="s">
        <v>24160</v>
      </c>
      <c r="D8065" s="8" t="s">
        <v>16</v>
      </c>
      <c r="E8065" s="8" t="s">
        <v>17</v>
      </c>
      <c r="F8065" s="9">
        <v>46139.0</v>
      </c>
      <c r="G8065" s="8" t="s">
        <v>64</v>
      </c>
      <c r="H8065" s="8" t="s">
        <v>65</v>
      </c>
      <c r="I8065" s="8" t="s">
        <v>24161</v>
      </c>
      <c r="J8065" s="8" t="s">
        <v>24162</v>
      </c>
    </row>
    <row r="8066">
      <c r="A8066" s="7">
        <v>2.005457E7</v>
      </c>
      <c r="B8066" s="8" t="s">
        <v>1034</v>
      </c>
      <c r="C8066" s="8" t="s">
        <v>24163</v>
      </c>
      <c r="D8066" s="8" t="s">
        <v>16</v>
      </c>
      <c r="E8066" s="8" t="s">
        <v>17</v>
      </c>
      <c r="F8066" s="9">
        <v>46137.0</v>
      </c>
      <c r="G8066" s="8" t="s">
        <v>86</v>
      </c>
      <c r="H8066" s="8" t="s">
        <v>87</v>
      </c>
      <c r="I8066" s="8" t="s">
        <v>24164</v>
      </c>
      <c r="J8066" s="8" t="s">
        <v>24165</v>
      </c>
    </row>
    <row r="8067">
      <c r="A8067" s="7">
        <v>2.0049809E7</v>
      </c>
      <c r="B8067" s="8" t="s">
        <v>1034</v>
      </c>
      <c r="C8067" s="8" t="s">
        <v>24166</v>
      </c>
      <c r="D8067" s="8" t="s">
        <v>16</v>
      </c>
      <c r="E8067" s="8" t="s">
        <v>17</v>
      </c>
      <c r="F8067" s="9">
        <v>46110.0</v>
      </c>
      <c r="G8067" s="8" t="s">
        <v>158</v>
      </c>
      <c r="H8067" s="8" t="s">
        <v>159</v>
      </c>
      <c r="I8067" s="8" t="s">
        <v>24167</v>
      </c>
      <c r="J8067" s="8" t="s">
        <v>24168</v>
      </c>
    </row>
    <row r="8068">
      <c r="A8068" s="7">
        <v>2.004505E7</v>
      </c>
      <c r="B8068" s="8" t="s">
        <v>1034</v>
      </c>
      <c r="C8068" s="8" t="s">
        <v>24169</v>
      </c>
      <c r="D8068" s="8" t="s">
        <v>16</v>
      </c>
      <c r="E8068" s="8" t="s">
        <v>17</v>
      </c>
      <c r="F8068" s="9">
        <v>46086.0</v>
      </c>
      <c r="G8068" s="8" t="s">
        <v>59</v>
      </c>
      <c r="H8068" s="8" t="s">
        <v>60</v>
      </c>
      <c r="I8068" s="8" t="s">
        <v>24170</v>
      </c>
      <c r="J8068" s="8" t="s">
        <v>24171</v>
      </c>
    </row>
    <row r="8069">
      <c r="A8069" s="7">
        <v>2.0043178E7</v>
      </c>
      <c r="B8069" s="8" t="s">
        <v>1034</v>
      </c>
      <c r="C8069" s="8" t="s">
        <v>24172</v>
      </c>
      <c r="D8069" s="8" t="s">
        <v>16</v>
      </c>
      <c r="E8069" s="8" t="s">
        <v>17</v>
      </c>
      <c r="F8069" s="9">
        <v>46094.0</v>
      </c>
      <c r="G8069" s="8" t="s">
        <v>1045</v>
      </c>
      <c r="H8069" s="8" t="s">
        <v>909</v>
      </c>
      <c r="I8069" s="8" t="s">
        <v>24173</v>
      </c>
      <c r="J8069" s="8" t="s">
        <v>24174</v>
      </c>
    </row>
    <row r="8070">
      <c r="A8070" s="7">
        <v>2.0043178E7</v>
      </c>
      <c r="B8070" s="8" t="s">
        <v>1034</v>
      </c>
      <c r="C8070" s="8" t="s">
        <v>24172</v>
      </c>
      <c r="D8070" s="8" t="s">
        <v>16</v>
      </c>
      <c r="E8070" s="8" t="s">
        <v>17</v>
      </c>
      <c r="F8070" s="9">
        <v>46094.0</v>
      </c>
      <c r="G8070" s="8" t="s">
        <v>1045</v>
      </c>
      <c r="H8070" s="8" t="s">
        <v>909</v>
      </c>
      <c r="I8070" s="8" t="s">
        <v>24175</v>
      </c>
      <c r="J8070" s="8" t="s">
        <v>24174</v>
      </c>
    </row>
    <row r="8071">
      <c r="A8071" s="7">
        <v>2.0043178E7</v>
      </c>
      <c r="B8071" s="8" t="s">
        <v>1034</v>
      </c>
      <c r="C8071" s="8" t="s">
        <v>24172</v>
      </c>
      <c r="D8071" s="8" t="s">
        <v>16</v>
      </c>
      <c r="E8071" s="8" t="s">
        <v>17</v>
      </c>
      <c r="F8071" s="9">
        <v>46094.0</v>
      </c>
      <c r="G8071" s="8" t="s">
        <v>1045</v>
      </c>
      <c r="H8071" s="8" t="s">
        <v>909</v>
      </c>
      <c r="I8071" s="8" t="s">
        <v>24176</v>
      </c>
      <c r="J8071" s="8" t="s">
        <v>24174</v>
      </c>
    </row>
    <row r="8072">
      <c r="A8072" s="7">
        <v>2.0042041E7</v>
      </c>
      <c r="B8072" s="8" t="s">
        <v>1034</v>
      </c>
      <c r="C8072" s="8" t="s">
        <v>24177</v>
      </c>
      <c r="D8072" s="8" t="s">
        <v>16</v>
      </c>
      <c r="E8072" s="8" t="s">
        <v>17</v>
      </c>
      <c r="F8072" s="9">
        <v>46076.0</v>
      </c>
      <c r="G8072" s="8" t="s">
        <v>365</v>
      </c>
      <c r="H8072" s="8" t="s">
        <v>366</v>
      </c>
      <c r="I8072" s="8" t="s">
        <v>24178</v>
      </c>
      <c r="J8072" s="8" t="s">
        <v>24179</v>
      </c>
    </row>
    <row r="8073">
      <c r="A8073" s="7">
        <v>2.0041365E7</v>
      </c>
      <c r="B8073" s="8" t="s">
        <v>1034</v>
      </c>
      <c r="C8073" s="8" t="s">
        <v>24180</v>
      </c>
      <c r="D8073" s="8" t="s">
        <v>16</v>
      </c>
      <c r="E8073" s="8" t="s">
        <v>17</v>
      </c>
      <c r="F8073" s="9">
        <v>46077.0</v>
      </c>
      <c r="G8073" s="8" t="s">
        <v>385</v>
      </c>
      <c r="H8073" s="8" t="s">
        <v>386</v>
      </c>
      <c r="I8073" s="8" t="s">
        <v>24181</v>
      </c>
      <c r="J8073" s="8" t="s">
        <v>24182</v>
      </c>
    </row>
    <row r="8074">
      <c r="A8074" s="7">
        <v>2.0072835E7</v>
      </c>
      <c r="B8074" s="8" t="s">
        <v>1034</v>
      </c>
      <c r="C8074" s="8" t="s">
        <v>24183</v>
      </c>
      <c r="D8074" s="8" t="s">
        <v>16</v>
      </c>
      <c r="E8074" s="8" t="s">
        <v>48</v>
      </c>
      <c r="F8074" s="9">
        <v>46192.0</v>
      </c>
      <c r="G8074" s="8" t="s">
        <v>908</v>
      </c>
      <c r="H8074" s="8" t="s">
        <v>909</v>
      </c>
      <c r="I8074" s="8"/>
      <c r="J8074" s="8" t="s">
        <v>24184</v>
      </c>
    </row>
    <row r="8075">
      <c r="A8075" s="7">
        <v>2.0066054E7</v>
      </c>
      <c r="B8075" s="8" t="s">
        <v>1034</v>
      </c>
      <c r="C8075" s="8" t="s">
        <v>24185</v>
      </c>
      <c r="D8075" s="8" t="s">
        <v>16</v>
      </c>
      <c r="E8075" s="8" t="s">
        <v>17</v>
      </c>
      <c r="F8075" s="9">
        <v>46193.0</v>
      </c>
      <c r="G8075" s="8" t="s">
        <v>184</v>
      </c>
      <c r="H8075" s="8" t="s">
        <v>185</v>
      </c>
      <c r="I8075" s="8" t="s">
        <v>24186</v>
      </c>
      <c r="J8075" s="8" t="s">
        <v>24187</v>
      </c>
    </row>
    <row r="8076">
      <c r="A8076" s="7">
        <v>2.0064532E7</v>
      </c>
      <c r="B8076" s="8" t="s">
        <v>1034</v>
      </c>
      <c r="C8076" s="8" t="s">
        <v>24188</v>
      </c>
      <c r="D8076" s="8" t="s">
        <v>16</v>
      </c>
      <c r="E8076" s="8" t="s">
        <v>17</v>
      </c>
      <c r="F8076" s="9">
        <v>46192.0</v>
      </c>
      <c r="G8076" s="8" t="s">
        <v>24189</v>
      </c>
      <c r="H8076" s="8" t="s">
        <v>24190</v>
      </c>
      <c r="I8076" s="8" t="s">
        <v>24191</v>
      </c>
      <c r="J8076" s="8" t="s">
        <v>24192</v>
      </c>
    </row>
    <row r="8077">
      <c r="A8077" s="7">
        <v>2.0064827E7</v>
      </c>
      <c r="B8077" s="8" t="s">
        <v>1034</v>
      </c>
      <c r="C8077" s="8" t="s">
        <v>24193</v>
      </c>
      <c r="D8077" s="8" t="s">
        <v>16</v>
      </c>
      <c r="E8077" s="8" t="s">
        <v>17</v>
      </c>
      <c r="F8077" s="9">
        <v>46167.0</v>
      </c>
      <c r="G8077" s="8" t="s">
        <v>234</v>
      </c>
      <c r="H8077" s="8" t="s">
        <v>235</v>
      </c>
      <c r="I8077" s="8" t="s">
        <v>24194</v>
      </c>
      <c r="J8077" s="8" t="s">
        <v>24195</v>
      </c>
    </row>
    <row r="8078">
      <c r="A8078" s="7">
        <v>2.00622E7</v>
      </c>
      <c r="B8078" s="8" t="s">
        <v>1034</v>
      </c>
      <c r="C8078" s="8" t="s">
        <v>24196</v>
      </c>
      <c r="D8078" s="8" t="s">
        <v>16</v>
      </c>
      <c r="E8078" s="8" t="s">
        <v>17</v>
      </c>
      <c r="F8078" s="9">
        <v>46155.0</v>
      </c>
      <c r="G8078" s="8" t="s">
        <v>247</v>
      </c>
      <c r="H8078" s="8" t="s">
        <v>248</v>
      </c>
      <c r="I8078" s="8" t="s">
        <v>24197</v>
      </c>
      <c r="J8078" s="8" t="s">
        <v>24198</v>
      </c>
    </row>
    <row r="8079">
      <c r="A8079" s="7">
        <v>2.0060777E7</v>
      </c>
      <c r="B8079" s="8" t="s">
        <v>1034</v>
      </c>
      <c r="C8079" s="8" t="s">
        <v>24199</v>
      </c>
      <c r="D8079" s="8" t="s">
        <v>16</v>
      </c>
      <c r="E8079" s="8" t="s">
        <v>17</v>
      </c>
      <c r="F8079" s="9">
        <v>46151.0</v>
      </c>
      <c r="G8079" s="8" t="s">
        <v>59</v>
      </c>
      <c r="H8079" s="8" t="s">
        <v>60</v>
      </c>
      <c r="I8079" s="8" t="s">
        <v>24200</v>
      </c>
      <c r="J8079" s="8" t="s">
        <v>24201</v>
      </c>
    </row>
    <row r="8080">
      <c r="A8080" s="7">
        <v>2.0058925E7</v>
      </c>
      <c r="B8080" s="8" t="s">
        <v>1034</v>
      </c>
      <c r="C8080" s="8" t="s">
        <v>24202</v>
      </c>
      <c r="D8080" s="8" t="s">
        <v>16</v>
      </c>
      <c r="E8080" s="8" t="s">
        <v>17</v>
      </c>
      <c r="F8080" s="9">
        <v>46184.0</v>
      </c>
      <c r="G8080" s="8" t="s">
        <v>2910</v>
      </c>
      <c r="H8080" s="8" t="s">
        <v>2911</v>
      </c>
      <c r="I8080" s="8" t="s">
        <v>24203</v>
      </c>
      <c r="J8080" s="8" t="s">
        <v>24114</v>
      </c>
    </row>
    <row r="8081">
      <c r="A8081" s="7">
        <v>2.0058293E7</v>
      </c>
      <c r="B8081" s="8" t="s">
        <v>1034</v>
      </c>
      <c r="C8081" s="8" t="s">
        <v>24204</v>
      </c>
      <c r="D8081" s="8" t="s">
        <v>16</v>
      </c>
      <c r="E8081" s="8" t="s">
        <v>17</v>
      </c>
      <c r="F8081" s="9">
        <v>46185.0</v>
      </c>
      <c r="G8081" s="8" t="s">
        <v>171</v>
      </c>
      <c r="H8081" s="8" t="s">
        <v>172</v>
      </c>
      <c r="I8081" s="8" t="s">
        <v>24205</v>
      </c>
      <c r="J8081" s="8" t="s">
        <v>24206</v>
      </c>
    </row>
    <row r="8082">
      <c r="A8082" s="7">
        <v>2.0054724E7</v>
      </c>
      <c r="B8082" s="8" t="s">
        <v>1034</v>
      </c>
      <c r="C8082" s="8" t="s">
        <v>24207</v>
      </c>
      <c r="D8082" s="8" t="s">
        <v>16</v>
      </c>
      <c r="E8082" s="8" t="s">
        <v>17</v>
      </c>
      <c r="F8082" s="9">
        <v>46125.0</v>
      </c>
      <c r="G8082" s="8" t="s">
        <v>109</v>
      </c>
      <c r="H8082" s="8" t="s">
        <v>110</v>
      </c>
      <c r="I8082" s="8" t="s">
        <v>24208</v>
      </c>
      <c r="J8082" s="8" t="s">
        <v>24209</v>
      </c>
    </row>
    <row r="8083">
      <c r="A8083" s="7">
        <v>2.0053324E7</v>
      </c>
      <c r="B8083" s="8" t="s">
        <v>1034</v>
      </c>
      <c r="C8083" s="8" t="s">
        <v>24210</v>
      </c>
      <c r="D8083" s="8" t="s">
        <v>16</v>
      </c>
      <c r="E8083" s="8" t="s">
        <v>17</v>
      </c>
      <c r="F8083" s="9">
        <v>46126.0</v>
      </c>
      <c r="G8083" s="8" t="s">
        <v>171</v>
      </c>
      <c r="H8083" s="8" t="s">
        <v>172</v>
      </c>
      <c r="I8083" s="8" t="s">
        <v>24211</v>
      </c>
      <c r="J8083" s="8" t="s">
        <v>24212</v>
      </c>
    </row>
    <row r="8084">
      <c r="A8084" s="7">
        <v>2.0047199E7</v>
      </c>
      <c r="B8084" s="8" t="s">
        <v>1034</v>
      </c>
      <c r="C8084" s="8" t="s">
        <v>24213</v>
      </c>
      <c r="D8084" s="8" t="s">
        <v>16</v>
      </c>
      <c r="E8084" s="8" t="s">
        <v>17</v>
      </c>
      <c r="F8084" s="9">
        <v>46107.0</v>
      </c>
      <c r="G8084" s="8" t="s">
        <v>3012</v>
      </c>
      <c r="H8084" s="8" t="s">
        <v>3013</v>
      </c>
      <c r="I8084" s="8" t="s">
        <v>24214</v>
      </c>
      <c r="J8084" s="8" t="s">
        <v>24215</v>
      </c>
    </row>
    <row r="8085">
      <c r="A8085" s="7">
        <v>2.0048966E7</v>
      </c>
      <c r="B8085" s="8" t="s">
        <v>1034</v>
      </c>
      <c r="C8085" s="8" t="s">
        <v>24216</v>
      </c>
      <c r="D8085" s="8" t="s">
        <v>16</v>
      </c>
      <c r="E8085" s="8" t="s">
        <v>17</v>
      </c>
      <c r="F8085" s="9">
        <v>46124.0</v>
      </c>
      <c r="G8085" s="8" t="s">
        <v>390</v>
      </c>
      <c r="H8085" s="8" t="s">
        <v>391</v>
      </c>
      <c r="I8085" s="8" t="s">
        <v>24217</v>
      </c>
      <c r="J8085" s="8" t="s">
        <v>24218</v>
      </c>
    </row>
    <row r="8086">
      <c r="A8086" s="7">
        <v>2.004604E7</v>
      </c>
      <c r="B8086" s="8" t="s">
        <v>1034</v>
      </c>
      <c r="C8086" s="8" t="s">
        <v>24219</v>
      </c>
      <c r="D8086" s="8" t="s">
        <v>16</v>
      </c>
      <c r="E8086" s="8" t="s">
        <v>17</v>
      </c>
      <c r="F8086" s="9">
        <v>46098.0</v>
      </c>
      <c r="G8086" s="8" t="s">
        <v>486</v>
      </c>
      <c r="H8086" s="8" t="s">
        <v>487</v>
      </c>
      <c r="I8086" s="8" t="s">
        <v>24220</v>
      </c>
      <c r="J8086" s="8" t="s">
        <v>24221</v>
      </c>
    </row>
    <row r="8087">
      <c r="A8087" s="7">
        <v>2.0045248E7</v>
      </c>
      <c r="B8087" s="8" t="s">
        <v>1034</v>
      </c>
      <c r="C8087" s="8" t="s">
        <v>24222</v>
      </c>
      <c r="D8087" s="8" t="s">
        <v>16</v>
      </c>
      <c r="E8087" s="8" t="s">
        <v>17</v>
      </c>
      <c r="F8087" s="9">
        <v>46083.0</v>
      </c>
      <c r="G8087" s="8" t="s">
        <v>800</v>
      </c>
      <c r="H8087" s="8" t="s">
        <v>801</v>
      </c>
      <c r="I8087" s="8" t="s">
        <v>24223</v>
      </c>
      <c r="J8087" s="8" t="s">
        <v>24224</v>
      </c>
    </row>
    <row r="8088">
      <c r="A8088" s="7">
        <v>2.0042485E7</v>
      </c>
      <c r="B8088" s="8" t="s">
        <v>1034</v>
      </c>
      <c r="C8088" s="8" t="s">
        <v>24225</v>
      </c>
      <c r="D8088" s="8" t="s">
        <v>16</v>
      </c>
      <c r="E8088" s="8" t="s">
        <v>17</v>
      </c>
      <c r="F8088" s="9">
        <v>46076.0</v>
      </c>
      <c r="G8088" s="8" t="s">
        <v>1093</v>
      </c>
      <c r="H8088" s="8" t="s">
        <v>1094</v>
      </c>
      <c r="I8088" s="8" t="s">
        <v>24226</v>
      </c>
      <c r="J8088" s="8" t="s">
        <v>24227</v>
      </c>
    </row>
    <row r="8089">
      <c r="A8089" s="7">
        <v>2.0042485E7</v>
      </c>
      <c r="B8089" s="8" t="s">
        <v>1034</v>
      </c>
      <c r="C8089" s="8" t="s">
        <v>24225</v>
      </c>
      <c r="D8089" s="8" t="s">
        <v>16</v>
      </c>
      <c r="E8089" s="8" t="s">
        <v>17</v>
      </c>
      <c r="F8089" s="9">
        <v>46076.0</v>
      </c>
      <c r="G8089" s="8" t="s">
        <v>1169</v>
      </c>
      <c r="H8089" s="8" t="s">
        <v>1170</v>
      </c>
      <c r="I8089" s="8" t="s">
        <v>24228</v>
      </c>
      <c r="J8089" s="8" t="s">
        <v>24229</v>
      </c>
    </row>
    <row r="8090">
      <c r="A8090" s="7">
        <v>2.0040055E7</v>
      </c>
      <c r="B8090" s="8" t="s">
        <v>1034</v>
      </c>
      <c r="C8090" s="8" t="s">
        <v>24230</v>
      </c>
      <c r="D8090" s="8" t="s">
        <v>2136</v>
      </c>
      <c r="E8090" s="8" t="s">
        <v>17</v>
      </c>
      <c r="F8090" s="9">
        <v>46058.0</v>
      </c>
      <c r="G8090" s="8" t="s">
        <v>75</v>
      </c>
      <c r="H8090" s="8" t="s">
        <v>76</v>
      </c>
      <c r="I8090" s="8" t="s">
        <v>24231</v>
      </c>
      <c r="J8090" s="8" t="s">
        <v>24232</v>
      </c>
    </row>
    <row r="8091">
      <c r="A8091" s="7">
        <v>2.0039017E7</v>
      </c>
      <c r="B8091" s="8" t="s">
        <v>1034</v>
      </c>
      <c r="C8091" s="8" t="s">
        <v>24233</v>
      </c>
      <c r="D8091" s="8" t="s">
        <v>16</v>
      </c>
      <c r="E8091" s="8" t="s">
        <v>48</v>
      </c>
      <c r="F8091" s="9">
        <v>46074.0</v>
      </c>
      <c r="G8091" s="8" t="s">
        <v>24234</v>
      </c>
      <c r="H8091" s="8" t="s">
        <v>24235</v>
      </c>
      <c r="I8091" s="8" t="s">
        <v>24236</v>
      </c>
      <c r="J8091" s="8"/>
    </row>
    <row r="8092">
      <c r="A8092" s="7">
        <v>2.0037543E7</v>
      </c>
      <c r="B8092" s="8" t="s">
        <v>1034</v>
      </c>
      <c r="C8092" s="8" t="s">
        <v>24237</v>
      </c>
      <c r="D8092" s="8" t="s">
        <v>16</v>
      </c>
      <c r="E8092" s="8" t="s">
        <v>17</v>
      </c>
      <c r="F8092" s="9">
        <v>46062.0</v>
      </c>
      <c r="G8092" s="8" t="s">
        <v>91</v>
      </c>
      <c r="H8092" s="8" t="s">
        <v>92</v>
      </c>
      <c r="I8092" s="8" t="s">
        <v>24238</v>
      </c>
      <c r="J8092" s="8" t="s">
        <v>24239</v>
      </c>
    </row>
    <row r="8093">
      <c r="A8093" s="7">
        <v>2.0036978E7</v>
      </c>
      <c r="B8093" s="8" t="s">
        <v>1034</v>
      </c>
      <c r="C8093" s="8" t="s">
        <v>24240</v>
      </c>
      <c r="D8093" s="8" t="s">
        <v>16</v>
      </c>
      <c r="E8093" s="8" t="s">
        <v>17</v>
      </c>
      <c r="F8093" s="9">
        <v>46072.0</v>
      </c>
      <c r="G8093" s="8" t="s">
        <v>16002</v>
      </c>
      <c r="H8093" s="8" t="s">
        <v>16003</v>
      </c>
      <c r="I8093" s="8" t="s">
        <v>24241</v>
      </c>
      <c r="J8093" s="8" t="s">
        <v>24242</v>
      </c>
    </row>
    <row r="8094">
      <c r="A8094" s="7">
        <v>2.0036635E7</v>
      </c>
      <c r="B8094" s="8" t="s">
        <v>1034</v>
      </c>
      <c r="C8094" s="8" t="s">
        <v>24243</v>
      </c>
      <c r="D8094" s="8" t="s">
        <v>16</v>
      </c>
      <c r="E8094" s="8" t="s">
        <v>17</v>
      </c>
      <c r="F8094" s="9">
        <v>46056.0</v>
      </c>
      <c r="G8094" s="8" t="s">
        <v>247</v>
      </c>
      <c r="H8094" s="8" t="s">
        <v>248</v>
      </c>
      <c r="I8094" s="8" t="s">
        <v>24244</v>
      </c>
      <c r="J8094" s="8" t="s">
        <v>24245</v>
      </c>
    </row>
    <row r="8095">
      <c r="A8095" s="7">
        <v>2.0036172E7</v>
      </c>
      <c r="B8095" s="8" t="s">
        <v>1034</v>
      </c>
      <c r="C8095" s="8" t="s">
        <v>24246</v>
      </c>
      <c r="D8095" s="8" t="s">
        <v>16</v>
      </c>
      <c r="E8095" s="8" t="s">
        <v>17</v>
      </c>
      <c r="F8095" s="9">
        <v>46065.0</v>
      </c>
      <c r="G8095" s="8" t="s">
        <v>543</v>
      </c>
      <c r="H8095" s="8" t="s">
        <v>544</v>
      </c>
      <c r="I8095" s="8" t="s">
        <v>24247</v>
      </c>
      <c r="J8095" s="8" t="s">
        <v>24248</v>
      </c>
    </row>
    <row r="8096">
      <c r="A8096" s="7">
        <v>2.0035867E7</v>
      </c>
      <c r="B8096" s="8" t="s">
        <v>1034</v>
      </c>
      <c r="C8096" s="8" t="s">
        <v>24249</v>
      </c>
      <c r="D8096" s="8" t="s">
        <v>16</v>
      </c>
      <c r="E8096" s="8" t="s">
        <v>17</v>
      </c>
      <c r="F8096" s="9">
        <v>46059.0</v>
      </c>
      <c r="G8096" s="8" t="s">
        <v>171</v>
      </c>
      <c r="H8096" s="8" t="s">
        <v>172</v>
      </c>
      <c r="I8096" s="8" t="s">
        <v>24250</v>
      </c>
      <c r="J8096" s="8" t="s">
        <v>24251</v>
      </c>
    </row>
    <row r="8097">
      <c r="A8097" s="7">
        <v>2.0033215E7</v>
      </c>
      <c r="B8097" s="8" t="s">
        <v>1034</v>
      </c>
      <c r="C8097" s="8" t="s">
        <v>24252</v>
      </c>
      <c r="D8097" s="8" t="s">
        <v>16</v>
      </c>
      <c r="E8097" s="8" t="s">
        <v>17</v>
      </c>
      <c r="F8097" s="9">
        <v>46056.0</v>
      </c>
      <c r="G8097" s="8" t="s">
        <v>4387</v>
      </c>
      <c r="H8097" s="8" t="s">
        <v>4388</v>
      </c>
      <c r="I8097" s="8" t="s">
        <v>24253</v>
      </c>
      <c r="J8097" s="8" t="s">
        <v>24254</v>
      </c>
    </row>
    <row r="8098">
      <c r="A8098" s="7">
        <v>2.0032725E7</v>
      </c>
      <c r="B8098" s="8" t="s">
        <v>1034</v>
      </c>
      <c r="C8098" s="8" t="s">
        <v>24255</v>
      </c>
      <c r="D8098" s="8" t="s">
        <v>16</v>
      </c>
      <c r="E8098" s="8" t="s">
        <v>17</v>
      </c>
      <c r="F8098" s="9">
        <v>46056.0</v>
      </c>
      <c r="G8098" s="8" t="s">
        <v>7961</v>
      </c>
      <c r="H8098" s="8" t="s">
        <v>7962</v>
      </c>
      <c r="I8098" s="8" t="s">
        <v>24256</v>
      </c>
      <c r="J8098" s="8" t="s">
        <v>24257</v>
      </c>
    </row>
    <row r="8099">
      <c r="A8099" s="7">
        <v>2.0034373E7</v>
      </c>
      <c r="B8099" s="8" t="s">
        <v>1034</v>
      </c>
      <c r="C8099" s="8" t="s">
        <v>24258</v>
      </c>
      <c r="D8099" s="8" t="s">
        <v>16</v>
      </c>
      <c r="E8099" s="8" t="s">
        <v>17</v>
      </c>
      <c r="F8099" s="9">
        <v>46040.0</v>
      </c>
      <c r="G8099" s="8" t="s">
        <v>220</v>
      </c>
      <c r="H8099" s="8" t="s">
        <v>221</v>
      </c>
      <c r="I8099" s="8" t="s">
        <v>24259</v>
      </c>
      <c r="J8099" s="8" t="s">
        <v>24260</v>
      </c>
    </row>
    <row r="8100">
      <c r="A8100" s="7">
        <v>2.0069881E7</v>
      </c>
      <c r="B8100" s="8" t="s">
        <v>1034</v>
      </c>
      <c r="C8100" s="8" t="s">
        <v>24261</v>
      </c>
      <c r="D8100" s="8" t="s">
        <v>16</v>
      </c>
      <c r="E8100" s="8" t="s">
        <v>17</v>
      </c>
      <c r="F8100" s="9">
        <v>46191.0</v>
      </c>
      <c r="G8100" s="8" t="s">
        <v>3837</v>
      </c>
      <c r="H8100" s="8" t="s">
        <v>3838</v>
      </c>
      <c r="I8100" s="8" t="s">
        <v>24262</v>
      </c>
      <c r="J8100" s="8" t="s">
        <v>24263</v>
      </c>
    </row>
    <row r="8101">
      <c r="A8101" s="7">
        <v>2.0069778E7</v>
      </c>
      <c r="B8101" s="8" t="s">
        <v>1034</v>
      </c>
      <c r="C8101" s="8" t="s">
        <v>24264</v>
      </c>
      <c r="D8101" s="8" t="s">
        <v>16</v>
      </c>
      <c r="E8101" s="8" t="s">
        <v>17</v>
      </c>
      <c r="F8101" s="9">
        <v>46187.0</v>
      </c>
      <c r="G8101" s="8" t="s">
        <v>846</v>
      </c>
      <c r="H8101" s="8" t="s">
        <v>847</v>
      </c>
      <c r="I8101" s="8" t="s">
        <v>24265</v>
      </c>
      <c r="J8101" s="8" t="s">
        <v>24266</v>
      </c>
    </row>
    <row r="8102">
      <c r="A8102" s="7">
        <v>2.0062879E7</v>
      </c>
      <c r="B8102" s="8" t="s">
        <v>1034</v>
      </c>
      <c r="C8102" s="8" t="s">
        <v>24267</v>
      </c>
      <c r="D8102" s="8" t="s">
        <v>16</v>
      </c>
      <c r="E8102" s="8" t="s">
        <v>17</v>
      </c>
      <c r="F8102" s="9">
        <v>46183.0</v>
      </c>
      <c r="G8102" s="8" t="s">
        <v>24268</v>
      </c>
      <c r="H8102" s="8" t="s">
        <v>24269</v>
      </c>
      <c r="I8102" s="8" t="s">
        <v>24270</v>
      </c>
      <c r="J8102" s="8" t="s">
        <v>24271</v>
      </c>
    </row>
    <row r="8103">
      <c r="A8103" s="7">
        <v>2.0060927E7</v>
      </c>
      <c r="B8103" s="8" t="s">
        <v>1034</v>
      </c>
      <c r="C8103" s="8" t="s">
        <v>24272</v>
      </c>
      <c r="D8103" s="8" t="s">
        <v>16</v>
      </c>
      <c r="E8103" s="8" t="s">
        <v>17</v>
      </c>
      <c r="F8103" s="9">
        <v>46183.0</v>
      </c>
      <c r="G8103" s="8" t="s">
        <v>361</v>
      </c>
      <c r="H8103" s="8" t="s">
        <v>362</v>
      </c>
      <c r="I8103" s="8" t="s">
        <v>24273</v>
      </c>
      <c r="J8103" s="8" t="s">
        <v>24274</v>
      </c>
    </row>
    <row r="8104">
      <c r="A8104" s="7">
        <v>2.0058784E7</v>
      </c>
      <c r="B8104" s="8" t="s">
        <v>1034</v>
      </c>
      <c r="C8104" s="8" t="s">
        <v>24275</v>
      </c>
      <c r="D8104" s="8" t="s">
        <v>16</v>
      </c>
      <c r="E8104" s="8" t="s">
        <v>17</v>
      </c>
      <c r="F8104" s="9">
        <v>46142.0</v>
      </c>
      <c r="G8104" s="8" t="s">
        <v>59</v>
      </c>
      <c r="H8104" s="8" t="s">
        <v>60</v>
      </c>
      <c r="I8104" s="8" t="s">
        <v>24276</v>
      </c>
      <c r="J8104" s="8" t="s">
        <v>24277</v>
      </c>
    </row>
    <row r="8105">
      <c r="A8105" s="7">
        <v>2.0057155E7</v>
      </c>
      <c r="B8105" s="8" t="s">
        <v>1034</v>
      </c>
      <c r="C8105" s="8" t="s">
        <v>24278</v>
      </c>
      <c r="D8105" s="8" t="s">
        <v>16</v>
      </c>
      <c r="E8105" s="8" t="s">
        <v>17</v>
      </c>
      <c r="F8105" s="9">
        <v>46135.0</v>
      </c>
      <c r="G8105" s="8" t="s">
        <v>365</v>
      </c>
      <c r="H8105" s="8" t="s">
        <v>366</v>
      </c>
      <c r="I8105" s="8" t="s">
        <v>24279</v>
      </c>
      <c r="J8105" s="8" t="s">
        <v>24280</v>
      </c>
    </row>
    <row r="8106">
      <c r="A8106" s="7">
        <v>2.0056809E7</v>
      </c>
      <c r="B8106" s="8" t="s">
        <v>1034</v>
      </c>
      <c r="C8106" s="8" t="s">
        <v>24281</v>
      </c>
      <c r="D8106" s="8" t="s">
        <v>16</v>
      </c>
      <c r="E8106" s="8" t="s">
        <v>17</v>
      </c>
      <c r="F8106" s="9">
        <v>46146.0</v>
      </c>
      <c r="G8106" s="8" t="s">
        <v>410</v>
      </c>
      <c r="H8106" s="8" t="s">
        <v>411</v>
      </c>
      <c r="I8106" s="8" t="s">
        <v>24282</v>
      </c>
      <c r="J8106" s="8" t="s">
        <v>24283</v>
      </c>
    </row>
    <row r="8107">
      <c r="A8107" s="7">
        <v>2.0056161E7</v>
      </c>
      <c r="B8107" s="8" t="s">
        <v>1034</v>
      </c>
      <c r="C8107" s="8" t="s">
        <v>24284</v>
      </c>
      <c r="D8107" s="8" t="s">
        <v>16</v>
      </c>
      <c r="E8107" s="8" t="s">
        <v>17</v>
      </c>
      <c r="F8107" s="9">
        <v>46145.0</v>
      </c>
      <c r="G8107" s="8" t="s">
        <v>158</v>
      </c>
      <c r="H8107" s="8" t="s">
        <v>159</v>
      </c>
      <c r="I8107" s="8" t="s">
        <v>24285</v>
      </c>
      <c r="J8107" s="8" t="s">
        <v>24286</v>
      </c>
    </row>
    <row r="8108">
      <c r="A8108" s="7">
        <v>2.0054165E7</v>
      </c>
      <c r="B8108" s="8" t="s">
        <v>1034</v>
      </c>
      <c r="C8108" s="8" t="s">
        <v>24287</v>
      </c>
      <c r="D8108" s="8" t="s">
        <v>16</v>
      </c>
      <c r="E8108" s="8" t="s">
        <v>17</v>
      </c>
      <c r="F8108" s="9">
        <v>46141.0</v>
      </c>
      <c r="G8108" s="8" t="s">
        <v>114</v>
      </c>
      <c r="H8108" s="8" t="s">
        <v>115</v>
      </c>
      <c r="I8108" s="8" t="s">
        <v>24288</v>
      </c>
      <c r="J8108" s="8" t="s">
        <v>24289</v>
      </c>
    </row>
    <row r="8109">
      <c r="A8109" s="7">
        <v>2.0053621E7</v>
      </c>
      <c r="B8109" s="8" t="s">
        <v>1034</v>
      </c>
      <c r="C8109" s="8" t="s">
        <v>24290</v>
      </c>
      <c r="D8109" s="8" t="s">
        <v>16</v>
      </c>
      <c r="E8109" s="8" t="s">
        <v>17</v>
      </c>
      <c r="F8109" s="9">
        <v>46140.0</v>
      </c>
      <c r="G8109" s="8" t="s">
        <v>1627</v>
      </c>
      <c r="H8109" s="8" t="s">
        <v>1628</v>
      </c>
      <c r="I8109" s="8" t="s">
        <v>24291</v>
      </c>
      <c r="J8109" s="8" t="s">
        <v>24292</v>
      </c>
    </row>
    <row r="8110">
      <c r="A8110" s="7">
        <v>2.0052862E7</v>
      </c>
      <c r="B8110" s="8" t="s">
        <v>1034</v>
      </c>
      <c r="C8110" s="8" t="s">
        <v>24293</v>
      </c>
      <c r="D8110" s="8" t="s">
        <v>16</v>
      </c>
      <c r="E8110" s="8" t="s">
        <v>17</v>
      </c>
      <c r="F8110" s="9">
        <v>46113.0</v>
      </c>
      <c r="G8110" s="8" t="s">
        <v>20322</v>
      </c>
      <c r="H8110" s="8" t="s">
        <v>20323</v>
      </c>
      <c r="I8110" s="8" t="s">
        <v>24294</v>
      </c>
      <c r="J8110" s="8" t="s">
        <v>24295</v>
      </c>
    </row>
    <row r="8111">
      <c r="A8111" s="7">
        <v>2.0052862E7</v>
      </c>
      <c r="B8111" s="8" t="s">
        <v>1034</v>
      </c>
      <c r="C8111" s="8" t="s">
        <v>24296</v>
      </c>
      <c r="D8111" s="8" t="s">
        <v>16</v>
      </c>
      <c r="E8111" s="8" t="s">
        <v>17</v>
      </c>
      <c r="F8111" s="9">
        <v>46137.0</v>
      </c>
      <c r="G8111" s="8" t="s">
        <v>2714</v>
      </c>
      <c r="H8111" s="8" t="s">
        <v>2715</v>
      </c>
      <c r="I8111" s="8" t="s">
        <v>24297</v>
      </c>
      <c r="J8111" s="8" t="s">
        <v>24298</v>
      </c>
    </row>
    <row r="8112">
      <c r="A8112" s="7">
        <v>2.0046095E7</v>
      </c>
      <c r="B8112" s="8" t="s">
        <v>1034</v>
      </c>
      <c r="C8112" s="8" t="s">
        <v>24299</v>
      </c>
      <c r="D8112" s="8" t="s">
        <v>16</v>
      </c>
      <c r="E8112" s="8" t="s">
        <v>17</v>
      </c>
      <c r="F8112" s="9">
        <v>46094.0</v>
      </c>
      <c r="G8112" s="8" t="s">
        <v>234</v>
      </c>
      <c r="H8112" s="8" t="s">
        <v>235</v>
      </c>
      <c r="I8112" s="8" t="s">
        <v>24300</v>
      </c>
      <c r="J8112" s="8" t="s">
        <v>24301</v>
      </c>
    </row>
    <row r="8113">
      <c r="A8113" s="7">
        <v>2.0044508E7</v>
      </c>
      <c r="B8113" s="8" t="s">
        <v>1034</v>
      </c>
      <c r="C8113" s="8" t="s">
        <v>24302</v>
      </c>
      <c r="D8113" s="8" t="s">
        <v>16</v>
      </c>
      <c r="E8113" s="8" t="s">
        <v>17</v>
      </c>
      <c r="F8113" s="9">
        <v>46082.0</v>
      </c>
      <c r="G8113" s="8" t="s">
        <v>3012</v>
      </c>
      <c r="H8113" s="8" t="s">
        <v>3013</v>
      </c>
      <c r="I8113" s="8" t="s">
        <v>24303</v>
      </c>
      <c r="J8113" s="8" t="s">
        <v>24304</v>
      </c>
    </row>
    <row r="8114">
      <c r="A8114" s="7">
        <v>2.0042102E7</v>
      </c>
      <c r="B8114" s="8" t="s">
        <v>1034</v>
      </c>
      <c r="C8114" s="8" t="s">
        <v>24305</v>
      </c>
      <c r="D8114" s="8" t="s">
        <v>16</v>
      </c>
      <c r="E8114" s="8" t="s">
        <v>17</v>
      </c>
      <c r="F8114" s="9">
        <v>46090.0</v>
      </c>
      <c r="G8114" s="8" t="s">
        <v>1662</v>
      </c>
      <c r="H8114" s="8" t="s">
        <v>1663</v>
      </c>
      <c r="I8114" s="8" t="s">
        <v>24306</v>
      </c>
      <c r="J8114" s="8" t="s">
        <v>24307</v>
      </c>
    </row>
    <row r="8115">
      <c r="A8115" s="7">
        <v>2.0031065E7</v>
      </c>
      <c r="B8115" s="8" t="s">
        <v>1034</v>
      </c>
      <c r="C8115" s="8" t="s">
        <v>24308</v>
      </c>
      <c r="D8115" s="8" t="s">
        <v>16</v>
      </c>
      <c r="E8115" s="8" t="s">
        <v>17</v>
      </c>
      <c r="F8115" s="9">
        <v>46090.0</v>
      </c>
      <c r="G8115" s="8" t="s">
        <v>158</v>
      </c>
      <c r="H8115" s="8" t="s">
        <v>159</v>
      </c>
      <c r="I8115" s="8" t="s">
        <v>24309</v>
      </c>
      <c r="J8115" s="8" t="s">
        <v>24310</v>
      </c>
    </row>
    <row r="8116">
      <c r="A8116" s="7">
        <v>2.003873E7</v>
      </c>
      <c r="B8116" s="8" t="s">
        <v>1034</v>
      </c>
      <c r="C8116" s="8" t="s">
        <v>24311</v>
      </c>
      <c r="D8116" s="8" t="s">
        <v>16</v>
      </c>
      <c r="E8116" s="8" t="s">
        <v>17</v>
      </c>
      <c r="F8116" s="9">
        <v>46062.0</v>
      </c>
      <c r="G8116" s="8" t="s">
        <v>822</v>
      </c>
      <c r="H8116" s="8" t="s">
        <v>120</v>
      </c>
      <c r="I8116" s="8" t="s">
        <v>24312</v>
      </c>
      <c r="J8116" s="8" t="s">
        <v>24313</v>
      </c>
    </row>
    <row r="8117">
      <c r="A8117" s="7">
        <v>2.0032727E7</v>
      </c>
      <c r="B8117" s="8" t="s">
        <v>1034</v>
      </c>
      <c r="C8117" s="8" t="s">
        <v>24314</v>
      </c>
      <c r="D8117" s="8" t="s">
        <v>16</v>
      </c>
      <c r="E8117" s="8" t="s">
        <v>17</v>
      </c>
      <c r="F8117" s="9">
        <v>46056.0</v>
      </c>
      <c r="G8117" s="8" t="s">
        <v>1045</v>
      </c>
      <c r="H8117" s="8" t="s">
        <v>909</v>
      </c>
      <c r="I8117" s="8" t="s">
        <v>24315</v>
      </c>
      <c r="J8117" s="8" t="s">
        <v>24316</v>
      </c>
    </row>
    <row r="8118">
      <c r="A8118" s="7">
        <v>2.0031014E7</v>
      </c>
      <c r="B8118" s="8" t="s">
        <v>1034</v>
      </c>
      <c r="C8118" s="8" t="s">
        <v>24317</v>
      </c>
      <c r="D8118" s="8" t="s">
        <v>16</v>
      </c>
      <c r="E8118" s="8" t="s">
        <v>17</v>
      </c>
      <c r="F8118" s="9">
        <v>46049.0</v>
      </c>
      <c r="G8118" s="8" t="s">
        <v>492</v>
      </c>
      <c r="H8118" s="8" t="s">
        <v>493</v>
      </c>
      <c r="I8118" s="8" t="s">
        <v>24318</v>
      </c>
      <c r="J8118" s="8" t="s">
        <v>24319</v>
      </c>
    </row>
    <row r="8119">
      <c r="A8119" s="7">
        <v>2.0068367E7</v>
      </c>
      <c r="B8119" s="8" t="s">
        <v>1034</v>
      </c>
      <c r="C8119" s="8" t="s">
        <v>24320</v>
      </c>
      <c r="D8119" s="8" t="s">
        <v>16</v>
      </c>
      <c r="E8119" s="8" t="s">
        <v>17</v>
      </c>
      <c r="F8119" s="9">
        <v>46178.0</v>
      </c>
      <c r="G8119" s="8" t="s">
        <v>59</v>
      </c>
      <c r="H8119" s="8" t="s">
        <v>60</v>
      </c>
      <c r="I8119" s="8" t="s">
        <v>24321</v>
      </c>
      <c r="J8119" s="8" t="s">
        <v>24322</v>
      </c>
    </row>
    <row r="8120">
      <c r="A8120" s="7">
        <v>2.0065732E7</v>
      </c>
      <c r="B8120" s="8" t="s">
        <v>1034</v>
      </c>
      <c r="C8120" s="8" t="s">
        <v>24323</v>
      </c>
      <c r="D8120" s="8" t="s">
        <v>2136</v>
      </c>
      <c r="E8120" s="8" t="s">
        <v>17</v>
      </c>
      <c r="F8120" s="9">
        <v>46165.0</v>
      </c>
      <c r="G8120" s="8" t="s">
        <v>59</v>
      </c>
      <c r="H8120" s="8" t="s">
        <v>60</v>
      </c>
      <c r="I8120" s="8" t="s">
        <v>24324</v>
      </c>
      <c r="J8120" s="8" t="s">
        <v>24325</v>
      </c>
    </row>
    <row r="8121">
      <c r="A8121" s="7">
        <v>2.0061433E7</v>
      </c>
      <c r="B8121" s="8" t="s">
        <v>1034</v>
      </c>
      <c r="C8121" s="8" t="s">
        <v>24326</v>
      </c>
      <c r="D8121" s="8" t="s">
        <v>16</v>
      </c>
      <c r="E8121" s="8" t="s">
        <v>17</v>
      </c>
      <c r="F8121" s="9">
        <v>46178.0</v>
      </c>
      <c r="G8121" s="8" t="s">
        <v>3012</v>
      </c>
      <c r="H8121" s="8" t="s">
        <v>3013</v>
      </c>
      <c r="I8121" s="8" t="s">
        <v>24327</v>
      </c>
      <c r="J8121" s="8" t="s">
        <v>24328</v>
      </c>
    </row>
    <row r="8122">
      <c r="A8122" s="7">
        <v>2.0064438E7</v>
      </c>
      <c r="B8122" s="8" t="s">
        <v>1034</v>
      </c>
      <c r="C8122" s="8" t="s">
        <v>24329</v>
      </c>
      <c r="D8122" s="8" t="s">
        <v>2136</v>
      </c>
      <c r="E8122" s="8" t="s">
        <v>17</v>
      </c>
      <c r="F8122" s="9">
        <v>46158.0</v>
      </c>
      <c r="G8122" s="8" t="s">
        <v>59</v>
      </c>
      <c r="H8122" s="8" t="s">
        <v>60</v>
      </c>
      <c r="I8122" s="8" t="s">
        <v>24330</v>
      </c>
      <c r="J8122" s="8" t="s">
        <v>24331</v>
      </c>
    </row>
    <row r="8123">
      <c r="A8123" s="7">
        <v>2.0064191E7</v>
      </c>
      <c r="B8123" s="8" t="s">
        <v>1034</v>
      </c>
      <c r="C8123" s="8" t="s">
        <v>24332</v>
      </c>
      <c r="D8123" s="8" t="s">
        <v>16</v>
      </c>
      <c r="E8123" s="8" t="s">
        <v>17</v>
      </c>
      <c r="F8123" s="9">
        <v>46188.0</v>
      </c>
      <c r="G8123" s="8" t="s">
        <v>543</v>
      </c>
      <c r="H8123" s="8" t="s">
        <v>544</v>
      </c>
      <c r="I8123" s="8" t="s">
        <v>24333</v>
      </c>
      <c r="J8123" s="8" t="s">
        <v>22571</v>
      </c>
    </row>
    <row r="8124">
      <c r="A8124" s="7">
        <v>2.0063447E7</v>
      </c>
      <c r="B8124" s="8" t="s">
        <v>1034</v>
      </c>
      <c r="C8124" s="8" t="s">
        <v>24334</v>
      </c>
      <c r="D8124" s="8" t="s">
        <v>16</v>
      </c>
      <c r="E8124" s="8" t="s">
        <v>17</v>
      </c>
      <c r="F8124" s="9">
        <v>46184.0</v>
      </c>
      <c r="G8124" s="8" t="s">
        <v>6689</v>
      </c>
      <c r="H8124" s="8" t="s">
        <v>6690</v>
      </c>
      <c r="I8124" s="8" t="s">
        <v>24335</v>
      </c>
      <c r="J8124" s="8" t="s">
        <v>24336</v>
      </c>
    </row>
    <row r="8125">
      <c r="A8125" s="7">
        <v>2.0063447E7</v>
      </c>
      <c r="B8125" s="8" t="s">
        <v>1034</v>
      </c>
      <c r="C8125" s="8" t="s">
        <v>24334</v>
      </c>
      <c r="D8125" s="8" t="s">
        <v>16</v>
      </c>
      <c r="E8125" s="8" t="s">
        <v>17</v>
      </c>
      <c r="F8125" s="9">
        <v>46184.0</v>
      </c>
      <c r="G8125" s="8" t="s">
        <v>3837</v>
      </c>
      <c r="H8125" s="8" t="s">
        <v>3838</v>
      </c>
      <c r="I8125" s="8" t="s">
        <v>24337</v>
      </c>
      <c r="J8125" s="8" t="s">
        <v>24338</v>
      </c>
    </row>
    <row r="8126">
      <c r="A8126" s="7">
        <v>2.006221E7</v>
      </c>
      <c r="B8126" s="8" t="s">
        <v>1034</v>
      </c>
      <c r="C8126" s="8" t="s">
        <v>24339</v>
      </c>
      <c r="D8126" s="8" t="s">
        <v>16</v>
      </c>
      <c r="E8126" s="8" t="s">
        <v>17</v>
      </c>
      <c r="F8126" s="9">
        <v>46177.0</v>
      </c>
      <c r="G8126" s="8" t="s">
        <v>158</v>
      </c>
      <c r="H8126" s="8" t="s">
        <v>159</v>
      </c>
      <c r="I8126" s="8" t="s">
        <v>24340</v>
      </c>
      <c r="J8126" s="8" t="s">
        <v>24341</v>
      </c>
    </row>
    <row r="8127">
      <c r="A8127" s="7">
        <v>2.0061372E7</v>
      </c>
      <c r="B8127" s="8" t="s">
        <v>1034</v>
      </c>
      <c r="C8127" s="8" t="s">
        <v>24342</v>
      </c>
      <c r="D8127" s="8" t="s">
        <v>16</v>
      </c>
      <c r="E8127" s="8" t="s">
        <v>17</v>
      </c>
      <c r="F8127" s="9">
        <v>46178.0</v>
      </c>
      <c r="G8127" s="8" t="s">
        <v>361</v>
      </c>
      <c r="H8127" s="8" t="s">
        <v>362</v>
      </c>
      <c r="I8127" s="8" t="s">
        <v>24343</v>
      </c>
      <c r="J8127" s="8" t="s">
        <v>24344</v>
      </c>
    </row>
    <row r="8128">
      <c r="A8128" s="7">
        <v>2.0058134E7</v>
      </c>
      <c r="B8128" s="8" t="s">
        <v>1034</v>
      </c>
      <c r="C8128" s="8" t="s">
        <v>24345</v>
      </c>
      <c r="D8128" s="8" t="s">
        <v>16</v>
      </c>
      <c r="E8128" s="8" t="s">
        <v>17</v>
      </c>
      <c r="F8128" s="9">
        <v>46154.0</v>
      </c>
      <c r="G8128" s="8" t="s">
        <v>5127</v>
      </c>
      <c r="H8128" s="8" t="s">
        <v>5128</v>
      </c>
      <c r="I8128" s="8" t="s">
        <v>24346</v>
      </c>
      <c r="J8128" s="8" t="s">
        <v>24347</v>
      </c>
    </row>
    <row r="8129">
      <c r="A8129" s="7">
        <v>2.0054235E7</v>
      </c>
      <c r="B8129" s="8" t="s">
        <v>1034</v>
      </c>
      <c r="C8129" s="8" t="s">
        <v>24348</v>
      </c>
      <c r="D8129" s="8" t="s">
        <v>16</v>
      </c>
      <c r="E8129" s="8" t="s">
        <v>17</v>
      </c>
      <c r="F8129" s="9">
        <v>46125.0</v>
      </c>
      <c r="G8129" s="8" t="s">
        <v>59</v>
      </c>
      <c r="H8129" s="8" t="s">
        <v>60</v>
      </c>
      <c r="I8129" s="8" t="s">
        <v>24349</v>
      </c>
      <c r="J8129" s="8" t="s">
        <v>24350</v>
      </c>
    </row>
    <row r="8130">
      <c r="A8130" s="7">
        <v>2.0054191E7</v>
      </c>
      <c r="B8130" s="8" t="s">
        <v>1034</v>
      </c>
      <c r="C8130" s="8" t="s">
        <v>24351</v>
      </c>
      <c r="D8130" s="8" t="s">
        <v>16</v>
      </c>
      <c r="E8130" s="8" t="s">
        <v>17</v>
      </c>
      <c r="F8130" s="9">
        <v>46120.0</v>
      </c>
      <c r="G8130" s="8" t="s">
        <v>385</v>
      </c>
      <c r="H8130" s="8" t="s">
        <v>386</v>
      </c>
      <c r="I8130" s="8" t="s">
        <v>24352</v>
      </c>
      <c r="J8130" s="8" t="s">
        <v>24353</v>
      </c>
    </row>
    <row r="8131">
      <c r="A8131" s="7">
        <v>2.0054191E7</v>
      </c>
      <c r="B8131" s="8" t="s">
        <v>1034</v>
      </c>
      <c r="C8131" s="8" t="s">
        <v>24354</v>
      </c>
      <c r="D8131" s="8" t="s">
        <v>16</v>
      </c>
      <c r="E8131" s="8" t="s">
        <v>17</v>
      </c>
      <c r="F8131" s="9">
        <v>46137.0</v>
      </c>
      <c r="G8131" s="8" t="s">
        <v>1057</v>
      </c>
      <c r="H8131" s="8" t="s">
        <v>1058</v>
      </c>
      <c r="I8131" s="8" t="s">
        <v>24355</v>
      </c>
      <c r="J8131" s="8" t="s">
        <v>24356</v>
      </c>
    </row>
    <row r="8132">
      <c r="A8132" s="7">
        <v>2.0049679E7</v>
      </c>
      <c r="B8132" s="8" t="s">
        <v>1034</v>
      </c>
      <c r="C8132" s="8" t="s">
        <v>24357</v>
      </c>
      <c r="D8132" s="8" t="s">
        <v>16</v>
      </c>
      <c r="E8132" s="8" t="s">
        <v>17</v>
      </c>
      <c r="F8132" s="9">
        <v>46100.0</v>
      </c>
      <c r="G8132" s="8" t="s">
        <v>385</v>
      </c>
      <c r="H8132" s="8" t="s">
        <v>386</v>
      </c>
      <c r="I8132" s="8" t="s">
        <v>24358</v>
      </c>
      <c r="J8132" s="8" t="s">
        <v>24359</v>
      </c>
    </row>
    <row r="8133">
      <c r="A8133" s="7">
        <v>2.0046065E7</v>
      </c>
      <c r="B8133" s="8" t="s">
        <v>1034</v>
      </c>
      <c r="C8133" s="8" t="s">
        <v>24360</v>
      </c>
      <c r="D8133" s="8" t="s">
        <v>2136</v>
      </c>
      <c r="E8133" s="8" t="s">
        <v>17</v>
      </c>
      <c r="F8133" s="9">
        <v>46082.0</v>
      </c>
      <c r="G8133" s="8" t="s">
        <v>195</v>
      </c>
      <c r="H8133" s="8" t="s">
        <v>196</v>
      </c>
      <c r="I8133" s="8" t="s">
        <v>24361</v>
      </c>
      <c r="J8133" s="8" t="s">
        <v>24362</v>
      </c>
    </row>
    <row r="8134">
      <c r="A8134" s="7">
        <v>2.0044321E7</v>
      </c>
      <c r="B8134" s="8" t="s">
        <v>1034</v>
      </c>
      <c r="C8134" s="8" t="s">
        <v>24363</v>
      </c>
      <c r="D8134" s="8" t="s">
        <v>16</v>
      </c>
      <c r="E8134" s="8" t="s">
        <v>17</v>
      </c>
      <c r="F8134" s="9">
        <v>46081.0</v>
      </c>
      <c r="G8134" s="8" t="s">
        <v>4850</v>
      </c>
      <c r="H8134" s="8" t="s">
        <v>4851</v>
      </c>
      <c r="I8134" s="8" t="s">
        <v>24364</v>
      </c>
      <c r="J8134" s="8" t="s">
        <v>24365</v>
      </c>
    </row>
    <row r="8135">
      <c r="A8135" s="7">
        <v>2.0044321E7</v>
      </c>
      <c r="B8135" s="8" t="s">
        <v>1034</v>
      </c>
      <c r="C8135" s="8" t="s">
        <v>24363</v>
      </c>
      <c r="D8135" s="8" t="s">
        <v>16</v>
      </c>
      <c r="E8135" s="8" t="s">
        <v>17</v>
      </c>
      <c r="F8135" s="9">
        <v>46081.0</v>
      </c>
      <c r="G8135" s="8" t="s">
        <v>2511</v>
      </c>
      <c r="H8135" s="8" t="s">
        <v>2512</v>
      </c>
      <c r="I8135" s="8" t="s">
        <v>24366</v>
      </c>
      <c r="J8135" s="8" t="s">
        <v>1752</v>
      </c>
    </row>
    <row r="8136">
      <c r="A8136" s="7">
        <v>2.0044321E7</v>
      </c>
      <c r="B8136" s="8" t="s">
        <v>1034</v>
      </c>
      <c r="C8136" s="8" t="s">
        <v>24367</v>
      </c>
      <c r="D8136" s="8" t="s">
        <v>16</v>
      </c>
      <c r="E8136" s="8" t="s">
        <v>17</v>
      </c>
      <c r="F8136" s="9">
        <v>46098.0</v>
      </c>
      <c r="G8136" s="8" t="s">
        <v>16211</v>
      </c>
      <c r="H8136" s="8" t="s">
        <v>16212</v>
      </c>
      <c r="I8136" s="8" t="s">
        <v>24368</v>
      </c>
      <c r="J8136" s="8" t="s">
        <v>24369</v>
      </c>
    </row>
    <row r="8137">
      <c r="A8137" s="7">
        <v>2.0042106E7</v>
      </c>
      <c r="B8137" s="8" t="s">
        <v>1034</v>
      </c>
      <c r="C8137" s="8" t="s">
        <v>24370</v>
      </c>
      <c r="D8137" s="8" t="s">
        <v>16</v>
      </c>
      <c r="E8137" s="8" t="s">
        <v>17</v>
      </c>
      <c r="F8137" s="9">
        <v>46093.0</v>
      </c>
      <c r="G8137" s="8" t="s">
        <v>1616</v>
      </c>
      <c r="H8137" s="8" t="s">
        <v>1617</v>
      </c>
      <c r="I8137" s="8" t="s">
        <v>24371</v>
      </c>
      <c r="J8137" s="8" t="s">
        <v>24372</v>
      </c>
    </row>
    <row r="8138">
      <c r="A8138" s="7">
        <v>2.00414E7</v>
      </c>
      <c r="B8138" s="8" t="s">
        <v>1034</v>
      </c>
      <c r="C8138" s="8" t="s">
        <v>24373</v>
      </c>
      <c r="D8138" s="8" t="s">
        <v>16</v>
      </c>
      <c r="E8138" s="8" t="s">
        <v>17</v>
      </c>
      <c r="F8138" s="9">
        <v>46087.0</v>
      </c>
      <c r="G8138" s="8" t="s">
        <v>171</v>
      </c>
      <c r="H8138" s="8" t="s">
        <v>172</v>
      </c>
      <c r="I8138" s="8" t="s">
        <v>24374</v>
      </c>
      <c r="J8138" s="8" t="s">
        <v>24375</v>
      </c>
    </row>
    <row r="8139">
      <c r="A8139" s="7">
        <v>2.0040913E7</v>
      </c>
      <c r="B8139" s="8" t="s">
        <v>1034</v>
      </c>
      <c r="C8139" s="8" t="s">
        <v>24376</v>
      </c>
      <c r="D8139" s="8" t="s">
        <v>16</v>
      </c>
      <c r="E8139" s="8" t="s">
        <v>17</v>
      </c>
      <c r="F8139" s="9">
        <v>46076.0</v>
      </c>
      <c r="G8139" s="8" t="s">
        <v>504</v>
      </c>
      <c r="H8139" s="8" t="s">
        <v>505</v>
      </c>
      <c r="I8139" s="8" t="s">
        <v>24377</v>
      </c>
      <c r="J8139" s="8" t="s">
        <v>24378</v>
      </c>
    </row>
    <row r="8140">
      <c r="A8140" s="7">
        <v>2.0040913E7</v>
      </c>
      <c r="B8140" s="8" t="s">
        <v>1034</v>
      </c>
      <c r="C8140" s="8" t="s">
        <v>24376</v>
      </c>
      <c r="D8140" s="8" t="s">
        <v>16</v>
      </c>
      <c r="E8140" s="8" t="s">
        <v>17</v>
      </c>
      <c r="F8140" s="9">
        <v>46076.0</v>
      </c>
      <c r="G8140" s="8" t="s">
        <v>517</v>
      </c>
      <c r="H8140" s="8" t="s">
        <v>518</v>
      </c>
      <c r="I8140" s="8" t="s">
        <v>24379</v>
      </c>
      <c r="J8140" s="8" t="s">
        <v>24380</v>
      </c>
    </row>
    <row r="8141">
      <c r="A8141" s="7">
        <v>2.0040913E7</v>
      </c>
      <c r="B8141" s="8" t="s">
        <v>1034</v>
      </c>
      <c r="C8141" s="8" t="s">
        <v>24376</v>
      </c>
      <c r="D8141" s="8" t="s">
        <v>16</v>
      </c>
      <c r="E8141" s="8" t="s">
        <v>17</v>
      </c>
      <c r="F8141" s="9">
        <v>46076.0</v>
      </c>
      <c r="G8141" s="8" t="s">
        <v>10934</v>
      </c>
      <c r="H8141" s="8" t="s">
        <v>10935</v>
      </c>
      <c r="I8141" s="8" t="s">
        <v>24381</v>
      </c>
      <c r="J8141" s="8" t="s">
        <v>24382</v>
      </c>
    </row>
    <row r="8142">
      <c r="A8142" s="7">
        <v>2.0039844E7</v>
      </c>
      <c r="B8142" s="8" t="s">
        <v>1034</v>
      </c>
      <c r="C8142" s="8" t="s">
        <v>24383</v>
      </c>
      <c r="D8142" s="8" t="s">
        <v>16</v>
      </c>
      <c r="E8142" s="8" t="s">
        <v>17</v>
      </c>
      <c r="F8142" s="9">
        <v>46058.0</v>
      </c>
      <c r="G8142" s="8" t="s">
        <v>846</v>
      </c>
      <c r="H8142" s="8" t="s">
        <v>847</v>
      </c>
      <c r="I8142" s="8" t="s">
        <v>24384</v>
      </c>
      <c r="J8142" s="8" t="s">
        <v>24385</v>
      </c>
    </row>
    <row r="8143">
      <c r="A8143" s="7">
        <v>2.0036482E7</v>
      </c>
      <c r="B8143" s="8" t="s">
        <v>1034</v>
      </c>
      <c r="C8143" s="8" t="s">
        <v>24386</v>
      </c>
      <c r="D8143" s="8" t="s">
        <v>16</v>
      </c>
      <c r="E8143" s="8" t="s">
        <v>17</v>
      </c>
      <c r="F8143" s="9">
        <v>46081.0</v>
      </c>
      <c r="G8143" s="8" t="s">
        <v>511</v>
      </c>
      <c r="H8143" s="8" t="s">
        <v>512</v>
      </c>
      <c r="I8143" s="8" t="s">
        <v>24387</v>
      </c>
      <c r="J8143" s="8" t="s">
        <v>24388</v>
      </c>
    </row>
    <row r="8144">
      <c r="A8144" s="7">
        <v>2.0038957E7</v>
      </c>
      <c r="B8144" s="8" t="s">
        <v>1034</v>
      </c>
      <c r="C8144" s="8" t="s">
        <v>24389</v>
      </c>
      <c r="D8144" s="8" t="s">
        <v>2136</v>
      </c>
      <c r="E8144" s="8" t="s">
        <v>17</v>
      </c>
      <c r="F8144" s="9">
        <v>46053.0</v>
      </c>
      <c r="G8144" s="8" t="s">
        <v>195</v>
      </c>
      <c r="H8144" s="8" t="s">
        <v>196</v>
      </c>
      <c r="I8144" s="8" t="s">
        <v>24390</v>
      </c>
      <c r="J8144" s="8" t="s">
        <v>24391</v>
      </c>
    </row>
    <row r="8145">
      <c r="A8145" s="7">
        <v>2.0037523E7</v>
      </c>
      <c r="B8145" s="8" t="s">
        <v>1034</v>
      </c>
      <c r="C8145" s="8" t="s">
        <v>24392</v>
      </c>
      <c r="D8145" s="8" t="s">
        <v>16</v>
      </c>
      <c r="E8145" s="8" t="s">
        <v>17</v>
      </c>
      <c r="F8145" s="9">
        <v>46047.0</v>
      </c>
      <c r="G8145" s="8" t="s">
        <v>339</v>
      </c>
      <c r="H8145" s="8" t="s">
        <v>340</v>
      </c>
      <c r="I8145" s="8" t="s">
        <v>24393</v>
      </c>
      <c r="J8145" s="8" t="s">
        <v>24394</v>
      </c>
    </row>
    <row r="8146">
      <c r="A8146" s="7">
        <v>2.0034776E7</v>
      </c>
      <c r="B8146" s="8" t="s">
        <v>1034</v>
      </c>
      <c r="C8146" s="8" t="s">
        <v>24395</v>
      </c>
      <c r="D8146" s="8" t="s">
        <v>16</v>
      </c>
      <c r="E8146" s="8" t="s">
        <v>17</v>
      </c>
      <c r="F8146" s="9">
        <v>46044.0</v>
      </c>
      <c r="G8146" s="8" t="s">
        <v>1319</v>
      </c>
      <c r="H8146" s="8" t="s">
        <v>1320</v>
      </c>
      <c r="I8146" s="8" t="s">
        <v>24396</v>
      </c>
      <c r="J8146" s="8" t="s">
        <v>24397</v>
      </c>
    </row>
    <row r="8147">
      <c r="A8147" s="7">
        <v>2.0067886E7</v>
      </c>
      <c r="B8147" s="8" t="s">
        <v>1034</v>
      </c>
      <c r="C8147" s="8" t="s">
        <v>24398</v>
      </c>
      <c r="D8147" s="8" t="s">
        <v>16</v>
      </c>
      <c r="E8147" s="8" t="s">
        <v>17</v>
      </c>
      <c r="F8147" s="9">
        <v>46181.0</v>
      </c>
      <c r="G8147" s="8" t="s">
        <v>59</v>
      </c>
      <c r="H8147" s="8" t="s">
        <v>60</v>
      </c>
      <c r="I8147" s="8" t="s">
        <v>24399</v>
      </c>
      <c r="J8147" s="8" t="s">
        <v>24400</v>
      </c>
    </row>
    <row r="8148">
      <c r="A8148" s="7">
        <v>2.0067702E7</v>
      </c>
      <c r="B8148" s="8" t="s">
        <v>1034</v>
      </c>
      <c r="C8148" s="8" t="s">
        <v>24401</v>
      </c>
      <c r="D8148" s="8" t="s">
        <v>16</v>
      </c>
      <c r="E8148" s="8" t="s">
        <v>17</v>
      </c>
      <c r="F8148" s="9">
        <v>46191.0</v>
      </c>
      <c r="G8148" s="8" t="s">
        <v>410</v>
      </c>
      <c r="H8148" s="8" t="s">
        <v>411</v>
      </c>
      <c r="I8148" s="8" t="s">
        <v>24402</v>
      </c>
      <c r="J8148" s="8" t="s">
        <v>24403</v>
      </c>
    </row>
    <row r="8149">
      <c r="A8149" s="7">
        <v>2.0065575E7</v>
      </c>
      <c r="B8149" s="8" t="s">
        <v>1034</v>
      </c>
      <c r="C8149" s="8" t="s">
        <v>24404</v>
      </c>
      <c r="D8149" s="8" t="s">
        <v>16</v>
      </c>
      <c r="E8149" s="8" t="s">
        <v>17</v>
      </c>
      <c r="F8149" s="9">
        <v>46191.0</v>
      </c>
      <c r="G8149" s="8" t="s">
        <v>1427</v>
      </c>
      <c r="H8149" s="8" t="s">
        <v>1428</v>
      </c>
      <c r="I8149" s="8" t="s">
        <v>24405</v>
      </c>
      <c r="J8149" s="8" t="s">
        <v>24406</v>
      </c>
    </row>
    <row r="8150">
      <c r="A8150" s="7">
        <v>2.0062324E7</v>
      </c>
      <c r="B8150" s="8" t="s">
        <v>1034</v>
      </c>
      <c r="C8150" s="8" t="s">
        <v>24407</v>
      </c>
      <c r="D8150" s="8" t="s">
        <v>16</v>
      </c>
      <c r="E8150" s="8" t="s">
        <v>17</v>
      </c>
      <c r="F8150" s="9">
        <v>46160.0</v>
      </c>
      <c r="G8150" s="8" t="s">
        <v>109</v>
      </c>
      <c r="H8150" s="8" t="s">
        <v>110</v>
      </c>
      <c r="I8150" s="8" t="s">
        <v>24408</v>
      </c>
      <c r="J8150" s="8" t="s">
        <v>24409</v>
      </c>
    </row>
    <row r="8151">
      <c r="A8151" s="7">
        <v>2.0056169E7</v>
      </c>
      <c r="B8151" s="8" t="s">
        <v>1034</v>
      </c>
      <c r="C8151" s="8" t="s">
        <v>24410</v>
      </c>
      <c r="D8151" s="8" t="s">
        <v>16</v>
      </c>
      <c r="E8151" s="8" t="s">
        <v>17</v>
      </c>
      <c r="F8151" s="9">
        <v>46158.0</v>
      </c>
      <c r="G8151" s="8" t="s">
        <v>1319</v>
      </c>
      <c r="H8151" s="8" t="s">
        <v>1320</v>
      </c>
      <c r="I8151" s="8" t="s">
        <v>24411</v>
      </c>
      <c r="J8151" s="8" t="s">
        <v>24412</v>
      </c>
    </row>
    <row r="8152">
      <c r="A8152" s="7">
        <v>2.0056787E7</v>
      </c>
      <c r="B8152" s="8" t="s">
        <v>1034</v>
      </c>
      <c r="C8152" s="8" t="s">
        <v>24413</v>
      </c>
      <c r="D8152" s="8" t="s">
        <v>16</v>
      </c>
      <c r="E8152" s="8" t="s">
        <v>17</v>
      </c>
      <c r="F8152" s="9">
        <v>46144.0</v>
      </c>
      <c r="G8152" s="8" t="s">
        <v>594</v>
      </c>
      <c r="H8152" s="8" t="s">
        <v>595</v>
      </c>
      <c r="I8152" s="8" t="s">
        <v>24414</v>
      </c>
      <c r="J8152" s="8"/>
    </row>
    <row r="8153">
      <c r="A8153" s="7">
        <v>2.0054811E7</v>
      </c>
      <c r="B8153" s="8" t="s">
        <v>1034</v>
      </c>
      <c r="C8153" s="8" t="s">
        <v>24415</v>
      </c>
      <c r="D8153" s="8" t="s">
        <v>16</v>
      </c>
      <c r="E8153" s="8" t="s">
        <v>17</v>
      </c>
      <c r="F8153" s="9">
        <v>46129.0</v>
      </c>
      <c r="G8153" s="8" t="s">
        <v>34</v>
      </c>
      <c r="H8153" s="8" t="s">
        <v>35</v>
      </c>
      <c r="I8153" s="8" t="s">
        <v>24416</v>
      </c>
      <c r="J8153" s="8" t="s">
        <v>24417</v>
      </c>
    </row>
    <row r="8154">
      <c r="A8154" s="7">
        <v>2.0055774E7</v>
      </c>
      <c r="B8154" s="8" t="s">
        <v>1034</v>
      </c>
      <c r="C8154" s="8" t="s">
        <v>24418</v>
      </c>
      <c r="D8154" s="8" t="s">
        <v>16</v>
      </c>
      <c r="E8154" s="8" t="s">
        <v>17</v>
      </c>
      <c r="F8154" s="9">
        <v>46129.0</v>
      </c>
      <c r="G8154" s="8" t="s">
        <v>234</v>
      </c>
      <c r="H8154" s="8" t="s">
        <v>235</v>
      </c>
      <c r="I8154" s="8" t="s">
        <v>24419</v>
      </c>
      <c r="J8154" s="8" t="s">
        <v>24420</v>
      </c>
    </row>
    <row r="8155">
      <c r="A8155" s="7">
        <v>2.0055462E7</v>
      </c>
      <c r="B8155" s="8" t="s">
        <v>1034</v>
      </c>
      <c r="C8155" s="8" t="s">
        <v>24421</v>
      </c>
      <c r="D8155" s="8" t="s">
        <v>16</v>
      </c>
      <c r="E8155" s="8" t="s">
        <v>17</v>
      </c>
      <c r="F8155" s="9">
        <v>46127.0</v>
      </c>
      <c r="G8155" s="8" t="s">
        <v>24422</v>
      </c>
      <c r="H8155" s="8" t="s">
        <v>24423</v>
      </c>
      <c r="I8155" s="8" t="s">
        <v>24424</v>
      </c>
      <c r="J8155" s="8"/>
    </row>
    <row r="8156">
      <c r="A8156" s="7">
        <v>2.0055462E7</v>
      </c>
      <c r="B8156" s="8" t="s">
        <v>1034</v>
      </c>
      <c r="C8156" s="8" t="s">
        <v>24425</v>
      </c>
      <c r="D8156" s="8" t="s">
        <v>16</v>
      </c>
      <c r="E8156" s="8" t="s">
        <v>17</v>
      </c>
      <c r="F8156" s="9">
        <v>46144.0</v>
      </c>
      <c r="G8156" s="8" t="s">
        <v>24426</v>
      </c>
      <c r="H8156" s="8" t="s">
        <v>24427</v>
      </c>
      <c r="I8156" s="8" t="s">
        <v>24428</v>
      </c>
      <c r="J8156" s="8" t="s">
        <v>24429</v>
      </c>
    </row>
    <row r="8157">
      <c r="A8157" s="7">
        <v>2.0055067E7</v>
      </c>
      <c r="B8157" s="8" t="s">
        <v>1034</v>
      </c>
      <c r="C8157" s="8" t="s">
        <v>24430</v>
      </c>
      <c r="D8157" s="8" t="s">
        <v>16</v>
      </c>
      <c r="E8157" s="8" t="s">
        <v>17</v>
      </c>
      <c r="F8157" s="9">
        <v>46140.0</v>
      </c>
      <c r="G8157" s="8" t="s">
        <v>64</v>
      </c>
      <c r="H8157" s="8" t="s">
        <v>65</v>
      </c>
      <c r="I8157" s="8" t="s">
        <v>24431</v>
      </c>
      <c r="J8157" s="8" t="s">
        <v>24432</v>
      </c>
    </row>
    <row r="8158">
      <c r="A8158" s="7">
        <v>2.0052676E7</v>
      </c>
      <c r="B8158" s="8" t="s">
        <v>1034</v>
      </c>
      <c r="C8158" s="8" t="s">
        <v>24433</v>
      </c>
      <c r="D8158" s="8" t="s">
        <v>16</v>
      </c>
      <c r="E8158" s="8" t="s">
        <v>17</v>
      </c>
      <c r="F8158" s="9">
        <v>46137.0</v>
      </c>
      <c r="G8158" s="8" t="s">
        <v>3133</v>
      </c>
      <c r="H8158" s="8" t="s">
        <v>3134</v>
      </c>
      <c r="I8158" s="8" t="s">
        <v>24434</v>
      </c>
      <c r="J8158" s="8"/>
    </row>
    <row r="8159">
      <c r="A8159" s="7">
        <v>2.0050051E7</v>
      </c>
      <c r="B8159" s="8" t="s">
        <v>1034</v>
      </c>
      <c r="C8159" s="8" t="s">
        <v>24435</v>
      </c>
      <c r="D8159" s="8" t="s">
        <v>16</v>
      </c>
      <c r="E8159" s="8" t="s">
        <v>17</v>
      </c>
      <c r="F8159" s="9">
        <v>46127.0</v>
      </c>
      <c r="G8159" s="8" t="s">
        <v>24436</v>
      </c>
      <c r="H8159" s="8" t="s">
        <v>24437</v>
      </c>
      <c r="I8159" s="8" t="s">
        <v>24438</v>
      </c>
      <c r="J8159" s="8" t="s">
        <v>24439</v>
      </c>
    </row>
    <row r="8160">
      <c r="A8160" s="7">
        <v>2.0051195E7</v>
      </c>
      <c r="B8160" s="8" t="s">
        <v>1034</v>
      </c>
      <c r="C8160" s="8" t="s">
        <v>24440</v>
      </c>
      <c r="D8160" s="8" t="s">
        <v>16</v>
      </c>
      <c r="E8160" s="8" t="s">
        <v>17</v>
      </c>
      <c r="F8160" s="9">
        <v>46120.0</v>
      </c>
      <c r="G8160" s="8" t="s">
        <v>171</v>
      </c>
      <c r="H8160" s="8" t="s">
        <v>172</v>
      </c>
      <c r="I8160" s="8" t="s">
        <v>24441</v>
      </c>
      <c r="J8160" s="8" t="s">
        <v>24442</v>
      </c>
    </row>
    <row r="8161">
      <c r="A8161" s="7">
        <v>2.0050219E7</v>
      </c>
      <c r="B8161" s="8" t="s">
        <v>1034</v>
      </c>
      <c r="C8161" s="8" t="s">
        <v>24443</v>
      </c>
      <c r="D8161" s="8" t="s">
        <v>16</v>
      </c>
      <c r="E8161" s="8" t="s">
        <v>17</v>
      </c>
      <c r="F8161" s="9">
        <v>46105.0</v>
      </c>
      <c r="G8161" s="8" t="s">
        <v>868</v>
      </c>
      <c r="H8161" s="8" t="s">
        <v>869</v>
      </c>
      <c r="I8161" s="8" t="s">
        <v>24444</v>
      </c>
      <c r="J8161" s="8" t="s">
        <v>24445</v>
      </c>
    </row>
    <row r="8162">
      <c r="A8162" s="7">
        <v>2.0048511E7</v>
      </c>
      <c r="B8162" s="8" t="s">
        <v>1034</v>
      </c>
      <c r="C8162" s="8" t="s">
        <v>24446</v>
      </c>
      <c r="D8162" s="8" t="s">
        <v>16</v>
      </c>
      <c r="E8162" s="8" t="s">
        <v>17</v>
      </c>
      <c r="F8162" s="9">
        <v>46113.0</v>
      </c>
      <c r="G8162" s="8" t="s">
        <v>410</v>
      </c>
      <c r="H8162" s="8" t="s">
        <v>411</v>
      </c>
      <c r="I8162" s="8" t="s">
        <v>24447</v>
      </c>
      <c r="J8162" s="8" t="s">
        <v>24448</v>
      </c>
    </row>
    <row r="8163">
      <c r="A8163" s="7">
        <v>2.0043532E7</v>
      </c>
      <c r="B8163" s="8" t="s">
        <v>1034</v>
      </c>
      <c r="C8163" s="8" t="s">
        <v>24449</v>
      </c>
      <c r="D8163" s="8" t="s">
        <v>16</v>
      </c>
      <c r="E8163" s="8" t="s">
        <v>17</v>
      </c>
      <c r="F8163" s="9">
        <v>46087.0</v>
      </c>
      <c r="G8163" s="8" t="s">
        <v>1085</v>
      </c>
      <c r="H8163" s="8" t="s">
        <v>1086</v>
      </c>
      <c r="I8163" s="8" t="s">
        <v>24450</v>
      </c>
      <c r="J8163" s="8" t="s">
        <v>24451</v>
      </c>
    </row>
    <row r="8164">
      <c r="A8164" s="7">
        <v>2.0043462E7</v>
      </c>
      <c r="B8164" s="8" t="s">
        <v>1034</v>
      </c>
      <c r="C8164" s="8" t="s">
        <v>24452</v>
      </c>
      <c r="D8164" s="8" t="s">
        <v>16</v>
      </c>
      <c r="E8164" s="8" t="s">
        <v>17</v>
      </c>
      <c r="F8164" s="9">
        <v>46086.0</v>
      </c>
      <c r="G8164" s="8" t="s">
        <v>390</v>
      </c>
      <c r="H8164" s="8" t="s">
        <v>391</v>
      </c>
      <c r="I8164" s="8" t="s">
        <v>24453</v>
      </c>
      <c r="J8164" s="8" t="s">
        <v>24454</v>
      </c>
    </row>
    <row r="8165">
      <c r="A8165" s="7">
        <v>2.0041153E7</v>
      </c>
      <c r="B8165" s="8" t="s">
        <v>1034</v>
      </c>
      <c r="C8165" s="8" t="s">
        <v>24455</v>
      </c>
      <c r="D8165" s="8" t="s">
        <v>16</v>
      </c>
      <c r="E8165" s="8" t="s">
        <v>17</v>
      </c>
      <c r="F8165" s="9">
        <v>46087.0</v>
      </c>
      <c r="G8165" s="8" t="s">
        <v>467</v>
      </c>
      <c r="H8165" s="8" t="s">
        <v>468</v>
      </c>
      <c r="I8165" s="8" t="s">
        <v>24456</v>
      </c>
      <c r="J8165" s="8" t="s">
        <v>24457</v>
      </c>
    </row>
    <row r="8166">
      <c r="A8166" s="7">
        <v>2.0040745E7</v>
      </c>
      <c r="B8166" s="8" t="s">
        <v>1034</v>
      </c>
      <c r="C8166" s="8" t="s">
        <v>24458</v>
      </c>
      <c r="D8166" s="8" t="s">
        <v>16</v>
      </c>
      <c r="E8166" s="8" t="s">
        <v>17</v>
      </c>
      <c r="F8166" s="9">
        <v>46062.0</v>
      </c>
      <c r="G8166" s="8" t="s">
        <v>59</v>
      </c>
      <c r="H8166" s="8" t="s">
        <v>60</v>
      </c>
      <c r="I8166" s="8" t="s">
        <v>24459</v>
      </c>
      <c r="J8166" s="8" t="s">
        <v>24460</v>
      </c>
    </row>
    <row r="8167">
      <c r="A8167" s="7">
        <v>2.0039878E7</v>
      </c>
      <c r="B8167" s="8" t="s">
        <v>1034</v>
      </c>
      <c r="C8167" s="8" t="s">
        <v>24461</v>
      </c>
      <c r="D8167" s="8" t="s">
        <v>16</v>
      </c>
      <c r="E8167" s="8" t="s">
        <v>17</v>
      </c>
      <c r="F8167" s="9">
        <v>46064.0</v>
      </c>
      <c r="G8167" s="8" t="s">
        <v>1093</v>
      </c>
      <c r="H8167" s="8" t="s">
        <v>1094</v>
      </c>
      <c r="I8167" s="8" t="s">
        <v>24462</v>
      </c>
      <c r="J8167" s="8" t="s">
        <v>24463</v>
      </c>
    </row>
    <row r="8168">
      <c r="A8168" s="7">
        <v>2.003879E7</v>
      </c>
      <c r="B8168" s="8" t="s">
        <v>1034</v>
      </c>
      <c r="C8168" s="8" t="s">
        <v>24464</v>
      </c>
      <c r="D8168" s="8" t="s">
        <v>16</v>
      </c>
      <c r="E8168" s="8" t="s">
        <v>17</v>
      </c>
      <c r="F8168" s="9">
        <v>46062.0</v>
      </c>
      <c r="G8168" s="8" t="s">
        <v>220</v>
      </c>
      <c r="H8168" s="8" t="s">
        <v>221</v>
      </c>
      <c r="I8168" s="8" t="s">
        <v>24465</v>
      </c>
      <c r="J8168" s="8" t="s">
        <v>24466</v>
      </c>
    </row>
    <row r="8169">
      <c r="A8169" s="7">
        <v>2.0037087E7</v>
      </c>
      <c r="B8169" s="8" t="s">
        <v>1034</v>
      </c>
      <c r="C8169" s="8" t="s">
        <v>24467</v>
      </c>
      <c r="D8169" s="8" t="s">
        <v>16</v>
      </c>
      <c r="E8169" s="8" t="s">
        <v>17</v>
      </c>
      <c r="F8169" s="9">
        <v>46057.0</v>
      </c>
      <c r="G8169" s="8" t="s">
        <v>34</v>
      </c>
      <c r="H8169" s="8" t="s">
        <v>35</v>
      </c>
      <c r="I8169" s="8" t="s">
        <v>24468</v>
      </c>
      <c r="J8169" s="8" t="s">
        <v>24469</v>
      </c>
    </row>
    <row r="8170">
      <c r="A8170" s="7">
        <v>2.0036858E7</v>
      </c>
      <c r="B8170" s="8" t="s">
        <v>1034</v>
      </c>
      <c r="C8170" s="8" t="s">
        <v>24470</v>
      </c>
      <c r="D8170" s="8" t="s">
        <v>16</v>
      </c>
      <c r="E8170" s="8" t="s">
        <v>17</v>
      </c>
      <c r="F8170" s="9">
        <v>46073.0</v>
      </c>
      <c r="G8170" s="8" t="s">
        <v>24471</v>
      </c>
      <c r="H8170" s="8" t="s">
        <v>24472</v>
      </c>
      <c r="I8170" s="8" t="s">
        <v>24473</v>
      </c>
      <c r="J8170" s="8" t="s">
        <v>1459</v>
      </c>
    </row>
    <row r="8171">
      <c r="A8171" s="7">
        <v>2.0035542E7</v>
      </c>
      <c r="B8171" s="8" t="s">
        <v>1034</v>
      </c>
      <c r="C8171" s="8" t="s">
        <v>24474</v>
      </c>
      <c r="D8171" s="8" t="s">
        <v>16</v>
      </c>
      <c r="E8171" s="8" t="s">
        <v>17</v>
      </c>
      <c r="F8171" s="9">
        <v>46052.0</v>
      </c>
      <c r="G8171" s="8" t="s">
        <v>59</v>
      </c>
      <c r="H8171" s="8" t="s">
        <v>60</v>
      </c>
      <c r="I8171" s="8" t="s">
        <v>24475</v>
      </c>
      <c r="J8171" s="8" t="s">
        <v>24476</v>
      </c>
    </row>
    <row r="8172">
      <c r="A8172" s="7">
        <v>2.0068151E7</v>
      </c>
      <c r="B8172" s="8" t="s">
        <v>776</v>
      </c>
      <c r="C8172" s="8" t="s">
        <v>24477</v>
      </c>
      <c r="D8172" s="8" t="s">
        <v>16</v>
      </c>
      <c r="E8172" s="8" t="s">
        <v>17</v>
      </c>
      <c r="F8172" s="9">
        <v>46183.0</v>
      </c>
      <c r="G8172" s="8" t="s">
        <v>978</v>
      </c>
      <c r="H8172" s="8" t="s">
        <v>979</v>
      </c>
      <c r="I8172" s="8" t="s">
        <v>24478</v>
      </c>
      <c r="J8172" s="8" t="s">
        <v>24479</v>
      </c>
    </row>
    <row r="8173">
      <c r="A8173" s="7">
        <v>2.0062517E7</v>
      </c>
      <c r="B8173" s="8" t="s">
        <v>776</v>
      </c>
      <c r="C8173" s="8" t="s">
        <v>24480</v>
      </c>
      <c r="D8173" s="8" t="s">
        <v>16</v>
      </c>
      <c r="E8173" s="8" t="s">
        <v>17</v>
      </c>
      <c r="F8173" s="9">
        <v>46163.0</v>
      </c>
      <c r="G8173" s="8" t="s">
        <v>59</v>
      </c>
      <c r="H8173" s="8" t="s">
        <v>60</v>
      </c>
      <c r="I8173" s="8" t="s">
        <v>24481</v>
      </c>
      <c r="J8173" s="8" t="s">
        <v>24482</v>
      </c>
    </row>
    <row r="8174">
      <c r="A8174" s="7">
        <v>2.0061437E7</v>
      </c>
      <c r="B8174" s="8" t="s">
        <v>776</v>
      </c>
      <c r="C8174" s="8" t="s">
        <v>24483</v>
      </c>
      <c r="D8174" s="8" t="s">
        <v>16</v>
      </c>
      <c r="E8174" s="8" t="s">
        <v>17</v>
      </c>
      <c r="F8174" s="9">
        <v>46150.0</v>
      </c>
      <c r="G8174" s="8" t="s">
        <v>59</v>
      </c>
      <c r="H8174" s="8" t="s">
        <v>60</v>
      </c>
      <c r="I8174" s="8" t="s">
        <v>24484</v>
      </c>
      <c r="J8174" s="8" t="s">
        <v>24485</v>
      </c>
    </row>
    <row r="8175">
      <c r="A8175" s="7">
        <v>2.0058739E7</v>
      </c>
      <c r="B8175" s="8" t="s">
        <v>776</v>
      </c>
      <c r="C8175" s="8" t="s">
        <v>24486</v>
      </c>
      <c r="D8175" s="8" t="s">
        <v>2136</v>
      </c>
      <c r="E8175" s="8" t="s">
        <v>17</v>
      </c>
      <c r="F8175" s="9">
        <v>46144.0</v>
      </c>
      <c r="G8175" s="8" t="s">
        <v>339</v>
      </c>
      <c r="H8175" s="8" t="s">
        <v>340</v>
      </c>
      <c r="I8175" s="8" t="s">
        <v>24487</v>
      </c>
      <c r="J8175" s="8" t="s">
        <v>24488</v>
      </c>
    </row>
    <row r="8176">
      <c r="A8176" s="7">
        <v>2.0051093E7</v>
      </c>
      <c r="B8176" s="8" t="s">
        <v>776</v>
      </c>
      <c r="C8176" s="8" t="s">
        <v>24489</v>
      </c>
      <c r="D8176" s="8" t="s">
        <v>16</v>
      </c>
      <c r="E8176" s="8" t="s">
        <v>17</v>
      </c>
      <c r="F8176" s="9">
        <v>46121.0</v>
      </c>
      <c r="G8176" s="8" t="s">
        <v>114</v>
      </c>
      <c r="H8176" s="8" t="s">
        <v>115</v>
      </c>
      <c r="I8176" s="8" t="s">
        <v>24490</v>
      </c>
      <c r="J8176" s="8" t="s">
        <v>24491</v>
      </c>
    </row>
    <row r="8177">
      <c r="A8177" s="7">
        <v>2.0048919E7</v>
      </c>
      <c r="B8177" s="8" t="s">
        <v>776</v>
      </c>
      <c r="C8177" s="8" t="s">
        <v>24492</v>
      </c>
      <c r="D8177" s="8" t="s">
        <v>16</v>
      </c>
      <c r="E8177" s="8" t="s">
        <v>17</v>
      </c>
      <c r="F8177" s="9">
        <v>46112.0</v>
      </c>
      <c r="G8177" s="8" t="s">
        <v>24493</v>
      </c>
      <c r="H8177" s="8" t="s">
        <v>24494</v>
      </c>
      <c r="I8177" s="8" t="s">
        <v>24495</v>
      </c>
      <c r="J8177" s="8" t="s">
        <v>24496</v>
      </c>
    </row>
    <row r="8178">
      <c r="A8178" s="7">
        <v>2.0046062E7</v>
      </c>
      <c r="B8178" s="8" t="s">
        <v>776</v>
      </c>
      <c r="C8178" s="8" t="s">
        <v>24497</v>
      </c>
      <c r="D8178" s="8" t="s">
        <v>16</v>
      </c>
      <c r="E8178" s="8" t="s">
        <v>17</v>
      </c>
      <c r="F8178" s="9">
        <v>46081.0</v>
      </c>
      <c r="G8178" s="8" t="s">
        <v>846</v>
      </c>
      <c r="H8178" s="8" t="s">
        <v>847</v>
      </c>
      <c r="I8178" s="8" t="s">
        <v>24498</v>
      </c>
      <c r="J8178" s="8" t="s">
        <v>24499</v>
      </c>
    </row>
    <row r="8179">
      <c r="A8179" s="7">
        <v>2.0038747E7</v>
      </c>
      <c r="B8179" s="8" t="s">
        <v>776</v>
      </c>
      <c r="C8179" s="8" t="s">
        <v>24500</v>
      </c>
      <c r="D8179" s="8" t="s">
        <v>16</v>
      </c>
      <c r="E8179" s="8" t="s">
        <v>17</v>
      </c>
      <c r="F8179" s="9">
        <v>46082.0</v>
      </c>
      <c r="G8179" s="8" t="s">
        <v>2122</v>
      </c>
      <c r="H8179" s="8" t="s">
        <v>2123</v>
      </c>
      <c r="I8179" s="8" t="s">
        <v>24501</v>
      </c>
      <c r="J8179" s="8" t="s">
        <v>24502</v>
      </c>
    </row>
    <row r="8180">
      <c r="A8180" s="7">
        <v>2.0038779E7</v>
      </c>
      <c r="B8180" s="8" t="s">
        <v>776</v>
      </c>
      <c r="C8180" s="8" t="s">
        <v>24503</v>
      </c>
      <c r="D8180" s="8" t="s">
        <v>16</v>
      </c>
      <c r="E8180" s="8" t="s">
        <v>17</v>
      </c>
      <c r="F8180" s="9">
        <v>46060.0</v>
      </c>
      <c r="G8180" s="8" t="s">
        <v>1132</v>
      </c>
      <c r="H8180" s="8" t="s">
        <v>1133</v>
      </c>
      <c r="I8180" s="8" t="s">
        <v>24504</v>
      </c>
      <c r="J8180" s="8" t="s">
        <v>24505</v>
      </c>
    </row>
    <row r="8181">
      <c r="A8181" s="7">
        <v>2.0037388E7</v>
      </c>
      <c r="B8181" s="8" t="s">
        <v>776</v>
      </c>
      <c r="C8181" s="8" t="s">
        <v>24506</v>
      </c>
      <c r="D8181" s="8" t="s">
        <v>16</v>
      </c>
      <c r="E8181" s="8" t="s">
        <v>17</v>
      </c>
      <c r="F8181" s="9">
        <v>46053.0</v>
      </c>
      <c r="G8181" s="8" t="s">
        <v>1949</v>
      </c>
      <c r="H8181" s="8" t="s">
        <v>1950</v>
      </c>
      <c r="I8181" s="8" t="s">
        <v>24507</v>
      </c>
      <c r="J8181" s="8" t="s">
        <v>24508</v>
      </c>
    </row>
    <row r="8182">
      <c r="A8182" s="7">
        <v>2.0037339E7</v>
      </c>
      <c r="B8182" s="8" t="s">
        <v>776</v>
      </c>
      <c r="C8182" s="8" t="s">
        <v>24509</v>
      </c>
      <c r="D8182" s="8" t="s">
        <v>16</v>
      </c>
      <c r="E8182" s="8" t="s">
        <v>17</v>
      </c>
      <c r="F8182" s="9">
        <v>46064.0</v>
      </c>
      <c r="G8182" s="8" t="s">
        <v>158</v>
      </c>
      <c r="H8182" s="8" t="s">
        <v>159</v>
      </c>
      <c r="I8182" s="8" t="s">
        <v>24510</v>
      </c>
      <c r="J8182" s="8" t="s">
        <v>24511</v>
      </c>
    </row>
    <row r="8183">
      <c r="A8183" s="7">
        <v>2.0069263E7</v>
      </c>
      <c r="B8183" s="8" t="s">
        <v>776</v>
      </c>
      <c r="C8183" s="8" t="s">
        <v>24512</v>
      </c>
      <c r="D8183" s="8" t="s">
        <v>16</v>
      </c>
      <c r="E8183" s="8" t="s">
        <v>17</v>
      </c>
      <c r="F8183" s="9">
        <v>46185.0</v>
      </c>
      <c r="G8183" s="8" t="s">
        <v>1949</v>
      </c>
      <c r="H8183" s="8" t="s">
        <v>1950</v>
      </c>
      <c r="I8183" s="8" t="s">
        <v>24513</v>
      </c>
      <c r="J8183" s="8" t="s">
        <v>24514</v>
      </c>
    </row>
    <row r="8184">
      <c r="A8184" s="7">
        <v>2.0067385E7</v>
      </c>
      <c r="B8184" s="8" t="s">
        <v>776</v>
      </c>
      <c r="C8184" s="8" t="s">
        <v>24515</v>
      </c>
      <c r="D8184" s="8" t="s">
        <v>16</v>
      </c>
      <c r="E8184" s="8" t="s">
        <v>17</v>
      </c>
      <c r="F8184" s="9">
        <v>46193.0</v>
      </c>
      <c r="G8184" s="8" t="s">
        <v>3012</v>
      </c>
      <c r="H8184" s="8" t="s">
        <v>3013</v>
      </c>
      <c r="I8184" s="8" t="s">
        <v>24516</v>
      </c>
      <c r="J8184" s="8" t="s">
        <v>24517</v>
      </c>
    </row>
    <row r="8185">
      <c r="A8185" s="7">
        <v>2.0067385E7</v>
      </c>
      <c r="B8185" s="8" t="s">
        <v>776</v>
      </c>
      <c r="C8185" s="8" t="s">
        <v>24515</v>
      </c>
      <c r="D8185" s="8" t="s">
        <v>16</v>
      </c>
      <c r="E8185" s="8" t="s">
        <v>17</v>
      </c>
      <c r="F8185" s="9">
        <v>46193.0</v>
      </c>
      <c r="G8185" s="8" t="s">
        <v>12566</v>
      </c>
      <c r="H8185" s="8" t="s">
        <v>12567</v>
      </c>
      <c r="I8185" s="8" t="s">
        <v>24518</v>
      </c>
      <c r="J8185" s="8" t="s">
        <v>24519</v>
      </c>
    </row>
    <row r="8186">
      <c r="A8186" s="7">
        <v>2.0061536E7</v>
      </c>
      <c r="B8186" s="8" t="s">
        <v>776</v>
      </c>
      <c r="C8186" s="8" t="s">
        <v>24520</v>
      </c>
      <c r="D8186" s="8" t="s">
        <v>16</v>
      </c>
      <c r="E8186" s="8" t="s">
        <v>17</v>
      </c>
      <c r="F8186" s="9">
        <v>46168.0</v>
      </c>
      <c r="G8186" s="8" t="s">
        <v>1132</v>
      </c>
      <c r="H8186" s="8" t="s">
        <v>1133</v>
      </c>
      <c r="I8186" s="8" t="s">
        <v>24521</v>
      </c>
      <c r="J8186" s="8" t="s">
        <v>24522</v>
      </c>
    </row>
    <row r="8187">
      <c r="A8187" s="7">
        <v>2.0056428E7</v>
      </c>
      <c r="B8187" s="8" t="s">
        <v>776</v>
      </c>
      <c r="C8187" s="8" t="s">
        <v>24523</v>
      </c>
      <c r="D8187" s="8" t="s">
        <v>16</v>
      </c>
      <c r="E8187" s="8" t="s">
        <v>17</v>
      </c>
      <c r="F8187" s="9">
        <v>46141.0</v>
      </c>
      <c r="G8187" s="8" t="s">
        <v>385</v>
      </c>
      <c r="H8187" s="8" t="s">
        <v>386</v>
      </c>
      <c r="I8187" s="8" t="s">
        <v>24524</v>
      </c>
      <c r="J8187" s="8" t="s">
        <v>24525</v>
      </c>
    </row>
    <row r="8188">
      <c r="A8188" s="7">
        <v>2.0053011E7</v>
      </c>
      <c r="B8188" s="8" t="s">
        <v>776</v>
      </c>
      <c r="C8188" s="8" t="s">
        <v>24526</v>
      </c>
      <c r="D8188" s="8" t="s">
        <v>16</v>
      </c>
      <c r="E8188" s="8" t="s">
        <v>17</v>
      </c>
      <c r="F8188" s="9">
        <v>46141.0</v>
      </c>
      <c r="G8188" s="8" t="s">
        <v>59</v>
      </c>
      <c r="H8188" s="8" t="s">
        <v>60</v>
      </c>
      <c r="I8188" s="8" t="s">
        <v>24527</v>
      </c>
      <c r="J8188" s="8" t="s">
        <v>24528</v>
      </c>
    </row>
    <row r="8189">
      <c r="A8189" s="7">
        <v>2.0045345E7</v>
      </c>
      <c r="B8189" s="8" t="s">
        <v>776</v>
      </c>
      <c r="C8189" s="8" t="s">
        <v>24529</v>
      </c>
      <c r="D8189" s="8" t="s">
        <v>16</v>
      </c>
      <c r="E8189" s="8" t="s">
        <v>48</v>
      </c>
      <c r="F8189" s="9">
        <v>46078.0</v>
      </c>
      <c r="G8189" s="8" t="s">
        <v>195</v>
      </c>
      <c r="H8189" s="8" t="s">
        <v>196</v>
      </c>
      <c r="I8189" s="8" t="s">
        <v>24530</v>
      </c>
      <c r="J8189" s="8" t="s">
        <v>24531</v>
      </c>
    </row>
    <row r="8190">
      <c r="A8190" s="7">
        <v>2.0037124E7</v>
      </c>
      <c r="B8190" s="8" t="s">
        <v>776</v>
      </c>
      <c r="C8190" s="8" t="s">
        <v>24532</v>
      </c>
      <c r="D8190" s="8" t="s">
        <v>16</v>
      </c>
      <c r="E8190" s="8" t="s">
        <v>17</v>
      </c>
      <c r="F8190" s="9">
        <v>46058.0</v>
      </c>
      <c r="G8190" s="8" t="s">
        <v>3200</v>
      </c>
      <c r="H8190" s="8" t="s">
        <v>401</v>
      </c>
      <c r="I8190" s="8" t="s">
        <v>24533</v>
      </c>
      <c r="J8190" s="8" t="s">
        <v>24534</v>
      </c>
    </row>
    <row r="8191">
      <c r="A8191" s="7">
        <v>2.0057548E7</v>
      </c>
      <c r="B8191" s="8" t="s">
        <v>776</v>
      </c>
      <c r="C8191" s="8" t="s">
        <v>24535</v>
      </c>
      <c r="D8191" s="8" t="s">
        <v>16</v>
      </c>
      <c r="E8191" s="8" t="s">
        <v>17</v>
      </c>
      <c r="F8191" s="9">
        <v>46130.0</v>
      </c>
      <c r="G8191" s="8" t="s">
        <v>195</v>
      </c>
      <c r="H8191" s="8" t="s">
        <v>196</v>
      </c>
      <c r="I8191" s="8" t="s">
        <v>24536</v>
      </c>
      <c r="J8191" s="8" t="s">
        <v>24537</v>
      </c>
    </row>
    <row r="8192">
      <c r="A8192" s="7">
        <v>2.0045374E7</v>
      </c>
      <c r="B8192" s="8" t="s">
        <v>776</v>
      </c>
      <c r="C8192" s="8" t="s">
        <v>24538</v>
      </c>
      <c r="D8192" s="8" t="s">
        <v>16</v>
      </c>
      <c r="E8192" s="8" t="s">
        <v>17</v>
      </c>
      <c r="F8192" s="9">
        <v>46093.0</v>
      </c>
      <c r="G8192" s="8" t="s">
        <v>846</v>
      </c>
      <c r="H8192" s="8" t="s">
        <v>847</v>
      </c>
      <c r="I8192" s="8" t="s">
        <v>24539</v>
      </c>
      <c r="J8192" s="8" t="s">
        <v>24540</v>
      </c>
    </row>
    <row r="8193">
      <c r="A8193" s="7">
        <v>2.003925E7</v>
      </c>
      <c r="B8193" s="8" t="s">
        <v>776</v>
      </c>
      <c r="C8193" s="8" t="s">
        <v>24541</v>
      </c>
      <c r="D8193" s="8" t="s">
        <v>16</v>
      </c>
      <c r="E8193" s="8" t="s">
        <v>17</v>
      </c>
      <c r="F8193" s="9">
        <v>46076.0</v>
      </c>
      <c r="G8193" s="8" t="s">
        <v>24542</v>
      </c>
      <c r="H8193" s="8" t="s">
        <v>24543</v>
      </c>
      <c r="I8193" s="8" t="s">
        <v>24544</v>
      </c>
      <c r="J8193" s="8" t="s">
        <v>24545</v>
      </c>
    </row>
    <row r="8194">
      <c r="A8194" s="7">
        <v>2.0037646E7</v>
      </c>
      <c r="B8194" s="8" t="s">
        <v>776</v>
      </c>
      <c r="C8194" s="8" t="s">
        <v>24546</v>
      </c>
      <c r="D8194" s="8" t="s">
        <v>16</v>
      </c>
      <c r="E8194" s="8" t="s">
        <v>17</v>
      </c>
      <c r="F8194" s="9">
        <v>46057.0</v>
      </c>
      <c r="G8194" s="8" t="s">
        <v>504</v>
      </c>
      <c r="H8194" s="8" t="s">
        <v>505</v>
      </c>
      <c r="I8194" s="8" t="s">
        <v>24547</v>
      </c>
      <c r="J8194" s="8" t="s">
        <v>24548</v>
      </c>
    </row>
    <row r="8195">
      <c r="A8195" s="7">
        <v>2.0058458E7</v>
      </c>
      <c r="B8195" s="8" t="s">
        <v>776</v>
      </c>
      <c r="C8195" s="8" t="s">
        <v>24549</v>
      </c>
      <c r="D8195" s="8" t="s">
        <v>16</v>
      </c>
      <c r="E8195" s="8" t="s">
        <v>17</v>
      </c>
      <c r="F8195" s="9">
        <v>46182.0</v>
      </c>
      <c r="G8195" s="8" t="s">
        <v>158</v>
      </c>
      <c r="H8195" s="8" t="s">
        <v>159</v>
      </c>
      <c r="I8195" s="8" t="s">
        <v>24550</v>
      </c>
      <c r="J8195" s="8"/>
    </row>
    <row r="8196">
      <c r="A8196" s="7">
        <v>2.005982E7</v>
      </c>
      <c r="B8196" s="8" t="s">
        <v>776</v>
      </c>
      <c r="C8196" s="8" t="s">
        <v>24551</v>
      </c>
      <c r="D8196" s="8" t="s">
        <v>16</v>
      </c>
      <c r="E8196" s="8" t="s">
        <v>17</v>
      </c>
      <c r="F8196" s="9">
        <v>46164.0</v>
      </c>
      <c r="G8196" s="8" t="s">
        <v>5570</v>
      </c>
      <c r="H8196" s="8" t="s">
        <v>5571</v>
      </c>
      <c r="I8196" s="8" t="s">
        <v>24552</v>
      </c>
      <c r="J8196" s="8"/>
    </row>
    <row r="8197">
      <c r="A8197" s="7">
        <v>2.0055944E7</v>
      </c>
      <c r="B8197" s="8" t="s">
        <v>776</v>
      </c>
      <c r="C8197" s="8" t="s">
        <v>24553</v>
      </c>
      <c r="D8197" s="8" t="s">
        <v>16</v>
      </c>
      <c r="E8197" s="8" t="s">
        <v>17</v>
      </c>
      <c r="F8197" s="9">
        <v>46139.0</v>
      </c>
      <c r="G8197" s="8" t="s">
        <v>846</v>
      </c>
      <c r="H8197" s="8" t="s">
        <v>847</v>
      </c>
      <c r="I8197" s="8" t="s">
        <v>24554</v>
      </c>
      <c r="J8197" s="8" t="s">
        <v>24555</v>
      </c>
    </row>
    <row r="8198">
      <c r="A8198" s="7">
        <v>2.0055944E7</v>
      </c>
      <c r="B8198" s="8" t="s">
        <v>776</v>
      </c>
      <c r="C8198" s="8" t="s">
        <v>24553</v>
      </c>
      <c r="D8198" s="8" t="s">
        <v>16</v>
      </c>
      <c r="E8198" s="8" t="s">
        <v>17</v>
      </c>
      <c r="F8198" s="9">
        <v>46139.0</v>
      </c>
      <c r="G8198" s="8" t="s">
        <v>91</v>
      </c>
      <c r="H8198" s="8" t="s">
        <v>92</v>
      </c>
      <c r="I8198" s="8" t="s">
        <v>24556</v>
      </c>
      <c r="J8198" s="8" t="s">
        <v>24557</v>
      </c>
    </row>
    <row r="8199">
      <c r="A8199" s="7">
        <v>2.0053849E7</v>
      </c>
      <c r="B8199" s="8" t="s">
        <v>776</v>
      </c>
      <c r="C8199" s="8" t="s">
        <v>24558</v>
      </c>
      <c r="D8199" s="8" t="s">
        <v>16</v>
      </c>
      <c r="E8199" s="8" t="s">
        <v>17</v>
      </c>
      <c r="F8199" s="9">
        <v>46121.0</v>
      </c>
      <c r="G8199" s="8" t="s">
        <v>385</v>
      </c>
      <c r="H8199" s="8" t="s">
        <v>386</v>
      </c>
      <c r="I8199" s="8" t="s">
        <v>24559</v>
      </c>
      <c r="J8199" s="8" t="s">
        <v>24560</v>
      </c>
    </row>
    <row r="8200">
      <c r="A8200" s="7">
        <v>2.0047681E7</v>
      </c>
      <c r="B8200" s="8" t="s">
        <v>776</v>
      </c>
      <c r="C8200" s="8" t="s">
        <v>24561</v>
      </c>
      <c r="D8200" s="8" t="s">
        <v>16</v>
      </c>
      <c r="E8200" s="8" t="s">
        <v>17</v>
      </c>
      <c r="F8200" s="9">
        <v>46109.0</v>
      </c>
      <c r="G8200" s="8" t="s">
        <v>467</v>
      </c>
      <c r="H8200" s="8" t="s">
        <v>468</v>
      </c>
      <c r="I8200" s="8" t="s">
        <v>24562</v>
      </c>
      <c r="J8200" s="8" t="s">
        <v>24563</v>
      </c>
    </row>
    <row r="8201">
      <c r="A8201" s="7">
        <v>2.0047797E7</v>
      </c>
      <c r="B8201" s="8" t="s">
        <v>776</v>
      </c>
      <c r="C8201" s="8" t="s">
        <v>24564</v>
      </c>
      <c r="D8201" s="8" t="s">
        <v>16</v>
      </c>
      <c r="E8201" s="8" t="s">
        <v>17</v>
      </c>
      <c r="F8201" s="9">
        <v>46110.0</v>
      </c>
      <c r="G8201" s="8" t="s">
        <v>361</v>
      </c>
      <c r="H8201" s="8" t="s">
        <v>362</v>
      </c>
      <c r="I8201" s="8" t="s">
        <v>24565</v>
      </c>
      <c r="J8201" s="8" t="s">
        <v>24566</v>
      </c>
    </row>
    <row r="8202">
      <c r="A8202" s="7">
        <v>2.0044065E7</v>
      </c>
      <c r="B8202" s="8" t="s">
        <v>776</v>
      </c>
      <c r="C8202" s="8" t="s">
        <v>24567</v>
      </c>
      <c r="D8202" s="8" t="s">
        <v>16</v>
      </c>
      <c r="E8202" s="8" t="s">
        <v>17</v>
      </c>
      <c r="F8202" s="9">
        <v>46081.0</v>
      </c>
      <c r="G8202" s="8" t="s">
        <v>91</v>
      </c>
      <c r="H8202" s="8" t="s">
        <v>92</v>
      </c>
      <c r="I8202" s="8" t="s">
        <v>24568</v>
      </c>
      <c r="J8202" s="8" t="s">
        <v>24569</v>
      </c>
    </row>
    <row r="8203">
      <c r="A8203" s="7">
        <v>2.0043763E7</v>
      </c>
      <c r="B8203" s="8" t="s">
        <v>776</v>
      </c>
      <c r="C8203" s="8" t="s">
        <v>24570</v>
      </c>
      <c r="D8203" s="8" t="s">
        <v>16</v>
      </c>
      <c r="E8203" s="8" t="s">
        <v>17</v>
      </c>
      <c r="F8203" s="9">
        <v>46078.0</v>
      </c>
      <c r="G8203" s="8" t="s">
        <v>873</v>
      </c>
      <c r="H8203" s="8" t="s">
        <v>874</v>
      </c>
      <c r="I8203" s="8" t="s">
        <v>24571</v>
      </c>
      <c r="J8203" s="8" t="s">
        <v>24572</v>
      </c>
    </row>
    <row r="8204">
      <c r="A8204" s="7">
        <v>2.0042162E7</v>
      </c>
      <c r="B8204" s="8" t="s">
        <v>776</v>
      </c>
      <c r="C8204" s="8" t="s">
        <v>24573</v>
      </c>
      <c r="D8204" s="8" t="s">
        <v>16</v>
      </c>
      <c r="E8204" s="8" t="s">
        <v>17</v>
      </c>
      <c r="F8204" s="9">
        <v>46087.0</v>
      </c>
      <c r="G8204" s="8" t="s">
        <v>158</v>
      </c>
      <c r="H8204" s="8" t="s">
        <v>159</v>
      </c>
      <c r="I8204" s="8" t="s">
        <v>24574</v>
      </c>
      <c r="J8204" s="8" t="s">
        <v>24575</v>
      </c>
    </row>
    <row r="8205">
      <c r="A8205" s="7">
        <v>2.0043292E7</v>
      </c>
      <c r="B8205" s="8" t="s">
        <v>776</v>
      </c>
      <c r="C8205" s="8" t="s">
        <v>24576</v>
      </c>
      <c r="D8205" s="8" t="s">
        <v>16</v>
      </c>
      <c r="E8205" s="8" t="s">
        <v>17</v>
      </c>
      <c r="F8205" s="9">
        <v>46082.0</v>
      </c>
      <c r="G8205" s="8" t="s">
        <v>971</v>
      </c>
      <c r="H8205" s="8" t="s">
        <v>972</v>
      </c>
      <c r="I8205" s="8" t="s">
        <v>24577</v>
      </c>
      <c r="J8205" s="8" t="s">
        <v>24578</v>
      </c>
    </row>
    <row r="8206">
      <c r="A8206" s="7">
        <v>2.0039507E7</v>
      </c>
      <c r="B8206" s="8" t="s">
        <v>776</v>
      </c>
      <c r="C8206" s="8" t="s">
        <v>24579</v>
      </c>
      <c r="D8206" s="8" t="s">
        <v>16</v>
      </c>
      <c r="E8206" s="8" t="s">
        <v>17</v>
      </c>
      <c r="F8206" s="9">
        <v>46072.0</v>
      </c>
      <c r="G8206" s="8" t="s">
        <v>428</v>
      </c>
      <c r="H8206" s="8" t="s">
        <v>429</v>
      </c>
      <c r="I8206" s="8" t="s">
        <v>24580</v>
      </c>
      <c r="J8206" s="8" t="s">
        <v>24581</v>
      </c>
    </row>
    <row r="8207">
      <c r="A8207" s="7">
        <v>2.0038538E7</v>
      </c>
      <c r="B8207" s="8" t="s">
        <v>776</v>
      </c>
      <c r="C8207" s="8" t="s">
        <v>24582</v>
      </c>
      <c r="D8207" s="8" t="s">
        <v>16</v>
      </c>
      <c r="E8207" s="8" t="s">
        <v>17</v>
      </c>
      <c r="F8207" s="9">
        <v>46070.0</v>
      </c>
      <c r="G8207" s="8" t="s">
        <v>1813</v>
      </c>
      <c r="H8207" s="8" t="s">
        <v>1814</v>
      </c>
      <c r="I8207" s="8" t="s">
        <v>24583</v>
      </c>
      <c r="J8207" s="8" t="s">
        <v>24584</v>
      </c>
    </row>
    <row r="8208">
      <c r="A8208" s="7">
        <v>2.003541E7</v>
      </c>
      <c r="B8208" s="8" t="s">
        <v>776</v>
      </c>
      <c r="C8208" s="8" t="s">
        <v>24585</v>
      </c>
      <c r="D8208" s="8" t="s">
        <v>16</v>
      </c>
      <c r="E8208" s="8" t="s">
        <v>17</v>
      </c>
      <c r="F8208" s="9">
        <v>46053.0</v>
      </c>
      <c r="G8208" s="8" t="s">
        <v>3093</v>
      </c>
      <c r="H8208" s="8" t="s">
        <v>3094</v>
      </c>
      <c r="I8208" s="8" t="s">
        <v>24586</v>
      </c>
      <c r="J8208" s="8" t="s">
        <v>24587</v>
      </c>
    </row>
    <row r="8209">
      <c r="A8209" s="7">
        <v>2.003349E7</v>
      </c>
      <c r="B8209" s="8" t="s">
        <v>776</v>
      </c>
      <c r="C8209" s="8" t="s">
        <v>24588</v>
      </c>
      <c r="D8209" s="8" t="s">
        <v>16</v>
      </c>
      <c r="E8209" s="8" t="s">
        <v>17</v>
      </c>
      <c r="F8209" s="9">
        <v>46053.0</v>
      </c>
      <c r="G8209" s="8" t="s">
        <v>124</v>
      </c>
      <c r="H8209" s="8" t="s">
        <v>125</v>
      </c>
      <c r="I8209" s="8" t="s">
        <v>24589</v>
      </c>
      <c r="J8209" s="8" t="s">
        <v>24590</v>
      </c>
    </row>
    <row r="8210">
      <c r="A8210" s="7">
        <v>2.0058125E7</v>
      </c>
      <c r="B8210" s="8" t="s">
        <v>776</v>
      </c>
      <c r="C8210" s="8" t="s">
        <v>24591</v>
      </c>
      <c r="D8210" s="8" t="s">
        <v>16</v>
      </c>
      <c r="E8210" s="8" t="s">
        <v>17</v>
      </c>
      <c r="F8210" s="9">
        <v>46151.0</v>
      </c>
      <c r="G8210" s="8" t="s">
        <v>234</v>
      </c>
      <c r="H8210" s="8" t="s">
        <v>235</v>
      </c>
      <c r="I8210" s="8" t="s">
        <v>24592</v>
      </c>
      <c r="J8210" s="8" t="s">
        <v>24593</v>
      </c>
    </row>
    <row r="8211">
      <c r="A8211" s="7">
        <v>2.0056287E7</v>
      </c>
      <c r="B8211" s="8" t="s">
        <v>776</v>
      </c>
      <c r="C8211" s="8" t="s">
        <v>24594</v>
      </c>
      <c r="D8211" s="8" t="s">
        <v>16</v>
      </c>
      <c r="E8211" s="8" t="s">
        <v>17</v>
      </c>
      <c r="F8211" s="9">
        <v>46150.0</v>
      </c>
      <c r="G8211" s="8" t="s">
        <v>29</v>
      </c>
      <c r="H8211" s="8" t="s">
        <v>30</v>
      </c>
      <c r="I8211" s="8" t="s">
        <v>24595</v>
      </c>
      <c r="J8211" s="8" t="s">
        <v>24596</v>
      </c>
    </row>
    <row r="8212">
      <c r="A8212" s="7">
        <v>2.0056287E7</v>
      </c>
      <c r="B8212" s="8" t="s">
        <v>776</v>
      </c>
      <c r="C8212" s="8" t="s">
        <v>24594</v>
      </c>
      <c r="D8212" s="8" t="s">
        <v>16</v>
      </c>
      <c r="E8212" s="8" t="s">
        <v>17</v>
      </c>
      <c r="F8212" s="9">
        <v>46150.0</v>
      </c>
      <c r="G8212" s="8" t="s">
        <v>978</v>
      </c>
      <c r="H8212" s="8" t="s">
        <v>979</v>
      </c>
      <c r="I8212" s="8" t="s">
        <v>24597</v>
      </c>
      <c r="J8212" s="8" t="s">
        <v>24598</v>
      </c>
    </row>
    <row r="8213">
      <c r="A8213" s="7">
        <v>2.0050389E7</v>
      </c>
      <c r="B8213" s="8" t="s">
        <v>776</v>
      </c>
      <c r="C8213" s="8" t="s">
        <v>24599</v>
      </c>
      <c r="D8213" s="8" t="s">
        <v>16</v>
      </c>
      <c r="E8213" s="8" t="s">
        <v>17</v>
      </c>
      <c r="F8213" s="9">
        <v>46098.0</v>
      </c>
      <c r="G8213" s="8" t="s">
        <v>59</v>
      </c>
      <c r="H8213" s="8" t="s">
        <v>60</v>
      </c>
      <c r="I8213" s="8" t="s">
        <v>24600</v>
      </c>
      <c r="J8213" s="8" t="s">
        <v>24601</v>
      </c>
    </row>
    <row r="8214">
      <c r="A8214" s="7">
        <v>2.0046611E7</v>
      </c>
      <c r="B8214" s="8" t="s">
        <v>776</v>
      </c>
      <c r="C8214" s="8" t="s">
        <v>24602</v>
      </c>
      <c r="D8214" s="8" t="s">
        <v>16</v>
      </c>
      <c r="E8214" s="8" t="s">
        <v>17</v>
      </c>
      <c r="F8214" s="9">
        <v>46084.0</v>
      </c>
      <c r="G8214" s="8" t="s">
        <v>339</v>
      </c>
      <c r="H8214" s="8" t="s">
        <v>340</v>
      </c>
      <c r="I8214" s="8" t="s">
        <v>24603</v>
      </c>
      <c r="J8214" s="8" t="s">
        <v>24604</v>
      </c>
    </row>
    <row r="8215">
      <c r="A8215" s="7">
        <v>2.0042119E7</v>
      </c>
      <c r="B8215" s="8" t="s">
        <v>776</v>
      </c>
      <c r="C8215" s="8" t="s">
        <v>24605</v>
      </c>
      <c r="D8215" s="8" t="s">
        <v>16</v>
      </c>
      <c r="E8215" s="8" t="s">
        <v>17</v>
      </c>
      <c r="F8215" s="9">
        <v>46088.0</v>
      </c>
      <c r="G8215" s="8" t="s">
        <v>13113</v>
      </c>
      <c r="H8215" s="8" t="s">
        <v>3410</v>
      </c>
      <c r="I8215" s="8" t="s">
        <v>24606</v>
      </c>
      <c r="J8215" s="8" t="s">
        <v>24607</v>
      </c>
    </row>
    <row r="8216">
      <c r="A8216" s="7">
        <v>2.0038829E7</v>
      </c>
      <c r="B8216" s="8" t="s">
        <v>776</v>
      </c>
      <c r="C8216" s="8" t="s">
        <v>24608</v>
      </c>
      <c r="D8216" s="8" t="s">
        <v>16</v>
      </c>
      <c r="E8216" s="8" t="s">
        <v>17</v>
      </c>
      <c r="F8216" s="9">
        <v>46079.0</v>
      </c>
      <c r="G8216" s="8" t="s">
        <v>15186</v>
      </c>
      <c r="H8216" s="8" t="s">
        <v>15187</v>
      </c>
      <c r="I8216" s="8" t="s">
        <v>24609</v>
      </c>
      <c r="J8216" s="8" t="s">
        <v>24610</v>
      </c>
    </row>
    <row r="8217">
      <c r="A8217" s="7">
        <v>2.0039318E7</v>
      </c>
      <c r="B8217" s="8" t="s">
        <v>776</v>
      </c>
      <c r="C8217" s="8" t="s">
        <v>24611</v>
      </c>
      <c r="D8217" s="8" t="s">
        <v>16</v>
      </c>
      <c r="E8217" s="8" t="s">
        <v>17</v>
      </c>
      <c r="F8217" s="9">
        <v>46065.0</v>
      </c>
      <c r="G8217" s="8" t="s">
        <v>873</v>
      </c>
      <c r="H8217" s="8" t="s">
        <v>874</v>
      </c>
      <c r="I8217" s="8" t="s">
        <v>24612</v>
      </c>
      <c r="J8217" s="8" t="s">
        <v>24613</v>
      </c>
    </row>
    <row r="8218">
      <c r="A8218" s="7">
        <v>2.0066546E7</v>
      </c>
      <c r="B8218" s="8" t="s">
        <v>776</v>
      </c>
      <c r="C8218" s="8" t="s">
        <v>24614</v>
      </c>
      <c r="D8218" s="8" t="s">
        <v>16</v>
      </c>
      <c r="E8218" s="8" t="s">
        <v>17</v>
      </c>
      <c r="F8218" s="9">
        <v>46190.0</v>
      </c>
      <c r="G8218" s="8" t="s">
        <v>158</v>
      </c>
      <c r="H8218" s="8" t="s">
        <v>159</v>
      </c>
      <c r="I8218" s="8" t="s">
        <v>24615</v>
      </c>
      <c r="J8218" s="8" t="s">
        <v>24616</v>
      </c>
    </row>
    <row r="8219">
      <c r="A8219" s="7">
        <v>2.0063699E7</v>
      </c>
      <c r="B8219" s="8" t="s">
        <v>776</v>
      </c>
      <c r="C8219" s="8" t="s">
        <v>24617</v>
      </c>
      <c r="D8219" s="8" t="s">
        <v>16</v>
      </c>
      <c r="E8219" s="8" t="s">
        <v>17</v>
      </c>
      <c r="F8219" s="9">
        <v>46162.0</v>
      </c>
      <c r="G8219" s="8" t="s">
        <v>91</v>
      </c>
      <c r="H8219" s="8" t="s">
        <v>92</v>
      </c>
      <c r="I8219" s="8" t="s">
        <v>24618</v>
      </c>
      <c r="J8219" s="8" t="s">
        <v>24619</v>
      </c>
    </row>
    <row r="8220">
      <c r="A8220" s="7">
        <v>2.0061341E7</v>
      </c>
      <c r="B8220" s="8" t="s">
        <v>776</v>
      </c>
      <c r="C8220" s="8" t="s">
        <v>24620</v>
      </c>
      <c r="D8220" s="8" t="s">
        <v>16</v>
      </c>
      <c r="E8220" s="8" t="s">
        <v>17</v>
      </c>
      <c r="F8220" s="9">
        <v>46180.0</v>
      </c>
      <c r="G8220" s="8" t="s">
        <v>666</v>
      </c>
      <c r="H8220" s="8" t="s">
        <v>667</v>
      </c>
      <c r="I8220" s="8" t="s">
        <v>24621</v>
      </c>
      <c r="J8220" s="8" t="s">
        <v>24622</v>
      </c>
    </row>
    <row r="8221">
      <c r="A8221" s="7">
        <v>2.0045085E7</v>
      </c>
      <c r="B8221" s="8" t="s">
        <v>776</v>
      </c>
      <c r="C8221" s="8" t="s">
        <v>24623</v>
      </c>
      <c r="D8221" s="8" t="s">
        <v>16</v>
      </c>
      <c r="E8221" s="8" t="s">
        <v>17</v>
      </c>
      <c r="F8221" s="9">
        <v>46148.0</v>
      </c>
      <c r="G8221" s="8" t="s">
        <v>24624</v>
      </c>
      <c r="H8221" s="8" t="s">
        <v>24625</v>
      </c>
      <c r="I8221" s="8" t="s">
        <v>24626</v>
      </c>
      <c r="J8221" s="8" t="s">
        <v>24627</v>
      </c>
    </row>
    <row r="8222">
      <c r="A8222" s="7">
        <v>2.0052922E7</v>
      </c>
      <c r="B8222" s="8" t="s">
        <v>776</v>
      </c>
      <c r="C8222" s="8" t="s">
        <v>24628</v>
      </c>
      <c r="D8222" s="8" t="s">
        <v>16</v>
      </c>
      <c r="E8222" s="8" t="s">
        <v>17</v>
      </c>
      <c r="F8222" s="9">
        <v>46141.0</v>
      </c>
      <c r="G8222" s="8" t="s">
        <v>75</v>
      </c>
      <c r="H8222" s="8" t="s">
        <v>76</v>
      </c>
      <c r="I8222" s="8" t="s">
        <v>24629</v>
      </c>
      <c r="J8222" s="8" t="s">
        <v>24630</v>
      </c>
    </row>
    <row r="8223">
      <c r="A8223" s="7">
        <v>2.0056859E7</v>
      </c>
      <c r="B8223" s="8" t="s">
        <v>776</v>
      </c>
      <c r="C8223" s="8" t="s">
        <v>24631</v>
      </c>
      <c r="D8223" s="8" t="s">
        <v>16</v>
      </c>
      <c r="E8223" s="8" t="s">
        <v>17</v>
      </c>
      <c r="F8223" s="9">
        <v>46145.0</v>
      </c>
      <c r="G8223" s="8" t="s">
        <v>59</v>
      </c>
      <c r="H8223" s="8" t="s">
        <v>60</v>
      </c>
      <c r="I8223" s="8" t="s">
        <v>24632</v>
      </c>
      <c r="J8223" s="8" t="s">
        <v>24633</v>
      </c>
    </row>
    <row r="8224">
      <c r="A8224" s="7">
        <v>2.0057685E7</v>
      </c>
      <c r="B8224" s="8" t="s">
        <v>776</v>
      </c>
      <c r="C8224" s="8" t="s">
        <v>24634</v>
      </c>
      <c r="D8224" s="8" t="s">
        <v>16</v>
      </c>
      <c r="E8224" s="8" t="s">
        <v>17</v>
      </c>
      <c r="F8224" s="9">
        <v>46138.0</v>
      </c>
      <c r="G8224" s="8" t="s">
        <v>34</v>
      </c>
      <c r="H8224" s="8" t="s">
        <v>35</v>
      </c>
      <c r="I8224" s="8" t="s">
        <v>24635</v>
      </c>
      <c r="J8224" s="8" t="s">
        <v>24636</v>
      </c>
    </row>
    <row r="8225">
      <c r="A8225" s="7">
        <v>2.0055762E7</v>
      </c>
      <c r="B8225" s="8" t="s">
        <v>776</v>
      </c>
      <c r="C8225" s="8" t="s">
        <v>24637</v>
      </c>
      <c r="D8225" s="8" t="s">
        <v>16</v>
      </c>
      <c r="E8225" s="8" t="s">
        <v>17</v>
      </c>
      <c r="F8225" s="9">
        <v>46143.0</v>
      </c>
      <c r="G8225" s="8" t="s">
        <v>24638</v>
      </c>
      <c r="H8225" s="8" t="s">
        <v>24639</v>
      </c>
      <c r="I8225" s="8" t="s">
        <v>24640</v>
      </c>
      <c r="J8225" s="8"/>
    </row>
    <row r="8226">
      <c r="A8226" s="7">
        <v>2.0056683E7</v>
      </c>
      <c r="B8226" s="8" t="s">
        <v>776</v>
      </c>
      <c r="C8226" s="8" t="s">
        <v>24641</v>
      </c>
      <c r="D8226" s="8" t="s">
        <v>16</v>
      </c>
      <c r="E8226" s="8" t="s">
        <v>17</v>
      </c>
      <c r="F8226" s="9">
        <v>46184.0</v>
      </c>
      <c r="G8226" s="8" t="s">
        <v>666</v>
      </c>
      <c r="H8226" s="8" t="s">
        <v>667</v>
      </c>
      <c r="I8226" s="8" t="s">
        <v>24642</v>
      </c>
      <c r="J8226" s="8"/>
    </row>
    <row r="8227">
      <c r="A8227" s="7">
        <v>2.0050417E7</v>
      </c>
      <c r="B8227" s="8" t="s">
        <v>776</v>
      </c>
      <c r="C8227" s="8" t="s">
        <v>24643</v>
      </c>
      <c r="D8227" s="8" t="s">
        <v>16</v>
      </c>
      <c r="E8227" s="8" t="s">
        <v>17</v>
      </c>
      <c r="F8227" s="9">
        <v>46128.0</v>
      </c>
      <c r="G8227" s="8" t="s">
        <v>153</v>
      </c>
      <c r="H8227" s="8" t="s">
        <v>154</v>
      </c>
      <c r="I8227" s="8" t="s">
        <v>24644</v>
      </c>
      <c r="J8227" s="8" t="s">
        <v>24645</v>
      </c>
    </row>
    <row r="8228">
      <c r="A8228" s="7">
        <v>2.005039E7</v>
      </c>
      <c r="B8228" s="8" t="s">
        <v>776</v>
      </c>
      <c r="C8228" s="8" t="s">
        <v>24646</v>
      </c>
      <c r="D8228" s="8" t="s">
        <v>16</v>
      </c>
      <c r="E8228" s="8" t="s">
        <v>17</v>
      </c>
      <c r="F8228" s="9">
        <v>46118.0</v>
      </c>
      <c r="G8228" s="8" t="s">
        <v>59</v>
      </c>
      <c r="H8228" s="8" t="s">
        <v>60</v>
      </c>
      <c r="I8228" s="8" t="s">
        <v>24647</v>
      </c>
      <c r="J8228" s="8" t="s">
        <v>24648</v>
      </c>
    </row>
    <row r="8229">
      <c r="A8229" s="7">
        <v>2.0045533E7</v>
      </c>
      <c r="B8229" s="8" t="s">
        <v>776</v>
      </c>
      <c r="C8229" s="8" t="s">
        <v>24649</v>
      </c>
      <c r="D8229" s="8" t="s">
        <v>16</v>
      </c>
      <c r="E8229" s="8" t="s">
        <v>17</v>
      </c>
      <c r="F8229" s="9">
        <v>46101.0</v>
      </c>
      <c r="G8229" s="8" t="s">
        <v>171</v>
      </c>
      <c r="H8229" s="8" t="s">
        <v>172</v>
      </c>
      <c r="I8229" s="8" t="s">
        <v>24650</v>
      </c>
      <c r="J8229" s="8" t="s">
        <v>24651</v>
      </c>
    </row>
    <row r="8230">
      <c r="A8230" s="7">
        <v>2.0034795E7</v>
      </c>
      <c r="B8230" s="8" t="s">
        <v>776</v>
      </c>
      <c r="C8230" s="8" t="s">
        <v>24652</v>
      </c>
      <c r="D8230" s="8" t="s">
        <v>16</v>
      </c>
      <c r="E8230" s="8" t="s">
        <v>17</v>
      </c>
      <c r="F8230" s="9">
        <v>46045.0</v>
      </c>
      <c r="G8230" s="8" t="s">
        <v>2486</v>
      </c>
      <c r="H8230" s="8" t="s">
        <v>44</v>
      </c>
      <c r="I8230" s="8" t="s">
        <v>24653</v>
      </c>
      <c r="J8230" s="8" t="s">
        <v>24654</v>
      </c>
    </row>
    <row r="8231">
      <c r="A8231" s="7">
        <v>2.0026501E7</v>
      </c>
      <c r="B8231" s="8" t="s">
        <v>776</v>
      </c>
      <c r="C8231" s="8" t="s">
        <v>24655</v>
      </c>
      <c r="D8231" s="8" t="s">
        <v>16</v>
      </c>
      <c r="E8231" s="8" t="s">
        <v>17</v>
      </c>
      <c r="F8231" s="9">
        <v>46052.0</v>
      </c>
      <c r="G8231" s="8" t="s">
        <v>14780</v>
      </c>
      <c r="H8231" s="8" t="s">
        <v>3431</v>
      </c>
      <c r="I8231" s="8" t="s">
        <v>24656</v>
      </c>
      <c r="J8231" s="8" t="s">
        <v>24657</v>
      </c>
    </row>
    <row r="8232">
      <c r="A8232" s="7">
        <v>2.0062738E7</v>
      </c>
      <c r="B8232" s="8" t="s">
        <v>776</v>
      </c>
      <c r="C8232" s="8" t="s">
        <v>24658</v>
      </c>
      <c r="D8232" s="8" t="s">
        <v>16</v>
      </c>
      <c r="E8232" s="8" t="s">
        <v>17</v>
      </c>
      <c r="F8232" s="9">
        <v>46172.0</v>
      </c>
      <c r="G8232" s="8" t="s">
        <v>846</v>
      </c>
      <c r="H8232" s="8" t="s">
        <v>847</v>
      </c>
      <c r="I8232" s="8" t="s">
        <v>24659</v>
      </c>
      <c r="J8232" s="8" t="s">
        <v>24660</v>
      </c>
    </row>
    <row r="8233">
      <c r="A8233" s="7">
        <v>2.005627E7</v>
      </c>
      <c r="B8233" s="8" t="s">
        <v>776</v>
      </c>
      <c r="C8233" s="8" t="s">
        <v>24661</v>
      </c>
      <c r="D8233" s="8" t="s">
        <v>16</v>
      </c>
      <c r="E8233" s="8" t="s">
        <v>17</v>
      </c>
      <c r="F8233" s="9">
        <v>46137.0</v>
      </c>
      <c r="G8233" s="8" t="s">
        <v>1093</v>
      </c>
      <c r="H8233" s="8" t="s">
        <v>1094</v>
      </c>
      <c r="I8233" s="8" t="s">
        <v>24662</v>
      </c>
      <c r="J8233" s="8" t="s">
        <v>24663</v>
      </c>
    </row>
    <row r="8234">
      <c r="A8234" s="7">
        <v>2.0053104E7</v>
      </c>
      <c r="B8234" s="8" t="s">
        <v>776</v>
      </c>
      <c r="C8234" s="8" t="s">
        <v>24664</v>
      </c>
      <c r="D8234" s="8" t="s">
        <v>16</v>
      </c>
      <c r="E8234" s="8" t="s">
        <v>17</v>
      </c>
      <c r="F8234" s="9">
        <v>46113.0</v>
      </c>
      <c r="G8234" s="8" t="s">
        <v>1093</v>
      </c>
      <c r="H8234" s="8" t="s">
        <v>1094</v>
      </c>
      <c r="I8234" s="8" t="s">
        <v>24665</v>
      </c>
      <c r="J8234" s="8" t="s">
        <v>24666</v>
      </c>
    </row>
    <row r="8235">
      <c r="A8235" s="7">
        <v>2.0048738E7</v>
      </c>
      <c r="B8235" s="8" t="s">
        <v>776</v>
      </c>
      <c r="C8235" s="8" t="s">
        <v>24667</v>
      </c>
      <c r="D8235" s="8" t="s">
        <v>16</v>
      </c>
      <c r="E8235" s="8" t="s">
        <v>17</v>
      </c>
      <c r="F8235" s="9">
        <v>46108.0</v>
      </c>
      <c r="G8235" s="8" t="s">
        <v>2497</v>
      </c>
      <c r="H8235" s="8" t="s">
        <v>2498</v>
      </c>
      <c r="I8235" s="8" t="s">
        <v>24668</v>
      </c>
      <c r="J8235" s="8" t="s">
        <v>24669</v>
      </c>
    </row>
    <row r="8236">
      <c r="A8236" s="7">
        <v>2.0041066E7</v>
      </c>
      <c r="B8236" s="8" t="s">
        <v>776</v>
      </c>
      <c r="C8236" s="8" t="s">
        <v>24670</v>
      </c>
      <c r="D8236" s="8" t="s">
        <v>16</v>
      </c>
      <c r="E8236" s="8" t="s">
        <v>17</v>
      </c>
      <c r="F8236" s="9">
        <v>46081.0</v>
      </c>
      <c r="G8236" s="8" t="s">
        <v>195</v>
      </c>
      <c r="H8236" s="8" t="s">
        <v>196</v>
      </c>
      <c r="I8236" s="8" t="s">
        <v>24671</v>
      </c>
      <c r="J8236" s="8" t="s">
        <v>24672</v>
      </c>
    </row>
    <row r="8237">
      <c r="A8237" s="7">
        <v>2.0038638E7</v>
      </c>
      <c r="B8237" s="8" t="s">
        <v>776</v>
      </c>
      <c r="C8237" s="8" t="s">
        <v>24673</v>
      </c>
      <c r="D8237" s="8" t="s">
        <v>16</v>
      </c>
      <c r="E8237" s="8" t="s">
        <v>17</v>
      </c>
      <c r="F8237" s="9">
        <v>46083.0</v>
      </c>
      <c r="G8237" s="8" t="s">
        <v>24674</v>
      </c>
      <c r="H8237" s="8" t="s">
        <v>24675</v>
      </c>
      <c r="I8237" s="8" t="s">
        <v>24676</v>
      </c>
      <c r="J8237" s="8" t="s">
        <v>24677</v>
      </c>
    </row>
    <row r="8238">
      <c r="A8238" s="7">
        <v>2.0038638E7</v>
      </c>
      <c r="B8238" s="8" t="s">
        <v>776</v>
      </c>
      <c r="C8238" s="8" t="s">
        <v>24673</v>
      </c>
      <c r="D8238" s="8" t="s">
        <v>16</v>
      </c>
      <c r="E8238" s="8" t="s">
        <v>17</v>
      </c>
      <c r="F8238" s="9">
        <v>46083.0</v>
      </c>
      <c r="G8238" s="8" t="s">
        <v>5282</v>
      </c>
      <c r="H8238" s="8" t="s">
        <v>5283</v>
      </c>
      <c r="I8238" s="8" t="s">
        <v>24678</v>
      </c>
      <c r="J8238" s="8" t="s">
        <v>24679</v>
      </c>
    </row>
    <row r="8239">
      <c r="A8239" s="7">
        <v>2.0038638E7</v>
      </c>
      <c r="B8239" s="8" t="s">
        <v>776</v>
      </c>
      <c r="C8239" s="8" t="s">
        <v>24673</v>
      </c>
      <c r="D8239" s="8" t="s">
        <v>16</v>
      </c>
      <c r="E8239" s="8" t="s">
        <v>17</v>
      </c>
      <c r="F8239" s="9">
        <v>46083.0</v>
      </c>
      <c r="G8239" s="8" t="s">
        <v>24680</v>
      </c>
      <c r="H8239" s="8" t="s">
        <v>24681</v>
      </c>
      <c r="I8239" s="8" t="s">
        <v>24682</v>
      </c>
      <c r="J8239" s="8"/>
    </row>
    <row r="8240">
      <c r="A8240" s="7">
        <v>2.0032762E7</v>
      </c>
      <c r="B8240" s="8" t="s">
        <v>776</v>
      </c>
      <c r="C8240" s="8" t="s">
        <v>24683</v>
      </c>
      <c r="D8240" s="8" t="s">
        <v>16</v>
      </c>
      <c r="E8240" s="8" t="s">
        <v>17</v>
      </c>
      <c r="F8240" s="9">
        <v>46053.0</v>
      </c>
      <c r="G8240" s="8" t="s">
        <v>43</v>
      </c>
      <c r="H8240" s="8" t="s">
        <v>44</v>
      </c>
      <c r="I8240" s="8" t="s">
        <v>24684</v>
      </c>
      <c r="J8240" s="8" t="s">
        <v>24685</v>
      </c>
    </row>
    <row r="8241">
      <c r="A8241" s="7">
        <v>2.0034961E7</v>
      </c>
      <c r="B8241" s="8" t="s">
        <v>776</v>
      </c>
      <c r="C8241" s="8" t="s">
        <v>24686</v>
      </c>
      <c r="D8241" s="8" t="s">
        <v>16</v>
      </c>
      <c r="E8241" s="8" t="s">
        <v>17</v>
      </c>
      <c r="F8241" s="9">
        <v>46037.0</v>
      </c>
      <c r="G8241" s="8" t="s">
        <v>846</v>
      </c>
      <c r="H8241" s="8" t="s">
        <v>847</v>
      </c>
      <c r="I8241" s="8" t="s">
        <v>24687</v>
      </c>
      <c r="J8241" s="8" t="s">
        <v>24688</v>
      </c>
    </row>
    <row r="8242">
      <c r="A8242" s="7">
        <v>2.0069951E7</v>
      </c>
      <c r="B8242" s="8" t="s">
        <v>776</v>
      </c>
      <c r="C8242" s="8" t="s">
        <v>24689</v>
      </c>
      <c r="D8242" s="8" t="s">
        <v>16</v>
      </c>
      <c r="E8242" s="8" t="s">
        <v>17</v>
      </c>
      <c r="F8242" s="9">
        <v>46186.0</v>
      </c>
      <c r="G8242" s="8" t="s">
        <v>1431</v>
      </c>
      <c r="H8242" s="8" t="s">
        <v>1432</v>
      </c>
      <c r="I8242" s="8" t="s">
        <v>24690</v>
      </c>
      <c r="J8242" s="8" t="s">
        <v>24691</v>
      </c>
    </row>
    <row r="8243">
      <c r="A8243" s="7">
        <v>2.0069739E7</v>
      </c>
      <c r="B8243" s="8" t="s">
        <v>776</v>
      </c>
      <c r="C8243" s="8" t="s">
        <v>24692</v>
      </c>
      <c r="D8243" s="8" t="s">
        <v>16</v>
      </c>
      <c r="E8243" s="8" t="s">
        <v>17</v>
      </c>
      <c r="F8243" s="9">
        <v>46187.0</v>
      </c>
      <c r="G8243" s="8" t="s">
        <v>882</v>
      </c>
      <c r="H8243" s="8" t="s">
        <v>883</v>
      </c>
      <c r="I8243" s="8" t="s">
        <v>24693</v>
      </c>
      <c r="J8243" s="8" t="s">
        <v>24694</v>
      </c>
    </row>
    <row r="8244">
      <c r="A8244" s="7">
        <v>2.006242E7</v>
      </c>
      <c r="B8244" s="8" t="s">
        <v>776</v>
      </c>
      <c r="C8244" s="8" t="s">
        <v>24695</v>
      </c>
      <c r="D8244" s="8" t="s">
        <v>16</v>
      </c>
      <c r="E8244" s="8" t="s">
        <v>17</v>
      </c>
      <c r="F8244" s="9">
        <v>46183.0</v>
      </c>
      <c r="G8244" s="8" t="s">
        <v>24696</v>
      </c>
      <c r="H8244" s="8" t="s">
        <v>3410</v>
      </c>
      <c r="I8244" s="8" t="s">
        <v>24697</v>
      </c>
      <c r="J8244" s="8" t="s">
        <v>24698</v>
      </c>
    </row>
    <row r="8245">
      <c r="A8245" s="7">
        <v>2.0064696E7</v>
      </c>
      <c r="B8245" s="8" t="s">
        <v>776</v>
      </c>
      <c r="C8245" s="8" t="s">
        <v>24699</v>
      </c>
      <c r="D8245" s="8" t="s">
        <v>16</v>
      </c>
      <c r="E8245" s="8" t="s">
        <v>17</v>
      </c>
      <c r="F8245" s="9">
        <v>46191.0</v>
      </c>
      <c r="G8245" s="8" t="s">
        <v>8817</v>
      </c>
      <c r="H8245" s="8" t="s">
        <v>455</v>
      </c>
      <c r="I8245" s="8" t="s">
        <v>24700</v>
      </c>
      <c r="J8245" s="8" t="s">
        <v>24701</v>
      </c>
    </row>
    <row r="8246">
      <c r="A8246" s="7">
        <v>2.0061017E7</v>
      </c>
      <c r="B8246" s="8" t="s">
        <v>776</v>
      </c>
      <c r="C8246" s="8" t="s">
        <v>24702</v>
      </c>
      <c r="D8246" s="8" t="s">
        <v>16</v>
      </c>
      <c r="E8246" s="8" t="s">
        <v>17</v>
      </c>
      <c r="F8246" s="9">
        <v>46165.0</v>
      </c>
      <c r="G8246" s="8" t="s">
        <v>2989</v>
      </c>
      <c r="H8246" s="8" t="s">
        <v>2990</v>
      </c>
      <c r="I8246" s="8" t="s">
        <v>24703</v>
      </c>
      <c r="J8246" s="8" t="s">
        <v>24704</v>
      </c>
    </row>
    <row r="8247">
      <c r="A8247" s="7">
        <v>2.0055659E7</v>
      </c>
      <c r="B8247" s="8" t="s">
        <v>776</v>
      </c>
      <c r="C8247" s="8" t="s">
        <v>24705</v>
      </c>
      <c r="D8247" s="8" t="s">
        <v>16</v>
      </c>
      <c r="E8247" s="8" t="s">
        <v>17</v>
      </c>
      <c r="F8247" s="9">
        <v>46144.0</v>
      </c>
      <c r="G8247" s="8" t="s">
        <v>13573</v>
      </c>
      <c r="H8247" s="8" t="s">
        <v>13574</v>
      </c>
      <c r="I8247" s="8" t="s">
        <v>24706</v>
      </c>
      <c r="J8247" s="8" t="s">
        <v>24707</v>
      </c>
    </row>
    <row r="8248">
      <c r="A8248" s="7">
        <v>2.0049862E7</v>
      </c>
      <c r="B8248" s="8" t="s">
        <v>776</v>
      </c>
      <c r="C8248" s="8" t="s">
        <v>24708</v>
      </c>
      <c r="D8248" s="8" t="s">
        <v>16</v>
      </c>
      <c r="E8248" s="8" t="s">
        <v>17</v>
      </c>
      <c r="F8248" s="9">
        <v>46116.0</v>
      </c>
      <c r="G8248" s="8" t="s">
        <v>2724</v>
      </c>
      <c r="H8248" s="8" t="s">
        <v>2725</v>
      </c>
      <c r="I8248" s="8" t="s">
        <v>24709</v>
      </c>
      <c r="J8248" s="8" t="s">
        <v>24710</v>
      </c>
    </row>
    <row r="8249">
      <c r="A8249" s="7">
        <v>2.0046197E7</v>
      </c>
      <c r="B8249" s="8" t="s">
        <v>776</v>
      </c>
      <c r="C8249" s="8" t="s">
        <v>24711</v>
      </c>
      <c r="D8249" s="8" t="s">
        <v>16</v>
      </c>
      <c r="E8249" s="8" t="s">
        <v>17</v>
      </c>
      <c r="F8249" s="9">
        <v>46107.0</v>
      </c>
      <c r="G8249" s="8" t="s">
        <v>846</v>
      </c>
      <c r="H8249" s="8" t="s">
        <v>847</v>
      </c>
      <c r="I8249" s="8" t="s">
        <v>24712</v>
      </c>
      <c r="J8249" s="8" t="s">
        <v>24713</v>
      </c>
    </row>
    <row r="8250">
      <c r="A8250" s="7">
        <v>2.0048894E7</v>
      </c>
      <c r="B8250" s="8" t="s">
        <v>776</v>
      </c>
      <c r="C8250" s="8" t="s">
        <v>24714</v>
      </c>
      <c r="D8250" s="8" t="s">
        <v>16</v>
      </c>
      <c r="E8250" s="8" t="s">
        <v>17</v>
      </c>
      <c r="F8250" s="9">
        <v>46136.0</v>
      </c>
      <c r="G8250" s="8" t="s">
        <v>3270</v>
      </c>
      <c r="H8250" s="8" t="s">
        <v>3271</v>
      </c>
      <c r="I8250" s="8" t="s">
        <v>24715</v>
      </c>
      <c r="J8250" s="8" t="s">
        <v>24716</v>
      </c>
    </row>
    <row r="8251">
      <c r="A8251" s="7">
        <v>2.0042703E7</v>
      </c>
      <c r="B8251" s="8" t="s">
        <v>776</v>
      </c>
      <c r="C8251" s="8" t="s">
        <v>24717</v>
      </c>
      <c r="D8251" s="8" t="s">
        <v>16</v>
      </c>
      <c r="E8251" s="8" t="s">
        <v>17</v>
      </c>
      <c r="F8251" s="9">
        <v>46074.0</v>
      </c>
      <c r="G8251" s="8" t="s">
        <v>34</v>
      </c>
      <c r="H8251" s="8" t="s">
        <v>35</v>
      </c>
      <c r="I8251" s="8" t="s">
        <v>24718</v>
      </c>
      <c r="J8251" s="8" t="s">
        <v>24719</v>
      </c>
    </row>
    <row r="8252">
      <c r="A8252" s="7">
        <v>2.0038989E7</v>
      </c>
      <c r="B8252" s="8" t="s">
        <v>776</v>
      </c>
      <c r="C8252" s="8" t="s">
        <v>24720</v>
      </c>
      <c r="D8252" s="8" t="s">
        <v>16</v>
      </c>
      <c r="E8252" s="8" t="s">
        <v>17</v>
      </c>
      <c r="F8252" s="9">
        <v>46080.0</v>
      </c>
      <c r="G8252" s="8" t="s">
        <v>195</v>
      </c>
      <c r="H8252" s="8" t="s">
        <v>196</v>
      </c>
      <c r="I8252" s="8" t="s">
        <v>24721</v>
      </c>
      <c r="J8252" s="8" t="s">
        <v>24722</v>
      </c>
    </row>
    <row r="8253">
      <c r="A8253" s="7">
        <v>2.0040113E7</v>
      </c>
      <c r="B8253" s="8" t="s">
        <v>776</v>
      </c>
      <c r="C8253" s="8" t="s">
        <v>24723</v>
      </c>
      <c r="D8253" s="8" t="s">
        <v>16</v>
      </c>
      <c r="E8253" s="8" t="s">
        <v>17</v>
      </c>
      <c r="F8253" s="9">
        <v>46068.0</v>
      </c>
      <c r="G8253" s="8" t="s">
        <v>195</v>
      </c>
      <c r="H8253" s="8" t="s">
        <v>196</v>
      </c>
      <c r="I8253" s="8" t="s">
        <v>24724</v>
      </c>
      <c r="J8253" s="8" t="s">
        <v>24725</v>
      </c>
    </row>
    <row r="8254">
      <c r="A8254" s="7">
        <v>2.0069336E7</v>
      </c>
      <c r="B8254" s="8" t="s">
        <v>776</v>
      </c>
      <c r="C8254" s="8" t="s">
        <v>24726</v>
      </c>
      <c r="D8254" s="8" t="s">
        <v>16</v>
      </c>
      <c r="E8254" s="8" t="s">
        <v>17</v>
      </c>
      <c r="F8254" s="9">
        <v>46192.0</v>
      </c>
      <c r="G8254" s="8" t="s">
        <v>19201</v>
      </c>
      <c r="H8254" s="8" t="s">
        <v>120</v>
      </c>
      <c r="I8254" s="8" t="s">
        <v>24727</v>
      </c>
      <c r="J8254" s="8" t="s">
        <v>24728</v>
      </c>
    </row>
    <row r="8255">
      <c r="A8255" s="7">
        <v>2.0070291E7</v>
      </c>
      <c r="B8255" s="8" t="s">
        <v>776</v>
      </c>
      <c r="C8255" s="8" t="s">
        <v>24729</v>
      </c>
      <c r="D8255" s="8" t="s">
        <v>16</v>
      </c>
      <c r="E8255" s="8" t="s">
        <v>17</v>
      </c>
      <c r="F8255" s="9">
        <v>46189.0</v>
      </c>
      <c r="G8255" s="8" t="s">
        <v>1431</v>
      </c>
      <c r="H8255" s="8" t="s">
        <v>1432</v>
      </c>
      <c r="I8255" s="8" t="s">
        <v>24730</v>
      </c>
      <c r="J8255" s="8" t="s">
        <v>24731</v>
      </c>
    </row>
    <row r="8256">
      <c r="A8256" s="7">
        <v>2.0057273E7</v>
      </c>
      <c r="B8256" s="8" t="s">
        <v>776</v>
      </c>
      <c r="C8256" s="8" t="s">
        <v>24732</v>
      </c>
      <c r="D8256" s="8" t="s">
        <v>16</v>
      </c>
      <c r="E8256" s="8" t="s">
        <v>48</v>
      </c>
      <c r="F8256" s="9">
        <v>46164.0</v>
      </c>
      <c r="G8256" s="8" t="s">
        <v>49</v>
      </c>
      <c r="H8256" s="8" t="s">
        <v>50</v>
      </c>
      <c r="I8256" s="8" t="s">
        <v>24733</v>
      </c>
      <c r="J8256" s="8"/>
    </row>
    <row r="8257">
      <c r="A8257" s="7">
        <v>2.0057273E7</v>
      </c>
      <c r="B8257" s="8" t="s">
        <v>776</v>
      </c>
      <c r="C8257" s="8" t="s">
        <v>24732</v>
      </c>
      <c r="D8257" s="8" t="s">
        <v>16</v>
      </c>
      <c r="E8257" s="8" t="s">
        <v>48</v>
      </c>
      <c r="F8257" s="9">
        <v>46164.0</v>
      </c>
      <c r="G8257" s="8" t="s">
        <v>49</v>
      </c>
      <c r="H8257" s="8" t="s">
        <v>50</v>
      </c>
      <c r="I8257" s="8" t="s">
        <v>24734</v>
      </c>
      <c r="J8257" s="8" t="s">
        <v>24735</v>
      </c>
    </row>
    <row r="8258">
      <c r="A8258" s="7">
        <v>2.0048993E7</v>
      </c>
      <c r="B8258" s="8" t="s">
        <v>776</v>
      </c>
      <c r="C8258" s="8" t="s">
        <v>24736</v>
      </c>
      <c r="D8258" s="8" t="s">
        <v>16</v>
      </c>
      <c r="E8258" s="8" t="s">
        <v>17</v>
      </c>
      <c r="F8258" s="9">
        <v>46099.0</v>
      </c>
      <c r="G8258" s="8" t="s">
        <v>365</v>
      </c>
      <c r="H8258" s="8" t="s">
        <v>366</v>
      </c>
      <c r="I8258" s="8" t="s">
        <v>24737</v>
      </c>
      <c r="J8258" s="8" t="s">
        <v>24738</v>
      </c>
    </row>
    <row r="8259">
      <c r="A8259" s="7">
        <v>2.0046305E7</v>
      </c>
      <c r="B8259" s="8" t="s">
        <v>776</v>
      </c>
      <c r="C8259" s="8" t="s">
        <v>24739</v>
      </c>
      <c r="D8259" s="8" t="s">
        <v>16</v>
      </c>
      <c r="E8259" s="8" t="s">
        <v>17</v>
      </c>
      <c r="F8259" s="9">
        <v>46096.0</v>
      </c>
      <c r="G8259" s="8" t="s">
        <v>109</v>
      </c>
      <c r="H8259" s="8" t="s">
        <v>110</v>
      </c>
      <c r="I8259" s="8" t="s">
        <v>24740</v>
      </c>
      <c r="J8259" s="8" t="s">
        <v>24741</v>
      </c>
    </row>
    <row r="8260">
      <c r="A8260" s="7">
        <v>2.0040657E7</v>
      </c>
      <c r="B8260" s="8" t="s">
        <v>776</v>
      </c>
      <c r="C8260" s="8" t="s">
        <v>24742</v>
      </c>
      <c r="D8260" s="8" t="s">
        <v>16</v>
      </c>
      <c r="E8260" s="8" t="s">
        <v>17</v>
      </c>
      <c r="F8260" s="9">
        <v>46085.0</v>
      </c>
      <c r="G8260" s="8" t="s">
        <v>10195</v>
      </c>
      <c r="H8260" s="8" t="s">
        <v>10196</v>
      </c>
      <c r="I8260" s="8" t="s">
        <v>24743</v>
      </c>
      <c r="J8260" s="8" t="s">
        <v>24744</v>
      </c>
    </row>
    <row r="8261">
      <c r="A8261" s="7">
        <v>2.0040757E7</v>
      </c>
      <c r="B8261" s="8" t="s">
        <v>776</v>
      </c>
      <c r="C8261" s="8" t="s">
        <v>24745</v>
      </c>
      <c r="D8261" s="8" t="s">
        <v>16</v>
      </c>
      <c r="E8261" s="8" t="s">
        <v>17</v>
      </c>
      <c r="F8261" s="9">
        <v>46064.0</v>
      </c>
      <c r="G8261" s="8" t="s">
        <v>34</v>
      </c>
      <c r="H8261" s="8" t="s">
        <v>35</v>
      </c>
      <c r="I8261" s="8" t="s">
        <v>24746</v>
      </c>
      <c r="J8261" s="8" t="s">
        <v>24747</v>
      </c>
    </row>
    <row r="8262">
      <c r="A8262" s="7">
        <v>2.003734E7</v>
      </c>
      <c r="B8262" s="8" t="s">
        <v>776</v>
      </c>
      <c r="C8262" s="8" t="s">
        <v>24748</v>
      </c>
      <c r="D8262" s="8" t="s">
        <v>16</v>
      </c>
      <c r="E8262" s="8" t="s">
        <v>17</v>
      </c>
      <c r="F8262" s="9">
        <v>46073.0</v>
      </c>
      <c r="G8262" s="8" t="s">
        <v>3409</v>
      </c>
      <c r="H8262" s="8" t="s">
        <v>3410</v>
      </c>
      <c r="I8262" s="8" t="s">
        <v>24749</v>
      </c>
      <c r="J8262" s="8" t="s">
        <v>24750</v>
      </c>
    </row>
    <row r="8263">
      <c r="A8263" s="7">
        <v>2.0038751E7</v>
      </c>
      <c r="B8263" s="8" t="s">
        <v>776</v>
      </c>
      <c r="C8263" s="8" t="s">
        <v>24751</v>
      </c>
      <c r="D8263" s="8" t="s">
        <v>16</v>
      </c>
      <c r="E8263" s="8" t="s">
        <v>17</v>
      </c>
      <c r="F8263" s="9">
        <v>46072.0</v>
      </c>
      <c r="G8263" s="8" t="s">
        <v>13699</v>
      </c>
      <c r="H8263" s="8" t="s">
        <v>13700</v>
      </c>
      <c r="I8263" s="8" t="s">
        <v>24752</v>
      </c>
      <c r="J8263" s="8" t="s">
        <v>24753</v>
      </c>
    </row>
    <row r="8264">
      <c r="A8264" s="7">
        <v>2.0035585E7</v>
      </c>
      <c r="B8264" s="8" t="s">
        <v>776</v>
      </c>
      <c r="C8264" s="8" t="s">
        <v>24754</v>
      </c>
      <c r="D8264" s="8" t="s">
        <v>16</v>
      </c>
      <c r="E8264" s="8" t="s">
        <v>17</v>
      </c>
      <c r="F8264" s="9">
        <v>46058.0</v>
      </c>
      <c r="G8264" s="8" t="s">
        <v>114</v>
      </c>
      <c r="H8264" s="8" t="s">
        <v>115</v>
      </c>
      <c r="I8264" s="8" t="s">
        <v>24755</v>
      </c>
      <c r="J8264" s="8"/>
    </row>
    <row r="8265">
      <c r="A8265" s="7">
        <v>2.0026048E7</v>
      </c>
      <c r="B8265" s="8" t="s">
        <v>776</v>
      </c>
      <c r="C8265" s="8" t="s">
        <v>24756</v>
      </c>
      <c r="D8265" s="8" t="s">
        <v>16</v>
      </c>
      <c r="E8265" s="8" t="s">
        <v>17</v>
      </c>
      <c r="F8265" s="9">
        <v>46037.0</v>
      </c>
      <c r="G8265" s="8" t="s">
        <v>54</v>
      </c>
      <c r="H8265" s="8" t="s">
        <v>55</v>
      </c>
      <c r="I8265" s="8" t="s">
        <v>24757</v>
      </c>
      <c r="J8265" s="8" t="s">
        <v>24758</v>
      </c>
    </row>
    <row r="8266">
      <c r="A8266" s="7">
        <v>2.0070217E7</v>
      </c>
      <c r="B8266" s="8" t="s">
        <v>776</v>
      </c>
      <c r="C8266" s="8" t="s">
        <v>24759</v>
      </c>
      <c r="D8266" s="8" t="s">
        <v>16</v>
      </c>
      <c r="E8266" s="8" t="s">
        <v>17</v>
      </c>
      <c r="F8266" s="9">
        <v>46191.0</v>
      </c>
      <c r="G8266" s="8" t="s">
        <v>75</v>
      </c>
      <c r="H8266" s="8" t="s">
        <v>76</v>
      </c>
      <c r="I8266" s="8" t="s">
        <v>24760</v>
      </c>
      <c r="J8266" s="8" t="s">
        <v>24761</v>
      </c>
    </row>
    <row r="8267">
      <c r="A8267" s="7">
        <v>2.0059466E7</v>
      </c>
      <c r="B8267" s="8" t="s">
        <v>776</v>
      </c>
      <c r="C8267" s="8" t="s">
        <v>24762</v>
      </c>
      <c r="D8267" s="8" t="s">
        <v>16</v>
      </c>
      <c r="E8267" s="8" t="s">
        <v>17</v>
      </c>
      <c r="F8267" s="9">
        <v>46190.0</v>
      </c>
      <c r="G8267" s="8" t="s">
        <v>3133</v>
      </c>
      <c r="H8267" s="8" t="s">
        <v>3134</v>
      </c>
      <c r="I8267" s="8" t="s">
        <v>24763</v>
      </c>
      <c r="J8267" s="8"/>
    </row>
    <row r="8268">
      <c r="A8268" s="7">
        <v>2.0059466E7</v>
      </c>
      <c r="B8268" s="8" t="s">
        <v>776</v>
      </c>
      <c r="C8268" s="8" t="s">
        <v>24762</v>
      </c>
      <c r="D8268" s="8" t="s">
        <v>16</v>
      </c>
      <c r="E8268" s="8" t="s">
        <v>17</v>
      </c>
      <c r="F8268" s="9">
        <v>46190.0</v>
      </c>
      <c r="G8268" s="8" t="s">
        <v>49</v>
      </c>
      <c r="H8268" s="8" t="s">
        <v>50</v>
      </c>
      <c r="I8268" s="8" t="s">
        <v>24764</v>
      </c>
      <c r="J8268" s="8" t="s">
        <v>24765</v>
      </c>
    </row>
    <row r="8269">
      <c r="A8269" s="7">
        <v>2.0052596E7</v>
      </c>
      <c r="B8269" s="8" t="s">
        <v>776</v>
      </c>
      <c r="C8269" s="8" t="s">
        <v>24766</v>
      </c>
      <c r="D8269" s="8" t="s">
        <v>16</v>
      </c>
      <c r="E8269" s="8" t="s">
        <v>17</v>
      </c>
      <c r="F8269" s="9">
        <v>46148.0</v>
      </c>
      <c r="G8269" s="8" t="s">
        <v>24767</v>
      </c>
      <c r="H8269" s="8" t="s">
        <v>24768</v>
      </c>
      <c r="I8269" s="8" t="s">
        <v>783</v>
      </c>
      <c r="J8269" s="8"/>
    </row>
    <row r="8270">
      <c r="A8270" s="7">
        <v>2.005721E7</v>
      </c>
      <c r="B8270" s="8" t="s">
        <v>776</v>
      </c>
      <c r="C8270" s="8" t="s">
        <v>24769</v>
      </c>
      <c r="D8270" s="8" t="s">
        <v>16</v>
      </c>
      <c r="E8270" s="8" t="s">
        <v>17</v>
      </c>
      <c r="F8270" s="9">
        <v>46129.0</v>
      </c>
      <c r="G8270" s="8" t="s">
        <v>234</v>
      </c>
      <c r="H8270" s="8" t="s">
        <v>235</v>
      </c>
      <c r="I8270" s="8" t="s">
        <v>24770</v>
      </c>
      <c r="J8270" s="8" t="s">
        <v>24771</v>
      </c>
    </row>
    <row r="8271">
      <c r="A8271" s="7">
        <v>2.005721E7</v>
      </c>
      <c r="B8271" s="8" t="s">
        <v>776</v>
      </c>
      <c r="C8271" s="8" t="s">
        <v>24769</v>
      </c>
      <c r="D8271" s="8" t="s">
        <v>16</v>
      </c>
      <c r="E8271" s="8" t="s">
        <v>17</v>
      </c>
      <c r="F8271" s="9">
        <v>46129.0</v>
      </c>
      <c r="G8271" s="8" t="s">
        <v>3255</v>
      </c>
      <c r="H8271" s="8" t="s">
        <v>3256</v>
      </c>
      <c r="I8271" s="8" t="s">
        <v>24772</v>
      </c>
      <c r="J8271" s="8" t="s">
        <v>24773</v>
      </c>
    </row>
    <row r="8272">
      <c r="A8272" s="7">
        <v>2.0057132E7</v>
      </c>
      <c r="B8272" s="8" t="s">
        <v>776</v>
      </c>
      <c r="C8272" s="8" t="s">
        <v>24774</v>
      </c>
      <c r="D8272" s="8" t="s">
        <v>16</v>
      </c>
      <c r="E8272" s="8" t="s">
        <v>17</v>
      </c>
      <c r="F8272" s="9">
        <v>46157.0</v>
      </c>
      <c r="G8272" s="8" t="s">
        <v>3706</v>
      </c>
      <c r="H8272" s="8" t="s">
        <v>3707</v>
      </c>
      <c r="I8272" s="8" t="s">
        <v>24775</v>
      </c>
      <c r="J8272" s="8"/>
    </row>
    <row r="8273">
      <c r="A8273" s="7">
        <v>2.0047935E7</v>
      </c>
      <c r="B8273" s="8" t="s">
        <v>776</v>
      </c>
      <c r="C8273" s="8" t="s">
        <v>24776</v>
      </c>
      <c r="D8273" s="8" t="s">
        <v>16</v>
      </c>
      <c r="E8273" s="8" t="s">
        <v>17</v>
      </c>
      <c r="F8273" s="9">
        <v>46094.0</v>
      </c>
      <c r="G8273" s="8" t="s">
        <v>34</v>
      </c>
      <c r="H8273" s="8" t="s">
        <v>35</v>
      </c>
      <c r="I8273" s="8" t="s">
        <v>24777</v>
      </c>
      <c r="J8273" s="8" t="s">
        <v>1752</v>
      </c>
    </row>
    <row r="8274">
      <c r="A8274" s="7">
        <v>2.0040159E7</v>
      </c>
      <c r="B8274" s="8" t="s">
        <v>776</v>
      </c>
      <c r="C8274" s="8" t="s">
        <v>24778</v>
      </c>
      <c r="D8274" s="8" t="s">
        <v>16</v>
      </c>
      <c r="E8274" s="8" t="s">
        <v>17</v>
      </c>
      <c r="F8274" s="9">
        <v>46090.0</v>
      </c>
      <c r="G8274" s="8" t="s">
        <v>846</v>
      </c>
      <c r="H8274" s="8" t="s">
        <v>847</v>
      </c>
      <c r="I8274" s="8" t="s">
        <v>24779</v>
      </c>
      <c r="J8274" s="8" t="s">
        <v>24780</v>
      </c>
    </row>
    <row r="8275">
      <c r="A8275" s="7">
        <v>2.003433E7</v>
      </c>
      <c r="B8275" s="8" t="s">
        <v>776</v>
      </c>
      <c r="C8275" s="8" t="s">
        <v>24781</v>
      </c>
      <c r="D8275" s="8" t="s">
        <v>16</v>
      </c>
      <c r="E8275" s="8" t="s">
        <v>17</v>
      </c>
      <c r="F8275" s="9">
        <v>46070.0</v>
      </c>
      <c r="G8275" s="8" t="s">
        <v>59</v>
      </c>
      <c r="H8275" s="8" t="s">
        <v>60</v>
      </c>
      <c r="I8275" s="8" t="s">
        <v>24782</v>
      </c>
      <c r="J8275" s="8" t="s">
        <v>24783</v>
      </c>
    </row>
    <row r="8276">
      <c r="A8276" s="7">
        <v>2.0036895E7</v>
      </c>
      <c r="B8276" s="8" t="s">
        <v>776</v>
      </c>
      <c r="C8276" s="8" t="s">
        <v>24784</v>
      </c>
      <c r="D8276" s="8" t="s">
        <v>16</v>
      </c>
      <c r="E8276" s="8" t="s">
        <v>17</v>
      </c>
      <c r="F8276" s="9">
        <v>46077.0</v>
      </c>
      <c r="G8276" s="8" t="s">
        <v>5030</v>
      </c>
      <c r="H8276" s="8" t="s">
        <v>44</v>
      </c>
      <c r="I8276" s="8" t="s">
        <v>24785</v>
      </c>
      <c r="J8276" s="8" t="s">
        <v>24786</v>
      </c>
    </row>
    <row r="8277">
      <c r="A8277" s="7">
        <v>2.0038316E7</v>
      </c>
      <c r="B8277" s="8" t="s">
        <v>776</v>
      </c>
      <c r="C8277" s="8" t="s">
        <v>24787</v>
      </c>
      <c r="D8277" s="8" t="s">
        <v>16</v>
      </c>
      <c r="E8277" s="8" t="s">
        <v>17</v>
      </c>
      <c r="F8277" s="9">
        <v>46081.0</v>
      </c>
      <c r="G8277" s="8" t="s">
        <v>1638</v>
      </c>
      <c r="H8277" s="8" t="s">
        <v>1639</v>
      </c>
      <c r="I8277" s="8" t="s">
        <v>24788</v>
      </c>
      <c r="J8277" s="8" t="s">
        <v>24789</v>
      </c>
    </row>
    <row r="8278">
      <c r="A8278" s="7">
        <v>2.0039255E7</v>
      </c>
      <c r="B8278" s="8" t="s">
        <v>776</v>
      </c>
      <c r="C8278" s="8" t="s">
        <v>24790</v>
      </c>
      <c r="D8278" s="8" t="s">
        <v>16</v>
      </c>
      <c r="E8278" s="8" t="s">
        <v>17</v>
      </c>
      <c r="F8278" s="9">
        <v>46071.0</v>
      </c>
      <c r="G8278" s="8" t="s">
        <v>314</v>
      </c>
      <c r="H8278" s="8" t="s">
        <v>315</v>
      </c>
      <c r="I8278" s="8" t="s">
        <v>24791</v>
      </c>
      <c r="J8278" s="8" t="s">
        <v>24792</v>
      </c>
    </row>
    <row r="8279">
      <c r="A8279" s="7">
        <v>2.0067153E7</v>
      </c>
      <c r="B8279" s="8" t="s">
        <v>776</v>
      </c>
      <c r="C8279" s="8" t="s">
        <v>24793</v>
      </c>
      <c r="D8279" s="8" t="s">
        <v>16</v>
      </c>
      <c r="E8279" s="8" t="s">
        <v>17</v>
      </c>
      <c r="F8279" s="9">
        <v>46184.0</v>
      </c>
      <c r="G8279" s="8" t="s">
        <v>34</v>
      </c>
      <c r="H8279" s="8" t="s">
        <v>35</v>
      </c>
      <c r="I8279" s="8" t="s">
        <v>24794</v>
      </c>
      <c r="J8279" s="8" t="s">
        <v>24795</v>
      </c>
    </row>
    <row r="8280">
      <c r="A8280" s="7">
        <v>2.0063049E7</v>
      </c>
      <c r="B8280" s="8" t="s">
        <v>776</v>
      </c>
      <c r="C8280" s="8" t="s">
        <v>24796</v>
      </c>
      <c r="D8280" s="8" t="s">
        <v>2136</v>
      </c>
      <c r="E8280" s="8" t="s">
        <v>17</v>
      </c>
      <c r="F8280" s="9">
        <v>46167.0</v>
      </c>
      <c r="G8280" s="8" t="s">
        <v>75</v>
      </c>
      <c r="H8280" s="8" t="s">
        <v>76</v>
      </c>
      <c r="I8280" s="8" t="s">
        <v>24797</v>
      </c>
      <c r="J8280" s="8" t="s">
        <v>24798</v>
      </c>
    </row>
    <row r="8281">
      <c r="A8281" s="7">
        <v>2.0056584E7</v>
      </c>
      <c r="B8281" s="8" t="s">
        <v>776</v>
      </c>
      <c r="C8281" s="8" t="s">
        <v>24799</v>
      </c>
      <c r="D8281" s="8" t="s">
        <v>16</v>
      </c>
      <c r="E8281" s="8" t="s">
        <v>17</v>
      </c>
      <c r="F8281" s="9">
        <v>46127.0</v>
      </c>
      <c r="G8281" s="8" t="s">
        <v>59</v>
      </c>
      <c r="H8281" s="8" t="s">
        <v>60</v>
      </c>
      <c r="I8281" s="8" t="s">
        <v>24800</v>
      </c>
      <c r="J8281" s="8" t="s">
        <v>24801</v>
      </c>
    </row>
    <row r="8282">
      <c r="A8282" s="7">
        <v>2.0051317E7</v>
      </c>
      <c r="B8282" s="8" t="s">
        <v>776</v>
      </c>
      <c r="C8282" s="8" t="s">
        <v>24802</v>
      </c>
      <c r="D8282" s="8" t="s">
        <v>16</v>
      </c>
      <c r="E8282" s="8" t="s">
        <v>17</v>
      </c>
      <c r="F8282" s="9">
        <v>46102.0</v>
      </c>
      <c r="G8282" s="8" t="s">
        <v>109</v>
      </c>
      <c r="H8282" s="8" t="s">
        <v>110</v>
      </c>
      <c r="I8282" s="8" t="s">
        <v>24803</v>
      </c>
      <c r="J8282" s="8" t="s">
        <v>24804</v>
      </c>
    </row>
    <row r="8283">
      <c r="A8283" s="7">
        <v>2.0046284E7</v>
      </c>
      <c r="B8283" s="8" t="s">
        <v>776</v>
      </c>
      <c r="C8283" s="8" t="s">
        <v>24805</v>
      </c>
      <c r="D8283" s="8" t="s">
        <v>16</v>
      </c>
      <c r="E8283" s="8" t="s">
        <v>17</v>
      </c>
      <c r="F8283" s="9">
        <v>46116.0</v>
      </c>
      <c r="G8283" s="8" t="s">
        <v>2186</v>
      </c>
      <c r="H8283" s="8" t="s">
        <v>2187</v>
      </c>
      <c r="I8283" s="8" t="s">
        <v>24806</v>
      </c>
      <c r="J8283" s="8"/>
    </row>
    <row r="8284">
      <c r="A8284" s="7">
        <v>2.0031024E7</v>
      </c>
      <c r="B8284" s="8" t="s">
        <v>776</v>
      </c>
      <c r="C8284" s="8" t="s">
        <v>24807</v>
      </c>
      <c r="D8284" s="8" t="s">
        <v>16</v>
      </c>
      <c r="E8284" s="8" t="s">
        <v>17</v>
      </c>
      <c r="F8284" s="9">
        <v>46071.0</v>
      </c>
      <c r="G8284" s="8" t="s">
        <v>498</v>
      </c>
      <c r="H8284" s="8" t="s">
        <v>499</v>
      </c>
      <c r="I8284" s="8" t="s">
        <v>24808</v>
      </c>
      <c r="J8284" s="8" t="s">
        <v>24809</v>
      </c>
    </row>
    <row r="8285">
      <c r="A8285" s="7">
        <v>2.0035972E7</v>
      </c>
      <c r="B8285" s="8" t="s">
        <v>776</v>
      </c>
      <c r="C8285" s="8" t="s">
        <v>24810</v>
      </c>
      <c r="D8285" s="8" t="s">
        <v>16</v>
      </c>
      <c r="E8285" s="8" t="s">
        <v>17</v>
      </c>
      <c r="F8285" s="9">
        <v>46057.0</v>
      </c>
      <c r="G8285" s="8" t="s">
        <v>1557</v>
      </c>
      <c r="H8285" s="8" t="s">
        <v>1558</v>
      </c>
      <c r="I8285" s="8" t="s">
        <v>24811</v>
      </c>
      <c r="J8285" s="8" t="s">
        <v>24812</v>
      </c>
    </row>
    <row r="8286">
      <c r="A8286" s="7">
        <v>2.0037714E7</v>
      </c>
      <c r="B8286" s="8" t="s">
        <v>776</v>
      </c>
      <c r="C8286" s="8" t="s">
        <v>24813</v>
      </c>
      <c r="D8286" s="8" t="s">
        <v>16</v>
      </c>
      <c r="E8286" s="8" t="s">
        <v>17</v>
      </c>
      <c r="F8286" s="9">
        <v>46064.0</v>
      </c>
      <c r="G8286" s="8" t="s">
        <v>630</v>
      </c>
      <c r="H8286" s="8" t="s">
        <v>631</v>
      </c>
      <c r="I8286" s="8" t="s">
        <v>24814</v>
      </c>
      <c r="J8286" s="8" t="s">
        <v>24815</v>
      </c>
    </row>
    <row r="8287">
      <c r="A8287" s="7">
        <v>2.0036572E7</v>
      </c>
      <c r="B8287" s="8" t="s">
        <v>776</v>
      </c>
      <c r="C8287" s="8" t="s">
        <v>24816</v>
      </c>
      <c r="D8287" s="8" t="s">
        <v>16</v>
      </c>
      <c r="E8287" s="8" t="s">
        <v>17</v>
      </c>
      <c r="F8287" s="9">
        <v>46058.0</v>
      </c>
      <c r="G8287" s="8" t="s">
        <v>171</v>
      </c>
      <c r="H8287" s="8" t="s">
        <v>172</v>
      </c>
      <c r="I8287" s="8" t="s">
        <v>24817</v>
      </c>
      <c r="J8287" s="8"/>
    </row>
    <row r="8288">
      <c r="A8288" s="7">
        <v>2.0035879E7</v>
      </c>
      <c r="B8288" s="8" t="s">
        <v>776</v>
      </c>
      <c r="C8288" s="8" t="s">
        <v>24818</v>
      </c>
      <c r="D8288" s="8" t="s">
        <v>16</v>
      </c>
      <c r="E8288" s="8" t="s">
        <v>17</v>
      </c>
      <c r="F8288" s="9">
        <v>46058.0</v>
      </c>
      <c r="G8288" s="8" t="s">
        <v>184</v>
      </c>
      <c r="H8288" s="8" t="s">
        <v>185</v>
      </c>
      <c r="I8288" s="8" t="s">
        <v>24819</v>
      </c>
      <c r="J8288" s="8"/>
    </row>
    <row r="8289">
      <c r="A8289" s="7">
        <v>2.003356E7</v>
      </c>
      <c r="B8289" s="8" t="s">
        <v>776</v>
      </c>
      <c r="C8289" s="8" t="s">
        <v>24820</v>
      </c>
      <c r="D8289" s="8" t="s">
        <v>16</v>
      </c>
      <c r="E8289" s="8" t="s">
        <v>17</v>
      </c>
      <c r="F8289" s="9">
        <v>46043.0</v>
      </c>
      <c r="G8289" s="8" t="s">
        <v>2625</v>
      </c>
      <c r="H8289" s="8" t="s">
        <v>827</v>
      </c>
      <c r="I8289" s="8" t="s">
        <v>24821</v>
      </c>
      <c r="J8289" s="8" t="s">
        <v>24822</v>
      </c>
    </row>
    <row r="8290">
      <c r="A8290" s="7">
        <v>2.0065296E7</v>
      </c>
      <c r="B8290" s="8" t="s">
        <v>776</v>
      </c>
      <c r="C8290" s="8" t="s">
        <v>24823</v>
      </c>
      <c r="D8290" s="8" t="s">
        <v>16</v>
      </c>
      <c r="E8290" s="8" t="s">
        <v>17</v>
      </c>
      <c r="F8290" s="9">
        <v>46185.0</v>
      </c>
      <c r="G8290" s="8" t="s">
        <v>5431</v>
      </c>
      <c r="H8290" s="8" t="s">
        <v>5432</v>
      </c>
      <c r="I8290" s="8" t="s">
        <v>24824</v>
      </c>
      <c r="J8290" s="8" t="s">
        <v>24825</v>
      </c>
    </row>
    <row r="8291">
      <c r="A8291" s="7">
        <v>2.0065303E7</v>
      </c>
      <c r="B8291" s="8" t="s">
        <v>776</v>
      </c>
      <c r="C8291" s="8" t="s">
        <v>24826</v>
      </c>
      <c r="D8291" s="8" t="s">
        <v>2136</v>
      </c>
      <c r="E8291" s="8" t="s">
        <v>17</v>
      </c>
      <c r="F8291" s="9">
        <v>46162.0</v>
      </c>
      <c r="G8291" s="8" t="s">
        <v>153</v>
      </c>
      <c r="H8291" s="8" t="s">
        <v>154</v>
      </c>
      <c r="I8291" s="8" t="s">
        <v>24827</v>
      </c>
      <c r="J8291" s="8" t="s">
        <v>24828</v>
      </c>
    </row>
    <row r="8292">
      <c r="A8292" s="7">
        <v>2.0063444E7</v>
      </c>
      <c r="B8292" s="8" t="s">
        <v>776</v>
      </c>
      <c r="C8292" s="8" t="s">
        <v>24829</v>
      </c>
      <c r="D8292" s="8" t="s">
        <v>16</v>
      </c>
      <c r="E8292" s="8" t="s">
        <v>17</v>
      </c>
      <c r="F8292" s="9">
        <v>46184.0</v>
      </c>
      <c r="G8292" s="8" t="s">
        <v>5030</v>
      </c>
      <c r="H8292" s="8" t="s">
        <v>10431</v>
      </c>
      <c r="I8292" s="8" t="s">
        <v>24830</v>
      </c>
      <c r="J8292" s="8" t="s">
        <v>24831</v>
      </c>
    </row>
    <row r="8293">
      <c r="A8293" s="7">
        <v>2.0063444E7</v>
      </c>
      <c r="B8293" s="8" t="s">
        <v>776</v>
      </c>
      <c r="C8293" s="8" t="s">
        <v>24829</v>
      </c>
      <c r="D8293" s="8" t="s">
        <v>16</v>
      </c>
      <c r="E8293" s="8" t="s">
        <v>17</v>
      </c>
      <c r="F8293" s="9">
        <v>46184.0</v>
      </c>
      <c r="G8293" s="8" t="s">
        <v>454</v>
      </c>
      <c r="H8293" s="8" t="s">
        <v>455</v>
      </c>
      <c r="I8293" s="8" t="s">
        <v>24832</v>
      </c>
      <c r="J8293" s="8" t="s">
        <v>24833</v>
      </c>
    </row>
    <row r="8294">
      <c r="A8294" s="7">
        <v>2.0061339E7</v>
      </c>
      <c r="B8294" s="8" t="s">
        <v>776</v>
      </c>
      <c r="C8294" s="8" t="s">
        <v>24834</v>
      </c>
      <c r="D8294" s="8" t="s">
        <v>16</v>
      </c>
      <c r="E8294" s="8" t="s">
        <v>17</v>
      </c>
      <c r="F8294" s="9">
        <v>46151.0</v>
      </c>
      <c r="G8294" s="8" t="s">
        <v>6305</v>
      </c>
      <c r="H8294" s="8" t="s">
        <v>6306</v>
      </c>
      <c r="I8294" s="8" t="s">
        <v>24835</v>
      </c>
      <c r="J8294" s="8" t="s">
        <v>24836</v>
      </c>
    </row>
    <row r="8295">
      <c r="A8295" s="7">
        <v>2.0058525E7</v>
      </c>
      <c r="B8295" s="8" t="s">
        <v>776</v>
      </c>
      <c r="C8295" s="8" t="s">
        <v>24837</v>
      </c>
      <c r="D8295" s="8" t="s">
        <v>16</v>
      </c>
      <c r="E8295" s="8" t="s">
        <v>17</v>
      </c>
      <c r="F8295" s="9">
        <v>46154.0</v>
      </c>
      <c r="G8295" s="8" t="s">
        <v>282</v>
      </c>
      <c r="H8295" s="8" t="s">
        <v>3005</v>
      </c>
      <c r="I8295" s="8" t="s">
        <v>24838</v>
      </c>
      <c r="J8295" s="8" t="s">
        <v>24839</v>
      </c>
    </row>
    <row r="8296">
      <c r="A8296" s="7">
        <v>2.0058525E7</v>
      </c>
      <c r="B8296" s="8" t="s">
        <v>776</v>
      </c>
      <c r="C8296" s="8" t="s">
        <v>24837</v>
      </c>
      <c r="D8296" s="8" t="s">
        <v>16</v>
      </c>
      <c r="E8296" s="8" t="s">
        <v>17</v>
      </c>
      <c r="F8296" s="9">
        <v>46154.0</v>
      </c>
      <c r="G8296" s="8" t="s">
        <v>3008</v>
      </c>
      <c r="H8296" s="8" t="s">
        <v>3009</v>
      </c>
      <c r="I8296" s="8" t="s">
        <v>24840</v>
      </c>
      <c r="J8296" s="8"/>
    </row>
    <row r="8297">
      <c r="A8297" s="7">
        <v>2.0058525E7</v>
      </c>
      <c r="B8297" s="8" t="s">
        <v>776</v>
      </c>
      <c r="C8297" s="8" t="s">
        <v>24837</v>
      </c>
      <c r="D8297" s="8" t="s">
        <v>16</v>
      </c>
      <c r="E8297" s="8" t="s">
        <v>17</v>
      </c>
      <c r="F8297" s="9">
        <v>46154.0</v>
      </c>
      <c r="G8297" s="8" t="s">
        <v>282</v>
      </c>
      <c r="H8297" s="8" t="s">
        <v>3005</v>
      </c>
      <c r="I8297" s="8" t="s">
        <v>24841</v>
      </c>
      <c r="J8297" s="8" t="s">
        <v>24838</v>
      </c>
    </row>
    <row r="8298">
      <c r="A8298" s="7">
        <v>2.0057641E7</v>
      </c>
      <c r="B8298" s="8" t="s">
        <v>776</v>
      </c>
      <c r="C8298" s="8" t="s">
        <v>24842</v>
      </c>
      <c r="D8298" s="8" t="s">
        <v>16</v>
      </c>
      <c r="E8298" s="8" t="s">
        <v>17</v>
      </c>
      <c r="F8298" s="9">
        <v>46165.0</v>
      </c>
      <c r="G8298" s="8" t="s">
        <v>3136</v>
      </c>
      <c r="H8298" s="8" t="s">
        <v>3137</v>
      </c>
      <c r="I8298" s="8" t="s">
        <v>24843</v>
      </c>
      <c r="J8298" s="8"/>
    </row>
    <row r="8299">
      <c r="A8299" s="7">
        <v>2.0058911E7</v>
      </c>
      <c r="B8299" s="8" t="s">
        <v>776</v>
      </c>
      <c r="C8299" s="8" t="s">
        <v>24844</v>
      </c>
      <c r="D8299" s="8" t="s">
        <v>16</v>
      </c>
      <c r="E8299" s="8" t="s">
        <v>17</v>
      </c>
      <c r="F8299" s="9">
        <v>46140.0</v>
      </c>
      <c r="G8299" s="8" t="s">
        <v>12329</v>
      </c>
      <c r="H8299" s="8" t="s">
        <v>12331</v>
      </c>
      <c r="I8299" s="8" t="s">
        <v>24845</v>
      </c>
      <c r="J8299" s="8"/>
    </row>
    <row r="8300">
      <c r="A8300" s="7">
        <v>2.0057246E7</v>
      </c>
      <c r="B8300" s="8" t="s">
        <v>776</v>
      </c>
      <c r="C8300" s="8" t="s">
        <v>24846</v>
      </c>
      <c r="D8300" s="8" t="s">
        <v>16</v>
      </c>
      <c r="E8300" s="8" t="s">
        <v>17</v>
      </c>
      <c r="F8300" s="9">
        <v>46136.0</v>
      </c>
      <c r="G8300" s="8" t="s">
        <v>24847</v>
      </c>
      <c r="H8300" s="8" t="s">
        <v>2014</v>
      </c>
      <c r="I8300" s="8" t="s">
        <v>24848</v>
      </c>
      <c r="J8300" s="8" t="s">
        <v>24849</v>
      </c>
    </row>
    <row r="8301">
      <c r="A8301" s="7">
        <v>2.0055657E7</v>
      </c>
      <c r="B8301" s="8" t="s">
        <v>776</v>
      </c>
      <c r="C8301" s="8" t="s">
        <v>24850</v>
      </c>
      <c r="D8301" s="8" t="s">
        <v>16</v>
      </c>
      <c r="E8301" s="8" t="s">
        <v>17</v>
      </c>
      <c r="F8301" s="9">
        <v>46122.0</v>
      </c>
      <c r="G8301" s="8" t="s">
        <v>153</v>
      </c>
      <c r="H8301" s="8" t="s">
        <v>154</v>
      </c>
      <c r="I8301" s="8" t="s">
        <v>24851</v>
      </c>
      <c r="J8301" s="8" t="s">
        <v>24852</v>
      </c>
    </row>
    <row r="8302">
      <c r="A8302" s="7">
        <v>2.0055468E7</v>
      </c>
      <c r="B8302" s="8" t="s">
        <v>776</v>
      </c>
      <c r="C8302" s="8" t="s">
        <v>24853</v>
      </c>
      <c r="D8302" s="8" t="s">
        <v>16</v>
      </c>
      <c r="E8302" s="8" t="s">
        <v>17</v>
      </c>
      <c r="F8302" s="9">
        <v>46184.0</v>
      </c>
      <c r="G8302" s="8" t="s">
        <v>184</v>
      </c>
      <c r="H8302" s="8" t="s">
        <v>185</v>
      </c>
      <c r="I8302" s="8" t="s">
        <v>24854</v>
      </c>
      <c r="J8302" s="8" t="s">
        <v>24855</v>
      </c>
    </row>
    <row r="8303">
      <c r="A8303" s="7">
        <v>2.0054475E7</v>
      </c>
      <c r="B8303" s="8" t="s">
        <v>776</v>
      </c>
      <c r="C8303" s="8" t="s">
        <v>24856</v>
      </c>
      <c r="D8303" s="8" t="s">
        <v>16</v>
      </c>
      <c r="E8303" s="8" t="s">
        <v>17</v>
      </c>
      <c r="F8303" s="9">
        <v>46141.0</v>
      </c>
      <c r="G8303" s="8" t="s">
        <v>791</v>
      </c>
      <c r="H8303" s="8" t="s">
        <v>792</v>
      </c>
      <c r="I8303" s="8" t="s">
        <v>24857</v>
      </c>
      <c r="J8303" s="8"/>
    </row>
    <row r="8304">
      <c r="A8304" s="7">
        <v>2.0053535E7</v>
      </c>
      <c r="B8304" s="8" t="s">
        <v>776</v>
      </c>
      <c r="C8304" s="8" t="s">
        <v>24858</v>
      </c>
      <c r="D8304" s="8" t="s">
        <v>16</v>
      </c>
      <c r="E8304" s="8" t="s">
        <v>17</v>
      </c>
      <c r="F8304" s="9">
        <v>46136.0</v>
      </c>
      <c r="G8304" s="8" t="s">
        <v>64</v>
      </c>
      <c r="H8304" s="8" t="s">
        <v>65</v>
      </c>
      <c r="I8304" s="8" t="s">
        <v>24859</v>
      </c>
      <c r="J8304" s="8"/>
    </row>
    <row r="8305">
      <c r="A8305" s="7">
        <v>2.0051635E7</v>
      </c>
      <c r="B8305" s="8" t="s">
        <v>776</v>
      </c>
      <c r="C8305" s="8" t="s">
        <v>24860</v>
      </c>
      <c r="D8305" s="8" t="s">
        <v>16</v>
      </c>
      <c r="E8305" s="8" t="s">
        <v>17</v>
      </c>
      <c r="F8305" s="9">
        <v>46113.0</v>
      </c>
      <c r="G8305" s="8" t="s">
        <v>1045</v>
      </c>
      <c r="H8305" s="8" t="s">
        <v>909</v>
      </c>
      <c r="I8305" s="8" t="s">
        <v>24861</v>
      </c>
      <c r="J8305" s="8" t="s">
        <v>24862</v>
      </c>
    </row>
    <row r="8306">
      <c r="A8306" s="7">
        <v>2.0049451E7</v>
      </c>
      <c r="B8306" s="8" t="s">
        <v>776</v>
      </c>
      <c r="C8306" s="8" t="s">
        <v>24863</v>
      </c>
      <c r="D8306" s="8" t="s">
        <v>16</v>
      </c>
      <c r="E8306" s="8" t="s">
        <v>17</v>
      </c>
      <c r="F8306" s="9">
        <v>46106.0</v>
      </c>
      <c r="G8306" s="8" t="s">
        <v>2511</v>
      </c>
      <c r="H8306" s="8" t="s">
        <v>2512</v>
      </c>
      <c r="I8306" s="8" t="s">
        <v>24864</v>
      </c>
      <c r="J8306" s="8" t="s">
        <v>24865</v>
      </c>
    </row>
    <row r="8307">
      <c r="A8307" s="7">
        <v>2.0047698E7</v>
      </c>
      <c r="B8307" s="8" t="s">
        <v>776</v>
      </c>
      <c r="C8307" s="8" t="s">
        <v>24866</v>
      </c>
      <c r="D8307" s="8" t="s">
        <v>16</v>
      </c>
      <c r="E8307" s="8" t="s">
        <v>17</v>
      </c>
      <c r="F8307" s="9">
        <v>46087.0</v>
      </c>
      <c r="G8307" s="8" t="s">
        <v>59</v>
      </c>
      <c r="H8307" s="8" t="s">
        <v>60</v>
      </c>
      <c r="I8307" s="8" t="s">
        <v>24867</v>
      </c>
      <c r="J8307" s="8" t="s">
        <v>24868</v>
      </c>
    </row>
    <row r="8308">
      <c r="A8308" s="7">
        <v>2.0044026E7</v>
      </c>
      <c r="B8308" s="8" t="s">
        <v>776</v>
      </c>
      <c r="C8308" s="8" t="s">
        <v>24869</v>
      </c>
      <c r="D8308" s="8" t="s">
        <v>16</v>
      </c>
      <c r="E8308" s="8" t="s">
        <v>17</v>
      </c>
      <c r="F8308" s="9">
        <v>46094.0</v>
      </c>
      <c r="G8308" s="8" t="s">
        <v>171</v>
      </c>
      <c r="H8308" s="8" t="s">
        <v>172</v>
      </c>
      <c r="I8308" s="8" t="s">
        <v>24870</v>
      </c>
      <c r="J8308" s="8" t="s">
        <v>24871</v>
      </c>
    </row>
    <row r="8309">
      <c r="A8309" s="7">
        <v>2.0043944E7</v>
      </c>
      <c r="B8309" s="8" t="s">
        <v>776</v>
      </c>
      <c r="C8309" s="8" t="s">
        <v>24872</v>
      </c>
      <c r="D8309" s="8" t="s">
        <v>16</v>
      </c>
      <c r="E8309" s="8" t="s">
        <v>17</v>
      </c>
      <c r="F8309" s="9">
        <v>46091.0</v>
      </c>
      <c r="G8309" s="8" t="s">
        <v>64</v>
      </c>
      <c r="H8309" s="8" t="s">
        <v>65</v>
      </c>
      <c r="I8309" s="8" t="s">
        <v>24873</v>
      </c>
      <c r="J8309" s="8" t="s">
        <v>24874</v>
      </c>
    </row>
    <row r="8310">
      <c r="A8310" s="7">
        <v>2.0043518E7</v>
      </c>
      <c r="B8310" s="8" t="s">
        <v>776</v>
      </c>
      <c r="C8310" s="8" t="s">
        <v>24875</v>
      </c>
      <c r="D8310" s="8" t="s">
        <v>16</v>
      </c>
      <c r="E8310" s="8" t="s">
        <v>17</v>
      </c>
      <c r="F8310" s="9">
        <v>46071.0</v>
      </c>
      <c r="G8310" s="8" t="s">
        <v>75</v>
      </c>
      <c r="H8310" s="8" t="s">
        <v>76</v>
      </c>
      <c r="I8310" s="8" t="s">
        <v>24876</v>
      </c>
      <c r="J8310" s="8" t="s">
        <v>24877</v>
      </c>
    </row>
    <row r="8311">
      <c r="A8311" s="7">
        <v>2.0041194E7</v>
      </c>
      <c r="B8311" s="8" t="s">
        <v>776</v>
      </c>
      <c r="C8311" s="8" t="s">
        <v>24878</v>
      </c>
      <c r="D8311" s="8" t="s">
        <v>16</v>
      </c>
      <c r="E8311" s="8" t="s">
        <v>17</v>
      </c>
      <c r="F8311" s="9">
        <v>46084.0</v>
      </c>
      <c r="G8311" s="8" t="s">
        <v>124</v>
      </c>
      <c r="H8311" s="8" t="s">
        <v>125</v>
      </c>
      <c r="I8311" s="8" t="s">
        <v>24879</v>
      </c>
      <c r="J8311" s="8" t="s">
        <v>24880</v>
      </c>
    </row>
    <row r="8312">
      <c r="A8312" s="7">
        <v>2.0037763E7</v>
      </c>
      <c r="B8312" s="8" t="s">
        <v>776</v>
      </c>
      <c r="C8312" s="8" t="s">
        <v>24881</v>
      </c>
      <c r="D8312" s="8" t="s">
        <v>16</v>
      </c>
      <c r="E8312" s="8" t="s">
        <v>17</v>
      </c>
      <c r="F8312" s="9">
        <v>46071.0</v>
      </c>
      <c r="G8312" s="8" t="s">
        <v>24882</v>
      </c>
      <c r="H8312" s="8" t="s">
        <v>24883</v>
      </c>
      <c r="I8312" s="8" t="s">
        <v>24884</v>
      </c>
      <c r="J8312" s="8" t="s">
        <v>24885</v>
      </c>
    </row>
    <row r="8313">
      <c r="A8313" s="7">
        <v>2.0039281E7</v>
      </c>
      <c r="B8313" s="8" t="s">
        <v>776</v>
      </c>
      <c r="C8313" s="8" t="s">
        <v>24886</v>
      </c>
      <c r="D8313" s="8" t="s">
        <v>16</v>
      </c>
      <c r="E8313" s="8" t="s">
        <v>17</v>
      </c>
      <c r="F8313" s="9">
        <v>46071.0</v>
      </c>
      <c r="G8313" s="8" t="s">
        <v>361</v>
      </c>
      <c r="H8313" s="8" t="s">
        <v>362</v>
      </c>
      <c r="I8313" s="8" t="s">
        <v>24887</v>
      </c>
      <c r="J8313" s="8" t="s">
        <v>24888</v>
      </c>
    </row>
    <row r="8314">
      <c r="A8314" s="7">
        <v>2.0068098E7</v>
      </c>
      <c r="B8314" s="8" t="s">
        <v>776</v>
      </c>
      <c r="C8314" s="8" t="s">
        <v>24889</v>
      </c>
      <c r="D8314" s="8" t="s">
        <v>16</v>
      </c>
      <c r="E8314" s="8" t="s">
        <v>17</v>
      </c>
      <c r="F8314" s="9">
        <v>46193.0</v>
      </c>
      <c r="G8314" s="8" t="s">
        <v>319</v>
      </c>
      <c r="H8314" s="8" t="s">
        <v>320</v>
      </c>
      <c r="I8314" s="8" t="s">
        <v>24890</v>
      </c>
      <c r="J8314" s="8" t="s">
        <v>24891</v>
      </c>
    </row>
    <row r="8315">
      <c r="A8315" s="7">
        <v>2.0059442E7</v>
      </c>
      <c r="B8315" s="8" t="s">
        <v>776</v>
      </c>
      <c r="C8315" s="8" t="s">
        <v>24892</v>
      </c>
      <c r="D8315" s="8" t="s">
        <v>16</v>
      </c>
      <c r="E8315" s="8" t="s">
        <v>17</v>
      </c>
      <c r="F8315" s="9">
        <v>46141.0</v>
      </c>
      <c r="G8315" s="8" t="s">
        <v>873</v>
      </c>
      <c r="H8315" s="8" t="s">
        <v>874</v>
      </c>
      <c r="I8315" s="8" t="s">
        <v>24893</v>
      </c>
      <c r="J8315" s="8" t="s">
        <v>24894</v>
      </c>
    </row>
    <row r="8316">
      <c r="A8316" s="7">
        <v>2.0055076E7</v>
      </c>
      <c r="B8316" s="8" t="s">
        <v>776</v>
      </c>
      <c r="C8316" s="8" t="s">
        <v>24895</v>
      </c>
      <c r="D8316" s="8" t="s">
        <v>16</v>
      </c>
      <c r="E8316" s="8" t="s">
        <v>17</v>
      </c>
      <c r="F8316" s="9">
        <v>46140.0</v>
      </c>
      <c r="G8316" s="8" t="s">
        <v>91</v>
      </c>
      <c r="H8316" s="8" t="s">
        <v>92</v>
      </c>
      <c r="I8316" s="8" t="s">
        <v>24896</v>
      </c>
      <c r="J8316" s="8" t="s">
        <v>24897</v>
      </c>
    </row>
    <row r="8317">
      <c r="A8317" s="7">
        <v>2.0054979E7</v>
      </c>
      <c r="B8317" s="8" t="s">
        <v>776</v>
      </c>
      <c r="C8317" s="8" t="s">
        <v>24898</v>
      </c>
      <c r="D8317" s="8" t="s">
        <v>16</v>
      </c>
      <c r="E8317" s="8" t="s">
        <v>17</v>
      </c>
      <c r="F8317" s="9">
        <v>46134.0</v>
      </c>
      <c r="G8317" s="8" t="s">
        <v>339</v>
      </c>
      <c r="H8317" s="8" t="s">
        <v>340</v>
      </c>
      <c r="I8317" s="8" t="s">
        <v>24899</v>
      </c>
      <c r="J8317" s="8" t="s">
        <v>24900</v>
      </c>
    </row>
    <row r="8318">
      <c r="A8318" s="7">
        <v>2.0050453E7</v>
      </c>
      <c r="B8318" s="8" t="s">
        <v>776</v>
      </c>
      <c r="C8318" s="8" t="s">
        <v>24901</v>
      </c>
      <c r="D8318" s="8" t="s">
        <v>16</v>
      </c>
      <c r="E8318" s="8" t="s">
        <v>17</v>
      </c>
      <c r="F8318" s="9">
        <v>46118.0</v>
      </c>
      <c r="G8318" s="8" t="s">
        <v>247</v>
      </c>
      <c r="H8318" s="8" t="s">
        <v>248</v>
      </c>
      <c r="I8318" s="8" t="s">
        <v>24902</v>
      </c>
      <c r="J8318" s="8" t="s">
        <v>24903</v>
      </c>
    </row>
    <row r="8319">
      <c r="A8319" s="7">
        <v>2.0044451E7</v>
      </c>
      <c r="B8319" s="8" t="s">
        <v>776</v>
      </c>
      <c r="C8319" s="8" t="s">
        <v>24904</v>
      </c>
      <c r="D8319" s="8" t="s">
        <v>16</v>
      </c>
      <c r="E8319" s="8" t="s">
        <v>17</v>
      </c>
      <c r="F8319" s="9">
        <v>46089.0</v>
      </c>
      <c r="G8319" s="8" t="s">
        <v>75</v>
      </c>
      <c r="H8319" s="8" t="s">
        <v>76</v>
      </c>
      <c r="I8319" s="8" t="s">
        <v>24905</v>
      </c>
      <c r="J8319" s="8" t="s">
        <v>24906</v>
      </c>
    </row>
    <row r="8320">
      <c r="A8320" s="7">
        <v>2.0041019E7</v>
      </c>
      <c r="B8320" s="8" t="s">
        <v>776</v>
      </c>
      <c r="C8320" s="8" t="s">
        <v>24907</v>
      </c>
      <c r="D8320" s="8" t="s">
        <v>16</v>
      </c>
      <c r="E8320" s="8" t="s">
        <v>17</v>
      </c>
      <c r="F8320" s="9">
        <v>46091.0</v>
      </c>
      <c r="G8320" s="8" t="s">
        <v>2109</v>
      </c>
      <c r="H8320" s="8" t="s">
        <v>2110</v>
      </c>
      <c r="I8320" s="8" t="s">
        <v>24908</v>
      </c>
      <c r="J8320" s="8" t="s">
        <v>24909</v>
      </c>
    </row>
    <row r="8321">
      <c r="A8321" s="7">
        <v>2.0041019E7</v>
      </c>
      <c r="B8321" s="8" t="s">
        <v>776</v>
      </c>
      <c r="C8321" s="8" t="s">
        <v>24907</v>
      </c>
      <c r="D8321" s="8" t="s">
        <v>16</v>
      </c>
      <c r="E8321" s="8" t="s">
        <v>17</v>
      </c>
      <c r="F8321" s="9">
        <v>46091.0</v>
      </c>
      <c r="G8321" s="8" t="s">
        <v>826</v>
      </c>
      <c r="H8321" s="8" t="s">
        <v>827</v>
      </c>
      <c r="I8321" s="8" t="s">
        <v>24910</v>
      </c>
      <c r="J8321" s="8" t="s">
        <v>24911</v>
      </c>
    </row>
    <row r="8322">
      <c r="A8322" s="7">
        <v>2.0039627E7</v>
      </c>
      <c r="B8322" s="8" t="s">
        <v>776</v>
      </c>
      <c r="C8322" s="8" t="s">
        <v>24912</v>
      </c>
      <c r="D8322" s="8" t="s">
        <v>16</v>
      </c>
      <c r="E8322" s="8" t="s">
        <v>17</v>
      </c>
      <c r="F8322" s="9">
        <v>46078.0</v>
      </c>
      <c r="G8322" s="8" t="s">
        <v>314</v>
      </c>
      <c r="H8322" s="8" t="s">
        <v>315</v>
      </c>
      <c r="I8322" s="8" t="s">
        <v>24913</v>
      </c>
      <c r="J8322" s="8" t="s">
        <v>24914</v>
      </c>
    </row>
    <row r="8323">
      <c r="A8323" s="7">
        <v>2.003651E7</v>
      </c>
      <c r="B8323" s="8" t="s">
        <v>776</v>
      </c>
      <c r="C8323" s="8" t="s">
        <v>24915</v>
      </c>
      <c r="D8323" s="8" t="s">
        <v>16</v>
      </c>
      <c r="E8323" s="8" t="s">
        <v>17</v>
      </c>
      <c r="F8323" s="9">
        <v>46049.0</v>
      </c>
      <c r="G8323" s="8" t="s">
        <v>3012</v>
      </c>
      <c r="H8323" s="8" t="s">
        <v>3013</v>
      </c>
      <c r="I8323" s="8" t="s">
        <v>24916</v>
      </c>
      <c r="J8323" s="8" t="s">
        <v>24917</v>
      </c>
    </row>
    <row r="8324">
      <c r="A8324" s="7">
        <v>2.0066897E7</v>
      </c>
      <c r="B8324" s="8" t="s">
        <v>776</v>
      </c>
      <c r="C8324" s="8" t="s">
        <v>24918</v>
      </c>
      <c r="D8324" s="8" t="s">
        <v>16</v>
      </c>
      <c r="E8324" s="8" t="s">
        <v>17</v>
      </c>
      <c r="F8324" s="9">
        <v>46177.0</v>
      </c>
      <c r="G8324" s="8" t="s">
        <v>59</v>
      </c>
      <c r="H8324" s="8" t="s">
        <v>60</v>
      </c>
      <c r="I8324" s="8" t="s">
        <v>24919</v>
      </c>
      <c r="J8324" s="8" t="s">
        <v>24920</v>
      </c>
    </row>
    <row r="8325">
      <c r="A8325" s="7">
        <v>2.0064226E7</v>
      </c>
      <c r="B8325" s="8" t="s">
        <v>776</v>
      </c>
      <c r="C8325" s="8" t="s">
        <v>24921</v>
      </c>
      <c r="D8325" s="8" t="s">
        <v>16</v>
      </c>
      <c r="E8325" s="8" t="s">
        <v>17</v>
      </c>
      <c r="F8325" s="9">
        <v>46193.0</v>
      </c>
      <c r="G8325" s="8" t="s">
        <v>454</v>
      </c>
      <c r="H8325" s="8" t="s">
        <v>455</v>
      </c>
      <c r="I8325" s="8" t="s">
        <v>24922</v>
      </c>
      <c r="J8325" s="8" t="s">
        <v>24923</v>
      </c>
    </row>
    <row r="8326">
      <c r="A8326" s="7">
        <v>2.0063955E7</v>
      </c>
      <c r="B8326" s="8" t="s">
        <v>776</v>
      </c>
      <c r="C8326" s="8" t="s">
        <v>24924</v>
      </c>
      <c r="D8326" s="8" t="s">
        <v>16</v>
      </c>
      <c r="E8326" s="8" t="s">
        <v>17</v>
      </c>
      <c r="F8326" s="9">
        <v>46184.0</v>
      </c>
      <c r="G8326" s="8" t="s">
        <v>2181</v>
      </c>
      <c r="H8326" s="8" t="s">
        <v>2182</v>
      </c>
      <c r="I8326" s="8" t="s">
        <v>24925</v>
      </c>
      <c r="J8326" s="8" t="s">
        <v>24926</v>
      </c>
    </row>
    <row r="8327">
      <c r="A8327" s="7">
        <v>2.0055475E7</v>
      </c>
      <c r="B8327" s="8" t="s">
        <v>776</v>
      </c>
      <c r="C8327" s="8" t="s">
        <v>24927</v>
      </c>
      <c r="D8327" s="8" t="s">
        <v>16</v>
      </c>
      <c r="E8327" s="8" t="s">
        <v>17</v>
      </c>
      <c r="F8327" s="9">
        <v>46137.0</v>
      </c>
      <c r="G8327" s="8" t="s">
        <v>3706</v>
      </c>
      <c r="H8327" s="8" t="s">
        <v>3707</v>
      </c>
      <c r="I8327" s="8" t="s">
        <v>24928</v>
      </c>
      <c r="J8327" s="8"/>
    </row>
    <row r="8328">
      <c r="A8328" s="7">
        <v>2.005525E7</v>
      </c>
      <c r="B8328" s="8" t="s">
        <v>776</v>
      </c>
      <c r="C8328" s="8" t="s">
        <v>24929</v>
      </c>
      <c r="D8328" s="8" t="s">
        <v>16</v>
      </c>
      <c r="E8328" s="8" t="s">
        <v>17</v>
      </c>
      <c r="F8328" s="9">
        <v>46137.0</v>
      </c>
      <c r="G8328" s="8" t="s">
        <v>59</v>
      </c>
      <c r="H8328" s="8" t="s">
        <v>60</v>
      </c>
      <c r="I8328" s="8" t="s">
        <v>24930</v>
      </c>
      <c r="J8328" s="8" t="s">
        <v>24931</v>
      </c>
    </row>
    <row r="8329">
      <c r="A8329" s="7">
        <v>2.0050648E7</v>
      </c>
      <c r="B8329" s="8" t="s">
        <v>776</v>
      </c>
      <c r="C8329" s="8" t="s">
        <v>24932</v>
      </c>
      <c r="D8329" s="8" t="s">
        <v>16</v>
      </c>
      <c r="E8329" s="8" t="s">
        <v>17</v>
      </c>
      <c r="F8329" s="9">
        <v>46108.0</v>
      </c>
      <c r="G8329" s="8" t="s">
        <v>2511</v>
      </c>
      <c r="H8329" s="8" t="s">
        <v>2512</v>
      </c>
      <c r="I8329" s="8" t="s">
        <v>24933</v>
      </c>
      <c r="J8329" s="8" t="s">
        <v>24934</v>
      </c>
    </row>
    <row r="8330">
      <c r="A8330" s="7">
        <v>2.0047768E7</v>
      </c>
      <c r="B8330" s="8" t="s">
        <v>776</v>
      </c>
      <c r="C8330" s="8" t="s">
        <v>24935</v>
      </c>
      <c r="D8330" s="8" t="s">
        <v>16</v>
      </c>
      <c r="E8330" s="8" t="s">
        <v>17</v>
      </c>
      <c r="F8330" s="9">
        <v>46101.0</v>
      </c>
      <c r="G8330" s="8" t="s">
        <v>59</v>
      </c>
      <c r="H8330" s="8" t="s">
        <v>60</v>
      </c>
      <c r="I8330" s="8" t="s">
        <v>24936</v>
      </c>
      <c r="J8330" s="8" t="s">
        <v>24937</v>
      </c>
    </row>
    <row r="8331">
      <c r="A8331" s="7">
        <v>2.0038788E7</v>
      </c>
      <c r="B8331" s="8" t="s">
        <v>776</v>
      </c>
      <c r="C8331" s="8" t="s">
        <v>24938</v>
      </c>
      <c r="D8331" s="8" t="s">
        <v>16</v>
      </c>
      <c r="E8331" s="8" t="s">
        <v>17</v>
      </c>
      <c r="F8331" s="9">
        <v>46065.0</v>
      </c>
      <c r="G8331" s="8" t="s">
        <v>91</v>
      </c>
      <c r="H8331" s="8" t="s">
        <v>92</v>
      </c>
      <c r="I8331" s="8" t="s">
        <v>24939</v>
      </c>
      <c r="J8331" s="8" t="s">
        <v>24940</v>
      </c>
    </row>
    <row r="8332">
      <c r="A8332" s="7">
        <v>2.0036134E7</v>
      </c>
      <c r="B8332" s="8" t="s">
        <v>776</v>
      </c>
      <c r="C8332" s="8" t="s">
        <v>24941</v>
      </c>
      <c r="D8332" s="8" t="s">
        <v>16</v>
      </c>
      <c r="E8332" s="8" t="s">
        <v>17</v>
      </c>
      <c r="F8332" s="9">
        <v>46051.0</v>
      </c>
      <c r="G8332" s="8" t="s">
        <v>365</v>
      </c>
      <c r="H8332" s="8" t="s">
        <v>366</v>
      </c>
      <c r="I8332" s="8" t="s">
        <v>24942</v>
      </c>
      <c r="J8332" s="8" t="s">
        <v>24943</v>
      </c>
    </row>
    <row r="8333">
      <c r="A8333" s="7">
        <v>2.0032286E7</v>
      </c>
      <c r="B8333" s="8" t="s">
        <v>776</v>
      </c>
      <c r="C8333" s="8" t="s">
        <v>24944</v>
      </c>
      <c r="D8333" s="8" t="s">
        <v>16</v>
      </c>
      <c r="E8333" s="8" t="s">
        <v>17</v>
      </c>
      <c r="F8333" s="9">
        <v>46050.0</v>
      </c>
      <c r="G8333" s="8" t="s">
        <v>247</v>
      </c>
      <c r="H8333" s="8" t="s">
        <v>248</v>
      </c>
      <c r="I8333" s="8" t="s">
        <v>24945</v>
      </c>
      <c r="J8333" s="8" t="s">
        <v>24946</v>
      </c>
    </row>
    <row r="8334">
      <c r="A8334" s="7">
        <v>2.0030955E7</v>
      </c>
      <c r="B8334" s="8" t="s">
        <v>776</v>
      </c>
      <c r="C8334" s="8" t="s">
        <v>24947</v>
      </c>
      <c r="D8334" s="8" t="s">
        <v>16</v>
      </c>
      <c r="E8334" s="8" t="s">
        <v>17</v>
      </c>
      <c r="F8334" s="9">
        <v>46060.0</v>
      </c>
      <c r="G8334" s="8" t="s">
        <v>1813</v>
      </c>
      <c r="H8334" s="8" t="s">
        <v>1814</v>
      </c>
      <c r="I8334" s="8" t="s">
        <v>24948</v>
      </c>
      <c r="J8334" s="8"/>
    </row>
    <row r="8335">
      <c r="A8335" s="7">
        <v>2.0032768E7</v>
      </c>
      <c r="B8335" s="8" t="s">
        <v>776</v>
      </c>
      <c r="C8335" s="8" t="s">
        <v>24949</v>
      </c>
      <c r="D8335" s="8" t="s">
        <v>16</v>
      </c>
      <c r="E8335" s="8" t="s">
        <v>17</v>
      </c>
      <c r="F8335" s="9">
        <v>46037.0</v>
      </c>
      <c r="G8335" s="8" t="s">
        <v>9076</v>
      </c>
      <c r="H8335" s="8" t="s">
        <v>44</v>
      </c>
      <c r="I8335" s="8" t="s">
        <v>24950</v>
      </c>
      <c r="J8335" s="8" t="s">
        <v>24951</v>
      </c>
    </row>
    <row r="8336">
      <c r="A8336" s="7">
        <v>2.0034241E7</v>
      </c>
      <c r="B8336" s="8" t="s">
        <v>776</v>
      </c>
      <c r="C8336" s="8" t="s">
        <v>24952</v>
      </c>
      <c r="D8336" s="8" t="s">
        <v>16</v>
      </c>
      <c r="E8336" s="8" t="s">
        <v>17</v>
      </c>
      <c r="F8336" s="9">
        <v>46054.0</v>
      </c>
      <c r="G8336" s="8" t="s">
        <v>361</v>
      </c>
      <c r="H8336" s="8" t="s">
        <v>362</v>
      </c>
      <c r="I8336" s="8" t="s">
        <v>24953</v>
      </c>
      <c r="J8336" s="8"/>
    </row>
    <row r="8337">
      <c r="A8337" s="7">
        <v>2.0069081E7</v>
      </c>
      <c r="B8337" s="8" t="s">
        <v>776</v>
      </c>
      <c r="C8337" s="8" t="s">
        <v>24954</v>
      </c>
      <c r="D8337" s="8" t="s">
        <v>16</v>
      </c>
      <c r="E8337" s="8" t="s">
        <v>17</v>
      </c>
      <c r="F8337" s="9">
        <v>46184.0</v>
      </c>
      <c r="G8337" s="8" t="s">
        <v>1431</v>
      </c>
      <c r="H8337" s="8" t="s">
        <v>1432</v>
      </c>
      <c r="I8337" s="8" t="s">
        <v>24955</v>
      </c>
      <c r="J8337" s="8" t="s">
        <v>24956</v>
      </c>
    </row>
    <row r="8338">
      <c r="A8338" s="7">
        <v>2.0066077E7</v>
      </c>
      <c r="B8338" s="8" t="s">
        <v>776</v>
      </c>
      <c r="C8338" s="8" t="s">
        <v>24957</v>
      </c>
      <c r="D8338" s="8" t="s">
        <v>16</v>
      </c>
      <c r="E8338" s="8" t="s">
        <v>17</v>
      </c>
      <c r="F8338" s="9">
        <v>46187.0</v>
      </c>
      <c r="G8338" s="8" t="s">
        <v>3291</v>
      </c>
      <c r="H8338" s="8" t="s">
        <v>3292</v>
      </c>
      <c r="I8338" s="8" t="s">
        <v>24958</v>
      </c>
      <c r="J8338" s="8" t="s">
        <v>24959</v>
      </c>
    </row>
    <row r="8339">
      <c r="A8339" s="7">
        <v>2.0066157E7</v>
      </c>
      <c r="B8339" s="8" t="s">
        <v>776</v>
      </c>
      <c r="C8339" s="8" t="s">
        <v>24960</v>
      </c>
      <c r="D8339" s="8" t="s">
        <v>16</v>
      </c>
      <c r="E8339" s="8" t="s">
        <v>17</v>
      </c>
      <c r="F8339" s="9">
        <v>46179.0</v>
      </c>
      <c r="G8339" s="8" t="s">
        <v>59</v>
      </c>
      <c r="H8339" s="8" t="s">
        <v>60</v>
      </c>
      <c r="I8339" s="8" t="s">
        <v>24961</v>
      </c>
      <c r="J8339" s="8" t="s">
        <v>24962</v>
      </c>
    </row>
    <row r="8340">
      <c r="A8340" s="7">
        <v>2.0064642E7</v>
      </c>
      <c r="B8340" s="8" t="s">
        <v>776</v>
      </c>
      <c r="C8340" s="8" t="s">
        <v>24963</v>
      </c>
      <c r="D8340" s="8" t="s">
        <v>16</v>
      </c>
      <c r="E8340" s="8" t="s">
        <v>17</v>
      </c>
      <c r="F8340" s="9">
        <v>46184.0</v>
      </c>
      <c r="G8340" s="8" t="s">
        <v>1941</v>
      </c>
      <c r="H8340" s="8" t="s">
        <v>1942</v>
      </c>
      <c r="I8340" s="8" t="s">
        <v>24964</v>
      </c>
      <c r="J8340" s="8" t="s">
        <v>24965</v>
      </c>
    </row>
    <row r="8341">
      <c r="A8341" s="7">
        <v>2.0064218E7</v>
      </c>
      <c r="B8341" s="8" t="s">
        <v>776</v>
      </c>
      <c r="C8341" s="8" t="s">
        <v>24966</v>
      </c>
      <c r="D8341" s="8" t="s">
        <v>16</v>
      </c>
      <c r="E8341" s="8" t="s">
        <v>17</v>
      </c>
      <c r="F8341" s="9">
        <v>46162.0</v>
      </c>
      <c r="G8341" s="8" t="s">
        <v>91</v>
      </c>
      <c r="H8341" s="8" t="s">
        <v>92</v>
      </c>
      <c r="I8341" s="8" t="s">
        <v>24967</v>
      </c>
      <c r="J8341" s="8" t="s">
        <v>24968</v>
      </c>
    </row>
    <row r="8342">
      <c r="A8342" s="7">
        <v>2.0060251E7</v>
      </c>
      <c r="B8342" s="8" t="s">
        <v>776</v>
      </c>
      <c r="C8342" s="8" t="s">
        <v>24969</v>
      </c>
      <c r="D8342" s="8" t="s">
        <v>2136</v>
      </c>
      <c r="E8342" s="8" t="s">
        <v>17</v>
      </c>
      <c r="F8342" s="9">
        <v>46141.0</v>
      </c>
      <c r="G8342" s="8" t="s">
        <v>59</v>
      </c>
      <c r="H8342" s="8" t="s">
        <v>60</v>
      </c>
      <c r="I8342" s="8" t="s">
        <v>24970</v>
      </c>
      <c r="J8342" s="8" t="s">
        <v>24971</v>
      </c>
    </row>
    <row r="8343">
      <c r="A8343" s="7">
        <v>2.005898E7</v>
      </c>
      <c r="B8343" s="8" t="s">
        <v>776</v>
      </c>
      <c r="C8343" s="8" t="s">
        <v>24972</v>
      </c>
      <c r="D8343" s="8" t="s">
        <v>16</v>
      </c>
      <c r="E8343" s="8" t="s">
        <v>17</v>
      </c>
      <c r="F8343" s="9">
        <v>46156.0</v>
      </c>
      <c r="G8343" s="8" t="s">
        <v>791</v>
      </c>
      <c r="H8343" s="8" t="s">
        <v>792</v>
      </c>
      <c r="I8343" s="8" t="s">
        <v>24973</v>
      </c>
      <c r="J8343" s="8"/>
    </row>
    <row r="8344">
      <c r="A8344" s="7">
        <v>2.0057715E7</v>
      </c>
      <c r="B8344" s="8" t="s">
        <v>776</v>
      </c>
      <c r="C8344" s="8" t="s">
        <v>24974</v>
      </c>
      <c r="D8344" s="8" t="s">
        <v>16</v>
      </c>
      <c r="E8344" s="8" t="s">
        <v>17</v>
      </c>
      <c r="F8344" s="9">
        <v>46145.0</v>
      </c>
      <c r="G8344" s="8" t="s">
        <v>59</v>
      </c>
      <c r="H8344" s="8" t="s">
        <v>60</v>
      </c>
      <c r="I8344" s="8" t="s">
        <v>24975</v>
      </c>
      <c r="J8344" s="8" t="s">
        <v>24976</v>
      </c>
    </row>
    <row r="8345">
      <c r="A8345" s="7">
        <v>2.0054991E7</v>
      </c>
      <c r="B8345" s="8" t="s">
        <v>776</v>
      </c>
      <c r="C8345" s="8" t="s">
        <v>24977</v>
      </c>
      <c r="D8345" s="8" t="s">
        <v>16</v>
      </c>
      <c r="E8345" s="8" t="s">
        <v>17</v>
      </c>
      <c r="F8345" s="9">
        <v>46121.0</v>
      </c>
      <c r="G8345" s="8" t="s">
        <v>91</v>
      </c>
      <c r="H8345" s="8" t="s">
        <v>92</v>
      </c>
      <c r="I8345" s="8" t="s">
        <v>24978</v>
      </c>
      <c r="J8345" s="8" t="s">
        <v>24979</v>
      </c>
    </row>
    <row r="8346">
      <c r="A8346" s="7">
        <v>2.0049339E7</v>
      </c>
      <c r="B8346" s="8" t="s">
        <v>776</v>
      </c>
      <c r="C8346" s="8" t="s">
        <v>24980</v>
      </c>
      <c r="D8346" s="8" t="s">
        <v>16</v>
      </c>
      <c r="E8346" s="8" t="s">
        <v>17</v>
      </c>
      <c r="F8346" s="9">
        <v>46116.0</v>
      </c>
      <c r="G8346" s="8" t="s">
        <v>64</v>
      </c>
      <c r="H8346" s="8" t="s">
        <v>65</v>
      </c>
      <c r="I8346" s="8" t="s">
        <v>24981</v>
      </c>
      <c r="J8346" s="8" t="s">
        <v>24982</v>
      </c>
    </row>
    <row r="8347">
      <c r="A8347" s="7">
        <v>2.0043658E7</v>
      </c>
      <c r="B8347" s="8" t="s">
        <v>776</v>
      </c>
      <c r="C8347" s="8" t="s">
        <v>24983</v>
      </c>
      <c r="D8347" s="8" t="s">
        <v>16</v>
      </c>
      <c r="E8347" s="8" t="s">
        <v>17</v>
      </c>
      <c r="F8347" s="9">
        <v>46079.0</v>
      </c>
      <c r="G8347" s="8" t="s">
        <v>385</v>
      </c>
      <c r="H8347" s="8" t="s">
        <v>386</v>
      </c>
      <c r="I8347" s="8" t="s">
        <v>24984</v>
      </c>
      <c r="J8347" s="8" t="s">
        <v>24985</v>
      </c>
    </row>
    <row r="8348">
      <c r="A8348" s="7">
        <v>2.0040575E7</v>
      </c>
      <c r="B8348" s="8" t="s">
        <v>776</v>
      </c>
      <c r="C8348" s="8" t="s">
        <v>24986</v>
      </c>
      <c r="D8348" s="8" t="s">
        <v>16</v>
      </c>
      <c r="E8348" s="8" t="s">
        <v>17</v>
      </c>
      <c r="F8348" s="9">
        <v>46077.0</v>
      </c>
      <c r="G8348" s="8" t="s">
        <v>171</v>
      </c>
      <c r="H8348" s="8" t="s">
        <v>172</v>
      </c>
      <c r="I8348" s="8" t="s">
        <v>24987</v>
      </c>
      <c r="J8348" s="8" t="s">
        <v>24988</v>
      </c>
    </row>
    <row r="8349">
      <c r="A8349" s="7">
        <v>2.0035766E7</v>
      </c>
      <c r="B8349" s="8" t="s">
        <v>776</v>
      </c>
      <c r="C8349" s="8" t="s">
        <v>24989</v>
      </c>
      <c r="D8349" s="8" t="s">
        <v>16</v>
      </c>
      <c r="E8349" s="8" t="s">
        <v>17</v>
      </c>
      <c r="F8349" s="9">
        <v>46053.0</v>
      </c>
      <c r="G8349" s="8" t="s">
        <v>400</v>
      </c>
      <c r="H8349" s="8" t="s">
        <v>401</v>
      </c>
      <c r="I8349" s="8" t="s">
        <v>24990</v>
      </c>
      <c r="J8349" s="8" t="s">
        <v>24991</v>
      </c>
    </row>
    <row r="8350">
      <c r="A8350" s="7">
        <v>2.0068584E7</v>
      </c>
      <c r="B8350" s="8" t="s">
        <v>776</v>
      </c>
      <c r="C8350" s="8" t="s">
        <v>24992</v>
      </c>
      <c r="D8350" s="8" t="s">
        <v>2136</v>
      </c>
      <c r="E8350" s="8" t="s">
        <v>17</v>
      </c>
      <c r="F8350" s="9">
        <v>46177.0</v>
      </c>
      <c r="G8350" s="8" t="s">
        <v>846</v>
      </c>
      <c r="H8350" s="8" t="s">
        <v>847</v>
      </c>
      <c r="I8350" s="8" t="s">
        <v>24993</v>
      </c>
      <c r="J8350" s="8" t="s">
        <v>24994</v>
      </c>
    </row>
    <row r="8351">
      <c r="A8351" s="7">
        <v>2.0056145E7</v>
      </c>
      <c r="B8351" s="8" t="s">
        <v>776</v>
      </c>
      <c r="C8351" s="8" t="s">
        <v>24995</v>
      </c>
      <c r="D8351" s="8" t="s">
        <v>2136</v>
      </c>
      <c r="E8351" s="8" t="s">
        <v>17</v>
      </c>
      <c r="F8351" s="9">
        <v>46156.0</v>
      </c>
      <c r="G8351" s="8" t="s">
        <v>846</v>
      </c>
      <c r="H8351" s="8" t="s">
        <v>847</v>
      </c>
      <c r="I8351" s="8" t="s">
        <v>24996</v>
      </c>
      <c r="J8351" s="8" t="s">
        <v>24997</v>
      </c>
    </row>
    <row r="8352">
      <c r="A8352" s="7">
        <v>2.0056707E7</v>
      </c>
      <c r="B8352" s="8" t="s">
        <v>776</v>
      </c>
      <c r="C8352" s="8" t="s">
        <v>24998</v>
      </c>
      <c r="D8352" s="8" t="s">
        <v>16</v>
      </c>
      <c r="E8352" s="8" t="s">
        <v>17</v>
      </c>
      <c r="F8352" s="9">
        <v>46136.0</v>
      </c>
      <c r="G8352" s="8" t="s">
        <v>59</v>
      </c>
      <c r="H8352" s="8" t="s">
        <v>60</v>
      </c>
      <c r="I8352" s="8" t="s">
        <v>24999</v>
      </c>
      <c r="J8352" s="8" t="s">
        <v>25000</v>
      </c>
    </row>
    <row r="8353">
      <c r="A8353" s="7">
        <v>2.0052329E7</v>
      </c>
      <c r="B8353" s="8" t="s">
        <v>776</v>
      </c>
      <c r="C8353" s="8" t="s">
        <v>25001</v>
      </c>
      <c r="D8353" s="8" t="s">
        <v>16</v>
      </c>
      <c r="E8353" s="8" t="s">
        <v>17</v>
      </c>
      <c r="F8353" s="9">
        <v>46113.0</v>
      </c>
      <c r="G8353" s="8" t="s">
        <v>25002</v>
      </c>
      <c r="H8353" s="8" t="s">
        <v>25003</v>
      </c>
      <c r="I8353" s="8" t="s">
        <v>25004</v>
      </c>
      <c r="J8353" s="8" t="s">
        <v>25005</v>
      </c>
    </row>
    <row r="8354">
      <c r="A8354" s="7">
        <v>2.0050341E7</v>
      </c>
      <c r="B8354" s="8" t="s">
        <v>776</v>
      </c>
      <c r="C8354" s="8" t="s">
        <v>25006</v>
      </c>
      <c r="D8354" s="8" t="s">
        <v>16</v>
      </c>
      <c r="E8354" s="8" t="s">
        <v>17</v>
      </c>
      <c r="F8354" s="9">
        <v>46120.0</v>
      </c>
      <c r="G8354" s="8" t="s">
        <v>13113</v>
      </c>
      <c r="H8354" s="8" t="s">
        <v>3410</v>
      </c>
      <c r="I8354" s="8" t="s">
        <v>25007</v>
      </c>
      <c r="J8354" s="8" t="s">
        <v>24606</v>
      </c>
    </row>
    <row r="8355">
      <c r="A8355" s="7">
        <v>2.0049562E7</v>
      </c>
      <c r="B8355" s="8" t="s">
        <v>776</v>
      </c>
      <c r="C8355" s="8" t="s">
        <v>25008</v>
      </c>
      <c r="D8355" s="8" t="s">
        <v>16</v>
      </c>
      <c r="E8355" s="8" t="s">
        <v>17</v>
      </c>
      <c r="F8355" s="9">
        <v>46095.0</v>
      </c>
      <c r="G8355" s="8" t="s">
        <v>868</v>
      </c>
      <c r="H8355" s="8" t="s">
        <v>869</v>
      </c>
      <c r="I8355" s="8" t="s">
        <v>25009</v>
      </c>
      <c r="J8355" s="8" t="s">
        <v>25010</v>
      </c>
    </row>
    <row r="8356">
      <c r="A8356" s="7">
        <v>2.0043276E7</v>
      </c>
      <c r="B8356" s="8" t="s">
        <v>776</v>
      </c>
      <c r="C8356" s="8" t="s">
        <v>25011</v>
      </c>
      <c r="D8356" s="8" t="s">
        <v>16</v>
      </c>
      <c r="E8356" s="8" t="s">
        <v>17</v>
      </c>
      <c r="F8356" s="9">
        <v>46095.0</v>
      </c>
      <c r="G8356" s="8" t="s">
        <v>3207</v>
      </c>
      <c r="H8356" s="8" t="s">
        <v>3208</v>
      </c>
      <c r="I8356" s="8" t="s">
        <v>25012</v>
      </c>
      <c r="J8356" s="8" t="s">
        <v>25013</v>
      </c>
    </row>
    <row r="8357">
      <c r="A8357" s="7">
        <v>2.0040945E7</v>
      </c>
      <c r="B8357" s="8" t="s">
        <v>776</v>
      </c>
      <c r="C8357" s="8" t="s">
        <v>25014</v>
      </c>
      <c r="D8357" s="8" t="s">
        <v>16</v>
      </c>
      <c r="E8357" s="8" t="s">
        <v>17</v>
      </c>
      <c r="F8357" s="9">
        <v>46079.0</v>
      </c>
      <c r="G8357" s="8" t="s">
        <v>11113</v>
      </c>
      <c r="H8357" s="8" t="s">
        <v>11114</v>
      </c>
      <c r="I8357" s="8" t="s">
        <v>25015</v>
      </c>
      <c r="J8357" s="8" t="s">
        <v>25016</v>
      </c>
    </row>
    <row r="8358">
      <c r="A8358" s="7">
        <v>2.0042309E7</v>
      </c>
      <c r="B8358" s="8" t="s">
        <v>776</v>
      </c>
      <c r="C8358" s="8" t="s">
        <v>25017</v>
      </c>
      <c r="D8358" s="8" t="s">
        <v>16</v>
      </c>
      <c r="E8358" s="8" t="s">
        <v>17</v>
      </c>
      <c r="F8358" s="9">
        <v>46086.0</v>
      </c>
      <c r="G8358" s="8" t="s">
        <v>290</v>
      </c>
      <c r="H8358" s="8" t="s">
        <v>291</v>
      </c>
      <c r="I8358" s="8" t="s">
        <v>25018</v>
      </c>
      <c r="J8358" s="8" t="s">
        <v>25019</v>
      </c>
    </row>
    <row r="8359">
      <c r="A8359" s="7">
        <v>2.006278E7</v>
      </c>
      <c r="B8359" s="8" t="s">
        <v>776</v>
      </c>
      <c r="C8359" s="8" t="s">
        <v>25020</v>
      </c>
      <c r="D8359" s="8" t="s">
        <v>16</v>
      </c>
      <c r="E8359" s="8" t="s">
        <v>17</v>
      </c>
      <c r="F8359" s="9">
        <v>46177.0</v>
      </c>
      <c r="G8359" s="8" t="s">
        <v>234</v>
      </c>
      <c r="H8359" s="8" t="s">
        <v>235</v>
      </c>
      <c r="I8359" s="8" t="s">
        <v>25021</v>
      </c>
      <c r="J8359" s="8" t="s">
        <v>25022</v>
      </c>
    </row>
    <row r="8360">
      <c r="A8360" s="7">
        <v>2.006278E7</v>
      </c>
      <c r="B8360" s="8" t="s">
        <v>776</v>
      </c>
      <c r="C8360" s="8" t="s">
        <v>25020</v>
      </c>
      <c r="D8360" s="8" t="s">
        <v>16</v>
      </c>
      <c r="E8360" s="8" t="s">
        <v>17</v>
      </c>
      <c r="F8360" s="9">
        <v>46177.0</v>
      </c>
      <c r="G8360" s="8" t="s">
        <v>3255</v>
      </c>
      <c r="H8360" s="8" t="s">
        <v>3256</v>
      </c>
      <c r="I8360" s="8" t="s">
        <v>25023</v>
      </c>
      <c r="J8360" s="8" t="s">
        <v>25024</v>
      </c>
    </row>
    <row r="8361">
      <c r="A8361" s="7">
        <v>2.0062027E7</v>
      </c>
      <c r="B8361" s="8" t="s">
        <v>776</v>
      </c>
      <c r="C8361" s="8" t="s">
        <v>25025</v>
      </c>
      <c r="D8361" s="8" t="s">
        <v>16</v>
      </c>
      <c r="E8361" s="8" t="s">
        <v>17</v>
      </c>
      <c r="F8361" s="9">
        <v>46168.0</v>
      </c>
      <c r="G8361" s="8" t="s">
        <v>1132</v>
      </c>
      <c r="H8361" s="8" t="s">
        <v>1133</v>
      </c>
      <c r="I8361" s="8" t="s">
        <v>25026</v>
      </c>
      <c r="J8361" s="8" t="s">
        <v>25027</v>
      </c>
    </row>
    <row r="8362">
      <c r="A8362" s="7">
        <v>2.0058679E7</v>
      </c>
      <c r="B8362" s="8" t="s">
        <v>776</v>
      </c>
      <c r="C8362" s="8" t="s">
        <v>25028</v>
      </c>
      <c r="D8362" s="8" t="s">
        <v>16</v>
      </c>
      <c r="E8362" s="8" t="s">
        <v>17</v>
      </c>
      <c r="F8362" s="9">
        <v>46143.0</v>
      </c>
      <c r="G8362" s="8" t="s">
        <v>234</v>
      </c>
      <c r="H8362" s="8" t="s">
        <v>235</v>
      </c>
      <c r="I8362" s="8" t="s">
        <v>25029</v>
      </c>
      <c r="J8362" s="8" t="s">
        <v>25030</v>
      </c>
    </row>
    <row r="8363">
      <c r="A8363" s="7">
        <v>2.0058679E7</v>
      </c>
      <c r="B8363" s="8" t="s">
        <v>776</v>
      </c>
      <c r="C8363" s="8" t="s">
        <v>25028</v>
      </c>
      <c r="D8363" s="8" t="s">
        <v>16</v>
      </c>
      <c r="E8363" s="8" t="s">
        <v>17</v>
      </c>
      <c r="F8363" s="9">
        <v>46143.0</v>
      </c>
      <c r="G8363" s="8" t="s">
        <v>3255</v>
      </c>
      <c r="H8363" s="8" t="s">
        <v>3256</v>
      </c>
      <c r="I8363" s="8" t="s">
        <v>25031</v>
      </c>
      <c r="J8363" s="8" t="s">
        <v>25032</v>
      </c>
    </row>
    <row r="8364">
      <c r="A8364" s="7">
        <v>2.0057558E7</v>
      </c>
      <c r="B8364" s="8" t="s">
        <v>776</v>
      </c>
      <c r="C8364" s="8" t="s">
        <v>25033</v>
      </c>
      <c r="D8364" s="8" t="s">
        <v>16</v>
      </c>
      <c r="E8364" s="8" t="s">
        <v>17</v>
      </c>
      <c r="F8364" s="9">
        <v>46137.0</v>
      </c>
      <c r="G8364" s="8" t="s">
        <v>49</v>
      </c>
      <c r="H8364" s="8" t="s">
        <v>50</v>
      </c>
      <c r="I8364" s="8" t="s">
        <v>25034</v>
      </c>
      <c r="J8364" s="8" t="s">
        <v>25035</v>
      </c>
    </row>
    <row r="8365">
      <c r="A8365" s="7">
        <v>2.0053861E7</v>
      </c>
      <c r="B8365" s="8" t="s">
        <v>776</v>
      </c>
      <c r="C8365" s="8" t="s">
        <v>25036</v>
      </c>
      <c r="D8365" s="8" t="s">
        <v>16</v>
      </c>
      <c r="E8365" s="8" t="s">
        <v>17</v>
      </c>
      <c r="F8365" s="9">
        <v>46122.0</v>
      </c>
      <c r="G8365" s="8" t="s">
        <v>1007</v>
      </c>
      <c r="H8365" s="8" t="s">
        <v>1008</v>
      </c>
      <c r="I8365" s="8" t="s">
        <v>25037</v>
      </c>
      <c r="J8365" s="8" t="s">
        <v>25038</v>
      </c>
    </row>
    <row r="8366">
      <c r="A8366" s="7">
        <v>2.0053135E7</v>
      </c>
      <c r="B8366" s="8" t="s">
        <v>776</v>
      </c>
      <c r="C8366" s="8" t="s">
        <v>25039</v>
      </c>
      <c r="D8366" s="8" t="s">
        <v>16</v>
      </c>
      <c r="E8366" s="8" t="s">
        <v>17</v>
      </c>
      <c r="F8366" s="9">
        <v>46110.0</v>
      </c>
      <c r="G8366" s="8" t="s">
        <v>59</v>
      </c>
      <c r="H8366" s="8" t="s">
        <v>60</v>
      </c>
      <c r="I8366" s="8" t="s">
        <v>25040</v>
      </c>
      <c r="J8366" s="8" t="s">
        <v>25041</v>
      </c>
    </row>
    <row r="8367">
      <c r="A8367" s="7">
        <v>2.0046118E7</v>
      </c>
      <c r="B8367" s="8" t="s">
        <v>776</v>
      </c>
      <c r="C8367" s="8" t="s">
        <v>25042</v>
      </c>
      <c r="D8367" s="8" t="s">
        <v>16</v>
      </c>
      <c r="E8367" s="8" t="s">
        <v>17</v>
      </c>
      <c r="F8367" s="9">
        <v>46081.0</v>
      </c>
      <c r="G8367" s="8" t="s">
        <v>846</v>
      </c>
      <c r="H8367" s="8" t="s">
        <v>847</v>
      </c>
      <c r="I8367" s="8" t="s">
        <v>25043</v>
      </c>
      <c r="J8367" s="8" t="s">
        <v>25044</v>
      </c>
    </row>
    <row r="8368">
      <c r="A8368" s="7">
        <v>2.0044313E7</v>
      </c>
      <c r="B8368" s="8" t="s">
        <v>776</v>
      </c>
      <c r="C8368" s="8" t="s">
        <v>25045</v>
      </c>
      <c r="D8368" s="8" t="s">
        <v>16</v>
      </c>
      <c r="E8368" s="8" t="s">
        <v>17</v>
      </c>
      <c r="F8368" s="9">
        <v>46075.0</v>
      </c>
      <c r="G8368" s="8" t="s">
        <v>153</v>
      </c>
      <c r="H8368" s="8" t="s">
        <v>154</v>
      </c>
      <c r="I8368" s="8" t="s">
        <v>25046</v>
      </c>
      <c r="J8368" s="8" t="s">
        <v>25047</v>
      </c>
    </row>
    <row r="8369">
      <c r="A8369" s="7">
        <v>2.0042126E7</v>
      </c>
      <c r="B8369" s="8" t="s">
        <v>776</v>
      </c>
      <c r="C8369" s="8" t="s">
        <v>25048</v>
      </c>
      <c r="D8369" s="8" t="s">
        <v>16</v>
      </c>
      <c r="E8369" s="8" t="s">
        <v>17</v>
      </c>
      <c r="F8369" s="9">
        <v>46086.0</v>
      </c>
      <c r="G8369" s="8" t="s">
        <v>59</v>
      </c>
      <c r="H8369" s="8" t="s">
        <v>60</v>
      </c>
      <c r="I8369" s="8" t="s">
        <v>25049</v>
      </c>
      <c r="J8369" s="8" t="s">
        <v>25050</v>
      </c>
    </row>
    <row r="8370">
      <c r="A8370" s="7">
        <v>2.0041149E7</v>
      </c>
      <c r="B8370" s="8" t="s">
        <v>776</v>
      </c>
      <c r="C8370" s="8" t="s">
        <v>25051</v>
      </c>
      <c r="D8370" s="8" t="s">
        <v>16</v>
      </c>
      <c r="E8370" s="8" t="s">
        <v>17</v>
      </c>
      <c r="F8370" s="9">
        <v>46069.0</v>
      </c>
      <c r="G8370" s="8" t="s">
        <v>54</v>
      </c>
      <c r="H8370" s="8" t="s">
        <v>55</v>
      </c>
      <c r="I8370" s="8" t="s">
        <v>25052</v>
      </c>
      <c r="J8370" s="8" t="s">
        <v>25053</v>
      </c>
    </row>
    <row r="8371">
      <c r="A8371" s="7">
        <v>2.0040861E7</v>
      </c>
      <c r="B8371" s="8" t="s">
        <v>776</v>
      </c>
      <c r="C8371" s="8" t="s">
        <v>25054</v>
      </c>
      <c r="D8371" s="8" t="s">
        <v>16</v>
      </c>
      <c r="E8371" s="8" t="s">
        <v>17</v>
      </c>
      <c r="F8371" s="9">
        <v>46081.0</v>
      </c>
      <c r="G8371" s="8" t="s">
        <v>158</v>
      </c>
      <c r="H8371" s="8" t="s">
        <v>159</v>
      </c>
      <c r="I8371" s="8" t="s">
        <v>25055</v>
      </c>
      <c r="J8371" s="8" t="s">
        <v>25056</v>
      </c>
    </row>
    <row r="8372">
      <c r="A8372" s="7">
        <v>2.0038387E7</v>
      </c>
      <c r="B8372" s="8" t="s">
        <v>776</v>
      </c>
      <c r="C8372" s="8" t="s">
        <v>25057</v>
      </c>
      <c r="D8372" s="8" t="s">
        <v>16</v>
      </c>
      <c r="E8372" s="8" t="s">
        <v>17</v>
      </c>
      <c r="F8372" s="9">
        <v>46075.0</v>
      </c>
      <c r="G8372" s="8" t="s">
        <v>370</v>
      </c>
      <c r="H8372" s="8" t="s">
        <v>371</v>
      </c>
      <c r="I8372" s="8" t="s">
        <v>25058</v>
      </c>
      <c r="J8372" s="8" t="s">
        <v>25059</v>
      </c>
    </row>
    <row r="8373">
      <c r="A8373" s="7">
        <v>2.003781E7</v>
      </c>
      <c r="B8373" s="8" t="s">
        <v>776</v>
      </c>
      <c r="C8373" s="8" t="s">
        <v>25060</v>
      </c>
      <c r="D8373" s="8" t="s">
        <v>16</v>
      </c>
      <c r="E8373" s="8" t="s">
        <v>17</v>
      </c>
      <c r="F8373" s="9">
        <v>46048.0</v>
      </c>
      <c r="G8373" s="8" t="s">
        <v>59</v>
      </c>
      <c r="H8373" s="8" t="s">
        <v>60</v>
      </c>
      <c r="I8373" s="8" t="s">
        <v>25061</v>
      </c>
      <c r="J8373" s="8" t="s">
        <v>25062</v>
      </c>
    </row>
    <row r="8374">
      <c r="A8374" s="7">
        <v>2.0034243E7</v>
      </c>
      <c r="B8374" s="8" t="s">
        <v>776</v>
      </c>
      <c r="C8374" s="8" t="s">
        <v>25063</v>
      </c>
      <c r="D8374" s="8" t="s">
        <v>16</v>
      </c>
      <c r="E8374" s="8" t="s">
        <v>17</v>
      </c>
      <c r="F8374" s="9">
        <v>46046.0</v>
      </c>
      <c r="G8374" s="8" t="s">
        <v>3585</v>
      </c>
      <c r="H8374" s="8" t="s">
        <v>3586</v>
      </c>
      <c r="I8374" s="8" t="s">
        <v>25064</v>
      </c>
      <c r="J8374" s="8" t="s">
        <v>25065</v>
      </c>
    </row>
    <row r="8375">
      <c r="A8375" s="7">
        <v>2.0064694E7</v>
      </c>
      <c r="B8375" s="8" t="s">
        <v>776</v>
      </c>
      <c r="C8375" s="8" t="s">
        <v>25066</v>
      </c>
      <c r="D8375" s="8" t="s">
        <v>2136</v>
      </c>
      <c r="E8375" s="8" t="s">
        <v>17</v>
      </c>
      <c r="F8375" s="9">
        <v>46163.0</v>
      </c>
      <c r="G8375" s="8" t="s">
        <v>5153</v>
      </c>
      <c r="H8375" s="8" t="s">
        <v>5154</v>
      </c>
      <c r="I8375" s="8" t="s">
        <v>25067</v>
      </c>
      <c r="J8375" s="8" t="s">
        <v>25068</v>
      </c>
    </row>
    <row r="8376">
      <c r="A8376" s="7">
        <v>2.0061065E7</v>
      </c>
      <c r="B8376" s="8" t="s">
        <v>776</v>
      </c>
      <c r="C8376" s="8" t="s">
        <v>25069</v>
      </c>
      <c r="D8376" s="8" t="s">
        <v>16</v>
      </c>
      <c r="E8376" s="8" t="s">
        <v>17</v>
      </c>
      <c r="F8376" s="9">
        <v>46154.0</v>
      </c>
      <c r="G8376" s="8" t="s">
        <v>12329</v>
      </c>
      <c r="H8376" s="8" t="s">
        <v>12331</v>
      </c>
      <c r="I8376" s="8" t="s">
        <v>25070</v>
      </c>
      <c r="J8376" s="8"/>
    </row>
    <row r="8377">
      <c r="A8377" s="7">
        <v>2.0055506E7</v>
      </c>
      <c r="B8377" s="8" t="s">
        <v>776</v>
      </c>
      <c r="C8377" s="8" t="s">
        <v>25071</v>
      </c>
      <c r="D8377" s="8" t="s">
        <v>16</v>
      </c>
      <c r="E8377" s="8" t="s">
        <v>17</v>
      </c>
      <c r="F8377" s="9">
        <v>46176.0</v>
      </c>
      <c r="G8377" s="8" t="s">
        <v>25072</v>
      </c>
      <c r="H8377" s="8" t="s">
        <v>25073</v>
      </c>
      <c r="I8377" s="8" t="s">
        <v>25074</v>
      </c>
      <c r="J8377" s="8"/>
    </row>
    <row r="8378">
      <c r="A8378" s="7">
        <v>2.0052816E7</v>
      </c>
      <c r="B8378" s="8" t="s">
        <v>776</v>
      </c>
      <c r="C8378" s="8" t="s">
        <v>25075</v>
      </c>
      <c r="D8378" s="8" t="s">
        <v>16</v>
      </c>
      <c r="E8378" s="8" t="s">
        <v>17</v>
      </c>
      <c r="F8378" s="9">
        <v>46113.0</v>
      </c>
      <c r="G8378" s="8" t="s">
        <v>873</v>
      </c>
      <c r="H8378" s="8" t="s">
        <v>874</v>
      </c>
      <c r="I8378" s="8" t="s">
        <v>25076</v>
      </c>
      <c r="J8378" s="8" t="s">
        <v>25077</v>
      </c>
    </row>
    <row r="8379">
      <c r="A8379" s="7">
        <v>2.0051534E7</v>
      </c>
      <c r="B8379" s="8" t="s">
        <v>776</v>
      </c>
      <c r="C8379" s="8" t="s">
        <v>25078</v>
      </c>
      <c r="D8379" s="8" t="s">
        <v>16</v>
      </c>
      <c r="E8379" s="8" t="s">
        <v>17</v>
      </c>
      <c r="F8379" s="9">
        <v>46136.0</v>
      </c>
      <c r="G8379" s="8" t="s">
        <v>805</v>
      </c>
      <c r="H8379" s="8" t="s">
        <v>806</v>
      </c>
      <c r="I8379" s="8" t="s">
        <v>25079</v>
      </c>
      <c r="J8379" s="8" t="s">
        <v>25080</v>
      </c>
    </row>
    <row r="8380">
      <c r="A8380" s="7">
        <v>2.0044845E7</v>
      </c>
      <c r="B8380" s="8" t="s">
        <v>776</v>
      </c>
      <c r="C8380" s="8" t="s">
        <v>25081</v>
      </c>
      <c r="D8380" s="8" t="s">
        <v>16</v>
      </c>
      <c r="E8380" s="8" t="s">
        <v>17</v>
      </c>
      <c r="F8380" s="9">
        <v>46088.0</v>
      </c>
      <c r="G8380" s="8" t="s">
        <v>923</v>
      </c>
      <c r="H8380" s="8" t="s">
        <v>71</v>
      </c>
      <c r="I8380" s="8" t="s">
        <v>25082</v>
      </c>
      <c r="J8380" s="8" t="s">
        <v>25083</v>
      </c>
    </row>
    <row r="8381">
      <c r="A8381" s="7">
        <v>2.0034513E7</v>
      </c>
      <c r="B8381" s="8" t="s">
        <v>776</v>
      </c>
      <c r="C8381" s="8" t="s">
        <v>25084</v>
      </c>
      <c r="D8381" s="8" t="s">
        <v>16</v>
      </c>
      <c r="E8381" s="8" t="s">
        <v>17</v>
      </c>
      <c r="F8381" s="9">
        <v>46083.0</v>
      </c>
      <c r="G8381" s="8" t="s">
        <v>29</v>
      </c>
      <c r="H8381" s="8" t="s">
        <v>30</v>
      </c>
      <c r="I8381" s="8" t="s">
        <v>25085</v>
      </c>
      <c r="J8381" s="8" t="s">
        <v>25086</v>
      </c>
    </row>
    <row r="8382">
      <c r="A8382" s="7">
        <v>2.0041332E7</v>
      </c>
      <c r="B8382" s="8" t="s">
        <v>776</v>
      </c>
      <c r="C8382" s="8" t="s">
        <v>25087</v>
      </c>
      <c r="D8382" s="8" t="s">
        <v>16</v>
      </c>
      <c r="E8382" s="8" t="s">
        <v>17</v>
      </c>
      <c r="F8382" s="9">
        <v>46069.0</v>
      </c>
      <c r="G8382" s="8" t="s">
        <v>365</v>
      </c>
      <c r="H8382" s="8" t="s">
        <v>366</v>
      </c>
      <c r="I8382" s="8" t="s">
        <v>25088</v>
      </c>
      <c r="J8382" s="8" t="s">
        <v>25089</v>
      </c>
    </row>
    <row r="8383">
      <c r="A8383" s="7">
        <v>2.0040922E7</v>
      </c>
      <c r="B8383" s="8" t="s">
        <v>776</v>
      </c>
      <c r="C8383" s="8" t="s">
        <v>25090</v>
      </c>
      <c r="D8383" s="8" t="s">
        <v>16</v>
      </c>
      <c r="E8383" s="8" t="s">
        <v>17</v>
      </c>
      <c r="F8383" s="9">
        <v>46070.0</v>
      </c>
      <c r="G8383" s="8" t="s">
        <v>1557</v>
      </c>
      <c r="H8383" s="8" t="s">
        <v>1558</v>
      </c>
      <c r="I8383" s="8" t="s">
        <v>25091</v>
      </c>
      <c r="J8383" s="8"/>
    </row>
    <row r="8384">
      <c r="A8384" s="7">
        <v>2.0039208E7</v>
      </c>
      <c r="B8384" s="8" t="s">
        <v>776</v>
      </c>
      <c r="C8384" s="8" t="s">
        <v>25092</v>
      </c>
      <c r="D8384" s="8" t="s">
        <v>16</v>
      </c>
      <c r="E8384" s="8" t="s">
        <v>17</v>
      </c>
      <c r="F8384" s="9">
        <v>46069.0</v>
      </c>
      <c r="G8384" s="8" t="s">
        <v>3200</v>
      </c>
      <c r="H8384" s="8" t="s">
        <v>401</v>
      </c>
      <c r="I8384" s="8" t="s">
        <v>25093</v>
      </c>
      <c r="J8384" s="8" t="s">
        <v>25094</v>
      </c>
    </row>
    <row r="8385">
      <c r="A8385" s="7">
        <v>2.00397E7</v>
      </c>
      <c r="B8385" s="8" t="s">
        <v>776</v>
      </c>
      <c r="C8385" s="8" t="s">
        <v>25095</v>
      </c>
      <c r="D8385" s="8" t="s">
        <v>16</v>
      </c>
      <c r="E8385" s="8" t="s">
        <v>17</v>
      </c>
      <c r="F8385" s="9">
        <v>46071.0</v>
      </c>
      <c r="G8385" s="8" t="s">
        <v>2079</v>
      </c>
      <c r="H8385" s="8" t="s">
        <v>2080</v>
      </c>
      <c r="I8385" s="8" t="s">
        <v>25096</v>
      </c>
      <c r="J8385" s="8" t="s">
        <v>25097</v>
      </c>
    </row>
    <row r="8386">
      <c r="A8386" s="7">
        <v>2.0039414E7</v>
      </c>
      <c r="B8386" s="8" t="s">
        <v>776</v>
      </c>
      <c r="C8386" s="8" t="s">
        <v>25098</v>
      </c>
      <c r="D8386" s="8" t="s">
        <v>16</v>
      </c>
      <c r="E8386" s="8" t="s">
        <v>17</v>
      </c>
      <c r="F8386" s="9">
        <v>46071.0</v>
      </c>
      <c r="G8386" s="8" t="s">
        <v>184</v>
      </c>
      <c r="H8386" s="8" t="s">
        <v>185</v>
      </c>
      <c r="I8386" s="8" t="s">
        <v>25099</v>
      </c>
      <c r="J8386" s="8" t="s">
        <v>25100</v>
      </c>
    </row>
    <row r="8387">
      <c r="A8387" s="7">
        <v>2.0037118E7</v>
      </c>
      <c r="B8387" s="8" t="s">
        <v>776</v>
      </c>
      <c r="C8387" s="8" t="s">
        <v>25101</v>
      </c>
      <c r="D8387" s="8" t="s">
        <v>16</v>
      </c>
      <c r="E8387" s="8" t="s">
        <v>17</v>
      </c>
      <c r="F8387" s="9">
        <v>46060.0</v>
      </c>
      <c r="G8387" s="8" t="s">
        <v>163</v>
      </c>
      <c r="H8387" s="8" t="s">
        <v>164</v>
      </c>
      <c r="I8387" s="8" t="s">
        <v>25102</v>
      </c>
      <c r="J8387" s="8" t="s">
        <v>25103</v>
      </c>
    </row>
    <row r="8388">
      <c r="A8388" s="7">
        <v>2.003549E7</v>
      </c>
      <c r="B8388" s="8" t="s">
        <v>776</v>
      </c>
      <c r="C8388" s="8" t="s">
        <v>25104</v>
      </c>
      <c r="D8388" s="8" t="s">
        <v>16</v>
      </c>
      <c r="E8388" s="8" t="s">
        <v>17</v>
      </c>
      <c r="F8388" s="9">
        <v>46045.0</v>
      </c>
      <c r="G8388" s="8" t="s">
        <v>329</v>
      </c>
      <c r="H8388" s="8" t="s">
        <v>330</v>
      </c>
      <c r="I8388" s="8" t="s">
        <v>25105</v>
      </c>
      <c r="J8388" s="8" t="s">
        <v>25106</v>
      </c>
    </row>
    <row r="8389">
      <c r="A8389" s="7">
        <v>2.0033306E7</v>
      </c>
      <c r="B8389" s="8" t="s">
        <v>776</v>
      </c>
      <c r="C8389" s="8" t="s">
        <v>25107</v>
      </c>
      <c r="D8389" s="8" t="s">
        <v>16</v>
      </c>
      <c r="E8389" s="8" t="s">
        <v>17</v>
      </c>
      <c r="F8389" s="9">
        <v>46045.0</v>
      </c>
      <c r="G8389" s="8" t="s">
        <v>1132</v>
      </c>
      <c r="H8389" s="8" t="s">
        <v>1133</v>
      </c>
      <c r="I8389" s="8" t="s">
        <v>25108</v>
      </c>
      <c r="J8389" s="8" t="s">
        <v>25109</v>
      </c>
    </row>
    <row r="8390">
      <c r="A8390" s="7">
        <v>2.003334E7</v>
      </c>
      <c r="B8390" s="8" t="s">
        <v>776</v>
      </c>
      <c r="C8390" s="8" t="s">
        <v>25110</v>
      </c>
      <c r="D8390" s="8" t="s">
        <v>16</v>
      </c>
      <c r="E8390" s="8" t="s">
        <v>17</v>
      </c>
      <c r="F8390" s="9">
        <v>46043.0</v>
      </c>
      <c r="G8390" s="8" t="s">
        <v>873</v>
      </c>
      <c r="H8390" s="8" t="s">
        <v>874</v>
      </c>
      <c r="I8390" s="8" t="s">
        <v>25111</v>
      </c>
      <c r="J8390" s="8" t="s">
        <v>25112</v>
      </c>
    </row>
    <row r="8391">
      <c r="A8391" s="7">
        <v>2.0072197E7</v>
      </c>
      <c r="B8391" s="8" t="s">
        <v>776</v>
      </c>
      <c r="C8391" s="8" t="s">
        <v>25113</v>
      </c>
      <c r="D8391" s="8" t="s">
        <v>16</v>
      </c>
      <c r="E8391" s="8" t="s">
        <v>69</v>
      </c>
      <c r="F8391" s="9">
        <v>46191.0</v>
      </c>
      <c r="G8391" s="8" t="s">
        <v>14744</v>
      </c>
      <c r="H8391" s="8" t="s">
        <v>14745</v>
      </c>
      <c r="I8391" s="8"/>
      <c r="J8391" s="8" t="s">
        <v>25114</v>
      </c>
    </row>
    <row r="8392">
      <c r="A8392" s="7">
        <v>2.0071794E7</v>
      </c>
      <c r="B8392" s="8" t="s">
        <v>776</v>
      </c>
      <c r="C8392" s="8" t="s">
        <v>25115</v>
      </c>
      <c r="D8392" s="8" t="s">
        <v>16</v>
      </c>
      <c r="E8392" s="8" t="s">
        <v>17</v>
      </c>
      <c r="F8392" s="9">
        <v>46193.0</v>
      </c>
      <c r="G8392" s="8" t="s">
        <v>59</v>
      </c>
      <c r="H8392" s="8" t="s">
        <v>60</v>
      </c>
      <c r="I8392" s="8" t="s">
        <v>25116</v>
      </c>
      <c r="J8392" s="8" t="s">
        <v>25117</v>
      </c>
    </row>
    <row r="8393">
      <c r="A8393" s="7">
        <v>2.0067586E7</v>
      </c>
      <c r="B8393" s="8" t="s">
        <v>776</v>
      </c>
      <c r="C8393" s="8" t="s">
        <v>25118</v>
      </c>
      <c r="D8393" s="8" t="s">
        <v>16</v>
      </c>
      <c r="E8393" s="8" t="s">
        <v>17</v>
      </c>
      <c r="F8393" s="9">
        <v>46193.0</v>
      </c>
      <c r="G8393" s="8" t="s">
        <v>25119</v>
      </c>
      <c r="H8393" s="8" t="s">
        <v>25120</v>
      </c>
      <c r="I8393" s="8" t="s">
        <v>25121</v>
      </c>
      <c r="J8393" s="8" t="s">
        <v>25122</v>
      </c>
    </row>
    <row r="8394">
      <c r="A8394" s="7">
        <v>2.0060356E7</v>
      </c>
      <c r="B8394" s="8" t="s">
        <v>776</v>
      </c>
      <c r="C8394" s="8" t="s">
        <v>25123</v>
      </c>
      <c r="D8394" s="8" t="s">
        <v>16</v>
      </c>
      <c r="E8394" s="8" t="s">
        <v>17</v>
      </c>
      <c r="F8394" s="9">
        <v>46150.0</v>
      </c>
      <c r="G8394" s="8" t="s">
        <v>1132</v>
      </c>
      <c r="H8394" s="8" t="s">
        <v>1133</v>
      </c>
      <c r="I8394" s="8" t="s">
        <v>25124</v>
      </c>
      <c r="J8394" s="8" t="s">
        <v>25125</v>
      </c>
    </row>
    <row r="8395">
      <c r="A8395" s="7">
        <v>2.0060288E7</v>
      </c>
      <c r="B8395" s="8" t="s">
        <v>776</v>
      </c>
      <c r="C8395" s="8" t="s">
        <v>25126</v>
      </c>
      <c r="D8395" s="8" t="s">
        <v>2136</v>
      </c>
      <c r="E8395" s="8" t="s">
        <v>17</v>
      </c>
      <c r="F8395" s="9">
        <v>46142.0</v>
      </c>
      <c r="G8395" s="8" t="s">
        <v>59</v>
      </c>
      <c r="H8395" s="8" t="s">
        <v>60</v>
      </c>
      <c r="I8395" s="8" t="s">
        <v>25127</v>
      </c>
      <c r="J8395" s="8" t="s">
        <v>25128</v>
      </c>
    </row>
    <row r="8396">
      <c r="A8396" s="7">
        <v>2.0060201E7</v>
      </c>
      <c r="B8396" s="8" t="s">
        <v>776</v>
      </c>
      <c r="C8396" s="8" t="s">
        <v>25129</v>
      </c>
      <c r="D8396" s="8" t="s">
        <v>16</v>
      </c>
      <c r="E8396" s="8" t="s">
        <v>17</v>
      </c>
      <c r="F8396" s="9">
        <v>46149.0</v>
      </c>
      <c r="G8396" s="8" t="s">
        <v>59</v>
      </c>
      <c r="H8396" s="8" t="s">
        <v>60</v>
      </c>
      <c r="I8396" s="8" t="s">
        <v>25130</v>
      </c>
      <c r="J8396" s="8" t="s">
        <v>25131</v>
      </c>
    </row>
    <row r="8397">
      <c r="A8397" s="7">
        <v>2.0054241E7</v>
      </c>
      <c r="B8397" s="8" t="s">
        <v>776</v>
      </c>
      <c r="C8397" s="8" t="s">
        <v>25132</v>
      </c>
      <c r="D8397" s="8" t="s">
        <v>16</v>
      </c>
      <c r="E8397" s="8" t="s">
        <v>17</v>
      </c>
      <c r="F8397" s="9">
        <v>46132.0</v>
      </c>
      <c r="G8397" s="8" t="s">
        <v>91</v>
      </c>
      <c r="H8397" s="8" t="s">
        <v>92</v>
      </c>
      <c r="I8397" s="8" t="s">
        <v>25133</v>
      </c>
      <c r="J8397" s="8" t="s">
        <v>25134</v>
      </c>
    </row>
    <row r="8398">
      <c r="A8398" s="7">
        <v>2.0051135E7</v>
      </c>
      <c r="B8398" s="8" t="s">
        <v>776</v>
      </c>
      <c r="C8398" s="8" t="s">
        <v>25135</v>
      </c>
      <c r="D8398" s="8" t="s">
        <v>16</v>
      </c>
      <c r="E8398" s="8" t="s">
        <v>17</v>
      </c>
      <c r="F8398" s="9">
        <v>46109.0</v>
      </c>
      <c r="G8398" s="8" t="s">
        <v>418</v>
      </c>
      <c r="H8398" s="8" t="s">
        <v>419</v>
      </c>
      <c r="I8398" s="8" t="s">
        <v>25136</v>
      </c>
      <c r="J8398" s="8" t="s">
        <v>25137</v>
      </c>
    </row>
    <row r="8399">
      <c r="A8399" s="7">
        <v>2.0045647E7</v>
      </c>
      <c r="B8399" s="8" t="s">
        <v>776</v>
      </c>
      <c r="C8399" s="8" t="s">
        <v>25138</v>
      </c>
      <c r="D8399" s="8" t="s">
        <v>16</v>
      </c>
      <c r="E8399" s="8" t="s">
        <v>17</v>
      </c>
      <c r="F8399" s="9">
        <v>46086.0</v>
      </c>
      <c r="G8399" s="8" t="s">
        <v>2225</v>
      </c>
      <c r="H8399" s="8" t="s">
        <v>2226</v>
      </c>
      <c r="I8399" s="8" t="s">
        <v>25139</v>
      </c>
      <c r="J8399" s="8" t="s">
        <v>25140</v>
      </c>
    </row>
    <row r="8400">
      <c r="A8400" s="7">
        <v>2.0042923E7</v>
      </c>
      <c r="B8400" s="8" t="s">
        <v>776</v>
      </c>
      <c r="C8400" s="8" t="s">
        <v>25141</v>
      </c>
      <c r="D8400" s="8" t="s">
        <v>16</v>
      </c>
      <c r="E8400" s="8" t="s">
        <v>17</v>
      </c>
      <c r="F8400" s="9">
        <v>46069.0</v>
      </c>
      <c r="G8400" s="8" t="s">
        <v>234</v>
      </c>
      <c r="H8400" s="8" t="s">
        <v>235</v>
      </c>
      <c r="I8400" s="8" t="s">
        <v>25142</v>
      </c>
      <c r="J8400" s="8" t="s">
        <v>25143</v>
      </c>
    </row>
    <row r="8401">
      <c r="A8401" s="7">
        <v>2.0038509E7</v>
      </c>
      <c r="B8401" s="8" t="s">
        <v>776</v>
      </c>
      <c r="C8401" s="8" t="s">
        <v>25144</v>
      </c>
      <c r="D8401" s="8" t="s">
        <v>16</v>
      </c>
      <c r="E8401" s="8" t="s">
        <v>17</v>
      </c>
      <c r="F8401" s="9">
        <v>46057.0</v>
      </c>
      <c r="G8401" s="8" t="s">
        <v>365</v>
      </c>
      <c r="H8401" s="8" t="s">
        <v>366</v>
      </c>
      <c r="I8401" s="8" t="s">
        <v>25145</v>
      </c>
      <c r="J8401" s="8" t="s">
        <v>25146</v>
      </c>
    </row>
    <row r="8402">
      <c r="A8402" s="7">
        <v>2.0031851E7</v>
      </c>
      <c r="B8402" s="8" t="s">
        <v>776</v>
      </c>
      <c r="C8402" s="8" t="s">
        <v>25147</v>
      </c>
      <c r="D8402" s="8" t="s">
        <v>16</v>
      </c>
      <c r="E8402" s="8" t="s">
        <v>17</v>
      </c>
      <c r="F8402" s="9">
        <v>46058.0</v>
      </c>
      <c r="G8402" s="8" t="s">
        <v>5472</v>
      </c>
      <c r="H8402" s="8" t="s">
        <v>3410</v>
      </c>
      <c r="I8402" s="8" t="s">
        <v>25148</v>
      </c>
      <c r="J8402" s="8" t="s">
        <v>25149</v>
      </c>
    </row>
    <row r="8403">
      <c r="A8403" s="7">
        <v>2.0031851E7</v>
      </c>
      <c r="B8403" s="8" t="s">
        <v>776</v>
      </c>
      <c r="C8403" s="8" t="s">
        <v>25147</v>
      </c>
      <c r="D8403" s="8" t="s">
        <v>16</v>
      </c>
      <c r="E8403" s="8" t="s">
        <v>17</v>
      </c>
      <c r="F8403" s="9">
        <v>46058.0</v>
      </c>
      <c r="G8403" s="8" t="s">
        <v>5472</v>
      </c>
      <c r="H8403" s="8" t="s">
        <v>3410</v>
      </c>
      <c r="I8403" s="8" t="s">
        <v>25150</v>
      </c>
      <c r="J8403" s="8" t="s">
        <v>25149</v>
      </c>
    </row>
    <row r="8404">
      <c r="A8404" s="7">
        <v>2.003406E7</v>
      </c>
      <c r="B8404" s="8" t="s">
        <v>776</v>
      </c>
      <c r="C8404" s="8" t="s">
        <v>25151</v>
      </c>
      <c r="D8404" s="8" t="s">
        <v>16</v>
      </c>
      <c r="E8404" s="8" t="s">
        <v>17</v>
      </c>
      <c r="F8404" s="9">
        <v>46045.0</v>
      </c>
      <c r="G8404" s="8" t="s">
        <v>59</v>
      </c>
      <c r="H8404" s="8" t="s">
        <v>60</v>
      </c>
      <c r="I8404" s="8" t="s">
        <v>25152</v>
      </c>
      <c r="J8404" s="8" t="s">
        <v>25153</v>
      </c>
    </row>
    <row r="8405">
      <c r="A8405" s="7">
        <v>2.0072573E7</v>
      </c>
      <c r="B8405" s="8" t="s">
        <v>776</v>
      </c>
      <c r="C8405" s="8" t="s">
        <v>25154</v>
      </c>
      <c r="D8405" s="8" t="s">
        <v>16</v>
      </c>
      <c r="E8405" s="8" t="s">
        <v>17</v>
      </c>
      <c r="F8405" s="9">
        <v>46191.0</v>
      </c>
      <c r="G8405" s="8" t="s">
        <v>91</v>
      </c>
      <c r="H8405" s="8" t="s">
        <v>92</v>
      </c>
      <c r="I8405" s="8" t="s">
        <v>25155</v>
      </c>
      <c r="J8405" s="8" t="s">
        <v>25156</v>
      </c>
    </row>
    <row r="8406">
      <c r="A8406" s="7">
        <v>2.0063315E7</v>
      </c>
      <c r="B8406" s="8" t="s">
        <v>776</v>
      </c>
      <c r="C8406" s="8" t="s">
        <v>25157</v>
      </c>
      <c r="D8406" s="8" t="s">
        <v>16</v>
      </c>
      <c r="E8406" s="8" t="s">
        <v>17</v>
      </c>
      <c r="F8406" s="9">
        <v>46165.0</v>
      </c>
      <c r="G8406" s="8" t="s">
        <v>504</v>
      </c>
      <c r="H8406" s="8" t="s">
        <v>505</v>
      </c>
      <c r="I8406" s="8" t="s">
        <v>25158</v>
      </c>
      <c r="J8406" s="8" t="s">
        <v>25159</v>
      </c>
    </row>
    <row r="8407">
      <c r="A8407" s="7">
        <v>2.005957E7</v>
      </c>
      <c r="B8407" s="8" t="s">
        <v>776</v>
      </c>
      <c r="C8407" s="8" t="s">
        <v>25160</v>
      </c>
      <c r="D8407" s="8" t="s">
        <v>16</v>
      </c>
      <c r="E8407" s="8" t="s">
        <v>17</v>
      </c>
      <c r="F8407" s="9">
        <v>46179.0</v>
      </c>
      <c r="G8407" s="8" t="s">
        <v>25161</v>
      </c>
      <c r="H8407" s="8" t="s">
        <v>25162</v>
      </c>
      <c r="I8407" s="8" t="s">
        <v>25163</v>
      </c>
      <c r="J8407" s="8" t="s">
        <v>25164</v>
      </c>
    </row>
    <row r="8408">
      <c r="A8408" s="7">
        <v>2.0059019E7</v>
      </c>
      <c r="B8408" s="8" t="s">
        <v>776</v>
      </c>
      <c r="C8408" s="8" t="s">
        <v>25165</v>
      </c>
      <c r="D8408" s="8" t="s">
        <v>16</v>
      </c>
      <c r="E8408" s="8" t="s">
        <v>17</v>
      </c>
      <c r="F8408" s="9">
        <v>46141.0</v>
      </c>
      <c r="G8408" s="8" t="s">
        <v>25166</v>
      </c>
      <c r="H8408" s="8" t="s">
        <v>25167</v>
      </c>
      <c r="I8408" s="8" t="s">
        <v>25168</v>
      </c>
      <c r="J8408" s="8" t="s">
        <v>25169</v>
      </c>
    </row>
    <row r="8409">
      <c r="A8409" s="7">
        <v>2.0059019E7</v>
      </c>
      <c r="B8409" s="8" t="s">
        <v>776</v>
      </c>
      <c r="C8409" s="8" t="s">
        <v>25165</v>
      </c>
      <c r="D8409" s="8" t="s">
        <v>16</v>
      </c>
      <c r="E8409" s="8" t="s">
        <v>17</v>
      </c>
      <c r="F8409" s="9">
        <v>46141.0</v>
      </c>
      <c r="G8409" s="8" t="s">
        <v>25170</v>
      </c>
      <c r="H8409" s="8" t="s">
        <v>25171</v>
      </c>
      <c r="I8409" s="8" t="s">
        <v>783</v>
      </c>
      <c r="J8409" s="8"/>
    </row>
    <row r="8410">
      <c r="A8410" s="7">
        <v>2.0057915E7</v>
      </c>
      <c r="B8410" s="8" t="s">
        <v>776</v>
      </c>
      <c r="C8410" s="8" t="s">
        <v>25172</v>
      </c>
      <c r="D8410" s="8" t="s">
        <v>16</v>
      </c>
      <c r="E8410" s="8" t="s">
        <v>17</v>
      </c>
      <c r="F8410" s="9">
        <v>46141.0</v>
      </c>
      <c r="G8410" s="8" t="s">
        <v>91</v>
      </c>
      <c r="H8410" s="8" t="s">
        <v>92</v>
      </c>
      <c r="I8410" s="8" t="s">
        <v>25173</v>
      </c>
      <c r="J8410" s="8" t="s">
        <v>25174</v>
      </c>
    </row>
    <row r="8411">
      <c r="A8411" s="7">
        <v>2.0055325E7</v>
      </c>
      <c r="B8411" s="8" t="s">
        <v>776</v>
      </c>
      <c r="C8411" s="8" t="s">
        <v>25175</v>
      </c>
      <c r="D8411" s="8" t="s">
        <v>16</v>
      </c>
      <c r="E8411" s="8" t="s">
        <v>17</v>
      </c>
      <c r="F8411" s="9">
        <v>46137.0</v>
      </c>
      <c r="G8411" s="8" t="s">
        <v>75</v>
      </c>
      <c r="H8411" s="8" t="s">
        <v>76</v>
      </c>
      <c r="I8411" s="8" t="s">
        <v>25176</v>
      </c>
      <c r="J8411" s="8" t="s">
        <v>25177</v>
      </c>
    </row>
    <row r="8412">
      <c r="A8412" s="7">
        <v>2.0057904E7</v>
      </c>
      <c r="B8412" s="8" t="s">
        <v>776</v>
      </c>
      <c r="C8412" s="8" t="s">
        <v>25178</v>
      </c>
      <c r="D8412" s="8" t="s">
        <v>16</v>
      </c>
      <c r="E8412" s="8" t="s">
        <v>17</v>
      </c>
      <c r="F8412" s="9">
        <v>46135.0</v>
      </c>
      <c r="G8412" s="8" t="s">
        <v>882</v>
      </c>
      <c r="H8412" s="8" t="s">
        <v>883</v>
      </c>
      <c r="I8412" s="8" t="s">
        <v>25179</v>
      </c>
      <c r="J8412" s="8" t="s">
        <v>25180</v>
      </c>
    </row>
    <row r="8413">
      <c r="A8413" s="7">
        <v>2.0057904E7</v>
      </c>
      <c r="B8413" s="8" t="s">
        <v>776</v>
      </c>
      <c r="C8413" s="8" t="s">
        <v>25178</v>
      </c>
      <c r="D8413" s="8" t="s">
        <v>16</v>
      </c>
      <c r="E8413" s="8" t="s">
        <v>17</v>
      </c>
      <c r="F8413" s="9">
        <v>46135.0</v>
      </c>
      <c r="G8413" s="8" t="s">
        <v>4910</v>
      </c>
      <c r="H8413" s="8" t="s">
        <v>4911</v>
      </c>
      <c r="I8413" s="8" t="s">
        <v>25181</v>
      </c>
      <c r="J8413" s="8" t="s">
        <v>25182</v>
      </c>
    </row>
    <row r="8414">
      <c r="A8414" s="7">
        <v>2.0044292E7</v>
      </c>
      <c r="B8414" s="8" t="s">
        <v>776</v>
      </c>
      <c r="C8414" s="8" t="s">
        <v>25183</v>
      </c>
      <c r="D8414" s="8" t="s">
        <v>16</v>
      </c>
      <c r="E8414" s="8" t="s">
        <v>17</v>
      </c>
      <c r="F8414" s="9">
        <v>46078.0</v>
      </c>
      <c r="G8414" s="8" t="s">
        <v>91</v>
      </c>
      <c r="H8414" s="8" t="s">
        <v>92</v>
      </c>
      <c r="I8414" s="8" t="s">
        <v>25184</v>
      </c>
      <c r="J8414" s="8" t="s">
        <v>25185</v>
      </c>
    </row>
    <row r="8415">
      <c r="A8415" s="7">
        <v>2.0042359E7</v>
      </c>
      <c r="B8415" s="8" t="s">
        <v>776</v>
      </c>
      <c r="C8415" s="8" t="s">
        <v>25186</v>
      </c>
      <c r="D8415" s="8" t="s">
        <v>16</v>
      </c>
      <c r="E8415" s="8" t="s">
        <v>17</v>
      </c>
      <c r="F8415" s="9">
        <v>46069.0</v>
      </c>
      <c r="G8415" s="8" t="s">
        <v>59</v>
      </c>
      <c r="H8415" s="8" t="s">
        <v>60</v>
      </c>
      <c r="I8415" s="8" t="s">
        <v>25187</v>
      </c>
      <c r="J8415" s="8" t="s">
        <v>25188</v>
      </c>
    </row>
    <row r="8416">
      <c r="A8416" s="7">
        <v>2.0042625E7</v>
      </c>
      <c r="B8416" s="8" t="s">
        <v>776</v>
      </c>
      <c r="C8416" s="8" t="s">
        <v>25189</v>
      </c>
      <c r="D8416" s="8" t="s">
        <v>16</v>
      </c>
      <c r="E8416" s="8" t="s">
        <v>17</v>
      </c>
      <c r="F8416" s="9">
        <v>46088.0</v>
      </c>
      <c r="G8416" s="8" t="s">
        <v>5479</v>
      </c>
      <c r="H8416" s="8" t="s">
        <v>5480</v>
      </c>
      <c r="I8416" s="8" t="s">
        <v>25190</v>
      </c>
      <c r="J8416" s="8" t="s">
        <v>25191</v>
      </c>
    </row>
    <row r="8417">
      <c r="A8417" s="7">
        <v>2.0040682E7</v>
      </c>
      <c r="B8417" s="8" t="s">
        <v>776</v>
      </c>
      <c r="C8417" s="8" t="s">
        <v>25192</v>
      </c>
      <c r="D8417" s="8" t="s">
        <v>16</v>
      </c>
      <c r="E8417" s="8" t="s">
        <v>17</v>
      </c>
      <c r="F8417" s="9">
        <v>46084.0</v>
      </c>
      <c r="G8417" s="8" t="s">
        <v>171</v>
      </c>
      <c r="H8417" s="8" t="s">
        <v>172</v>
      </c>
      <c r="I8417" s="8" t="s">
        <v>25193</v>
      </c>
      <c r="J8417" s="8" t="s">
        <v>25194</v>
      </c>
    </row>
    <row r="8418">
      <c r="A8418" s="7">
        <v>2.0037473E7</v>
      </c>
      <c r="B8418" s="8" t="s">
        <v>776</v>
      </c>
      <c r="C8418" s="8" t="s">
        <v>25195</v>
      </c>
      <c r="D8418" s="8" t="s">
        <v>16</v>
      </c>
      <c r="E8418" s="8" t="s">
        <v>17</v>
      </c>
      <c r="F8418" s="9">
        <v>46053.0</v>
      </c>
      <c r="G8418" s="8" t="s">
        <v>34</v>
      </c>
      <c r="H8418" s="8" t="s">
        <v>35</v>
      </c>
      <c r="I8418" s="8" t="s">
        <v>25196</v>
      </c>
      <c r="J8418" s="8" t="s">
        <v>25197</v>
      </c>
    </row>
    <row r="8419">
      <c r="A8419" s="7">
        <v>2.0033106E7</v>
      </c>
      <c r="B8419" s="8" t="s">
        <v>776</v>
      </c>
      <c r="C8419" s="8" t="s">
        <v>25198</v>
      </c>
      <c r="D8419" s="8" t="s">
        <v>16</v>
      </c>
      <c r="E8419" s="8" t="s">
        <v>17</v>
      </c>
      <c r="F8419" s="9">
        <v>46052.0</v>
      </c>
      <c r="G8419" s="8" t="s">
        <v>400</v>
      </c>
      <c r="H8419" s="8" t="s">
        <v>401</v>
      </c>
      <c r="I8419" s="8" t="s">
        <v>25199</v>
      </c>
      <c r="J8419" s="8" t="s">
        <v>25200</v>
      </c>
    </row>
    <row r="8420">
      <c r="A8420" s="7">
        <v>2.0034619E7</v>
      </c>
      <c r="B8420" s="8" t="s">
        <v>776</v>
      </c>
      <c r="C8420" s="8" t="s">
        <v>25201</v>
      </c>
      <c r="D8420" s="8" t="s">
        <v>16</v>
      </c>
      <c r="E8420" s="8" t="s">
        <v>17</v>
      </c>
      <c r="F8420" s="9">
        <v>46044.0</v>
      </c>
      <c r="G8420" s="8" t="s">
        <v>91</v>
      </c>
      <c r="H8420" s="8" t="s">
        <v>92</v>
      </c>
      <c r="I8420" s="8" t="s">
        <v>25202</v>
      </c>
      <c r="J8420" s="8" t="s">
        <v>25203</v>
      </c>
    </row>
    <row r="8421">
      <c r="A8421" s="7">
        <v>2.006611E7</v>
      </c>
      <c r="B8421" s="8" t="s">
        <v>776</v>
      </c>
      <c r="C8421" s="8" t="s">
        <v>25204</v>
      </c>
      <c r="D8421" s="8" t="s">
        <v>16</v>
      </c>
      <c r="E8421" s="8" t="s">
        <v>17</v>
      </c>
      <c r="F8421" s="9">
        <v>46187.0</v>
      </c>
      <c r="G8421" s="8" t="s">
        <v>423</v>
      </c>
      <c r="H8421" s="8" t="s">
        <v>6351</v>
      </c>
      <c r="I8421" s="8" t="s">
        <v>25205</v>
      </c>
      <c r="J8421" s="8" t="s">
        <v>25206</v>
      </c>
    </row>
    <row r="8422">
      <c r="A8422" s="7">
        <v>2.0068082E7</v>
      </c>
      <c r="B8422" s="8" t="s">
        <v>776</v>
      </c>
      <c r="C8422" s="8" t="s">
        <v>25207</v>
      </c>
      <c r="D8422" s="8" t="s">
        <v>16</v>
      </c>
      <c r="E8422" s="8" t="s">
        <v>17</v>
      </c>
      <c r="F8422" s="9">
        <v>46193.0</v>
      </c>
      <c r="G8422" s="8" t="s">
        <v>158</v>
      </c>
      <c r="H8422" s="8" t="s">
        <v>159</v>
      </c>
      <c r="I8422" s="8" t="s">
        <v>25208</v>
      </c>
      <c r="J8422" s="8" t="s">
        <v>25209</v>
      </c>
    </row>
    <row r="8423">
      <c r="A8423" s="7">
        <v>2.0066121E7</v>
      </c>
      <c r="B8423" s="8" t="s">
        <v>776</v>
      </c>
      <c r="C8423" s="8" t="s">
        <v>25210</v>
      </c>
      <c r="D8423" s="8" t="s">
        <v>16</v>
      </c>
      <c r="E8423" s="8" t="s">
        <v>17</v>
      </c>
      <c r="F8423" s="9">
        <v>46190.0</v>
      </c>
      <c r="G8423" s="8" t="s">
        <v>13402</v>
      </c>
      <c r="H8423" s="8" t="s">
        <v>13403</v>
      </c>
      <c r="I8423" s="8" t="s">
        <v>25211</v>
      </c>
      <c r="J8423" s="8"/>
    </row>
    <row r="8424">
      <c r="A8424" s="7">
        <v>2.0063918E7</v>
      </c>
      <c r="B8424" s="8" t="s">
        <v>776</v>
      </c>
      <c r="C8424" s="8" t="s">
        <v>25212</v>
      </c>
      <c r="D8424" s="8" t="s">
        <v>16</v>
      </c>
      <c r="E8424" s="8" t="s">
        <v>17</v>
      </c>
      <c r="F8424" s="9">
        <v>46163.0</v>
      </c>
      <c r="G8424" s="8" t="s">
        <v>220</v>
      </c>
      <c r="H8424" s="8" t="s">
        <v>221</v>
      </c>
      <c r="I8424" s="8" t="s">
        <v>25213</v>
      </c>
      <c r="J8424" s="8" t="s">
        <v>25214</v>
      </c>
    </row>
    <row r="8425">
      <c r="A8425" s="7">
        <v>2.005965E7</v>
      </c>
      <c r="B8425" s="8" t="s">
        <v>776</v>
      </c>
      <c r="C8425" s="8" t="s">
        <v>25215</v>
      </c>
      <c r="D8425" s="8" t="s">
        <v>16</v>
      </c>
      <c r="E8425" s="8" t="s">
        <v>17</v>
      </c>
      <c r="F8425" s="9">
        <v>46139.0</v>
      </c>
      <c r="G8425" s="8" t="s">
        <v>846</v>
      </c>
      <c r="H8425" s="8" t="s">
        <v>847</v>
      </c>
      <c r="I8425" s="8" t="s">
        <v>25216</v>
      </c>
      <c r="J8425" s="8" t="s">
        <v>25217</v>
      </c>
    </row>
    <row r="8426">
      <c r="A8426" s="7">
        <v>2.0058055E7</v>
      </c>
      <c r="B8426" s="8" t="s">
        <v>776</v>
      </c>
      <c r="C8426" s="8" t="s">
        <v>25218</v>
      </c>
      <c r="D8426" s="8" t="s">
        <v>16</v>
      </c>
      <c r="E8426" s="8" t="s">
        <v>17</v>
      </c>
      <c r="F8426" s="9">
        <v>46132.0</v>
      </c>
      <c r="G8426" s="8" t="s">
        <v>75</v>
      </c>
      <c r="H8426" s="8" t="s">
        <v>76</v>
      </c>
      <c r="I8426" s="8" t="s">
        <v>25219</v>
      </c>
      <c r="J8426" s="8" t="s">
        <v>25220</v>
      </c>
    </row>
    <row r="8427">
      <c r="A8427" s="7">
        <v>2.005667E7</v>
      </c>
      <c r="B8427" s="8" t="s">
        <v>776</v>
      </c>
      <c r="C8427" s="8" t="s">
        <v>25221</v>
      </c>
      <c r="D8427" s="8" t="s">
        <v>16</v>
      </c>
      <c r="E8427" s="8" t="s">
        <v>17</v>
      </c>
      <c r="F8427" s="9">
        <v>46190.0</v>
      </c>
      <c r="G8427" s="8" t="s">
        <v>7706</v>
      </c>
      <c r="H8427" s="8" t="s">
        <v>7707</v>
      </c>
      <c r="I8427" s="8" t="s">
        <v>25222</v>
      </c>
      <c r="J8427" s="8"/>
    </row>
    <row r="8428">
      <c r="A8428" s="7">
        <v>2.0051556E7</v>
      </c>
      <c r="B8428" s="8" t="s">
        <v>776</v>
      </c>
      <c r="C8428" s="8" t="s">
        <v>25223</v>
      </c>
      <c r="D8428" s="8" t="s">
        <v>16</v>
      </c>
      <c r="E8428" s="8" t="s">
        <v>17</v>
      </c>
      <c r="F8428" s="9">
        <v>46121.0</v>
      </c>
      <c r="G8428" s="8" t="s">
        <v>504</v>
      </c>
      <c r="H8428" s="8" t="s">
        <v>505</v>
      </c>
      <c r="I8428" s="8" t="s">
        <v>25224</v>
      </c>
      <c r="J8428" s="8" t="s">
        <v>25225</v>
      </c>
    </row>
    <row r="8429">
      <c r="A8429" s="7">
        <v>2.0047972E7</v>
      </c>
      <c r="B8429" s="8" t="s">
        <v>776</v>
      </c>
      <c r="C8429" s="8" t="s">
        <v>25226</v>
      </c>
      <c r="D8429" s="8" t="s">
        <v>16</v>
      </c>
      <c r="E8429" s="8" t="s">
        <v>17</v>
      </c>
      <c r="F8429" s="9">
        <v>46106.0</v>
      </c>
      <c r="G8429" s="8" t="s">
        <v>59</v>
      </c>
      <c r="H8429" s="8" t="s">
        <v>60</v>
      </c>
      <c r="I8429" s="8" t="s">
        <v>25227</v>
      </c>
      <c r="J8429" s="8" t="s">
        <v>25228</v>
      </c>
    </row>
    <row r="8430">
      <c r="A8430" s="7">
        <v>2.0047972E7</v>
      </c>
      <c r="B8430" s="8" t="s">
        <v>776</v>
      </c>
      <c r="C8430" s="8" t="s">
        <v>25226</v>
      </c>
      <c r="D8430" s="8" t="s">
        <v>16</v>
      </c>
      <c r="E8430" s="8" t="s">
        <v>17</v>
      </c>
      <c r="F8430" s="9">
        <v>46106.0</v>
      </c>
      <c r="G8430" s="8" t="s">
        <v>137</v>
      </c>
      <c r="H8430" s="8" t="s">
        <v>138</v>
      </c>
      <c r="I8430" s="8" t="s">
        <v>25229</v>
      </c>
      <c r="J8430" s="8" t="s">
        <v>25230</v>
      </c>
    </row>
    <row r="8431">
      <c r="A8431" s="7">
        <v>2.0047421E7</v>
      </c>
      <c r="B8431" s="8" t="s">
        <v>776</v>
      </c>
      <c r="C8431" s="8" t="s">
        <v>25231</v>
      </c>
      <c r="D8431" s="8" t="s">
        <v>16</v>
      </c>
      <c r="E8431" s="8" t="s">
        <v>17</v>
      </c>
      <c r="F8431" s="9">
        <v>46109.0</v>
      </c>
      <c r="G8431" s="8" t="s">
        <v>290</v>
      </c>
      <c r="H8431" s="8" t="s">
        <v>291</v>
      </c>
      <c r="I8431" s="8" t="s">
        <v>25232</v>
      </c>
      <c r="J8431" s="8" t="s">
        <v>25233</v>
      </c>
    </row>
    <row r="8432">
      <c r="A8432" s="7">
        <v>2.0066287E7</v>
      </c>
      <c r="B8432" s="8" t="s">
        <v>776</v>
      </c>
      <c r="C8432" s="8" t="s">
        <v>25234</v>
      </c>
      <c r="D8432" s="8" t="s">
        <v>16</v>
      </c>
      <c r="E8432" s="8" t="s">
        <v>17</v>
      </c>
      <c r="F8432" s="9">
        <v>46169.0</v>
      </c>
      <c r="G8432" s="8" t="s">
        <v>54</v>
      </c>
      <c r="H8432" s="8" t="s">
        <v>6010</v>
      </c>
      <c r="I8432" s="8" t="s">
        <v>25235</v>
      </c>
      <c r="J8432" s="8" t="s">
        <v>25236</v>
      </c>
    </row>
    <row r="8433">
      <c r="A8433" s="7">
        <v>2.0049887E7</v>
      </c>
      <c r="B8433" s="8" t="s">
        <v>776</v>
      </c>
      <c r="C8433" s="8" t="s">
        <v>25237</v>
      </c>
      <c r="D8433" s="8" t="s">
        <v>16</v>
      </c>
      <c r="E8433" s="8" t="s">
        <v>17</v>
      </c>
      <c r="F8433" s="9">
        <v>46107.0</v>
      </c>
      <c r="G8433" s="8" t="s">
        <v>195</v>
      </c>
      <c r="H8433" s="8" t="s">
        <v>196</v>
      </c>
      <c r="I8433" s="8" t="s">
        <v>25238</v>
      </c>
      <c r="J8433" s="8" t="s">
        <v>25239</v>
      </c>
    </row>
    <row r="8434">
      <c r="A8434" s="7">
        <v>2.0037522E7</v>
      </c>
      <c r="B8434" s="8" t="s">
        <v>776</v>
      </c>
      <c r="C8434" s="8" t="s">
        <v>25240</v>
      </c>
      <c r="D8434" s="8" t="s">
        <v>16</v>
      </c>
      <c r="E8434" s="8" t="s">
        <v>17</v>
      </c>
      <c r="F8434" s="9">
        <v>46081.0</v>
      </c>
      <c r="G8434" s="8" t="s">
        <v>234</v>
      </c>
      <c r="H8434" s="8" t="s">
        <v>235</v>
      </c>
      <c r="I8434" s="8" t="s">
        <v>25241</v>
      </c>
      <c r="J8434" s="8" t="s">
        <v>24722</v>
      </c>
    </row>
    <row r="8435">
      <c r="A8435" s="7">
        <v>2.0037522E7</v>
      </c>
      <c r="B8435" s="8" t="s">
        <v>776</v>
      </c>
      <c r="C8435" s="8" t="s">
        <v>25240</v>
      </c>
      <c r="D8435" s="8" t="s">
        <v>16</v>
      </c>
      <c r="E8435" s="8" t="s">
        <v>17</v>
      </c>
      <c r="F8435" s="9">
        <v>46081.0</v>
      </c>
      <c r="G8435" s="8" t="s">
        <v>3255</v>
      </c>
      <c r="H8435" s="8" t="s">
        <v>3256</v>
      </c>
      <c r="I8435" s="8" t="s">
        <v>25242</v>
      </c>
      <c r="J8435" s="8" t="s">
        <v>25243</v>
      </c>
    </row>
    <row r="8436">
      <c r="A8436" s="7">
        <v>2.0038769E7</v>
      </c>
      <c r="B8436" s="8" t="s">
        <v>776</v>
      </c>
      <c r="C8436" s="8" t="s">
        <v>25244</v>
      </c>
      <c r="D8436" s="8" t="s">
        <v>16</v>
      </c>
      <c r="E8436" s="8" t="s">
        <v>17</v>
      </c>
      <c r="F8436" s="9">
        <v>46075.0</v>
      </c>
      <c r="G8436" s="8" t="s">
        <v>2079</v>
      </c>
      <c r="H8436" s="8" t="s">
        <v>2080</v>
      </c>
      <c r="I8436" s="8" t="s">
        <v>25245</v>
      </c>
      <c r="J8436" s="8" t="s">
        <v>25246</v>
      </c>
    </row>
    <row r="8437">
      <c r="A8437" s="7">
        <v>2.0039533E7</v>
      </c>
      <c r="B8437" s="8" t="s">
        <v>776</v>
      </c>
      <c r="C8437" s="8" t="s">
        <v>25247</v>
      </c>
      <c r="D8437" s="8" t="s">
        <v>16</v>
      </c>
      <c r="E8437" s="8" t="s">
        <v>17</v>
      </c>
      <c r="F8437" s="9">
        <v>46062.0</v>
      </c>
      <c r="G8437" s="8" t="s">
        <v>91</v>
      </c>
      <c r="H8437" s="8" t="s">
        <v>92</v>
      </c>
      <c r="I8437" s="8" t="s">
        <v>25248</v>
      </c>
      <c r="J8437" s="8" t="s">
        <v>25249</v>
      </c>
    </row>
    <row r="8438">
      <c r="A8438" s="7">
        <v>2.0035294E7</v>
      </c>
      <c r="B8438" s="8" t="s">
        <v>776</v>
      </c>
      <c r="C8438" s="8" t="s">
        <v>25250</v>
      </c>
      <c r="D8438" s="8" t="s">
        <v>16</v>
      </c>
      <c r="E8438" s="8" t="s">
        <v>17</v>
      </c>
      <c r="F8438" s="9">
        <v>46064.0</v>
      </c>
      <c r="G8438" s="8" t="s">
        <v>171</v>
      </c>
      <c r="H8438" s="8" t="s">
        <v>172</v>
      </c>
      <c r="I8438" s="8" t="s">
        <v>25251</v>
      </c>
      <c r="J8438" s="8" t="s">
        <v>25252</v>
      </c>
    </row>
    <row r="8439">
      <c r="A8439" s="7">
        <v>2.0033187E7</v>
      </c>
      <c r="B8439" s="8" t="s">
        <v>776</v>
      </c>
      <c r="C8439" s="8" t="s">
        <v>25253</v>
      </c>
      <c r="D8439" s="8" t="s">
        <v>16</v>
      </c>
      <c r="E8439" s="8" t="s">
        <v>17</v>
      </c>
      <c r="F8439" s="9">
        <v>46047.0</v>
      </c>
      <c r="G8439" s="8" t="s">
        <v>91</v>
      </c>
      <c r="H8439" s="8" t="s">
        <v>92</v>
      </c>
      <c r="I8439" s="8" t="s">
        <v>25254</v>
      </c>
      <c r="J8439" s="8" t="s">
        <v>25255</v>
      </c>
    </row>
    <row r="8440">
      <c r="A8440" s="7">
        <v>2.0067025E7</v>
      </c>
      <c r="B8440" s="8" t="s">
        <v>776</v>
      </c>
      <c r="C8440" s="8" t="s">
        <v>25256</v>
      </c>
      <c r="D8440" s="8" t="s">
        <v>16</v>
      </c>
      <c r="E8440" s="8" t="s">
        <v>17</v>
      </c>
      <c r="F8440" s="9">
        <v>46177.0</v>
      </c>
      <c r="G8440" s="8" t="s">
        <v>59</v>
      </c>
      <c r="H8440" s="8" t="s">
        <v>60</v>
      </c>
      <c r="I8440" s="8" t="s">
        <v>25257</v>
      </c>
      <c r="J8440" s="8" t="s">
        <v>25258</v>
      </c>
    </row>
    <row r="8441">
      <c r="A8441" s="7">
        <v>2.0059324E7</v>
      </c>
      <c r="B8441" s="8" t="s">
        <v>776</v>
      </c>
      <c r="C8441" s="8" t="s">
        <v>25259</v>
      </c>
      <c r="D8441" s="8" t="s">
        <v>16</v>
      </c>
      <c r="E8441" s="8" t="s">
        <v>17</v>
      </c>
      <c r="F8441" s="9">
        <v>46170.0</v>
      </c>
      <c r="G8441" s="8" t="s">
        <v>5723</v>
      </c>
      <c r="H8441" s="8" t="s">
        <v>909</v>
      </c>
      <c r="I8441" s="8" t="s">
        <v>25260</v>
      </c>
      <c r="J8441" s="8" t="s">
        <v>25261</v>
      </c>
    </row>
    <row r="8442">
      <c r="A8442" s="7">
        <v>2.0061977E7</v>
      </c>
      <c r="B8442" s="8" t="s">
        <v>776</v>
      </c>
      <c r="C8442" s="8" t="s">
        <v>25262</v>
      </c>
      <c r="D8442" s="8" t="s">
        <v>16</v>
      </c>
      <c r="E8442" s="8" t="s">
        <v>17</v>
      </c>
      <c r="F8442" s="9">
        <v>46155.0</v>
      </c>
      <c r="G8442" s="8" t="s">
        <v>12829</v>
      </c>
      <c r="H8442" s="8" t="s">
        <v>12830</v>
      </c>
      <c r="I8442" s="8" t="s">
        <v>25263</v>
      </c>
      <c r="J8442" s="8"/>
    </row>
    <row r="8443">
      <c r="A8443" s="7">
        <v>2.0055005E7</v>
      </c>
      <c r="B8443" s="8" t="s">
        <v>776</v>
      </c>
      <c r="C8443" s="8" t="s">
        <v>25264</v>
      </c>
      <c r="D8443" s="8" t="s">
        <v>16</v>
      </c>
      <c r="E8443" s="8" t="s">
        <v>17</v>
      </c>
      <c r="F8443" s="9">
        <v>46157.0</v>
      </c>
      <c r="G8443" s="8" t="s">
        <v>195</v>
      </c>
      <c r="H8443" s="8" t="s">
        <v>196</v>
      </c>
      <c r="I8443" s="8" t="s">
        <v>25265</v>
      </c>
      <c r="J8443" s="8" t="s">
        <v>25266</v>
      </c>
    </row>
    <row r="8444">
      <c r="A8444" s="7">
        <v>2.0056385E7</v>
      </c>
      <c r="B8444" s="8" t="s">
        <v>776</v>
      </c>
      <c r="C8444" s="8" t="s">
        <v>25267</v>
      </c>
      <c r="D8444" s="8" t="s">
        <v>16</v>
      </c>
      <c r="E8444" s="8" t="s">
        <v>17</v>
      </c>
      <c r="F8444" s="9">
        <v>46190.0</v>
      </c>
      <c r="G8444" s="8" t="s">
        <v>492</v>
      </c>
      <c r="H8444" s="8" t="s">
        <v>493</v>
      </c>
      <c r="I8444" s="8" t="s">
        <v>25268</v>
      </c>
      <c r="J8444" s="8" t="s">
        <v>25269</v>
      </c>
    </row>
    <row r="8445">
      <c r="A8445" s="7">
        <v>2.005603E7</v>
      </c>
      <c r="B8445" s="8" t="s">
        <v>776</v>
      </c>
      <c r="C8445" s="8" t="s">
        <v>25270</v>
      </c>
      <c r="D8445" s="8" t="s">
        <v>16</v>
      </c>
      <c r="E8445" s="8" t="s">
        <v>17</v>
      </c>
      <c r="F8445" s="9">
        <v>46140.0</v>
      </c>
      <c r="G8445" s="8" t="s">
        <v>352</v>
      </c>
      <c r="H8445" s="8" t="s">
        <v>353</v>
      </c>
      <c r="I8445" s="8" t="s">
        <v>25271</v>
      </c>
      <c r="J8445" s="8" t="s">
        <v>25272</v>
      </c>
    </row>
    <row r="8446">
      <c r="A8446" s="7">
        <v>2.0053371E7</v>
      </c>
      <c r="B8446" s="8" t="s">
        <v>776</v>
      </c>
      <c r="C8446" s="8" t="s">
        <v>25273</v>
      </c>
      <c r="D8446" s="8" t="s">
        <v>16</v>
      </c>
      <c r="E8446" s="8" t="s">
        <v>17</v>
      </c>
      <c r="F8446" s="9">
        <v>46141.0</v>
      </c>
      <c r="G8446" s="8" t="s">
        <v>25274</v>
      </c>
      <c r="H8446" s="8" t="s">
        <v>25275</v>
      </c>
      <c r="I8446" s="8" t="s">
        <v>25276</v>
      </c>
      <c r="J8446" s="8" t="s">
        <v>25277</v>
      </c>
    </row>
    <row r="8447">
      <c r="A8447" s="7">
        <v>2.0051489E7</v>
      </c>
      <c r="B8447" s="8" t="s">
        <v>776</v>
      </c>
      <c r="C8447" s="8" t="s">
        <v>25278</v>
      </c>
      <c r="D8447" s="8" t="s">
        <v>16</v>
      </c>
      <c r="E8447" s="8" t="s">
        <v>17</v>
      </c>
      <c r="F8447" s="9">
        <v>46106.0</v>
      </c>
      <c r="G8447" s="8" t="s">
        <v>3585</v>
      </c>
      <c r="H8447" s="8" t="s">
        <v>3586</v>
      </c>
      <c r="I8447" s="8" t="s">
        <v>25279</v>
      </c>
      <c r="J8447" s="8" t="s">
        <v>25280</v>
      </c>
    </row>
    <row r="8448">
      <c r="A8448" s="7">
        <v>2.0039561E7</v>
      </c>
      <c r="B8448" s="8" t="s">
        <v>776</v>
      </c>
      <c r="C8448" s="8" t="s">
        <v>25281</v>
      </c>
      <c r="D8448" s="8" t="s">
        <v>16</v>
      </c>
      <c r="E8448" s="8" t="s">
        <v>17</v>
      </c>
      <c r="F8448" s="9">
        <v>46104.0</v>
      </c>
      <c r="G8448" s="8" t="s">
        <v>247</v>
      </c>
      <c r="H8448" s="8" t="s">
        <v>248</v>
      </c>
      <c r="I8448" s="8" t="s">
        <v>25282</v>
      </c>
      <c r="J8448" s="8" t="s">
        <v>25283</v>
      </c>
    </row>
    <row r="8449">
      <c r="A8449" s="7">
        <v>2.004658E7</v>
      </c>
      <c r="B8449" s="8" t="s">
        <v>776</v>
      </c>
      <c r="C8449" s="8" t="s">
        <v>25284</v>
      </c>
      <c r="D8449" s="8" t="s">
        <v>16</v>
      </c>
      <c r="E8449" s="8" t="s">
        <v>17</v>
      </c>
      <c r="F8449" s="9">
        <v>46087.0</v>
      </c>
      <c r="G8449" s="8" t="s">
        <v>91</v>
      </c>
      <c r="H8449" s="8" t="s">
        <v>92</v>
      </c>
      <c r="I8449" s="8" t="s">
        <v>25285</v>
      </c>
      <c r="J8449" s="8" t="s">
        <v>25286</v>
      </c>
    </row>
    <row r="8450">
      <c r="A8450" s="7">
        <v>2.0023878E7</v>
      </c>
      <c r="B8450" s="8" t="s">
        <v>776</v>
      </c>
      <c r="C8450" s="8" t="s">
        <v>25287</v>
      </c>
      <c r="D8450" s="8" t="s">
        <v>16</v>
      </c>
      <c r="E8450" s="8" t="s">
        <v>17</v>
      </c>
      <c r="F8450" s="9">
        <v>46089.0</v>
      </c>
      <c r="G8450" s="8" t="s">
        <v>1297</v>
      </c>
      <c r="H8450" s="8" t="s">
        <v>827</v>
      </c>
      <c r="I8450" s="8" t="s">
        <v>25288</v>
      </c>
      <c r="J8450" s="8" t="s">
        <v>25289</v>
      </c>
    </row>
    <row r="8451">
      <c r="A8451" s="7">
        <v>2.0045069E7</v>
      </c>
      <c r="B8451" s="8" t="s">
        <v>776</v>
      </c>
      <c r="C8451" s="8" t="s">
        <v>25290</v>
      </c>
      <c r="D8451" s="8" t="s">
        <v>16</v>
      </c>
      <c r="E8451" s="8" t="s">
        <v>17</v>
      </c>
      <c r="F8451" s="9">
        <v>46091.0</v>
      </c>
      <c r="G8451" s="8" t="s">
        <v>2170</v>
      </c>
      <c r="H8451" s="8" t="s">
        <v>2171</v>
      </c>
      <c r="I8451" s="8" t="s">
        <v>25291</v>
      </c>
      <c r="J8451" s="8" t="s">
        <v>25292</v>
      </c>
    </row>
    <row r="8452">
      <c r="A8452" s="7">
        <v>2.0042943E7</v>
      </c>
      <c r="B8452" s="8" t="s">
        <v>776</v>
      </c>
      <c r="C8452" s="8" t="s">
        <v>25293</v>
      </c>
      <c r="D8452" s="8" t="s">
        <v>16</v>
      </c>
      <c r="E8452" s="8" t="s">
        <v>17</v>
      </c>
      <c r="F8452" s="9">
        <v>46087.0</v>
      </c>
      <c r="G8452" s="8" t="s">
        <v>357</v>
      </c>
      <c r="H8452" s="8" t="s">
        <v>358</v>
      </c>
      <c r="I8452" s="8" t="s">
        <v>25294</v>
      </c>
      <c r="J8452" s="8" t="s">
        <v>25295</v>
      </c>
    </row>
    <row r="8453">
      <c r="A8453" s="7">
        <v>2.0040772E7</v>
      </c>
      <c r="B8453" s="8" t="s">
        <v>776</v>
      </c>
      <c r="C8453" s="8" t="s">
        <v>25296</v>
      </c>
      <c r="D8453" s="8" t="s">
        <v>16</v>
      </c>
      <c r="E8453" s="8" t="s">
        <v>17</v>
      </c>
      <c r="F8453" s="9">
        <v>46065.0</v>
      </c>
      <c r="G8453" s="8" t="s">
        <v>91</v>
      </c>
      <c r="H8453" s="8" t="s">
        <v>92</v>
      </c>
      <c r="I8453" s="8" t="s">
        <v>25297</v>
      </c>
      <c r="J8453" s="8" t="s">
        <v>25298</v>
      </c>
    </row>
    <row r="8454">
      <c r="A8454" s="7">
        <v>2.0034969E7</v>
      </c>
      <c r="B8454" s="8" t="s">
        <v>776</v>
      </c>
      <c r="C8454" s="8" t="s">
        <v>25299</v>
      </c>
      <c r="D8454" s="8" t="s">
        <v>16</v>
      </c>
      <c r="E8454" s="8" t="s">
        <v>17</v>
      </c>
      <c r="F8454" s="9">
        <v>46070.0</v>
      </c>
      <c r="G8454" s="8" t="s">
        <v>688</v>
      </c>
      <c r="H8454" s="8" t="s">
        <v>689</v>
      </c>
      <c r="I8454" s="8" t="s">
        <v>25300</v>
      </c>
      <c r="J8454" s="8" t="s">
        <v>25301</v>
      </c>
    </row>
    <row r="8455">
      <c r="A8455" s="7">
        <v>2.0034033E7</v>
      </c>
      <c r="B8455" s="8" t="s">
        <v>776</v>
      </c>
      <c r="C8455" s="8" t="s">
        <v>25302</v>
      </c>
      <c r="D8455" s="8" t="s">
        <v>16</v>
      </c>
      <c r="E8455" s="8" t="s">
        <v>17</v>
      </c>
      <c r="F8455" s="9">
        <v>46047.0</v>
      </c>
      <c r="G8455" s="8" t="s">
        <v>1813</v>
      </c>
      <c r="H8455" s="8" t="s">
        <v>1814</v>
      </c>
      <c r="I8455" s="8" t="s">
        <v>25303</v>
      </c>
      <c r="J8455" s="8" t="s">
        <v>25304</v>
      </c>
    </row>
    <row r="8456">
      <c r="A8456" s="7">
        <v>2.0071073E7</v>
      </c>
      <c r="B8456" s="8" t="s">
        <v>776</v>
      </c>
      <c r="C8456" s="8" t="s">
        <v>25305</v>
      </c>
      <c r="D8456" s="8" t="s">
        <v>2136</v>
      </c>
      <c r="E8456" s="8" t="s">
        <v>17</v>
      </c>
      <c r="F8456" s="9">
        <v>46186.0</v>
      </c>
      <c r="G8456" s="8" t="s">
        <v>109</v>
      </c>
      <c r="H8456" s="8" t="s">
        <v>110</v>
      </c>
      <c r="I8456" s="8" t="s">
        <v>25306</v>
      </c>
      <c r="J8456" s="8" t="s">
        <v>25307</v>
      </c>
    </row>
    <row r="8457">
      <c r="A8457" s="7">
        <v>2.006858E7</v>
      </c>
      <c r="B8457" s="8" t="s">
        <v>776</v>
      </c>
      <c r="C8457" s="8" t="s">
        <v>25308</v>
      </c>
      <c r="D8457" s="8" t="s">
        <v>16</v>
      </c>
      <c r="E8457" s="8" t="s">
        <v>17</v>
      </c>
      <c r="F8457" s="9">
        <v>46175.0</v>
      </c>
      <c r="G8457" s="8" t="s">
        <v>91</v>
      </c>
      <c r="H8457" s="8" t="s">
        <v>92</v>
      </c>
      <c r="I8457" s="8" t="s">
        <v>25309</v>
      </c>
      <c r="J8457" s="8" t="s">
        <v>25310</v>
      </c>
    </row>
    <row r="8458">
      <c r="A8458" s="7">
        <v>2.0062614E7</v>
      </c>
      <c r="B8458" s="8" t="s">
        <v>776</v>
      </c>
      <c r="C8458" s="8" t="s">
        <v>25311</v>
      </c>
      <c r="D8458" s="8" t="s">
        <v>16</v>
      </c>
      <c r="E8458" s="8" t="s">
        <v>17</v>
      </c>
      <c r="F8458" s="9">
        <v>46151.0</v>
      </c>
      <c r="G8458" s="8" t="s">
        <v>365</v>
      </c>
      <c r="H8458" s="8" t="s">
        <v>366</v>
      </c>
      <c r="I8458" s="8" t="s">
        <v>25312</v>
      </c>
      <c r="J8458" s="8" t="s">
        <v>25313</v>
      </c>
    </row>
    <row r="8459">
      <c r="A8459" s="7">
        <v>2.0061163E7</v>
      </c>
      <c r="B8459" s="8" t="s">
        <v>776</v>
      </c>
      <c r="C8459" s="8" t="s">
        <v>25314</v>
      </c>
      <c r="D8459" s="8" t="s">
        <v>16</v>
      </c>
      <c r="E8459" s="8" t="s">
        <v>17</v>
      </c>
      <c r="F8459" s="9">
        <v>46180.0</v>
      </c>
      <c r="G8459" s="8" t="s">
        <v>335</v>
      </c>
      <c r="H8459" s="8" t="s">
        <v>336</v>
      </c>
      <c r="I8459" s="8" t="s">
        <v>25315</v>
      </c>
      <c r="J8459" s="8"/>
    </row>
    <row r="8460">
      <c r="A8460" s="7">
        <v>2.0059374E7</v>
      </c>
      <c r="B8460" s="8" t="s">
        <v>776</v>
      </c>
      <c r="C8460" s="8" t="s">
        <v>25316</v>
      </c>
      <c r="D8460" s="8" t="s">
        <v>16</v>
      </c>
      <c r="E8460" s="8" t="s">
        <v>17</v>
      </c>
      <c r="F8460" s="9">
        <v>46158.0</v>
      </c>
      <c r="G8460" s="8" t="s">
        <v>277</v>
      </c>
      <c r="H8460" s="8" t="s">
        <v>278</v>
      </c>
      <c r="I8460" s="8" t="s">
        <v>25317</v>
      </c>
      <c r="J8460" s="8" t="s">
        <v>25318</v>
      </c>
    </row>
    <row r="8461">
      <c r="A8461" s="7">
        <v>2.0059374E7</v>
      </c>
      <c r="B8461" s="8" t="s">
        <v>776</v>
      </c>
      <c r="C8461" s="8" t="s">
        <v>25316</v>
      </c>
      <c r="D8461" s="8" t="s">
        <v>16</v>
      </c>
      <c r="E8461" s="8" t="s">
        <v>17</v>
      </c>
      <c r="F8461" s="9">
        <v>46158.0</v>
      </c>
      <c r="G8461" s="8" t="s">
        <v>273</v>
      </c>
      <c r="H8461" s="8" t="s">
        <v>274</v>
      </c>
      <c r="I8461" s="8" t="s">
        <v>25319</v>
      </c>
      <c r="J8461" s="8" t="s">
        <v>25320</v>
      </c>
    </row>
    <row r="8462">
      <c r="A8462" s="7">
        <v>2.0061315E7</v>
      </c>
      <c r="B8462" s="8" t="s">
        <v>776</v>
      </c>
      <c r="C8462" s="8" t="s">
        <v>25321</v>
      </c>
      <c r="D8462" s="8" t="s">
        <v>16</v>
      </c>
      <c r="E8462" s="8" t="s">
        <v>17</v>
      </c>
      <c r="F8462" s="9">
        <v>46149.0</v>
      </c>
      <c r="G8462" s="8" t="s">
        <v>517</v>
      </c>
      <c r="H8462" s="8" t="s">
        <v>518</v>
      </c>
      <c r="I8462" s="8" t="s">
        <v>25322</v>
      </c>
      <c r="J8462" s="8" t="s">
        <v>25323</v>
      </c>
    </row>
    <row r="8463">
      <c r="A8463" s="7">
        <v>2.006079E7</v>
      </c>
      <c r="B8463" s="8" t="s">
        <v>776</v>
      </c>
      <c r="C8463" s="8" t="s">
        <v>25324</v>
      </c>
      <c r="D8463" s="8" t="s">
        <v>16</v>
      </c>
      <c r="E8463" s="8" t="s">
        <v>17</v>
      </c>
      <c r="F8463" s="9">
        <v>46151.0</v>
      </c>
      <c r="G8463" s="8" t="s">
        <v>352</v>
      </c>
      <c r="H8463" s="8" t="s">
        <v>353</v>
      </c>
      <c r="I8463" s="8" t="s">
        <v>25325</v>
      </c>
      <c r="J8463" s="8" t="s">
        <v>25326</v>
      </c>
    </row>
    <row r="8464">
      <c r="A8464" s="7">
        <v>2.0052809E7</v>
      </c>
      <c r="B8464" s="8" t="s">
        <v>776</v>
      </c>
      <c r="C8464" s="8" t="s">
        <v>25327</v>
      </c>
      <c r="D8464" s="8" t="s">
        <v>16</v>
      </c>
      <c r="E8464" s="8" t="s">
        <v>17</v>
      </c>
      <c r="F8464" s="9">
        <v>46124.0</v>
      </c>
      <c r="G8464" s="8" t="s">
        <v>868</v>
      </c>
      <c r="H8464" s="8" t="s">
        <v>869</v>
      </c>
      <c r="I8464" s="8" t="s">
        <v>25328</v>
      </c>
      <c r="J8464" s="8" t="s">
        <v>25329</v>
      </c>
    </row>
    <row r="8465">
      <c r="A8465" s="7">
        <v>2.0044962E7</v>
      </c>
      <c r="B8465" s="8" t="s">
        <v>776</v>
      </c>
      <c r="C8465" s="8" t="s">
        <v>25330</v>
      </c>
      <c r="D8465" s="8" t="s">
        <v>16</v>
      </c>
      <c r="E8465" s="8" t="s">
        <v>17</v>
      </c>
      <c r="F8465" s="9">
        <v>46095.0</v>
      </c>
      <c r="G8465" s="8" t="s">
        <v>171</v>
      </c>
      <c r="H8465" s="8" t="s">
        <v>172</v>
      </c>
      <c r="I8465" s="8" t="s">
        <v>25331</v>
      </c>
      <c r="J8465" s="8" t="s">
        <v>25332</v>
      </c>
    </row>
    <row r="8466">
      <c r="A8466" s="7">
        <v>2.0039142E7</v>
      </c>
      <c r="B8466" s="8" t="s">
        <v>776</v>
      </c>
      <c r="C8466" s="8" t="s">
        <v>25333</v>
      </c>
      <c r="D8466" s="8" t="s">
        <v>16</v>
      </c>
      <c r="E8466" s="8" t="s">
        <v>17</v>
      </c>
      <c r="F8466" s="9">
        <v>46083.0</v>
      </c>
      <c r="G8466" s="8" t="s">
        <v>247</v>
      </c>
      <c r="H8466" s="8" t="s">
        <v>248</v>
      </c>
      <c r="I8466" s="8" t="s">
        <v>25334</v>
      </c>
      <c r="J8466" s="8" t="s">
        <v>25335</v>
      </c>
    </row>
    <row r="8467">
      <c r="A8467" s="7">
        <v>2.0043119E7</v>
      </c>
      <c r="B8467" s="8" t="s">
        <v>776</v>
      </c>
      <c r="C8467" s="8" t="s">
        <v>25336</v>
      </c>
      <c r="D8467" s="8" t="s">
        <v>16</v>
      </c>
      <c r="E8467" s="8" t="s">
        <v>17</v>
      </c>
      <c r="F8467" s="9">
        <v>46070.0</v>
      </c>
      <c r="G8467" s="8" t="s">
        <v>339</v>
      </c>
      <c r="H8467" s="8" t="s">
        <v>340</v>
      </c>
      <c r="I8467" s="8" t="s">
        <v>25337</v>
      </c>
      <c r="J8467" s="8" t="s">
        <v>25338</v>
      </c>
    </row>
    <row r="8468">
      <c r="A8468" s="7">
        <v>2.0040101E7</v>
      </c>
      <c r="B8468" s="8" t="s">
        <v>776</v>
      </c>
      <c r="C8468" s="8" t="s">
        <v>25339</v>
      </c>
      <c r="D8468" s="8" t="s">
        <v>16</v>
      </c>
      <c r="E8468" s="8" t="s">
        <v>17</v>
      </c>
      <c r="F8468" s="9">
        <v>46064.0</v>
      </c>
      <c r="G8468" s="8" t="s">
        <v>59</v>
      </c>
      <c r="H8468" s="8" t="s">
        <v>60</v>
      </c>
      <c r="I8468" s="8" t="s">
        <v>25340</v>
      </c>
      <c r="J8468" s="8" t="s">
        <v>25341</v>
      </c>
    </row>
    <row r="8469">
      <c r="A8469" s="7">
        <v>2.0037622E7</v>
      </c>
      <c r="B8469" s="8" t="s">
        <v>776</v>
      </c>
      <c r="C8469" s="8" t="s">
        <v>25342</v>
      </c>
      <c r="D8469" s="8" t="s">
        <v>16</v>
      </c>
      <c r="E8469" s="8" t="s">
        <v>17</v>
      </c>
      <c r="F8469" s="9">
        <v>46064.0</v>
      </c>
      <c r="G8469" s="8" t="s">
        <v>64</v>
      </c>
      <c r="H8469" s="8" t="s">
        <v>65</v>
      </c>
      <c r="I8469" s="8" t="s">
        <v>25343</v>
      </c>
      <c r="J8469" s="8"/>
    </row>
    <row r="8470">
      <c r="A8470" s="7">
        <v>2.003641E7</v>
      </c>
      <c r="B8470" s="8" t="s">
        <v>776</v>
      </c>
      <c r="C8470" s="8" t="s">
        <v>25344</v>
      </c>
      <c r="D8470" s="8" t="s">
        <v>16</v>
      </c>
      <c r="E8470" s="8" t="s">
        <v>17</v>
      </c>
      <c r="F8470" s="9">
        <v>46058.0</v>
      </c>
      <c r="G8470" s="8" t="s">
        <v>8538</v>
      </c>
      <c r="H8470" s="8" t="s">
        <v>8539</v>
      </c>
      <c r="I8470" s="8" t="s">
        <v>25345</v>
      </c>
      <c r="J8470" s="8"/>
    </row>
    <row r="8471">
      <c r="A8471" s="7">
        <v>2.0035292E7</v>
      </c>
      <c r="B8471" s="8" t="s">
        <v>776</v>
      </c>
      <c r="C8471" s="8" t="s">
        <v>25346</v>
      </c>
      <c r="D8471" s="8" t="s">
        <v>16</v>
      </c>
      <c r="E8471" s="8" t="s">
        <v>17</v>
      </c>
      <c r="F8471" s="9">
        <v>46045.0</v>
      </c>
      <c r="G8471" s="8" t="s">
        <v>153</v>
      </c>
      <c r="H8471" s="8" t="s">
        <v>154</v>
      </c>
      <c r="I8471" s="8" t="s">
        <v>25347</v>
      </c>
      <c r="J8471" s="8" t="s">
        <v>25348</v>
      </c>
    </row>
    <row r="8472">
      <c r="A8472" s="7">
        <v>2.006657E7</v>
      </c>
      <c r="B8472" s="8" t="s">
        <v>776</v>
      </c>
      <c r="C8472" s="8" t="s">
        <v>25349</v>
      </c>
      <c r="D8472" s="8" t="s">
        <v>16</v>
      </c>
      <c r="E8472" s="8" t="s">
        <v>17</v>
      </c>
      <c r="F8472" s="9">
        <v>46190.0</v>
      </c>
      <c r="G8472" s="8" t="s">
        <v>805</v>
      </c>
      <c r="H8472" s="8" t="s">
        <v>806</v>
      </c>
      <c r="I8472" s="8" t="s">
        <v>25350</v>
      </c>
      <c r="J8472" s="8" t="s">
        <v>25351</v>
      </c>
    </row>
    <row r="8473">
      <c r="A8473" s="7">
        <v>2.0064902E7</v>
      </c>
      <c r="B8473" s="8" t="s">
        <v>776</v>
      </c>
      <c r="C8473" s="8" t="s">
        <v>25352</v>
      </c>
      <c r="D8473" s="8" t="s">
        <v>16</v>
      </c>
      <c r="E8473" s="8" t="s">
        <v>17</v>
      </c>
      <c r="F8473" s="9">
        <v>46188.0</v>
      </c>
      <c r="G8473" s="8" t="s">
        <v>158</v>
      </c>
      <c r="H8473" s="8" t="s">
        <v>159</v>
      </c>
      <c r="I8473" s="8" t="s">
        <v>25353</v>
      </c>
      <c r="J8473" s="8" t="s">
        <v>25354</v>
      </c>
    </row>
    <row r="8474">
      <c r="A8474" s="7">
        <v>2.0062199E7</v>
      </c>
      <c r="B8474" s="8" t="s">
        <v>776</v>
      </c>
      <c r="C8474" s="8" t="s">
        <v>25355</v>
      </c>
      <c r="D8474" s="8" t="s">
        <v>16</v>
      </c>
      <c r="E8474" s="8" t="s">
        <v>17</v>
      </c>
      <c r="F8474" s="9">
        <v>46162.0</v>
      </c>
      <c r="G8474" s="8" t="s">
        <v>195</v>
      </c>
      <c r="H8474" s="8" t="s">
        <v>196</v>
      </c>
      <c r="I8474" s="8" t="s">
        <v>25356</v>
      </c>
      <c r="J8474" s="8" t="s">
        <v>25357</v>
      </c>
    </row>
    <row r="8475">
      <c r="A8475" s="7">
        <v>2.0060103E7</v>
      </c>
      <c r="B8475" s="8" t="s">
        <v>776</v>
      </c>
      <c r="C8475" s="8" t="s">
        <v>25358</v>
      </c>
      <c r="D8475" s="8" t="s">
        <v>16</v>
      </c>
      <c r="E8475" s="8" t="s">
        <v>17</v>
      </c>
      <c r="F8475" s="9">
        <v>46178.0</v>
      </c>
      <c r="G8475" s="8" t="s">
        <v>22888</v>
      </c>
      <c r="H8475" s="8" t="s">
        <v>22889</v>
      </c>
      <c r="I8475" s="8" t="s">
        <v>25359</v>
      </c>
      <c r="J8475" s="8"/>
    </row>
    <row r="8476">
      <c r="A8476" s="7">
        <v>2.0051701E7</v>
      </c>
      <c r="B8476" s="8" t="s">
        <v>776</v>
      </c>
      <c r="C8476" s="8" t="s">
        <v>25360</v>
      </c>
      <c r="D8476" s="8" t="s">
        <v>16</v>
      </c>
      <c r="E8476" s="8" t="s">
        <v>17</v>
      </c>
      <c r="F8476" s="9">
        <v>46137.0</v>
      </c>
      <c r="G8476" s="8" t="s">
        <v>59</v>
      </c>
      <c r="H8476" s="8" t="s">
        <v>60</v>
      </c>
      <c r="I8476" s="8" t="s">
        <v>25361</v>
      </c>
      <c r="J8476" s="8" t="s">
        <v>25362</v>
      </c>
    </row>
    <row r="8477">
      <c r="A8477" s="7">
        <v>2.0049189E7</v>
      </c>
      <c r="B8477" s="8" t="s">
        <v>776</v>
      </c>
      <c r="C8477" s="8" t="s">
        <v>25363</v>
      </c>
      <c r="D8477" s="8" t="s">
        <v>16</v>
      </c>
      <c r="E8477" s="8" t="s">
        <v>17</v>
      </c>
      <c r="F8477" s="9">
        <v>46105.0</v>
      </c>
      <c r="G8477" s="8" t="s">
        <v>2511</v>
      </c>
      <c r="H8477" s="8" t="s">
        <v>2512</v>
      </c>
      <c r="I8477" s="8" t="s">
        <v>25364</v>
      </c>
      <c r="J8477" s="8" t="s">
        <v>25365</v>
      </c>
    </row>
    <row r="8478">
      <c r="A8478" s="7">
        <v>2.0042358E7</v>
      </c>
      <c r="B8478" s="8" t="s">
        <v>776</v>
      </c>
      <c r="C8478" s="8" t="s">
        <v>25366</v>
      </c>
      <c r="D8478" s="8" t="s">
        <v>16</v>
      </c>
      <c r="E8478" s="8" t="s">
        <v>17</v>
      </c>
      <c r="F8478" s="9">
        <v>46069.0</v>
      </c>
      <c r="G8478" s="8" t="s">
        <v>59</v>
      </c>
      <c r="H8478" s="8" t="s">
        <v>60</v>
      </c>
      <c r="I8478" s="8" t="s">
        <v>25367</v>
      </c>
      <c r="J8478" s="8" t="s">
        <v>25368</v>
      </c>
    </row>
    <row r="8479">
      <c r="A8479" s="7">
        <v>2.0038594E7</v>
      </c>
      <c r="B8479" s="8" t="s">
        <v>776</v>
      </c>
      <c r="C8479" s="8" t="s">
        <v>25369</v>
      </c>
      <c r="D8479" s="8" t="s">
        <v>16</v>
      </c>
      <c r="E8479" s="8" t="s">
        <v>17</v>
      </c>
      <c r="F8479" s="9">
        <v>46074.0</v>
      </c>
      <c r="G8479" s="8" t="s">
        <v>64</v>
      </c>
      <c r="H8479" s="8" t="s">
        <v>65</v>
      </c>
      <c r="I8479" s="8" t="s">
        <v>25370</v>
      </c>
      <c r="J8479" s="8" t="s">
        <v>25371</v>
      </c>
    </row>
    <row r="8480">
      <c r="A8480" s="7">
        <v>2.0035862E7</v>
      </c>
      <c r="B8480" s="8" t="s">
        <v>776</v>
      </c>
      <c r="C8480" s="8" t="s">
        <v>25372</v>
      </c>
      <c r="D8480" s="8" t="s">
        <v>16</v>
      </c>
      <c r="E8480" s="8" t="s">
        <v>17</v>
      </c>
      <c r="F8480" s="9">
        <v>46057.0</v>
      </c>
      <c r="G8480" s="8" t="s">
        <v>2331</v>
      </c>
      <c r="H8480" s="8" t="s">
        <v>2332</v>
      </c>
      <c r="I8480" s="8" t="s">
        <v>25373</v>
      </c>
      <c r="J8480" s="8"/>
    </row>
    <row r="8481">
      <c r="A8481" s="7">
        <v>2.0059296E7</v>
      </c>
      <c r="B8481" s="8" t="s">
        <v>776</v>
      </c>
      <c r="C8481" s="8" t="s">
        <v>25374</v>
      </c>
      <c r="D8481" s="8" t="s">
        <v>16</v>
      </c>
      <c r="E8481" s="8" t="s">
        <v>17</v>
      </c>
      <c r="F8481" s="9">
        <v>46151.0</v>
      </c>
      <c r="G8481" s="8" t="s">
        <v>339</v>
      </c>
      <c r="H8481" s="8" t="s">
        <v>340</v>
      </c>
      <c r="I8481" s="8" t="s">
        <v>25375</v>
      </c>
      <c r="J8481" s="8" t="s">
        <v>25376</v>
      </c>
    </row>
    <row r="8482">
      <c r="A8482" s="7">
        <v>2.0060618E7</v>
      </c>
      <c r="B8482" s="8" t="s">
        <v>776</v>
      </c>
      <c r="C8482" s="8" t="s">
        <v>25377</v>
      </c>
      <c r="D8482" s="8" t="s">
        <v>16</v>
      </c>
      <c r="E8482" s="8" t="s">
        <v>17</v>
      </c>
      <c r="F8482" s="9">
        <v>46154.0</v>
      </c>
      <c r="G8482" s="8" t="s">
        <v>882</v>
      </c>
      <c r="H8482" s="8" t="s">
        <v>883</v>
      </c>
      <c r="I8482" s="8" t="s">
        <v>25378</v>
      </c>
      <c r="J8482" s="8" t="s">
        <v>25379</v>
      </c>
    </row>
    <row r="8483">
      <c r="A8483" s="7">
        <v>2.0058091E7</v>
      </c>
      <c r="B8483" s="8" t="s">
        <v>776</v>
      </c>
      <c r="C8483" s="8" t="s">
        <v>25380</v>
      </c>
      <c r="D8483" s="8" t="s">
        <v>16</v>
      </c>
      <c r="E8483" s="8" t="s">
        <v>17</v>
      </c>
      <c r="F8483" s="9">
        <v>46139.0</v>
      </c>
      <c r="G8483" s="8" t="s">
        <v>59</v>
      </c>
      <c r="H8483" s="8" t="s">
        <v>60</v>
      </c>
      <c r="I8483" s="8" t="s">
        <v>25381</v>
      </c>
      <c r="J8483" s="8" t="s">
        <v>25382</v>
      </c>
    </row>
    <row r="8484">
      <c r="A8484" s="7">
        <v>2.0054998E7</v>
      </c>
      <c r="B8484" s="8" t="s">
        <v>776</v>
      </c>
      <c r="C8484" s="8" t="s">
        <v>25383</v>
      </c>
      <c r="D8484" s="8" t="s">
        <v>16</v>
      </c>
      <c r="E8484" s="8" t="s">
        <v>17</v>
      </c>
      <c r="F8484" s="9">
        <v>46124.0</v>
      </c>
      <c r="G8484" s="8" t="s">
        <v>34</v>
      </c>
      <c r="H8484" s="8" t="s">
        <v>35</v>
      </c>
      <c r="I8484" s="8" t="s">
        <v>25384</v>
      </c>
      <c r="J8484" s="8" t="s">
        <v>25385</v>
      </c>
    </row>
    <row r="8485">
      <c r="A8485" s="7">
        <v>2.0052814E7</v>
      </c>
      <c r="B8485" s="8" t="s">
        <v>776</v>
      </c>
      <c r="C8485" s="8" t="s">
        <v>25386</v>
      </c>
      <c r="D8485" s="8" t="s">
        <v>16</v>
      </c>
      <c r="E8485" s="8" t="s">
        <v>17</v>
      </c>
      <c r="F8485" s="9">
        <v>46108.0</v>
      </c>
      <c r="G8485" s="8" t="s">
        <v>109</v>
      </c>
      <c r="H8485" s="8" t="s">
        <v>110</v>
      </c>
      <c r="I8485" s="8" t="s">
        <v>25387</v>
      </c>
      <c r="J8485" s="8" t="s">
        <v>25388</v>
      </c>
    </row>
    <row r="8486">
      <c r="A8486" s="7">
        <v>2.0051399E7</v>
      </c>
      <c r="B8486" s="8" t="s">
        <v>776</v>
      </c>
      <c r="C8486" s="8" t="s">
        <v>25389</v>
      </c>
      <c r="D8486" s="8" t="s">
        <v>16</v>
      </c>
      <c r="E8486" s="8" t="s">
        <v>17</v>
      </c>
      <c r="F8486" s="9">
        <v>46119.0</v>
      </c>
      <c r="G8486" s="8" t="s">
        <v>158</v>
      </c>
      <c r="H8486" s="8" t="s">
        <v>159</v>
      </c>
      <c r="I8486" s="8" t="s">
        <v>25390</v>
      </c>
      <c r="J8486" s="8" t="s">
        <v>25391</v>
      </c>
    </row>
    <row r="8487">
      <c r="A8487" s="7">
        <v>2.0048458E7</v>
      </c>
      <c r="B8487" s="8" t="s">
        <v>776</v>
      </c>
      <c r="C8487" s="8" t="s">
        <v>25392</v>
      </c>
      <c r="D8487" s="8" t="s">
        <v>16</v>
      </c>
      <c r="E8487" s="8" t="s">
        <v>17</v>
      </c>
      <c r="F8487" s="9">
        <v>46111.0</v>
      </c>
      <c r="G8487" s="8" t="s">
        <v>171</v>
      </c>
      <c r="H8487" s="8" t="s">
        <v>172</v>
      </c>
      <c r="I8487" s="8" t="s">
        <v>25393</v>
      </c>
      <c r="J8487" s="8" t="s">
        <v>25394</v>
      </c>
    </row>
    <row r="8488">
      <c r="A8488" s="7">
        <v>2.004091E7</v>
      </c>
      <c r="B8488" s="8" t="s">
        <v>776</v>
      </c>
      <c r="C8488" s="8" t="s">
        <v>25395</v>
      </c>
      <c r="D8488" s="8" t="s">
        <v>16</v>
      </c>
      <c r="E8488" s="8" t="s">
        <v>17</v>
      </c>
      <c r="F8488" s="9">
        <v>46082.0</v>
      </c>
      <c r="G8488" s="8" t="s">
        <v>75</v>
      </c>
      <c r="H8488" s="8" t="s">
        <v>76</v>
      </c>
      <c r="I8488" s="8" t="s">
        <v>25396</v>
      </c>
      <c r="J8488" s="8" t="s">
        <v>25397</v>
      </c>
    </row>
    <row r="8489">
      <c r="A8489" s="7">
        <v>2.0040905E7</v>
      </c>
      <c r="B8489" s="8" t="s">
        <v>776</v>
      </c>
      <c r="C8489" s="8" t="s">
        <v>25398</v>
      </c>
      <c r="D8489" s="8" t="s">
        <v>16</v>
      </c>
      <c r="E8489" s="8" t="s">
        <v>17</v>
      </c>
      <c r="F8489" s="9">
        <v>46077.0</v>
      </c>
      <c r="G8489" s="8" t="s">
        <v>822</v>
      </c>
      <c r="H8489" s="8" t="s">
        <v>120</v>
      </c>
      <c r="I8489" s="8" t="s">
        <v>25399</v>
      </c>
      <c r="J8489" s="8" t="s">
        <v>25400</v>
      </c>
    </row>
    <row r="8490">
      <c r="A8490" s="7">
        <v>2.0039744E7</v>
      </c>
      <c r="B8490" s="8" t="s">
        <v>776</v>
      </c>
      <c r="C8490" s="8" t="s">
        <v>25401</v>
      </c>
      <c r="D8490" s="8" t="s">
        <v>16</v>
      </c>
      <c r="E8490" s="8" t="s">
        <v>17</v>
      </c>
      <c r="F8490" s="9">
        <v>46063.0</v>
      </c>
      <c r="G8490" s="8" t="s">
        <v>59</v>
      </c>
      <c r="H8490" s="8" t="s">
        <v>60</v>
      </c>
      <c r="I8490" s="8" t="s">
        <v>25402</v>
      </c>
      <c r="J8490" s="8" t="s">
        <v>25403</v>
      </c>
    </row>
    <row r="8491">
      <c r="A8491" s="7">
        <v>2.0039196E7</v>
      </c>
      <c r="B8491" s="8" t="s">
        <v>776</v>
      </c>
      <c r="C8491" s="8" t="s">
        <v>25404</v>
      </c>
      <c r="D8491" s="8" t="s">
        <v>16</v>
      </c>
      <c r="E8491" s="8" t="s">
        <v>17</v>
      </c>
      <c r="F8491" s="9">
        <v>46074.0</v>
      </c>
      <c r="G8491" s="8" t="s">
        <v>319</v>
      </c>
      <c r="H8491" s="8" t="s">
        <v>320</v>
      </c>
      <c r="I8491" s="8" t="s">
        <v>25405</v>
      </c>
      <c r="J8491" s="8" t="s">
        <v>25406</v>
      </c>
    </row>
    <row r="8492">
      <c r="A8492" s="7">
        <v>2.0070173E7</v>
      </c>
      <c r="B8492" s="8" t="s">
        <v>776</v>
      </c>
      <c r="C8492" s="8" t="s">
        <v>25407</v>
      </c>
      <c r="D8492" s="8" t="s">
        <v>16</v>
      </c>
      <c r="E8492" s="8" t="s">
        <v>17</v>
      </c>
      <c r="F8492" s="9">
        <v>46183.0</v>
      </c>
      <c r="G8492" s="8" t="s">
        <v>91</v>
      </c>
      <c r="H8492" s="8" t="s">
        <v>92</v>
      </c>
      <c r="I8492" s="8" t="s">
        <v>25408</v>
      </c>
      <c r="J8492" s="8" t="s">
        <v>25409</v>
      </c>
    </row>
    <row r="8493">
      <c r="A8493" s="7">
        <v>2.0067903E7</v>
      </c>
      <c r="B8493" s="8" t="s">
        <v>776</v>
      </c>
      <c r="C8493" s="8" t="s">
        <v>25410</v>
      </c>
      <c r="D8493" s="8" t="s">
        <v>16</v>
      </c>
      <c r="E8493" s="8" t="s">
        <v>17</v>
      </c>
      <c r="F8493" s="9">
        <v>46193.0</v>
      </c>
      <c r="G8493" s="8" t="s">
        <v>365</v>
      </c>
      <c r="H8493" s="8" t="s">
        <v>366</v>
      </c>
      <c r="I8493" s="8" t="s">
        <v>25411</v>
      </c>
      <c r="J8493" s="8" t="s">
        <v>25412</v>
      </c>
    </row>
    <row r="8494">
      <c r="A8494" s="7">
        <v>2.0066134E7</v>
      </c>
      <c r="B8494" s="8" t="s">
        <v>776</v>
      </c>
      <c r="C8494" s="8" t="s">
        <v>25413</v>
      </c>
      <c r="D8494" s="8" t="s">
        <v>16</v>
      </c>
      <c r="E8494" s="8" t="s">
        <v>17</v>
      </c>
      <c r="F8494" s="9">
        <v>46186.0</v>
      </c>
      <c r="G8494" s="8" t="s">
        <v>158</v>
      </c>
      <c r="H8494" s="8" t="s">
        <v>159</v>
      </c>
      <c r="I8494" s="8" t="s">
        <v>25414</v>
      </c>
      <c r="J8494" s="8" t="s">
        <v>25415</v>
      </c>
    </row>
    <row r="8495">
      <c r="A8495" s="7">
        <v>2.0065539E7</v>
      </c>
      <c r="B8495" s="8" t="s">
        <v>776</v>
      </c>
      <c r="C8495" s="8" t="s">
        <v>25416</v>
      </c>
      <c r="D8495" s="8" t="s">
        <v>16</v>
      </c>
      <c r="E8495" s="8" t="s">
        <v>17</v>
      </c>
      <c r="F8495" s="9">
        <v>46163.0</v>
      </c>
      <c r="G8495" s="8" t="s">
        <v>29</v>
      </c>
      <c r="H8495" s="8" t="s">
        <v>30</v>
      </c>
      <c r="I8495" s="8" t="s">
        <v>25417</v>
      </c>
      <c r="J8495" s="8" t="s">
        <v>25418</v>
      </c>
    </row>
    <row r="8496">
      <c r="A8496" s="7">
        <v>2.0055746E7</v>
      </c>
      <c r="B8496" s="8" t="s">
        <v>776</v>
      </c>
      <c r="C8496" s="8" t="s">
        <v>25419</v>
      </c>
      <c r="D8496" s="8" t="s">
        <v>16</v>
      </c>
      <c r="E8496" s="8" t="s">
        <v>17</v>
      </c>
      <c r="F8496" s="9">
        <v>46136.0</v>
      </c>
      <c r="G8496" s="8" t="s">
        <v>2625</v>
      </c>
      <c r="H8496" s="8" t="s">
        <v>3001</v>
      </c>
      <c r="I8496" s="8" t="s">
        <v>25420</v>
      </c>
      <c r="J8496" s="8" t="s">
        <v>25421</v>
      </c>
    </row>
    <row r="8497">
      <c r="A8497" s="7">
        <v>2.0042621E7</v>
      </c>
      <c r="B8497" s="8" t="s">
        <v>776</v>
      </c>
      <c r="C8497" s="8" t="s">
        <v>25422</v>
      </c>
      <c r="D8497" s="8" t="s">
        <v>16</v>
      </c>
      <c r="E8497" s="8" t="s">
        <v>17</v>
      </c>
      <c r="F8497" s="9">
        <v>46088.0</v>
      </c>
      <c r="G8497" s="8" t="s">
        <v>64</v>
      </c>
      <c r="H8497" s="8" t="s">
        <v>65</v>
      </c>
      <c r="I8497" s="8" t="s">
        <v>25423</v>
      </c>
      <c r="J8497" s="8" t="s">
        <v>964</v>
      </c>
    </row>
    <row r="8498">
      <c r="A8498" s="7">
        <v>2.0038802E7</v>
      </c>
      <c r="B8498" s="8" t="s">
        <v>776</v>
      </c>
      <c r="C8498" s="8" t="s">
        <v>25424</v>
      </c>
      <c r="D8498" s="8" t="s">
        <v>16</v>
      </c>
      <c r="E8498" s="8" t="s">
        <v>17</v>
      </c>
      <c r="F8498" s="9">
        <v>46070.0</v>
      </c>
      <c r="G8498" s="8" t="s">
        <v>59</v>
      </c>
      <c r="H8498" s="8" t="s">
        <v>60</v>
      </c>
      <c r="I8498" s="8" t="s">
        <v>25425</v>
      </c>
      <c r="J8498" s="8" t="s">
        <v>25426</v>
      </c>
    </row>
    <row r="8499">
      <c r="A8499" s="7">
        <v>2.005621E7</v>
      </c>
      <c r="B8499" s="8" t="s">
        <v>776</v>
      </c>
      <c r="C8499" s="8" t="s">
        <v>25427</v>
      </c>
      <c r="D8499" s="8" t="s">
        <v>16</v>
      </c>
      <c r="E8499" s="8" t="s">
        <v>17</v>
      </c>
      <c r="F8499" s="9">
        <v>46162.0</v>
      </c>
      <c r="G8499" s="8" t="s">
        <v>3264</v>
      </c>
      <c r="H8499" s="8" t="s">
        <v>25428</v>
      </c>
      <c r="I8499" s="8" t="s">
        <v>25429</v>
      </c>
      <c r="J8499" s="8" t="s">
        <v>25430</v>
      </c>
    </row>
    <row r="8500">
      <c r="A8500" s="7">
        <v>2.0057957E7</v>
      </c>
      <c r="B8500" s="8" t="s">
        <v>776</v>
      </c>
      <c r="C8500" s="8" t="s">
        <v>25431</v>
      </c>
      <c r="D8500" s="8" t="s">
        <v>16</v>
      </c>
      <c r="E8500" s="8" t="s">
        <v>17</v>
      </c>
      <c r="F8500" s="9">
        <v>46151.0</v>
      </c>
      <c r="G8500" s="8" t="s">
        <v>25432</v>
      </c>
      <c r="H8500" s="8" t="s">
        <v>25433</v>
      </c>
      <c r="I8500" s="8" t="s">
        <v>25434</v>
      </c>
      <c r="J8500" s="8" t="s">
        <v>25435</v>
      </c>
    </row>
    <row r="8501">
      <c r="A8501" s="7">
        <v>2.004921E7</v>
      </c>
      <c r="B8501" s="8" t="s">
        <v>776</v>
      </c>
      <c r="C8501" s="8" t="s">
        <v>25436</v>
      </c>
      <c r="D8501" s="8" t="s">
        <v>16</v>
      </c>
      <c r="E8501" s="8" t="s">
        <v>17</v>
      </c>
      <c r="F8501" s="9">
        <v>46111.0</v>
      </c>
      <c r="G8501" s="8" t="s">
        <v>365</v>
      </c>
      <c r="H8501" s="8" t="s">
        <v>366</v>
      </c>
      <c r="I8501" s="8" t="s">
        <v>25437</v>
      </c>
      <c r="J8501" s="8" t="s">
        <v>25438</v>
      </c>
    </row>
    <row r="8502">
      <c r="A8502" s="7">
        <v>2.0047492E7</v>
      </c>
      <c r="B8502" s="8" t="s">
        <v>776</v>
      </c>
      <c r="C8502" s="8" t="s">
        <v>25439</v>
      </c>
      <c r="D8502" s="8" t="s">
        <v>16</v>
      </c>
      <c r="E8502" s="8" t="s">
        <v>17</v>
      </c>
      <c r="F8502" s="9">
        <v>46093.0</v>
      </c>
      <c r="G8502" s="8" t="s">
        <v>1093</v>
      </c>
      <c r="H8502" s="8" t="s">
        <v>1094</v>
      </c>
      <c r="I8502" s="8" t="s">
        <v>25440</v>
      </c>
      <c r="J8502" s="8" t="s">
        <v>25441</v>
      </c>
    </row>
    <row r="8503">
      <c r="A8503" s="7">
        <v>2.0044913E7</v>
      </c>
      <c r="B8503" s="8" t="s">
        <v>776</v>
      </c>
      <c r="C8503" s="8" t="s">
        <v>25442</v>
      </c>
      <c r="D8503" s="8" t="s">
        <v>16</v>
      </c>
      <c r="E8503" s="8" t="s">
        <v>17</v>
      </c>
      <c r="F8503" s="9">
        <v>46092.0</v>
      </c>
      <c r="G8503" s="8" t="s">
        <v>234</v>
      </c>
      <c r="H8503" s="8" t="s">
        <v>235</v>
      </c>
      <c r="I8503" s="8" t="s">
        <v>25443</v>
      </c>
      <c r="J8503" s="8" t="s">
        <v>25444</v>
      </c>
    </row>
    <row r="8504">
      <c r="A8504" s="7">
        <v>2.0046995E7</v>
      </c>
      <c r="B8504" s="8" t="s">
        <v>776</v>
      </c>
      <c r="C8504" s="8" t="s">
        <v>25445</v>
      </c>
      <c r="D8504" s="8" t="s">
        <v>16</v>
      </c>
      <c r="E8504" s="8" t="s">
        <v>17</v>
      </c>
      <c r="F8504" s="9">
        <v>46094.0</v>
      </c>
      <c r="G8504" s="8" t="s">
        <v>400</v>
      </c>
      <c r="H8504" s="8" t="s">
        <v>401</v>
      </c>
      <c r="I8504" s="8" t="s">
        <v>25446</v>
      </c>
      <c r="J8504" s="8" t="s">
        <v>25447</v>
      </c>
    </row>
    <row r="8505">
      <c r="A8505" s="7">
        <v>2.0046202E7</v>
      </c>
      <c r="B8505" s="8" t="s">
        <v>776</v>
      </c>
      <c r="C8505" s="8" t="s">
        <v>25448</v>
      </c>
      <c r="D8505" s="8" t="s">
        <v>16</v>
      </c>
      <c r="E8505" s="8" t="s">
        <v>17</v>
      </c>
      <c r="F8505" s="9">
        <v>46100.0</v>
      </c>
      <c r="G8505" s="8" t="s">
        <v>132</v>
      </c>
      <c r="H8505" s="8" t="s">
        <v>133</v>
      </c>
      <c r="I8505" s="8" t="s">
        <v>25449</v>
      </c>
      <c r="J8505" s="8" t="s">
        <v>25450</v>
      </c>
    </row>
    <row r="8506">
      <c r="A8506" s="7">
        <v>2.0046042E7</v>
      </c>
      <c r="B8506" s="8" t="s">
        <v>776</v>
      </c>
      <c r="C8506" s="8" t="s">
        <v>25451</v>
      </c>
      <c r="D8506" s="8" t="s">
        <v>16</v>
      </c>
      <c r="E8506" s="8" t="s">
        <v>17</v>
      </c>
      <c r="F8506" s="9">
        <v>46090.0</v>
      </c>
      <c r="G8506" s="8" t="s">
        <v>504</v>
      </c>
      <c r="H8506" s="8" t="s">
        <v>505</v>
      </c>
      <c r="I8506" s="8" t="s">
        <v>25452</v>
      </c>
      <c r="J8506" s="8" t="s">
        <v>25453</v>
      </c>
    </row>
    <row r="8507">
      <c r="A8507" s="7">
        <v>2.0040198E7</v>
      </c>
      <c r="B8507" s="8" t="s">
        <v>776</v>
      </c>
      <c r="C8507" s="8" t="s">
        <v>25454</v>
      </c>
      <c r="D8507" s="8" t="s">
        <v>16</v>
      </c>
      <c r="E8507" s="8" t="s">
        <v>17</v>
      </c>
      <c r="F8507" s="9">
        <v>46068.0</v>
      </c>
      <c r="G8507" s="8" t="s">
        <v>826</v>
      </c>
      <c r="H8507" s="8" t="s">
        <v>827</v>
      </c>
      <c r="I8507" s="8" t="s">
        <v>25455</v>
      </c>
      <c r="J8507" s="8" t="s">
        <v>25456</v>
      </c>
    </row>
    <row r="8508">
      <c r="A8508" s="7">
        <v>2.0038713E7</v>
      </c>
      <c r="B8508" s="8" t="s">
        <v>776</v>
      </c>
      <c r="C8508" s="8" t="s">
        <v>25457</v>
      </c>
      <c r="D8508" s="8" t="s">
        <v>16</v>
      </c>
      <c r="E8508" s="8" t="s">
        <v>17</v>
      </c>
      <c r="F8508" s="9">
        <v>46070.0</v>
      </c>
      <c r="G8508" s="8" t="s">
        <v>2724</v>
      </c>
      <c r="H8508" s="8" t="s">
        <v>2725</v>
      </c>
      <c r="I8508" s="8" t="s">
        <v>25458</v>
      </c>
      <c r="J8508" s="8" t="s">
        <v>25459</v>
      </c>
    </row>
    <row r="8509">
      <c r="A8509" s="7">
        <v>2.0024359E7</v>
      </c>
      <c r="B8509" s="8" t="s">
        <v>776</v>
      </c>
      <c r="C8509" s="8" t="s">
        <v>25460</v>
      </c>
      <c r="D8509" s="8" t="s">
        <v>16</v>
      </c>
      <c r="E8509" s="8" t="s">
        <v>17</v>
      </c>
      <c r="F8509" s="9">
        <v>46079.0</v>
      </c>
      <c r="G8509" s="8" t="s">
        <v>4810</v>
      </c>
      <c r="H8509" s="8" t="s">
        <v>4811</v>
      </c>
      <c r="I8509" s="8" t="s">
        <v>25461</v>
      </c>
      <c r="J8509" s="8" t="s">
        <v>25462</v>
      </c>
    </row>
    <row r="8510">
      <c r="A8510" s="7">
        <v>2.0066326E7</v>
      </c>
      <c r="B8510" s="8" t="s">
        <v>776</v>
      </c>
      <c r="C8510" s="8" t="s">
        <v>25463</v>
      </c>
      <c r="D8510" s="8" t="s">
        <v>16</v>
      </c>
      <c r="E8510" s="8" t="s">
        <v>17</v>
      </c>
      <c r="F8510" s="9">
        <v>46192.0</v>
      </c>
      <c r="G8510" s="8" t="s">
        <v>1045</v>
      </c>
      <c r="H8510" s="8" t="s">
        <v>909</v>
      </c>
      <c r="I8510" s="8" t="s">
        <v>25464</v>
      </c>
      <c r="J8510" s="8" t="s">
        <v>25465</v>
      </c>
    </row>
    <row r="8511">
      <c r="A8511" s="7">
        <v>2.0067884E7</v>
      </c>
      <c r="B8511" s="8" t="s">
        <v>776</v>
      </c>
      <c r="C8511" s="8" t="s">
        <v>25466</v>
      </c>
      <c r="D8511" s="8" t="s">
        <v>16</v>
      </c>
      <c r="E8511" s="8" t="s">
        <v>17</v>
      </c>
      <c r="F8511" s="9">
        <v>46185.0</v>
      </c>
      <c r="G8511" s="8" t="s">
        <v>59</v>
      </c>
      <c r="H8511" s="8" t="s">
        <v>60</v>
      </c>
      <c r="I8511" s="8" t="s">
        <v>25467</v>
      </c>
      <c r="J8511" s="8" t="s">
        <v>25468</v>
      </c>
    </row>
    <row r="8512">
      <c r="A8512" s="7">
        <v>2.0069909E7</v>
      </c>
      <c r="B8512" s="8" t="s">
        <v>776</v>
      </c>
      <c r="C8512" s="8" t="s">
        <v>25469</v>
      </c>
      <c r="D8512" s="8" t="s">
        <v>16</v>
      </c>
      <c r="E8512" s="8" t="s">
        <v>17</v>
      </c>
      <c r="F8512" s="9">
        <v>46187.0</v>
      </c>
      <c r="G8512" s="8" t="s">
        <v>59</v>
      </c>
      <c r="H8512" s="8" t="s">
        <v>60</v>
      </c>
      <c r="I8512" s="8" t="s">
        <v>25470</v>
      </c>
      <c r="J8512" s="8" t="s">
        <v>25471</v>
      </c>
    </row>
    <row r="8513">
      <c r="A8513" s="7">
        <v>2.0019818E7</v>
      </c>
      <c r="B8513" s="8" t="s">
        <v>776</v>
      </c>
      <c r="C8513" s="8" t="s">
        <v>25472</v>
      </c>
      <c r="D8513" s="8" t="s">
        <v>16</v>
      </c>
      <c r="E8513" s="8" t="s">
        <v>17</v>
      </c>
      <c r="F8513" s="9">
        <v>46170.0</v>
      </c>
      <c r="G8513" s="8" t="s">
        <v>2486</v>
      </c>
      <c r="H8513" s="8" t="s">
        <v>44</v>
      </c>
      <c r="I8513" s="8" t="s">
        <v>25473</v>
      </c>
      <c r="J8513" s="8" t="s">
        <v>25474</v>
      </c>
    </row>
    <row r="8514">
      <c r="A8514" s="7">
        <v>2.0056914E7</v>
      </c>
      <c r="B8514" s="8" t="s">
        <v>776</v>
      </c>
      <c r="C8514" s="8" t="s">
        <v>25475</v>
      </c>
      <c r="D8514" s="8" t="s">
        <v>16</v>
      </c>
      <c r="E8514" s="8" t="s">
        <v>17</v>
      </c>
      <c r="F8514" s="9">
        <v>46136.0</v>
      </c>
      <c r="G8514" s="8" t="s">
        <v>59</v>
      </c>
      <c r="H8514" s="8" t="s">
        <v>60</v>
      </c>
      <c r="I8514" s="8" t="s">
        <v>25476</v>
      </c>
      <c r="J8514" s="8" t="s">
        <v>25477</v>
      </c>
    </row>
    <row r="8515">
      <c r="A8515" s="7">
        <v>2.0055646E7</v>
      </c>
      <c r="B8515" s="8" t="s">
        <v>776</v>
      </c>
      <c r="C8515" s="8" t="s">
        <v>25478</v>
      </c>
      <c r="D8515" s="8" t="s">
        <v>16</v>
      </c>
      <c r="E8515" s="8" t="s">
        <v>17</v>
      </c>
      <c r="F8515" s="9">
        <v>46135.0</v>
      </c>
      <c r="G8515" s="8" t="s">
        <v>34</v>
      </c>
      <c r="H8515" s="8" t="s">
        <v>35</v>
      </c>
      <c r="I8515" s="8" t="s">
        <v>25479</v>
      </c>
      <c r="J8515" s="8" t="s">
        <v>25480</v>
      </c>
    </row>
    <row r="8516">
      <c r="A8516" s="7">
        <v>2.0048296E7</v>
      </c>
      <c r="B8516" s="8" t="s">
        <v>776</v>
      </c>
      <c r="C8516" s="8" t="s">
        <v>25481</v>
      </c>
      <c r="D8516" s="8" t="s">
        <v>16</v>
      </c>
      <c r="E8516" s="8" t="s">
        <v>17</v>
      </c>
      <c r="F8516" s="9">
        <v>46102.0</v>
      </c>
      <c r="G8516" s="8" t="s">
        <v>91</v>
      </c>
      <c r="H8516" s="8" t="s">
        <v>92</v>
      </c>
      <c r="I8516" s="8" t="s">
        <v>25482</v>
      </c>
      <c r="J8516" s="8" t="s">
        <v>25483</v>
      </c>
    </row>
    <row r="8517">
      <c r="A8517" s="7">
        <v>2.0047408E7</v>
      </c>
      <c r="B8517" s="8" t="s">
        <v>776</v>
      </c>
      <c r="C8517" s="8" t="s">
        <v>25484</v>
      </c>
      <c r="D8517" s="8" t="s">
        <v>16</v>
      </c>
      <c r="E8517" s="8" t="s">
        <v>17</v>
      </c>
      <c r="F8517" s="9">
        <v>46091.0</v>
      </c>
      <c r="G8517" s="8" t="s">
        <v>365</v>
      </c>
      <c r="H8517" s="8" t="s">
        <v>366</v>
      </c>
      <c r="I8517" s="8" t="s">
        <v>25485</v>
      </c>
      <c r="J8517" s="8" t="s">
        <v>25486</v>
      </c>
    </row>
    <row r="8518">
      <c r="A8518" s="7">
        <v>2.0046168E7</v>
      </c>
      <c r="B8518" s="8" t="s">
        <v>776</v>
      </c>
      <c r="C8518" s="8" t="s">
        <v>25487</v>
      </c>
      <c r="D8518" s="8" t="s">
        <v>16</v>
      </c>
      <c r="E8518" s="8" t="s">
        <v>17</v>
      </c>
      <c r="F8518" s="9">
        <v>46086.0</v>
      </c>
      <c r="G8518" s="8" t="s">
        <v>3088</v>
      </c>
      <c r="H8518" s="8" t="s">
        <v>3089</v>
      </c>
      <c r="I8518" s="8" t="s">
        <v>25488</v>
      </c>
      <c r="J8518" s="8" t="s">
        <v>25489</v>
      </c>
    </row>
    <row r="8519">
      <c r="A8519" s="7">
        <v>2.004605E7</v>
      </c>
      <c r="B8519" s="8" t="s">
        <v>776</v>
      </c>
      <c r="C8519" s="8" t="s">
        <v>25490</v>
      </c>
      <c r="D8519" s="8" t="s">
        <v>16</v>
      </c>
      <c r="E8519" s="8" t="s">
        <v>17</v>
      </c>
      <c r="F8519" s="9">
        <v>46086.0</v>
      </c>
      <c r="G8519" s="8" t="s">
        <v>882</v>
      </c>
      <c r="H8519" s="8" t="s">
        <v>883</v>
      </c>
      <c r="I8519" s="8" t="s">
        <v>25491</v>
      </c>
      <c r="J8519" s="8" t="s">
        <v>25492</v>
      </c>
    </row>
    <row r="8520">
      <c r="A8520" s="7">
        <v>2.0044614E7</v>
      </c>
      <c r="B8520" s="8" t="s">
        <v>776</v>
      </c>
      <c r="C8520" s="8" t="s">
        <v>25493</v>
      </c>
      <c r="D8520" s="8" t="s">
        <v>16</v>
      </c>
      <c r="E8520" s="8" t="s">
        <v>17</v>
      </c>
      <c r="F8520" s="9">
        <v>46082.0</v>
      </c>
      <c r="G8520" s="8" t="s">
        <v>365</v>
      </c>
      <c r="H8520" s="8" t="s">
        <v>366</v>
      </c>
      <c r="I8520" s="8" t="s">
        <v>25494</v>
      </c>
      <c r="J8520" s="8" t="s">
        <v>25495</v>
      </c>
    </row>
    <row r="8521">
      <c r="A8521" s="7">
        <v>2.0038593E7</v>
      </c>
      <c r="B8521" s="8" t="s">
        <v>776</v>
      </c>
      <c r="C8521" s="8" t="s">
        <v>25496</v>
      </c>
      <c r="D8521" s="8" t="s">
        <v>16</v>
      </c>
      <c r="E8521" s="8" t="s">
        <v>17</v>
      </c>
      <c r="F8521" s="9">
        <v>46069.0</v>
      </c>
      <c r="G8521" s="8" t="s">
        <v>2625</v>
      </c>
      <c r="H8521" s="8" t="s">
        <v>827</v>
      </c>
      <c r="I8521" s="8" t="s">
        <v>25497</v>
      </c>
      <c r="J8521" s="8" t="s">
        <v>25400</v>
      </c>
    </row>
    <row r="8522">
      <c r="A8522" s="7">
        <v>2.0039054E7</v>
      </c>
      <c r="B8522" s="8" t="s">
        <v>776</v>
      </c>
      <c r="C8522" s="8" t="s">
        <v>25498</v>
      </c>
      <c r="D8522" s="8" t="s">
        <v>16</v>
      </c>
      <c r="E8522" s="8" t="s">
        <v>17</v>
      </c>
      <c r="F8522" s="9">
        <v>46065.0</v>
      </c>
      <c r="G8522" s="8" t="s">
        <v>385</v>
      </c>
      <c r="H8522" s="8" t="s">
        <v>386</v>
      </c>
      <c r="I8522" s="8" t="s">
        <v>25499</v>
      </c>
      <c r="J8522" s="8" t="s">
        <v>25500</v>
      </c>
    </row>
    <row r="8523">
      <c r="A8523" s="7">
        <v>2.0034208E7</v>
      </c>
      <c r="B8523" s="8" t="s">
        <v>776</v>
      </c>
      <c r="C8523" s="8" t="s">
        <v>25501</v>
      </c>
      <c r="D8523" s="8" t="s">
        <v>16</v>
      </c>
      <c r="E8523" s="8" t="s">
        <v>17</v>
      </c>
      <c r="F8523" s="9">
        <v>46045.0</v>
      </c>
      <c r="G8523" s="8" t="s">
        <v>423</v>
      </c>
      <c r="H8523" s="8" t="s">
        <v>424</v>
      </c>
      <c r="I8523" s="8" t="s">
        <v>25502</v>
      </c>
      <c r="J8523" s="8" t="s">
        <v>25503</v>
      </c>
    </row>
    <row r="8524">
      <c r="A8524" s="7">
        <v>2.0070774E7</v>
      </c>
      <c r="B8524" s="8" t="s">
        <v>776</v>
      </c>
      <c r="C8524" s="8" t="s">
        <v>25504</v>
      </c>
      <c r="D8524" s="8" t="s">
        <v>16</v>
      </c>
      <c r="E8524" s="8" t="s">
        <v>17</v>
      </c>
      <c r="F8524" s="9">
        <v>46191.0</v>
      </c>
      <c r="G8524" s="8" t="s">
        <v>3088</v>
      </c>
      <c r="H8524" s="8" t="s">
        <v>3089</v>
      </c>
      <c r="I8524" s="8" t="s">
        <v>25505</v>
      </c>
      <c r="J8524" s="8" t="s">
        <v>25506</v>
      </c>
    </row>
    <row r="8525">
      <c r="A8525" s="7">
        <v>2.0062831E7</v>
      </c>
      <c r="B8525" s="8" t="s">
        <v>776</v>
      </c>
      <c r="C8525" s="8" t="s">
        <v>25507</v>
      </c>
      <c r="D8525" s="8" t="s">
        <v>16</v>
      </c>
      <c r="E8525" s="8" t="s">
        <v>17</v>
      </c>
      <c r="F8525" s="9">
        <v>46157.0</v>
      </c>
      <c r="G8525" s="8" t="s">
        <v>23739</v>
      </c>
      <c r="H8525" s="8" t="s">
        <v>23740</v>
      </c>
      <c r="I8525" s="8" t="s">
        <v>25508</v>
      </c>
      <c r="J8525" s="8"/>
    </row>
    <row r="8526">
      <c r="A8526" s="7">
        <v>2.0062008E7</v>
      </c>
      <c r="B8526" s="8" t="s">
        <v>776</v>
      </c>
      <c r="C8526" s="8" t="s">
        <v>25509</v>
      </c>
      <c r="D8526" s="8" t="s">
        <v>16</v>
      </c>
      <c r="E8526" s="8" t="s">
        <v>17</v>
      </c>
      <c r="F8526" s="9">
        <v>46157.0</v>
      </c>
      <c r="G8526" s="8" t="s">
        <v>852</v>
      </c>
      <c r="H8526" s="8" t="s">
        <v>853</v>
      </c>
      <c r="I8526" s="8" t="s">
        <v>25510</v>
      </c>
      <c r="J8526" s="8" t="s">
        <v>25511</v>
      </c>
    </row>
    <row r="8527">
      <c r="A8527" s="7">
        <v>2.0056186E7</v>
      </c>
      <c r="B8527" s="8" t="s">
        <v>776</v>
      </c>
      <c r="C8527" s="8" t="s">
        <v>25512</v>
      </c>
      <c r="D8527" s="8" t="s">
        <v>16</v>
      </c>
      <c r="E8527" s="8" t="s">
        <v>17</v>
      </c>
      <c r="F8527" s="9">
        <v>46148.0</v>
      </c>
      <c r="G8527" s="8" t="s">
        <v>1949</v>
      </c>
      <c r="H8527" s="8" t="s">
        <v>1950</v>
      </c>
      <c r="I8527" s="8" t="s">
        <v>25513</v>
      </c>
      <c r="J8527" s="8" t="s">
        <v>25514</v>
      </c>
    </row>
    <row r="8528">
      <c r="A8528" s="7">
        <v>2.0056971E7</v>
      </c>
      <c r="B8528" s="8" t="s">
        <v>776</v>
      </c>
      <c r="C8528" s="8" t="s">
        <v>25515</v>
      </c>
      <c r="D8528" s="8" t="s">
        <v>16</v>
      </c>
      <c r="E8528" s="8" t="s">
        <v>17</v>
      </c>
      <c r="F8528" s="9">
        <v>46186.0</v>
      </c>
      <c r="G8528" s="8" t="s">
        <v>3709</v>
      </c>
      <c r="H8528" s="8" t="s">
        <v>3710</v>
      </c>
      <c r="I8528" s="8" t="s">
        <v>25516</v>
      </c>
      <c r="J8528" s="8" t="s">
        <v>25517</v>
      </c>
    </row>
    <row r="8529">
      <c r="A8529" s="7">
        <v>2.0054255E7</v>
      </c>
      <c r="B8529" s="8" t="s">
        <v>776</v>
      </c>
      <c r="C8529" s="8" t="s">
        <v>25518</v>
      </c>
      <c r="D8529" s="8" t="s">
        <v>16</v>
      </c>
      <c r="E8529" s="8" t="s">
        <v>17</v>
      </c>
      <c r="F8529" s="9">
        <v>46126.0</v>
      </c>
      <c r="G8529" s="8" t="s">
        <v>17359</v>
      </c>
      <c r="H8529" s="8" t="s">
        <v>25519</v>
      </c>
      <c r="I8529" s="8" t="s">
        <v>25520</v>
      </c>
      <c r="J8529" s="8" t="s">
        <v>25521</v>
      </c>
    </row>
    <row r="8530">
      <c r="A8530" s="7">
        <v>2.0051702E7</v>
      </c>
      <c r="B8530" s="8" t="s">
        <v>776</v>
      </c>
      <c r="C8530" s="8" t="s">
        <v>25522</v>
      </c>
      <c r="D8530" s="8" t="s">
        <v>16</v>
      </c>
      <c r="E8530" s="8" t="s">
        <v>17</v>
      </c>
      <c r="F8530" s="9">
        <v>46113.0</v>
      </c>
      <c r="G8530" s="8" t="s">
        <v>59</v>
      </c>
      <c r="H8530" s="8" t="s">
        <v>60</v>
      </c>
      <c r="I8530" s="8" t="s">
        <v>25523</v>
      </c>
      <c r="J8530" s="8" t="s">
        <v>25524</v>
      </c>
    </row>
    <row r="8531">
      <c r="A8531" s="7">
        <v>2.0049729E7</v>
      </c>
      <c r="B8531" s="8" t="s">
        <v>776</v>
      </c>
      <c r="C8531" s="8" t="s">
        <v>25525</v>
      </c>
      <c r="D8531" s="8" t="s">
        <v>16</v>
      </c>
      <c r="E8531" s="8" t="s">
        <v>17</v>
      </c>
      <c r="F8531" s="9">
        <v>46129.0</v>
      </c>
      <c r="G8531" s="8" t="s">
        <v>440</v>
      </c>
      <c r="H8531" s="8" t="s">
        <v>44</v>
      </c>
      <c r="I8531" s="8" t="s">
        <v>25526</v>
      </c>
      <c r="J8531" s="8" t="s">
        <v>25527</v>
      </c>
    </row>
    <row r="8532">
      <c r="A8532" s="7">
        <v>2.0049793E7</v>
      </c>
      <c r="B8532" s="8" t="s">
        <v>776</v>
      </c>
      <c r="C8532" s="8" t="s">
        <v>25528</v>
      </c>
      <c r="D8532" s="8" t="s">
        <v>16</v>
      </c>
      <c r="E8532" s="8" t="s">
        <v>17</v>
      </c>
      <c r="F8532" s="9">
        <v>46110.0</v>
      </c>
      <c r="G8532" s="8" t="s">
        <v>2447</v>
      </c>
      <c r="H8532" s="8" t="s">
        <v>2448</v>
      </c>
      <c r="I8532" s="8" t="s">
        <v>25529</v>
      </c>
      <c r="J8532" s="8" t="s">
        <v>25530</v>
      </c>
    </row>
    <row r="8533">
      <c r="A8533" s="7">
        <v>2.0046495E7</v>
      </c>
      <c r="B8533" s="8" t="s">
        <v>776</v>
      </c>
      <c r="C8533" s="8" t="s">
        <v>25531</v>
      </c>
      <c r="D8533" s="8" t="s">
        <v>16</v>
      </c>
      <c r="E8533" s="8" t="s">
        <v>17</v>
      </c>
      <c r="F8533" s="9">
        <v>46087.0</v>
      </c>
      <c r="G8533" s="8" t="s">
        <v>91</v>
      </c>
      <c r="H8533" s="8" t="s">
        <v>92</v>
      </c>
      <c r="I8533" s="8" t="s">
        <v>25532</v>
      </c>
      <c r="J8533" s="8" t="s">
        <v>25533</v>
      </c>
    </row>
    <row r="8534">
      <c r="A8534" s="7">
        <v>2.0044431E7</v>
      </c>
      <c r="B8534" s="8" t="s">
        <v>776</v>
      </c>
      <c r="C8534" s="8" t="s">
        <v>25534</v>
      </c>
      <c r="D8534" s="8" t="s">
        <v>16</v>
      </c>
      <c r="E8534" s="8" t="s">
        <v>17</v>
      </c>
      <c r="F8534" s="9">
        <v>46094.0</v>
      </c>
      <c r="G8534" s="8" t="s">
        <v>195</v>
      </c>
      <c r="H8534" s="8" t="s">
        <v>196</v>
      </c>
      <c r="I8534" s="8" t="s">
        <v>25535</v>
      </c>
      <c r="J8534" s="8" t="s">
        <v>25536</v>
      </c>
    </row>
    <row r="8535">
      <c r="A8535" s="7">
        <v>2.0036155E7</v>
      </c>
      <c r="B8535" s="8" t="s">
        <v>776</v>
      </c>
      <c r="C8535" s="8" t="s">
        <v>25537</v>
      </c>
      <c r="D8535" s="8" t="s">
        <v>16</v>
      </c>
      <c r="E8535" s="8" t="s">
        <v>17</v>
      </c>
      <c r="F8535" s="9">
        <v>46050.0</v>
      </c>
      <c r="G8535" s="8" t="s">
        <v>59</v>
      </c>
      <c r="H8535" s="8" t="s">
        <v>60</v>
      </c>
      <c r="I8535" s="8" t="s">
        <v>25538</v>
      </c>
      <c r="J8535" s="8" t="s">
        <v>25539</v>
      </c>
    </row>
    <row r="8536">
      <c r="A8536" s="7">
        <v>2.003388E7</v>
      </c>
      <c r="B8536" s="8" t="s">
        <v>776</v>
      </c>
      <c r="C8536" s="8" t="s">
        <v>25540</v>
      </c>
      <c r="D8536" s="8" t="s">
        <v>16</v>
      </c>
      <c r="E8536" s="8" t="s">
        <v>17</v>
      </c>
      <c r="F8536" s="9">
        <v>46052.0</v>
      </c>
      <c r="G8536" s="8" t="s">
        <v>247</v>
      </c>
      <c r="H8536" s="8" t="s">
        <v>248</v>
      </c>
      <c r="I8536" s="8" t="s">
        <v>25541</v>
      </c>
      <c r="J8536" s="8" t="s">
        <v>25542</v>
      </c>
    </row>
    <row r="8537">
      <c r="A8537" s="7">
        <v>2.0070772E7</v>
      </c>
      <c r="B8537" s="8" t="s">
        <v>776</v>
      </c>
      <c r="C8537" s="8" t="s">
        <v>25543</v>
      </c>
      <c r="D8537" s="8" t="s">
        <v>16</v>
      </c>
      <c r="E8537" s="8" t="s">
        <v>17</v>
      </c>
      <c r="F8537" s="9">
        <v>46191.0</v>
      </c>
      <c r="G8537" s="8" t="s">
        <v>59</v>
      </c>
      <c r="H8537" s="8" t="s">
        <v>60</v>
      </c>
      <c r="I8537" s="8" t="s">
        <v>25544</v>
      </c>
      <c r="J8537" s="8" t="s">
        <v>25545</v>
      </c>
    </row>
    <row r="8538">
      <c r="A8538" s="7">
        <v>2.0068858E7</v>
      </c>
      <c r="B8538" s="8" t="s">
        <v>776</v>
      </c>
      <c r="C8538" s="8" t="s">
        <v>25546</v>
      </c>
      <c r="D8538" s="8" t="s">
        <v>16</v>
      </c>
      <c r="E8538" s="8" t="s">
        <v>17</v>
      </c>
      <c r="F8538" s="9">
        <v>46190.0</v>
      </c>
      <c r="G8538" s="8" t="s">
        <v>119</v>
      </c>
      <c r="H8538" s="8" t="s">
        <v>19784</v>
      </c>
      <c r="I8538" s="8" t="s">
        <v>25547</v>
      </c>
      <c r="J8538" s="8" t="s">
        <v>25548</v>
      </c>
    </row>
    <row r="8539">
      <c r="A8539" s="7">
        <v>2.0062681E7</v>
      </c>
      <c r="B8539" s="8" t="s">
        <v>776</v>
      </c>
      <c r="C8539" s="8" t="s">
        <v>25549</v>
      </c>
      <c r="D8539" s="8" t="s">
        <v>2136</v>
      </c>
      <c r="E8539" s="8" t="s">
        <v>17</v>
      </c>
      <c r="F8539" s="9">
        <v>46157.0</v>
      </c>
      <c r="G8539" s="8" t="s">
        <v>75</v>
      </c>
      <c r="H8539" s="8" t="s">
        <v>76</v>
      </c>
      <c r="I8539" s="8" t="s">
        <v>25550</v>
      </c>
      <c r="J8539" s="8" t="s">
        <v>25551</v>
      </c>
    </row>
    <row r="8540">
      <c r="A8540" s="7">
        <v>2.0061594E7</v>
      </c>
      <c r="B8540" s="8" t="s">
        <v>776</v>
      </c>
      <c r="C8540" s="8" t="s">
        <v>25552</v>
      </c>
      <c r="D8540" s="8" t="s">
        <v>16</v>
      </c>
      <c r="E8540" s="8" t="s">
        <v>17</v>
      </c>
      <c r="F8540" s="9">
        <v>46159.0</v>
      </c>
      <c r="G8540" s="8" t="s">
        <v>59</v>
      </c>
      <c r="H8540" s="8" t="s">
        <v>60</v>
      </c>
      <c r="I8540" s="8" t="s">
        <v>25553</v>
      </c>
      <c r="J8540" s="8" t="s">
        <v>25554</v>
      </c>
    </row>
    <row r="8541">
      <c r="A8541" s="7">
        <v>2.0056365E7</v>
      </c>
      <c r="B8541" s="8" t="s">
        <v>776</v>
      </c>
      <c r="C8541" s="8" t="s">
        <v>25555</v>
      </c>
      <c r="D8541" s="8" t="s">
        <v>16</v>
      </c>
      <c r="E8541" s="8" t="s">
        <v>17</v>
      </c>
      <c r="F8541" s="9">
        <v>46150.0</v>
      </c>
      <c r="G8541" s="8" t="s">
        <v>29</v>
      </c>
      <c r="H8541" s="8" t="s">
        <v>30</v>
      </c>
      <c r="I8541" s="8" t="s">
        <v>25556</v>
      </c>
      <c r="J8541" s="8" t="s">
        <v>25557</v>
      </c>
    </row>
    <row r="8542">
      <c r="A8542" s="7">
        <v>2.0057686E7</v>
      </c>
      <c r="B8542" s="8" t="s">
        <v>776</v>
      </c>
      <c r="C8542" s="8" t="s">
        <v>25558</v>
      </c>
      <c r="D8542" s="8" t="s">
        <v>16</v>
      </c>
      <c r="E8542" s="8" t="s">
        <v>17</v>
      </c>
      <c r="F8542" s="9">
        <v>46154.0</v>
      </c>
      <c r="G8542" s="8" t="s">
        <v>25559</v>
      </c>
      <c r="H8542" s="8" t="s">
        <v>25560</v>
      </c>
      <c r="I8542" s="8" t="s">
        <v>25561</v>
      </c>
      <c r="J8542" s="8" t="s">
        <v>25562</v>
      </c>
    </row>
    <row r="8543">
      <c r="A8543" s="7">
        <v>2.0054375E7</v>
      </c>
      <c r="B8543" s="8" t="s">
        <v>776</v>
      </c>
      <c r="C8543" s="8" t="s">
        <v>25563</v>
      </c>
      <c r="D8543" s="8" t="s">
        <v>16</v>
      </c>
      <c r="E8543" s="8" t="s">
        <v>17</v>
      </c>
      <c r="F8543" s="9">
        <v>46124.0</v>
      </c>
      <c r="G8543" s="8" t="s">
        <v>59</v>
      </c>
      <c r="H8543" s="8" t="s">
        <v>60</v>
      </c>
      <c r="I8543" s="8" t="s">
        <v>25564</v>
      </c>
      <c r="J8543" s="8" t="s">
        <v>25565</v>
      </c>
    </row>
    <row r="8544">
      <c r="A8544" s="7">
        <v>2.0053765E7</v>
      </c>
      <c r="B8544" s="8" t="s">
        <v>776</v>
      </c>
      <c r="C8544" s="8" t="s">
        <v>25566</v>
      </c>
      <c r="D8544" s="8" t="s">
        <v>16</v>
      </c>
      <c r="E8544" s="8" t="s">
        <v>17</v>
      </c>
      <c r="F8544" s="9">
        <v>46126.0</v>
      </c>
      <c r="G8544" s="8" t="s">
        <v>385</v>
      </c>
      <c r="H8544" s="8" t="s">
        <v>386</v>
      </c>
      <c r="I8544" s="8" t="s">
        <v>25567</v>
      </c>
      <c r="J8544" s="8" t="s">
        <v>25568</v>
      </c>
    </row>
    <row r="8545">
      <c r="A8545" s="7">
        <v>2.0049977E7</v>
      </c>
      <c r="B8545" s="8" t="s">
        <v>776</v>
      </c>
      <c r="C8545" s="8" t="s">
        <v>25569</v>
      </c>
      <c r="D8545" s="8" t="s">
        <v>16</v>
      </c>
      <c r="E8545" s="8" t="s">
        <v>17</v>
      </c>
      <c r="F8545" s="9">
        <v>46109.0</v>
      </c>
      <c r="G8545" s="8" t="s">
        <v>361</v>
      </c>
      <c r="H8545" s="8" t="s">
        <v>362</v>
      </c>
      <c r="I8545" s="8" t="s">
        <v>25570</v>
      </c>
      <c r="J8545" s="8" t="s">
        <v>25571</v>
      </c>
    </row>
    <row r="8546">
      <c r="A8546" s="7">
        <v>2.0046559E7</v>
      </c>
      <c r="B8546" s="8" t="s">
        <v>776</v>
      </c>
      <c r="C8546" s="8" t="s">
        <v>25572</v>
      </c>
      <c r="D8546" s="8" t="s">
        <v>16</v>
      </c>
      <c r="E8546" s="8" t="s">
        <v>17</v>
      </c>
      <c r="F8546" s="9">
        <v>46108.0</v>
      </c>
      <c r="G8546" s="8" t="s">
        <v>319</v>
      </c>
      <c r="H8546" s="8" t="s">
        <v>320</v>
      </c>
      <c r="I8546" s="8" t="s">
        <v>25573</v>
      </c>
      <c r="J8546" s="8" t="s">
        <v>25574</v>
      </c>
    </row>
    <row r="8547">
      <c r="A8547" s="7">
        <v>2.0021769E7</v>
      </c>
      <c r="B8547" s="8" t="s">
        <v>776</v>
      </c>
      <c r="C8547" s="8" t="s">
        <v>25575</v>
      </c>
      <c r="D8547" s="8" t="s">
        <v>16</v>
      </c>
      <c r="E8547" s="8" t="s">
        <v>17</v>
      </c>
      <c r="F8547" s="9">
        <v>46138.0</v>
      </c>
      <c r="G8547" s="8" t="s">
        <v>1174</v>
      </c>
      <c r="H8547" s="8" t="s">
        <v>1175</v>
      </c>
      <c r="I8547" s="8" t="s">
        <v>25576</v>
      </c>
      <c r="J8547" s="8"/>
    </row>
    <row r="8548">
      <c r="A8548" s="7">
        <v>2.0039002E7</v>
      </c>
      <c r="B8548" s="8" t="s">
        <v>776</v>
      </c>
      <c r="C8548" s="8" t="s">
        <v>25577</v>
      </c>
      <c r="D8548" s="8" t="s">
        <v>16</v>
      </c>
      <c r="E8548" s="8" t="s">
        <v>17</v>
      </c>
      <c r="F8548" s="9">
        <v>46071.0</v>
      </c>
      <c r="G8548" s="8" t="s">
        <v>4045</v>
      </c>
      <c r="H8548" s="8" t="s">
        <v>4046</v>
      </c>
      <c r="I8548" s="8" t="s">
        <v>25578</v>
      </c>
      <c r="J8548" s="8" t="s">
        <v>25579</v>
      </c>
    </row>
    <row r="8549">
      <c r="A8549" s="7">
        <v>2.0064132E7</v>
      </c>
      <c r="B8549" s="8" t="s">
        <v>5041</v>
      </c>
      <c r="C8549" s="8" t="s">
        <v>25580</v>
      </c>
      <c r="D8549" s="8" t="s">
        <v>16</v>
      </c>
      <c r="E8549" s="8" t="s">
        <v>17</v>
      </c>
      <c r="F8549" s="9">
        <v>46191.0</v>
      </c>
      <c r="G8549" s="8" t="s">
        <v>1754</v>
      </c>
      <c r="H8549" s="8" t="s">
        <v>1755</v>
      </c>
      <c r="I8549" s="8" t="s">
        <v>25581</v>
      </c>
      <c r="J8549" s="8" t="s">
        <v>25582</v>
      </c>
    </row>
    <row r="8550">
      <c r="A8550" s="7">
        <v>2.0061795E7</v>
      </c>
      <c r="B8550" s="8" t="s">
        <v>5041</v>
      </c>
      <c r="C8550" s="8" t="s">
        <v>25583</v>
      </c>
      <c r="D8550" s="8" t="s">
        <v>16</v>
      </c>
      <c r="E8550" s="8" t="s">
        <v>17</v>
      </c>
      <c r="F8550" s="9">
        <v>46180.0</v>
      </c>
      <c r="G8550" s="8" t="s">
        <v>16405</v>
      </c>
      <c r="H8550" s="8" t="s">
        <v>16406</v>
      </c>
      <c r="I8550" s="8" t="s">
        <v>25584</v>
      </c>
      <c r="J8550" s="8" t="s">
        <v>25585</v>
      </c>
    </row>
    <row r="8551">
      <c r="A8551" s="7">
        <v>2.0058959E7</v>
      </c>
      <c r="B8551" s="8" t="s">
        <v>5041</v>
      </c>
      <c r="C8551" s="8" t="s">
        <v>25586</v>
      </c>
      <c r="D8551" s="8" t="s">
        <v>16</v>
      </c>
      <c r="E8551" s="8" t="s">
        <v>17</v>
      </c>
      <c r="F8551" s="9">
        <v>46142.0</v>
      </c>
      <c r="G8551" s="8" t="s">
        <v>29</v>
      </c>
      <c r="H8551" s="8" t="s">
        <v>30</v>
      </c>
      <c r="I8551" s="8" t="s">
        <v>25587</v>
      </c>
      <c r="J8551" s="8" t="s">
        <v>25588</v>
      </c>
    </row>
    <row r="8552">
      <c r="A8552" s="7">
        <v>2.0055225E7</v>
      </c>
      <c r="B8552" s="8" t="s">
        <v>5041</v>
      </c>
      <c r="C8552" s="8" t="s">
        <v>25589</v>
      </c>
      <c r="D8552" s="8" t="s">
        <v>16</v>
      </c>
      <c r="E8552" s="8" t="s">
        <v>17</v>
      </c>
      <c r="F8552" s="9">
        <v>46136.0</v>
      </c>
      <c r="G8552" s="8" t="s">
        <v>34</v>
      </c>
      <c r="H8552" s="8" t="s">
        <v>35</v>
      </c>
      <c r="I8552" s="8" t="s">
        <v>25590</v>
      </c>
      <c r="J8552" s="8" t="s">
        <v>25591</v>
      </c>
    </row>
    <row r="8553">
      <c r="A8553" s="7">
        <v>2.0052785E7</v>
      </c>
      <c r="B8553" s="8" t="s">
        <v>5041</v>
      </c>
      <c r="C8553" s="8" t="s">
        <v>25592</v>
      </c>
      <c r="D8553" s="8" t="s">
        <v>16</v>
      </c>
      <c r="E8553" s="8" t="s">
        <v>17</v>
      </c>
      <c r="F8553" s="9">
        <v>46127.0</v>
      </c>
      <c r="G8553" s="8" t="s">
        <v>25593</v>
      </c>
      <c r="H8553" s="8" t="s">
        <v>25594</v>
      </c>
      <c r="I8553" s="8" t="s">
        <v>25595</v>
      </c>
      <c r="J8553" s="8" t="s">
        <v>25596</v>
      </c>
    </row>
    <row r="8554">
      <c r="A8554" s="7">
        <v>2.0046395E7</v>
      </c>
      <c r="B8554" s="8" t="s">
        <v>5041</v>
      </c>
      <c r="C8554" s="8" t="s">
        <v>25597</v>
      </c>
      <c r="D8554" s="8" t="s">
        <v>16</v>
      </c>
      <c r="E8554" s="8" t="s">
        <v>17</v>
      </c>
      <c r="F8554" s="9">
        <v>46089.0</v>
      </c>
      <c r="G8554" s="8" t="s">
        <v>54</v>
      </c>
      <c r="H8554" s="8" t="s">
        <v>55</v>
      </c>
      <c r="I8554" s="8" t="s">
        <v>25598</v>
      </c>
      <c r="J8554" s="8" t="s">
        <v>25599</v>
      </c>
    </row>
    <row r="8555">
      <c r="A8555" s="7">
        <v>2.0068134E7</v>
      </c>
      <c r="B8555" s="8" t="s">
        <v>5041</v>
      </c>
      <c r="C8555" s="8" t="s">
        <v>25600</v>
      </c>
      <c r="D8555" s="8" t="s">
        <v>16</v>
      </c>
      <c r="E8555" s="8" t="s">
        <v>17</v>
      </c>
      <c r="F8555" s="9">
        <v>46185.0</v>
      </c>
      <c r="G8555" s="8" t="s">
        <v>1045</v>
      </c>
      <c r="H8555" s="8" t="s">
        <v>909</v>
      </c>
      <c r="I8555" s="8" t="s">
        <v>25601</v>
      </c>
      <c r="J8555" s="8" t="s">
        <v>25602</v>
      </c>
    </row>
    <row r="8556">
      <c r="A8556" s="7">
        <v>2.0068312E7</v>
      </c>
      <c r="B8556" s="8" t="s">
        <v>5041</v>
      </c>
      <c r="C8556" s="8" t="s">
        <v>25603</v>
      </c>
      <c r="D8556" s="8" t="s">
        <v>16</v>
      </c>
      <c r="E8556" s="8" t="s">
        <v>17</v>
      </c>
      <c r="F8556" s="9">
        <v>46180.0</v>
      </c>
      <c r="G8556" s="8" t="s">
        <v>59</v>
      </c>
      <c r="H8556" s="8" t="s">
        <v>60</v>
      </c>
      <c r="I8556" s="8" t="s">
        <v>25604</v>
      </c>
      <c r="J8556" s="8" t="s">
        <v>25605</v>
      </c>
    </row>
    <row r="8557">
      <c r="A8557" s="7">
        <v>2.006165E7</v>
      </c>
      <c r="B8557" s="8" t="s">
        <v>5041</v>
      </c>
      <c r="C8557" s="8" t="s">
        <v>25606</v>
      </c>
      <c r="D8557" s="8" t="s">
        <v>16</v>
      </c>
      <c r="E8557" s="8" t="s">
        <v>17</v>
      </c>
      <c r="F8557" s="9">
        <v>46178.0</v>
      </c>
      <c r="G8557" s="8" t="s">
        <v>3140</v>
      </c>
      <c r="H8557" s="8" t="s">
        <v>3141</v>
      </c>
      <c r="I8557" s="8" t="s">
        <v>25607</v>
      </c>
      <c r="J8557" s="8" t="s">
        <v>25608</v>
      </c>
    </row>
    <row r="8558">
      <c r="A8558" s="7">
        <v>2.0059727E7</v>
      </c>
      <c r="B8558" s="8" t="s">
        <v>5041</v>
      </c>
      <c r="C8558" s="8" t="s">
        <v>25609</v>
      </c>
      <c r="D8558" s="8" t="s">
        <v>16</v>
      </c>
      <c r="E8558" s="8" t="s">
        <v>17</v>
      </c>
      <c r="F8558" s="9">
        <v>46148.0</v>
      </c>
      <c r="G8558" s="8" t="s">
        <v>418</v>
      </c>
      <c r="H8558" s="8" t="s">
        <v>419</v>
      </c>
      <c r="I8558" s="8" t="s">
        <v>25610</v>
      </c>
      <c r="J8558" s="8" t="s">
        <v>25611</v>
      </c>
    </row>
    <row r="8559">
      <c r="A8559" s="7">
        <v>2.0053608E7</v>
      </c>
      <c r="B8559" s="8" t="s">
        <v>5041</v>
      </c>
      <c r="C8559" s="8" t="s">
        <v>25612</v>
      </c>
      <c r="D8559" s="8" t="s">
        <v>16</v>
      </c>
      <c r="E8559" s="8" t="s">
        <v>17</v>
      </c>
      <c r="F8559" s="9">
        <v>46138.0</v>
      </c>
      <c r="G8559" s="8" t="s">
        <v>16002</v>
      </c>
      <c r="H8559" s="8" t="s">
        <v>16003</v>
      </c>
      <c r="I8559" s="8" t="s">
        <v>25613</v>
      </c>
      <c r="J8559" s="8" t="s">
        <v>25614</v>
      </c>
    </row>
    <row r="8560">
      <c r="A8560" s="7">
        <v>2.004967E7</v>
      </c>
      <c r="B8560" s="8" t="s">
        <v>5041</v>
      </c>
      <c r="C8560" s="8" t="s">
        <v>25615</v>
      </c>
      <c r="D8560" s="8" t="s">
        <v>16</v>
      </c>
      <c r="E8560" s="8" t="s">
        <v>17</v>
      </c>
      <c r="F8560" s="9">
        <v>46110.0</v>
      </c>
      <c r="G8560" s="8" t="s">
        <v>59</v>
      </c>
      <c r="H8560" s="8" t="s">
        <v>60</v>
      </c>
      <c r="I8560" s="8" t="s">
        <v>25616</v>
      </c>
      <c r="J8560" s="8" t="s">
        <v>25617</v>
      </c>
    </row>
    <row r="8561">
      <c r="A8561" s="7">
        <v>2.0046654E7</v>
      </c>
      <c r="B8561" s="8" t="s">
        <v>5041</v>
      </c>
      <c r="C8561" s="8" t="s">
        <v>25618</v>
      </c>
      <c r="D8561" s="8" t="s">
        <v>16</v>
      </c>
      <c r="E8561" s="8" t="s">
        <v>17</v>
      </c>
      <c r="F8561" s="9">
        <v>46105.0</v>
      </c>
      <c r="G8561" s="8" t="s">
        <v>390</v>
      </c>
      <c r="H8561" s="8" t="s">
        <v>391</v>
      </c>
      <c r="I8561" s="8" t="s">
        <v>25619</v>
      </c>
      <c r="J8561" s="8" t="s">
        <v>5179</v>
      </c>
    </row>
    <row r="8562">
      <c r="A8562" s="7">
        <v>2.0063454E7</v>
      </c>
      <c r="B8562" s="8" t="s">
        <v>5041</v>
      </c>
      <c r="C8562" s="8" t="s">
        <v>25620</v>
      </c>
      <c r="D8562" s="8" t="s">
        <v>16</v>
      </c>
      <c r="E8562" s="8" t="s">
        <v>17</v>
      </c>
      <c r="F8562" s="9">
        <v>46164.0</v>
      </c>
      <c r="G8562" s="8" t="s">
        <v>282</v>
      </c>
      <c r="H8562" s="8" t="s">
        <v>3005</v>
      </c>
      <c r="I8562" s="8" t="s">
        <v>25621</v>
      </c>
      <c r="J8562" s="8" t="s">
        <v>25622</v>
      </c>
    </row>
    <row r="8563">
      <c r="A8563" s="7">
        <v>2.005406E7</v>
      </c>
      <c r="B8563" s="8" t="s">
        <v>5041</v>
      </c>
      <c r="C8563" s="8" t="s">
        <v>25623</v>
      </c>
      <c r="D8563" s="8" t="s">
        <v>16</v>
      </c>
      <c r="E8563" s="8" t="s">
        <v>17</v>
      </c>
      <c r="F8563" s="9">
        <v>46155.0</v>
      </c>
      <c r="G8563" s="8" t="s">
        <v>390</v>
      </c>
      <c r="H8563" s="8" t="s">
        <v>391</v>
      </c>
      <c r="I8563" s="8" t="s">
        <v>25624</v>
      </c>
      <c r="J8563" s="8" t="s">
        <v>25625</v>
      </c>
    </row>
    <row r="8564">
      <c r="A8564" s="7">
        <v>2.0033714E7</v>
      </c>
      <c r="B8564" s="8" t="s">
        <v>5041</v>
      </c>
      <c r="C8564" s="8" t="s">
        <v>25626</v>
      </c>
      <c r="D8564" s="8" t="s">
        <v>16</v>
      </c>
      <c r="E8564" s="8" t="s">
        <v>17</v>
      </c>
      <c r="F8564" s="9">
        <v>46055.0</v>
      </c>
      <c r="G8564" s="8" t="s">
        <v>1949</v>
      </c>
      <c r="H8564" s="8" t="s">
        <v>1950</v>
      </c>
      <c r="I8564" s="8" t="s">
        <v>25627</v>
      </c>
      <c r="J8564" s="8" t="s">
        <v>25628</v>
      </c>
    </row>
    <row r="8565">
      <c r="A8565" s="7">
        <v>2.0036576E7</v>
      </c>
      <c r="B8565" s="8" t="s">
        <v>5041</v>
      </c>
      <c r="C8565" s="8" t="s">
        <v>25629</v>
      </c>
      <c r="D8565" s="8" t="s">
        <v>16</v>
      </c>
      <c r="E8565" s="8" t="s">
        <v>17</v>
      </c>
      <c r="F8565" s="9">
        <v>46060.0</v>
      </c>
      <c r="G8565" s="8" t="s">
        <v>410</v>
      </c>
      <c r="H8565" s="8" t="s">
        <v>411</v>
      </c>
      <c r="I8565" s="8" t="s">
        <v>25630</v>
      </c>
      <c r="J8565" s="8" t="s">
        <v>25631</v>
      </c>
    </row>
    <row r="8566">
      <c r="A8566" s="7">
        <v>2.003279E7</v>
      </c>
      <c r="B8566" s="8" t="s">
        <v>5041</v>
      </c>
      <c r="C8566" s="8" t="s">
        <v>25632</v>
      </c>
      <c r="D8566" s="8" t="s">
        <v>16</v>
      </c>
      <c r="E8566" s="8" t="s">
        <v>17</v>
      </c>
      <c r="F8566" s="9">
        <v>46050.0</v>
      </c>
      <c r="G8566" s="8" t="s">
        <v>2989</v>
      </c>
      <c r="H8566" s="8" t="s">
        <v>2990</v>
      </c>
      <c r="I8566" s="8" t="s">
        <v>25633</v>
      </c>
      <c r="J8566" s="8" t="s">
        <v>25634</v>
      </c>
    </row>
    <row r="8567">
      <c r="A8567" s="7">
        <v>2.0070147E7</v>
      </c>
      <c r="B8567" s="8" t="s">
        <v>5041</v>
      </c>
      <c r="C8567" s="8" t="s">
        <v>25635</v>
      </c>
      <c r="D8567" s="8" t="s">
        <v>16</v>
      </c>
      <c r="E8567" s="8" t="s">
        <v>17</v>
      </c>
      <c r="F8567" s="9">
        <v>46192.0</v>
      </c>
      <c r="G8567" s="8" t="s">
        <v>4170</v>
      </c>
      <c r="H8567" s="8" t="s">
        <v>21788</v>
      </c>
      <c r="I8567" s="8" t="s">
        <v>25636</v>
      </c>
      <c r="J8567" s="8" t="s">
        <v>25637</v>
      </c>
    </row>
    <row r="8568">
      <c r="A8568" s="7">
        <v>2.0067473E7</v>
      </c>
      <c r="B8568" s="8" t="s">
        <v>5041</v>
      </c>
      <c r="C8568" s="8" t="s">
        <v>25638</v>
      </c>
      <c r="D8568" s="8" t="s">
        <v>16</v>
      </c>
      <c r="E8568" s="8" t="s">
        <v>17</v>
      </c>
      <c r="F8568" s="9">
        <v>46179.0</v>
      </c>
      <c r="G8568" s="8" t="s">
        <v>59</v>
      </c>
      <c r="H8568" s="8" t="s">
        <v>60</v>
      </c>
      <c r="I8568" s="8" t="s">
        <v>25639</v>
      </c>
      <c r="J8568" s="8" t="s">
        <v>25640</v>
      </c>
    </row>
    <row r="8569">
      <c r="A8569" s="7">
        <v>2.0064581E7</v>
      </c>
      <c r="B8569" s="8" t="s">
        <v>5041</v>
      </c>
      <c r="C8569" s="8" t="s">
        <v>25641</v>
      </c>
      <c r="D8569" s="8" t="s">
        <v>16</v>
      </c>
      <c r="E8569" s="8" t="s">
        <v>17</v>
      </c>
      <c r="F8569" s="9">
        <v>46187.0</v>
      </c>
      <c r="G8569" s="8" t="s">
        <v>6370</v>
      </c>
      <c r="H8569" s="8" t="s">
        <v>6371</v>
      </c>
      <c r="I8569" s="8" t="s">
        <v>25642</v>
      </c>
      <c r="J8569" s="8" t="s">
        <v>25643</v>
      </c>
    </row>
    <row r="8570">
      <c r="A8570" s="7">
        <v>2.0056564E7</v>
      </c>
      <c r="B8570" s="8" t="s">
        <v>5041</v>
      </c>
      <c r="C8570" s="8" t="s">
        <v>25644</v>
      </c>
      <c r="D8570" s="8" t="s">
        <v>16</v>
      </c>
      <c r="E8570" s="8" t="s">
        <v>17</v>
      </c>
      <c r="F8570" s="9">
        <v>46152.0</v>
      </c>
      <c r="G8570" s="8" t="s">
        <v>9982</v>
      </c>
      <c r="H8570" s="8" t="s">
        <v>9983</v>
      </c>
      <c r="I8570" s="8" t="s">
        <v>25645</v>
      </c>
      <c r="J8570" s="8" t="s">
        <v>25646</v>
      </c>
    </row>
    <row r="8571">
      <c r="A8571" s="7">
        <v>2.0057059E7</v>
      </c>
      <c r="B8571" s="8" t="s">
        <v>5041</v>
      </c>
      <c r="C8571" s="8" t="s">
        <v>25647</v>
      </c>
      <c r="D8571" s="8" t="s">
        <v>16</v>
      </c>
      <c r="E8571" s="8" t="s">
        <v>17</v>
      </c>
      <c r="F8571" s="9">
        <v>46153.0</v>
      </c>
      <c r="G8571" s="8" t="s">
        <v>688</v>
      </c>
      <c r="H8571" s="8" t="s">
        <v>689</v>
      </c>
      <c r="I8571" s="8" t="s">
        <v>25648</v>
      </c>
      <c r="J8571" s="8" t="s">
        <v>25649</v>
      </c>
    </row>
    <row r="8572">
      <c r="A8572" s="7">
        <v>2.0055242E7</v>
      </c>
      <c r="B8572" s="8" t="s">
        <v>5041</v>
      </c>
      <c r="C8572" s="8" t="s">
        <v>25650</v>
      </c>
      <c r="D8572" s="8" t="s">
        <v>16</v>
      </c>
      <c r="E8572" s="8" t="s">
        <v>17</v>
      </c>
      <c r="F8572" s="9">
        <v>46136.0</v>
      </c>
      <c r="G8572" s="8" t="s">
        <v>2094</v>
      </c>
      <c r="H8572" s="8" t="s">
        <v>2095</v>
      </c>
      <c r="I8572" s="8" t="s">
        <v>25651</v>
      </c>
      <c r="J8572" s="8" t="s">
        <v>25652</v>
      </c>
    </row>
    <row r="8573">
      <c r="A8573" s="7">
        <v>2.0051813E7</v>
      </c>
      <c r="B8573" s="8" t="s">
        <v>5041</v>
      </c>
      <c r="C8573" s="8" t="s">
        <v>25653</v>
      </c>
      <c r="D8573" s="8" t="s">
        <v>16</v>
      </c>
      <c r="E8573" s="8" t="s">
        <v>17</v>
      </c>
      <c r="F8573" s="9">
        <v>46130.0</v>
      </c>
      <c r="G8573" s="8" t="s">
        <v>2666</v>
      </c>
      <c r="H8573" s="8" t="s">
        <v>2667</v>
      </c>
      <c r="I8573" s="8" t="s">
        <v>25654</v>
      </c>
      <c r="J8573" s="8" t="s">
        <v>25655</v>
      </c>
    </row>
    <row r="8574">
      <c r="A8574" s="7">
        <v>2.0039947E7</v>
      </c>
      <c r="B8574" s="8" t="s">
        <v>5041</v>
      </c>
      <c r="C8574" s="8" t="s">
        <v>25656</v>
      </c>
      <c r="D8574" s="8" t="s">
        <v>16</v>
      </c>
      <c r="E8574" s="8" t="s">
        <v>700</v>
      </c>
      <c r="F8574" s="9">
        <v>46142.0</v>
      </c>
      <c r="G8574" s="8" t="s">
        <v>137</v>
      </c>
      <c r="H8574" s="8" t="s">
        <v>138</v>
      </c>
      <c r="I8574" s="8" t="s">
        <v>25657</v>
      </c>
      <c r="J8574" s="8" t="s">
        <v>25658</v>
      </c>
    </row>
    <row r="8575">
      <c r="A8575" s="7">
        <v>2.0039947E7</v>
      </c>
      <c r="B8575" s="8" t="s">
        <v>5041</v>
      </c>
      <c r="C8575" s="8" t="s">
        <v>25656</v>
      </c>
      <c r="D8575" s="8" t="s">
        <v>16</v>
      </c>
      <c r="E8575" s="8" t="s">
        <v>700</v>
      </c>
      <c r="F8575" s="9">
        <v>46142.0</v>
      </c>
      <c r="G8575" s="8" t="s">
        <v>137</v>
      </c>
      <c r="H8575" s="8" t="s">
        <v>138</v>
      </c>
      <c r="I8575" s="8" t="s">
        <v>25659</v>
      </c>
      <c r="J8575" s="8" t="s">
        <v>25657</v>
      </c>
    </row>
    <row r="8576">
      <c r="A8576" s="7">
        <v>2.0039947E7</v>
      </c>
      <c r="B8576" s="8" t="s">
        <v>5041</v>
      </c>
      <c r="C8576" s="8" t="s">
        <v>25656</v>
      </c>
      <c r="D8576" s="8" t="s">
        <v>16</v>
      </c>
      <c r="E8576" s="8" t="s">
        <v>700</v>
      </c>
      <c r="F8576" s="9">
        <v>46142.0</v>
      </c>
      <c r="G8576" s="8" t="s">
        <v>137</v>
      </c>
      <c r="H8576" s="8" t="s">
        <v>138</v>
      </c>
      <c r="I8576" s="8" t="s">
        <v>25660</v>
      </c>
      <c r="J8576" s="8"/>
    </row>
    <row r="8577">
      <c r="A8577" s="7">
        <v>2.0037824E7</v>
      </c>
      <c r="B8577" s="8" t="s">
        <v>5041</v>
      </c>
      <c r="C8577" s="8" t="s">
        <v>25661</v>
      </c>
      <c r="D8577" s="8" t="s">
        <v>16</v>
      </c>
      <c r="E8577" s="8" t="s">
        <v>17</v>
      </c>
      <c r="F8577" s="9">
        <v>46059.0</v>
      </c>
      <c r="G8577" s="8" t="s">
        <v>868</v>
      </c>
      <c r="H8577" s="8" t="s">
        <v>869</v>
      </c>
      <c r="I8577" s="8" t="s">
        <v>25662</v>
      </c>
      <c r="J8577" s="8" t="s">
        <v>25663</v>
      </c>
    </row>
    <row r="8578">
      <c r="A8578" s="7">
        <v>2.0037055E7</v>
      </c>
      <c r="B8578" s="8" t="s">
        <v>5041</v>
      </c>
      <c r="C8578" s="8" t="s">
        <v>25664</v>
      </c>
      <c r="D8578" s="8" t="s">
        <v>16</v>
      </c>
      <c r="E8578" s="8" t="s">
        <v>17</v>
      </c>
      <c r="F8578" s="9">
        <v>46052.0</v>
      </c>
      <c r="G8578" s="8" t="s">
        <v>923</v>
      </c>
      <c r="H8578" s="8" t="s">
        <v>71</v>
      </c>
      <c r="I8578" s="8" t="s">
        <v>25665</v>
      </c>
      <c r="J8578" s="8" t="s">
        <v>25666</v>
      </c>
    </row>
    <row r="8579">
      <c r="A8579" s="7">
        <v>2.0059391E7</v>
      </c>
      <c r="B8579" s="8" t="s">
        <v>5041</v>
      </c>
      <c r="C8579" s="8" t="s">
        <v>25667</v>
      </c>
      <c r="D8579" s="8" t="s">
        <v>16</v>
      </c>
      <c r="E8579" s="8" t="s">
        <v>17</v>
      </c>
      <c r="F8579" s="9">
        <v>46149.0</v>
      </c>
      <c r="G8579" s="8" t="s">
        <v>365</v>
      </c>
      <c r="H8579" s="8" t="s">
        <v>366</v>
      </c>
      <c r="I8579" s="8" t="s">
        <v>25668</v>
      </c>
      <c r="J8579" s="8" t="s">
        <v>25669</v>
      </c>
    </row>
    <row r="8580">
      <c r="A8580" s="7">
        <v>2.0056591E7</v>
      </c>
      <c r="B8580" s="8" t="s">
        <v>5041</v>
      </c>
      <c r="C8580" s="8" t="s">
        <v>25670</v>
      </c>
      <c r="D8580" s="8" t="s">
        <v>16</v>
      </c>
      <c r="E8580" s="8" t="s">
        <v>17</v>
      </c>
      <c r="F8580" s="9">
        <v>46152.0</v>
      </c>
      <c r="G8580" s="8" t="s">
        <v>184</v>
      </c>
      <c r="H8580" s="8" t="s">
        <v>185</v>
      </c>
      <c r="I8580" s="8" t="s">
        <v>25671</v>
      </c>
      <c r="J8580" s="8" t="s">
        <v>25672</v>
      </c>
    </row>
    <row r="8581">
      <c r="A8581" s="7">
        <v>2.0046301E7</v>
      </c>
      <c r="B8581" s="8" t="s">
        <v>5041</v>
      </c>
      <c r="C8581" s="8" t="s">
        <v>25673</v>
      </c>
      <c r="D8581" s="8" t="s">
        <v>16</v>
      </c>
      <c r="E8581" s="8" t="s">
        <v>17</v>
      </c>
      <c r="F8581" s="9">
        <v>46095.0</v>
      </c>
      <c r="G8581" s="8" t="s">
        <v>59</v>
      </c>
      <c r="H8581" s="8" t="s">
        <v>60</v>
      </c>
      <c r="I8581" s="8" t="s">
        <v>25674</v>
      </c>
      <c r="J8581" s="8" t="s">
        <v>25675</v>
      </c>
    </row>
    <row r="8582">
      <c r="A8582" s="7">
        <v>2.0045739E7</v>
      </c>
      <c r="B8582" s="8" t="s">
        <v>5041</v>
      </c>
      <c r="C8582" s="8" t="s">
        <v>25676</v>
      </c>
      <c r="D8582" s="8" t="s">
        <v>16</v>
      </c>
      <c r="E8582" s="8" t="s">
        <v>17</v>
      </c>
      <c r="F8582" s="9">
        <v>46101.0</v>
      </c>
      <c r="G8582" s="8" t="s">
        <v>59</v>
      </c>
      <c r="H8582" s="8" t="s">
        <v>60</v>
      </c>
      <c r="I8582" s="8" t="s">
        <v>25677</v>
      </c>
      <c r="J8582" s="8" t="s">
        <v>25678</v>
      </c>
    </row>
    <row r="8583">
      <c r="A8583" s="7">
        <v>2.0043107E7</v>
      </c>
      <c r="B8583" s="8" t="s">
        <v>5041</v>
      </c>
      <c r="C8583" s="8" t="s">
        <v>25679</v>
      </c>
      <c r="D8583" s="8" t="s">
        <v>16</v>
      </c>
      <c r="E8583" s="8" t="s">
        <v>17</v>
      </c>
      <c r="F8583" s="9">
        <v>46110.0</v>
      </c>
      <c r="G8583" s="8" t="s">
        <v>158</v>
      </c>
      <c r="H8583" s="8" t="s">
        <v>159</v>
      </c>
      <c r="I8583" s="8" t="s">
        <v>25680</v>
      </c>
      <c r="J8583" s="8" t="s">
        <v>25681</v>
      </c>
    </row>
    <row r="8584">
      <c r="A8584" s="7">
        <v>2.0043107E7</v>
      </c>
      <c r="B8584" s="8" t="s">
        <v>5041</v>
      </c>
      <c r="C8584" s="8" t="s">
        <v>25679</v>
      </c>
      <c r="D8584" s="8" t="s">
        <v>16</v>
      </c>
      <c r="E8584" s="8" t="s">
        <v>17</v>
      </c>
      <c r="F8584" s="9">
        <v>46110.0</v>
      </c>
      <c r="G8584" s="8" t="s">
        <v>158</v>
      </c>
      <c r="H8584" s="8" t="s">
        <v>159</v>
      </c>
      <c r="I8584" s="8" t="s">
        <v>25682</v>
      </c>
      <c r="J8584" s="8" t="s">
        <v>25680</v>
      </c>
    </row>
    <row r="8585">
      <c r="A8585" s="7">
        <v>2.0038947E7</v>
      </c>
      <c r="B8585" s="8" t="s">
        <v>5041</v>
      </c>
      <c r="C8585" s="8" t="s">
        <v>25683</v>
      </c>
      <c r="D8585" s="8" t="s">
        <v>16</v>
      </c>
      <c r="E8585" s="8" t="s">
        <v>17</v>
      </c>
      <c r="F8585" s="9">
        <v>46065.0</v>
      </c>
      <c r="G8585" s="8" t="s">
        <v>1132</v>
      </c>
      <c r="H8585" s="8" t="s">
        <v>1133</v>
      </c>
      <c r="I8585" s="8" t="s">
        <v>25684</v>
      </c>
      <c r="J8585" s="8" t="s">
        <v>25685</v>
      </c>
    </row>
    <row r="8586">
      <c r="A8586" s="7">
        <v>2.0038947E7</v>
      </c>
      <c r="B8586" s="8" t="s">
        <v>5041</v>
      </c>
      <c r="C8586" s="8" t="s">
        <v>25683</v>
      </c>
      <c r="D8586" s="8" t="s">
        <v>16</v>
      </c>
      <c r="E8586" s="8" t="s">
        <v>17</v>
      </c>
      <c r="F8586" s="9">
        <v>46065.0</v>
      </c>
      <c r="G8586" s="8" t="s">
        <v>25686</v>
      </c>
      <c r="H8586" s="8" t="s">
        <v>25687</v>
      </c>
      <c r="I8586" s="8" t="s">
        <v>25688</v>
      </c>
      <c r="J8586" s="8" t="s">
        <v>25689</v>
      </c>
    </row>
    <row r="8587">
      <c r="A8587" s="7">
        <v>2.0039138E7</v>
      </c>
      <c r="B8587" s="8" t="s">
        <v>5041</v>
      </c>
      <c r="C8587" s="8" t="s">
        <v>25690</v>
      </c>
      <c r="D8587" s="8" t="s">
        <v>16</v>
      </c>
      <c r="E8587" s="8" t="s">
        <v>17</v>
      </c>
      <c r="F8587" s="9">
        <v>46071.0</v>
      </c>
      <c r="G8587" s="8" t="s">
        <v>390</v>
      </c>
      <c r="H8587" s="8" t="s">
        <v>391</v>
      </c>
      <c r="I8587" s="8" t="s">
        <v>25691</v>
      </c>
      <c r="J8587" s="8" t="s">
        <v>25692</v>
      </c>
    </row>
    <row r="8588">
      <c r="A8588" s="7">
        <v>2.0036588E7</v>
      </c>
      <c r="B8588" s="8" t="s">
        <v>5041</v>
      </c>
      <c r="C8588" s="8" t="s">
        <v>25693</v>
      </c>
      <c r="D8588" s="8" t="s">
        <v>16</v>
      </c>
      <c r="E8588" s="8" t="s">
        <v>17</v>
      </c>
      <c r="F8588" s="9">
        <v>46054.0</v>
      </c>
      <c r="G8588" s="8" t="s">
        <v>339</v>
      </c>
      <c r="H8588" s="8" t="s">
        <v>340</v>
      </c>
      <c r="I8588" s="8" t="s">
        <v>25694</v>
      </c>
      <c r="J8588" s="8" t="s">
        <v>25695</v>
      </c>
    </row>
    <row r="8589">
      <c r="A8589" s="7">
        <v>2.0056391E7</v>
      </c>
      <c r="B8589" s="8" t="s">
        <v>5041</v>
      </c>
      <c r="C8589" s="8" t="s">
        <v>25696</v>
      </c>
      <c r="D8589" s="8" t="s">
        <v>16</v>
      </c>
      <c r="E8589" s="8" t="s">
        <v>17</v>
      </c>
      <c r="F8589" s="9">
        <v>46155.0</v>
      </c>
      <c r="G8589" s="8" t="s">
        <v>171</v>
      </c>
      <c r="H8589" s="8" t="s">
        <v>172</v>
      </c>
      <c r="I8589" s="8" t="s">
        <v>25697</v>
      </c>
      <c r="J8589" s="8" t="s">
        <v>25698</v>
      </c>
    </row>
    <row r="8590">
      <c r="A8590" s="7">
        <v>2.0055396E7</v>
      </c>
      <c r="B8590" s="8" t="s">
        <v>5041</v>
      </c>
      <c r="C8590" s="8" t="s">
        <v>25699</v>
      </c>
      <c r="D8590" s="8" t="s">
        <v>16</v>
      </c>
      <c r="E8590" s="8" t="s">
        <v>17</v>
      </c>
      <c r="F8590" s="9">
        <v>46145.0</v>
      </c>
      <c r="G8590" s="8" t="s">
        <v>1616</v>
      </c>
      <c r="H8590" s="8" t="s">
        <v>1617</v>
      </c>
      <c r="I8590" s="8" t="s">
        <v>25700</v>
      </c>
      <c r="J8590" s="8" t="s">
        <v>25701</v>
      </c>
    </row>
    <row r="8591">
      <c r="A8591" s="7">
        <v>2.0053558E7</v>
      </c>
      <c r="B8591" s="8" t="s">
        <v>5041</v>
      </c>
      <c r="C8591" s="8" t="s">
        <v>25702</v>
      </c>
      <c r="D8591" s="8" t="s">
        <v>16</v>
      </c>
      <c r="E8591" s="8" t="s">
        <v>17</v>
      </c>
      <c r="F8591" s="9">
        <v>46137.0</v>
      </c>
      <c r="G8591" s="8" t="s">
        <v>25703</v>
      </c>
      <c r="H8591" s="8" t="s">
        <v>25704</v>
      </c>
      <c r="I8591" s="8" t="s">
        <v>25705</v>
      </c>
      <c r="J8591" s="8" t="s">
        <v>25706</v>
      </c>
    </row>
    <row r="8592">
      <c r="A8592" s="7">
        <v>2.0049427E7</v>
      </c>
      <c r="B8592" s="8" t="s">
        <v>5041</v>
      </c>
      <c r="C8592" s="8" t="s">
        <v>25707</v>
      </c>
      <c r="D8592" s="8" t="s">
        <v>16</v>
      </c>
      <c r="E8592" s="8" t="s">
        <v>17</v>
      </c>
      <c r="F8592" s="9">
        <v>46117.0</v>
      </c>
      <c r="G8592" s="8" t="s">
        <v>2989</v>
      </c>
      <c r="H8592" s="8" t="s">
        <v>2990</v>
      </c>
      <c r="I8592" s="8" t="s">
        <v>25708</v>
      </c>
      <c r="J8592" s="8" t="s">
        <v>25709</v>
      </c>
    </row>
    <row r="8593">
      <c r="A8593" s="7">
        <v>2.0048135E7</v>
      </c>
      <c r="B8593" s="8" t="s">
        <v>5041</v>
      </c>
      <c r="C8593" s="8" t="s">
        <v>25710</v>
      </c>
      <c r="D8593" s="8" t="s">
        <v>16</v>
      </c>
      <c r="E8593" s="8" t="s">
        <v>17</v>
      </c>
      <c r="F8593" s="9">
        <v>46143.0</v>
      </c>
      <c r="G8593" s="8" t="s">
        <v>6228</v>
      </c>
      <c r="H8593" s="8" t="s">
        <v>6229</v>
      </c>
      <c r="I8593" s="8" t="s">
        <v>25711</v>
      </c>
      <c r="J8593" s="8"/>
    </row>
    <row r="8594">
      <c r="A8594" s="7">
        <v>2.0048135E7</v>
      </c>
      <c r="B8594" s="8" t="s">
        <v>5041</v>
      </c>
      <c r="C8594" s="8" t="s">
        <v>25710</v>
      </c>
      <c r="D8594" s="8" t="s">
        <v>16</v>
      </c>
      <c r="E8594" s="8" t="s">
        <v>17</v>
      </c>
      <c r="F8594" s="9">
        <v>46143.0</v>
      </c>
      <c r="G8594" s="8" t="s">
        <v>6228</v>
      </c>
      <c r="H8594" s="8" t="s">
        <v>6229</v>
      </c>
      <c r="I8594" s="8" t="s">
        <v>25712</v>
      </c>
      <c r="J8594" s="8"/>
    </row>
    <row r="8595">
      <c r="A8595" s="7">
        <v>2.0046907E7</v>
      </c>
      <c r="B8595" s="8" t="s">
        <v>5041</v>
      </c>
      <c r="C8595" s="8" t="s">
        <v>25713</v>
      </c>
      <c r="D8595" s="8" t="s">
        <v>16</v>
      </c>
      <c r="E8595" s="8" t="s">
        <v>17</v>
      </c>
      <c r="F8595" s="9">
        <v>46110.0</v>
      </c>
      <c r="G8595" s="8" t="s">
        <v>436</v>
      </c>
      <c r="H8595" s="8" t="s">
        <v>437</v>
      </c>
      <c r="I8595" s="8" t="s">
        <v>25714</v>
      </c>
      <c r="J8595" s="8" t="s">
        <v>25715</v>
      </c>
    </row>
    <row r="8596">
      <c r="A8596" s="7">
        <v>2.0037602E7</v>
      </c>
      <c r="B8596" s="8" t="s">
        <v>5041</v>
      </c>
      <c r="C8596" s="8" t="s">
        <v>25716</v>
      </c>
      <c r="D8596" s="8" t="s">
        <v>16</v>
      </c>
      <c r="E8596" s="8" t="s">
        <v>17</v>
      </c>
      <c r="F8596" s="9">
        <v>46054.0</v>
      </c>
      <c r="G8596" s="8" t="s">
        <v>800</v>
      </c>
      <c r="H8596" s="8" t="s">
        <v>801</v>
      </c>
      <c r="I8596" s="8" t="s">
        <v>25717</v>
      </c>
      <c r="J8596" s="8" t="s">
        <v>25718</v>
      </c>
    </row>
    <row r="8597">
      <c r="A8597" s="7">
        <v>2.0037036E7</v>
      </c>
      <c r="B8597" s="8" t="s">
        <v>5041</v>
      </c>
      <c r="C8597" s="8" t="s">
        <v>25719</v>
      </c>
      <c r="D8597" s="8" t="s">
        <v>16</v>
      </c>
      <c r="E8597" s="8" t="s">
        <v>17</v>
      </c>
      <c r="F8597" s="9">
        <v>46051.0</v>
      </c>
      <c r="G8597" s="8" t="s">
        <v>6399</v>
      </c>
      <c r="H8597" s="8" t="s">
        <v>120</v>
      </c>
      <c r="I8597" s="8" t="s">
        <v>25720</v>
      </c>
      <c r="J8597" s="8" t="s">
        <v>25721</v>
      </c>
    </row>
    <row r="8598">
      <c r="A8598" s="7">
        <v>2.0035223E7</v>
      </c>
      <c r="B8598" s="8" t="s">
        <v>5041</v>
      </c>
      <c r="C8598" s="8" t="s">
        <v>25722</v>
      </c>
      <c r="D8598" s="8" t="s">
        <v>16</v>
      </c>
      <c r="E8598" s="8" t="s">
        <v>17</v>
      </c>
      <c r="F8598" s="9">
        <v>46048.0</v>
      </c>
      <c r="G8598" s="8" t="s">
        <v>273</v>
      </c>
      <c r="H8598" s="8" t="s">
        <v>274</v>
      </c>
      <c r="I8598" s="8" t="s">
        <v>25723</v>
      </c>
      <c r="J8598" s="8" t="s">
        <v>25724</v>
      </c>
    </row>
    <row r="8599">
      <c r="A8599" s="7">
        <v>2.0065029E7</v>
      </c>
      <c r="B8599" s="8" t="s">
        <v>5041</v>
      </c>
      <c r="C8599" s="8" t="s">
        <v>25725</v>
      </c>
      <c r="D8599" s="8" t="s">
        <v>16</v>
      </c>
      <c r="E8599" s="8" t="s">
        <v>17</v>
      </c>
      <c r="F8599" s="9">
        <v>46188.0</v>
      </c>
      <c r="G8599" s="8" t="s">
        <v>6936</v>
      </c>
      <c r="H8599" s="8" t="s">
        <v>6937</v>
      </c>
      <c r="I8599" s="8" t="s">
        <v>25726</v>
      </c>
      <c r="J8599" s="8" t="s">
        <v>25727</v>
      </c>
    </row>
    <row r="8600">
      <c r="A8600" s="7">
        <v>2.0064207E7</v>
      </c>
      <c r="B8600" s="8" t="s">
        <v>5041</v>
      </c>
      <c r="C8600" s="8" t="s">
        <v>25728</v>
      </c>
      <c r="D8600" s="8" t="s">
        <v>16</v>
      </c>
      <c r="E8600" s="8" t="s">
        <v>17</v>
      </c>
      <c r="F8600" s="9">
        <v>46187.0</v>
      </c>
      <c r="G8600" s="8" t="s">
        <v>25729</v>
      </c>
      <c r="H8600" s="8" t="s">
        <v>25730</v>
      </c>
      <c r="I8600" s="8" t="s">
        <v>25731</v>
      </c>
      <c r="J8600" s="8" t="s">
        <v>25732</v>
      </c>
    </row>
    <row r="8601">
      <c r="A8601" s="7">
        <v>2.0061671E7</v>
      </c>
      <c r="B8601" s="8" t="s">
        <v>5041</v>
      </c>
      <c r="C8601" s="8" t="s">
        <v>25733</v>
      </c>
      <c r="D8601" s="8" t="s">
        <v>16</v>
      </c>
      <c r="E8601" s="8" t="s">
        <v>17</v>
      </c>
      <c r="F8601" s="9">
        <v>46154.0</v>
      </c>
      <c r="G8601" s="8" t="s">
        <v>3088</v>
      </c>
      <c r="H8601" s="8" t="s">
        <v>3089</v>
      </c>
      <c r="I8601" s="8" t="s">
        <v>25734</v>
      </c>
      <c r="J8601" s="8" t="s">
        <v>25735</v>
      </c>
    </row>
    <row r="8602">
      <c r="A8602" s="7">
        <v>2.0060256E7</v>
      </c>
      <c r="B8602" s="8" t="s">
        <v>5041</v>
      </c>
      <c r="C8602" s="8" t="s">
        <v>25736</v>
      </c>
      <c r="D8602" s="8" t="s">
        <v>16</v>
      </c>
      <c r="E8602" s="8" t="s">
        <v>17</v>
      </c>
      <c r="F8602" s="9">
        <v>46153.0</v>
      </c>
      <c r="G8602" s="8" t="s">
        <v>277</v>
      </c>
      <c r="H8602" s="8" t="s">
        <v>278</v>
      </c>
      <c r="I8602" s="8" t="s">
        <v>25737</v>
      </c>
      <c r="J8602" s="8" t="s">
        <v>25738</v>
      </c>
    </row>
    <row r="8603">
      <c r="A8603" s="7">
        <v>2.0053047E7</v>
      </c>
      <c r="B8603" s="8" t="s">
        <v>5041</v>
      </c>
      <c r="C8603" s="8" t="s">
        <v>25739</v>
      </c>
      <c r="D8603" s="8" t="s">
        <v>16</v>
      </c>
      <c r="E8603" s="8" t="s">
        <v>17</v>
      </c>
      <c r="F8603" s="9">
        <v>46120.0</v>
      </c>
      <c r="G8603" s="8" t="s">
        <v>29</v>
      </c>
      <c r="H8603" s="8" t="s">
        <v>30</v>
      </c>
      <c r="I8603" s="8" t="s">
        <v>25740</v>
      </c>
      <c r="J8603" s="8" t="s">
        <v>25741</v>
      </c>
    </row>
    <row r="8604">
      <c r="A8604" s="7">
        <v>2.0051967E7</v>
      </c>
      <c r="B8604" s="8" t="s">
        <v>5041</v>
      </c>
      <c r="C8604" s="8" t="s">
        <v>25742</v>
      </c>
      <c r="D8604" s="8" t="s">
        <v>16</v>
      </c>
      <c r="E8604" s="8" t="s">
        <v>17</v>
      </c>
      <c r="F8604" s="9">
        <v>46135.0</v>
      </c>
      <c r="G8604" s="8" t="s">
        <v>390</v>
      </c>
      <c r="H8604" s="8" t="s">
        <v>391</v>
      </c>
      <c r="I8604" s="8" t="s">
        <v>25743</v>
      </c>
      <c r="J8604" s="8" t="s">
        <v>25744</v>
      </c>
    </row>
    <row r="8605">
      <c r="A8605" s="7">
        <v>2.0051182E7</v>
      </c>
      <c r="B8605" s="8" t="s">
        <v>5041</v>
      </c>
      <c r="C8605" s="8" t="s">
        <v>25745</v>
      </c>
      <c r="D8605" s="8" t="s">
        <v>16</v>
      </c>
      <c r="E8605" s="8" t="s">
        <v>17</v>
      </c>
      <c r="F8605" s="9">
        <v>46108.0</v>
      </c>
      <c r="G8605" s="8" t="s">
        <v>5030</v>
      </c>
      <c r="H8605" s="8" t="s">
        <v>44</v>
      </c>
      <c r="I8605" s="8" t="s">
        <v>25746</v>
      </c>
      <c r="J8605" s="8" t="s">
        <v>25747</v>
      </c>
    </row>
    <row r="8606">
      <c r="A8606" s="7">
        <v>2.0049424E7</v>
      </c>
      <c r="B8606" s="8" t="s">
        <v>5041</v>
      </c>
      <c r="C8606" s="8" t="s">
        <v>25748</v>
      </c>
      <c r="D8606" s="8" t="s">
        <v>16</v>
      </c>
      <c r="E8606" s="8" t="s">
        <v>17</v>
      </c>
      <c r="F8606" s="9">
        <v>46104.0</v>
      </c>
      <c r="G8606" s="8" t="s">
        <v>365</v>
      </c>
      <c r="H8606" s="8" t="s">
        <v>366</v>
      </c>
      <c r="I8606" s="8" t="s">
        <v>25749</v>
      </c>
      <c r="J8606" s="8" t="s">
        <v>25750</v>
      </c>
    </row>
    <row r="8607">
      <c r="A8607" s="7">
        <v>2.0046989E7</v>
      </c>
      <c r="B8607" s="8" t="s">
        <v>5041</v>
      </c>
      <c r="C8607" s="8" t="s">
        <v>25751</v>
      </c>
      <c r="D8607" s="8" t="s">
        <v>16</v>
      </c>
      <c r="E8607" s="8" t="s">
        <v>17</v>
      </c>
      <c r="F8607" s="9">
        <v>46113.0</v>
      </c>
      <c r="G8607" s="8" t="s">
        <v>1085</v>
      </c>
      <c r="H8607" s="8" t="s">
        <v>1086</v>
      </c>
      <c r="I8607" s="8" t="s">
        <v>25752</v>
      </c>
      <c r="J8607" s="8" t="s">
        <v>25753</v>
      </c>
    </row>
    <row r="8608">
      <c r="A8608" s="7">
        <v>2.0033999E7</v>
      </c>
      <c r="B8608" s="8" t="s">
        <v>5041</v>
      </c>
      <c r="C8608" s="8" t="s">
        <v>25754</v>
      </c>
      <c r="D8608" s="8" t="s">
        <v>16</v>
      </c>
      <c r="E8608" s="8" t="s">
        <v>17</v>
      </c>
      <c r="F8608" s="9">
        <v>46054.0</v>
      </c>
      <c r="G8608" s="8" t="s">
        <v>390</v>
      </c>
      <c r="H8608" s="8" t="s">
        <v>391</v>
      </c>
      <c r="I8608" s="8" t="s">
        <v>25755</v>
      </c>
      <c r="J8608" s="8" t="s">
        <v>25756</v>
      </c>
    </row>
    <row r="8609">
      <c r="A8609" s="7">
        <v>2.007018E7</v>
      </c>
      <c r="B8609" s="8" t="s">
        <v>5041</v>
      </c>
      <c r="C8609" s="8" t="s">
        <v>25757</v>
      </c>
      <c r="D8609" s="8" t="s">
        <v>16</v>
      </c>
      <c r="E8609" s="8" t="s">
        <v>17</v>
      </c>
      <c r="F8609" s="9">
        <v>46187.0</v>
      </c>
      <c r="G8609" s="8" t="s">
        <v>4850</v>
      </c>
      <c r="H8609" s="8" t="s">
        <v>4851</v>
      </c>
      <c r="I8609" s="8" t="s">
        <v>25758</v>
      </c>
      <c r="J8609" s="8" t="s">
        <v>25759</v>
      </c>
    </row>
    <row r="8610">
      <c r="A8610" s="7">
        <v>2.0063125E7</v>
      </c>
      <c r="B8610" s="8" t="s">
        <v>5041</v>
      </c>
      <c r="C8610" s="8" t="s">
        <v>25760</v>
      </c>
      <c r="D8610" s="8" t="s">
        <v>16</v>
      </c>
      <c r="E8610" s="8" t="s">
        <v>17</v>
      </c>
      <c r="F8610" s="9">
        <v>46182.0</v>
      </c>
      <c r="G8610" s="8" t="s">
        <v>158</v>
      </c>
      <c r="H8610" s="8" t="s">
        <v>159</v>
      </c>
      <c r="I8610" s="8" t="s">
        <v>25761</v>
      </c>
      <c r="J8610" s="8" t="s">
        <v>25762</v>
      </c>
    </row>
    <row r="8611">
      <c r="A8611" s="7">
        <v>2.0056123E7</v>
      </c>
      <c r="B8611" s="8" t="s">
        <v>5041</v>
      </c>
      <c r="C8611" s="8" t="s">
        <v>25763</v>
      </c>
      <c r="D8611" s="8" t="s">
        <v>16</v>
      </c>
      <c r="E8611" s="8" t="s">
        <v>17</v>
      </c>
      <c r="F8611" s="9">
        <v>46149.0</v>
      </c>
      <c r="G8611" s="8" t="s">
        <v>158</v>
      </c>
      <c r="H8611" s="8" t="s">
        <v>159</v>
      </c>
      <c r="I8611" s="8" t="s">
        <v>25764</v>
      </c>
      <c r="J8611" s="8" t="s">
        <v>25765</v>
      </c>
    </row>
    <row r="8612">
      <c r="A8612" s="7">
        <v>2.0041188E7</v>
      </c>
      <c r="B8612" s="8" t="s">
        <v>5041</v>
      </c>
      <c r="C8612" s="8" t="s">
        <v>25766</v>
      </c>
      <c r="D8612" s="8" t="s">
        <v>16</v>
      </c>
      <c r="E8612" s="8" t="s">
        <v>17</v>
      </c>
      <c r="F8612" s="9">
        <v>46070.0</v>
      </c>
      <c r="G8612" s="8" t="s">
        <v>1431</v>
      </c>
      <c r="H8612" s="8" t="s">
        <v>1432</v>
      </c>
      <c r="I8612" s="8" t="s">
        <v>25767</v>
      </c>
      <c r="J8612" s="8" t="s">
        <v>25768</v>
      </c>
    </row>
    <row r="8613">
      <c r="A8613" s="7">
        <v>2.0040864E7</v>
      </c>
      <c r="B8613" s="8" t="s">
        <v>5041</v>
      </c>
      <c r="C8613" s="8" t="s">
        <v>25769</v>
      </c>
      <c r="D8613" s="8" t="s">
        <v>16</v>
      </c>
      <c r="E8613" s="8" t="s">
        <v>17</v>
      </c>
      <c r="F8613" s="9">
        <v>46077.0</v>
      </c>
      <c r="G8613" s="8" t="s">
        <v>410</v>
      </c>
      <c r="H8613" s="8" t="s">
        <v>411</v>
      </c>
      <c r="I8613" s="8" t="s">
        <v>25770</v>
      </c>
      <c r="J8613" s="8" t="s">
        <v>25771</v>
      </c>
    </row>
    <row r="8614">
      <c r="A8614" s="7">
        <v>2.0040025E7</v>
      </c>
      <c r="B8614" s="8" t="s">
        <v>5041</v>
      </c>
      <c r="C8614" s="8" t="s">
        <v>25772</v>
      </c>
      <c r="D8614" s="8" t="s">
        <v>16</v>
      </c>
      <c r="E8614" s="8" t="s">
        <v>17</v>
      </c>
      <c r="F8614" s="9">
        <v>46069.0</v>
      </c>
      <c r="G8614" s="8" t="s">
        <v>352</v>
      </c>
      <c r="H8614" s="8" t="s">
        <v>353</v>
      </c>
      <c r="I8614" s="8" t="s">
        <v>25773</v>
      </c>
      <c r="J8614" s="8" t="s">
        <v>25774</v>
      </c>
    </row>
    <row r="8615">
      <c r="A8615" s="7">
        <v>2.0039357E7</v>
      </c>
      <c r="B8615" s="8" t="s">
        <v>5041</v>
      </c>
      <c r="C8615" s="8" t="s">
        <v>25775</v>
      </c>
      <c r="D8615" s="8" t="s">
        <v>16</v>
      </c>
      <c r="E8615" s="8" t="s">
        <v>17</v>
      </c>
      <c r="F8615" s="9">
        <v>46081.0</v>
      </c>
      <c r="G8615" s="8" t="s">
        <v>1813</v>
      </c>
      <c r="H8615" s="8" t="s">
        <v>1814</v>
      </c>
      <c r="I8615" s="8" t="s">
        <v>25776</v>
      </c>
      <c r="J8615" s="8" t="s">
        <v>25777</v>
      </c>
    </row>
    <row r="8616">
      <c r="A8616" s="7">
        <v>2.0035434E7</v>
      </c>
      <c r="B8616" s="8" t="s">
        <v>5041</v>
      </c>
      <c r="C8616" s="8" t="s">
        <v>25778</v>
      </c>
      <c r="D8616" s="8" t="s">
        <v>16</v>
      </c>
      <c r="E8616" s="8" t="s">
        <v>17</v>
      </c>
      <c r="F8616" s="9">
        <v>46044.0</v>
      </c>
      <c r="G8616" s="8" t="s">
        <v>5030</v>
      </c>
      <c r="H8616" s="8" t="s">
        <v>44</v>
      </c>
      <c r="I8616" s="8" t="s">
        <v>25779</v>
      </c>
      <c r="J8616" s="8" t="s">
        <v>25780</v>
      </c>
    </row>
    <row r="8617">
      <c r="A8617" s="7">
        <v>2.0063769E7</v>
      </c>
      <c r="B8617" s="8" t="s">
        <v>5041</v>
      </c>
      <c r="C8617" s="8" t="s">
        <v>25781</v>
      </c>
      <c r="D8617" s="8" t="s">
        <v>16</v>
      </c>
      <c r="E8617" s="8" t="s">
        <v>17</v>
      </c>
      <c r="F8617" s="9">
        <v>46187.0</v>
      </c>
      <c r="G8617" s="8" t="s">
        <v>12295</v>
      </c>
      <c r="H8617" s="8" t="s">
        <v>12296</v>
      </c>
      <c r="I8617" s="8" t="s">
        <v>25782</v>
      </c>
      <c r="J8617" s="8" t="s">
        <v>25783</v>
      </c>
    </row>
    <row r="8618">
      <c r="A8618" s="7">
        <v>2.006159E7</v>
      </c>
      <c r="B8618" s="8" t="s">
        <v>5041</v>
      </c>
      <c r="C8618" s="8" t="s">
        <v>25784</v>
      </c>
      <c r="D8618" s="8" t="s">
        <v>16</v>
      </c>
      <c r="E8618" s="8" t="s">
        <v>17</v>
      </c>
      <c r="F8618" s="9">
        <v>46182.0</v>
      </c>
      <c r="G8618" s="8" t="s">
        <v>184</v>
      </c>
      <c r="H8618" s="8" t="s">
        <v>185</v>
      </c>
      <c r="I8618" s="8" t="s">
        <v>25785</v>
      </c>
      <c r="J8618" s="8" t="s">
        <v>25786</v>
      </c>
    </row>
    <row r="8619">
      <c r="A8619" s="7">
        <v>2.0061211E7</v>
      </c>
      <c r="B8619" s="8" t="s">
        <v>5041</v>
      </c>
      <c r="C8619" s="8" t="s">
        <v>25787</v>
      </c>
      <c r="D8619" s="8" t="s">
        <v>16</v>
      </c>
      <c r="E8619" s="8" t="s">
        <v>17</v>
      </c>
      <c r="F8619" s="9">
        <v>46155.0</v>
      </c>
      <c r="G8619" s="8" t="s">
        <v>365</v>
      </c>
      <c r="H8619" s="8" t="s">
        <v>366</v>
      </c>
      <c r="I8619" s="8" t="s">
        <v>25788</v>
      </c>
      <c r="J8619" s="8" t="s">
        <v>25789</v>
      </c>
    </row>
    <row r="8620">
      <c r="A8620" s="7">
        <v>2.0056867E7</v>
      </c>
      <c r="B8620" s="8" t="s">
        <v>5041</v>
      </c>
      <c r="C8620" s="8" t="s">
        <v>25790</v>
      </c>
      <c r="D8620" s="8" t="s">
        <v>16</v>
      </c>
      <c r="E8620" s="8" t="s">
        <v>17</v>
      </c>
      <c r="F8620" s="9">
        <v>46156.0</v>
      </c>
      <c r="G8620" s="8" t="s">
        <v>3532</v>
      </c>
      <c r="H8620" s="8" t="s">
        <v>3533</v>
      </c>
      <c r="I8620" s="8" t="s">
        <v>25791</v>
      </c>
      <c r="J8620" s="8" t="s">
        <v>25792</v>
      </c>
    </row>
    <row r="8621">
      <c r="A8621" s="7">
        <v>2.0037964E7</v>
      </c>
      <c r="B8621" s="8" t="s">
        <v>5041</v>
      </c>
      <c r="C8621" s="8" t="s">
        <v>25793</v>
      </c>
      <c r="D8621" s="8" t="s">
        <v>16</v>
      </c>
      <c r="E8621" s="8" t="s">
        <v>17</v>
      </c>
      <c r="F8621" s="9">
        <v>46076.0</v>
      </c>
      <c r="G8621" s="8" t="s">
        <v>390</v>
      </c>
      <c r="H8621" s="8" t="s">
        <v>391</v>
      </c>
      <c r="I8621" s="8" t="s">
        <v>25794</v>
      </c>
      <c r="J8621" s="8" t="s">
        <v>25795</v>
      </c>
    </row>
    <row r="8622">
      <c r="A8622" s="7">
        <v>2.0037964E7</v>
      </c>
      <c r="B8622" s="8" t="s">
        <v>5041</v>
      </c>
      <c r="C8622" s="8" t="s">
        <v>25796</v>
      </c>
      <c r="D8622" s="8" t="s">
        <v>16</v>
      </c>
      <c r="E8622" s="8" t="s">
        <v>17</v>
      </c>
      <c r="F8622" s="9">
        <v>46091.0</v>
      </c>
      <c r="G8622" s="8" t="s">
        <v>390</v>
      </c>
      <c r="H8622" s="8" t="s">
        <v>391</v>
      </c>
      <c r="I8622" s="8" t="s">
        <v>25797</v>
      </c>
      <c r="J8622" s="8" t="s">
        <v>25795</v>
      </c>
    </row>
    <row r="8623">
      <c r="A8623" s="7">
        <v>2.0037964E7</v>
      </c>
      <c r="B8623" s="8" t="s">
        <v>5041</v>
      </c>
      <c r="C8623" s="8" t="s">
        <v>25798</v>
      </c>
      <c r="D8623" s="8" t="s">
        <v>16</v>
      </c>
      <c r="E8623" s="8" t="s">
        <v>17</v>
      </c>
      <c r="F8623" s="9">
        <v>46119.0</v>
      </c>
      <c r="G8623" s="8" t="s">
        <v>390</v>
      </c>
      <c r="H8623" s="8" t="s">
        <v>391</v>
      </c>
      <c r="I8623" s="8" t="s">
        <v>25799</v>
      </c>
      <c r="J8623" s="8" t="s">
        <v>25795</v>
      </c>
    </row>
    <row r="8624">
      <c r="A8624" s="7">
        <v>2.0037964E7</v>
      </c>
      <c r="B8624" s="8" t="s">
        <v>5041</v>
      </c>
      <c r="C8624" s="8" t="s">
        <v>25800</v>
      </c>
      <c r="D8624" s="8" t="s">
        <v>16</v>
      </c>
      <c r="E8624" s="8" t="s">
        <v>17</v>
      </c>
      <c r="F8624" s="9">
        <v>46182.0</v>
      </c>
      <c r="G8624" s="8" t="s">
        <v>137</v>
      </c>
      <c r="H8624" s="8" t="s">
        <v>138</v>
      </c>
      <c r="I8624" s="8" t="s">
        <v>25801</v>
      </c>
      <c r="J8624" s="8" t="s">
        <v>25795</v>
      </c>
    </row>
    <row r="8625">
      <c r="A8625" s="7">
        <v>2.0061093E7</v>
      </c>
      <c r="B8625" s="8" t="s">
        <v>5041</v>
      </c>
      <c r="C8625" s="8" t="s">
        <v>25802</v>
      </c>
      <c r="D8625" s="8" t="s">
        <v>16</v>
      </c>
      <c r="E8625" s="8" t="s">
        <v>17</v>
      </c>
      <c r="F8625" s="9">
        <v>46180.0</v>
      </c>
      <c r="G8625" s="8" t="s">
        <v>1480</v>
      </c>
      <c r="H8625" s="8" t="s">
        <v>1481</v>
      </c>
      <c r="I8625" s="8" t="s">
        <v>25803</v>
      </c>
      <c r="J8625" s="8" t="s">
        <v>25804</v>
      </c>
    </row>
    <row r="8626">
      <c r="A8626" s="7">
        <v>2.0040171E7</v>
      </c>
      <c r="B8626" s="8" t="s">
        <v>5041</v>
      </c>
      <c r="C8626" s="8" t="s">
        <v>25805</v>
      </c>
      <c r="D8626" s="8" t="s">
        <v>16</v>
      </c>
      <c r="E8626" s="8" t="s">
        <v>17</v>
      </c>
      <c r="F8626" s="9">
        <v>46074.0</v>
      </c>
      <c r="G8626" s="8" t="s">
        <v>400</v>
      </c>
      <c r="H8626" s="8" t="s">
        <v>401</v>
      </c>
      <c r="I8626" s="8" t="s">
        <v>25806</v>
      </c>
      <c r="J8626" s="8" t="s">
        <v>25807</v>
      </c>
    </row>
    <row r="8627">
      <c r="A8627" s="7">
        <v>2.0048408E7</v>
      </c>
      <c r="B8627" s="8" t="s">
        <v>5041</v>
      </c>
      <c r="C8627" s="8" t="s">
        <v>25808</v>
      </c>
      <c r="D8627" s="8" t="s">
        <v>16</v>
      </c>
      <c r="E8627" s="8" t="s">
        <v>17</v>
      </c>
      <c r="F8627" s="9">
        <v>46101.0</v>
      </c>
      <c r="G8627" s="8" t="s">
        <v>109</v>
      </c>
      <c r="H8627" s="8" t="s">
        <v>110</v>
      </c>
      <c r="I8627" s="8" t="s">
        <v>25809</v>
      </c>
      <c r="J8627" s="8" t="s">
        <v>25810</v>
      </c>
    </row>
    <row r="8628">
      <c r="A8628" s="7">
        <v>2.0068696E7</v>
      </c>
      <c r="B8628" s="8" t="s">
        <v>5041</v>
      </c>
      <c r="C8628" s="8" t="s">
        <v>25811</v>
      </c>
      <c r="D8628" s="8" t="s">
        <v>16</v>
      </c>
      <c r="E8628" s="8" t="s">
        <v>17</v>
      </c>
      <c r="F8628" s="9">
        <v>46181.0</v>
      </c>
      <c r="G8628" s="8" t="s">
        <v>3012</v>
      </c>
      <c r="H8628" s="8" t="s">
        <v>3013</v>
      </c>
      <c r="I8628" s="8" t="s">
        <v>25812</v>
      </c>
      <c r="J8628" s="8" t="s">
        <v>25813</v>
      </c>
    </row>
    <row r="8629">
      <c r="A8629" s="7">
        <v>2.0064236E7</v>
      </c>
      <c r="B8629" s="8" t="s">
        <v>5041</v>
      </c>
      <c r="C8629" s="8" t="s">
        <v>25814</v>
      </c>
      <c r="D8629" s="8" t="s">
        <v>16</v>
      </c>
      <c r="E8629" s="8" t="s">
        <v>17</v>
      </c>
      <c r="F8629" s="9">
        <v>46168.0</v>
      </c>
      <c r="G8629" s="8" t="s">
        <v>153</v>
      </c>
      <c r="H8629" s="8" t="s">
        <v>154</v>
      </c>
      <c r="I8629" s="8" t="s">
        <v>25815</v>
      </c>
      <c r="J8629" s="8" t="s">
        <v>25816</v>
      </c>
    </row>
    <row r="8630">
      <c r="A8630" s="7">
        <v>2.0052004E7</v>
      </c>
      <c r="B8630" s="8" t="s">
        <v>5041</v>
      </c>
      <c r="C8630" s="8" t="s">
        <v>25817</v>
      </c>
      <c r="D8630" s="8" t="s">
        <v>16</v>
      </c>
      <c r="E8630" s="8" t="s">
        <v>17</v>
      </c>
      <c r="F8630" s="9">
        <v>46133.0</v>
      </c>
      <c r="G8630" s="8" t="s">
        <v>25818</v>
      </c>
      <c r="H8630" s="8" t="s">
        <v>25819</v>
      </c>
      <c r="I8630" s="8" t="s">
        <v>25820</v>
      </c>
      <c r="J8630" s="8" t="s">
        <v>25821</v>
      </c>
    </row>
    <row r="8631">
      <c r="A8631" s="7">
        <v>2.0051196E7</v>
      </c>
      <c r="B8631" s="8" t="s">
        <v>5041</v>
      </c>
      <c r="C8631" s="8" t="s">
        <v>25822</v>
      </c>
      <c r="D8631" s="8" t="s">
        <v>16</v>
      </c>
      <c r="E8631" s="8" t="s">
        <v>17</v>
      </c>
      <c r="F8631" s="9">
        <v>46107.0</v>
      </c>
      <c r="G8631" s="8" t="s">
        <v>6305</v>
      </c>
      <c r="H8631" s="8" t="s">
        <v>6306</v>
      </c>
      <c r="I8631" s="8" t="s">
        <v>25823</v>
      </c>
      <c r="J8631" s="8" t="s">
        <v>25824</v>
      </c>
    </row>
    <row r="8632">
      <c r="A8632" s="7">
        <v>2.0050961E7</v>
      </c>
      <c r="B8632" s="8" t="s">
        <v>5041</v>
      </c>
      <c r="C8632" s="8" t="s">
        <v>25825</v>
      </c>
      <c r="D8632" s="8" t="s">
        <v>16</v>
      </c>
      <c r="E8632" s="8" t="s">
        <v>17</v>
      </c>
      <c r="F8632" s="9">
        <v>46107.0</v>
      </c>
      <c r="G8632" s="8" t="s">
        <v>365</v>
      </c>
      <c r="H8632" s="8" t="s">
        <v>366</v>
      </c>
      <c r="I8632" s="8" t="s">
        <v>25826</v>
      </c>
      <c r="J8632" s="8" t="s">
        <v>25827</v>
      </c>
    </row>
    <row r="8633">
      <c r="A8633" s="7">
        <v>2.0044459E7</v>
      </c>
      <c r="B8633" s="8" t="s">
        <v>5041</v>
      </c>
      <c r="C8633" s="8" t="s">
        <v>25828</v>
      </c>
      <c r="D8633" s="8" t="s">
        <v>16</v>
      </c>
      <c r="E8633" s="8" t="s">
        <v>17</v>
      </c>
      <c r="F8633" s="9">
        <v>46101.0</v>
      </c>
      <c r="G8633" s="8" t="s">
        <v>390</v>
      </c>
      <c r="H8633" s="8" t="s">
        <v>391</v>
      </c>
      <c r="I8633" s="8" t="s">
        <v>25829</v>
      </c>
      <c r="J8633" s="8" t="s">
        <v>25830</v>
      </c>
    </row>
    <row r="8634">
      <c r="A8634" s="7">
        <v>2.0042304E7</v>
      </c>
      <c r="B8634" s="8" t="s">
        <v>5041</v>
      </c>
      <c r="C8634" s="8" t="s">
        <v>25831</v>
      </c>
      <c r="D8634" s="8" t="s">
        <v>16</v>
      </c>
      <c r="E8634" s="8" t="s">
        <v>17</v>
      </c>
      <c r="F8634" s="9">
        <v>46075.0</v>
      </c>
      <c r="G8634" s="8" t="s">
        <v>423</v>
      </c>
      <c r="H8634" s="8" t="s">
        <v>424</v>
      </c>
      <c r="I8634" s="8" t="s">
        <v>25832</v>
      </c>
      <c r="J8634" s="8" t="s">
        <v>25833</v>
      </c>
    </row>
    <row r="8635">
      <c r="A8635" s="7">
        <v>2.0034265E7</v>
      </c>
      <c r="B8635" s="8" t="s">
        <v>5041</v>
      </c>
      <c r="C8635" s="8" t="s">
        <v>25834</v>
      </c>
      <c r="D8635" s="8" t="s">
        <v>16</v>
      </c>
      <c r="E8635" s="8" t="s">
        <v>17</v>
      </c>
      <c r="F8635" s="9">
        <v>46054.0</v>
      </c>
      <c r="G8635" s="8" t="s">
        <v>18</v>
      </c>
      <c r="H8635" s="8" t="s">
        <v>19</v>
      </c>
      <c r="I8635" s="8" t="s">
        <v>25835</v>
      </c>
      <c r="J8635" s="8" t="s">
        <v>25836</v>
      </c>
    </row>
    <row r="8636">
      <c r="A8636" s="7">
        <v>2.005391E7</v>
      </c>
      <c r="B8636" s="8" t="s">
        <v>5041</v>
      </c>
      <c r="C8636" s="8" t="s">
        <v>25837</v>
      </c>
      <c r="D8636" s="8" t="s">
        <v>16</v>
      </c>
      <c r="E8636" s="8" t="s">
        <v>17</v>
      </c>
      <c r="F8636" s="9">
        <v>46127.0</v>
      </c>
      <c r="G8636" s="8" t="s">
        <v>908</v>
      </c>
      <c r="H8636" s="8" t="s">
        <v>909</v>
      </c>
      <c r="I8636" s="8" t="s">
        <v>25838</v>
      </c>
      <c r="J8636" s="8" t="s">
        <v>25839</v>
      </c>
    </row>
    <row r="8637">
      <c r="A8637" s="7">
        <v>2.0039066E7</v>
      </c>
      <c r="B8637" s="8" t="s">
        <v>5041</v>
      </c>
      <c r="C8637" s="8" t="s">
        <v>25840</v>
      </c>
      <c r="D8637" s="8" t="s">
        <v>16</v>
      </c>
      <c r="E8637" s="8" t="s">
        <v>17</v>
      </c>
      <c r="F8637" s="9">
        <v>46060.0</v>
      </c>
      <c r="G8637" s="8" t="s">
        <v>9061</v>
      </c>
      <c r="H8637" s="8" t="s">
        <v>9062</v>
      </c>
      <c r="I8637" s="8" t="s">
        <v>25841</v>
      </c>
      <c r="J8637" s="8" t="s">
        <v>25842</v>
      </c>
    </row>
    <row r="8638">
      <c r="A8638" s="7">
        <v>2.0030998E7</v>
      </c>
      <c r="B8638" s="8" t="s">
        <v>5041</v>
      </c>
      <c r="C8638" s="8" t="s">
        <v>25843</v>
      </c>
      <c r="D8638" s="8" t="s">
        <v>16</v>
      </c>
      <c r="E8638" s="8" t="s">
        <v>17</v>
      </c>
      <c r="F8638" s="9">
        <v>46044.0</v>
      </c>
      <c r="G8638" s="8" t="s">
        <v>1132</v>
      </c>
      <c r="H8638" s="8" t="s">
        <v>1133</v>
      </c>
      <c r="I8638" s="8" t="s">
        <v>25844</v>
      </c>
      <c r="J8638" s="8" t="s">
        <v>25845</v>
      </c>
    </row>
    <row r="8639">
      <c r="A8639" s="7">
        <v>2.0061138E7</v>
      </c>
      <c r="B8639" s="8" t="s">
        <v>5041</v>
      </c>
      <c r="C8639" s="8" t="s">
        <v>25846</v>
      </c>
      <c r="D8639" s="8" t="s">
        <v>16</v>
      </c>
      <c r="E8639" s="8" t="s">
        <v>17</v>
      </c>
      <c r="F8639" s="9">
        <v>46179.0</v>
      </c>
      <c r="G8639" s="8" t="s">
        <v>171</v>
      </c>
      <c r="H8639" s="8" t="s">
        <v>172</v>
      </c>
      <c r="I8639" s="8" t="s">
        <v>25847</v>
      </c>
      <c r="J8639" s="8" t="s">
        <v>25848</v>
      </c>
    </row>
    <row r="8640">
      <c r="A8640" s="7">
        <v>2.0047134E7</v>
      </c>
      <c r="B8640" s="8" t="s">
        <v>5041</v>
      </c>
      <c r="C8640" s="8" t="s">
        <v>25849</v>
      </c>
      <c r="D8640" s="8" t="s">
        <v>16</v>
      </c>
      <c r="E8640" s="8" t="s">
        <v>17</v>
      </c>
      <c r="F8640" s="9">
        <v>46108.0</v>
      </c>
      <c r="G8640" s="8" t="s">
        <v>352</v>
      </c>
      <c r="H8640" s="8" t="s">
        <v>353</v>
      </c>
      <c r="I8640" s="8" t="s">
        <v>25850</v>
      </c>
      <c r="J8640" s="8" t="s">
        <v>25773</v>
      </c>
    </row>
    <row r="8641">
      <c r="A8641" s="7">
        <v>2.0038825E7</v>
      </c>
      <c r="B8641" s="8" t="s">
        <v>5041</v>
      </c>
      <c r="C8641" s="8" t="s">
        <v>25851</v>
      </c>
      <c r="D8641" s="8" t="s">
        <v>16</v>
      </c>
      <c r="E8641" s="8" t="s">
        <v>17</v>
      </c>
      <c r="F8641" s="9">
        <v>46115.0</v>
      </c>
      <c r="G8641" s="8" t="s">
        <v>25852</v>
      </c>
      <c r="H8641" s="8" t="s">
        <v>25853</v>
      </c>
      <c r="I8641" s="8" t="s">
        <v>25854</v>
      </c>
      <c r="J8641" s="8" t="s">
        <v>25855</v>
      </c>
    </row>
    <row r="8642">
      <c r="A8642" s="7">
        <v>2.0039936E7</v>
      </c>
      <c r="B8642" s="8" t="s">
        <v>5041</v>
      </c>
      <c r="C8642" s="8" t="s">
        <v>25856</v>
      </c>
      <c r="D8642" s="8" t="s">
        <v>16</v>
      </c>
      <c r="E8642" s="8" t="s">
        <v>17</v>
      </c>
      <c r="F8642" s="9">
        <v>46072.0</v>
      </c>
      <c r="G8642" s="8" t="s">
        <v>25857</v>
      </c>
      <c r="H8642" s="8" t="s">
        <v>25858</v>
      </c>
      <c r="I8642" s="8" t="s">
        <v>25859</v>
      </c>
      <c r="J8642" s="8" t="s">
        <v>25860</v>
      </c>
    </row>
    <row r="8643">
      <c r="A8643" s="7">
        <v>2.0039936E7</v>
      </c>
      <c r="B8643" s="8" t="s">
        <v>5041</v>
      </c>
      <c r="C8643" s="8" t="s">
        <v>25856</v>
      </c>
      <c r="D8643" s="8" t="s">
        <v>16</v>
      </c>
      <c r="E8643" s="8" t="s">
        <v>17</v>
      </c>
      <c r="F8643" s="9">
        <v>46072.0</v>
      </c>
      <c r="G8643" s="8" t="s">
        <v>7436</v>
      </c>
      <c r="H8643" s="8" t="s">
        <v>7437</v>
      </c>
      <c r="I8643" s="8" t="s">
        <v>25861</v>
      </c>
      <c r="J8643" s="8" t="s">
        <v>25862</v>
      </c>
    </row>
    <row r="8644">
      <c r="A8644" s="7">
        <v>2.0037975E7</v>
      </c>
      <c r="B8644" s="8" t="s">
        <v>5041</v>
      </c>
      <c r="C8644" s="8" t="s">
        <v>25863</v>
      </c>
      <c r="D8644" s="8" t="s">
        <v>16</v>
      </c>
      <c r="E8644" s="8" t="s">
        <v>17</v>
      </c>
      <c r="F8644" s="9">
        <v>46054.0</v>
      </c>
      <c r="G8644" s="8" t="s">
        <v>4209</v>
      </c>
      <c r="H8644" s="8" t="s">
        <v>4210</v>
      </c>
      <c r="I8644" s="8" t="s">
        <v>25864</v>
      </c>
      <c r="J8644" s="8" t="s">
        <v>25865</v>
      </c>
    </row>
    <row r="8645">
      <c r="A8645" s="7">
        <v>2.0034788E7</v>
      </c>
      <c r="B8645" s="8" t="s">
        <v>5041</v>
      </c>
      <c r="C8645" s="8" t="s">
        <v>25866</v>
      </c>
      <c r="D8645" s="8" t="s">
        <v>16</v>
      </c>
      <c r="E8645" s="8" t="s">
        <v>17</v>
      </c>
      <c r="F8645" s="9">
        <v>46061.0</v>
      </c>
      <c r="G8645" s="8" t="s">
        <v>436</v>
      </c>
      <c r="H8645" s="8" t="s">
        <v>437</v>
      </c>
      <c r="I8645" s="8" t="s">
        <v>25867</v>
      </c>
      <c r="J8645" s="8" t="s">
        <v>25868</v>
      </c>
    </row>
    <row r="8646">
      <c r="A8646" s="7">
        <v>2.0067686E7</v>
      </c>
      <c r="B8646" s="8" t="s">
        <v>5041</v>
      </c>
      <c r="C8646" s="8" t="s">
        <v>25869</v>
      </c>
      <c r="D8646" s="8" t="s">
        <v>16</v>
      </c>
      <c r="E8646" s="8" t="s">
        <v>17</v>
      </c>
      <c r="F8646" s="9">
        <v>46180.0</v>
      </c>
      <c r="G8646" s="8" t="s">
        <v>59</v>
      </c>
      <c r="H8646" s="8" t="s">
        <v>60</v>
      </c>
      <c r="I8646" s="8" t="s">
        <v>25870</v>
      </c>
      <c r="J8646" s="8" t="s">
        <v>25871</v>
      </c>
    </row>
    <row r="8647">
      <c r="A8647" s="7">
        <v>2.0062942E7</v>
      </c>
      <c r="B8647" s="8" t="s">
        <v>5041</v>
      </c>
      <c r="C8647" s="8" t="s">
        <v>25872</v>
      </c>
      <c r="D8647" s="8" t="s">
        <v>16</v>
      </c>
      <c r="E8647" s="8" t="s">
        <v>17</v>
      </c>
      <c r="F8647" s="9">
        <v>46185.0</v>
      </c>
      <c r="G8647" s="8" t="s">
        <v>171</v>
      </c>
      <c r="H8647" s="8" t="s">
        <v>172</v>
      </c>
      <c r="I8647" s="8" t="s">
        <v>25873</v>
      </c>
      <c r="J8647" s="8" t="s">
        <v>25874</v>
      </c>
    </row>
    <row r="8648">
      <c r="A8648" s="7">
        <v>2.0058444E7</v>
      </c>
      <c r="B8648" s="8" t="s">
        <v>5041</v>
      </c>
      <c r="C8648" s="8" t="s">
        <v>25875</v>
      </c>
      <c r="D8648" s="8" t="s">
        <v>16</v>
      </c>
      <c r="E8648" s="8" t="s">
        <v>17</v>
      </c>
      <c r="F8648" s="9">
        <v>46142.0</v>
      </c>
      <c r="G8648" s="8" t="s">
        <v>3572</v>
      </c>
      <c r="H8648" s="8" t="s">
        <v>3573</v>
      </c>
      <c r="I8648" s="8" t="s">
        <v>25876</v>
      </c>
      <c r="J8648" s="8" t="s">
        <v>25877</v>
      </c>
    </row>
    <row r="8649">
      <c r="A8649" s="7">
        <v>2.0055718E7</v>
      </c>
      <c r="B8649" s="8" t="s">
        <v>5041</v>
      </c>
      <c r="C8649" s="8" t="s">
        <v>25878</v>
      </c>
      <c r="D8649" s="8" t="s">
        <v>16</v>
      </c>
      <c r="E8649" s="8" t="s">
        <v>17</v>
      </c>
      <c r="F8649" s="9">
        <v>46145.0</v>
      </c>
      <c r="G8649" s="8" t="s">
        <v>59</v>
      </c>
      <c r="H8649" s="8" t="s">
        <v>60</v>
      </c>
      <c r="I8649" s="8" t="s">
        <v>25879</v>
      </c>
      <c r="J8649" s="8" t="s">
        <v>25880</v>
      </c>
    </row>
    <row r="8650">
      <c r="A8650" s="7">
        <v>2.0054201E7</v>
      </c>
      <c r="B8650" s="8" t="s">
        <v>5041</v>
      </c>
      <c r="C8650" s="8" t="s">
        <v>25881</v>
      </c>
      <c r="D8650" s="8" t="s">
        <v>16</v>
      </c>
      <c r="E8650" s="8" t="s">
        <v>17</v>
      </c>
      <c r="F8650" s="9">
        <v>46137.0</v>
      </c>
      <c r="G8650" s="8" t="s">
        <v>171</v>
      </c>
      <c r="H8650" s="8" t="s">
        <v>172</v>
      </c>
      <c r="I8650" s="8" t="s">
        <v>25882</v>
      </c>
      <c r="J8650" s="8" t="s">
        <v>25883</v>
      </c>
    </row>
    <row r="8651">
      <c r="A8651" s="7">
        <v>2.0054413E7</v>
      </c>
      <c r="B8651" s="8" t="s">
        <v>5041</v>
      </c>
      <c r="C8651" s="8" t="s">
        <v>25884</v>
      </c>
      <c r="D8651" s="8" t="s">
        <v>16</v>
      </c>
      <c r="E8651" s="8" t="s">
        <v>17</v>
      </c>
      <c r="F8651" s="9">
        <v>46133.0</v>
      </c>
      <c r="G8651" s="8" t="s">
        <v>6778</v>
      </c>
      <c r="H8651" s="8" t="s">
        <v>6779</v>
      </c>
      <c r="I8651" s="8" t="s">
        <v>25885</v>
      </c>
      <c r="J8651" s="8" t="s">
        <v>25886</v>
      </c>
    </row>
    <row r="8652">
      <c r="A8652" s="7">
        <v>2.0052628E7</v>
      </c>
      <c r="B8652" s="8" t="s">
        <v>5041</v>
      </c>
      <c r="C8652" s="8" t="s">
        <v>25887</v>
      </c>
      <c r="D8652" s="8" t="s">
        <v>16</v>
      </c>
      <c r="E8652" s="8" t="s">
        <v>17</v>
      </c>
      <c r="F8652" s="9">
        <v>46127.0</v>
      </c>
      <c r="G8652" s="8" t="s">
        <v>148</v>
      </c>
      <c r="H8652" s="8" t="s">
        <v>149</v>
      </c>
      <c r="I8652" s="8" t="s">
        <v>25888</v>
      </c>
      <c r="J8652" s="8" t="s">
        <v>25889</v>
      </c>
    </row>
    <row r="8653">
      <c r="A8653" s="7">
        <v>2.003613E7</v>
      </c>
      <c r="B8653" s="8" t="s">
        <v>5041</v>
      </c>
      <c r="C8653" s="8" t="s">
        <v>25890</v>
      </c>
      <c r="D8653" s="8" t="s">
        <v>16</v>
      </c>
      <c r="E8653" s="8" t="s">
        <v>17</v>
      </c>
      <c r="F8653" s="9">
        <v>46057.0</v>
      </c>
      <c r="G8653" s="8" t="s">
        <v>390</v>
      </c>
      <c r="H8653" s="8" t="s">
        <v>391</v>
      </c>
      <c r="I8653" s="8" t="s">
        <v>25891</v>
      </c>
      <c r="J8653" s="8" t="s">
        <v>25658</v>
      </c>
    </row>
    <row r="8654">
      <c r="A8654" s="7">
        <v>2.0065294E7</v>
      </c>
      <c r="B8654" s="8" t="s">
        <v>5041</v>
      </c>
      <c r="C8654" s="8" t="s">
        <v>25892</v>
      </c>
      <c r="D8654" s="8" t="s">
        <v>16</v>
      </c>
      <c r="E8654" s="8" t="s">
        <v>17</v>
      </c>
      <c r="F8654" s="9">
        <v>46186.0</v>
      </c>
      <c r="G8654" s="8" t="s">
        <v>1813</v>
      </c>
      <c r="H8654" s="8" t="s">
        <v>1814</v>
      </c>
      <c r="I8654" s="8" t="s">
        <v>25893</v>
      </c>
      <c r="J8654" s="8" t="s">
        <v>25894</v>
      </c>
    </row>
    <row r="8655">
      <c r="A8655" s="7">
        <v>2.0055817E7</v>
      </c>
      <c r="B8655" s="8" t="s">
        <v>5041</v>
      </c>
      <c r="C8655" s="8" t="s">
        <v>25895</v>
      </c>
      <c r="D8655" s="8" t="s">
        <v>16</v>
      </c>
      <c r="E8655" s="8" t="s">
        <v>17</v>
      </c>
      <c r="F8655" s="9">
        <v>46145.0</v>
      </c>
      <c r="G8655" s="8" t="s">
        <v>16405</v>
      </c>
      <c r="H8655" s="8" t="s">
        <v>16406</v>
      </c>
      <c r="I8655" s="8" t="s">
        <v>25585</v>
      </c>
      <c r="J8655" s="8" t="s">
        <v>25896</v>
      </c>
    </row>
    <row r="8656">
      <c r="A8656" s="7">
        <v>2.0054868E7</v>
      </c>
      <c r="B8656" s="8" t="s">
        <v>5041</v>
      </c>
      <c r="C8656" s="8" t="s">
        <v>25897</v>
      </c>
      <c r="D8656" s="8" t="s">
        <v>16</v>
      </c>
      <c r="E8656" s="8" t="s">
        <v>17</v>
      </c>
      <c r="F8656" s="9">
        <v>46128.0</v>
      </c>
      <c r="G8656" s="8" t="s">
        <v>34</v>
      </c>
      <c r="H8656" s="8" t="s">
        <v>35</v>
      </c>
      <c r="I8656" s="8" t="s">
        <v>25898</v>
      </c>
      <c r="J8656" s="8" t="s">
        <v>25899</v>
      </c>
    </row>
    <row r="8657">
      <c r="A8657" s="7">
        <v>2.0042645E7</v>
      </c>
      <c r="B8657" s="8" t="s">
        <v>5041</v>
      </c>
      <c r="C8657" s="8" t="s">
        <v>25900</v>
      </c>
      <c r="D8657" s="8" t="s">
        <v>16</v>
      </c>
      <c r="E8657" s="8" t="s">
        <v>17</v>
      </c>
      <c r="F8657" s="9">
        <v>46092.0</v>
      </c>
      <c r="G8657" s="8" t="s">
        <v>1085</v>
      </c>
      <c r="H8657" s="8" t="s">
        <v>1086</v>
      </c>
      <c r="I8657" s="8" t="s">
        <v>25901</v>
      </c>
      <c r="J8657" s="8" t="s">
        <v>25902</v>
      </c>
    </row>
    <row r="8658">
      <c r="A8658" s="7">
        <v>2.0043095E7</v>
      </c>
      <c r="B8658" s="8" t="s">
        <v>5041</v>
      </c>
      <c r="C8658" s="8" t="s">
        <v>25903</v>
      </c>
      <c r="D8658" s="8" t="s">
        <v>16</v>
      </c>
      <c r="E8658" s="8" t="s">
        <v>17</v>
      </c>
      <c r="F8658" s="9">
        <v>46092.0</v>
      </c>
      <c r="G8658" s="8" t="s">
        <v>1508</v>
      </c>
      <c r="H8658" s="8" t="s">
        <v>1509</v>
      </c>
      <c r="I8658" s="8" t="s">
        <v>25904</v>
      </c>
      <c r="J8658" s="8" t="s">
        <v>25905</v>
      </c>
    </row>
    <row r="8659">
      <c r="A8659" s="7">
        <v>2.0042489E7</v>
      </c>
      <c r="B8659" s="8" t="s">
        <v>5041</v>
      </c>
      <c r="C8659" s="8" t="s">
        <v>25906</v>
      </c>
      <c r="D8659" s="8" t="s">
        <v>16</v>
      </c>
      <c r="E8659" s="8" t="s">
        <v>17</v>
      </c>
      <c r="F8659" s="9">
        <v>46089.0</v>
      </c>
      <c r="G8659" s="8" t="s">
        <v>601</v>
      </c>
      <c r="H8659" s="8" t="s">
        <v>602</v>
      </c>
      <c r="I8659" s="8" t="s">
        <v>25907</v>
      </c>
      <c r="J8659" s="8" t="s">
        <v>25908</v>
      </c>
    </row>
    <row r="8660">
      <c r="A8660" s="7">
        <v>2.0036817E7</v>
      </c>
      <c r="B8660" s="8" t="s">
        <v>5041</v>
      </c>
      <c r="C8660" s="8" t="s">
        <v>25909</v>
      </c>
      <c r="D8660" s="8" t="s">
        <v>16</v>
      </c>
      <c r="E8660" s="8" t="s">
        <v>17</v>
      </c>
      <c r="F8660" s="9">
        <v>46094.0</v>
      </c>
      <c r="G8660" s="8" t="s">
        <v>498</v>
      </c>
      <c r="H8660" s="8" t="s">
        <v>499</v>
      </c>
      <c r="I8660" s="8" t="s">
        <v>25910</v>
      </c>
      <c r="J8660" s="8" t="s">
        <v>25911</v>
      </c>
    </row>
    <row r="8661">
      <c r="A8661" s="7">
        <v>2.0061886E7</v>
      </c>
      <c r="B8661" s="8" t="s">
        <v>5041</v>
      </c>
      <c r="C8661" s="8" t="s">
        <v>25912</v>
      </c>
      <c r="D8661" s="8" t="s">
        <v>16</v>
      </c>
      <c r="E8661" s="8" t="s">
        <v>17</v>
      </c>
      <c r="F8661" s="9">
        <v>46159.0</v>
      </c>
      <c r="G8661" s="8" t="s">
        <v>59</v>
      </c>
      <c r="H8661" s="8" t="s">
        <v>60</v>
      </c>
      <c r="I8661" s="8" t="s">
        <v>25913</v>
      </c>
      <c r="J8661" s="8" t="s">
        <v>25914</v>
      </c>
    </row>
    <row r="8662">
      <c r="A8662" s="7">
        <v>2.0058261E7</v>
      </c>
      <c r="B8662" s="8" t="s">
        <v>5041</v>
      </c>
      <c r="C8662" s="8" t="s">
        <v>25915</v>
      </c>
      <c r="D8662" s="8" t="s">
        <v>16</v>
      </c>
      <c r="E8662" s="8" t="s">
        <v>17</v>
      </c>
      <c r="F8662" s="9">
        <v>46179.0</v>
      </c>
      <c r="G8662" s="8" t="s">
        <v>573</v>
      </c>
      <c r="H8662" s="8" t="s">
        <v>574</v>
      </c>
      <c r="I8662" s="8" t="s">
        <v>25916</v>
      </c>
      <c r="J8662" s="8" t="s">
        <v>25917</v>
      </c>
    </row>
    <row r="8663">
      <c r="A8663" s="7">
        <v>2.0055876E7</v>
      </c>
      <c r="B8663" s="8" t="s">
        <v>5041</v>
      </c>
      <c r="C8663" s="8" t="s">
        <v>25918</v>
      </c>
      <c r="D8663" s="8" t="s">
        <v>16</v>
      </c>
      <c r="E8663" s="8" t="s">
        <v>17</v>
      </c>
      <c r="F8663" s="9">
        <v>46145.0</v>
      </c>
      <c r="G8663" s="8" t="s">
        <v>361</v>
      </c>
      <c r="H8663" s="8" t="s">
        <v>362</v>
      </c>
      <c r="I8663" s="8" t="s">
        <v>25919</v>
      </c>
      <c r="J8663" s="8" t="s">
        <v>25920</v>
      </c>
    </row>
    <row r="8664">
      <c r="A8664" s="7">
        <v>2.0043951E7</v>
      </c>
      <c r="B8664" s="8" t="s">
        <v>5041</v>
      </c>
      <c r="C8664" s="8" t="s">
        <v>25921</v>
      </c>
      <c r="D8664" s="8" t="s">
        <v>16</v>
      </c>
      <c r="E8664" s="8" t="s">
        <v>17</v>
      </c>
      <c r="F8664" s="9">
        <v>46087.0</v>
      </c>
      <c r="G8664" s="8" t="s">
        <v>3088</v>
      </c>
      <c r="H8664" s="8" t="s">
        <v>3089</v>
      </c>
      <c r="I8664" s="8" t="s">
        <v>25922</v>
      </c>
      <c r="J8664" s="8" t="s">
        <v>25923</v>
      </c>
    </row>
    <row r="8665">
      <c r="A8665" s="7">
        <v>2.0045595E7</v>
      </c>
      <c r="B8665" s="8" t="s">
        <v>5041</v>
      </c>
      <c r="C8665" s="8" t="s">
        <v>25924</v>
      </c>
      <c r="D8665" s="8" t="s">
        <v>16</v>
      </c>
      <c r="E8665" s="8" t="s">
        <v>17</v>
      </c>
      <c r="F8665" s="9">
        <v>46095.0</v>
      </c>
      <c r="G8665" s="8" t="s">
        <v>59</v>
      </c>
      <c r="H8665" s="8" t="s">
        <v>60</v>
      </c>
      <c r="I8665" s="8" t="s">
        <v>25925</v>
      </c>
      <c r="J8665" s="8" t="s">
        <v>25926</v>
      </c>
    </row>
    <row r="8666">
      <c r="A8666" s="7">
        <v>2.0042174E7</v>
      </c>
      <c r="B8666" s="8" t="s">
        <v>5041</v>
      </c>
      <c r="C8666" s="8" t="s">
        <v>25927</v>
      </c>
      <c r="D8666" s="8" t="s">
        <v>16</v>
      </c>
      <c r="E8666" s="8" t="s">
        <v>17</v>
      </c>
      <c r="F8666" s="9">
        <v>46084.0</v>
      </c>
      <c r="G8666" s="8" t="s">
        <v>25928</v>
      </c>
      <c r="H8666" s="8" t="s">
        <v>25929</v>
      </c>
      <c r="I8666" s="8" t="s">
        <v>25930</v>
      </c>
      <c r="J8666" s="8" t="s">
        <v>25931</v>
      </c>
    </row>
    <row r="8667">
      <c r="A8667" s="7">
        <v>2.0043527E7</v>
      </c>
      <c r="B8667" s="8" t="s">
        <v>5041</v>
      </c>
      <c r="C8667" s="8" t="s">
        <v>25932</v>
      </c>
      <c r="D8667" s="8" t="s">
        <v>16</v>
      </c>
      <c r="E8667" s="8" t="s">
        <v>17</v>
      </c>
      <c r="F8667" s="9">
        <v>46083.0</v>
      </c>
      <c r="G8667" s="8" t="s">
        <v>195</v>
      </c>
      <c r="H8667" s="8" t="s">
        <v>196</v>
      </c>
      <c r="I8667" s="8" t="s">
        <v>25933</v>
      </c>
      <c r="J8667" s="8" t="s">
        <v>25934</v>
      </c>
    </row>
    <row r="8668">
      <c r="A8668" s="7">
        <v>2.0064399E7</v>
      </c>
      <c r="B8668" s="8" t="s">
        <v>5041</v>
      </c>
      <c r="C8668" s="8" t="s">
        <v>25935</v>
      </c>
      <c r="D8668" s="8" t="s">
        <v>16</v>
      </c>
      <c r="E8668" s="8" t="s">
        <v>17</v>
      </c>
      <c r="F8668" s="9">
        <v>46192.0</v>
      </c>
      <c r="G8668" s="8" t="s">
        <v>688</v>
      </c>
      <c r="H8668" s="8" t="s">
        <v>689</v>
      </c>
      <c r="I8668" s="8" t="s">
        <v>25936</v>
      </c>
      <c r="J8668" s="8" t="s">
        <v>25937</v>
      </c>
    </row>
    <row r="8669">
      <c r="A8669" s="7">
        <v>2.0058302E7</v>
      </c>
      <c r="B8669" s="8" t="s">
        <v>5041</v>
      </c>
      <c r="C8669" s="8" t="s">
        <v>25938</v>
      </c>
      <c r="D8669" s="8" t="s">
        <v>16</v>
      </c>
      <c r="E8669" s="8" t="s">
        <v>17</v>
      </c>
      <c r="F8669" s="9">
        <v>46181.0</v>
      </c>
      <c r="G8669" s="8" t="s">
        <v>486</v>
      </c>
      <c r="H8669" s="8" t="s">
        <v>487</v>
      </c>
      <c r="I8669" s="8" t="s">
        <v>25939</v>
      </c>
      <c r="J8669" s="8" t="s">
        <v>25940</v>
      </c>
    </row>
    <row r="8670">
      <c r="A8670" s="7">
        <v>2.005279E7</v>
      </c>
      <c r="B8670" s="8" t="s">
        <v>5041</v>
      </c>
      <c r="C8670" s="8" t="s">
        <v>25941</v>
      </c>
      <c r="D8670" s="8" t="s">
        <v>16</v>
      </c>
      <c r="E8670" s="8" t="s">
        <v>17</v>
      </c>
      <c r="F8670" s="9">
        <v>46121.0</v>
      </c>
      <c r="G8670" s="8" t="s">
        <v>59</v>
      </c>
      <c r="H8670" s="8" t="s">
        <v>60</v>
      </c>
      <c r="I8670" s="8" t="s">
        <v>25942</v>
      </c>
      <c r="J8670" s="8" t="s">
        <v>25943</v>
      </c>
    </row>
    <row r="8671">
      <c r="A8671" s="7">
        <v>2.0042966E7</v>
      </c>
      <c r="B8671" s="8" t="s">
        <v>5041</v>
      </c>
      <c r="C8671" s="8" t="s">
        <v>25944</v>
      </c>
      <c r="D8671" s="8" t="s">
        <v>16</v>
      </c>
      <c r="E8671" s="8" t="s">
        <v>17</v>
      </c>
      <c r="F8671" s="9">
        <v>46108.0</v>
      </c>
      <c r="G8671" s="8" t="s">
        <v>846</v>
      </c>
      <c r="H8671" s="8" t="s">
        <v>847</v>
      </c>
      <c r="I8671" s="8" t="s">
        <v>25945</v>
      </c>
      <c r="J8671" s="8" t="s">
        <v>25946</v>
      </c>
    </row>
    <row r="8672">
      <c r="A8672" s="7">
        <v>2.0042966E7</v>
      </c>
      <c r="B8672" s="8" t="s">
        <v>5041</v>
      </c>
      <c r="C8672" s="8" t="s">
        <v>25944</v>
      </c>
      <c r="D8672" s="8" t="s">
        <v>16</v>
      </c>
      <c r="E8672" s="8" t="s">
        <v>17</v>
      </c>
      <c r="F8672" s="9">
        <v>46108.0</v>
      </c>
      <c r="G8672" s="8" t="s">
        <v>91</v>
      </c>
      <c r="H8672" s="8" t="s">
        <v>92</v>
      </c>
      <c r="I8672" s="8" t="s">
        <v>25947</v>
      </c>
      <c r="J8672" s="8" t="s">
        <v>25948</v>
      </c>
    </row>
    <row r="8673">
      <c r="A8673" s="7">
        <v>2.0042966E7</v>
      </c>
      <c r="B8673" s="8" t="s">
        <v>5041</v>
      </c>
      <c r="C8673" s="8" t="s">
        <v>25944</v>
      </c>
      <c r="D8673" s="8" t="s">
        <v>16</v>
      </c>
      <c r="E8673" s="8" t="s">
        <v>17</v>
      </c>
      <c r="F8673" s="9">
        <v>46108.0</v>
      </c>
      <c r="G8673" s="8" t="s">
        <v>91</v>
      </c>
      <c r="H8673" s="8" t="s">
        <v>92</v>
      </c>
      <c r="I8673" s="8" t="s">
        <v>25949</v>
      </c>
      <c r="J8673" s="8" t="s">
        <v>25947</v>
      </c>
    </row>
    <row r="8674">
      <c r="A8674" s="7">
        <v>2.0045811E7</v>
      </c>
      <c r="B8674" s="8" t="s">
        <v>5041</v>
      </c>
      <c r="C8674" s="8" t="s">
        <v>25950</v>
      </c>
      <c r="D8674" s="8" t="s">
        <v>16</v>
      </c>
      <c r="E8674" s="8" t="s">
        <v>17</v>
      </c>
      <c r="F8674" s="9">
        <v>46107.0</v>
      </c>
      <c r="G8674" s="8" t="s">
        <v>826</v>
      </c>
      <c r="H8674" s="8" t="s">
        <v>827</v>
      </c>
      <c r="I8674" s="8" t="s">
        <v>25951</v>
      </c>
      <c r="J8674" s="8" t="s">
        <v>25952</v>
      </c>
    </row>
    <row r="8675">
      <c r="A8675" s="7">
        <v>2.0045811E7</v>
      </c>
      <c r="B8675" s="8" t="s">
        <v>5041</v>
      </c>
      <c r="C8675" s="8" t="s">
        <v>25950</v>
      </c>
      <c r="D8675" s="8" t="s">
        <v>16</v>
      </c>
      <c r="E8675" s="8" t="s">
        <v>17</v>
      </c>
      <c r="F8675" s="9">
        <v>46107.0</v>
      </c>
      <c r="G8675" s="8" t="s">
        <v>826</v>
      </c>
      <c r="H8675" s="8" t="s">
        <v>827</v>
      </c>
      <c r="I8675" s="8" t="s">
        <v>25953</v>
      </c>
      <c r="J8675" s="8" t="s">
        <v>25952</v>
      </c>
    </row>
    <row r="8676">
      <c r="A8676" s="7">
        <v>2.0045811E7</v>
      </c>
      <c r="B8676" s="8" t="s">
        <v>5041</v>
      </c>
      <c r="C8676" s="8" t="s">
        <v>25950</v>
      </c>
      <c r="D8676" s="8" t="s">
        <v>16</v>
      </c>
      <c r="E8676" s="8" t="s">
        <v>17</v>
      </c>
      <c r="F8676" s="9">
        <v>46107.0</v>
      </c>
      <c r="G8676" s="8" t="s">
        <v>10268</v>
      </c>
      <c r="H8676" s="8" t="s">
        <v>10269</v>
      </c>
      <c r="I8676" s="8" t="s">
        <v>25954</v>
      </c>
      <c r="J8676" s="8" t="s">
        <v>25955</v>
      </c>
    </row>
    <row r="8677">
      <c r="A8677" s="7">
        <v>2.0041589E7</v>
      </c>
      <c r="B8677" s="8" t="s">
        <v>5041</v>
      </c>
      <c r="C8677" s="8" t="s">
        <v>25956</v>
      </c>
      <c r="D8677" s="8" t="s">
        <v>16</v>
      </c>
      <c r="E8677" s="8" t="s">
        <v>17</v>
      </c>
      <c r="F8677" s="9">
        <v>46079.0</v>
      </c>
      <c r="G8677" s="8" t="s">
        <v>454</v>
      </c>
      <c r="H8677" s="8" t="s">
        <v>455</v>
      </c>
      <c r="I8677" s="8" t="s">
        <v>25957</v>
      </c>
      <c r="J8677" s="8" t="s">
        <v>25958</v>
      </c>
    </row>
    <row r="8678">
      <c r="A8678" s="7">
        <v>2.0037403E7</v>
      </c>
      <c r="B8678" s="8" t="s">
        <v>5041</v>
      </c>
      <c r="C8678" s="8" t="s">
        <v>25959</v>
      </c>
      <c r="D8678" s="8" t="s">
        <v>16</v>
      </c>
      <c r="E8678" s="8" t="s">
        <v>17</v>
      </c>
      <c r="F8678" s="9">
        <v>46062.0</v>
      </c>
      <c r="G8678" s="8" t="s">
        <v>29</v>
      </c>
      <c r="H8678" s="8" t="s">
        <v>30</v>
      </c>
      <c r="I8678" s="8" t="s">
        <v>25960</v>
      </c>
      <c r="J8678" s="8" t="s">
        <v>25961</v>
      </c>
    </row>
    <row r="8679">
      <c r="A8679" s="7">
        <v>2.0061321E7</v>
      </c>
      <c r="B8679" s="8" t="s">
        <v>5041</v>
      </c>
      <c r="C8679" s="8" t="s">
        <v>25962</v>
      </c>
      <c r="D8679" s="8" t="s">
        <v>16</v>
      </c>
      <c r="E8679" s="8" t="s">
        <v>17</v>
      </c>
      <c r="F8679" s="9">
        <v>46172.0</v>
      </c>
      <c r="G8679" s="8" t="s">
        <v>34</v>
      </c>
      <c r="H8679" s="8" t="s">
        <v>35</v>
      </c>
      <c r="I8679" s="8" t="s">
        <v>25963</v>
      </c>
      <c r="J8679" s="8" t="s">
        <v>25964</v>
      </c>
    </row>
    <row r="8680">
      <c r="A8680" s="7">
        <v>2.0050111E7</v>
      </c>
      <c r="B8680" s="8" t="s">
        <v>5041</v>
      </c>
      <c r="C8680" s="8" t="s">
        <v>25965</v>
      </c>
      <c r="D8680" s="8" t="s">
        <v>16</v>
      </c>
      <c r="E8680" s="8" t="s">
        <v>17</v>
      </c>
      <c r="F8680" s="9">
        <v>46129.0</v>
      </c>
      <c r="G8680" s="8" t="s">
        <v>171</v>
      </c>
      <c r="H8680" s="8" t="s">
        <v>172</v>
      </c>
      <c r="I8680" s="8" t="s">
        <v>25966</v>
      </c>
      <c r="J8680" s="8" t="s">
        <v>25967</v>
      </c>
    </row>
    <row r="8681">
      <c r="A8681" s="7">
        <v>2.0037742E7</v>
      </c>
      <c r="B8681" s="8" t="s">
        <v>5041</v>
      </c>
      <c r="C8681" s="8" t="s">
        <v>25968</v>
      </c>
      <c r="D8681" s="8" t="s">
        <v>16</v>
      </c>
      <c r="E8681" s="8" t="s">
        <v>17</v>
      </c>
      <c r="F8681" s="9">
        <v>46061.0</v>
      </c>
      <c r="G8681" s="8" t="s">
        <v>9749</v>
      </c>
      <c r="H8681" s="8" t="s">
        <v>9750</v>
      </c>
      <c r="I8681" s="8" t="s">
        <v>25969</v>
      </c>
      <c r="J8681" s="8" t="s">
        <v>25970</v>
      </c>
    </row>
    <row r="8682">
      <c r="A8682" s="7">
        <v>2.0034032E7</v>
      </c>
      <c r="B8682" s="8" t="s">
        <v>5041</v>
      </c>
      <c r="C8682" s="8" t="s">
        <v>25971</v>
      </c>
      <c r="D8682" s="8" t="s">
        <v>16</v>
      </c>
      <c r="E8682" s="8" t="s">
        <v>17</v>
      </c>
      <c r="F8682" s="9">
        <v>46040.0</v>
      </c>
      <c r="G8682" s="8" t="s">
        <v>1949</v>
      </c>
      <c r="H8682" s="8" t="s">
        <v>1950</v>
      </c>
      <c r="I8682" s="8" t="s">
        <v>25972</v>
      </c>
      <c r="J8682" s="8" t="s">
        <v>25973</v>
      </c>
    </row>
    <row r="8683">
      <c r="A8683" s="7">
        <v>2.0067615E7</v>
      </c>
      <c r="B8683" s="8" t="s">
        <v>5041</v>
      </c>
      <c r="C8683" s="8" t="s">
        <v>25974</v>
      </c>
      <c r="D8683" s="8" t="s">
        <v>16</v>
      </c>
      <c r="E8683" s="8" t="s">
        <v>17</v>
      </c>
      <c r="F8683" s="9">
        <v>46190.0</v>
      </c>
      <c r="G8683" s="8" t="s">
        <v>59</v>
      </c>
      <c r="H8683" s="8" t="s">
        <v>60</v>
      </c>
      <c r="I8683" s="8" t="s">
        <v>25975</v>
      </c>
      <c r="J8683" s="8" t="s">
        <v>25976</v>
      </c>
    </row>
    <row r="8684">
      <c r="A8684" s="7">
        <v>2.0061757E7</v>
      </c>
      <c r="B8684" s="8" t="s">
        <v>5041</v>
      </c>
      <c r="C8684" s="8" t="s">
        <v>25977</v>
      </c>
      <c r="D8684" s="8" t="s">
        <v>16</v>
      </c>
      <c r="E8684" s="8" t="s">
        <v>17</v>
      </c>
      <c r="F8684" s="9">
        <v>46181.0</v>
      </c>
      <c r="G8684" s="8" t="s">
        <v>12537</v>
      </c>
      <c r="H8684" s="8" t="s">
        <v>12538</v>
      </c>
      <c r="I8684" s="8" t="s">
        <v>25978</v>
      </c>
      <c r="J8684" s="8" t="s">
        <v>25979</v>
      </c>
    </row>
    <row r="8685">
      <c r="A8685" s="7">
        <v>2.0057538E7</v>
      </c>
      <c r="B8685" s="8" t="s">
        <v>5041</v>
      </c>
      <c r="C8685" s="8" t="s">
        <v>25980</v>
      </c>
      <c r="D8685" s="8" t="s">
        <v>16</v>
      </c>
      <c r="E8685" s="8" t="s">
        <v>17</v>
      </c>
      <c r="F8685" s="9">
        <v>46152.0</v>
      </c>
      <c r="G8685" s="8" t="s">
        <v>25981</v>
      </c>
      <c r="H8685" s="8" t="s">
        <v>25982</v>
      </c>
      <c r="I8685" s="8" t="s">
        <v>25983</v>
      </c>
      <c r="J8685" s="8" t="s">
        <v>25984</v>
      </c>
    </row>
    <row r="8686">
      <c r="A8686" s="7">
        <v>2.005646E7</v>
      </c>
      <c r="B8686" s="8" t="s">
        <v>5041</v>
      </c>
      <c r="C8686" s="8" t="s">
        <v>25985</v>
      </c>
      <c r="D8686" s="8" t="s">
        <v>16</v>
      </c>
      <c r="E8686" s="8" t="s">
        <v>17</v>
      </c>
      <c r="F8686" s="9">
        <v>46142.0</v>
      </c>
      <c r="G8686" s="8" t="s">
        <v>1427</v>
      </c>
      <c r="H8686" s="8" t="s">
        <v>1428</v>
      </c>
      <c r="I8686" s="8" t="s">
        <v>25986</v>
      </c>
      <c r="J8686" s="8" t="s">
        <v>25987</v>
      </c>
    </row>
    <row r="8687">
      <c r="A8687" s="7">
        <v>2.0048656E7</v>
      </c>
      <c r="B8687" s="8" t="s">
        <v>5041</v>
      </c>
      <c r="C8687" s="8" t="s">
        <v>25988</v>
      </c>
      <c r="D8687" s="8" t="s">
        <v>16</v>
      </c>
      <c r="E8687" s="8" t="s">
        <v>17</v>
      </c>
      <c r="F8687" s="9">
        <v>46112.0</v>
      </c>
      <c r="G8687" s="8" t="s">
        <v>13108</v>
      </c>
      <c r="H8687" s="8" t="s">
        <v>13109</v>
      </c>
      <c r="I8687" s="8" t="s">
        <v>25989</v>
      </c>
      <c r="J8687" s="8" t="s">
        <v>25990</v>
      </c>
    </row>
    <row r="8688">
      <c r="A8688" s="7">
        <v>2.0062509E7</v>
      </c>
      <c r="B8688" s="8" t="s">
        <v>5041</v>
      </c>
      <c r="C8688" s="8" t="s">
        <v>25991</v>
      </c>
      <c r="D8688" s="8" t="s">
        <v>16</v>
      </c>
      <c r="E8688" s="8" t="s">
        <v>17</v>
      </c>
      <c r="F8688" s="9">
        <v>46190.0</v>
      </c>
      <c r="G8688" s="8" t="s">
        <v>1813</v>
      </c>
      <c r="H8688" s="8" t="s">
        <v>1814</v>
      </c>
      <c r="I8688" s="8" t="s">
        <v>25992</v>
      </c>
      <c r="J8688" s="8" t="s">
        <v>25993</v>
      </c>
    </row>
    <row r="8689">
      <c r="A8689" s="7">
        <v>2.0055862E7</v>
      </c>
      <c r="B8689" s="8" t="s">
        <v>5041</v>
      </c>
      <c r="C8689" s="8" t="s">
        <v>25994</v>
      </c>
      <c r="D8689" s="8" t="s">
        <v>16</v>
      </c>
      <c r="E8689" s="8" t="s">
        <v>17</v>
      </c>
      <c r="F8689" s="9">
        <v>46133.0</v>
      </c>
      <c r="G8689" s="8" t="s">
        <v>59</v>
      </c>
      <c r="H8689" s="8" t="s">
        <v>60</v>
      </c>
      <c r="I8689" s="8" t="s">
        <v>25995</v>
      </c>
      <c r="J8689" s="8" t="s">
        <v>25996</v>
      </c>
    </row>
    <row r="8690">
      <c r="A8690" s="7">
        <v>2.0048146E7</v>
      </c>
      <c r="B8690" s="8" t="s">
        <v>5041</v>
      </c>
      <c r="C8690" s="8" t="s">
        <v>25997</v>
      </c>
      <c r="D8690" s="8" t="s">
        <v>16</v>
      </c>
      <c r="E8690" s="8" t="s">
        <v>17</v>
      </c>
      <c r="F8690" s="9">
        <v>46096.0</v>
      </c>
      <c r="G8690" s="8" t="s">
        <v>59</v>
      </c>
      <c r="H8690" s="8" t="s">
        <v>60</v>
      </c>
      <c r="I8690" s="8" t="s">
        <v>25998</v>
      </c>
      <c r="J8690" s="8" t="s">
        <v>25999</v>
      </c>
    </row>
    <row r="8691">
      <c r="A8691" s="7">
        <v>2.0046086E7</v>
      </c>
      <c r="B8691" s="8" t="s">
        <v>5041</v>
      </c>
      <c r="C8691" s="8" t="s">
        <v>26000</v>
      </c>
      <c r="D8691" s="8" t="s">
        <v>16</v>
      </c>
      <c r="E8691" s="8" t="s">
        <v>17</v>
      </c>
      <c r="F8691" s="9">
        <v>46107.0</v>
      </c>
      <c r="G8691" s="8" t="s">
        <v>25818</v>
      </c>
      <c r="H8691" s="8" t="s">
        <v>25819</v>
      </c>
      <c r="I8691" s="8" t="s">
        <v>26001</v>
      </c>
      <c r="J8691" s="8" t="s">
        <v>26002</v>
      </c>
    </row>
    <row r="8692">
      <c r="A8692" s="7">
        <v>2.006606E7</v>
      </c>
      <c r="B8692" s="8" t="s">
        <v>5041</v>
      </c>
      <c r="C8692" s="8" t="s">
        <v>26003</v>
      </c>
      <c r="D8692" s="8" t="s">
        <v>16</v>
      </c>
      <c r="E8692" s="8" t="s">
        <v>17</v>
      </c>
      <c r="F8692" s="9">
        <v>46169.0</v>
      </c>
      <c r="G8692" s="8" t="s">
        <v>385</v>
      </c>
      <c r="H8692" s="8" t="s">
        <v>386</v>
      </c>
      <c r="I8692" s="8" t="s">
        <v>26004</v>
      </c>
      <c r="J8692" s="8" t="s">
        <v>26005</v>
      </c>
    </row>
    <row r="8693">
      <c r="A8693" s="7">
        <v>2.005972E7</v>
      </c>
      <c r="B8693" s="8" t="s">
        <v>5041</v>
      </c>
      <c r="C8693" s="8" t="s">
        <v>26006</v>
      </c>
      <c r="D8693" s="8" t="s">
        <v>16</v>
      </c>
      <c r="E8693" s="8" t="s">
        <v>17</v>
      </c>
      <c r="F8693" s="9">
        <v>46184.0</v>
      </c>
      <c r="G8693" s="8" t="s">
        <v>410</v>
      </c>
      <c r="H8693" s="8" t="s">
        <v>411</v>
      </c>
      <c r="I8693" s="8" t="s">
        <v>26007</v>
      </c>
      <c r="J8693" s="8" t="s">
        <v>26008</v>
      </c>
    </row>
    <row r="8694">
      <c r="A8694" s="7">
        <v>2.0053413E7</v>
      </c>
      <c r="B8694" s="8" t="s">
        <v>5041</v>
      </c>
      <c r="C8694" s="8" t="s">
        <v>26009</v>
      </c>
      <c r="D8694" s="8" t="s">
        <v>16</v>
      </c>
      <c r="E8694" s="8" t="s">
        <v>17</v>
      </c>
      <c r="F8694" s="9">
        <v>46138.0</v>
      </c>
      <c r="G8694" s="8" t="s">
        <v>184</v>
      </c>
      <c r="H8694" s="8" t="s">
        <v>185</v>
      </c>
      <c r="I8694" s="8" t="s">
        <v>26010</v>
      </c>
      <c r="J8694" s="8" t="s">
        <v>26011</v>
      </c>
    </row>
    <row r="8695">
      <c r="A8695" s="7">
        <v>2.0052971E7</v>
      </c>
      <c r="B8695" s="8" t="s">
        <v>5041</v>
      </c>
      <c r="C8695" s="8" t="s">
        <v>26012</v>
      </c>
      <c r="D8695" s="8" t="s">
        <v>16</v>
      </c>
      <c r="E8695" s="8" t="s">
        <v>17</v>
      </c>
      <c r="F8695" s="9">
        <v>46137.0</v>
      </c>
      <c r="G8695" s="8" t="s">
        <v>410</v>
      </c>
      <c r="H8695" s="8" t="s">
        <v>411</v>
      </c>
      <c r="I8695" s="8" t="s">
        <v>26013</v>
      </c>
      <c r="J8695" s="8" t="s">
        <v>26014</v>
      </c>
    </row>
    <row r="8696">
      <c r="A8696" s="7">
        <v>2.0050166E7</v>
      </c>
      <c r="B8696" s="8" t="s">
        <v>5041</v>
      </c>
      <c r="C8696" s="8" t="s">
        <v>26015</v>
      </c>
      <c r="D8696" s="8" t="s">
        <v>16</v>
      </c>
      <c r="E8696" s="8" t="s">
        <v>17</v>
      </c>
      <c r="F8696" s="9">
        <v>46130.0</v>
      </c>
      <c r="G8696" s="8" t="s">
        <v>511</v>
      </c>
      <c r="H8696" s="8" t="s">
        <v>512</v>
      </c>
      <c r="I8696" s="8" t="s">
        <v>26016</v>
      </c>
      <c r="J8696" s="8" t="s">
        <v>26017</v>
      </c>
    </row>
    <row r="8697">
      <c r="A8697" s="7">
        <v>2.0039834E7</v>
      </c>
      <c r="B8697" s="8" t="s">
        <v>5041</v>
      </c>
      <c r="C8697" s="8" t="s">
        <v>26018</v>
      </c>
      <c r="D8697" s="8" t="s">
        <v>16</v>
      </c>
      <c r="E8697" s="8" t="s">
        <v>17</v>
      </c>
      <c r="F8697" s="9">
        <v>46069.0</v>
      </c>
      <c r="G8697" s="8" t="s">
        <v>1969</v>
      </c>
      <c r="H8697" s="8" t="s">
        <v>1970</v>
      </c>
      <c r="I8697" s="8" t="s">
        <v>26019</v>
      </c>
      <c r="J8697" s="8" t="s">
        <v>26020</v>
      </c>
    </row>
    <row r="8698">
      <c r="A8698" s="7">
        <v>2.003435E7</v>
      </c>
      <c r="B8698" s="8" t="s">
        <v>5041</v>
      </c>
      <c r="C8698" s="8" t="s">
        <v>26021</v>
      </c>
      <c r="D8698" s="8" t="s">
        <v>16</v>
      </c>
      <c r="E8698" s="8" t="s">
        <v>17</v>
      </c>
      <c r="F8698" s="9">
        <v>46055.0</v>
      </c>
      <c r="G8698" s="8" t="s">
        <v>361</v>
      </c>
      <c r="H8698" s="8" t="s">
        <v>362</v>
      </c>
      <c r="I8698" s="8" t="s">
        <v>26022</v>
      </c>
      <c r="J8698" s="8" t="s">
        <v>26023</v>
      </c>
    </row>
    <row r="8699">
      <c r="A8699" s="7">
        <v>2.0044253E7</v>
      </c>
      <c r="B8699" s="8" t="s">
        <v>5041</v>
      </c>
      <c r="C8699" s="8" t="s">
        <v>26024</v>
      </c>
      <c r="D8699" s="8" t="s">
        <v>16</v>
      </c>
      <c r="E8699" s="8" t="s">
        <v>17</v>
      </c>
      <c r="F8699" s="9">
        <v>46096.0</v>
      </c>
      <c r="G8699" s="8" t="s">
        <v>29</v>
      </c>
      <c r="H8699" s="8" t="s">
        <v>30</v>
      </c>
      <c r="I8699" s="8" t="s">
        <v>26025</v>
      </c>
      <c r="J8699" s="8" t="s">
        <v>26026</v>
      </c>
    </row>
    <row r="8700">
      <c r="A8700" s="7">
        <v>2.0045745E7</v>
      </c>
      <c r="B8700" s="8" t="s">
        <v>5041</v>
      </c>
      <c r="C8700" s="8" t="s">
        <v>26027</v>
      </c>
      <c r="D8700" s="8" t="s">
        <v>16</v>
      </c>
      <c r="E8700" s="8" t="s">
        <v>17</v>
      </c>
      <c r="F8700" s="9">
        <v>46086.0</v>
      </c>
      <c r="G8700" s="8" t="s">
        <v>11113</v>
      </c>
      <c r="H8700" s="8" t="s">
        <v>11114</v>
      </c>
      <c r="I8700" s="8" t="s">
        <v>26028</v>
      </c>
      <c r="J8700" s="8" t="s">
        <v>26029</v>
      </c>
    </row>
    <row r="8701">
      <c r="A8701" s="7">
        <v>2.0042906E7</v>
      </c>
      <c r="B8701" s="8" t="s">
        <v>5041</v>
      </c>
      <c r="C8701" s="8" t="s">
        <v>26030</v>
      </c>
      <c r="D8701" s="8" t="s">
        <v>16</v>
      </c>
      <c r="E8701" s="8" t="s">
        <v>17</v>
      </c>
      <c r="F8701" s="9">
        <v>46089.0</v>
      </c>
      <c r="G8701" s="8" t="s">
        <v>64</v>
      </c>
      <c r="H8701" s="8" t="s">
        <v>65</v>
      </c>
      <c r="I8701" s="8" t="s">
        <v>26031</v>
      </c>
      <c r="J8701" s="8" t="s">
        <v>26032</v>
      </c>
    </row>
    <row r="8702">
      <c r="A8702" s="7">
        <v>2.004034E7</v>
      </c>
      <c r="B8702" s="8" t="s">
        <v>5041</v>
      </c>
      <c r="C8702" s="8" t="s">
        <v>26033</v>
      </c>
      <c r="D8702" s="8" t="s">
        <v>16</v>
      </c>
      <c r="E8702" s="8" t="s">
        <v>17</v>
      </c>
      <c r="F8702" s="9">
        <v>46065.0</v>
      </c>
      <c r="G8702" s="8" t="s">
        <v>517</v>
      </c>
      <c r="H8702" s="8" t="s">
        <v>518</v>
      </c>
      <c r="I8702" s="8" t="s">
        <v>26034</v>
      </c>
      <c r="J8702" s="8" t="s">
        <v>26035</v>
      </c>
    </row>
    <row r="8703">
      <c r="A8703" s="7">
        <v>2.004034E7</v>
      </c>
      <c r="B8703" s="8" t="s">
        <v>5041</v>
      </c>
      <c r="C8703" s="8" t="s">
        <v>26033</v>
      </c>
      <c r="D8703" s="8" t="s">
        <v>16</v>
      </c>
      <c r="E8703" s="8" t="s">
        <v>17</v>
      </c>
      <c r="F8703" s="9">
        <v>46065.0</v>
      </c>
      <c r="G8703" s="8" t="s">
        <v>504</v>
      </c>
      <c r="H8703" s="8" t="s">
        <v>505</v>
      </c>
      <c r="I8703" s="8" t="s">
        <v>26036</v>
      </c>
      <c r="J8703" s="8" t="s">
        <v>26037</v>
      </c>
    </row>
    <row r="8704">
      <c r="A8704" s="7">
        <v>2.0037089E7</v>
      </c>
      <c r="B8704" s="8" t="s">
        <v>5041</v>
      </c>
      <c r="C8704" s="8" t="s">
        <v>26038</v>
      </c>
      <c r="D8704" s="8" t="s">
        <v>16</v>
      </c>
      <c r="E8704" s="8" t="s">
        <v>17</v>
      </c>
      <c r="F8704" s="9">
        <v>46077.0</v>
      </c>
      <c r="G8704" s="8" t="s">
        <v>390</v>
      </c>
      <c r="H8704" s="8" t="s">
        <v>391</v>
      </c>
      <c r="I8704" s="8" t="s">
        <v>26039</v>
      </c>
      <c r="J8704" s="8" t="s">
        <v>26040</v>
      </c>
    </row>
    <row r="8705">
      <c r="A8705" s="7">
        <v>2.0037126E7</v>
      </c>
      <c r="B8705" s="8" t="s">
        <v>5041</v>
      </c>
      <c r="C8705" s="8" t="s">
        <v>26041</v>
      </c>
      <c r="D8705" s="8" t="s">
        <v>16</v>
      </c>
      <c r="E8705" s="8" t="s">
        <v>700</v>
      </c>
      <c r="F8705" s="9">
        <v>46098.0</v>
      </c>
      <c r="G8705" s="8" t="s">
        <v>158</v>
      </c>
      <c r="H8705" s="8" t="s">
        <v>159</v>
      </c>
      <c r="I8705" s="8" t="s">
        <v>26042</v>
      </c>
      <c r="J8705" s="8" t="s">
        <v>26043</v>
      </c>
    </row>
    <row r="8706">
      <c r="A8706" s="7">
        <v>2.0037126E7</v>
      </c>
      <c r="B8706" s="8" t="s">
        <v>5041</v>
      </c>
      <c r="C8706" s="8" t="s">
        <v>26041</v>
      </c>
      <c r="D8706" s="8" t="s">
        <v>16</v>
      </c>
      <c r="E8706" s="8" t="s">
        <v>700</v>
      </c>
      <c r="F8706" s="9">
        <v>46098.0</v>
      </c>
      <c r="G8706" s="8" t="s">
        <v>158</v>
      </c>
      <c r="H8706" s="8" t="s">
        <v>159</v>
      </c>
      <c r="I8706" s="8" t="s">
        <v>26044</v>
      </c>
      <c r="J8706" s="8" t="s">
        <v>26043</v>
      </c>
    </row>
    <row r="8707">
      <c r="A8707" s="7">
        <v>2.00356E7</v>
      </c>
      <c r="B8707" s="8" t="s">
        <v>5041</v>
      </c>
      <c r="C8707" s="8" t="s">
        <v>26045</v>
      </c>
      <c r="D8707" s="8" t="s">
        <v>16</v>
      </c>
      <c r="E8707" s="8" t="s">
        <v>17</v>
      </c>
      <c r="F8707" s="9">
        <v>46048.0</v>
      </c>
      <c r="G8707" s="8" t="s">
        <v>273</v>
      </c>
      <c r="H8707" s="8" t="s">
        <v>274</v>
      </c>
      <c r="I8707" s="8" t="s">
        <v>26046</v>
      </c>
      <c r="J8707" s="8" t="s">
        <v>26047</v>
      </c>
    </row>
    <row r="8708">
      <c r="A8708" s="7">
        <v>2.00356E7</v>
      </c>
      <c r="B8708" s="8" t="s">
        <v>5041</v>
      </c>
      <c r="C8708" s="8" t="s">
        <v>26045</v>
      </c>
      <c r="D8708" s="8" t="s">
        <v>16</v>
      </c>
      <c r="E8708" s="8" t="s">
        <v>17</v>
      </c>
      <c r="F8708" s="9">
        <v>46048.0</v>
      </c>
      <c r="G8708" s="8" t="s">
        <v>273</v>
      </c>
      <c r="H8708" s="8" t="s">
        <v>274</v>
      </c>
      <c r="I8708" s="8" t="s">
        <v>26048</v>
      </c>
      <c r="J8708" s="8" t="s">
        <v>26047</v>
      </c>
    </row>
    <row r="8709">
      <c r="A8709" s="7">
        <v>2.0034957E7</v>
      </c>
      <c r="B8709" s="8" t="s">
        <v>5041</v>
      </c>
      <c r="C8709" s="8" t="s">
        <v>26049</v>
      </c>
      <c r="D8709" s="8" t="s">
        <v>16</v>
      </c>
      <c r="E8709" s="8" t="s">
        <v>17</v>
      </c>
      <c r="F8709" s="9">
        <v>46049.0</v>
      </c>
      <c r="G8709" s="8" t="s">
        <v>91</v>
      </c>
      <c r="H8709" s="8" t="s">
        <v>92</v>
      </c>
      <c r="I8709" s="8" t="s">
        <v>26050</v>
      </c>
      <c r="J8709" s="8" t="s">
        <v>26051</v>
      </c>
    </row>
    <row r="8710">
      <c r="A8710" s="7">
        <v>2.0060797E7</v>
      </c>
      <c r="B8710" s="8" t="s">
        <v>5041</v>
      </c>
      <c r="C8710" s="8" t="s">
        <v>26052</v>
      </c>
      <c r="D8710" s="8" t="s">
        <v>16</v>
      </c>
      <c r="E8710" s="8" t="s">
        <v>17</v>
      </c>
      <c r="F8710" s="9">
        <v>46157.0</v>
      </c>
      <c r="G8710" s="8" t="s">
        <v>822</v>
      </c>
      <c r="H8710" s="8" t="s">
        <v>3985</v>
      </c>
      <c r="I8710" s="8" t="s">
        <v>26053</v>
      </c>
      <c r="J8710" s="8" t="s">
        <v>26054</v>
      </c>
    </row>
    <row r="8711">
      <c r="A8711" s="7">
        <v>2.0057606E7</v>
      </c>
      <c r="B8711" s="8" t="s">
        <v>5041</v>
      </c>
      <c r="C8711" s="8" t="s">
        <v>26055</v>
      </c>
      <c r="D8711" s="8" t="s">
        <v>16</v>
      </c>
      <c r="E8711" s="8" t="s">
        <v>17</v>
      </c>
      <c r="F8711" s="9">
        <v>46152.0</v>
      </c>
      <c r="G8711" s="8" t="s">
        <v>195</v>
      </c>
      <c r="H8711" s="8" t="s">
        <v>196</v>
      </c>
      <c r="I8711" s="8" t="s">
        <v>26056</v>
      </c>
      <c r="J8711" s="8" t="s">
        <v>26057</v>
      </c>
    </row>
    <row r="8712">
      <c r="A8712" s="7">
        <v>2.0045954E7</v>
      </c>
      <c r="B8712" s="8" t="s">
        <v>5041</v>
      </c>
      <c r="C8712" s="8" t="s">
        <v>26058</v>
      </c>
      <c r="D8712" s="8" t="s">
        <v>16</v>
      </c>
      <c r="E8712" s="8" t="s">
        <v>17</v>
      </c>
      <c r="F8712" s="9">
        <v>46105.0</v>
      </c>
      <c r="G8712" s="8" t="s">
        <v>2479</v>
      </c>
      <c r="H8712" s="8" t="s">
        <v>2480</v>
      </c>
      <c r="I8712" s="8" t="s">
        <v>26059</v>
      </c>
      <c r="J8712" s="8" t="s">
        <v>26060</v>
      </c>
    </row>
    <row r="8713">
      <c r="A8713" s="7">
        <v>2.004247E7</v>
      </c>
      <c r="B8713" s="8" t="s">
        <v>5041</v>
      </c>
      <c r="C8713" s="8" t="s">
        <v>26061</v>
      </c>
      <c r="D8713" s="8" t="s">
        <v>16</v>
      </c>
      <c r="E8713" s="8" t="s">
        <v>17</v>
      </c>
      <c r="F8713" s="9">
        <v>46082.0</v>
      </c>
      <c r="G8713" s="8" t="s">
        <v>7961</v>
      </c>
      <c r="H8713" s="8" t="s">
        <v>7962</v>
      </c>
      <c r="I8713" s="8" t="s">
        <v>26062</v>
      </c>
      <c r="J8713" s="8" t="s">
        <v>26063</v>
      </c>
    </row>
    <row r="8714">
      <c r="A8714" s="7">
        <v>2.0041796E7</v>
      </c>
      <c r="B8714" s="8" t="s">
        <v>5041</v>
      </c>
      <c r="C8714" s="8" t="s">
        <v>26064</v>
      </c>
      <c r="D8714" s="8" t="s">
        <v>16</v>
      </c>
      <c r="E8714" s="8" t="s">
        <v>17</v>
      </c>
      <c r="F8714" s="9">
        <v>46091.0</v>
      </c>
      <c r="G8714" s="8" t="s">
        <v>1057</v>
      </c>
      <c r="H8714" s="8" t="s">
        <v>1058</v>
      </c>
      <c r="I8714" s="8" t="s">
        <v>26065</v>
      </c>
      <c r="J8714" s="8" t="s">
        <v>26066</v>
      </c>
    </row>
    <row r="8715">
      <c r="A8715" s="7">
        <v>2.0042785E7</v>
      </c>
      <c r="B8715" s="8" t="s">
        <v>5041</v>
      </c>
      <c r="C8715" s="8" t="s">
        <v>26067</v>
      </c>
      <c r="D8715" s="8" t="s">
        <v>16</v>
      </c>
      <c r="E8715" s="8" t="s">
        <v>17</v>
      </c>
      <c r="F8715" s="9">
        <v>46089.0</v>
      </c>
      <c r="G8715" s="8" t="s">
        <v>573</v>
      </c>
      <c r="H8715" s="8" t="s">
        <v>574</v>
      </c>
      <c r="I8715" s="8" t="s">
        <v>26068</v>
      </c>
      <c r="J8715" s="8" t="s">
        <v>26069</v>
      </c>
    </row>
    <row r="8716">
      <c r="A8716" s="7">
        <v>2.0034552E7</v>
      </c>
      <c r="B8716" s="8" t="s">
        <v>5041</v>
      </c>
      <c r="C8716" s="8" t="s">
        <v>26070</v>
      </c>
      <c r="D8716" s="8" t="s">
        <v>16</v>
      </c>
      <c r="E8716" s="8" t="s">
        <v>17</v>
      </c>
      <c r="F8716" s="9">
        <v>46038.0</v>
      </c>
      <c r="G8716" s="8" t="s">
        <v>220</v>
      </c>
      <c r="H8716" s="8" t="s">
        <v>221</v>
      </c>
      <c r="I8716" s="8" t="s">
        <v>26071</v>
      </c>
      <c r="J8716" s="8" t="s">
        <v>26072</v>
      </c>
    </row>
    <row r="8717">
      <c r="A8717" s="7">
        <v>2.0066319E7</v>
      </c>
      <c r="B8717" s="8" t="s">
        <v>5041</v>
      </c>
      <c r="C8717" s="8" t="s">
        <v>26073</v>
      </c>
      <c r="D8717" s="8" t="s">
        <v>16</v>
      </c>
      <c r="E8717" s="8" t="s">
        <v>17</v>
      </c>
      <c r="F8717" s="9">
        <v>46188.0</v>
      </c>
      <c r="G8717" s="8" t="s">
        <v>390</v>
      </c>
      <c r="H8717" s="8" t="s">
        <v>391</v>
      </c>
      <c r="I8717" s="8" t="s">
        <v>26074</v>
      </c>
      <c r="J8717" s="8" t="s">
        <v>26075</v>
      </c>
    </row>
    <row r="8718">
      <c r="A8718" s="7">
        <v>2.0062419E7</v>
      </c>
      <c r="B8718" s="8" t="s">
        <v>5041</v>
      </c>
      <c r="C8718" s="8" t="s">
        <v>26076</v>
      </c>
      <c r="D8718" s="8" t="s">
        <v>16</v>
      </c>
      <c r="E8718" s="8" t="s">
        <v>17</v>
      </c>
      <c r="F8718" s="9">
        <v>46183.0</v>
      </c>
      <c r="G8718" s="8" t="s">
        <v>9504</v>
      </c>
      <c r="H8718" s="8" t="s">
        <v>9505</v>
      </c>
      <c r="I8718" s="8" t="s">
        <v>26077</v>
      </c>
      <c r="J8718" s="8" t="s">
        <v>26078</v>
      </c>
    </row>
    <row r="8719">
      <c r="A8719" s="7">
        <v>2.0062411E7</v>
      </c>
      <c r="B8719" s="8" t="s">
        <v>5041</v>
      </c>
      <c r="C8719" s="8" t="s">
        <v>26079</v>
      </c>
      <c r="D8719" s="8" t="s">
        <v>16</v>
      </c>
      <c r="E8719" s="8" t="s">
        <v>17</v>
      </c>
      <c r="F8719" s="9">
        <v>46180.0</v>
      </c>
      <c r="G8719" s="8" t="s">
        <v>688</v>
      </c>
      <c r="H8719" s="8" t="s">
        <v>689</v>
      </c>
      <c r="I8719" s="8" t="s">
        <v>26080</v>
      </c>
      <c r="J8719" s="8" t="s">
        <v>26081</v>
      </c>
    </row>
    <row r="8720">
      <c r="A8720" s="7">
        <v>2.0049876E7</v>
      </c>
      <c r="B8720" s="8" t="s">
        <v>5041</v>
      </c>
      <c r="C8720" s="8" t="s">
        <v>26082</v>
      </c>
      <c r="D8720" s="8" t="s">
        <v>16</v>
      </c>
      <c r="E8720" s="8" t="s">
        <v>17</v>
      </c>
      <c r="F8720" s="9">
        <v>46120.0</v>
      </c>
      <c r="G8720" s="8" t="s">
        <v>171</v>
      </c>
      <c r="H8720" s="8" t="s">
        <v>172</v>
      </c>
      <c r="I8720" s="8" t="s">
        <v>26083</v>
      </c>
      <c r="J8720" s="8" t="s">
        <v>26084</v>
      </c>
    </row>
    <row r="8721">
      <c r="A8721" s="7">
        <v>2.0048298E7</v>
      </c>
      <c r="B8721" s="8" t="s">
        <v>5041</v>
      </c>
      <c r="C8721" s="8" t="s">
        <v>26085</v>
      </c>
      <c r="D8721" s="8" t="s">
        <v>16</v>
      </c>
      <c r="E8721" s="8" t="s">
        <v>17</v>
      </c>
      <c r="F8721" s="9">
        <v>46098.0</v>
      </c>
      <c r="G8721" s="8" t="s">
        <v>234</v>
      </c>
      <c r="H8721" s="8" t="s">
        <v>235</v>
      </c>
      <c r="I8721" s="8" t="s">
        <v>26086</v>
      </c>
      <c r="J8721" s="8" t="s">
        <v>26087</v>
      </c>
    </row>
    <row r="8722">
      <c r="A8722" s="7">
        <v>2.0044724E7</v>
      </c>
      <c r="B8722" s="8" t="s">
        <v>5041</v>
      </c>
      <c r="C8722" s="8" t="s">
        <v>26088</v>
      </c>
      <c r="D8722" s="8" t="s">
        <v>16</v>
      </c>
      <c r="E8722" s="8" t="s">
        <v>17</v>
      </c>
      <c r="F8722" s="9">
        <v>46107.0</v>
      </c>
      <c r="G8722" s="8" t="s">
        <v>601</v>
      </c>
      <c r="H8722" s="8" t="s">
        <v>602</v>
      </c>
      <c r="I8722" s="8" t="s">
        <v>26089</v>
      </c>
      <c r="J8722" s="8" t="s">
        <v>26090</v>
      </c>
    </row>
    <row r="8723">
      <c r="A8723" s="7">
        <v>2.0044599E7</v>
      </c>
      <c r="B8723" s="8" t="s">
        <v>5041</v>
      </c>
      <c r="C8723" s="8" t="s">
        <v>26091</v>
      </c>
      <c r="D8723" s="8" t="s">
        <v>16</v>
      </c>
      <c r="E8723" s="8" t="s">
        <v>17</v>
      </c>
      <c r="F8723" s="9">
        <v>46081.0</v>
      </c>
      <c r="G8723" s="8" t="s">
        <v>2511</v>
      </c>
      <c r="H8723" s="8" t="s">
        <v>2512</v>
      </c>
      <c r="I8723" s="8" t="s">
        <v>26092</v>
      </c>
      <c r="J8723" s="8" t="s">
        <v>26093</v>
      </c>
    </row>
    <row r="8724">
      <c r="A8724" s="7">
        <v>2.0043078E7</v>
      </c>
      <c r="B8724" s="8" t="s">
        <v>5041</v>
      </c>
      <c r="C8724" s="8" t="s">
        <v>26094</v>
      </c>
      <c r="D8724" s="8" t="s">
        <v>16</v>
      </c>
      <c r="E8724" s="8" t="s">
        <v>17</v>
      </c>
      <c r="F8724" s="9">
        <v>46096.0</v>
      </c>
      <c r="G8724" s="8" t="s">
        <v>390</v>
      </c>
      <c r="H8724" s="8" t="s">
        <v>391</v>
      </c>
      <c r="I8724" s="8" t="s">
        <v>26095</v>
      </c>
      <c r="J8724" s="8" t="s">
        <v>26096</v>
      </c>
    </row>
    <row r="8725">
      <c r="A8725" s="7">
        <v>2.0042332E7</v>
      </c>
      <c r="B8725" s="8" t="s">
        <v>5041</v>
      </c>
      <c r="C8725" s="8" t="s">
        <v>26097</v>
      </c>
      <c r="D8725" s="8" t="s">
        <v>16</v>
      </c>
      <c r="E8725" s="8" t="s">
        <v>17</v>
      </c>
      <c r="F8725" s="9">
        <v>46075.0</v>
      </c>
      <c r="G8725" s="8" t="s">
        <v>400</v>
      </c>
      <c r="H8725" s="8" t="s">
        <v>401</v>
      </c>
      <c r="I8725" s="8" t="s">
        <v>26098</v>
      </c>
      <c r="J8725" s="8" t="s">
        <v>26099</v>
      </c>
    </row>
    <row r="8726">
      <c r="A8726" s="7">
        <v>2.0040083E7</v>
      </c>
      <c r="B8726" s="8" t="s">
        <v>5041</v>
      </c>
      <c r="C8726" s="8" t="s">
        <v>26100</v>
      </c>
      <c r="D8726" s="8" t="s">
        <v>16</v>
      </c>
      <c r="E8726" s="8" t="s">
        <v>17</v>
      </c>
      <c r="F8726" s="9">
        <v>46065.0</v>
      </c>
      <c r="G8726" s="8" t="s">
        <v>365</v>
      </c>
      <c r="H8726" s="8" t="s">
        <v>366</v>
      </c>
      <c r="I8726" s="8" t="s">
        <v>26101</v>
      </c>
      <c r="J8726" s="8" t="s">
        <v>26102</v>
      </c>
    </row>
    <row r="8727">
      <c r="A8727" s="7">
        <v>2.003428E7</v>
      </c>
      <c r="B8727" s="8" t="s">
        <v>5041</v>
      </c>
      <c r="C8727" s="8" t="s">
        <v>26103</v>
      </c>
      <c r="D8727" s="8" t="s">
        <v>16</v>
      </c>
      <c r="E8727" s="8" t="s">
        <v>17</v>
      </c>
      <c r="F8727" s="9">
        <v>46069.0</v>
      </c>
      <c r="G8727" s="8" t="s">
        <v>390</v>
      </c>
      <c r="H8727" s="8" t="s">
        <v>391</v>
      </c>
      <c r="I8727" s="8" t="s">
        <v>26104</v>
      </c>
      <c r="J8727" s="8" t="s">
        <v>26105</v>
      </c>
    </row>
    <row r="8728">
      <c r="A8728" s="7">
        <v>2.0057887E7</v>
      </c>
      <c r="B8728" s="8" t="s">
        <v>5041</v>
      </c>
      <c r="C8728" s="8" t="s">
        <v>26106</v>
      </c>
      <c r="D8728" s="8" t="s">
        <v>16</v>
      </c>
      <c r="E8728" s="8" t="s">
        <v>17</v>
      </c>
      <c r="F8728" s="9">
        <v>46138.0</v>
      </c>
      <c r="G8728" s="8" t="s">
        <v>2511</v>
      </c>
      <c r="H8728" s="8" t="s">
        <v>2512</v>
      </c>
      <c r="I8728" s="8" t="s">
        <v>26107</v>
      </c>
      <c r="J8728" s="8" t="s">
        <v>26108</v>
      </c>
    </row>
    <row r="8729">
      <c r="A8729" s="7">
        <v>2.0045771E7</v>
      </c>
      <c r="B8729" s="8" t="s">
        <v>5041</v>
      </c>
      <c r="C8729" s="8" t="s">
        <v>26109</v>
      </c>
      <c r="D8729" s="8" t="s">
        <v>16</v>
      </c>
      <c r="E8729" s="8" t="s">
        <v>17</v>
      </c>
      <c r="F8729" s="9">
        <v>46088.0</v>
      </c>
      <c r="G8729" s="8" t="s">
        <v>29</v>
      </c>
      <c r="H8729" s="8" t="s">
        <v>30</v>
      </c>
      <c r="I8729" s="8" t="s">
        <v>26110</v>
      </c>
      <c r="J8729" s="8" t="s">
        <v>26111</v>
      </c>
    </row>
    <row r="8730">
      <c r="A8730" s="7">
        <v>2.0042622E7</v>
      </c>
      <c r="B8730" s="8" t="s">
        <v>5041</v>
      </c>
      <c r="C8730" s="8" t="s">
        <v>26112</v>
      </c>
      <c r="D8730" s="8" t="s">
        <v>16</v>
      </c>
      <c r="E8730" s="8" t="s">
        <v>17</v>
      </c>
      <c r="F8730" s="9">
        <v>46083.0</v>
      </c>
      <c r="G8730" s="8" t="s">
        <v>805</v>
      </c>
      <c r="H8730" s="8" t="s">
        <v>806</v>
      </c>
      <c r="I8730" s="8" t="s">
        <v>26113</v>
      </c>
      <c r="J8730" s="8" t="s">
        <v>26114</v>
      </c>
    </row>
    <row r="8731">
      <c r="A8731" s="7">
        <v>2.0038433E7</v>
      </c>
      <c r="B8731" s="8" t="s">
        <v>5041</v>
      </c>
      <c r="C8731" s="8" t="s">
        <v>26115</v>
      </c>
      <c r="D8731" s="8" t="s">
        <v>16</v>
      </c>
      <c r="E8731" s="8" t="s">
        <v>17</v>
      </c>
      <c r="F8731" s="9">
        <v>46081.0</v>
      </c>
      <c r="G8731" s="8" t="s">
        <v>12537</v>
      </c>
      <c r="H8731" s="8" t="s">
        <v>12538</v>
      </c>
      <c r="I8731" s="8" t="s">
        <v>26116</v>
      </c>
      <c r="J8731" s="8" t="s">
        <v>26117</v>
      </c>
    </row>
    <row r="8732">
      <c r="A8732" s="7">
        <v>2.0034843E7</v>
      </c>
      <c r="B8732" s="8" t="s">
        <v>5041</v>
      </c>
      <c r="C8732" s="8" t="s">
        <v>26118</v>
      </c>
      <c r="D8732" s="8" t="s">
        <v>16</v>
      </c>
      <c r="E8732" s="8" t="s">
        <v>17</v>
      </c>
      <c r="F8732" s="9">
        <v>46055.0</v>
      </c>
      <c r="G8732" s="8" t="s">
        <v>626</v>
      </c>
      <c r="H8732" s="8" t="s">
        <v>627</v>
      </c>
      <c r="I8732" s="8" t="s">
        <v>26119</v>
      </c>
      <c r="J8732" s="8" t="s">
        <v>26120</v>
      </c>
    </row>
    <row r="8733">
      <c r="A8733" s="7">
        <v>2.0065569E7</v>
      </c>
      <c r="B8733" s="8" t="s">
        <v>5041</v>
      </c>
      <c r="C8733" s="8" t="s">
        <v>26121</v>
      </c>
      <c r="D8733" s="8" t="s">
        <v>16</v>
      </c>
      <c r="E8733" s="8" t="s">
        <v>17</v>
      </c>
      <c r="F8733" s="9">
        <v>46189.0</v>
      </c>
      <c r="G8733" s="8" t="s">
        <v>361</v>
      </c>
      <c r="H8733" s="8" t="s">
        <v>362</v>
      </c>
      <c r="I8733" s="8" t="s">
        <v>26122</v>
      </c>
      <c r="J8733" s="8" t="s">
        <v>26123</v>
      </c>
    </row>
    <row r="8734">
      <c r="A8734" s="7">
        <v>2.0056441E7</v>
      </c>
      <c r="B8734" s="8" t="s">
        <v>5041</v>
      </c>
      <c r="C8734" s="8" t="s">
        <v>26124</v>
      </c>
      <c r="D8734" s="8" t="s">
        <v>16</v>
      </c>
      <c r="E8734" s="8" t="s">
        <v>17</v>
      </c>
      <c r="F8734" s="9">
        <v>46178.0</v>
      </c>
      <c r="G8734" s="8" t="s">
        <v>3532</v>
      </c>
      <c r="H8734" s="8" t="s">
        <v>3533</v>
      </c>
      <c r="I8734" s="8" t="s">
        <v>26125</v>
      </c>
      <c r="J8734" s="8" t="s">
        <v>26126</v>
      </c>
    </row>
    <row r="8735">
      <c r="A8735" s="7">
        <v>2.0048574E7</v>
      </c>
      <c r="B8735" s="8" t="s">
        <v>5041</v>
      </c>
      <c r="C8735" s="8" t="s">
        <v>26127</v>
      </c>
      <c r="D8735" s="8" t="s">
        <v>16</v>
      </c>
      <c r="E8735" s="8" t="s">
        <v>17</v>
      </c>
      <c r="F8735" s="9">
        <v>46128.0</v>
      </c>
      <c r="G8735" s="8" t="s">
        <v>171</v>
      </c>
      <c r="H8735" s="8" t="s">
        <v>172</v>
      </c>
      <c r="I8735" s="8" t="s">
        <v>26128</v>
      </c>
      <c r="J8735" s="8" t="s">
        <v>26129</v>
      </c>
    </row>
    <row r="8736">
      <c r="A8736" s="7">
        <v>2.0041499E7</v>
      </c>
      <c r="B8736" s="8" t="s">
        <v>5041</v>
      </c>
      <c r="C8736" s="8" t="s">
        <v>26130</v>
      </c>
      <c r="D8736" s="8" t="s">
        <v>16</v>
      </c>
      <c r="E8736" s="8" t="s">
        <v>17</v>
      </c>
      <c r="F8736" s="9">
        <v>46070.0</v>
      </c>
      <c r="G8736" s="8" t="s">
        <v>195</v>
      </c>
      <c r="H8736" s="8" t="s">
        <v>196</v>
      </c>
      <c r="I8736" s="8" t="s">
        <v>26131</v>
      </c>
      <c r="J8736" s="8" t="s">
        <v>26132</v>
      </c>
    </row>
    <row r="8737">
      <c r="A8737" s="7">
        <v>2.0038962E7</v>
      </c>
      <c r="B8737" s="8" t="s">
        <v>5041</v>
      </c>
      <c r="C8737" s="8" t="s">
        <v>26133</v>
      </c>
      <c r="D8737" s="8" t="s">
        <v>16</v>
      </c>
      <c r="E8737" s="8" t="s">
        <v>17</v>
      </c>
      <c r="F8737" s="9">
        <v>46074.0</v>
      </c>
      <c r="G8737" s="8" t="s">
        <v>247</v>
      </c>
      <c r="H8737" s="8" t="s">
        <v>248</v>
      </c>
      <c r="I8737" s="8" t="s">
        <v>26134</v>
      </c>
      <c r="J8737" s="8" t="s">
        <v>26135</v>
      </c>
    </row>
    <row r="8738">
      <c r="A8738" s="7">
        <v>2.0036094E7</v>
      </c>
      <c r="B8738" s="8" t="s">
        <v>5041</v>
      </c>
      <c r="C8738" s="8" t="s">
        <v>26136</v>
      </c>
      <c r="D8738" s="8" t="s">
        <v>16</v>
      </c>
      <c r="E8738" s="8" t="s">
        <v>17</v>
      </c>
      <c r="F8738" s="9">
        <v>46050.0</v>
      </c>
      <c r="G8738" s="8" t="s">
        <v>517</v>
      </c>
      <c r="H8738" s="8" t="s">
        <v>518</v>
      </c>
      <c r="I8738" s="8" t="s">
        <v>26137</v>
      </c>
      <c r="J8738" s="8" t="s">
        <v>26138</v>
      </c>
    </row>
    <row r="8739">
      <c r="A8739" s="7">
        <v>2.0062065E7</v>
      </c>
      <c r="B8739" s="8" t="s">
        <v>5041</v>
      </c>
      <c r="C8739" s="8" t="s">
        <v>26139</v>
      </c>
      <c r="D8739" s="8" t="s">
        <v>16</v>
      </c>
      <c r="E8739" s="8" t="s">
        <v>17</v>
      </c>
      <c r="F8739" s="9">
        <v>46190.0</v>
      </c>
      <c r="G8739" s="8" t="s">
        <v>290</v>
      </c>
      <c r="H8739" s="8" t="s">
        <v>291</v>
      </c>
      <c r="I8739" s="8" t="s">
        <v>26140</v>
      </c>
      <c r="J8739" s="8" t="s">
        <v>26141</v>
      </c>
    </row>
    <row r="8740">
      <c r="A8740" s="7">
        <v>2.0063007E7</v>
      </c>
      <c r="B8740" s="8" t="s">
        <v>5041</v>
      </c>
      <c r="C8740" s="8" t="s">
        <v>26142</v>
      </c>
      <c r="D8740" s="8" t="s">
        <v>16</v>
      </c>
      <c r="E8740" s="8" t="s">
        <v>17</v>
      </c>
      <c r="F8740" s="9">
        <v>46165.0</v>
      </c>
      <c r="G8740" s="8" t="s">
        <v>352</v>
      </c>
      <c r="H8740" s="8" t="s">
        <v>353</v>
      </c>
      <c r="I8740" s="8" t="s">
        <v>26143</v>
      </c>
      <c r="J8740" s="8" t="s">
        <v>26144</v>
      </c>
    </row>
    <row r="8741">
      <c r="A8741" s="7">
        <v>2.0058316E7</v>
      </c>
      <c r="B8741" s="8" t="s">
        <v>5041</v>
      </c>
      <c r="C8741" s="8" t="s">
        <v>26145</v>
      </c>
      <c r="D8741" s="8" t="s">
        <v>16</v>
      </c>
      <c r="E8741" s="8" t="s">
        <v>17</v>
      </c>
      <c r="F8741" s="9">
        <v>46156.0</v>
      </c>
      <c r="G8741" s="8" t="s">
        <v>873</v>
      </c>
      <c r="H8741" s="8" t="s">
        <v>874</v>
      </c>
      <c r="I8741" s="8" t="s">
        <v>26146</v>
      </c>
      <c r="J8741" s="8" t="s">
        <v>26147</v>
      </c>
    </row>
    <row r="8742">
      <c r="A8742" s="7">
        <v>2.0058316E7</v>
      </c>
      <c r="B8742" s="8" t="s">
        <v>5041</v>
      </c>
      <c r="C8742" s="8" t="s">
        <v>26145</v>
      </c>
      <c r="D8742" s="8" t="s">
        <v>16</v>
      </c>
      <c r="E8742" s="8" t="s">
        <v>17</v>
      </c>
      <c r="F8742" s="9">
        <v>46156.0</v>
      </c>
      <c r="G8742" s="8" t="s">
        <v>339</v>
      </c>
      <c r="H8742" s="8" t="s">
        <v>340</v>
      </c>
      <c r="I8742" s="8" t="s">
        <v>26148</v>
      </c>
      <c r="J8742" s="8" t="s">
        <v>26149</v>
      </c>
    </row>
    <row r="8743">
      <c r="A8743" s="7">
        <v>2.0058316E7</v>
      </c>
      <c r="B8743" s="8" t="s">
        <v>5041</v>
      </c>
      <c r="C8743" s="8" t="s">
        <v>26145</v>
      </c>
      <c r="D8743" s="8" t="s">
        <v>16</v>
      </c>
      <c r="E8743" s="8" t="s">
        <v>17</v>
      </c>
      <c r="F8743" s="9">
        <v>46156.0</v>
      </c>
      <c r="G8743" s="8" t="s">
        <v>873</v>
      </c>
      <c r="H8743" s="8" t="s">
        <v>874</v>
      </c>
      <c r="I8743" s="8" t="s">
        <v>26150</v>
      </c>
      <c r="J8743" s="8" t="s">
        <v>26147</v>
      </c>
    </row>
    <row r="8744">
      <c r="A8744" s="7">
        <v>2.0070191E7</v>
      </c>
      <c r="B8744" s="8" t="s">
        <v>5041</v>
      </c>
      <c r="C8744" s="8" t="s">
        <v>26151</v>
      </c>
      <c r="D8744" s="8" t="s">
        <v>16</v>
      </c>
      <c r="E8744" s="8" t="s">
        <v>17</v>
      </c>
      <c r="F8744" s="9">
        <v>46191.0</v>
      </c>
      <c r="G8744" s="8" t="s">
        <v>1532</v>
      </c>
      <c r="H8744" s="8" t="s">
        <v>1533</v>
      </c>
      <c r="I8744" s="8" t="s">
        <v>26152</v>
      </c>
      <c r="J8744" s="8" t="s">
        <v>26153</v>
      </c>
    </row>
    <row r="8745">
      <c r="A8745" s="7">
        <v>2.0059472E7</v>
      </c>
      <c r="B8745" s="8" t="s">
        <v>5041</v>
      </c>
      <c r="C8745" s="8" t="s">
        <v>26154</v>
      </c>
      <c r="D8745" s="8" t="s">
        <v>16</v>
      </c>
      <c r="E8745" s="8" t="s">
        <v>17</v>
      </c>
      <c r="F8745" s="9">
        <v>46144.0</v>
      </c>
      <c r="G8745" s="8" t="s">
        <v>34</v>
      </c>
      <c r="H8745" s="8" t="s">
        <v>35</v>
      </c>
      <c r="I8745" s="8" t="s">
        <v>26155</v>
      </c>
      <c r="J8745" s="8" t="s">
        <v>26156</v>
      </c>
    </row>
    <row r="8746">
      <c r="A8746" s="7">
        <v>2.0048517E7</v>
      </c>
      <c r="B8746" s="8" t="s">
        <v>5041</v>
      </c>
      <c r="C8746" s="8" t="s">
        <v>26157</v>
      </c>
      <c r="D8746" s="8" t="s">
        <v>16</v>
      </c>
      <c r="E8746" s="8" t="s">
        <v>17</v>
      </c>
      <c r="F8746" s="9">
        <v>46111.0</v>
      </c>
      <c r="G8746" s="8" t="s">
        <v>184</v>
      </c>
      <c r="H8746" s="8" t="s">
        <v>185</v>
      </c>
      <c r="I8746" s="8" t="s">
        <v>26158</v>
      </c>
      <c r="J8746" s="8" t="s">
        <v>26159</v>
      </c>
    </row>
    <row r="8747">
      <c r="A8747" s="7">
        <v>2.0039176E7</v>
      </c>
      <c r="B8747" s="8" t="s">
        <v>5041</v>
      </c>
      <c r="C8747" s="8" t="s">
        <v>26160</v>
      </c>
      <c r="D8747" s="8" t="s">
        <v>16</v>
      </c>
      <c r="E8747" s="8" t="s">
        <v>17</v>
      </c>
      <c r="F8747" s="9">
        <v>46075.0</v>
      </c>
      <c r="G8747" s="8" t="s">
        <v>16002</v>
      </c>
      <c r="H8747" s="8" t="s">
        <v>16003</v>
      </c>
      <c r="I8747" s="8" t="s">
        <v>26161</v>
      </c>
      <c r="J8747" s="8" t="s">
        <v>26162</v>
      </c>
    </row>
    <row r="8748">
      <c r="A8748" s="7">
        <v>2.0035838E7</v>
      </c>
      <c r="B8748" s="8" t="s">
        <v>5041</v>
      </c>
      <c r="C8748" s="8" t="s">
        <v>26163</v>
      </c>
      <c r="D8748" s="8" t="s">
        <v>16</v>
      </c>
      <c r="E8748" s="8" t="s">
        <v>17</v>
      </c>
      <c r="F8748" s="9">
        <v>46047.0</v>
      </c>
      <c r="G8748" s="8" t="s">
        <v>873</v>
      </c>
      <c r="H8748" s="8" t="s">
        <v>874</v>
      </c>
      <c r="I8748" s="8" t="s">
        <v>26164</v>
      </c>
      <c r="J8748" s="8" t="s">
        <v>26165</v>
      </c>
    </row>
    <row r="8749">
      <c r="A8749" s="7">
        <v>2.0035838E7</v>
      </c>
      <c r="B8749" s="8" t="s">
        <v>5041</v>
      </c>
      <c r="C8749" s="8" t="s">
        <v>26163</v>
      </c>
      <c r="D8749" s="8" t="s">
        <v>16</v>
      </c>
      <c r="E8749" s="8" t="s">
        <v>17</v>
      </c>
      <c r="F8749" s="9">
        <v>46047.0</v>
      </c>
      <c r="G8749" s="8" t="s">
        <v>339</v>
      </c>
      <c r="H8749" s="8" t="s">
        <v>340</v>
      </c>
      <c r="I8749" s="8" t="s">
        <v>26166</v>
      </c>
      <c r="J8749" s="8" t="s">
        <v>26167</v>
      </c>
    </row>
    <row r="8750">
      <c r="A8750" s="7">
        <v>2.0035284E7</v>
      </c>
      <c r="B8750" s="8" t="s">
        <v>5041</v>
      </c>
      <c r="C8750" s="8" t="s">
        <v>26168</v>
      </c>
      <c r="D8750" s="8" t="s">
        <v>16</v>
      </c>
      <c r="E8750" s="8" t="s">
        <v>17</v>
      </c>
      <c r="F8750" s="9">
        <v>46057.0</v>
      </c>
      <c r="G8750" s="8" t="s">
        <v>486</v>
      </c>
      <c r="H8750" s="8" t="s">
        <v>487</v>
      </c>
      <c r="I8750" s="8" t="s">
        <v>26169</v>
      </c>
      <c r="J8750" s="8" t="s">
        <v>26170</v>
      </c>
    </row>
    <row r="8751">
      <c r="A8751" s="7">
        <v>2.0033425E7</v>
      </c>
      <c r="B8751" s="8" t="s">
        <v>5041</v>
      </c>
      <c r="C8751" s="8" t="s">
        <v>26171</v>
      </c>
      <c r="D8751" s="8" t="s">
        <v>16</v>
      </c>
      <c r="E8751" s="8" t="s">
        <v>17</v>
      </c>
      <c r="F8751" s="9">
        <v>46060.0</v>
      </c>
      <c r="G8751" s="8" t="s">
        <v>390</v>
      </c>
      <c r="H8751" s="8" t="s">
        <v>391</v>
      </c>
      <c r="I8751" s="8" t="s">
        <v>26172</v>
      </c>
      <c r="J8751" s="8" t="s">
        <v>26173</v>
      </c>
    </row>
    <row r="8752">
      <c r="A8752" s="7">
        <v>2.0064545E7</v>
      </c>
      <c r="B8752" s="8" t="s">
        <v>5041</v>
      </c>
      <c r="C8752" s="8" t="s">
        <v>26174</v>
      </c>
      <c r="D8752" s="8" t="s">
        <v>16</v>
      </c>
      <c r="E8752" s="8" t="s">
        <v>17</v>
      </c>
      <c r="F8752" s="9">
        <v>46190.0</v>
      </c>
      <c r="G8752" s="8" t="s">
        <v>873</v>
      </c>
      <c r="H8752" s="8" t="s">
        <v>874</v>
      </c>
      <c r="I8752" s="8" t="s">
        <v>26175</v>
      </c>
      <c r="J8752" s="8" t="s">
        <v>26176</v>
      </c>
    </row>
    <row r="8753">
      <c r="A8753" s="7">
        <v>2.0064545E7</v>
      </c>
      <c r="B8753" s="8" t="s">
        <v>5041</v>
      </c>
      <c r="C8753" s="8" t="s">
        <v>26174</v>
      </c>
      <c r="D8753" s="8" t="s">
        <v>16</v>
      </c>
      <c r="E8753" s="8" t="s">
        <v>17</v>
      </c>
      <c r="F8753" s="9">
        <v>46190.0</v>
      </c>
      <c r="G8753" s="8" t="s">
        <v>339</v>
      </c>
      <c r="H8753" s="8" t="s">
        <v>340</v>
      </c>
      <c r="I8753" s="8" t="s">
        <v>26177</v>
      </c>
      <c r="J8753" s="8" t="s">
        <v>26178</v>
      </c>
    </row>
    <row r="8754">
      <c r="A8754" s="7">
        <v>2.0064545E7</v>
      </c>
      <c r="B8754" s="8" t="s">
        <v>5041</v>
      </c>
      <c r="C8754" s="8" t="s">
        <v>26174</v>
      </c>
      <c r="D8754" s="8" t="s">
        <v>16</v>
      </c>
      <c r="E8754" s="8" t="s">
        <v>17</v>
      </c>
      <c r="F8754" s="9">
        <v>46190.0</v>
      </c>
      <c r="G8754" s="8" t="s">
        <v>873</v>
      </c>
      <c r="H8754" s="8" t="s">
        <v>874</v>
      </c>
      <c r="I8754" s="8" t="s">
        <v>26179</v>
      </c>
      <c r="J8754" s="8" t="s">
        <v>26176</v>
      </c>
    </row>
    <row r="8755">
      <c r="A8755" s="7">
        <v>2.0059968E7</v>
      </c>
      <c r="B8755" s="8" t="s">
        <v>5041</v>
      </c>
      <c r="C8755" s="8" t="s">
        <v>26180</v>
      </c>
      <c r="D8755" s="8" t="s">
        <v>16</v>
      </c>
      <c r="E8755" s="8" t="s">
        <v>17</v>
      </c>
      <c r="F8755" s="9">
        <v>46193.0</v>
      </c>
      <c r="G8755" s="8" t="s">
        <v>1485</v>
      </c>
      <c r="H8755" s="8" t="s">
        <v>1486</v>
      </c>
      <c r="I8755" s="8" t="s">
        <v>26181</v>
      </c>
      <c r="J8755" s="8" t="s">
        <v>26182</v>
      </c>
    </row>
    <row r="8756">
      <c r="A8756" s="7">
        <v>2.0061484E7</v>
      </c>
      <c r="B8756" s="8" t="s">
        <v>5041</v>
      </c>
      <c r="C8756" s="8" t="s">
        <v>26183</v>
      </c>
      <c r="D8756" s="8" t="s">
        <v>16</v>
      </c>
      <c r="E8756" s="8" t="s">
        <v>17</v>
      </c>
      <c r="F8756" s="9">
        <v>46154.0</v>
      </c>
      <c r="G8756" s="8" t="s">
        <v>34</v>
      </c>
      <c r="H8756" s="8" t="s">
        <v>35</v>
      </c>
      <c r="I8756" s="8" t="s">
        <v>26184</v>
      </c>
      <c r="J8756" s="8" t="s">
        <v>26185</v>
      </c>
    </row>
    <row r="8757">
      <c r="A8757" s="7">
        <v>2.0060129E7</v>
      </c>
      <c r="B8757" s="8" t="s">
        <v>5041</v>
      </c>
      <c r="C8757" s="8" t="s">
        <v>26186</v>
      </c>
      <c r="D8757" s="8" t="s">
        <v>16</v>
      </c>
      <c r="E8757" s="8" t="s">
        <v>17</v>
      </c>
      <c r="F8757" s="9">
        <v>46157.0</v>
      </c>
      <c r="G8757" s="8" t="s">
        <v>59</v>
      </c>
      <c r="H8757" s="8" t="s">
        <v>60</v>
      </c>
      <c r="I8757" s="8" t="s">
        <v>26187</v>
      </c>
      <c r="J8757" s="8" t="s">
        <v>26188</v>
      </c>
    </row>
    <row r="8758">
      <c r="A8758" s="7">
        <v>2.0055732E7</v>
      </c>
      <c r="B8758" s="8" t="s">
        <v>5041</v>
      </c>
      <c r="C8758" s="8" t="s">
        <v>26189</v>
      </c>
      <c r="D8758" s="8" t="s">
        <v>16</v>
      </c>
      <c r="E8758" s="8" t="s">
        <v>17</v>
      </c>
      <c r="F8758" s="9">
        <v>46185.0</v>
      </c>
      <c r="G8758" s="8" t="s">
        <v>6756</v>
      </c>
      <c r="H8758" s="8" t="s">
        <v>614</v>
      </c>
      <c r="I8758" s="8" t="s">
        <v>26190</v>
      </c>
      <c r="J8758" s="8" t="s">
        <v>26191</v>
      </c>
    </row>
    <row r="8759">
      <c r="A8759" s="7">
        <v>2.0056451E7</v>
      </c>
      <c r="B8759" s="8" t="s">
        <v>5041</v>
      </c>
      <c r="C8759" s="8" t="s">
        <v>26192</v>
      </c>
      <c r="D8759" s="8" t="s">
        <v>16</v>
      </c>
      <c r="E8759" s="8" t="s">
        <v>17</v>
      </c>
      <c r="F8759" s="9">
        <v>46133.0</v>
      </c>
      <c r="G8759" s="8" t="s">
        <v>59</v>
      </c>
      <c r="H8759" s="8" t="s">
        <v>60</v>
      </c>
      <c r="I8759" s="8" t="s">
        <v>26193</v>
      </c>
      <c r="J8759" s="8" t="s">
        <v>26194</v>
      </c>
    </row>
    <row r="8760">
      <c r="A8760" s="7">
        <v>2.0054996E7</v>
      </c>
      <c r="B8760" s="8" t="s">
        <v>5041</v>
      </c>
      <c r="C8760" s="8" t="s">
        <v>26195</v>
      </c>
      <c r="D8760" s="8" t="s">
        <v>16</v>
      </c>
      <c r="E8760" s="8" t="s">
        <v>17</v>
      </c>
      <c r="F8760" s="9">
        <v>46142.0</v>
      </c>
      <c r="G8760" s="8" t="s">
        <v>26196</v>
      </c>
      <c r="H8760" s="8" t="s">
        <v>26197</v>
      </c>
      <c r="I8760" s="8"/>
      <c r="J8760" s="8" t="s">
        <v>26198</v>
      </c>
    </row>
    <row r="8761">
      <c r="A8761" s="7">
        <v>2.0051142E7</v>
      </c>
      <c r="B8761" s="8" t="s">
        <v>5041</v>
      </c>
      <c r="C8761" s="8" t="s">
        <v>26199</v>
      </c>
      <c r="D8761" s="8" t="s">
        <v>16</v>
      </c>
      <c r="E8761" s="8" t="s">
        <v>17</v>
      </c>
      <c r="F8761" s="9">
        <v>46142.0</v>
      </c>
      <c r="G8761" s="8" t="s">
        <v>171</v>
      </c>
      <c r="H8761" s="8" t="s">
        <v>172</v>
      </c>
      <c r="I8761" s="8" t="s">
        <v>26200</v>
      </c>
      <c r="J8761" s="8" t="s">
        <v>26201</v>
      </c>
    </row>
    <row r="8762">
      <c r="A8762" s="7">
        <v>2.0039948E7</v>
      </c>
      <c r="B8762" s="8" t="s">
        <v>5041</v>
      </c>
      <c r="C8762" s="8" t="s">
        <v>26202</v>
      </c>
      <c r="D8762" s="8" t="s">
        <v>16</v>
      </c>
      <c r="E8762" s="8" t="s">
        <v>17</v>
      </c>
      <c r="F8762" s="9">
        <v>46075.0</v>
      </c>
      <c r="G8762" s="8" t="s">
        <v>2400</v>
      </c>
      <c r="H8762" s="8" t="s">
        <v>2401</v>
      </c>
      <c r="I8762" s="8" t="s">
        <v>26203</v>
      </c>
      <c r="J8762" s="8" t="s">
        <v>5189</v>
      </c>
    </row>
    <row r="8763">
      <c r="A8763" s="7">
        <v>2.0061343E7</v>
      </c>
      <c r="B8763" s="8" t="s">
        <v>5041</v>
      </c>
      <c r="C8763" s="8" t="s">
        <v>26204</v>
      </c>
      <c r="D8763" s="8" t="s">
        <v>16</v>
      </c>
      <c r="E8763" s="8" t="s">
        <v>17</v>
      </c>
      <c r="F8763" s="9">
        <v>46181.0</v>
      </c>
      <c r="G8763" s="8" t="s">
        <v>436</v>
      </c>
      <c r="H8763" s="8" t="s">
        <v>437</v>
      </c>
      <c r="I8763" s="8" t="s">
        <v>26205</v>
      </c>
      <c r="J8763" s="8" t="s">
        <v>26206</v>
      </c>
    </row>
    <row r="8764">
      <c r="A8764" s="7">
        <v>2.0055838E7</v>
      </c>
      <c r="B8764" s="8" t="s">
        <v>5041</v>
      </c>
      <c r="C8764" s="8" t="s">
        <v>26207</v>
      </c>
      <c r="D8764" s="8" t="s">
        <v>16</v>
      </c>
      <c r="E8764" s="8" t="s">
        <v>17</v>
      </c>
      <c r="F8764" s="9">
        <v>46147.0</v>
      </c>
      <c r="G8764" s="8" t="s">
        <v>390</v>
      </c>
      <c r="H8764" s="8" t="s">
        <v>391</v>
      </c>
      <c r="I8764" s="8" t="s">
        <v>26208</v>
      </c>
      <c r="J8764" s="8" t="s">
        <v>26209</v>
      </c>
    </row>
    <row r="8765">
      <c r="A8765" s="7">
        <v>2.0054554E7</v>
      </c>
      <c r="B8765" s="8" t="s">
        <v>5041</v>
      </c>
      <c r="C8765" s="8" t="s">
        <v>26210</v>
      </c>
      <c r="D8765" s="8" t="s">
        <v>16</v>
      </c>
      <c r="E8765" s="8" t="s">
        <v>17</v>
      </c>
      <c r="F8765" s="9">
        <v>46130.0</v>
      </c>
      <c r="G8765" s="8" t="s">
        <v>11113</v>
      </c>
      <c r="H8765" s="8" t="s">
        <v>11114</v>
      </c>
      <c r="I8765" s="8" t="s">
        <v>26211</v>
      </c>
      <c r="J8765" s="8" t="s">
        <v>26212</v>
      </c>
    </row>
    <row r="8766">
      <c r="A8766" s="7">
        <v>2.0038437E7</v>
      </c>
      <c r="B8766" s="8" t="s">
        <v>5041</v>
      </c>
      <c r="C8766" s="8" t="s">
        <v>26213</v>
      </c>
      <c r="D8766" s="8" t="s">
        <v>16</v>
      </c>
      <c r="E8766" s="8" t="s">
        <v>17</v>
      </c>
      <c r="F8766" s="9">
        <v>46066.0</v>
      </c>
      <c r="G8766" s="8" t="s">
        <v>1427</v>
      </c>
      <c r="H8766" s="8" t="s">
        <v>1428</v>
      </c>
      <c r="I8766" s="8" t="s">
        <v>26214</v>
      </c>
      <c r="J8766" s="8" t="s">
        <v>26215</v>
      </c>
    </row>
    <row r="8767">
      <c r="A8767" s="7">
        <v>2.0037099E7</v>
      </c>
      <c r="B8767" s="8" t="s">
        <v>5041</v>
      </c>
      <c r="C8767" s="8" t="s">
        <v>26216</v>
      </c>
      <c r="D8767" s="8" t="s">
        <v>16</v>
      </c>
      <c r="E8767" s="8" t="s">
        <v>17</v>
      </c>
      <c r="F8767" s="9">
        <v>46065.0</v>
      </c>
      <c r="G8767" s="8" t="s">
        <v>486</v>
      </c>
      <c r="H8767" s="8" t="s">
        <v>487</v>
      </c>
      <c r="I8767" s="8" t="s">
        <v>26217</v>
      </c>
      <c r="J8767" s="8" t="s">
        <v>26218</v>
      </c>
    </row>
    <row r="8768">
      <c r="A8768" s="7">
        <v>2.0064609E7</v>
      </c>
      <c r="B8768" s="8" t="s">
        <v>2426</v>
      </c>
      <c r="C8768" s="8" t="s">
        <v>26219</v>
      </c>
      <c r="D8768" s="8" t="s">
        <v>16</v>
      </c>
      <c r="E8768" s="8" t="s">
        <v>17</v>
      </c>
      <c r="F8768" s="9">
        <v>46166.0</v>
      </c>
      <c r="G8768" s="8" t="s">
        <v>59</v>
      </c>
      <c r="H8768" s="8" t="s">
        <v>60</v>
      </c>
      <c r="I8768" s="8" t="s">
        <v>26220</v>
      </c>
      <c r="J8768" s="8" t="s">
        <v>26221</v>
      </c>
    </row>
    <row r="8769">
      <c r="A8769" s="7">
        <v>2.0062167E7</v>
      </c>
      <c r="B8769" s="8" t="s">
        <v>2426</v>
      </c>
      <c r="C8769" s="8" t="s">
        <v>26222</v>
      </c>
      <c r="D8769" s="8" t="s">
        <v>16</v>
      </c>
      <c r="E8769" s="8" t="s">
        <v>17</v>
      </c>
      <c r="F8769" s="9">
        <v>46162.0</v>
      </c>
      <c r="G8769" s="8" t="s">
        <v>3585</v>
      </c>
      <c r="H8769" s="8" t="s">
        <v>3586</v>
      </c>
      <c r="I8769" s="8" t="s">
        <v>26223</v>
      </c>
      <c r="J8769" s="8" t="s">
        <v>26224</v>
      </c>
    </row>
    <row r="8770">
      <c r="A8770" s="7">
        <v>2.0062157E7</v>
      </c>
      <c r="B8770" s="8" t="s">
        <v>2426</v>
      </c>
      <c r="C8770" s="8" t="s">
        <v>26225</v>
      </c>
      <c r="D8770" s="8" t="s">
        <v>16</v>
      </c>
      <c r="E8770" s="8" t="s">
        <v>17</v>
      </c>
      <c r="F8770" s="9">
        <v>46180.0</v>
      </c>
      <c r="G8770" s="8" t="s">
        <v>1998</v>
      </c>
      <c r="H8770" s="8" t="s">
        <v>1999</v>
      </c>
      <c r="I8770" s="8" t="s">
        <v>26226</v>
      </c>
      <c r="J8770" s="8" t="s">
        <v>26227</v>
      </c>
    </row>
    <row r="8771">
      <c r="A8771" s="7">
        <v>2.0061843E7</v>
      </c>
      <c r="B8771" s="8" t="s">
        <v>2426</v>
      </c>
      <c r="C8771" s="8" t="s">
        <v>26228</v>
      </c>
      <c r="D8771" s="8" t="s">
        <v>16</v>
      </c>
      <c r="E8771" s="8" t="s">
        <v>17</v>
      </c>
      <c r="F8771" s="9">
        <v>46179.0</v>
      </c>
      <c r="G8771" s="8" t="s">
        <v>436</v>
      </c>
      <c r="H8771" s="8" t="s">
        <v>437</v>
      </c>
      <c r="I8771" s="8" t="s">
        <v>26229</v>
      </c>
      <c r="J8771" s="8" t="s">
        <v>26230</v>
      </c>
    </row>
    <row r="8772">
      <c r="A8772" s="7">
        <v>2.0059805E7</v>
      </c>
      <c r="B8772" s="8" t="s">
        <v>2426</v>
      </c>
      <c r="C8772" s="8" t="s">
        <v>26231</v>
      </c>
      <c r="D8772" s="8" t="s">
        <v>16</v>
      </c>
      <c r="E8772" s="8" t="s">
        <v>17</v>
      </c>
      <c r="F8772" s="9">
        <v>46143.0</v>
      </c>
      <c r="G8772" s="8" t="s">
        <v>6235</v>
      </c>
      <c r="H8772" s="8" t="s">
        <v>6236</v>
      </c>
      <c r="I8772" s="8" t="s">
        <v>26232</v>
      </c>
      <c r="J8772" s="8" t="s">
        <v>26233</v>
      </c>
    </row>
    <row r="8773">
      <c r="A8773" s="7">
        <v>2.0058356E7</v>
      </c>
      <c r="B8773" s="8" t="s">
        <v>2426</v>
      </c>
      <c r="C8773" s="8" t="s">
        <v>26234</v>
      </c>
      <c r="D8773" s="8" t="s">
        <v>16</v>
      </c>
      <c r="E8773" s="8" t="s">
        <v>17</v>
      </c>
      <c r="F8773" s="9">
        <v>46157.0</v>
      </c>
      <c r="G8773" s="8" t="s">
        <v>4148</v>
      </c>
      <c r="H8773" s="8" t="s">
        <v>4149</v>
      </c>
      <c r="I8773" s="8" t="s">
        <v>26235</v>
      </c>
      <c r="J8773" s="8" t="s">
        <v>26236</v>
      </c>
    </row>
    <row r="8774">
      <c r="A8774" s="7">
        <v>2.0055488E7</v>
      </c>
      <c r="B8774" s="8" t="s">
        <v>2426</v>
      </c>
      <c r="C8774" s="8" t="s">
        <v>26237</v>
      </c>
      <c r="D8774" s="8" t="s">
        <v>16</v>
      </c>
      <c r="E8774" s="8" t="s">
        <v>17</v>
      </c>
      <c r="F8774" s="9">
        <v>46143.0</v>
      </c>
      <c r="G8774" s="8" t="s">
        <v>688</v>
      </c>
      <c r="H8774" s="8" t="s">
        <v>689</v>
      </c>
      <c r="I8774" s="8" t="s">
        <v>26238</v>
      </c>
      <c r="J8774" s="8" t="s">
        <v>26239</v>
      </c>
    </row>
    <row r="8775">
      <c r="A8775" s="7">
        <v>2.0053488E7</v>
      </c>
      <c r="B8775" s="8" t="s">
        <v>2426</v>
      </c>
      <c r="C8775" s="8" t="s">
        <v>26240</v>
      </c>
      <c r="D8775" s="8" t="s">
        <v>16</v>
      </c>
      <c r="E8775" s="8" t="s">
        <v>17</v>
      </c>
      <c r="F8775" s="9">
        <v>46134.0</v>
      </c>
      <c r="G8775" s="8" t="s">
        <v>158</v>
      </c>
      <c r="H8775" s="8" t="s">
        <v>159</v>
      </c>
      <c r="I8775" s="8" t="s">
        <v>26241</v>
      </c>
      <c r="J8775" s="8" t="s">
        <v>26242</v>
      </c>
    </row>
    <row r="8776">
      <c r="A8776" s="7">
        <v>2.0050865E7</v>
      </c>
      <c r="B8776" s="8" t="s">
        <v>2426</v>
      </c>
      <c r="C8776" s="8" t="s">
        <v>26243</v>
      </c>
      <c r="D8776" s="8" t="s">
        <v>16</v>
      </c>
      <c r="E8776" s="8" t="s">
        <v>17</v>
      </c>
      <c r="F8776" s="9">
        <v>46124.0</v>
      </c>
      <c r="G8776" s="8" t="s">
        <v>26244</v>
      </c>
      <c r="H8776" s="8" t="s">
        <v>26245</v>
      </c>
      <c r="I8776" s="8" t="s">
        <v>26246</v>
      </c>
      <c r="J8776" s="8" t="s">
        <v>26247</v>
      </c>
    </row>
    <row r="8777">
      <c r="A8777" s="7">
        <v>2.003602E7</v>
      </c>
      <c r="B8777" s="8" t="s">
        <v>2426</v>
      </c>
      <c r="C8777" s="8" t="s">
        <v>26248</v>
      </c>
      <c r="D8777" s="8" t="s">
        <v>16</v>
      </c>
      <c r="E8777" s="8" t="s">
        <v>17</v>
      </c>
      <c r="F8777" s="9">
        <v>46058.0</v>
      </c>
      <c r="G8777" s="8" t="s">
        <v>75</v>
      </c>
      <c r="H8777" s="8" t="s">
        <v>76</v>
      </c>
      <c r="I8777" s="8" t="s">
        <v>26249</v>
      </c>
      <c r="J8777" s="8" t="s">
        <v>26250</v>
      </c>
    </row>
    <row r="8778">
      <c r="A8778" s="7">
        <v>2.0034794E7</v>
      </c>
      <c r="B8778" s="8" t="s">
        <v>2426</v>
      </c>
      <c r="C8778" s="8" t="s">
        <v>26251</v>
      </c>
      <c r="D8778" s="8" t="s">
        <v>16</v>
      </c>
      <c r="E8778" s="8" t="s">
        <v>17</v>
      </c>
      <c r="F8778" s="9">
        <v>46062.0</v>
      </c>
      <c r="G8778" s="8" t="s">
        <v>543</v>
      </c>
      <c r="H8778" s="8" t="s">
        <v>544</v>
      </c>
      <c r="I8778" s="8" t="s">
        <v>26252</v>
      </c>
      <c r="J8778" s="8" t="s">
        <v>26253</v>
      </c>
    </row>
    <row r="8779">
      <c r="A8779" s="7">
        <v>2.0031072E7</v>
      </c>
      <c r="B8779" s="8" t="s">
        <v>2426</v>
      </c>
      <c r="C8779" s="8" t="s">
        <v>26254</v>
      </c>
      <c r="D8779" s="8" t="s">
        <v>16</v>
      </c>
      <c r="E8779" s="8" t="s">
        <v>17</v>
      </c>
      <c r="F8779" s="9">
        <v>46057.0</v>
      </c>
      <c r="G8779" s="8" t="s">
        <v>1627</v>
      </c>
      <c r="H8779" s="8" t="s">
        <v>1628</v>
      </c>
      <c r="I8779" s="8" t="s">
        <v>26255</v>
      </c>
      <c r="J8779" s="8" t="s">
        <v>26256</v>
      </c>
    </row>
    <row r="8780">
      <c r="A8780" s="7">
        <v>2.0030555E7</v>
      </c>
      <c r="B8780" s="8" t="s">
        <v>2426</v>
      </c>
      <c r="C8780" s="8" t="s">
        <v>26257</v>
      </c>
      <c r="D8780" s="8" t="s">
        <v>16</v>
      </c>
      <c r="E8780" s="8" t="s">
        <v>17</v>
      </c>
      <c r="F8780" s="9">
        <v>46047.0</v>
      </c>
      <c r="G8780" s="8" t="s">
        <v>5105</v>
      </c>
      <c r="H8780" s="8" t="s">
        <v>909</v>
      </c>
      <c r="I8780" s="8" t="s">
        <v>26258</v>
      </c>
      <c r="J8780" s="8" t="s">
        <v>26259</v>
      </c>
    </row>
    <row r="8781">
      <c r="A8781" s="7">
        <v>2.0065005E7</v>
      </c>
      <c r="B8781" s="8" t="s">
        <v>2426</v>
      </c>
      <c r="C8781" s="8" t="s">
        <v>26260</v>
      </c>
      <c r="D8781" s="8" t="s">
        <v>16</v>
      </c>
      <c r="E8781" s="8" t="s">
        <v>17</v>
      </c>
      <c r="F8781" s="9">
        <v>46171.0</v>
      </c>
      <c r="G8781" s="8" t="s">
        <v>59</v>
      </c>
      <c r="H8781" s="8" t="s">
        <v>60</v>
      </c>
      <c r="I8781" s="8" t="s">
        <v>26261</v>
      </c>
      <c r="J8781" s="8" t="s">
        <v>26262</v>
      </c>
    </row>
    <row r="8782">
      <c r="A8782" s="7">
        <v>2.0055442E7</v>
      </c>
      <c r="B8782" s="8" t="s">
        <v>2426</v>
      </c>
      <c r="C8782" s="8" t="s">
        <v>26263</v>
      </c>
      <c r="D8782" s="8" t="s">
        <v>16</v>
      </c>
      <c r="E8782" s="8" t="s">
        <v>17</v>
      </c>
      <c r="F8782" s="9">
        <v>46126.0</v>
      </c>
      <c r="G8782" s="8" t="s">
        <v>220</v>
      </c>
      <c r="H8782" s="8" t="s">
        <v>221</v>
      </c>
      <c r="I8782" s="8" t="s">
        <v>26264</v>
      </c>
      <c r="J8782" s="8" t="s">
        <v>26265</v>
      </c>
    </row>
    <row r="8783">
      <c r="A8783" s="7">
        <v>2.0054682E7</v>
      </c>
      <c r="B8783" s="8" t="s">
        <v>2426</v>
      </c>
      <c r="C8783" s="8" t="s">
        <v>26266</v>
      </c>
      <c r="D8783" s="8" t="s">
        <v>16</v>
      </c>
      <c r="E8783" s="8" t="s">
        <v>17</v>
      </c>
      <c r="F8783" s="9">
        <v>46134.0</v>
      </c>
      <c r="G8783" s="8" t="s">
        <v>171</v>
      </c>
      <c r="H8783" s="8" t="s">
        <v>172</v>
      </c>
      <c r="I8783" s="8" t="s">
        <v>26267</v>
      </c>
      <c r="J8783" s="8" t="s">
        <v>26268</v>
      </c>
    </row>
    <row r="8784">
      <c r="A8784" s="7">
        <v>2.0054198E7</v>
      </c>
      <c r="B8784" s="8" t="s">
        <v>2426</v>
      </c>
      <c r="C8784" s="8" t="s">
        <v>26269</v>
      </c>
      <c r="D8784" s="8" t="s">
        <v>16</v>
      </c>
      <c r="E8784" s="8" t="s">
        <v>17</v>
      </c>
      <c r="F8784" s="9">
        <v>46134.0</v>
      </c>
      <c r="G8784" s="8" t="s">
        <v>26270</v>
      </c>
      <c r="H8784" s="8" t="s">
        <v>26271</v>
      </c>
      <c r="I8784" s="8" t="s">
        <v>26272</v>
      </c>
      <c r="J8784" s="8" t="s">
        <v>26273</v>
      </c>
    </row>
    <row r="8785">
      <c r="A8785" s="7">
        <v>2.0052609E7</v>
      </c>
      <c r="B8785" s="8" t="s">
        <v>2426</v>
      </c>
      <c r="C8785" s="8" t="s">
        <v>26274</v>
      </c>
      <c r="D8785" s="8" t="s">
        <v>16</v>
      </c>
      <c r="E8785" s="8" t="s">
        <v>17</v>
      </c>
      <c r="F8785" s="9">
        <v>46127.0</v>
      </c>
      <c r="G8785" s="8" t="s">
        <v>22229</v>
      </c>
      <c r="H8785" s="8" t="s">
        <v>22230</v>
      </c>
      <c r="I8785" s="8" t="s">
        <v>26275</v>
      </c>
      <c r="J8785" s="8" t="s">
        <v>26276</v>
      </c>
    </row>
    <row r="8786">
      <c r="A8786" s="7">
        <v>2.0047713E7</v>
      </c>
      <c r="B8786" s="8" t="s">
        <v>2426</v>
      </c>
      <c r="C8786" s="8" t="s">
        <v>26277</v>
      </c>
      <c r="D8786" s="8" t="s">
        <v>16</v>
      </c>
      <c r="E8786" s="8" t="s">
        <v>17</v>
      </c>
      <c r="F8786" s="9">
        <v>46110.0</v>
      </c>
      <c r="G8786" s="8" t="s">
        <v>16405</v>
      </c>
      <c r="H8786" s="8" t="s">
        <v>16406</v>
      </c>
      <c r="I8786" s="8" t="s">
        <v>26278</v>
      </c>
      <c r="J8786" s="8" t="s">
        <v>26279</v>
      </c>
    </row>
    <row r="8787">
      <c r="A8787" s="7">
        <v>2.0044773E7</v>
      </c>
      <c r="B8787" s="8" t="s">
        <v>2426</v>
      </c>
      <c r="C8787" s="8" t="s">
        <v>26280</v>
      </c>
      <c r="D8787" s="8" t="s">
        <v>16</v>
      </c>
      <c r="E8787" s="8" t="s">
        <v>17</v>
      </c>
      <c r="F8787" s="9">
        <v>46095.0</v>
      </c>
      <c r="G8787" s="8" t="s">
        <v>2511</v>
      </c>
      <c r="H8787" s="8" t="s">
        <v>2512</v>
      </c>
      <c r="I8787" s="8" t="s">
        <v>26281</v>
      </c>
      <c r="J8787" s="8" t="s">
        <v>26282</v>
      </c>
    </row>
    <row r="8788">
      <c r="A8788" s="7">
        <v>2.0034838E7</v>
      </c>
      <c r="B8788" s="8" t="s">
        <v>2426</v>
      </c>
      <c r="C8788" s="8" t="s">
        <v>26283</v>
      </c>
      <c r="D8788" s="8" t="s">
        <v>16</v>
      </c>
      <c r="E8788" s="8" t="s">
        <v>17</v>
      </c>
      <c r="F8788" s="9">
        <v>46107.0</v>
      </c>
      <c r="G8788" s="8" t="s">
        <v>158</v>
      </c>
      <c r="H8788" s="8" t="s">
        <v>159</v>
      </c>
      <c r="I8788" s="8" t="s">
        <v>26284</v>
      </c>
      <c r="J8788" s="8" t="s">
        <v>26285</v>
      </c>
    </row>
    <row r="8789">
      <c r="A8789" s="7">
        <v>2.0044324E7</v>
      </c>
      <c r="B8789" s="8" t="s">
        <v>2426</v>
      </c>
      <c r="C8789" s="8" t="s">
        <v>26286</v>
      </c>
      <c r="D8789" s="8" t="s">
        <v>16</v>
      </c>
      <c r="E8789" s="8" t="s">
        <v>48</v>
      </c>
      <c r="F8789" s="9">
        <v>46085.0</v>
      </c>
      <c r="G8789" s="8" t="s">
        <v>273</v>
      </c>
      <c r="H8789" s="8" t="s">
        <v>274</v>
      </c>
      <c r="I8789" s="8" t="s">
        <v>26287</v>
      </c>
      <c r="J8789" s="8" t="s">
        <v>26288</v>
      </c>
    </row>
    <row r="8790">
      <c r="A8790" s="7">
        <v>2.0044324E7</v>
      </c>
      <c r="B8790" s="8" t="s">
        <v>2426</v>
      </c>
      <c r="C8790" s="8" t="s">
        <v>26286</v>
      </c>
      <c r="D8790" s="8" t="s">
        <v>16</v>
      </c>
      <c r="E8790" s="8" t="s">
        <v>48</v>
      </c>
      <c r="F8790" s="9">
        <v>46085.0</v>
      </c>
      <c r="G8790" s="8" t="s">
        <v>277</v>
      </c>
      <c r="H8790" s="8" t="s">
        <v>278</v>
      </c>
      <c r="I8790" s="8" t="s">
        <v>26289</v>
      </c>
      <c r="J8790" s="8" t="s">
        <v>26290</v>
      </c>
    </row>
    <row r="8791">
      <c r="A8791" s="7">
        <v>2.0043261E7</v>
      </c>
      <c r="B8791" s="8" t="s">
        <v>2426</v>
      </c>
      <c r="C8791" s="8" t="s">
        <v>26291</v>
      </c>
      <c r="D8791" s="8" t="s">
        <v>16</v>
      </c>
      <c r="E8791" s="8" t="s">
        <v>17</v>
      </c>
      <c r="F8791" s="9">
        <v>46091.0</v>
      </c>
      <c r="G8791" s="8" t="s">
        <v>666</v>
      </c>
      <c r="H8791" s="8" t="s">
        <v>667</v>
      </c>
      <c r="I8791" s="8" t="s">
        <v>26292</v>
      </c>
      <c r="J8791" s="8" t="s">
        <v>26293</v>
      </c>
    </row>
    <row r="8792">
      <c r="A8792" s="7">
        <v>2.0035675E7</v>
      </c>
      <c r="B8792" s="8" t="s">
        <v>2426</v>
      </c>
      <c r="C8792" s="8" t="s">
        <v>26294</v>
      </c>
      <c r="D8792" s="8" t="s">
        <v>16</v>
      </c>
      <c r="E8792" s="8" t="s">
        <v>17</v>
      </c>
      <c r="F8792" s="9">
        <v>46063.0</v>
      </c>
      <c r="G8792" s="8" t="s">
        <v>1969</v>
      </c>
      <c r="H8792" s="8" t="s">
        <v>1970</v>
      </c>
      <c r="I8792" s="8" t="s">
        <v>26295</v>
      </c>
      <c r="J8792" s="8" t="s">
        <v>26296</v>
      </c>
    </row>
    <row r="8793">
      <c r="A8793" s="7">
        <v>2.0035328E7</v>
      </c>
      <c r="B8793" s="8" t="s">
        <v>2426</v>
      </c>
      <c r="C8793" s="8" t="s">
        <v>26297</v>
      </c>
      <c r="D8793" s="8" t="s">
        <v>16</v>
      </c>
      <c r="E8793" s="8" t="s">
        <v>17</v>
      </c>
      <c r="F8793" s="9">
        <v>46053.0</v>
      </c>
      <c r="G8793" s="8" t="s">
        <v>49</v>
      </c>
      <c r="H8793" s="8" t="s">
        <v>50</v>
      </c>
      <c r="I8793" s="8" t="s">
        <v>26298</v>
      </c>
      <c r="J8793" s="8" t="s">
        <v>26299</v>
      </c>
    </row>
    <row r="8794">
      <c r="A8794" s="7">
        <v>2.0033715E7</v>
      </c>
      <c r="B8794" s="8" t="s">
        <v>2426</v>
      </c>
      <c r="C8794" s="8" t="s">
        <v>26300</v>
      </c>
      <c r="D8794" s="8" t="s">
        <v>16</v>
      </c>
      <c r="E8794" s="8" t="s">
        <v>17</v>
      </c>
      <c r="F8794" s="9">
        <v>46062.0</v>
      </c>
      <c r="G8794" s="8" t="s">
        <v>390</v>
      </c>
      <c r="H8794" s="8" t="s">
        <v>391</v>
      </c>
      <c r="I8794" s="8" t="s">
        <v>26301</v>
      </c>
      <c r="J8794" s="8" t="s">
        <v>26302</v>
      </c>
    </row>
    <row r="8795">
      <c r="A8795" s="7">
        <v>2.003189E7</v>
      </c>
      <c r="B8795" s="8" t="s">
        <v>2426</v>
      </c>
      <c r="C8795" s="8" t="s">
        <v>26303</v>
      </c>
      <c r="D8795" s="8" t="s">
        <v>16</v>
      </c>
      <c r="E8795" s="8" t="s">
        <v>17</v>
      </c>
      <c r="F8795" s="9">
        <v>46053.0</v>
      </c>
      <c r="G8795" s="8" t="s">
        <v>800</v>
      </c>
      <c r="H8795" s="8" t="s">
        <v>801</v>
      </c>
      <c r="I8795" s="8" t="s">
        <v>26304</v>
      </c>
      <c r="J8795" s="8" t="s">
        <v>26305</v>
      </c>
    </row>
    <row r="8796">
      <c r="A8796" s="7">
        <v>2.0068163E7</v>
      </c>
      <c r="B8796" s="8" t="s">
        <v>2426</v>
      </c>
      <c r="C8796" s="8" t="s">
        <v>26306</v>
      </c>
      <c r="D8796" s="8" t="s">
        <v>16</v>
      </c>
      <c r="E8796" s="8" t="s">
        <v>17</v>
      </c>
      <c r="F8796" s="9">
        <v>46182.0</v>
      </c>
      <c r="G8796" s="8" t="s">
        <v>339</v>
      </c>
      <c r="H8796" s="8" t="s">
        <v>340</v>
      </c>
      <c r="I8796" s="8" t="s">
        <v>26307</v>
      </c>
      <c r="J8796" s="8" t="s">
        <v>26308</v>
      </c>
    </row>
    <row r="8797">
      <c r="A8797" s="7">
        <v>2.0066563E7</v>
      </c>
      <c r="B8797" s="8" t="s">
        <v>2426</v>
      </c>
      <c r="C8797" s="8" t="s">
        <v>26309</v>
      </c>
      <c r="D8797" s="8" t="s">
        <v>16</v>
      </c>
      <c r="E8797" s="8" t="s">
        <v>17</v>
      </c>
      <c r="F8797" s="9">
        <v>46193.0</v>
      </c>
      <c r="G8797" s="8" t="s">
        <v>158</v>
      </c>
      <c r="H8797" s="8" t="s">
        <v>159</v>
      </c>
      <c r="I8797" s="8" t="s">
        <v>26310</v>
      </c>
      <c r="J8797" s="8" t="s">
        <v>26311</v>
      </c>
    </row>
    <row r="8798">
      <c r="A8798" s="7">
        <v>2.0064833E7</v>
      </c>
      <c r="B8798" s="8" t="s">
        <v>2426</v>
      </c>
      <c r="C8798" s="8" t="s">
        <v>26312</v>
      </c>
      <c r="D8798" s="8" t="s">
        <v>16</v>
      </c>
      <c r="E8798" s="8" t="s">
        <v>17</v>
      </c>
      <c r="F8798" s="9">
        <v>46175.0</v>
      </c>
      <c r="G8798" s="8" t="s">
        <v>29</v>
      </c>
      <c r="H8798" s="8" t="s">
        <v>30</v>
      </c>
      <c r="I8798" s="8" t="s">
        <v>26313</v>
      </c>
      <c r="J8798" s="8" t="s">
        <v>26314</v>
      </c>
    </row>
    <row r="8799">
      <c r="A8799" s="7">
        <v>2.0061466E7</v>
      </c>
      <c r="B8799" s="8" t="s">
        <v>2426</v>
      </c>
      <c r="C8799" s="8" t="s">
        <v>26315</v>
      </c>
      <c r="D8799" s="8" t="s">
        <v>16</v>
      </c>
      <c r="E8799" s="8" t="s">
        <v>17</v>
      </c>
      <c r="F8799" s="9">
        <v>46184.0</v>
      </c>
      <c r="G8799" s="8" t="s">
        <v>390</v>
      </c>
      <c r="H8799" s="8" t="s">
        <v>391</v>
      </c>
      <c r="I8799" s="8" t="s">
        <v>26316</v>
      </c>
      <c r="J8799" s="8" t="s">
        <v>26317</v>
      </c>
    </row>
    <row r="8800">
      <c r="A8800" s="7">
        <v>2.0055836E7</v>
      </c>
      <c r="B8800" s="8" t="s">
        <v>2426</v>
      </c>
      <c r="C8800" s="8" t="s">
        <v>26318</v>
      </c>
      <c r="D8800" s="8" t="s">
        <v>16</v>
      </c>
      <c r="E8800" s="8" t="s">
        <v>17</v>
      </c>
      <c r="F8800" s="9">
        <v>46144.0</v>
      </c>
      <c r="G8800" s="8" t="s">
        <v>361</v>
      </c>
      <c r="H8800" s="8" t="s">
        <v>362</v>
      </c>
      <c r="I8800" s="8" t="s">
        <v>26319</v>
      </c>
      <c r="J8800" s="8" t="s">
        <v>26320</v>
      </c>
    </row>
    <row r="8801">
      <c r="A8801" s="7">
        <v>2.0045839E7</v>
      </c>
      <c r="B8801" s="8" t="s">
        <v>2426</v>
      </c>
      <c r="C8801" s="8" t="s">
        <v>26321</v>
      </c>
      <c r="D8801" s="8" t="s">
        <v>16</v>
      </c>
      <c r="E8801" s="8" t="s">
        <v>17</v>
      </c>
      <c r="F8801" s="9">
        <v>46121.0</v>
      </c>
      <c r="G8801" s="8" t="s">
        <v>91</v>
      </c>
      <c r="H8801" s="8" t="s">
        <v>92</v>
      </c>
      <c r="I8801" s="8" t="s">
        <v>26322</v>
      </c>
      <c r="J8801" s="8" t="s">
        <v>26323</v>
      </c>
    </row>
    <row r="8802">
      <c r="A8802" s="7">
        <v>2.0048481E7</v>
      </c>
      <c r="B8802" s="8" t="s">
        <v>2426</v>
      </c>
      <c r="C8802" s="8" t="s">
        <v>26324</v>
      </c>
      <c r="D8802" s="8" t="s">
        <v>16</v>
      </c>
      <c r="E8802" s="8" t="s">
        <v>17</v>
      </c>
      <c r="F8802" s="9">
        <v>46111.0</v>
      </c>
      <c r="G8802" s="8" t="s">
        <v>846</v>
      </c>
      <c r="H8802" s="8" t="s">
        <v>847</v>
      </c>
      <c r="I8802" s="8" t="s">
        <v>26325</v>
      </c>
      <c r="J8802" s="8" t="s">
        <v>26326</v>
      </c>
    </row>
    <row r="8803">
      <c r="A8803" s="7">
        <v>2.0047795E7</v>
      </c>
      <c r="B8803" s="8" t="s">
        <v>2426</v>
      </c>
      <c r="C8803" s="8" t="s">
        <v>26327</v>
      </c>
      <c r="D8803" s="8" t="s">
        <v>16</v>
      </c>
      <c r="E8803" s="8" t="s">
        <v>17</v>
      </c>
      <c r="F8803" s="9">
        <v>46109.0</v>
      </c>
      <c r="G8803" s="8" t="s">
        <v>176</v>
      </c>
      <c r="H8803" s="8" t="s">
        <v>177</v>
      </c>
      <c r="I8803" s="8" t="s">
        <v>26328</v>
      </c>
      <c r="J8803" s="8" t="s">
        <v>26329</v>
      </c>
    </row>
    <row r="8804">
      <c r="A8804" s="7">
        <v>2.0047834E7</v>
      </c>
      <c r="B8804" s="8" t="s">
        <v>2426</v>
      </c>
      <c r="C8804" s="8" t="s">
        <v>26330</v>
      </c>
      <c r="D8804" s="8" t="s">
        <v>16</v>
      </c>
      <c r="E8804" s="8" t="s">
        <v>17</v>
      </c>
      <c r="F8804" s="9">
        <v>46106.0</v>
      </c>
      <c r="G8804" s="8" t="s">
        <v>436</v>
      </c>
      <c r="H8804" s="8" t="s">
        <v>437</v>
      </c>
      <c r="I8804" s="8" t="s">
        <v>26331</v>
      </c>
      <c r="J8804" s="8" t="s">
        <v>26332</v>
      </c>
    </row>
    <row r="8805">
      <c r="A8805" s="7">
        <v>2.0045041E7</v>
      </c>
      <c r="B8805" s="8" t="s">
        <v>2426</v>
      </c>
      <c r="C8805" s="8" t="s">
        <v>26333</v>
      </c>
      <c r="D8805" s="8" t="s">
        <v>16</v>
      </c>
      <c r="E8805" s="8" t="s">
        <v>17</v>
      </c>
      <c r="F8805" s="9">
        <v>46097.0</v>
      </c>
      <c r="G8805" s="8" t="s">
        <v>59</v>
      </c>
      <c r="H8805" s="8" t="s">
        <v>60</v>
      </c>
      <c r="I8805" s="8" t="s">
        <v>26334</v>
      </c>
      <c r="J8805" s="8" t="s">
        <v>26335</v>
      </c>
    </row>
    <row r="8806">
      <c r="A8806" s="7">
        <v>2.0042543E7</v>
      </c>
      <c r="B8806" s="8" t="s">
        <v>2426</v>
      </c>
      <c r="C8806" s="8" t="s">
        <v>26336</v>
      </c>
      <c r="D8806" s="8" t="s">
        <v>16</v>
      </c>
      <c r="E8806" s="8" t="s">
        <v>17</v>
      </c>
      <c r="F8806" s="9">
        <v>46092.0</v>
      </c>
      <c r="G8806" s="8" t="s">
        <v>543</v>
      </c>
      <c r="H8806" s="8" t="s">
        <v>544</v>
      </c>
      <c r="I8806" s="8" t="s">
        <v>26337</v>
      </c>
      <c r="J8806" s="8" t="s">
        <v>26338</v>
      </c>
    </row>
    <row r="8807">
      <c r="A8807" s="7">
        <v>2.0039038E7</v>
      </c>
      <c r="B8807" s="8" t="s">
        <v>2426</v>
      </c>
      <c r="C8807" s="8" t="s">
        <v>26339</v>
      </c>
      <c r="D8807" s="8" t="s">
        <v>16</v>
      </c>
      <c r="E8807" s="8" t="s">
        <v>17</v>
      </c>
      <c r="F8807" s="9">
        <v>46082.0</v>
      </c>
      <c r="G8807" s="8" t="s">
        <v>34</v>
      </c>
      <c r="H8807" s="8" t="s">
        <v>35</v>
      </c>
      <c r="I8807" s="8" t="s">
        <v>26340</v>
      </c>
      <c r="J8807" s="8" t="s">
        <v>26341</v>
      </c>
    </row>
    <row r="8808">
      <c r="A8808" s="7">
        <v>2.0039146E7</v>
      </c>
      <c r="B8808" s="8" t="s">
        <v>2426</v>
      </c>
      <c r="C8808" s="8" t="s">
        <v>26342</v>
      </c>
      <c r="D8808" s="8" t="s">
        <v>16</v>
      </c>
      <c r="E8808" s="8" t="s">
        <v>17</v>
      </c>
      <c r="F8808" s="9">
        <v>46080.0</v>
      </c>
      <c r="G8808" s="8" t="s">
        <v>1085</v>
      </c>
      <c r="H8808" s="8" t="s">
        <v>1086</v>
      </c>
      <c r="I8808" s="8" t="s">
        <v>26343</v>
      </c>
      <c r="J8808" s="8" t="s">
        <v>26344</v>
      </c>
    </row>
    <row r="8809">
      <c r="A8809" s="7">
        <v>2.0039302E7</v>
      </c>
      <c r="B8809" s="8" t="s">
        <v>2426</v>
      </c>
      <c r="C8809" s="8" t="s">
        <v>26345</v>
      </c>
      <c r="D8809" s="8" t="s">
        <v>16</v>
      </c>
      <c r="E8809" s="8" t="s">
        <v>17</v>
      </c>
      <c r="F8809" s="9">
        <v>46068.0</v>
      </c>
      <c r="G8809" s="8" t="s">
        <v>339</v>
      </c>
      <c r="H8809" s="8" t="s">
        <v>340</v>
      </c>
      <c r="I8809" s="8" t="s">
        <v>26346</v>
      </c>
      <c r="J8809" s="8" t="s">
        <v>26347</v>
      </c>
    </row>
    <row r="8810">
      <c r="A8810" s="7">
        <v>2.0039073E7</v>
      </c>
      <c r="B8810" s="8" t="s">
        <v>2426</v>
      </c>
      <c r="C8810" s="8" t="s">
        <v>26348</v>
      </c>
      <c r="D8810" s="8" t="s">
        <v>16</v>
      </c>
      <c r="E8810" s="8" t="s">
        <v>17</v>
      </c>
      <c r="F8810" s="9">
        <v>46076.0</v>
      </c>
      <c r="G8810" s="8" t="s">
        <v>410</v>
      </c>
      <c r="H8810" s="8" t="s">
        <v>411</v>
      </c>
      <c r="I8810" s="8" t="s">
        <v>26349</v>
      </c>
      <c r="J8810" s="8" t="s">
        <v>26350</v>
      </c>
    </row>
    <row r="8811">
      <c r="A8811" s="7">
        <v>2.0036107E7</v>
      </c>
      <c r="B8811" s="8" t="s">
        <v>2426</v>
      </c>
      <c r="C8811" s="8" t="s">
        <v>26351</v>
      </c>
      <c r="D8811" s="8" t="s">
        <v>16</v>
      </c>
      <c r="E8811" s="8" t="s">
        <v>17</v>
      </c>
      <c r="F8811" s="9">
        <v>46060.0</v>
      </c>
      <c r="G8811" s="8" t="s">
        <v>59</v>
      </c>
      <c r="H8811" s="8" t="s">
        <v>60</v>
      </c>
      <c r="I8811" s="8" t="s">
        <v>26352</v>
      </c>
      <c r="J8811" s="8" t="s">
        <v>26353</v>
      </c>
    </row>
    <row r="8812">
      <c r="A8812" s="7">
        <v>2.003147E7</v>
      </c>
      <c r="B8812" s="8" t="s">
        <v>2426</v>
      </c>
      <c r="C8812" s="8" t="s">
        <v>26354</v>
      </c>
      <c r="D8812" s="8" t="s">
        <v>16</v>
      </c>
      <c r="E8812" s="8" t="s">
        <v>17</v>
      </c>
      <c r="F8812" s="9">
        <v>46052.0</v>
      </c>
      <c r="G8812" s="8" t="s">
        <v>882</v>
      </c>
      <c r="H8812" s="8" t="s">
        <v>883</v>
      </c>
      <c r="I8812" s="8" t="s">
        <v>26355</v>
      </c>
      <c r="J8812" s="8" t="s">
        <v>26356</v>
      </c>
    </row>
    <row r="8813">
      <c r="A8813" s="7">
        <v>2.00297E7</v>
      </c>
      <c r="B8813" s="8" t="s">
        <v>2426</v>
      </c>
      <c r="C8813" s="8" t="s">
        <v>26357</v>
      </c>
      <c r="D8813" s="8" t="s">
        <v>16</v>
      </c>
      <c r="E8813" s="8" t="s">
        <v>17</v>
      </c>
      <c r="F8813" s="9">
        <v>46051.0</v>
      </c>
      <c r="G8813" s="8" t="s">
        <v>361</v>
      </c>
      <c r="H8813" s="8" t="s">
        <v>362</v>
      </c>
      <c r="I8813" s="8" t="s">
        <v>26358</v>
      </c>
      <c r="J8813" s="8" t="s">
        <v>26359</v>
      </c>
    </row>
    <row r="8814">
      <c r="A8814" s="7">
        <v>2.0059256E7</v>
      </c>
      <c r="B8814" s="8" t="s">
        <v>2426</v>
      </c>
      <c r="C8814" s="8" t="s">
        <v>26360</v>
      </c>
      <c r="D8814" s="8" t="s">
        <v>16</v>
      </c>
      <c r="E8814" s="8" t="s">
        <v>17</v>
      </c>
      <c r="F8814" s="9">
        <v>46151.0</v>
      </c>
      <c r="G8814" s="8" t="s">
        <v>846</v>
      </c>
      <c r="H8814" s="8" t="s">
        <v>847</v>
      </c>
      <c r="I8814" s="8" t="s">
        <v>26361</v>
      </c>
      <c r="J8814" s="8" t="s">
        <v>26362</v>
      </c>
    </row>
    <row r="8815">
      <c r="A8815" s="7">
        <v>2.0059256E7</v>
      </c>
      <c r="B8815" s="8" t="s">
        <v>2426</v>
      </c>
      <c r="C8815" s="8" t="s">
        <v>26360</v>
      </c>
      <c r="D8815" s="8" t="s">
        <v>16</v>
      </c>
      <c r="E8815" s="8" t="s">
        <v>17</v>
      </c>
      <c r="F8815" s="9">
        <v>46151.0</v>
      </c>
      <c r="G8815" s="8" t="s">
        <v>1888</v>
      </c>
      <c r="H8815" s="8" t="s">
        <v>1889</v>
      </c>
      <c r="I8815" s="8" t="s">
        <v>26363</v>
      </c>
      <c r="J8815" s="8" t="s">
        <v>26364</v>
      </c>
    </row>
    <row r="8816">
      <c r="A8816" s="7">
        <v>2.0053697E7</v>
      </c>
      <c r="B8816" s="8" t="s">
        <v>2426</v>
      </c>
      <c r="C8816" s="8" t="s">
        <v>26365</v>
      </c>
      <c r="D8816" s="8" t="s">
        <v>16</v>
      </c>
      <c r="E8816" s="8" t="s">
        <v>17</v>
      </c>
      <c r="F8816" s="9">
        <v>46127.0</v>
      </c>
      <c r="G8816" s="8" t="s">
        <v>805</v>
      </c>
      <c r="H8816" s="8" t="s">
        <v>806</v>
      </c>
      <c r="I8816" s="8" t="s">
        <v>26366</v>
      </c>
      <c r="J8816" s="8" t="s">
        <v>26367</v>
      </c>
    </row>
    <row r="8817">
      <c r="A8817" s="7">
        <v>2.0051418E7</v>
      </c>
      <c r="B8817" s="8" t="s">
        <v>2426</v>
      </c>
      <c r="C8817" s="8" t="s">
        <v>26368</v>
      </c>
      <c r="D8817" s="8" t="s">
        <v>16</v>
      </c>
      <c r="E8817" s="8" t="s">
        <v>17</v>
      </c>
      <c r="F8817" s="9">
        <v>46119.0</v>
      </c>
      <c r="G8817" s="8" t="s">
        <v>247</v>
      </c>
      <c r="H8817" s="8" t="s">
        <v>248</v>
      </c>
      <c r="I8817" s="8" t="s">
        <v>26369</v>
      </c>
      <c r="J8817" s="8" t="s">
        <v>26370</v>
      </c>
    </row>
    <row r="8818">
      <c r="A8818" s="7">
        <v>2.0052325E7</v>
      </c>
      <c r="B8818" s="8" t="s">
        <v>2426</v>
      </c>
      <c r="C8818" s="8" t="s">
        <v>26371</v>
      </c>
      <c r="D8818" s="8" t="s">
        <v>16</v>
      </c>
      <c r="E8818" s="8" t="s">
        <v>17</v>
      </c>
      <c r="F8818" s="9">
        <v>46128.0</v>
      </c>
      <c r="G8818" s="8" t="s">
        <v>1627</v>
      </c>
      <c r="H8818" s="8" t="s">
        <v>1628</v>
      </c>
      <c r="I8818" s="8" t="s">
        <v>26372</v>
      </c>
      <c r="J8818" s="8" t="s">
        <v>26373</v>
      </c>
    </row>
    <row r="8819">
      <c r="A8819" s="7">
        <v>2.0051875E7</v>
      </c>
      <c r="B8819" s="8" t="s">
        <v>2426</v>
      </c>
      <c r="C8819" s="8" t="s">
        <v>26374</v>
      </c>
      <c r="D8819" s="8" t="s">
        <v>16</v>
      </c>
      <c r="E8819" s="8" t="s">
        <v>17</v>
      </c>
      <c r="F8819" s="9">
        <v>46126.0</v>
      </c>
      <c r="G8819" s="8" t="s">
        <v>732</v>
      </c>
      <c r="H8819" s="8" t="s">
        <v>733</v>
      </c>
      <c r="I8819" s="8" t="s">
        <v>26375</v>
      </c>
      <c r="J8819" s="8" t="s">
        <v>26376</v>
      </c>
    </row>
    <row r="8820">
      <c r="A8820" s="7">
        <v>2.0051379E7</v>
      </c>
      <c r="B8820" s="8" t="s">
        <v>2426</v>
      </c>
      <c r="C8820" s="8" t="s">
        <v>26377</v>
      </c>
      <c r="D8820" s="8" t="s">
        <v>16</v>
      </c>
      <c r="E8820" s="8" t="s">
        <v>17</v>
      </c>
      <c r="F8820" s="9">
        <v>46106.0</v>
      </c>
      <c r="G8820" s="8" t="s">
        <v>220</v>
      </c>
      <c r="H8820" s="8" t="s">
        <v>221</v>
      </c>
      <c r="I8820" s="8" t="s">
        <v>26378</v>
      </c>
      <c r="J8820" s="8" t="s">
        <v>26379</v>
      </c>
    </row>
    <row r="8821">
      <c r="A8821" s="7">
        <v>2.0047356E7</v>
      </c>
      <c r="B8821" s="8" t="s">
        <v>2426</v>
      </c>
      <c r="C8821" s="8" t="s">
        <v>26380</v>
      </c>
      <c r="D8821" s="8" t="s">
        <v>16</v>
      </c>
      <c r="E8821" s="8" t="s">
        <v>17</v>
      </c>
      <c r="F8821" s="9">
        <v>46111.0</v>
      </c>
      <c r="G8821" s="8" t="s">
        <v>573</v>
      </c>
      <c r="H8821" s="8" t="s">
        <v>574</v>
      </c>
      <c r="I8821" s="8" t="s">
        <v>26381</v>
      </c>
      <c r="J8821" s="8" t="s">
        <v>26382</v>
      </c>
    </row>
    <row r="8822">
      <c r="A8822" s="7">
        <v>2.0046903E7</v>
      </c>
      <c r="B8822" s="8" t="s">
        <v>2426</v>
      </c>
      <c r="C8822" s="8" t="s">
        <v>26383</v>
      </c>
      <c r="D8822" s="8" t="s">
        <v>16</v>
      </c>
      <c r="E8822" s="8" t="s">
        <v>17</v>
      </c>
      <c r="F8822" s="9">
        <v>46106.0</v>
      </c>
      <c r="G8822" s="8" t="s">
        <v>176</v>
      </c>
      <c r="H8822" s="8" t="s">
        <v>177</v>
      </c>
      <c r="I8822" s="8" t="s">
        <v>26384</v>
      </c>
      <c r="J8822" s="8" t="s">
        <v>26385</v>
      </c>
    </row>
    <row r="8823">
      <c r="A8823" s="7">
        <v>2.00447E7</v>
      </c>
      <c r="B8823" s="8" t="s">
        <v>2426</v>
      </c>
      <c r="C8823" s="8" t="s">
        <v>26386</v>
      </c>
      <c r="D8823" s="8" t="s">
        <v>16</v>
      </c>
      <c r="E8823" s="8" t="s">
        <v>17</v>
      </c>
      <c r="F8823" s="9">
        <v>46091.0</v>
      </c>
      <c r="G8823" s="8" t="s">
        <v>29</v>
      </c>
      <c r="H8823" s="8" t="s">
        <v>30</v>
      </c>
      <c r="I8823" s="8" t="s">
        <v>26387</v>
      </c>
      <c r="J8823" s="8" t="s">
        <v>26388</v>
      </c>
    </row>
    <row r="8824">
      <c r="A8824" s="7">
        <v>2.0045383E7</v>
      </c>
      <c r="B8824" s="8" t="s">
        <v>2426</v>
      </c>
      <c r="C8824" s="8" t="s">
        <v>26389</v>
      </c>
      <c r="D8824" s="8" t="s">
        <v>16</v>
      </c>
      <c r="E8824" s="8" t="s">
        <v>17</v>
      </c>
      <c r="F8824" s="9">
        <v>46105.0</v>
      </c>
      <c r="G8824" s="8" t="s">
        <v>23849</v>
      </c>
      <c r="H8824" s="8" t="s">
        <v>23850</v>
      </c>
      <c r="I8824" s="8" t="s">
        <v>26390</v>
      </c>
      <c r="J8824" s="8" t="s">
        <v>26391</v>
      </c>
    </row>
    <row r="8825">
      <c r="A8825" s="7">
        <v>2.0044412E7</v>
      </c>
      <c r="B8825" s="8" t="s">
        <v>2426</v>
      </c>
      <c r="C8825" s="8" t="s">
        <v>26392</v>
      </c>
      <c r="D8825" s="8" t="s">
        <v>16</v>
      </c>
      <c r="E8825" s="8" t="s">
        <v>17</v>
      </c>
      <c r="F8825" s="9">
        <v>46100.0</v>
      </c>
      <c r="G8825" s="8" t="s">
        <v>390</v>
      </c>
      <c r="H8825" s="8" t="s">
        <v>391</v>
      </c>
      <c r="I8825" s="8" t="s">
        <v>26393</v>
      </c>
      <c r="J8825" s="8" t="s">
        <v>26394</v>
      </c>
    </row>
    <row r="8826">
      <c r="A8826" s="7">
        <v>2.0043416E7</v>
      </c>
      <c r="B8826" s="8" t="s">
        <v>2426</v>
      </c>
      <c r="C8826" s="8" t="s">
        <v>26395</v>
      </c>
      <c r="D8826" s="8" t="s">
        <v>16</v>
      </c>
      <c r="E8826" s="8" t="s">
        <v>17</v>
      </c>
      <c r="F8826" s="9">
        <v>46101.0</v>
      </c>
      <c r="G8826" s="8" t="s">
        <v>2479</v>
      </c>
      <c r="H8826" s="8" t="s">
        <v>2480</v>
      </c>
      <c r="I8826" s="8" t="s">
        <v>26396</v>
      </c>
      <c r="J8826" s="8" t="s">
        <v>26397</v>
      </c>
    </row>
    <row r="8827">
      <c r="A8827" s="7">
        <v>2.0042328E7</v>
      </c>
      <c r="B8827" s="8" t="s">
        <v>2426</v>
      </c>
      <c r="C8827" s="8" t="s">
        <v>26398</v>
      </c>
      <c r="D8827" s="8" t="s">
        <v>16</v>
      </c>
      <c r="E8827" s="8" t="s">
        <v>17</v>
      </c>
      <c r="F8827" s="9">
        <v>46088.0</v>
      </c>
      <c r="G8827" s="8" t="s">
        <v>59</v>
      </c>
      <c r="H8827" s="8" t="s">
        <v>60</v>
      </c>
      <c r="I8827" s="8" t="s">
        <v>26399</v>
      </c>
      <c r="J8827" s="8" t="s">
        <v>26400</v>
      </c>
    </row>
    <row r="8828">
      <c r="A8828" s="7">
        <v>2.0038273E7</v>
      </c>
      <c r="B8828" s="8" t="s">
        <v>2426</v>
      </c>
      <c r="C8828" s="8" t="s">
        <v>26401</v>
      </c>
      <c r="D8828" s="8" t="s">
        <v>16</v>
      </c>
      <c r="E8828" s="8" t="s">
        <v>17</v>
      </c>
      <c r="F8828" s="9">
        <v>46075.0</v>
      </c>
      <c r="G8828" s="8" t="s">
        <v>176</v>
      </c>
      <c r="H8828" s="8" t="s">
        <v>177</v>
      </c>
      <c r="I8828" s="8" t="s">
        <v>26402</v>
      </c>
      <c r="J8828" s="8" t="s">
        <v>26403</v>
      </c>
    </row>
    <row r="8829">
      <c r="A8829" s="7">
        <v>2.0035503E7</v>
      </c>
      <c r="B8829" s="8" t="s">
        <v>2426</v>
      </c>
      <c r="C8829" s="8" t="s">
        <v>26404</v>
      </c>
      <c r="D8829" s="8" t="s">
        <v>16</v>
      </c>
      <c r="E8829" s="8" t="s">
        <v>17</v>
      </c>
      <c r="F8829" s="9">
        <v>46070.0</v>
      </c>
      <c r="G8829" s="8" t="s">
        <v>2122</v>
      </c>
      <c r="H8829" s="8" t="s">
        <v>2123</v>
      </c>
      <c r="I8829" s="8" t="s">
        <v>26405</v>
      </c>
      <c r="J8829" s="8" t="s">
        <v>26406</v>
      </c>
    </row>
    <row r="8830">
      <c r="A8830" s="7">
        <v>2.0038715E7</v>
      </c>
      <c r="B8830" s="8" t="s">
        <v>2426</v>
      </c>
      <c r="C8830" s="8" t="s">
        <v>26407</v>
      </c>
      <c r="D8830" s="8" t="s">
        <v>16</v>
      </c>
      <c r="E8830" s="8" t="s">
        <v>17</v>
      </c>
      <c r="F8830" s="9">
        <v>46070.0</v>
      </c>
      <c r="G8830" s="8" t="s">
        <v>436</v>
      </c>
      <c r="H8830" s="8" t="s">
        <v>437</v>
      </c>
      <c r="I8830" s="8" t="s">
        <v>26408</v>
      </c>
      <c r="J8830" s="8" t="s">
        <v>26409</v>
      </c>
    </row>
    <row r="8831">
      <c r="A8831" s="7">
        <v>2.0034897E7</v>
      </c>
      <c r="B8831" s="8" t="s">
        <v>2426</v>
      </c>
      <c r="C8831" s="8" t="s">
        <v>26410</v>
      </c>
      <c r="D8831" s="8" t="s">
        <v>16</v>
      </c>
      <c r="E8831" s="8" t="s">
        <v>17</v>
      </c>
      <c r="F8831" s="9">
        <v>46069.0</v>
      </c>
      <c r="G8831" s="8" t="s">
        <v>978</v>
      </c>
      <c r="H8831" s="8" t="s">
        <v>979</v>
      </c>
      <c r="I8831" s="8" t="s">
        <v>26411</v>
      </c>
      <c r="J8831" s="8" t="s">
        <v>26412</v>
      </c>
    </row>
    <row r="8832">
      <c r="A8832" s="7">
        <v>2.0034191E7</v>
      </c>
      <c r="B8832" s="8" t="s">
        <v>2426</v>
      </c>
      <c r="C8832" s="8" t="s">
        <v>26413</v>
      </c>
      <c r="D8832" s="8" t="s">
        <v>16</v>
      </c>
      <c r="E8832" s="8" t="s">
        <v>17</v>
      </c>
      <c r="F8832" s="9">
        <v>46066.0</v>
      </c>
      <c r="G8832" s="8" t="s">
        <v>59</v>
      </c>
      <c r="H8832" s="8" t="s">
        <v>60</v>
      </c>
      <c r="I8832" s="8" t="s">
        <v>26414</v>
      </c>
      <c r="J8832" s="8" t="s">
        <v>26415</v>
      </c>
    </row>
    <row r="8833">
      <c r="A8833" s="7">
        <v>2.0032881E7</v>
      </c>
      <c r="B8833" s="8" t="s">
        <v>2426</v>
      </c>
      <c r="C8833" s="8" t="s">
        <v>26416</v>
      </c>
      <c r="D8833" s="8" t="s">
        <v>16</v>
      </c>
      <c r="E8833" s="8" t="s">
        <v>17</v>
      </c>
      <c r="F8833" s="9">
        <v>46059.0</v>
      </c>
      <c r="G8833" s="8" t="s">
        <v>59</v>
      </c>
      <c r="H8833" s="8" t="s">
        <v>60</v>
      </c>
      <c r="I8833" s="8" t="s">
        <v>26417</v>
      </c>
      <c r="J8833" s="8" t="s">
        <v>26418</v>
      </c>
    </row>
    <row r="8834">
      <c r="A8834" s="7">
        <v>2.0036386E7</v>
      </c>
      <c r="B8834" s="8" t="s">
        <v>2426</v>
      </c>
      <c r="C8834" s="8" t="s">
        <v>26419</v>
      </c>
      <c r="D8834" s="8" t="s">
        <v>16</v>
      </c>
      <c r="E8834" s="8" t="s">
        <v>17</v>
      </c>
      <c r="F8834" s="9">
        <v>46062.0</v>
      </c>
      <c r="G8834" s="8" t="s">
        <v>436</v>
      </c>
      <c r="H8834" s="8" t="s">
        <v>437</v>
      </c>
      <c r="I8834" s="8" t="s">
        <v>26420</v>
      </c>
      <c r="J8834" s="8" t="s">
        <v>26421</v>
      </c>
    </row>
    <row r="8835">
      <c r="A8835" s="7">
        <v>2.003744E7</v>
      </c>
      <c r="B8835" s="8" t="s">
        <v>2426</v>
      </c>
      <c r="C8835" s="8" t="s">
        <v>26422</v>
      </c>
      <c r="D8835" s="8" t="s">
        <v>16</v>
      </c>
      <c r="E8835" s="8" t="s">
        <v>17</v>
      </c>
      <c r="F8835" s="9">
        <v>46060.0</v>
      </c>
      <c r="G8835" s="8" t="s">
        <v>454</v>
      </c>
      <c r="H8835" s="8" t="s">
        <v>455</v>
      </c>
      <c r="I8835" s="8" t="s">
        <v>26423</v>
      </c>
      <c r="J8835" s="8"/>
    </row>
    <row r="8836">
      <c r="A8836" s="7">
        <v>2.0035872E7</v>
      </c>
      <c r="B8836" s="8" t="s">
        <v>2426</v>
      </c>
      <c r="C8836" s="8" t="s">
        <v>26424</v>
      </c>
      <c r="D8836" s="8" t="s">
        <v>16</v>
      </c>
      <c r="E8836" s="8" t="s">
        <v>17</v>
      </c>
      <c r="F8836" s="9">
        <v>46054.0</v>
      </c>
      <c r="G8836" s="8" t="s">
        <v>365</v>
      </c>
      <c r="H8836" s="8" t="s">
        <v>366</v>
      </c>
      <c r="I8836" s="8" t="s">
        <v>26425</v>
      </c>
      <c r="J8836" s="8" t="s">
        <v>26426</v>
      </c>
    </row>
    <row r="8837">
      <c r="A8837" s="7">
        <v>2.0035811E7</v>
      </c>
      <c r="B8837" s="8" t="s">
        <v>2426</v>
      </c>
      <c r="C8837" s="8" t="s">
        <v>26427</v>
      </c>
      <c r="D8837" s="8" t="s">
        <v>16</v>
      </c>
      <c r="E8837" s="8" t="s">
        <v>17</v>
      </c>
      <c r="F8837" s="9">
        <v>46057.0</v>
      </c>
      <c r="G8837" s="8" t="s">
        <v>1093</v>
      </c>
      <c r="H8837" s="8" t="s">
        <v>1094</v>
      </c>
      <c r="I8837" s="8" t="s">
        <v>26428</v>
      </c>
      <c r="J8837" s="8" t="s">
        <v>26429</v>
      </c>
    </row>
    <row r="8838">
      <c r="A8838" s="7">
        <v>2.0033867E7</v>
      </c>
      <c r="B8838" s="8" t="s">
        <v>2426</v>
      </c>
      <c r="C8838" s="8" t="s">
        <v>26430</v>
      </c>
      <c r="D8838" s="8" t="s">
        <v>16</v>
      </c>
      <c r="E8838" s="8" t="s">
        <v>17</v>
      </c>
      <c r="F8838" s="9">
        <v>46054.0</v>
      </c>
      <c r="G8838" s="8" t="s">
        <v>59</v>
      </c>
      <c r="H8838" s="8" t="s">
        <v>60</v>
      </c>
      <c r="I8838" s="8" t="s">
        <v>26431</v>
      </c>
      <c r="J8838" s="8" t="s">
        <v>26432</v>
      </c>
    </row>
    <row r="8839">
      <c r="A8839" s="7">
        <v>2.0030445E7</v>
      </c>
      <c r="B8839" s="8" t="s">
        <v>2426</v>
      </c>
      <c r="C8839" s="8" t="s">
        <v>26433</v>
      </c>
      <c r="D8839" s="8" t="s">
        <v>16</v>
      </c>
      <c r="E8839" s="8" t="s">
        <v>17</v>
      </c>
      <c r="F8839" s="9">
        <v>46038.0</v>
      </c>
      <c r="G8839" s="8" t="s">
        <v>1132</v>
      </c>
      <c r="H8839" s="8" t="s">
        <v>1133</v>
      </c>
      <c r="I8839" s="8" t="s">
        <v>26434</v>
      </c>
      <c r="J8839" s="8" t="s">
        <v>26435</v>
      </c>
    </row>
    <row r="8840">
      <c r="A8840" s="7">
        <v>2.006814E7</v>
      </c>
      <c r="B8840" s="8" t="s">
        <v>2426</v>
      </c>
      <c r="C8840" s="8" t="s">
        <v>26436</v>
      </c>
      <c r="D8840" s="8" t="s">
        <v>16</v>
      </c>
      <c r="E8840" s="8" t="s">
        <v>17</v>
      </c>
      <c r="F8840" s="9">
        <v>46185.0</v>
      </c>
      <c r="G8840" s="8" t="s">
        <v>59</v>
      </c>
      <c r="H8840" s="8" t="s">
        <v>60</v>
      </c>
      <c r="I8840" s="8" t="s">
        <v>26437</v>
      </c>
      <c r="J8840" s="8" t="s">
        <v>26438</v>
      </c>
    </row>
    <row r="8841">
      <c r="A8841" s="7">
        <v>2.0065322E7</v>
      </c>
      <c r="B8841" s="8" t="s">
        <v>2426</v>
      </c>
      <c r="C8841" s="8" t="s">
        <v>26439</v>
      </c>
      <c r="D8841" s="8" t="s">
        <v>16</v>
      </c>
      <c r="E8841" s="8" t="s">
        <v>17</v>
      </c>
      <c r="F8841" s="9">
        <v>46179.0</v>
      </c>
      <c r="G8841" s="8" t="s">
        <v>6038</v>
      </c>
      <c r="H8841" s="8" t="s">
        <v>6039</v>
      </c>
      <c r="I8841" s="8" t="s">
        <v>26440</v>
      </c>
      <c r="J8841" s="8" t="s">
        <v>26441</v>
      </c>
    </row>
    <row r="8842">
      <c r="A8842" s="7">
        <v>2.0065315E7</v>
      </c>
      <c r="B8842" s="8" t="s">
        <v>2426</v>
      </c>
      <c r="C8842" s="8" t="s">
        <v>26442</v>
      </c>
      <c r="D8842" s="8" t="s">
        <v>16</v>
      </c>
      <c r="E8842" s="8" t="s">
        <v>17</v>
      </c>
      <c r="F8842" s="9">
        <v>46175.0</v>
      </c>
      <c r="G8842" s="8" t="s">
        <v>3585</v>
      </c>
      <c r="H8842" s="8" t="s">
        <v>3586</v>
      </c>
      <c r="I8842" s="8" t="s">
        <v>26443</v>
      </c>
      <c r="J8842" s="8" t="s">
        <v>26444</v>
      </c>
    </row>
    <row r="8843">
      <c r="A8843" s="7">
        <v>2.006053E7</v>
      </c>
      <c r="B8843" s="8" t="s">
        <v>2426</v>
      </c>
      <c r="C8843" s="8" t="s">
        <v>26445</v>
      </c>
      <c r="D8843" s="8" t="s">
        <v>16</v>
      </c>
      <c r="E8843" s="8" t="s">
        <v>17</v>
      </c>
      <c r="F8843" s="9">
        <v>46183.0</v>
      </c>
      <c r="G8843" s="8" t="s">
        <v>158</v>
      </c>
      <c r="H8843" s="8" t="s">
        <v>159</v>
      </c>
      <c r="I8843" s="8" t="s">
        <v>26446</v>
      </c>
      <c r="J8843" s="8" t="s">
        <v>26447</v>
      </c>
    </row>
    <row r="8844">
      <c r="A8844" s="7">
        <v>2.0059816E7</v>
      </c>
      <c r="B8844" s="8" t="s">
        <v>2426</v>
      </c>
      <c r="C8844" s="8" t="s">
        <v>26448</v>
      </c>
      <c r="D8844" s="8" t="s">
        <v>16</v>
      </c>
      <c r="E8844" s="8" t="s">
        <v>17</v>
      </c>
      <c r="F8844" s="9">
        <v>46182.0</v>
      </c>
      <c r="G8844" s="8" t="s">
        <v>2202</v>
      </c>
      <c r="H8844" s="8" t="s">
        <v>2203</v>
      </c>
      <c r="I8844" s="8" t="s">
        <v>26449</v>
      </c>
      <c r="J8844" s="8" t="s">
        <v>26450</v>
      </c>
    </row>
    <row r="8845">
      <c r="A8845" s="7">
        <v>2.0051672E7</v>
      </c>
      <c r="B8845" s="8" t="s">
        <v>2426</v>
      </c>
      <c r="C8845" s="8" t="s">
        <v>26451</v>
      </c>
      <c r="D8845" s="8" t="s">
        <v>16</v>
      </c>
      <c r="E8845" s="8" t="s">
        <v>17</v>
      </c>
      <c r="F8845" s="9">
        <v>46145.0</v>
      </c>
      <c r="G8845" s="8" t="s">
        <v>59</v>
      </c>
      <c r="H8845" s="8" t="s">
        <v>60</v>
      </c>
      <c r="I8845" s="8" t="s">
        <v>26452</v>
      </c>
      <c r="J8845" s="8" t="s">
        <v>26453</v>
      </c>
    </row>
    <row r="8846">
      <c r="A8846" s="7">
        <v>2.005853E7</v>
      </c>
      <c r="B8846" s="8" t="s">
        <v>2426</v>
      </c>
      <c r="C8846" s="8" t="s">
        <v>26454</v>
      </c>
      <c r="D8846" s="8" t="s">
        <v>16</v>
      </c>
      <c r="E8846" s="8" t="s">
        <v>17</v>
      </c>
      <c r="F8846" s="9">
        <v>46182.0</v>
      </c>
      <c r="G8846" s="8" t="s">
        <v>390</v>
      </c>
      <c r="H8846" s="8" t="s">
        <v>391</v>
      </c>
      <c r="I8846" s="8" t="s">
        <v>26455</v>
      </c>
      <c r="J8846" s="8" t="s">
        <v>26456</v>
      </c>
    </row>
    <row r="8847">
      <c r="A8847" s="7">
        <v>2.0058572E7</v>
      </c>
      <c r="B8847" s="8" t="s">
        <v>2426</v>
      </c>
      <c r="C8847" s="8" t="s">
        <v>26457</v>
      </c>
      <c r="D8847" s="8" t="s">
        <v>16</v>
      </c>
      <c r="E8847" s="8" t="s">
        <v>17</v>
      </c>
      <c r="F8847" s="9">
        <v>46182.0</v>
      </c>
      <c r="G8847" s="8" t="s">
        <v>8230</v>
      </c>
      <c r="H8847" s="8" t="s">
        <v>8231</v>
      </c>
      <c r="I8847" s="8" t="s">
        <v>26458</v>
      </c>
      <c r="J8847" s="8" t="s">
        <v>26459</v>
      </c>
    </row>
    <row r="8848">
      <c r="A8848" s="7">
        <v>2.0053327E7</v>
      </c>
      <c r="B8848" s="8" t="s">
        <v>2426</v>
      </c>
      <c r="C8848" s="8" t="s">
        <v>26460</v>
      </c>
      <c r="D8848" s="8" t="s">
        <v>16</v>
      </c>
      <c r="E8848" s="8" t="s">
        <v>17</v>
      </c>
      <c r="F8848" s="9">
        <v>46138.0</v>
      </c>
      <c r="G8848" s="8" t="s">
        <v>826</v>
      </c>
      <c r="H8848" s="8" t="s">
        <v>7633</v>
      </c>
      <c r="I8848" s="8" t="s">
        <v>26461</v>
      </c>
      <c r="J8848" s="8" t="s">
        <v>26462</v>
      </c>
    </row>
    <row r="8849">
      <c r="A8849" s="7">
        <v>2.0057382E7</v>
      </c>
      <c r="B8849" s="8" t="s">
        <v>2426</v>
      </c>
      <c r="C8849" s="8" t="s">
        <v>26463</v>
      </c>
      <c r="D8849" s="8" t="s">
        <v>16</v>
      </c>
      <c r="E8849" s="8" t="s">
        <v>17</v>
      </c>
      <c r="F8849" s="9">
        <v>46191.0</v>
      </c>
      <c r="G8849" s="8" t="s">
        <v>410</v>
      </c>
      <c r="H8849" s="8" t="s">
        <v>411</v>
      </c>
      <c r="I8849" s="8" t="s">
        <v>26464</v>
      </c>
      <c r="J8849" s="8" t="s">
        <v>26465</v>
      </c>
    </row>
    <row r="8850">
      <c r="A8850" s="7">
        <v>2.0057382E7</v>
      </c>
      <c r="B8850" s="8" t="s">
        <v>2426</v>
      </c>
      <c r="C8850" s="8" t="s">
        <v>26463</v>
      </c>
      <c r="D8850" s="8" t="s">
        <v>16</v>
      </c>
      <c r="E8850" s="8" t="s">
        <v>17</v>
      </c>
      <c r="F8850" s="9">
        <v>46191.0</v>
      </c>
      <c r="G8850" s="8" t="s">
        <v>410</v>
      </c>
      <c r="H8850" s="8" t="s">
        <v>411</v>
      </c>
      <c r="I8850" s="8" t="s">
        <v>26466</v>
      </c>
      <c r="J8850" s="8" t="s">
        <v>26465</v>
      </c>
    </row>
    <row r="8851">
      <c r="A8851" s="7">
        <v>2.0057067E7</v>
      </c>
      <c r="B8851" s="8" t="s">
        <v>2426</v>
      </c>
      <c r="C8851" s="8" t="s">
        <v>26467</v>
      </c>
      <c r="D8851" s="8" t="s">
        <v>16</v>
      </c>
      <c r="E8851" s="8" t="s">
        <v>48</v>
      </c>
      <c r="F8851" s="9">
        <v>46151.0</v>
      </c>
      <c r="G8851" s="8" t="s">
        <v>3136</v>
      </c>
      <c r="H8851" s="8" t="s">
        <v>3137</v>
      </c>
      <c r="I8851" s="8" t="s">
        <v>26468</v>
      </c>
      <c r="J8851" s="8"/>
    </row>
    <row r="8852">
      <c r="A8852" s="7">
        <v>2.0053092E7</v>
      </c>
      <c r="B8852" s="8" t="s">
        <v>2426</v>
      </c>
      <c r="C8852" s="8" t="s">
        <v>26469</v>
      </c>
      <c r="D8852" s="8" t="s">
        <v>16</v>
      </c>
      <c r="E8852" s="8" t="s">
        <v>17</v>
      </c>
      <c r="F8852" s="9">
        <v>46112.0</v>
      </c>
      <c r="G8852" s="8" t="s">
        <v>971</v>
      </c>
      <c r="H8852" s="8" t="s">
        <v>972</v>
      </c>
      <c r="I8852" s="8" t="s">
        <v>26470</v>
      </c>
      <c r="J8852" s="8" t="s">
        <v>26471</v>
      </c>
    </row>
    <row r="8853">
      <c r="A8853" s="7">
        <v>2.0051445E7</v>
      </c>
      <c r="B8853" s="8" t="s">
        <v>2426</v>
      </c>
      <c r="C8853" s="8" t="s">
        <v>26472</v>
      </c>
      <c r="D8853" s="8" t="s">
        <v>16</v>
      </c>
      <c r="E8853" s="8" t="s">
        <v>17</v>
      </c>
      <c r="F8853" s="9">
        <v>46120.0</v>
      </c>
      <c r="G8853" s="8" t="s">
        <v>5317</v>
      </c>
      <c r="H8853" s="8" t="s">
        <v>5318</v>
      </c>
      <c r="I8853" s="8" t="s">
        <v>26473</v>
      </c>
      <c r="J8853" s="8" t="s">
        <v>26474</v>
      </c>
    </row>
    <row r="8854">
      <c r="A8854" s="7">
        <v>2.0048455E7</v>
      </c>
      <c r="B8854" s="8" t="s">
        <v>2426</v>
      </c>
      <c r="C8854" s="8" t="s">
        <v>26475</v>
      </c>
      <c r="D8854" s="8" t="s">
        <v>16</v>
      </c>
      <c r="E8854" s="8" t="s">
        <v>17</v>
      </c>
      <c r="F8854" s="9">
        <v>46109.0</v>
      </c>
      <c r="G8854" s="8" t="s">
        <v>171</v>
      </c>
      <c r="H8854" s="8" t="s">
        <v>172</v>
      </c>
      <c r="I8854" s="8" t="s">
        <v>26476</v>
      </c>
      <c r="J8854" s="8" t="s">
        <v>26477</v>
      </c>
    </row>
    <row r="8855">
      <c r="A8855" s="7">
        <v>2.0041653E7</v>
      </c>
      <c r="B8855" s="8" t="s">
        <v>2426</v>
      </c>
      <c r="C8855" s="8" t="s">
        <v>26478</v>
      </c>
      <c r="D8855" s="8" t="s">
        <v>16</v>
      </c>
      <c r="E8855" s="8" t="s">
        <v>17</v>
      </c>
      <c r="F8855" s="9">
        <v>46082.0</v>
      </c>
      <c r="G8855" s="8" t="s">
        <v>247</v>
      </c>
      <c r="H8855" s="8" t="s">
        <v>248</v>
      </c>
      <c r="I8855" s="8" t="s">
        <v>26479</v>
      </c>
      <c r="J8855" s="8" t="s">
        <v>26480</v>
      </c>
    </row>
    <row r="8856">
      <c r="A8856" s="7">
        <v>2.0039505E7</v>
      </c>
      <c r="B8856" s="8" t="s">
        <v>2426</v>
      </c>
      <c r="C8856" s="8" t="s">
        <v>26481</v>
      </c>
      <c r="D8856" s="8" t="s">
        <v>16</v>
      </c>
      <c r="E8856" s="8" t="s">
        <v>17</v>
      </c>
      <c r="F8856" s="9">
        <v>46081.0</v>
      </c>
      <c r="G8856" s="8" t="s">
        <v>436</v>
      </c>
      <c r="H8856" s="8" t="s">
        <v>437</v>
      </c>
      <c r="I8856" s="8" t="s">
        <v>26482</v>
      </c>
      <c r="J8856" s="8" t="s">
        <v>26483</v>
      </c>
    </row>
    <row r="8857">
      <c r="A8857" s="7">
        <v>2.0038631E7</v>
      </c>
      <c r="B8857" s="8" t="s">
        <v>2426</v>
      </c>
      <c r="C8857" s="8" t="s">
        <v>26484</v>
      </c>
      <c r="D8857" s="8" t="s">
        <v>16</v>
      </c>
      <c r="E8857" s="8" t="s">
        <v>17</v>
      </c>
      <c r="F8857" s="9">
        <v>46079.0</v>
      </c>
      <c r="G8857" s="8" t="s">
        <v>1427</v>
      </c>
      <c r="H8857" s="8" t="s">
        <v>1428</v>
      </c>
      <c r="I8857" s="8" t="s">
        <v>26485</v>
      </c>
      <c r="J8857" s="8" t="s">
        <v>26486</v>
      </c>
    </row>
    <row r="8858">
      <c r="A8858" s="7">
        <v>2.0037617E7</v>
      </c>
      <c r="B8858" s="8" t="s">
        <v>2426</v>
      </c>
      <c r="C8858" s="8" t="s">
        <v>26487</v>
      </c>
      <c r="D8858" s="8" t="s">
        <v>16</v>
      </c>
      <c r="E8858" s="8" t="s">
        <v>17</v>
      </c>
      <c r="F8858" s="9">
        <v>46061.0</v>
      </c>
      <c r="G8858" s="8" t="s">
        <v>1969</v>
      </c>
      <c r="H8858" s="8" t="s">
        <v>1970</v>
      </c>
      <c r="I8858" s="8" t="s">
        <v>26488</v>
      </c>
      <c r="J8858" s="8" t="s">
        <v>26489</v>
      </c>
    </row>
    <row r="8859">
      <c r="A8859" s="7">
        <v>2.0033313E7</v>
      </c>
      <c r="B8859" s="8" t="s">
        <v>2426</v>
      </c>
      <c r="C8859" s="8" t="s">
        <v>26490</v>
      </c>
      <c r="D8859" s="8" t="s">
        <v>16</v>
      </c>
      <c r="E8859" s="8" t="s">
        <v>17</v>
      </c>
      <c r="F8859" s="9">
        <v>46063.0</v>
      </c>
      <c r="G8859" s="8" t="s">
        <v>908</v>
      </c>
      <c r="H8859" s="8" t="s">
        <v>909</v>
      </c>
      <c r="I8859" s="8" t="s">
        <v>26491</v>
      </c>
      <c r="J8859" s="8" t="s">
        <v>26492</v>
      </c>
    </row>
    <row r="8860">
      <c r="A8860" s="7">
        <v>2.0033835E7</v>
      </c>
      <c r="B8860" s="8" t="s">
        <v>2426</v>
      </c>
      <c r="C8860" s="8" t="s">
        <v>26493</v>
      </c>
      <c r="D8860" s="8" t="s">
        <v>16</v>
      </c>
      <c r="E8860" s="8" t="s">
        <v>17</v>
      </c>
      <c r="F8860" s="9">
        <v>46060.0</v>
      </c>
      <c r="G8860" s="8" t="s">
        <v>195</v>
      </c>
      <c r="H8860" s="8" t="s">
        <v>196</v>
      </c>
      <c r="I8860" s="8" t="s">
        <v>26494</v>
      </c>
      <c r="J8860" s="8" t="s">
        <v>26495</v>
      </c>
    </row>
    <row r="8861">
      <c r="A8861" s="7">
        <v>2.0035959E7</v>
      </c>
      <c r="B8861" s="8" t="s">
        <v>2426</v>
      </c>
      <c r="C8861" s="8" t="s">
        <v>26496</v>
      </c>
      <c r="D8861" s="8" t="s">
        <v>16</v>
      </c>
      <c r="E8861" s="8" t="s">
        <v>17</v>
      </c>
      <c r="F8861" s="9">
        <v>46069.0</v>
      </c>
      <c r="G8861" s="8" t="s">
        <v>436</v>
      </c>
      <c r="H8861" s="8" t="s">
        <v>437</v>
      </c>
      <c r="I8861" s="8" t="s">
        <v>26497</v>
      </c>
      <c r="J8861" s="8" t="s">
        <v>26498</v>
      </c>
    </row>
    <row r="8862">
      <c r="A8862" s="7">
        <v>2.0035282E7</v>
      </c>
      <c r="B8862" s="8" t="s">
        <v>2426</v>
      </c>
      <c r="C8862" s="8" t="s">
        <v>26499</v>
      </c>
      <c r="D8862" s="8" t="s">
        <v>16</v>
      </c>
      <c r="E8862" s="8" t="s">
        <v>17</v>
      </c>
      <c r="F8862" s="9">
        <v>46074.0</v>
      </c>
      <c r="G8862" s="8" t="s">
        <v>10091</v>
      </c>
      <c r="H8862" s="8" t="s">
        <v>10092</v>
      </c>
      <c r="I8862" s="8" t="s">
        <v>26500</v>
      </c>
      <c r="J8862" s="8" t="s">
        <v>26501</v>
      </c>
    </row>
    <row r="8863">
      <c r="A8863" s="7">
        <v>2.0035282E7</v>
      </c>
      <c r="B8863" s="8" t="s">
        <v>2426</v>
      </c>
      <c r="C8863" s="8" t="s">
        <v>26499</v>
      </c>
      <c r="D8863" s="8" t="s">
        <v>16</v>
      </c>
      <c r="E8863" s="8" t="s">
        <v>17</v>
      </c>
      <c r="F8863" s="9">
        <v>46074.0</v>
      </c>
      <c r="G8863" s="8" t="s">
        <v>10091</v>
      </c>
      <c r="H8863" s="8" t="s">
        <v>10092</v>
      </c>
      <c r="I8863" s="8" t="s">
        <v>26502</v>
      </c>
      <c r="J8863" s="8" t="s">
        <v>26501</v>
      </c>
    </row>
    <row r="8864">
      <c r="A8864" s="7">
        <v>2.002777E7</v>
      </c>
      <c r="B8864" s="8" t="s">
        <v>2426</v>
      </c>
      <c r="C8864" s="8" t="s">
        <v>26503</v>
      </c>
      <c r="D8864" s="8" t="s">
        <v>16</v>
      </c>
      <c r="E8864" s="8" t="s">
        <v>17</v>
      </c>
      <c r="F8864" s="9">
        <v>46062.0</v>
      </c>
      <c r="G8864" s="8" t="s">
        <v>124</v>
      </c>
      <c r="H8864" s="8" t="s">
        <v>125</v>
      </c>
      <c r="I8864" s="8" t="s">
        <v>26504</v>
      </c>
      <c r="J8864" s="8" t="s">
        <v>26505</v>
      </c>
    </row>
    <row r="8865">
      <c r="A8865" s="7">
        <v>2.0032749E7</v>
      </c>
      <c r="B8865" s="8" t="s">
        <v>2426</v>
      </c>
      <c r="C8865" s="8" t="s">
        <v>26506</v>
      </c>
      <c r="D8865" s="8" t="s">
        <v>16</v>
      </c>
      <c r="E8865" s="8" t="s">
        <v>17</v>
      </c>
      <c r="F8865" s="9">
        <v>46046.0</v>
      </c>
      <c r="G8865" s="8" t="s">
        <v>91</v>
      </c>
      <c r="H8865" s="8" t="s">
        <v>92</v>
      </c>
      <c r="I8865" s="8" t="s">
        <v>26507</v>
      </c>
      <c r="J8865" s="8" t="s">
        <v>26508</v>
      </c>
    </row>
    <row r="8866">
      <c r="A8866" s="7">
        <v>2.0029954E7</v>
      </c>
      <c r="B8866" s="8" t="s">
        <v>2426</v>
      </c>
      <c r="C8866" s="8" t="s">
        <v>26509</v>
      </c>
      <c r="D8866" s="8" t="s">
        <v>16</v>
      </c>
      <c r="E8866" s="8" t="s">
        <v>17</v>
      </c>
      <c r="F8866" s="9">
        <v>46041.0</v>
      </c>
      <c r="G8866" s="8" t="s">
        <v>3012</v>
      </c>
      <c r="H8866" s="8" t="s">
        <v>3013</v>
      </c>
      <c r="I8866" s="8" t="s">
        <v>26510</v>
      </c>
      <c r="J8866" s="8" t="s">
        <v>26511</v>
      </c>
    </row>
    <row r="8867">
      <c r="A8867" s="7">
        <v>2.002831E7</v>
      </c>
      <c r="B8867" s="8" t="s">
        <v>2426</v>
      </c>
      <c r="C8867" s="8" t="s">
        <v>26512</v>
      </c>
      <c r="D8867" s="8" t="s">
        <v>16</v>
      </c>
      <c r="E8867" s="8" t="s">
        <v>17</v>
      </c>
      <c r="F8867" s="9">
        <v>46046.0</v>
      </c>
      <c r="G8867" s="8" t="s">
        <v>153</v>
      </c>
      <c r="H8867" s="8" t="s">
        <v>154</v>
      </c>
      <c r="I8867" s="8" t="s">
        <v>26513</v>
      </c>
      <c r="J8867" s="8" t="s">
        <v>26514</v>
      </c>
    </row>
    <row r="8868">
      <c r="A8868" s="7">
        <v>2.0023577E7</v>
      </c>
      <c r="B8868" s="8" t="s">
        <v>2426</v>
      </c>
      <c r="C8868" s="8" t="s">
        <v>26515</v>
      </c>
      <c r="D8868" s="8" t="s">
        <v>16</v>
      </c>
      <c r="E8868" s="8" t="s">
        <v>17</v>
      </c>
      <c r="F8868" s="9">
        <v>46052.0</v>
      </c>
      <c r="G8868" s="8" t="s">
        <v>247</v>
      </c>
      <c r="H8868" s="8" t="s">
        <v>248</v>
      </c>
      <c r="I8868" s="8" t="s">
        <v>26516</v>
      </c>
      <c r="J8868" s="8" t="s">
        <v>26517</v>
      </c>
    </row>
    <row r="8869">
      <c r="A8869" s="7">
        <v>2.0029831E7</v>
      </c>
      <c r="B8869" s="8" t="s">
        <v>2426</v>
      </c>
      <c r="C8869" s="8" t="s">
        <v>26518</v>
      </c>
      <c r="D8869" s="8" t="s">
        <v>16</v>
      </c>
      <c r="E8869" s="8" t="s">
        <v>17</v>
      </c>
      <c r="F8869" s="9">
        <v>46044.0</v>
      </c>
      <c r="G8869" s="8" t="s">
        <v>59</v>
      </c>
      <c r="H8869" s="8" t="s">
        <v>60</v>
      </c>
      <c r="I8869" s="8" t="s">
        <v>26519</v>
      </c>
      <c r="J8869" s="8" t="s">
        <v>26520</v>
      </c>
    </row>
    <row r="8870">
      <c r="A8870" s="7">
        <v>2.0068084E7</v>
      </c>
      <c r="B8870" s="8" t="s">
        <v>2426</v>
      </c>
      <c r="C8870" s="8" t="s">
        <v>26521</v>
      </c>
      <c r="D8870" s="8" t="s">
        <v>16</v>
      </c>
      <c r="E8870" s="8" t="s">
        <v>17</v>
      </c>
      <c r="F8870" s="9">
        <v>46185.0</v>
      </c>
      <c r="G8870" s="8" t="s">
        <v>822</v>
      </c>
      <c r="H8870" s="8" t="s">
        <v>3985</v>
      </c>
      <c r="I8870" s="8" t="s">
        <v>26522</v>
      </c>
      <c r="J8870" s="8" t="s">
        <v>26523</v>
      </c>
    </row>
    <row r="8871">
      <c r="A8871" s="7">
        <v>2.0065137E7</v>
      </c>
      <c r="B8871" s="8" t="s">
        <v>2426</v>
      </c>
      <c r="C8871" s="8" t="s">
        <v>26524</v>
      </c>
      <c r="D8871" s="8" t="s">
        <v>16</v>
      </c>
      <c r="E8871" s="8" t="s">
        <v>17</v>
      </c>
      <c r="F8871" s="9">
        <v>46175.0</v>
      </c>
      <c r="G8871" s="8" t="s">
        <v>5046</v>
      </c>
      <c r="H8871" s="8" t="s">
        <v>5047</v>
      </c>
      <c r="I8871" s="8" t="s">
        <v>26525</v>
      </c>
      <c r="J8871" s="8" t="s">
        <v>26526</v>
      </c>
    </row>
    <row r="8872">
      <c r="A8872" s="7">
        <v>2.0053901E7</v>
      </c>
      <c r="B8872" s="8" t="s">
        <v>2426</v>
      </c>
      <c r="C8872" s="8" t="s">
        <v>26527</v>
      </c>
      <c r="D8872" s="8" t="s">
        <v>16</v>
      </c>
      <c r="E8872" s="8" t="s">
        <v>17</v>
      </c>
      <c r="F8872" s="9">
        <v>46145.0</v>
      </c>
      <c r="G8872" s="8" t="s">
        <v>390</v>
      </c>
      <c r="H8872" s="8" t="s">
        <v>391</v>
      </c>
      <c r="I8872" s="8" t="s">
        <v>26528</v>
      </c>
      <c r="J8872" s="8" t="s">
        <v>26529</v>
      </c>
    </row>
    <row r="8873">
      <c r="A8873" s="7">
        <v>2.0055256E7</v>
      </c>
      <c r="B8873" s="8" t="s">
        <v>2426</v>
      </c>
      <c r="C8873" s="8" t="s">
        <v>26530</v>
      </c>
      <c r="D8873" s="8" t="s">
        <v>16</v>
      </c>
      <c r="E8873" s="8" t="s">
        <v>17</v>
      </c>
      <c r="F8873" s="9">
        <v>46126.0</v>
      </c>
      <c r="G8873" s="8" t="s">
        <v>220</v>
      </c>
      <c r="H8873" s="8" t="s">
        <v>221</v>
      </c>
      <c r="I8873" s="8" t="s">
        <v>26531</v>
      </c>
      <c r="J8873" s="8" t="s">
        <v>26532</v>
      </c>
    </row>
    <row r="8874">
      <c r="A8874" s="7">
        <v>2.0051383E7</v>
      </c>
      <c r="B8874" s="8" t="s">
        <v>2426</v>
      </c>
      <c r="C8874" s="8" t="s">
        <v>26533</v>
      </c>
      <c r="D8874" s="8" t="s">
        <v>16</v>
      </c>
      <c r="E8874" s="8" t="s">
        <v>17</v>
      </c>
      <c r="F8874" s="9">
        <v>46189.0</v>
      </c>
      <c r="G8874" s="8" t="s">
        <v>1007</v>
      </c>
      <c r="H8874" s="8" t="s">
        <v>1008</v>
      </c>
      <c r="I8874" s="8" t="s">
        <v>26534</v>
      </c>
      <c r="J8874" s="8" t="s">
        <v>26535</v>
      </c>
    </row>
    <row r="8875">
      <c r="A8875" s="7">
        <v>2.0051383E7</v>
      </c>
      <c r="B8875" s="8" t="s">
        <v>2426</v>
      </c>
      <c r="C8875" s="8" t="s">
        <v>26533</v>
      </c>
      <c r="D8875" s="8" t="s">
        <v>16</v>
      </c>
      <c r="E8875" s="8" t="s">
        <v>17</v>
      </c>
      <c r="F8875" s="9">
        <v>46189.0</v>
      </c>
      <c r="G8875" s="8" t="s">
        <v>1007</v>
      </c>
      <c r="H8875" s="8" t="s">
        <v>1008</v>
      </c>
      <c r="I8875" s="8" t="s">
        <v>26536</v>
      </c>
      <c r="J8875" s="8" t="s">
        <v>26535</v>
      </c>
    </row>
    <row r="8876">
      <c r="A8876" s="7">
        <v>2.0051383E7</v>
      </c>
      <c r="B8876" s="8" t="s">
        <v>2426</v>
      </c>
      <c r="C8876" s="8" t="s">
        <v>26533</v>
      </c>
      <c r="D8876" s="8" t="s">
        <v>16</v>
      </c>
      <c r="E8876" s="8" t="s">
        <v>17</v>
      </c>
      <c r="F8876" s="9">
        <v>46189.0</v>
      </c>
      <c r="G8876" s="8" t="s">
        <v>9891</v>
      </c>
      <c r="H8876" s="8" t="s">
        <v>9892</v>
      </c>
      <c r="I8876" s="8" t="s">
        <v>26537</v>
      </c>
      <c r="J8876" s="8" t="s">
        <v>26538</v>
      </c>
    </row>
    <row r="8877">
      <c r="A8877" s="7">
        <v>2.0053369E7</v>
      </c>
      <c r="B8877" s="8" t="s">
        <v>2426</v>
      </c>
      <c r="C8877" s="8" t="s">
        <v>26539</v>
      </c>
      <c r="D8877" s="8" t="s">
        <v>16</v>
      </c>
      <c r="E8877" s="8" t="s">
        <v>17</v>
      </c>
      <c r="F8877" s="9">
        <v>46137.0</v>
      </c>
      <c r="G8877" s="8" t="s">
        <v>171</v>
      </c>
      <c r="H8877" s="8" t="s">
        <v>172</v>
      </c>
      <c r="I8877" s="8" t="s">
        <v>26540</v>
      </c>
      <c r="J8877" s="8" t="s">
        <v>26541</v>
      </c>
    </row>
    <row r="8878">
      <c r="A8878" s="7">
        <v>2.0051381E7</v>
      </c>
      <c r="B8878" s="8" t="s">
        <v>2426</v>
      </c>
      <c r="C8878" s="8" t="s">
        <v>26542</v>
      </c>
      <c r="D8878" s="8" t="s">
        <v>16</v>
      </c>
      <c r="E8878" s="8" t="s">
        <v>17</v>
      </c>
      <c r="F8878" s="9">
        <v>46123.0</v>
      </c>
      <c r="G8878" s="8" t="s">
        <v>290</v>
      </c>
      <c r="H8878" s="8" t="s">
        <v>291</v>
      </c>
      <c r="I8878" s="8" t="s">
        <v>26543</v>
      </c>
      <c r="J8878" s="8" t="s">
        <v>26544</v>
      </c>
    </row>
    <row r="8879">
      <c r="A8879" s="7">
        <v>2.0051014E7</v>
      </c>
      <c r="B8879" s="8" t="s">
        <v>2426</v>
      </c>
      <c r="C8879" s="8" t="s">
        <v>26545</v>
      </c>
      <c r="D8879" s="8" t="s">
        <v>16</v>
      </c>
      <c r="E8879" s="8" t="s">
        <v>17</v>
      </c>
      <c r="F8879" s="9">
        <v>46121.0</v>
      </c>
      <c r="G8879" s="8" t="s">
        <v>344</v>
      </c>
      <c r="H8879" s="8" t="s">
        <v>345</v>
      </c>
      <c r="I8879" s="8" t="s">
        <v>26546</v>
      </c>
      <c r="J8879" s="8" t="s">
        <v>26547</v>
      </c>
    </row>
    <row r="8880">
      <c r="A8880" s="7">
        <v>2.0041567E7</v>
      </c>
      <c r="B8880" s="8" t="s">
        <v>2426</v>
      </c>
      <c r="C8880" s="8" t="s">
        <v>26548</v>
      </c>
      <c r="D8880" s="8" t="s">
        <v>16</v>
      </c>
      <c r="E8880" s="8" t="s">
        <v>17</v>
      </c>
      <c r="F8880" s="9">
        <v>46100.0</v>
      </c>
      <c r="G8880" s="8" t="s">
        <v>504</v>
      </c>
      <c r="H8880" s="8" t="s">
        <v>505</v>
      </c>
      <c r="I8880" s="8" t="s">
        <v>26549</v>
      </c>
      <c r="J8880" s="8" t="s">
        <v>26550</v>
      </c>
    </row>
    <row r="8881">
      <c r="A8881" s="7">
        <v>2.0044505E7</v>
      </c>
      <c r="B8881" s="8" t="s">
        <v>2426</v>
      </c>
      <c r="C8881" s="8" t="s">
        <v>26551</v>
      </c>
      <c r="D8881" s="8" t="s">
        <v>16</v>
      </c>
      <c r="E8881" s="8" t="s">
        <v>17</v>
      </c>
      <c r="F8881" s="9">
        <v>46095.0</v>
      </c>
      <c r="G8881" s="8" t="s">
        <v>561</v>
      </c>
      <c r="H8881" s="8" t="s">
        <v>562</v>
      </c>
      <c r="I8881" s="8" t="s">
        <v>26552</v>
      </c>
      <c r="J8881" s="8" t="s">
        <v>26553</v>
      </c>
    </row>
    <row r="8882">
      <c r="A8882" s="7">
        <v>2.0042242E7</v>
      </c>
      <c r="B8882" s="8" t="s">
        <v>2426</v>
      </c>
      <c r="C8882" s="8" t="s">
        <v>26554</v>
      </c>
      <c r="D8882" s="8" t="s">
        <v>16</v>
      </c>
      <c r="E8882" s="8" t="s">
        <v>17</v>
      </c>
      <c r="F8882" s="9">
        <v>46096.0</v>
      </c>
      <c r="G8882" s="8" t="s">
        <v>390</v>
      </c>
      <c r="H8882" s="8" t="s">
        <v>391</v>
      </c>
      <c r="I8882" s="8" t="s">
        <v>26555</v>
      </c>
      <c r="J8882" s="8" t="s">
        <v>26556</v>
      </c>
    </row>
    <row r="8883">
      <c r="A8883" s="7">
        <v>2.0042306E7</v>
      </c>
      <c r="B8883" s="8" t="s">
        <v>2426</v>
      </c>
      <c r="C8883" s="8" t="s">
        <v>26557</v>
      </c>
      <c r="D8883" s="8" t="s">
        <v>16</v>
      </c>
      <c r="E8883" s="8" t="s">
        <v>17</v>
      </c>
      <c r="F8883" s="9">
        <v>46084.0</v>
      </c>
      <c r="G8883" s="8" t="s">
        <v>171</v>
      </c>
      <c r="H8883" s="8" t="s">
        <v>172</v>
      </c>
      <c r="I8883" s="8" t="s">
        <v>26558</v>
      </c>
      <c r="J8883" s="8" t="s">
        <v>26559</v>
      </c>
    </row>
    <row r="8884">
      <c r="A8884" s="7">
        <v>2.0040342E7</v>
      </c>
      <c r="B8884" s="8" t="s">
        <v>2426</v>
      </c>
      <c r="C8884" s="8" t="s">
        <v>26560</v>
      </c>
      <c r="D8884" s="8" t="s">
        <v>16</v>
      </c>
      <c r="E8884" s="8" t="s">
        <v>17</v>
      </c>
      <c r="F8884" s="9">
        <v>46078.0</v>
      </c>
      <c r="G8884" s="8" t="s">
        <v>171</v>
      </c>
      <c r="H8884" s="8" t="s">
        <v>172</v>
      </c>
      <c r="I8884" s="8" t="s">
        <v>26561</v>
      </c>
      <c r="J8884" s="8" t="s">
        <v>26562</v>
      </c>
    </row>
    <row r="8885">
      <c r="A8885" s="7">
        <v>2.0037783E7</v>
      </c>
      <c r="B8885" s="8" t="s">
        <v>2426</v>
      </c>
      <c r="C8885" s="8" t="s">
        <v>26563</v>
      </c>
      <c r="D8885" s="8" t="s">
        <v>16</v>
      </c>
      <c r="E8885" s="8" t="s">
        <v>17</v>
      </c>
      <c r="F8885" s="9">
        <v>46075.0</v>
      </c>
      <c r="G8885" s="8" t="s">
        <v>339</v>
      </c>
      <c r="H8885" s="8" t="s">
        <v>340</v>
      </c>
      <c r="I8885" s="8" t="s">
        <v>26564</v>
      </c>
      <c r="J8885" s="8" t="s">
        <v>26565</v>
      </c>
    </row>
    <row r="8886">
      <c r="A8886" s="7">
        <v>2.0036814E7</v>
      </c>
      <c r="B8886" s="8" t="s">
        <v>2426</v>
      </c>
      <c r="C8886" s="8" t="s">
        <v>26566</v>
      </c>
      <c r="D8886" s="8" t="s">
        <v>16</v>
      </c>
      <c r="E8886" s="8" t="s">
        <v>17</v>
      </c>
      <c r="F8886" s="9">
        <v>46062.0</v>
      </c>
      <c r="G8886" s="8" t="s">
        <v>59</v>
      </c>
      <c r="H8886" s="8" t="s">
        <v>60</v>
      </c>
      <c r="I8886" s="8" t="s">
        <v>26567</v>
      </c>
      <c r="J8886" s="8" t="s">
        <v>26568</v>
      </c>
    </row>
    <row r="8887">
      <c r="A8887" s="7">
        <v>2.0032363E7</v>
      </c>
      <c r="B8887" s="8" t="s">
        <v>2426</v>
      </c>
      <c r="C8887" s="8" t="s">
        <v>26569</v>
      </c>
      <c r="D8887" s="8" t="s">
        <v>16</v>
      </c>
      <c r="E8887" s="8" t="s">
        <v>4439</v>
      </c>
      <c r="F8887" s="9">
        <v>46050.0</v>
      </c>
      <c r="G8887" s="8" t="s">
        <v>3572</v>
      </c>
      <c r="H8887" s="8" t="s">
        <v>3573</v>
      </c>
      <c r="I8887" s="8" t="s">
        <v>26570</v>
      </c>
      <c r="J8887" s="8" t="s">
        <v>26571</v>
      </c>
    </row>
    <row r="8888">
      <c r="A8888" s="7">
        <v>2.0032363E7</v>
      </c>
      <c r="B8888" s="8" t="s">
        <v>2426</v>
      </c>
      <c r="C8888" s="8" t="s">
        <v>26569</v>
      </c>
      <c r="D8888" s="8" t="s">
        <v>16</v>
      </c>
      <c r="E8888" s="8" t="s">
        <v>4439</v>
      </c>
      <c r="F8888" s="9">
        <v>46050.0</v>
      </c>
      <c r="G8888" s="8" t="s">
        <v>3572</v>
      </c>
      <c r="H8888" s="8" t="s">
        <v>3573</v>
      </c>
      <c r="I8888" s="8" t="s">
        <v>26572</v>
      </c>
      <c r="J8888" s="8" t="s">
        <v>26571</v>
      </c>
    </row>
    <row r="8889">
      <c r="A8889" s="7">
        <v>2.0061994E7</v>
      </c>
      <c r="B8889" s="8" t="s">
        <v>2426</v>
      </c>
      <c r="C8889" s="8" t="s">
        <v>26573</v>
      </c>
      <c r="D8889" s="8" t="s">
        <v>16</v>
      </c>
      <c r="E8889" s="8" t="s">
        <v>17</v>
      </c>
      <c r="F8889" s="9">
        <v>46157.0</v>
      </c>
      <c r="G8889" s="8" t="s">
        <v>971</v>
      </c>
      <c r="H8889" s="8" t="s">
        <v>972</v>
      </c>
      <c r="I8889" s="8" t="s">
        <v>26574</v>
      </c>
      <c r="J8889" s="8" t="s">
        <v>26575</v>
      </c>
    </row>
    <row r="8890">
      <c r="A8890" s="7">
        <v>2.0058193E7</v>
      </c>
      <c r="B8890" s="8" t="s">
        <v>2426</v>
      </c>
      <c r="C8890" s="8" t="s">
        <v>26576</v>
      </c>
      <c r="D8890" s="8" t="s">
        <v>16</v>
      </c>
      <c r="E8890" s="8" t="s">
        <v>17</v>
      </c>
      <c r="F8890" s="9">
        <v>46142.0</v>
      </c>
      <c r="G8890" s="8" t="s">
        <v>365</v>
      </c>
      <c r="H8890" s="8" t="s">
        <v>366</v>
      </c>
      <c r="I8890" s="8" t="s">
        <v>26577</v>
      </c>
      <c r="J8890" s="8" t="s">
        <v>26578</v>
      </c>
    </row>
    <row r="8891">
      <c r="A8891" s="7">
        <v>2.0055486E7</v>
      </c>
      <c r="B8891" s="8" t="s">
        <v>2426</v>
      </c>
      <c r="C8891" s="8" t="s">
        <v>26579</v>
      </c>
      <c r="D8891" s="8" t="s">
        <v>16</v>
      </c>
      <c r="E8891" s="8" t="s">
        <v>17</v>
      </c>
      <c r="F8891" s="9">
        <v>46140.0</v>
      </c>
      <c r="G8891" s="8" t="s">
        <v>390</v>
      </c>
      <c r="H8891" s="8" t="s">
        <v>391</v>
      </c>
      <c r="I8891" s="8" t="s">
        <v>26580</v>
      </c>
      <c r="J8891" s="8" t="s">
        <v>26581</v>
      </c>
    </row>
    <row r="8892">
      <c r="A8892" s="7">
        <v>2.005273E7</v>
      </c>
      <c r="B8892" s="8" t="s">
        <v>2426</v>
      </c>
      <c r="C8892" s="8" t="s">
        <v>26582</v>
      </c>
      <c r="D8892" s="8" t="s">
        <v>16</v>
      </c>
      <c r="E8892" s="8" t="s">
        <v>17</v>
      </c>
      <c r="F8892" s="9">
        <v>46112.0</v>
      </c>
      <c r="G8892" s="8" t="s">
        <v>352</v>
      </c>
      <c r="H8892" s="8" t="s">
        <v>353</v>
      </c>
      <c r="I8892" s="8" t="s">
        <v>26583</v>
      </c>
      <c r="J8892" s="8" t="s">
        <v>26584</v>
      </c>
    </row>
    <row r="8893">
      <c r="A8893" s="7">
        <v>2.0052797E7</v>
      </c>
      <c r="B8893" s="8" t="s">
        <v>2426</v>
      </c>
      <c r="C8893" s="8" t="s">
        <v>26585</v>
      </c>
      <c r="D8893" s="8" t="s">
        <v>16</v>
      </c>
      <c r="E8893" s="8" t="s">
        <v>17</v>
      </c>
      <c r="F8893" s="9">
        <v>46127.0</v>
      </c>
      <c r="G8893" s="8" t="s">
        <v>361</v>
      </c>
      <c r="H8893" s="8" t="s">
        <v>362</v>
      </c>
      <c r="I8893" s="8" t="s">
        <v>26586</v>
      </c>
      <c r="J8893" s="8" t="s">
        <v>26587</v>
      </c>
    </row>
    <row r="8894">
      <c r="A8894" s="7">
        <v>2.0052654E7</v>
      </c>
      <c r="B8894" s="8" t="s">
        <v>2426</v>
      </c>
      <c r="C8894" s="8" t="s">
        <v>26588</v>
      </c>
      <c r="D8894" s="8" t="s">
        <v>16</v>
      </c>
      <c r="E8894" s="8" t="s">
        <v>17</v>
      </c>
      <c r="F8894" s="9">
        <v>46128.0</v>
      </c>
      <c r="G8894" s="8" t="s">
        <v>158</v>
      </c>
      <c r="H8894" s="8" t="s">
        <v>159</v>
      </c>
      <c r="I8894" s="8" t="s">
        <v>26589</v>
      </c>
      <c r="J8894" s="8" t="s">
        <v>26590</v>
      </c>
    </row>
    <row r="8895">
      <c r="A8895" s="7">
        <v>2.0051879E7</v>
      </c>
      <c r="B8895" s="8" t="s">
        <v>2426</v>
      </c>
      <c r="C8895" s="8" t="s">
        <v>26591</v>
      </c>
      <c r="D8895" s="8" t="s">
        <v>16</v>
      </c>
      <c r="E8895" s="8" t="s">
        <v>17</v>
      </c>
      <c r="F8895" s="9">
        <v>46123.0</v>
      </c>
      <c r="G8895" s="8" t="s">
        <v>378</v>
      </c>
      <c r="H8895" s="8" t="s">
        <v>379</v>
      </c>
      <c r="I8895" s="8" t="s">
        <v>26592</v>
      </c>
      <c r="J8895" s="8" t="s">
        <v>26593</v>
      </c>
    </row>
    <row r="8896">
      <c r="A8896" s="7">
        <v>2.0051794E7</v>
      </c>
      <c r="B8896" s="8" t="s">
        <v>2426</v>
      </c>
      <c r="C8896" s="8" t="s">
        <v>26594</v>
      </c>
      <c r="D8896" s="8" t="s">
        <v>16</v>
      </c>
      <c r="E8896" s="8" t="s">
        <v>17</v>
      </c>
      <c r="F8896" s="9">
        <v>46137.0</v>
      </c>
      <c r="G8896" s="8" t="s">
        <v>184</v>
      </c>
      <c r="H8896" s="8" t="s">
        <v>185</v>
      </c>
      <c r="I8896" s="8" t="s">
        <v>26595</v>
      </c>
      <c r="J8896" s="8" t="s">
        <v>26596</v>
      </c>
    </row>
    <row r="8897">
      <c r="A8897" s="7">
        <v>2.0050706E7</v>
      </c>
      <c r="B8897" s="8" t="s">
        <v>2426</v>
      </c>
      <c r="C8897" s="8" t="s">
        <v>26597</v>
      </c>
      <c r="D8897" s="8" t="s">
        <v>16</v>
      </c>
      <c r="E8897" s="8" t="s">
        <v>17</v>
      </c>
      <c r="F8897" s="9">
        <v>46131.0</v>
      </c>
      <c r="G8897" s="8" t="s">
        <v>1427</v>
      </c>
      <c r="H8897" s="8" t="s">
        <v>1428</v>
      </c>
      <c r="I8897" s="8" t="s">
        <v>26598</v>
      </c>
      <c r="J8897" s="8" t="s">
        <v>26599</v>
      </c>
    </row>
    <row r="8898">
      <c r="A8898" s="7">
        <v>2.0049337E7</v>
      </c>
      <c r="B8898" s="8" t="s">
        <v>2426</v>
      </c>
      <c r="C8898" s="8" t="s">
        <v>26600</v>
      </c>
      <c r="D8898" s="8" t="s">
        <v>16</v>
      </c>
      <c r="E8898" s="8" t="s">
        <v>17</v>
      </c>
      <c r="F8898" s="9">
        <v>46101.0</v>
      </c>
      <c r="G8898" s="8" t="s">
        <v>826</v>
      </c>
      <c r="H8898" s="8" t="s">
        <v>827</v>
      </c>
      <c r="I8898" s="8" t="s">
        <v>26601</v>
      </c>
      <c r="J8898" s="8" t="s">
        <v>26602</v>
      </c>
    </row>
    <row r="8899">
      <c r="A8899" s="7">
        <v>2.0048099E7</v>
      </c>
      <c r="B8899" s="8" t="s">
        <v>2426</v>
      </c>
      <c r="C8899" s="8" t="s">
        <v>26603</v>
      </c>
      <c r="D8899" s="8" t="s">
        <v>16</v>
      </c>
      <c r="E8899" s="8" t="s">
        <v>17</v>
      </c>
      <c r="F8899" s="9">
        <v>46096.0</v>
      </c>
      <c r="G8899" s="8" t="s">
        <v>365</v>
      </c>
      <c r="H8899" s="8" t="s">
        <v>366</v>
      </c>
      <c r="I8899" s="8" t="s">
        <v>26604</v>
      </c>
      <c r="J8899" s="8" t="s">
        <v>26605</v>
      </c>
    </row>
    <row r="8900">
      <c r="A8900" s="7">
        <v>2.004504E7</v>
      </c>
      <c r="B8900" s="8" t="s">
        <v>2426</v>
      </c>
      <c r="C8900" s="8" t="s">
        <v>26606</v>
      </c>
      <c r="D8900" s="8" t="s">
        <v>16</v>
      </c>
      <c r="E8900" s="8" t="s">
        <v>17</v>
      </c>
      <c r="F8900" s="9">
        <v>46093.0</v>
      </c>
      <c r="G8900" s="8" t="s">
        <v>1093</v>
      </c>
      <c r="H8900" s="8" t="s">
        <v>1094</v>
      </c>
      <c r="I8900" s="8" t="s">
        <v>26607</v>
      </c>
      <c r="J8900" s="8" t="s">
        <v>26608</v>
      </c>
    </row>
    <row r="8901">
      <c r="A8901" s="7">
        <v>2.004504E7</v>
      </c>
      <c r="B8901" s="8" t="s">
        <v>2426</v>
      </c>
      <c r="C8901" s="8" t="s">
        <v>26606</v>
      </c>
      <c r="D8901" s="8" t="s">
        <v>16</v>
      </c>
      <c r="E8901" s="8" t="s">
        <v>17</v>
      </c>
      <c r="F8901" s="9">
        <v>46093.0</v>
      </c>
      <c r="G8901" s="8" t="s">
        <v>1169</v>
      </c>
      <c r="H8901" s="8" t="s">
        <v>1170</v>
      </c>
      <c r="I8901" s="8" t="s">
        <v>26609</v>
      </c>
      <c r="J8901" s="8" t="s">
        <v>26610</v>
      </c>
    </row>
    <row r="8902">
      <c r="A8902" s="7">
        <v>2.0044509E7</v>
      </c>
      <c r="B8902" s="8" t="s">
        <v>2426</v>
      </c>
      <c r="C8902" s="8" t="s">
        <v>26611</v>
      </c>
      <c r="D8902" s="8" t="s">
        <v>16</v>
      </c>
      <c r="E8902" s="8" t="s">
        <v>17</v>
      </c>
      <c r="F8902" s="9">
        <v>46088.0</v>
      </c>
      <c r="G8902" s="8" t="s">
        <v>1169</v>
      </c>
      <c r="H8902" s="8" t="s">
        <v>1170</v>
      </c>
      <c r="I8902" s="8" t="s">
        <v>26612</v>
      </c>
      <c r="J8902" s="8" t="s">
        <v>26613</v>
      </c>
    </row>
    <row r="8903">
      <c r="A8903" s="7">
        <v>2.0041329E7</v>
      </c>
      <c r="B8903" s="8" t="s">
        <v>2426</v>
      </c>
      <c r="C8903" s="8" t="s">
        <v>26614</v>
      </c>
      <c r="D8903" s="8" t="s">
        <v>16</v>
      </c>
      <c r="E8903" s="8" t="s">
        <v>17</v>
      </c>
      <c r="F8903" s="9">
        <v>46097.0</v>
      </c>
      <c r="G8903" s="8" t="s">
        <v>846</v>
      </c>
      <c r="H8903" s="8" t="s">
        <v>847</v>
      </c>
      <c r="I8903" s="8" t="s">
        <v>26615</v>
      </c>
      <c r="J8903" s="8" t="s">
        <v>26616</v>
      </c>
    </row>
    <row r="8904">
      <c r="A8904" s="7">
        <v>2.004329E7</v>
      </c>
      <c r="B8904" s="8" t="s">
        <v>2426</v>
      </c>
      <c r="C8904" s="8" t="s">
        <v>26617</v>
      </c>
      <c r="D8904" s="8" t="s">
        <v>16</v>
      </c>
      <c r="E8904" s="8" t="s">
        <v>17</v>
      </c>
      <c r="F8904" s="9">
        <v>46100.0</v>
      </c>
      <c r="G8904" s="8" t="s">
        <v>688</v>
      </c>
      <c r="H8904" s="8" t="s">
        <v>689</v>
      </c>
      <c r="I8904" s="8" t="s">
        <v>26618</v>
      </c>
      <c r="J8904" s="8" t="s">
        <v>26619</v>
      </c>
    </row>
    <row r="8905">
      <c r="A8905" s="7">
        <v>2.0037318E7</v>
      </c>
      <c r="B8905" s="8" t="s">
        <v>2426</v>
      </c>
      <c r="C8905" s="8" t="s">
        <v>26620</v>
      </c>
      <c r="D8905" s="8" t="s">
        <v>16</v>
      </c>
      <c r="E8905" s="8" t="s">
        <v>17</v>
      </c>
      <c r="F8905" s="9">
        <v>46082.0</v>
      </c>
      <c r="G8905" s="8" t="s">
        <v>1638</v>
      </c>
      <c r="H8905" s="8" t="s">
        <v>1639</v>
      </c>
      <c r="I8905" s="8" t="s">
        <v>26621</v>
      </c>
      <c r="J8905" s="8" t="s">
        <v>26622</v>
      </c>
    </row>
    <row r="8906">
      <c r="A8906" s="7">
        <v>2.0038027E7</v>
      </c>
      <c r="B8906" s="8" t="s">
        <v>2426</v>
      </c>
      <c r="C8906" s="8" t="s">
        <v>26623</v>
      </c>
      <c r="D8906" s="8" t="s">
        <v>16</v>
      </c>
      <c r="E8906" s="8" t="s">
        <v>17</v>
      </c>
      <c r="F8906" s="9">
        <v>46059.0</v>
      </c>
      <c r="G8906" s="8" t="s">
        <v>365</v>
      </c>
      <c r="H8906" s="8" t="s">
        <v>366</v>
      </c>
      <c r="I8906" s="8" t="s">
        <v>26624</v>
      </c>
      <c r="J8906" s="8" t="s">
        <v>26625</v>
      </c>
    </row>
    <row r="8907">
      <c r="A8907" s="7">
        <v>2.0037514E7</v>
      </c>
      <c r="B8907" s="8" t="s">
        <v>2426</v>
      </c>
      <c r="C8907" s="8" t="s">
        <v>26626</v>
      </c>
      <c r="D8907" s="8" t="s">
        <v>16</v>
      </c>
      <c r="E8907" s="8" t="s">
        <v>17</v>
      </c>
      <c r="F8907" s="9">
        <v>46060.0</v>
      </c>
      <c r="G8907" s="8" t="s">
        <v>195</v>
      </c>
      <c r="H8907" s="8" t="s">
        <v>196</v>
      </c>
      <c r="I8907" s="8" t="s">
        <v>26627</v>
      </c>
      <c r="J8907" s="8" t="s">
        <v>26628</v>
      </c>
    </row>
    <row r="8908">
      <c r="A8908" s="7">
        <v>2.0035544E7</v>
      </c>
      <c r="B8908" s="8" t="s">
        <v>2426</v>
      </c>
      <c r="C8908" s="8" t="s">
        <v>26629</v>
      </c>
      <c r="D8908" s="8" t="s">
        <v>16</v>
      </c>
      <c r="E8908" s="8" t="s">
        <v>17</v>
      </c>
      <c r="F8908" s="9">
        <v>46063.0</v>
      </c>
      <c r="G8908" s="8" t="s">
        <v>59</v>
      </c>
      <c r="H8908" s="8" t="s">
        <v>60</v>
      </c>
      <c r="I8908" s="8" t="s">
        <v>26630</v>
      </c>
      <c r="J8908" s="8" t="s">
        <v>26631</v>
      </c>
    </row>
    <row r="8909">
      <c r="A8909" s="7">
        <v>2.0035953E7</v>
      </c>
      <c r="B8909" s="8" t="s">
        <v>2426</v>
      </c>
      <c r="C8909" s="8" t="s">
        <v>26632</v>
      </c>
      <c r="D8909" s="8" t="s">
        <v>16</v>
      </c>
      <c r="E8909" s="8" t="s">
        <v>17</v>
      </c>
      <c r="F8909" s="9">
        <v>46060.0</v>
      </c>
      <c r="G8909" s="8" t="s">
        <v>59</v>
      </c>
      <c r="H8909" s="8" t="s">
        <v>60</v>
      </c>
      <c r="I8909" s="8" t="s">
        <v>26633</v>
      </c>
      <c r="J8909" s="8" t="s">
        <v>26634</v>
      </c>
    </row>
    <row r="8910">
      <c r="A8910" s="7">
        <v>2.0032237E7</v>
      </c>
      <c r="B8910" s="8" t="s">
        <v>2426</v>
      </c>
      <c r="C8910" s="8" t="s">
        <v>26635</v>
      </c>
      <c r="D8910" s="8" t="s">
        <v>16</v>
      </c>
      <c r="E8910" s="8" t="s">
        <v>17</v>
      </c>
      <c r="F8910" s="9">
        <v>46040.0</v>
      </c>
      <c r="G8910" s="8" t="s">
        <v>504</v>
      </c>
      <c r="H8910" s="8" t="s">
        <v>505</v>
      </c>
      <c r="I8910" s="8" t="s">
        <v>26636</v>
      </c>
      <c r="J8910" s="8" t="s">
        <v>26637</v>
      </c>
    </row>
    <row r="8911">
      <c r="A8911" s="7">
        <v>2.0065379E7</v>
      </c>
      <c r="B8911" s="8" t="s">
        <v>2426</v>
      </c>
      <c r="C8911" s="8" t="s">
        <v>26638</v>
      </c>
      <c r="D8911" s="8" t="s">
        <v>16</v>
      </c>
      <c r="E8911" s="8" t="s">
        <v>17</v>
      </c>
      <c r="F8911" s="9">
        <v>46190.0</v>
      </c>
      <c r="G8911" s="8" t="s">
        <v>3532</v>
      </c>
      <c r="H8911" s="8" t="s">
        <v>3533</v>
      </c>
      <c r="I8911" s="8" t="s">
        <v>26639</v>
      </c>
      <c r="J8911" s="8" t="s">
        <v>26640</v>
      </c>
    </row>
    <row r="8912">
      <c r="A8912" s="7">
        <v>2.0059219E7</v>
      </c>
      <c r="B8912" s="8" t="s">
        <v>2426</v>
      </c>
      <c r="C8912" s="8" t="s">
        <v>26641</v>
      </c>
      <c r="D8912" s="8" t="s">
        <v>16</v>
      </c>
      <c r="E8912" s="8" t="s">
        <v>17</v>
      </c>
      <c r="F8912" s="9">
        <v>46192.0</v>
      </c>
      <c r="G8912" s="8" t="s">
        <v>16405</v>
      </c>
      <c r="H8912" s="8" t="s">
        <v>16406</v>
      </c>
      <c r="I8912" s="8" t="s">
        <v>26642</v>
      </c>
      <c r="J8912" s="8" t="s">
        <v>26643</v>
      </c>
    </row>
    <row r="8913">
      <c r="A8913" s="7">
        <v>2.005441E7</v>
      </c>
      <c r="B8913" s="8" t="s">
        <v>2426</v>
      </c>
      <c r="C8913" s="8" t="s">
        <v>26644</v>
      </c>
      <c r="D8913" s="8" t="s">
        <v>16</v>
      </c>
      <c r="E8913" s="8" t="s">
        <v>17</v>
      </c>
      <c r="F8913" s="9">
        <v>46131.0</v>
      </c>
      <c r="G8913" s="8" t="s">
        <v>59</v>
      </c>
      <c r="H8913" s="8" t="s">
        <v>60</v>
      </c>
      <c r="I8913" s="8" t="s">
        <v>26645</v>
      </c>
      <c r="J8913" s="8" t="s">
        <v>26646</v>
      </c>
    </row>
    <row r="8914">
      <c r="A8914" s="7">
        <v>2.0045669E7</v>
      </c>
      <c r="B8914" s="8" t="s">
        <v>2426</v>
      </c>
      <c r="C8914" s="8" t="s">
        <v>26647</v>
      </c>
      <c r="D8914" s="8" t="s">
        <v>16</v>
      </c>
      <c r="E8914" s="8" t="s">
        <v>17</v>
      </c>
      <c r="F8914" s="9">
        <v>46108.0</v>
      </c>
      <c r="G8914" s="8" t="s">
        <v>59</v>
      </c>
      <c r="H8914" s="8" t="s">
        <v>60</v>
      </c>
      <c r="I8914" s="8" t="s">
        <v>26648</v>
      </c>
      <c r="J8914" s="8" t="s">
        <v>26649</v>
      </c>
    </row>
    <row r="8915">
      <c r="A8915" s="7">
        <v>2.0048334E7</v>
      </c>
      <c r="B8915" s="8" t="s">
        <v>2426</v>
      </c>
      <c r="C8915" s="8" t="s">
        <v>26650</v>
      </c>
      <c r="D8915" s="8" t="s">
        <v>16</v>
      </c>
      <c r="E8915" s="8" t="s">
        <v>17</v>
      </c>
      <c r="F8915" s="9">
        <v>46098.0</v>
      </c>
      <c r="G8915" s="8" t="s">
        <v>91</v>
      </c>
      <c r="H8915" s="8" t="s">
        <v>92</v>
      </c>
      <c r="I8915" s="8" t="s">
        <v>26651</v>
      </c>
      <c r="J8915" s="8" t="s">
        <v>26652</v>
      </c>
    </row>
    <row r="8916">
      <c r="A8916" s="7">
        <v>2.0040831E7</v>
      </c>
      <c r="B8916" s="8" t="s">
        <v>2426</v>
      </c>
      <c r="C8916" s="8" t="s">
        <v>26653</v>
      </c>
      <c r="D8916" s="8" t="s">
        <v>16</v>
      </c>
      <c r="E8916" s="8" t="s">
        <v>17</v>
      </c>
      <c r="F8916" s="9">
        <v>46079.0</v>
      </c>
      <c r="G8916" s="8" t="s">
        <v>5590</v>
      </c>
      <c r="H8916" s="8" t="s">
        <v>2062</v>
      </c>
      <c r="I8916" s="8" t="s">
        <v>26654</v>
      </c>
      <c r="J8916" s="8" t="s">
        <v>26655</v>
      </c>
    </row>
    <row r="8917">
      <c r="A8917" s="7">
        <v>2.0040102E7</v>
      </c>
      <c r="B8917" s="8" t="s">
        <v>2426</v>
      </c>
      <c r="C8917" s="8" t="s">
        <v>26656</v>
      </c>
      <c r="D8917" s="8" t="s">
        <v>16</v>
      </c>
      <c r="E8917" s="8" t="s">
        <v>17</v>
      </c>
      <c r="F8917" s="9">
        <v>46088.0</v>
      </c>
      <c r="G8917" s="8" t="s">
        <v>390</v>
      </c>
      <c r="H8917" s="8" t="s">
        <v>391</v>
      </c>
      <c r="I8917" s="8" t="s">
        <v>26657</v>
      </c>
      <c r="J8917" s="8" t="s">
        <v>26658</v>
      </c>
    </row>
    <row r="8918">
      <c r="A8918" s="7">
        <v>2.0036006E7</v>
      </c>
      <c r="B8918" s="8" t="s">
        <v>2426</v>
      </c>
      <c r="C8918" s="8" t="s">
        <v>26659</v>
      </c>
      <c r="D8918" s="8" t="s">
        <v>16</v>
      </c>
      <c r="E8918" s="8" t="s">
        <v>17</v>
      </c>
      <c r="F8918" s="9">
        <v>46078.0</v>
      </c>
      <c r="G8918" s="8" t="s">
        <v>137</v>
      </c>
      <c r="H8918" s="8" t="s">
        <v>138</v>
      </c>
      <c r="I8918" s="8" t="s">
        <v>26660</v>
      </c>
      <c r="J8918" s="8" t="s">
        <v>26661</v>
      </c>
    </row>
    <row r="8919">
      <c r="A8919" s="7">
        <v>2.0032282E7</v>
      </c>
      <c r="B8919" s="8" t="s">
        <v>2426</v>
      </c>
      <c r="C8919" s="8" t="s">
        <v>26662</v>
      </c>
      <c r="D8919" s="8" t="s">
        <v>16</v>
      </c>
      <c r="E8919" s="8" t="s">
        <v>17</v>
      </c>
      <c r="F8919" s="9">
        <v>46060.0</v>
      </c>
      <c r="G8919" s="8" t="s">
        <v>59</v>
      </c>
      <c r="H8919" s="8" t="s">
        <v>60</v>
      </c>
      <c r="I8919" s="8" t="s">
        <v>26663</v>
      </c>
      <c r="J8919" s="8" t="s">
        <v>26664</v>
      </c>
    </row>
    <row r="8920">
      <c r="A8920" s="7">
        <v>2.0034566E7</v>
      </c>
      <c r="B8920" s="8" t="s">
        <v>2426</v>
      </c>
      <c r="C8920" s="8" t="s">
        <v>26665</v>
      </c>
      <c r="D8920" s="8" t="s">
        <v>16</v>
      </c>
      <c r="E8920" s="8" t="s">
        <v>17</v>
      </c>
      <c r="F8920" s="9">
        <v>46052.0</v>
      </c>
      <c r="G8920" s="8" t="s">
        <v>3585</v>
      </c>
      <c r="H8920" s="8" t="s">
        <v>3586</v>
      </c>
      <c r="I8920" s="8" t="s">
        <v>26666</v>
      </c>
      <c r="J8920" s="8" t="s">
        <v>26667</v>
      </c>
    </row>
    <row r="8921">
      <c r="A8921" s="7">
        <v>2.0034352E7</v>
      </c>
      <c r="B8921" s="8" t="s">
        <v>2426</v>
      </c>
      <c r="C8921" s="8" t="s">
        <v>26668</v>
      </c>
      <c r="D8921" s="8" t="s">
        <v>16</v>
      </c>
      <c r="E8921" s="8" t="s">
        <v>17</v>
      </c>
      <c r="F8921" s="9">
        <v>46062.0</v>
      </c>
      <c r="G8921" s="8" t="s">
        <v>543</v>
      </c>
      <c r="H8921" s="8" t="s">
        <v>544</v>
      </c>
      <c r="I8921" s="8" t="s">
        <v>26669</v>
      </c>
      <c r="J8921" s="8" t="s">
        <v>26670</v>
      </c>
    </row>
    <row r="8922">
      <c r="A8922" s="7">
        <v>2.0066289E7</v>
      </c>
      <c r="B8922" s="8" t="s">
        <v>2426</v>
      </c>
      <c r="C8922" s="8" t="s">
        <v>26671</v>
      </c>
      <c r="D8922" s="8" t="s">
        <v>16</v>
      </c>
      <c r="E8922" s="8" t="s">
        <v>17</v>
      </c>
      <c r="F8922" s="9">
        <v>46178.0</v>
      </c>
      <c r="G8922" s="8" t="s">
        <v>13444</v>
      </c>
      <c r="H8922" s="8" t="s">
        <v>13445</v>
      </c>
      <c r="I8922" s="8" t="s">
        <v>26672</v>
      </c>
      <c r="J8922" s="8" t="s">
        <v>26673</v>
      </c>
    </row>
    <row r="8923">
      <c r="A8923" s="7">
        <v>2.0059662E7</v>
      </c>
      <c r="B8923" s="8" t="s">
        <v>2426</v>
      </c>
      <c r="C8923" s="8" t="s">
        <v>26674</v>
      </c>
      <c r="D8923" s="8" t="s">
        <v>16</v>
      </c>
      <c r="E8923" s="8" t="s">
        <v>17</v>
      </c>
      <c r="F8923" s="9">
        <v>46161.0</v>
      </c>
      <c r="G8923" s="8" t="s">
        <v>234</v>
      </c>
      <c r="H8923" s="8" t="s">
        <v>235</v>
      </c>
      <c r="I8923" s="8" t="s">
        <v>26675</v>
      </c>
      <c r="J8923" s="8" t="s">
        <v>26676</v>
      </c>
    </row>
    <row r="8924">
      <c r="A8924" s="7">
        <v>2.0059662E7</v>
      </c>
      <c r="B8924" s="8" t="s">
        <v>2426</v>
      </c>
      <c r="C8924" s="8" t="s">
        <v>26674</v>
      </c>
      <c r="D8924" s="8" t="s">
        <v>16</v>
      </c>
      <c r="E8924" s="8" t="s">
        <v>17</v>
      </c>
      <c r="F8924" s="9">
        <v>46161.0</v>
      </c>
      <c r="G8924" s="8" t="s">
        <v>3255</v>
      </c>
      <c r="H8924" s="8" t="s">
        <v>3256</v>
      </c>
      <c r="I8924" s="8" t="s">
        <v>26677</v>
      </c>
      <c r="J8924" s="8" t="s">
        <v>26678</v>
      </c>
    </row>
    <row r="8925">
      <c r="A8925" s="7">
        <v>2.0059445E7</v>
      </c>
      <c r="B8925" s="8" t="s">
        <v>2426</v>
      </c>
      <c r="C8925" s="8" t="s">
        <v>26679</v>
      </c>
      <c r="D8925" s="8" t="s">
        <v>16</v>
      </c>
      <c r="E8925" s="8" t="s">
        <v>17</v>
      </c>
      <c r="F8925" s="9">
        <v>46149.0</v>
      </c>
      <c r="G8925" s="8" t="s">
        <v>868</v>
      </c>
      <c r="H8925" s="8" t="s">
        <v>869</v>
      </c>
      <c r="I8925" s="8" t="s">
        <v>26680</v>
      </c>
      <c r="J8925" s="8" t="s">
        <v>26681</v>
      </c>
    </row>
    <row r="8926">
      <c r="A8926" s="7">
        <v>2.0054172E7</v>
      </c>
      <c r="B8926" s="8" t="s">
        <v>2426</v>
      </c>
      <c r="C8926" s="8" t="s">
        <v>26682</v>
      </c>
      <c r="D8926" s="8" t="s">
        <v>16</v>
      </c>
      <c r="E8926" s="8" t="s">
        <v>17</v>
      </c>
      <c r="F8926" s="9">
        <v>46143.0</v>
      </c>
      <c r="G8926" s="8" t="s">
        <v>1754</v>
      </c>
      <c r="H8926" s="8" t="s">
        <v>1755</v>
      </c>
      <c r="I8926" s="8" t="s">
        <v>26683</v>
      </c>
      <c r="J8926" s="8" t="s">
        <v>26684</v>
      </c>
    </row>
    <row r="8927">
      <c r="A8927" s="7">
        <v>2.0051034E7</v>
      </c>
      <c r="B8927" s="8" t="s">
        <v>2426</v>
      </c>
      <c r="C8927" s="8" t="s">
        <v>26685</v>
      </c>
      <c r="D8927" s="8" t="s">
        <v>16</v>
      </c>
      <c r="E8927" s="8" t="s">
        <v>17</v>
      </c>
      <c r="F8927" s="9">
        <v>46106.0</v>
      </c>
      <c r="G8927" s="8" t="s">
        <v>2511</v>
      </c>
      <c r="H8927" s="8" t="s">
        <v>2512</v>
      </c>
      <c r="I8927" s="8" t="s">
        <v>26686</v>
      </c>
      <c r="J8927" s="8" t="s">
        <v>26687</v>
      </c>
    </row>
    <row r="8928">
      <c r="A8928" s="7">
        <v>2.0028509E7</v>
      </c>
      <c r="B8928" s="8" t="s">
        <v>2426</v>
      </c>
      <c r="C8928" s="8" t="s">
        <v>26688</v>
      </c>
      <c r="D8928" s="8" t="s">
        <v>16</v>
      </c>
      <c r="E8928" s="8" t="s">
        <v>17</v>
      </c>
      <c r="F8928" s="9">
        <v>46091.0</v>
      </c>
      <c r="G8928" s="8" t="s">
        <v>29</v>
      </c>
      <c r="H8928" s="8" t="s">
        <v>30</v>
      </c>
      <c r="I8928" s="8" t="s">
        <v>26689</v>
      </c>
      <c r="J8928" s="8" t="s">
        <v>26690</v>
      </c>
    </row>
    <row r="8929">
      <c r="A8929" s="7">
        <v>2.0042347E7</v>
      </c>
      <c r="B8929" s="8" t="s">
        <v>2426</v>
      </c>
      <c r="C8929" s="8" t="s">
        <v>26691</v>
      </c>
      <c r="D8929" s="8" t="s">
        <v>16</v>
      </c>
      <c r="E8929" s="8" t="s">
        <v>17</v>
      </c>
      <c r="F8929" s="9">
        <v>46092.0</v>
      </c>
      <c r="G8929" s="8" t="s">
        <v>361</v>
      </c>
      <c r="H8929" s="8" t="s">
        <v>362</v>
      </c>
      <c r="I8929" s="8" t="s">
        <v>26692</v>
      </c>
      <c r="J8929" s="8" t="s">
        <v>26693</v>
      </c>
    </row>
    <row r="8930">
      <c r="A8930" s="7">
        <v>2.0036901E7</v>
      </c>
      <c r="B8930" s="8" t="s">
        <v>2426</v>
      </c>
      <c r="C8930" s="8" t="s">
        <v>26694</v>
      </c>
      <c r="D8930" s="8" t="s">
        <v>16</v>
      </c>
      <c r="E8930" s="8" t="s">
        <v>17</v>
      </c>
      <c r="F8930" s="9">
        <v>46065.0</v>
      </c>
      <c r="G8930" s="8" t="s">
        <v>59</v>
      </c>
      <c r="H8930" s="8" t="s">
        <v>60</v>
      </c>
      <c r="I8930" s="8" t="s">
        <v>26695</v>
      </c>
      <c r="J8930" s="8" t="s">
        <v>26696</v>
      </c>
    </row>
    <row r="8931">
      <c r="A8931" s="7">
        <v>2.0037983E7</v>
      </c>
      <c r="B8931" s="8" t="s">
        <v>2426</v>
      </c>
      <c r="C8931" s="8" t="s">
        <v>26697</v>
      </c>
      <c r="D8931" s="8" t="s">
        <v>16</v>
      </c>
      <c r="E8931" s="8" t="s">
        <v>17</v>
      </c>
      <c r="F8931" s="9">
        <v>46065.0</v>
      </c>
      <c r="G8931" s="8" t="s">
        <v>109</v>
      </c>
      <c r="H8931" s="8" t="s">
        <v>110</v>
      </c>
      <c r="I8931" s="8" t="s">
        <v>26698</v>
      </c>
      <c r="J8931" s="8" t="s">
        <v>26699</v>
      </c>
    </row>
    <row r="8932">
      <c r="A8932" s="7">
        <v>2.0038505E7</v>
      </c>
      <c r="B8932" s="8" t="s">
        <v>2426</v>
      </c>
      <c r="C8932" s="8" t="s">
        <v>26700</v>
      </c>
      <c r="D8932" s="8" t="s">
        <v>16</v>
      </c>
      <c r="E8932" s="8" t="s">
        <v>17</v>
      </c>
      <c r="F8932" s="9">
        <v>46069.0</v>
      </c>
      <c r="G8932" s="8" t="s">
        <v>2719</v>
      </c>
      <c r="H8932" s="8" t="s">
        <v>2720</v>
      </c>
      <c r="I8932" s="8" t="s">
        <v>26701</v>
      </c>
      <c r="J8932" s="8" t="s">
        <v>26702</v>
      </c>
    </row>
    <row r="8933">
      <c r="A8933" s="7">
        <v>2.0037977E7</v>
      </c>
      <c r="B8933" s="8" t="s">
        <v>2426</v>
      </c>
      <c r="C8933" s="8" t="s">
        <v>26703</v>
      </c>
      <c r="D8933" s="8" t="s">
        <v>16</v>
      </c>
      <c r="E8933" s="8" t="s">
        <v>17</v>
      </c>
      <c r="F8933" s="9">
        <v>46073.0</v>
      </c>
      <c r="G8933" s="8" t="s">
        <v>158</v>
      </c>
      <c r="H8933" s="8" t="s">
        <v>159</v>
      </c>
      <c r="I8933" s="8" t="s">
        <v>26704</v>
      </c>
      <c r="J8933" s="8" t="s">
        <v>26705</v>
      </c>
    </row>
    <row r="8934">
      <c r="A8934" s="7">
        <v>2.0034204E7</v>
      </c>
      <c r="B8934" s="8" t="s">
        <v>2426</v>
      </c>
      <c r="C8934" s="8" t="s">
        <v>26706</v>
      </c>
      <c r="D8934" s="8" t="s">
        <v>16</v>
      </c>
      <c r="E8934" s="8" t="s">
        <v>17</v>
      </c>
      <c r="F8934" s="9">
        <v>46053.0</v>
      </c>
      <c r="G8934" s="8" t="s">
        <v>4627</v>
      </c>
      <c r="H8934" s="8" t="s">
        <v>4628</v>
      </c>
      <c r="I8934" s="8" t="s">
        <v>26707</v>
      </c>
      <c r="J8934" s="8" t="s">
        <v>26708</v>
      </c>
    </row>
    <row r="8935">
      <c r="A8935" s="7">
        <v>2.0033234E7</v>
      </c>
      <c r="B8935" s="8" t="s">
        <v>2426</v>
      </c>
      <c r="C8935" s="8" t="s">
        <v>26709</v>
      </c>
      <c r="D8935" s="8" t="s">
        <v>16</v>
      </c>
      <c r="E8935" s="8" t="s">
        <v>17</v>
      </c>
      <c r="F8935" s="9">
        <v>46048.0</v>
      </c>
      <c r="G8935" s="8" t="s">
        <v>365</v>
      </c>
      <c r="H8935" s="8" t="s">
        <v>366</v>
      </c>
      <c r="I8935" s="8" t="s">
        <v>26710</v>
      </c>
      <c r="J8935" s="8" t="s">
        <v>26711</v>
      </c>
    </row>
    <row r="8936">
      <c r="A8936" s="7">
        <v>2.0032821E7</v>
      </c>
      <c r="B8936" s="8" t="s">
        <v>2426</v>
      </c>
      <c r="C8936" s="8" t="s">
        <v>26712</v>
      </c>
      <c r="D8936" s="8" t="s">
        <v>16</v>
      </c>
      <c r="E8936" s="8" t="s">
        <v>17</v>
      </c>
      <c r="F8936" s="9">
        <v>46075.0</v>
      </c>
      <c r="G8936" s="8" t="s">
        <v>390</v>
      </c>
      <c r="H8936" s="8" t="s">
        <v>391</v>
      </c>
      <c r="I8936" s="8" t="s">
        <v>26713</v>
      </c>
      <c r="J8936" s="8" t="s">
        <v>26714</v>
      </c>
    </row>
    <row r="8937">
      <c r="A8937" s="7">
        <v>2.0032821E7</v>
      </c>
      <c r="B8937" s="8" t="s">
        <v>2426</v>
      </c>
      <c r="C8937" s="8" t="s">
        <v>26712</v>
      </c>
      <c r="D8937" s="8" t="s">
        <v>16</v>
      </c>
      <c r="E8937" s="8" t="s">
        <v>17</v>
      </c>
      <c r="F8937" s="9">
        <v>46075.0</v>
      </c>
      <c r="G8937" s="8" t="s">
        <v>365</v>
      </c>
      <c r="H8937" s="8" t="s">
        <v>366</v>
      </c>
      <c r="I8937" s="8" t="s">
        <v>26715</v>
      </c>
      <c r="J8937" s="8" t="s">
        <v>26716</v>
      </c>
    </row>
    <row r="8938">
      <c r="A8938" s="7">
        <v>2.002591E7</v>
      </c>
      <c r="B8938" s="8" t="s">
        <v>2426</v>
      </c>
      <c r="C8938" s="8" t="s">
        <v>26717</v>
      </c>
      <c r="D8938" s="8" t="s">
        <v>16</v>
      </c>
      <c r="E8938" s="8" t="s">
        <v>17</v>
      </c>
      <c r="F8938" s="9">
        <v>46044.0</v>
      </c>
      <c r="G8938" s="8" t="s">
        <v>339</v>
      </c>
      <c r="H8938" s="8" t="s">
        <v>340</v>
      </c>
      <c r="I8938" s="8" t="s">
        <v>26718</v>
      </c>
      <c r="J8938" s="8" t="s">
        <v>26719</v>
      </c>
    </row>
    <row r="8939">
      <c r="A8939" s="7">
        <v>2.0063362E7</v>
      </c>
      <c r="B8939" s="8" t="s">
        <v>2426</v>
      </c>
      <c r="C8939" s="8" t="s">
        <v>26720</v>
      </c>
      <c r="D8939" s="8" t="s">
        <v>16</v>
      </c>
      <c r="E8939" s="8" t="s">
        <v>17</v>
      </c>
      <c r="F8939" s="9">
        <v>46158.0</v>
      </c>
      <c r="G8939" s="8" t="s">
        <v>34</v>
      </c>
      <c r="H8939" s="8" t="s">
        <v>35</v>
      </c>
      <c r="I8939" s="8" t="s">
        <v>26721</v>
      </c>
      <c r="J8939" s="8" t="s">
        <v>26722</v>
      </c>
    </row>
    <row r="8940">
      <c r="A8940" s="7">
        <v>2.00617E7</v>
      </c>
      <c r="B8940" s="8" t="s">
        <v>2426</v>
      </c>
      <c r="C8940" s="8" t="s">
        <v>26723</v>
      </c>
      <c r="D8940" s="8" t="s">
        <v>16</v>
      </c>
      <c r="E8940" s="8" t="s">
        <v>17</v>
      </c>
      <c r="F8940" s="9">
        <v>46185.0</v>
      </c>
      <c r="G8940" s="8" t="s">
        <v>16491</v>
      </c>
      <c r="H8940" s="8" t="s">
        <v>16492</v>
      </c>
      <c r="I8940" s="8" t="s">
        <v>26724</v>
      </c>
      <c r="J8940" s="8" t="s">
        <v>26725</v>
      </c>
    </row>
    <row r="8941">
      <c r="A8941" s="7">
        <v>2.00617E7</v>
      </c>
      <c r="B8941" s="8" t="s">
        <v>2426</v>
      </c>
      <c r="C8941" s="8" t="s">
        <v>26723</v>
      </c>
      <c r="D8941" s="8" t="s">
        <v>16</v>
      </c>
      <c r="E8941" s="8" t="s">
        <v>17</v>
      </c>
      <c r="F8941" s="9">
        <v>46185.0</v>
      </c>
      <c r="G8941" s="8" t="s">
        <v>971</v>
      </c>
      <c r="H8941" s="8" t="s">
        <v>972</v>
      </c>
      <c r="I8941" s="8" t="s">
        <v>26726</v>
      </c>
      <c r="J8941" s="8" t="s">
        <v>26727</v>
      </c>
    </row>
    <row r="8942">
      <c r="A8942" s="7">
        <v>2.0061443E7</v>
      </c>
      <c r="B8942" s="8" t="s">
        <v>2426</v>
      </c>
      <c r="C8942" s="8" t="s">
        <v>26728</v>
      </c>
      <c r="D8942" s="8" t="s">
        <v>16</v>
      </c>
      <c r="E8942" s="8" t="s">
        <v>17</v>
      </c>
      <c r="F8942" s="9">
        <v>46152.0</v>
      </c>
      <c r="G8942" s="8" t="s">
        <v>2511</v>
      </c>
      <c r="H8942" s="8" t="s">
        <v>2512</v>
      </c>
      <c r="I8942" s="8" t="s">
        <v>26729</v>
      </c>
      <c r="J8942" s="8" t="s">
        <v>26730</v>
      </c>
    </row>
    <row r="8943">
      <c r="A8943" s="7">
        <v>2.0048671E7</v>
      </c>
      <c r="B8943" s="8" t="s">
        <v>2426</v>
      </c>
      <c r="C8943" s="8" t="s">
        <v>26731</v>
      </c>
      <c r="D8943" s="8" t="s">
        <v>16</v>
      </c>
      <c r="E8943" s="8" t="s">
        <v>17</v>
      </c>
      <c r="F8943" s="9">
        <v>46182.0</v>
      </c>
      <c r="G8943" s="8" t="s">
        <v>184</v>
      </c>
      <c r="H8943" s="8" t="s">
        <v>185</v>
      </c>
      <c r="I8943" s="8" t="s">
        <v>26732</v>
      </c>
      <c r="J8943" s="8" t="s">
        <v>26733</v>
      </c>
    </row>
    <row r="8944">
      <c r="A8944" s="7">
        <v>2.0057478E7</v>
      </c>
      <c r="B8944" s="8" t="s">
        <v>2426</v>
      </c>
      <c r="C8944" s="8" t="s">
        <v>26734</v>
      </c>
      <c r="D8944" s="8" t="s">
        <v>16</v>
      </c>
      <c r="E8944" s="8" t="s">
        <v>17</v>
      </c>
      <c r="F8944" s="9">
        <v>46136.0</v>
      </c>
      <c r="G8944" s="8" t="s">
        <v>365</v>
      </c>
      <c r="H8944" s="8" t="s">
        <v>366</v>
      </c>
      <c r="I8944" s="8" t="s">
        <v>26735</v>
      </c>
      <c r="J8944" s="8" t="s">
        <v>26736</v>
      </c>
    </row>
    <row r="8945">
      <c r="A8945" s="7">
        <v>2.0053015E7</v>
      </c>
      <c r="B8945" s="8" t="s">
        <v>2426</v>
      </c>
      <c r="C8945" s="8" t="s">
        <v>26737</v>
      </c>
      <c r="D8945" s="8" t="s">
        <v>16</v>
      </c>
      <c r="E8945" s="8" t="s">
        <v>48</v>
      </c>
      <c r="F8945" s="9">
        <v>46139.0</v>
      </c>
      <c r="G8945" s="8" t="s">
        <v>5723</v>
      </c>
      <c r="H8945" s="8" t="s">
        <v>909</v>
      </c>
      <c r="I8945" s="8" t="s">
        <v>26738</v>
      </c>
      <c r="J8945" s="8"/>
    </row>
    <row r="8946">
      <c r="A8946" s="7">
        <v>2.0054023E7</v>
      </c>
      <c r="B8946" s="8" t="s">
        <v>2426</v>
      </c>
      <c r="C8946" s="8" t="s">
        <v>26739</v>
      </c>
      <c r="D8946" s="8" t="s">
        <v>16</v>
      </c>
      <c r="E8946" s="8" t="s">
        <v>17</v>
      </c>
      <c r="F8946" s="9">
        <v>46129.0</v>
      </c>
      <c r="G8946" s="8" t="s">
        <v>5916</v>
      </c>
      <c r="H8946" s="8" t="s">
        <v>5917</v>
      </c>
      <c r="I8946" s="8" t="s">
        <v>26740</v>
      </c>
      <c r="J8946" s="8" t="s">
        <v>26741</v>
      </c>
    </row>
    <row r="8947">
      <c r="A8947" s="7">
        <v>2.005576E7</v>
      </c>
      <c r="B8947" s="8" t="s">
        <v>2426</v>
      </c>
      <c r="C8947" s="8" t="s">
        <v>26742</v>
      </c>
      <c r="D8947" s="8" t="s">
        <v>16</v>
      </c>
      <c r="E8947" s="8" t="s">
        <v>17</v>
      </c>
      <c r="F8947" s="9">
        <v>46143.0</v>
      </c>
      <c r="G8947" s="8" t="s">
        <v>171</v>
      </c>
      <c r="H8947" s="8" t="s">
        <v>172</v>
      </c>
      <c r="I8947" s="8" t="s">
        <v>26743</v>
      </c>
      <c r="J8947" s="8" t="s">
        <v>26744</v>
      </c>
    </row>
    <row r="8948">
      <c r="A8948" s="7">
        <v>2.0054989E7</v>
      </c>
      <c r="B8948" s="8" t="s">
        <v>2426</v>
      </c>
      <c r="C8948" s="8" t="s">
        <v>26745</v>
      </c>
      <c r="D8948" s="8" t="s">
        <v>16</v>
      </c>
      <c r="E8948" s="8" t="s">
        <v>17</v>
      </c>
      <c r="F8948" s="9">
        <v>46141.0</v>
      </c>
      <c r="G8948" s="8" t="s">
        <v>486</v>
      </c>
      <c r="H8948" s="8" t="s">
        <v>487</v>
      </c>
      <c r="I8948" s="8" t="s">
        <v>26746</v>
      </c>
      <c r="J8948" s="8" t="s">
        <v>26747</v>
      </c>
    </row>
    <row r="8949">
      <c r="A8949" s="7">
        <v>2.0053397E7</v>
      </c>
      <c r="B8949" s="8" t="s">
        <v>2426</v>
      </c>
      <c r="C8949" s="8" t="s">
        <v>26748</v>
      </c>
      <c r="D8949" s="8" t="s">
        <v>16</v>
      </c>
      <c r="E8949" s="8" t="s">
        <v>17</v>
      </c>
      <c r="F8949" s="9">
        <v>46135.0</v>
      </c>
      <c r="G8949" s="8" t="s">
        <v>2079</v>
      </c>
      <c r="H8949" s="8" t="s">
        <v>2080</v>
      </c>
      <c r="I8949" s="8" t="s">
        <v>26749</v>
      </c>
      <c r="J8949" s="8" t="s">
        <v>26750</v>
      </c>
    </row>
    <row r="8950">
      <c r="A8950" s="7">
        <v>2.0050943E7</v>
      </c>
      <c r="B8950" s="8" t="s">
        <v>2426</v>
      </c>
      <c r="C8950" s="8" t="s">
        <v>26751</v>
      </c>
      <c r="D8950" s="8" t="s">
        <v>16</v>
      </c>
      <c r="E8950" s="8" t="s">
        <v>17</v>
      </c>
      <c r="F8950" s="9">
        <v>46108.0</v>
      </c>
      <c r="G8950" s="8" t="s">
        <v>59</v>
      </c>
      <c r="H8950" s="8" t="s">
        <v>60</v>
      </c>
      <c r="I8950" s="8" t="s">
        <v>26752</v>
      </c>
      <c r="J8950" s="8" t="s">
        <v>26753</v>
      </c>
    </row>
    <row r="8951">
      <c r="A8951" s="7">
        <v>2.0050658E7</v>
      </c>
      <c r="B8951" s="8" t="s">
        <v>2426</v>
      </c>
      <c r="C8951" s="8" t="s">
        <v>26754</v>
      </c>
      <c r="D8951" s="8" t="s">
        <v>16</v>
      </c>
      <c r="E8951" s="8" t="s">
        <v>17</v>
      </c>
      <c r="F8951" s="9">
        <v>46105.0</v>
      </c>
      <c r="G8951" s="8" t="s">
        <v>3572</v>
      </c>
      <c r="H8951" s="8" t="s">
        <v>3573</v>
      </c>
      <c r="I8951" s="8" t="s">
        <v>26755</v>
      </c>
      <c r="J8951" s="8" t="s">
        <v>26756</v>
      </c>
    </row>
    <row r="8952">
      <c r="A8952" s="7">
        <v>2.0049016E7</v>
      </c>
      <c r="B8952" s="8" t="s">
        <v>2426</v>
      </c>
      <c r="C8952" s="8" t="s">
        <v>26757</v>
      </c>
      <c r="D8952" s="8" t="s">
        <v>16</v>
      </c>
      <c r="E8952" s="8" t="s">
        <v>17</v>
      </c>
      <c r="F8952" s="9">
        <v>46111.0</v>
      </c>
      <c r="G8952" s="8" t="s">
        <v>171</v>
      </c>
      <c r="H8952" s="8" t="s">
        <v>172</v>
      </c>
      <c r="I8952" s="8" t="s">
        <v>26758</v>
      </c>
      <c r="J8952" s="8" t="s">
        <v>26759</v>
      </c>
    </row>
    <row r="8953">
      <c r="A8953" s="7">
        <v>2.0049104E7</v>
      </c>
      <c r="B8953" s="8" t="s">
        <v>2426</v>
      </c>
      <c r="C8953" s="8" t="s">
        <v>26760</v>
      </c>
      <c r="D8953" s="8" t="s">
        <v>16</v>
      </c>
      <c r="E8953" s="8" t="s">
        <v>17</v>
      </c>
      <c r="F8953" s="9">
        <v>46118.0</v>
      </c>
      <c r="G8953" s="8" t="s">
        <v>390</v>
      </c>
      <c r="H8953" s="8" t="s">
        <v>391</v>
      </c>
      <c r="I8953" s="8" t="s">
        <v>26761</v>
      </c>
      <c r="J8953" s="8" t="s">
        <v>26762</v>
      </c>
    </row>
    <row r="8954">
      <c r="A8954" s="7">
        <v>2.0040669E7</v>
      </c>
      <c r="B8954" s="8" t="s">
        <v>2426</v>
      </c>
      <c r="C8954" s="8" t="s">
        <v>26763</v>
      </c>
      <c r="D8954" s="8" t="s">
        <v>16</v>
      </c>
      <c r="E8954" s="8" t="s">
        <v>17</v>
      </c>
      <c r="F8954" s="9">
        <v>46075.0</v>
      </c>
      <c r="G8954" s="8" t="s">
        <v>59</v>
      </c>
      <c r="H8954" s="8" t="s">
        <v>60</v>
      </c>
      <c r="I8954" s="8" t="s">
        <v>26764</v>
      </c>
      <c r="J8954" s="8" t="s">
        <v>26765</v>
      </c>
    </row>
    <row r="8955">
      <c r="A8955" s="7">
        <v>2.0039411E7</v>
      </c>
      <c r="B8955" s="8" t="s">
        <v>2426</v>
      </c>
      <c r="C8955" s="8" t="s">
        <v>26766</v>
      </c>
      <c r="D8955" s="8" t="s">
        <v>16</v>
      </c>
      <c r="E8955" s="8" t="s">
        <v>17</v>
      </c>
      <c r="F8955" s="9">
        <v>46085.0</v>
      </c>
      <c r="G8955" s="8" t="s">
        <v>64</v>
      </c>
      <c r="H8955" s="8" t="s">
        <v>65</v>
      </c>
      <c r="I8955" s="8" t="s">
        <v>26767</v>
      </c>
      <c r="J8955" s="8" t="s">
        <v>26768</v>
      </c>
    </row>
    <row r="8956">
      <c r="A8956" s="7">
        <v>2.00385E7</v>
      </c>
      <c r="B8956" s="8" t="s">
        <v>2426</v>
      </c>
      <c r="C8956" s="8" t="s">
        <v>26769</v>
      </c>
      <c r="D8956" s="8" t="s">
        <v>16</v>
      </c>
      <c r="E8956" s="8" t="s">
        <v>17</v>
      </c>
      <c r="F8956" s="9">
        <v>46074.0</v>
      </c>
      <c r="G8956" s="8" t="s">
        <v>339</v>
      </c>
      <c r="H8956" s="8" t="s">
        <v>340</v>
      </c>
      <c r="I8956" s="8" t="s">
        <v>26770</v>
      </c>
      <c r="J8956" s="8" t="s">
        <v>26771</v>
      </c>
    </row>
    <row r="8957">
      <c r="A8957" s="7">
        <v>2.0033378E7</v>
      </c>
      <c r="B8957" s="8" t="s">
        <v>2426</v>
      </c>
      <c r="C8957" s="8" t="s">
        <v>26772</v>
      </c>
      <c r="D8957" s="8" t="s">
        <v>16</v>
      </c>
      <c r="E8957" s="8" t="s">
        <v>17</v>
      </c>
      <c r="F8957" s="9">
        <v>46049.0</v>
      </c>
      <c r="G8957" s="8" t="s">
        <v>6235</v>
      </c>
      <c r="H8957" s="8" t="s">
        <v>6236</v>
      </c>
      <c r="I8957" s="8" t="s">
        <v>26773</v>
      </c>
      <c r="J8957" s="8" t="s">
        <v>26774</v>
      </c>
    </row>
    <row r="8958">
      <c r="A8958" s="7">
        <v>2.0032299E7</v>
      </c>
      <c r="B8958" s="8" t="s">
        <v>2426</v>
      </c>
      <c r="C8958" s="8" t="s">
        <v>26775</v>
      </c>
      <c r="D8958" s="8" t="s">
        <v>16</v>
      </c>
      <c r="E8958" s="8" t="s">
        <v>17</v>
      </c>
      <c r="F8958" s="9">
        <v>46061.0</v>
      </c>
      <c r="G8958" s="8" t="s">
        <v>64</v>
      </c>
      <c r="H8958" s="8" t="s">
        <v>65</v>
      </c>
      <c r="I8958" s="8" t="s">
        <v>26776</v>
      </c>
      <c r="J8958" s="8" t="s">
        <v>26777</v>
      </c>
    </row>
    <row r="8959">
      <c r="A8959" s="7">
        <v>2.0070876E7</v>
      </c>
      <c r="B8959" s="8" t="s">
        <v>2426</v>
      </c>
      <c r="C8959" s="8" t="s">
        <v>26778</v>
      </c>
      <c r="D8959" s="8" t="s">
        <v>16</v>
      </c>
      <c r="E8959" s="8" t="s">
        <v>17</v>
      </c>
      <c r="F8959" s="9">
        <v>46193.0</v>
      </c>
      <c r="G8959" s="8" t="s">
        <v>25928</v>
      </c>
      <c r="H8959" s="8" t="s">
        <v>25929</v>
      </c>
      <c r="I8959" s="8" t="s">
        <v>26779</v>
      </c>
      <c r="J8959" s="8" t="s">
        <v>26780</v>
      </c>
    </row>
    <row r="8960">
      <c r="A8960" s="7">
        <v>2.0066869E7</v>
      </c>
      <c r="B8960" s="8" t="s">
        <v>2426</v>
      </c>
      <c r="C8960" s="8" t="s">
        <v>26781</v>
      </c>
      <c r="D8960" s="8" t="s">
        <v>16</v>
      </c>
      <c r="E8960" s="8" t="s">
        <v>17</v>
      </c>
      <c r="F8960" s="9">
        <v>46180.0</v>
      </c>
      <c r="G8960" s="8" t="s">
        <v>195</v>
      </c>
      <c r="H8960" s="8" t="s">
        <v>196</v>
      </c>
      <c r="I8960" s="8" t="s">
        <v>26782</v>
      </c>
      <c r="J8960" s="8" t="s">
        <v>26783</v>
      </c>
    </row>
    <row r="8961">
      <c r="A8961" s="7">
        <v>2.0060721E7</v>
      </c>
      <c r="B8961" s="8" t="s">
        <v>2426</v>
      </c>
      <c r="C8961" s="8" t="s">
        <v>26784</v>
      </c>
      <c r="D8961" s="8" t="s">
        <v>16</v>
      </c>
      <c r="E8961" s="8" t="s">
        <v>17</v>
      </c>
      <c r="F8961" s="9">
        <v>46185.0</v>
      </c>
      <c r="G8961" s="8" t="s">
        <v>158</v>
      </c>
      <c r="H8961" s="8" t="s">
        <v>159</v>
      </c>
      <c r="I8961" s="8" t="s">
        <v>26785</v>
      </c>
      <c r="J8961" s="8" t="s">
        <v>26786</v>
      </c>
    </row>
    <row r="8962">
      <c r="A8962" s="7">
        <v>2.0064173E7</v>
      </c>
      <c r="B8962" s="8" t="s">
        <v>2426</v>
      </c>
      <c r="C8962" s="8" t="s">
        <v>26787</v>
      </c>
      <c r="D8962" s="8" t="s">
        <v>16</v>
      </c>
      <c r="E8962" s="8" t="s">
        <v>17</v>
      </c>
      <c r="F8962" s="9">
        <v>46165.0</v>
      </c>
      <c r="G8962" s="8" t="s">
        <v>59</v>
      </c>
      <c r="H8962" s="8" t="s">
        <v>60</v>
      </c>
      <c r="I8962" s="8" t="s">
        <v>26788</v>
      </c>
      <c r="J8962" s="8" t="s">
        <v>26789</v>
      </c>
    </row>
    <row r="8963">
      <c r="A8963" s="7">
        <v>2.0060486E7</v>
      </c>
      <c r="B8963" s="8" t="s">
        <v>2426</v>
      </c>
      <c r="C8963" s="8" t="s">
        <v>26790</v>
      </c>
      <c r="D8963" s="8" t="s">
        <v>16</v>
      </c>
      <c r="E8963" s="8" t="s">
        <v>17</v>
      </c>
      <c r="F8963" s="9">
        <v>46183.0</v>
      </c>
      <c r="G8963" s="8" t="s">
        <v>4472</v>
      </c>
      <c r="H8963" s="8" t="s">
        <v>4473</v>
      </c>
      <c r="I8963" s="8" t="s">
        <v>26791</v>
      </c>
      <c r="J8963" s="8" t="s">
        <v>26792</v>
      </c>
    </row>
    <row r="8964">
      <c r="A8964" s="7">
        <v>2.0053704E7</v>
      </c>
      <c r="B8964" s="8" t="s">
        <v>2426</v>
      </c>
      <c r="C8964" s="8" t="s">
        <v>26793</v>
      </c>
      <c r="D8964" s="8" t="s">
        <v>16</v>
      </c>
      <c r="E8964" s="8" t="s">
        <v>17</v>
      </c>
      <c r="F8964" s="9">
        <v>46137.0</v>
      </c>
      <c r="G8964" s="8" t="s">
        <v>119</v>
      </c>
      <c r="H8964" s="8" t="s">
        <v>19784</v>
      </c>
      <c r="I8964" s="8" t="s">
        <v>26794</v>
      </c>
      <c r="J8964" s="8" t="s">
        <v>26795</v>
      </c>
    </row>
    <row r="8965">
      <c r="A8965" s="7">
        <v>2.0058188E7</v>
      </c>
      <c r="B8965" s="8" t="s">
        <v>2426</v>
      </c>
      <c r="C8965" s="8" t="s">
        <v>26796</v>
      </c>
      <c r="D8965" s="8" t="s">
        <v>16</v>
      </c>
      <c r="E8965" s="8" t="s">
        <v>17</v>
      </c>
      <c r="F8965" s="9">
        <v>46185.0</v>
      </c>
      <c r="G8965" s="8" t="s">
        <v>721</v>
      </c>
      <c r="H8965" s="8" t="s">
        <v>722</v>
      </c>
      <c r="I8965" s="8" t="s">
        <v>26797</v>
      </c>
      <c r="J8965" s="8" t="s">
        <v>26798</v>
      </c>
    </row>
    <row r="8966">
      <c r="A8966" s="7">
        <v>2.0056479E7</v>
      </c>
      <c r="B8966" s="8" t="s">
        <v>2426</v>
      </c>
      <c r="C8966" s="8" t="s">
        <v>26799</v>
      </c>
      <c r="D8966" s="8" t="s">
        <v>16</v>
      </c>
      <c r="E8966" s="8" t="s">
        <v>17</v>
      </c>
      <c r="F8966" s="9">
        <v>46129.0</v>
      </c>
      <c r="G8966" s="8" t="s">
        <v>365</v>
      </c>
      <c r="H8966" s="8" t="s">
        <v>366</v>
      </c>
      <c r="I8966" s="8" t="s">
        <v>26800</v>
      </c>
      <c r="J8966" s="8" t="s">
        <v>26801</v>
      </c>
    </row>
    <row r="8967">
      <c r="A8967" s="7">
        <v>2.0055139E7</v>
      </c>
      <c r="B8967" s="8" t="s">
        <v>2426</v>
      </c>
      <c r="C8967" s="8" t="s">
        <v>26802</v>
      </c>
      <c r="D8967" s="8" t="s">
        <v>16</v>
      </c>
      <c r="E8967" s="8" t="s">
        <v>17</v>
      </c>
      <c r="F8967" s="9">
        <v>46143.0</v>
      </c>
      <c r="G8967" s="8" t="s">
        <v>1085</v>
      </c>
      <c r="H8967" s="8" t="s">
        <v>1086</v>
      </c>
      <c r="I8967" s="8" t="s">
        <v>26803</v>
      </c>
      <c r="J8967" s="8" t="s">
        <v>26804</v>
      </c>
    </row>
    <row r="8968">
      <c r="A8968" s="7">
        <v>2.0049917E7</v>
      </c>
      <c r="B8968" s="8" t="s">
        <v>2426</v>
      </c>
      <c r="C8968" s="8" t="s">
        <v>26805</v>
      </c>
      <c r="D8968" s="8" t="s">
        <v>16</v>
      </c>
      <c r="E8968" s="8" t="s">
        <v>17</v>
      </c>
      <c r="F8968" s="9">
        <v>46104.0</v>
      </c>
      <c r="G8968" s="8" t="s">
        <v>3012</v>
      </c>
      <c r="H8968" s="8" t="s">
        <v>3013</v>
      </c>
      <c r="I8968" s="8" t="s">
        <v>26806</v>
      </c>
      <c r="J8968" s="8" t="s">
        <v>26807</v>
      </c>
    </row>
    <row r="8969">
      <c r="A8969" s="7">
        <v>2.0049917E7</v>
      </c>
      <c r="B8969" s="8" t="s">
        <v>2426</v>
      </c>
      <c r="C8969" s="8" t="s">
        <v>26805</v>
      </c>
      <c r="D8969" s="8" t="s">
        <v>16</v>
      </c>
      <c r="E8969" s="8" t="s">
        <v>17</v>
      </c>
      <c r="F8969" s="9">
        <v>46104.0</v>
      </c>
      <c r="G8969" s="8" t="s">
        <v>3012</v>
      </c>
      <c r="H8969" s="8" t="s">
        <v>3013</v>
      </c>
      <c r="I8969" s="8" t="s">
        <v>26808</v>
      </c>
      <c r="J8969" s="8" t="s">
        <v>26807</v>
      </c>
    </row>
    <row r="8970">
      <c r="A8970" s="7">
        <v>2.0047759E7</v>
      </c>
      <c r="B8970" s="8" t="s">
        <v>2426</v>
      </c>
      <c r="C8970" s="8" t="s">
        <v>26809</v>
      </c>
      <c r="D8970" s="8" t="s">
        <v>16</v>
      </c>
      <c r="E8970" s="8" t="s">
        <v>17</v>
      </c>
      <c r="F8970" s="9">
        <v>46101.0</v>
      </c>
      <c r="G8970" s="8" t="s">
        <v>873</v>
      </c>
      <c r="H8970" s="8" t="s">
        <v>874</v>
      </c>
      <c r="I8970" s="8" t="s">
        <v>26810</v>
      </c>
      <c r="J8970" s="8" t="s">
        <v>26811</v>
      </c>
    </row>
    <row r="8971">
      <c r="A8971" s="7">
        <v>2.0048652E7</v>
      </c>
      <c r="B8971" s="8" t="s">
        <v>2426</v>
      </c>
      <c r="C8971" s="8" t="s">
        <v>26812</v>
      </c>
      <c r="D8971" s="8" t="s">
        <v>16</v>
      </c>
      <c r="E8971" s="8" t="s">
        <v>17</v>
      </c>
      <c r="F8971" s="9">
        <v>46109.0</v>
      </c>
      <c r="G8971" s="8" t="s">
        <v>2809</v>
      </c>
      <c r="H8971" s="8" t="s">
        <v>2810</v>
      </c>
      <c r="I8971" s="8" t="s">
        <v>26813</v>
      </c>
      <c r="J8971" s="8" t="s">
        <v>26814</v>
      </c>
    </row>
    <row r="8972">
      <c r="A8972" s="7">
        <v>2.0040623E7</v>
      </c>
      <c r="B8972" s="8" t="s">
        <v>2426</v>
      </c>
      <c r="C8972" s="8" t="s">
        <v>26815</v>
      </c>
      <c r="D8972" s="8" t="s">
        <v>16</v>
      </c>
      <c r="E8972" s="8" t="s">
        <v>17</v>
      </c>
      <c r="F8972" s="9">
        <v>46079.0</v>
      </c>
      <c r="G8972" s="8" t="s">
        <v>171</v>
      </c>
      <c r="H8972" s="8" t="s">
        <v>172</v>
      </c>
      <c r="I8972" s="8" t="s">
        <v>26816</v>
      </c>
      <c r="J8972" s="8" t="s">
        <v>26817</v>
      </c>
    </row>
    <row r="8973">
      <c r="A8973" s="7">
        <v>2.0038645E7</v>
      </c>
      <c r="B8973" s="8" t="s">
        <v>2426</v>
      </c>
      <c r="C8973" s="8" t="s">
        <v>26818</v>
      </c>
      <c r="D8973" s="8" t="s">
        <v>16</v>
      </c>
      <c r="E8973" s="8" t="s">
        <v>17</v>
      </c>
      <c r="F8973" s="9">
        <v>46063.0</v>
      </c>
      <c r="G8973" s="8" t="s">
        <v>1949</v>
      </c>
      <c r="H8973" s="8" t="s">
        <v>1950</v>
      </c>
      <c r="I8973" s="8" t="s">
        <v>26819</v>
      </c>
      <c r="J8973" s="8" t="s">
        <v>26820</v>
      </c>
    </row>
    <row r="8974">
      <c r="A8974" s="7">
        <v>2.0035566E7</v>
      </c>
      <c r="B8974" s="8" t="s">
        <v>2426</v>
      </c>
      <c r="C8974" s="8" t="s">
        <v>26821</v>
      </c>
      <c r="D8974" s="8" t="s">
        <v>16</v>
      </c>
      <c r="E8974" s="8" t="s">
        <v>17</v>
      </c>
      <c r="F8974" s="9">
        <v>46074.0</v>
      </c>
      <c r="G8974" s="8" t="s">
        <v>184</v>
      </c>
      <c r="H8974" s="8" t="s">
        <v>185</v>
      </c>
      <c r="I8974" s="8" t="s">
        <v>26822</v>
      </c>
      <c r="J8974" s="8" t="s">
        <v>26823</v>
      </c>
    </row>
    <row r="8975">
      <c r="A8975" s="7">
        <v>2.0038314E7</v>
      </c>
      <c r="B8975" s="8" t="s">
        <v>2426</v>
      </c>
      <c r="C8975" s="8" t="s">
        <v>26824</v>
      </c>
      <c r="D8975" s="8" t="s">
        <v>16</v>
      </c>
      <c r="E8975" s="8" t="s">
        <v>17</v>
      </c>
      <c r="F8975" s="9">
        <v>46065.0</v>
      </c>
      <c r="G8975" s="8" t="s">
        <v>314</v>
      </c>
      <c r="H8975" s="8" t="s">
        <v>315</v>
      </c>
      <c r="I8975" s="8" t="s">
        <v>26825</v>
      </c>
      <c r="J8975" s="8" t="s">
        <v>26826</v>
      </c>
    </row>
    <row r="8976">
      <c r="A8976" s="7">
        <v>2.0031531E7</v>
      </c>
      <c r="B8976" s="8" t="s">
        <v>2426</v>
      </c>
      <c r="C8976" s="8" t="s">
        <v>26827</v>
      </c>
      <c r="D8976" s="8" t="s">
        <v>16</v>
      </c>
      <c r="E8976" s="8" t="s">
        <v>17</v>
      </c>
      <c r="F8976" s="9">
        <v>46045.0</v>
      </c>
      <c r="G8976" s="8" t="s">
        <v>91</v>
      </c>
      <c r="H8976" s="8" t="s">
        <v>92</v>
      </c>
      <c r="I8976" s="8" t="s">
        <v>26828</v>
      </c>
      <c r="J8976" s="8" t="s">
        <v>26829</v>
      </c>
    </row>
    <row r="8977">
      <c r="A8977" s="7">
        <v>2.0032449E7</v>
      </c>
      <c r="B8977" s="8" t="s">
        <v>2426</v>
      </c>
      <c r="C8977" s="8" t="s">
        <v>26830</v>
      </c>
      <c r="D8977" s="8" t="s">
        <v>16</v>
      </c>
      <c r="E8977" s="8" t="s">
        <v>17</v>
      </c>
      <c r="F8977" s="9">
        <v>46058.0</v>
      </c>
      <c r="G8977" s="8" t="s">
        <v>436</v>
      </c>
      <c r="H8977" s="8" t="s">
        <v>437</v>
      </c>
      <c r="I8977" s="8" t="s">
        <v>26831</v>
      </c>
      <c r="J8977" s="8" t="s">
        <v>26832</v>
      </c>
    </row>
    <row r="8978">
      <c r="A8978" s="7">
        <v>2.0057299E7</v>
      </c>
      <c r="B8978" s="8" t="s">
        <v>2426</v>
      </c>
      <c r="C8978" s="8" t="s">
        <v>26833</v>
      </c>
      <c r="D8978" s="8" t="s">
        <v>16</v>
      </c>
      <c r="E8978" s="8" t="s">
        <v>17</v>
      </c>
      <c r="F8978" s="9">
        <v>46147.0</v>
      </c>
      <c r="G8978" s="8" t="s">
        <v>34</v>
      </c>
      <c r="H8978" s="8" t="s">
        <v>35</v>
      </c>
      <c r="I8978" s="8" t="s">
        <v>26834</v>
      </c>
      <c r="J8978" s="8" t="s">
        <v>26835</v>
      </c>
    </row>
    <row r="8979">
      <c r="A8979" s="7">
        <v>2.0048142E7</v>
      </c>
      <c r="B8979" s="8" t="s">
        <v>2426</v>
      </c>
      <c r="C8979" s="8" t="s">
        <v>26836</v>
      </c>
      <c r="D8979" s="8" t="s">
        <v>16</v>
      </c>
      <c r="E8979" s="8" t="s">
        <v>17</v>
      </c>
      <c r="F8979" s="9">
        <v>46120.0</v>
      </c>
      <c r="G8979" s="8" t="s">
        <v>590</v>
      </c>
      <c r="H8979" s="8" t="s">
        <v>591</v>
      </c>
      <c r="I8979" s="8" t="s">
        <v>26837</v>
      </c>
      <c r="J8979" s="8" t="s">
        <v>26838</v>
      </c>
    </row>
    <row r="8980">
      <c r="A8980" s="7">
        <v>2.0044344E7</v>
      </c>
      <c r="B8980" s="8" t="s">
        <v>2426</v>
      </c>
      <c r="C8980" s="8" t="s">
        <v>26839</v>
      </c>
      <c r="D8980" s="8" t="s">
        <v>16</v>
      </c>
      <c r="E8980" s="8" t="s">
        <v>17</v>
      </c>
      <c r="F8980" s="9">
        <v>46096.0</v>
      </c>
      <c r="G8980" s="8" t="s">
        <v>5282</v>
      </c>
      <c r="H8980" s="8" t="s">
        <v>5283</v>
      </c>
      <c r="I8980" s="8" t="s">
        <v>26840</v>
      </c>
      <c r="J8980" s="8" t="s">
        <v>26841</v>
      </c>
    </row>
    <row r="8981">
      <c r="A8981" s="7">
        <v>2.0047801E7</v>
      </c>
      <c r="B8981" s="8" t="s">
        <v>2426</v>
      </c>
      <c r="C8981" s="8" t="s">
        <v>26842</v>
      </c>
      <c r="D8981" s="8" t="s">
        <v>16</v>
      </c>
      <c r="E8981" s="8" t="s">
        <v>17</v>
      </c>
      <c r="F8981" s="9">
        <v>46121.0</v>
      </c>
      <c r="G8981" s="8" t="s">
        <v>21542</v>
      </c>
      <c r="H8981" s="8" t="s">
        <v>21543</v>
      </c>
      <c r="I8981" s="8" t="s">
        <v>26843</v>
      </c>
      <c r="J8981" s="8" t="s">
        <v>26844</v>
      </c>
    </row>
    <row r="8982">
      <c r="A8982" s="7">
        <v>2.0047801E7</v>
      </c>
      <c r="B8982" s="8" t="s">
        <v>2426</v>
      </c>
      <c r="C8982" s="8" t="s">
        <v>26842</v>
      </c>
      <c r="D8982" s="8" t="s">
        <v>16</v>
      </c>
      <c r="E8982" s="8" t="s">
        <v>17</v>
      </c>
      <c r="F8982" s="9">
        <v>46121.0</v>
      </c>
      <c r="G8982" s="8" t="s">
        <v>26845</v>
      </c>
      <c r="H8982" s="8" t="s">
        <v>26846</v>
      </c>
      <c r="I8982" s="8" t="s">
        <v>26847</v>
      </c>
      <c r="J8982" s="8" t="s">
        <v>26848</v>
      </c>
    </row>
    <row r="8983">
      <c r="A8983" s="7">
        <v>2.0047801E7</v>
      </c>
      <c r="B8983" s="8" t="s">
        <v>2426</v>
      </c>
      <c r="C8983" s="8" t="s">
        <v>26849</v>
      </c>
      <c r="D8983" s="8" t="s">
        <v>16</v>
      </c>
      <c r="E8983" s="8" t="s">
        <v>17</v>
      </c>
      <c r="F8983" s="9">
        <v>46118.0</v>
      </c>
      <c r="G8983" s="8" t="s">
        <v>26850</v>
      </c>
      <c r="H8983" s="8" t="s">
        <v>26851</v>
      </c>
      <c r="I8983" s="8" t="s">
        <v>26852</v>
      </c>
      <c r="J8983" s="8" t="s">
        <v>26853</v>
      </c>
    </row>
    <row r="8984">
      <c r="A8984" s="7">
        <v>2.0046218E7</v>
      </c>
      <c r="B8984" s="8" t="s">
        <v>2426</v>
      </c>
      <c r="C8984" s="8" t="s">
        <v>26854</v>
      </c>
      <c r="D8984" s="8" t="s">
        <v>16</v>
      </c>
      <c r="E8984" s="8" t="s">
        <v>17</v>
      </c>
      <c r="F8984" s="9">
        <v>46092.0</v>
      </c>
      <c r="G8984" s="8" t="s">
        <v>971</v>
      </c>
      <c r="H8984" s="8" t="s">
        <v>972</v>
      </c>
      <c r="I8984" s="8" t="s">
        <v>26855</v>
      </c>
      <c r="J8984" s="8" t="s">
        <v>26856</v>
      </c>
    </row>
    <row r="8985">
      <c r="A8985" s="7">
        <v>2.0047103E7</v>
      </c>
      <c r="B8985" s="8" t="s">
        <v>2426</v>
      </c>
      <c r="C8985" s="8" t="s">
        <v>26857</v>
      </c>
      <c r="D8985" s="8" t="s">
        <v>16</v>
      </c>
      <c r="E8985" s="8" t="s">
        <v>17</v>
      </c>
      <c r="F8985" s="9">
        <v>46092.0</v>
      </c>
      <c r="G8985" s="8" t="s">
        <v>34</v>
      </c>
      <c r="H8985" s="8" t="s">
        <v>35</v>
      </c>
      <c r="I8985" s="8" t="s">
        <v>26858</v>
      </c>
      <c r="J8985" s="8" t="s">
        <v>26859</v>
      </c>
    </row>
    <row r="8986">
      <c r="A8986" s="7">
        <v>2.0043176E7</v>
      </c>
      <c r="B8986" s="8" t="s">
        <v>2426</v>
      </c>
      <c r="C8986" s="8" t="s">
        <v>26860</v>
      </c>
      <c r="D8986" s="8" t="s">
        <v>16</v>
      </c>
      <c r="E8986" s="8" t="s">
        <v>17</v>
      </c>
      <c r="F8986" s="9">
        <v>46099.0</v>
      </c>
      <c r="G8986" s="8" t="s">
        <v>59</v>
      </c>
      <c r="H8986" s="8" t="s">
        <v>60</v>
      </c>
      <c r="I8986" s="8" t="s">
        <v>26861</v>
      </c>
      <c r="J8986" s="8" t="s">
        <v>26862</v>
      </c>
    </row>
    <row r="8987">
      <c r="A8987" s="7">
        <v>2.0043212E7</v>
      </c>
      <c r="B8987" s="8" t="s">
        <v>2426</v>
      </c>
      <c r="C8987" s="8" t="s">
        <v>26863</v>
      </c>
      <c r="D8987" s="8" t="s">
        <v>16</v>
      </c>
      <c r="E8987" s="8" t="s">
        <v>17</v>
      </c>
      <c r="F8987" s="9">
        <v>46078.0</v>
      </c>
      <c r="G8987" s="8" t="s">
        <v>873</v>
      </c>
      <c r="H8987" s="8" t="s">
        <v>874</v>
      </c>
      <c r="I8987" s="8" t="s">
        <v>26864</v>
      </c>
      <c r="J8987" s="8" t="s">
        <v>26865</v>
      </c>
    </row>
    <row r="8988">
      <c r="A8988" s="7">
        <v>2.0042823E7</v>
      </c>
      <c r="B8988" s="8" t="s">
        <v>2426</v>
      </c>
      <c r="C8988" s="8" t="s">
        <v>26866</v>
      </c>
      <c r="D8988" s="8" t="s">
        <v>16</v>
      </c>
      <c r="E8988" s="8" t="s">
        <v>17</v>
      </c>
      <c r="F8988" s="9">
        <v>46078.0</v>
      </c>
      <c r="G8988" s="8" t="s">
        <v>365</v>
      </c>
      <c r="H8988" s="8" t="s">
        <v>366</v>
      </c>
      <c r="I8988" s="8" t="s">
        <v>26867</v>
      </c>
      <c r="J8988" s="8" t="s">
        <v>26868</v>
      </c>
    </row>
    <row r="8989">
      <c r="A8989" s="7">
        <v>2.0042552E7</v>
      </c>
      <c r="B8989" s="8" t="s">
        <v>2426</v>
      </c>
      <c r="C8989" s="8" t="s">
        <v>26869</v>
      </c>
      <c r="D8989" s="8" t="s">
        <v>16</v>
      </c>
      <c r="E8989" s="8" t="s">
        <v>17</v>
      </c>
      <c r="F8989" s="9">
        <v>46091.0</v>
      </c>
      <c r="G8989" s="8" t="s">
        <v>390</v>
      </c>
      <c r="H8989" s="8" t="s">
        <v>391</v>
      </c>
      <c r="I8989" s="8" t="s">
        <v>26870</v>
      </c>
      <c r="J8989" s="8" t="s">
        <v>26871</v>
      </c>
    </row>
    <row r="8990">
      <c r="A8990" s="7">
        <v>2.0041738E7</v>
      </c>
      <c r="B8990" s="8" t="s">
        <v>2426</v>
      </c>
      <c r="C8990" s="8" t="s">
        <v>26872</v>
      </c>
      <c r="D8990" s="8" t="s">
        <v>16</v>
      </c>
      <c r="E8990" s="8" t="s">
        <v>17</v>
      </c>
      <c r="F8990" s="9">
        <v>46083.0</v>
      </c>
      <c r="G8990" s="8" t="s">
        <v>91</v>
      </c>
      <c r="H8990" s="8" t="s">
        <v>92</v>
      </c>
      <c r="I8990" s="8" t="s">
        <v>26873</v>
      </c>
      <c r="J8990" s="8" t="s">
        <v>26874</v>
      </c>
    </row>
    <row r="8991">
      <c r="A8991" s="7">
        <v>2.0039253E7</v>
      </c>
      <c r="B8991" s="8" t="s">
        <v>2426</v>
      </c>
      <c r="C8991" s="8" t="s">
        <v>26875</v>
      </c>
      <c r="D8991" s="8" t="s">
        <v>16</v>
      </c>
      <c r="E8991" s="8" t="s">
        <v>17</v>
      </c>
      <c r="F8991" s="9">
        <v>46074.0</v>
      </c>
      <c r="G8991" s="8" t="s">
        <v>158</v>
      </c>
      <c r="H8991" s="8" t="s">
        <v>159</v>
      </c>
      <c r="I8991" s="8" t="s">
        <v>26876</v>
      </c>
      <c r="J8991" s="8" t="s">
        <v>26877</v>
      </c>
    </row>
    <row r="8992">
      <c r="A8992" s="7">
        <v>2.0035634E7</v>
      </c>
      <c r="B8992" s="8" t="s">
        <v>2426</v>
      </c>
      <c r="C8992" s="8" t="s">
        <v>26878</v>
      </c>
      <c r="D8992" s="8" t="s">
        <v>16</v>
      </c>
      <c r="E8992" s="8" t="s">
        <v>17</v>
      </c>
      <c r="F8992" s="9">
        <v>46091.0</v>
      </c>
      <c r="G8992" s="8" t="s">
        <v>846</v>
      </c>
      <c r="H8992" s="8" t="s">
        <v>847</v>
      </c>
      <c r="I8992" s="8" t="s">
        <v>26879</v>
      </c>
      <c r="J8992" s="8" t="s">
        <v>26880</v>
      </c>
    </row>
    <row r="8993">
      <c r="A8993" s="7">
        <v>2.0034361E7</v>
      </c>
      <c r="B8993" s="8" t="s">
        <v>2426</v>
      </c>
      <c r="C8993" s="8" t="s">
        <v>26881</v>
      </c>
      <c r="D8993" s="8" t="s">
        <v>16</v>
      </c>
      <c r="E8993" s="8" t="s">
        <v>17</v>
      </c>
      <c r="F8993" s="9">
        <v>46062.0</v>
      </c>
      <c r="G8993" s="8" t="s">
        <v>390</v>
      </c>
      <c r="H8993" s="8" t="s">
        <v>391</v>
      </c>
      <c r="I8993" s="8" t="s">
        <v>26882</v>
      </c>
      <c r="J8993" s="8" t="s">
        <v>26883</v>
      </c>
    </row>
    <row r="8994">
      <c r="A8994" s="7">
        <v>2.003122E7</v>
      </c>
      <c r="B8994" s="8" t="s">
        <v>2426</v>
      </c>
      <c r="C8994" s="8" t="s">
        <v>26884</v>
      </c>
      <c r="D8994" s="8" t="s">
        <v>16</v>
      </c>
      <c r="E8994" s="8" t="s">
        <v>17</v>
      </c>
      <c r="F8994" s="9">
        <v>46049.0</v>
      </c>
      <c r="G8994" s="8" t="s">
        <v>908</v>
      </c>
      <c r="H8994" s="8" t="s">
        <v>909</v>
      </c>
      <c r="I8994" s="8" t="s">
        <v>26885</v>
      </c>
      <c r="J8994" s="8" t="s">
        <v>26886</v>
      </c>
    </row>
    <row r="8995">
      <c r="A8995" s="7">
        <v>2.0032244E7</v>
      </c>
      <c r="B8995" s="8" t="s">
        <v>2426</v>
      </c>
      <c r="C8995" s="8" t="s">
        <v>26887</v>
      </c>
      <c r="D8995" s="8" t="s">
        <v>16</v>
      </c>
      <c r="E8995" s="8" t="s">
        <v>17</v>
      </c>
      <c r="F8995" s="9">
        <v>46044.0</v>
      </c>
      <c r="G8995" s="8" t="s">
        <v>517</v>
      </c>
      <c r="H8995" s="8" t="s">
        <v>518</v>
      </c>
      <c r="I8995" s="8" t="s">
        <v>26888</v>
      </c>
      <c r="J8995" s="8" t="s">
        <v>26889</v>
      </c>
    </row>
    <row r="8996">
      <c r="A8996" s="7">
        <v>2.0063679E7</v>
      </c>
      <c r="B8996" s="8" t="s">
        <v>2426</v>
      </c>
      <c r="C8996" s="8" t="s">
        <v>26890</v>
      </c>
      <c r="D8996" s="8" t="s">
        <v>16</v>
      </c>
      <c r="E8996" s="8" t="s">
        <v>17</v>
      </c>
      <c r="F8996" s="9">
        <v>46170.0</v>
      </c>
      <c r="G8996" s="8" t="s">
        <v>846</v>
      </c>
      <c r="H8996" s="8" t="s">
        <v>847</v>
      </c>
      <c r="I8996" s="8" t="s">
        <v>26891</v>
      </c>
      <c r="J8996" s="8" t="s">
        <v>26892</v>
      </c>
    </row>
    <row r="8997">
      <c r="A8997" s="7">
        <v>2.0061273E7</v>
      </c>
      <c r="B8997" s="8" t="s">
        <v>2426</v>
      </c>
      <c r="C8997" s="8" t="s">
        <v>26893</v>
      </c>
      <c r="D8997" s="8" t="s">
        <v>16</v>
      </c>
      <c r="E8997" s="8" t="s">
        <v>17</v>
      </c>
      <c r="F8997" s="9">
        <v>46183.0</v>
      </c>
      <c r="G8997" s="8" t="s">
        <v>486</v>
      </c>
      <c r="H8997" s="8" t="s">
        <v>487</v>
      </c>
      <c r="I8997" s="8" t="s">
        <v>26894</v>
      </c>
      <c r="J8997" s="8" t="s">
        <v>26895</v>
      </c>
    </row>
    <row r="8998">
      <c r="A8998" s="7">
        <v>2.0059702E7</v>
      </c>
      <c r="B8998" s="8" t="s">
        <v>2426</v>
      </c>
      <c r="C8998" s="8" t="s">
        <v>26896</v>
      </c>
      <c r="D8998" s="8" t="s">
        <v>16</v>
      </c>
      <c r="E8998" s="8" t="s">
        <v>17</v>
      </c>
      <c r="F8998" s="9">
        <v>46153.0</v>
      </c>
      <c r="G8998" s="8" t="s">
        <v>5030</v>
      </c>
      <c r="H8998" s="8" t="s">
        <v>10431</v>
      </c>
      <c r="I8998" s="8" t="s">
        <v>26897</v>
      </c>
      <c r="J8998" s="8" t="s">
        <v>26898</v>
      </c>
    </row>
    <row r="8999">
      <c r="A8999" s="7">
        <v>2.0056788E7</v>
      </c>
      <c r="B8999" s="8" t="s">
        <v>2426</v>
      </c>
      <c r="C8999" s="8" t="s">
        <v>26899</v>
      </c>
      <c r="D8999" s="8" t="s">
        <v>16</v>
      </c>
      <c r="E8999" s="8" t="s">
        <v>17</v>
      </c>
      <c r="F8999" s="9">
        <v>46135.0</v>
      </c>
      <c r="G8999" s="8" t="s">
        <v>11113</v>
      </c>
      <c r="H8999" s="8" t="s">
        <v>11114</v>
      </c>
      <c r="I8999" s="8" t="s">
        <v>26900</v>
      </c>
      <c r="J8999" s="8" t="s">
        <v>26901</v>
      </c>
    </row>
    <row r="9000">
      <c r="A9000" s="7">
        <v>2.0053349E7</v>
      </c>
      <c r="B9000" s="8" t="s">
        <v>2426</v>
      </c>
      <c r="C9000" s="8" t="s">
        <v>26902</v>
      </c>
      <c r="D9000" s="8" t="s">
        <v>16</v>
      </c>
      <c r="E9000" s="8" t="s">
        <v>17</v>
      </c>
      <c r="F9000" s="9">
        <v>46138.0</v>
      </c>
      <c r="G9000" s="8" t="s">
        <v>601</v>
      </c>
      <c r="H9000" s="8" t="s">
        <v>602</v>
      </c>
      <c r="I9000" s="8" t="s">
        <v>26903</v>
      </c>
      <c r="J9000" s="8" t="s">
        <v>26904</v>
      </c>
    </row>
    <row r="9001">
      <c r="A9001" s="7">
        <v>2.0048468E7</v>
      </c>
      <c r="B9001" s="8" t="s">
        <v>2426</v>
      </c>
      <c r="C9001" s="8" t="s">
        <v>26905</v>
      </c>
      <c r="D9001" s="8" t="s">
        <v>16</v>
      </c>
      <c r="E9001" s="8" t="s">
        <v>17</v>
      </c>
      <c r="F9001" s="9">
        <v>46105.0</v>
      </c>
      <c r="G9001" s="8" t="s">
        <v>339</v>
      </c>
      <c r="H9001" s="8" t="s">
        <v>340</v>
      </c>
      <c r="I9001" s="8" t="s">
        <v>26906</v>
      </c>
      <c r="J9001" s="8" t="s">
        <v>26907</v>
      </c>
    </row>
    <row r="9002">
      <c r="A9002" s="7">
        <v>2.0047881E7</v>
      </c>
      <c r="B9002" s="8" t="s">
        <v>2426</v>
      </c>
      <c r="C9002" s="8" t="s">
        <v>26908</v>
      </c>
      <c r="D9002" s="8" t="s">
        <v>16</v>
      </c>
      <c r="E9002" s="8" t="s">
        <v>17</v>
      </c>
      <c r="F9002" s="9">
        <v>46107.0</v>
      </c>
      <c r="G9002" s="8" t="s">
        <v>59</v>
      </c>
      <c r="H9002" s="8" t="s">
        <v>60</v>
      </c>
      <c r="I9002" s="8" t="s">
        <v>26909</v>
      </c>
      <c r="J9002" s="8" t="s">
        <v>26910</v>
      </c>
    </row>
    <row r="9003">
      <c r="A9003" s="7">
        <v>2.0048242E7</v>
      </c>
      <c r="B9003" s="8" t="s">
        <v>2426</v>
      </c>
      <c r="C9003" s="8" t="s">
        <v>26911</v>
      </c>
      <c r="D9003" s="8" t="s">
        <v>16</v>
      </c>
      <c r="E9003" s="8" t="s">
        <v>17</v>
      </c>
      <c r="F9003" s="9">
        <v>46116.0</v>
      </c>
      <c r="G9003" s="8" t="s">
        <v>2910</v>
      </c>
      <c r="H9003" s="8" t="s">
        <v>2911</v>
      </c>
      <c r="I9003" s="8" t="s">
        <v>26912</v>
      </c>
      <c r="J9003" s="8" t="s">
        <v>26913</v>
      </c>
    </row>
    <row r="9004">
      <c r="A9004" s="7">
        <v>2.0043817E7</v>
      </c>
      <c r="B9004" s="8" t="s">
        <v>2426</v>
      </c>
      <c r="C9004" s="8" t="s">
        <v>26914</v>
      </c>
      <c r="D9004" s="8" t="s">
        <v>16</v>
      </c>
      <c r="E9004" s="8" t="s">
        <v>17</v>
      </c>
      <c r="F9004" s="9">
        <v>46087.0</v>
      </c>
      <c r="G9004" s="8" t="s">
        <v>75</v>
      </c>
      <c r="H9004" s="8" t="s">
        <v>76</v>
      </c>
      <c r="I9004" s="8" t="s">
        <v>26915</v>
      </c>
      <c r="J9004" s="8" t="s">
        <v>26916</v>
      </c>
    </row>
    <row r="9005">
      <c r="A9005" s="7">
        <v>2.0043533E7</v>
      </c>
      <c r="B9005" s="8" t="s">
        <v>2426</v>
      </c>
      <c r="C9005" s="8" t="s">
        <v>26917</v>
      </c>
      <c r="D9005" s="8" t="s">
        <v>16</v>
      </c>
      <c r="E9005" s="8" t="s">
        <v>17</v>
      </c>
      <c r="F9005" s="9">
        <v>46092.0</v>
      </c>
      <c r="G9005" s="8" t="s">
        <v>846</v>
      </c>
      <c r="H9005" s="8" t="s">
        <v>847</v>
      </c>
      <c r="I9005" s="8" t="s">
        <v>26918</v>
      </c>
      <c r="J9005" s="8" t="s">
        <v>26919</v>
      </c>
    </row>
    <row r="9006">
      <c r="A9006" s="7">
        <v>2.004349E7</v>
      </c>
      <c r="B9006" s="8" t="s">
        <v>2426</v>
      </c>
      <c r="C9006" s="8" t="s">
        <v>26920</v>
      </c>
      <c r="D9006" s="8" t="s">
        <v>16</v>
      </c>
      <c r="E9006" s="8" t="s">
        <v>17</v>
      </c>
      <c r="F9006" s="9">
        <v>46099.0</v>
      </c>
      <c r="G9006" s="8" t="s">
        <v>184</v>
      </c>
      <c r="H9006" s="8" t="s">
        <v>185</v>
      </c>
      <c r="I9006" s="8" t="s">
        <v>26921</v>
      </c>
      <c r="J9006" s="8" t="s">
        <v>26922</v>
      </c>
    </row>
    <row r="9007">
      <c r="A9007" s="7">
        <v>2.0042706E7</v>
      </c>
      <c r="B9007" s="8" t="s">
        <v>2426</v>
      </c>
      <c r="C9007" s="8" t="s">
        <v>26923</v>
      </c>
      <c r="D9007" s="8" t="s">
        <v>16</v>
      </c>
      <c r="E9007" s="8" t="s">
        <v>17</v>
      </c>
      <c r="F9007" s="9">
        <v>46080.0</v>
      </c>
      <c r="G9007" s="8" t="s">
        <v>273</v>
      </c>
      <c r="H9007" s="8" t="s">
        <v>274</v>
      </c>
      <c r="I9007" s="8" t="s">
        <v>26924</v>
      </c>
      <c r="J9007" s="8" t="s">
        <v>26925</v>
      </c>
    </row>
    <row r="9008">
      <c r="A9008" s="7">
        <v>2.0034999E7</v>
      </c>
      <c r="B9008" s="8" t="s">
        <v>2426</v>
      </c>
      <c r="C9008" s="8" t="s">
        <v>26926</v>
      </c>
      <c r="D9008" s="8" t="s">
        <v>16</v>
      </c>
      <c r="E9008" s="8" t="s">
        <v>17</v>
      </c>
      <c r="F9008" s="9">
        <v>46068.0</v>
      </c>
      <c r="G9008" s="8" t="s">
        <v>195</v>
      </c>
      <c r="H9008" s="8" t="s">
        <v>196</v>
      </c>
      <c r="I9008" s="8" t="s">
        <v>26927</v>
      </c>
      <c r="J9008" s="8" t="s">
        <v>26928</v>
      </c>
    </row>
    <row r="9009">
      <c r="A9009" s="7">
        <v>2.0035856E7</v>
      </c>
      <c r="B9009" s="8" t="s">
        <v>2426</v>
      </c>
      <c r="C9009" s="8" t="s">
        <v>26929</v>
      </c>
      <c r="D9009" s="8" t="s">
        <v>16</v>
      </c>
      <c r="E9009" s="8" t="s">
        <v>17</v>
      </c>
      <c r="F9009" s="9">
        <v>46059.0</v>
      </c>
      <c r="G9009" s="8" t="s">
        <v>59</v>
      </c>
      <c r="H9009" s="8" t="s">
        <v>60</v>
      </c>
      <c r="I9009" s="8" t="s">
        <v>26930</v>
      </c>
      <c r="J9009" s="8" t="s">
        <v>26931</v>
      </c>
    </row>
    <row r="9010">
      <c r="A9010" s="7">
        <v>2.0034836E7</v>
      </c>
      <c r="B9010" s="8" t="s">
        <v>2426</v>
      </c>
      <c r="C9010" s="8" t="s">
        <v>26932</v>
      </c>
      <c r="D9010" s="8" t="s">
        <v>16</v>
      </c>
      <c r="E9010" s="8" t="s">
        <v>17</v>
      </c>
      <c r="F9010" s="9">
        <v>46067.0</v>
      </c>
      <c r="G9010" s="8" t="s">
        <v>59</v>
      </c>
      <c r="H9010" s="8" t="s">
        <v>60</v>
      </c>
      <c r="I9010" s="8" t="s">
        <v>26933</v>
      </c>
      <c r="J9010" s="8" t="s">
        <v>26934</v>
      </c>
    </row>
    <row r="9011">
      <c r="A9011" s="7">
        <v>2.0034858E7</v>
      </c>
      <c r="B9011" s="8" t="s">
        <v>2426</v>
      </c>
      <c r="C9011" s="8" t="s">
        <v>26935</v>
      </c>
      <c r="D9011" s="8" t="s">
        <v>16</v>
      </c>
      <c r="E9011" s="8" t="s">
        <v>17</v>
      </c>
      <c r="F9011" s="9">
        <v>46062.0</v>
      </c>
      <c r="G9011" s="8" t="s">
        <v>75</v>
      </c>
      <c r="H9011" s="8" t="s">
        <v>76</v>
      </c>
      <c r="I9011" s="8" t="s">
        <v>26936</v>
      </c>
      <c r="J9011" s="8" t="s">
        <v>26937</v>
      </c>
    </row>
    <row r="9012">
      <c r="A9012" s="7">
        <v>2.003606E7</v>
      </c>
      <c r="B9012" s="8" t="s">
        <v>2426</v>
      </c>
      <c r="C9012" s="8" t="s">
        <v>26938</v>
      </c>
      <c r="D9012" s="8" t="s">
        <v>16</v>
      </c>
      <c r="E9012" s="8" t="s">
        <v>17</v>
      </c>
      <c r="F9012" s="9">
        <v>46052.0</v>
      </c>
      <c r="G9012" s="8" t="s">
        <v>2486</v>
      </c>
      <c r="H9012" s="8" t="s">
        <v>44</v>
      </c>
      <c r="I9012" s="8" t="s">
        <v>26939</v>
      </c>
      <c r="J9012" s="8" t="s">
        <v>26940</v>
      </c>
    </row>
    <row r="9013">
      <c r="A9013" s="7">
        <v>2.0035907E7</v>
      </c>
      <c r="B9013" s="8" t="s">
        <v>2426</v>
      </c>
      <c r="C9013" s="8" t="s">
        <v>26941</v>
      </c>
      <c r="D9013" s="8" t="s">
        <v>16</v>
      </c>
      <c r="E9013" s="8" t="s">
        <v>17</v>
      </c>
      <c r="F9013" s="9">
        <v>46062.0</v>
      </c>
      <c r="G9013" s="8" t="s">
        <v>436</v>
      </c>
      <c r="H9013" s="8" t="s">
        <v>437</v>
      </c>
      <c r="I9013" s="8" t="s">
        <v>26942</v>
      </c>
      <c r="J9013" s="8" t="s">
        <v>26943</v>
      </c>
    </row>
    <row r="9014">
      <c r="A9014" s="7">
        <v>2.0033861E7</v>
      </c>
      <c r="B9014" s="8" t="s">
        <v>2426</v>
      </c>
      <c r="C9014" s="8" t="s">
        <v>26944</v>
      </c>
      <c r="D9014" s="8" t="s">
        <v>16</v>
      </c>
      <c r="E9014" s="8" t="s">
        <v>17</v>
      </c>
      <c r="F9014" s="9">
        <v>46059.0</v>
      </c>
      <c r="G9014" s="8" t="s">
        <v>2400</v>
      </c>
      <c r="H9014" s="8" t="s">
        <v>2401</v>
      </c>
      <c r="I9014" s="8" t="s">
        <v>26945</v>
      </c>
      <c r="J9014" s="8" t="s">
        <v>26946</v>
      </c>
    </row>
    <row r="9015">
      <c r="A9015" s="7">
        <v>2.0034826E7</v>
      </c>
      <c r="B9015" s="8" t="s">
        <v>2426</v>
      </c>
      <c r="C9015" s="8" t="s">
        <v>26947</v>
      </c>
      <c r="D9015" s="8" t="s">
        <v>16</v>
      </c>
      <c r="E9015" s="8" t="s">
        <v>17</v>
      </c>
      <c r="F9015" s="9">
        <v>46050.0</v>
      </c>
      <c r="G9015" s="8" t="s">
        <v>124</v>
      </c>
      <c r="H9015" s="8" t="s">
        <v>125</v>
      </c>
      <c r="I9015" s="8" t="s">
        <v>26948</v>
      </c>
      <c r="J9015" s="8" t="s">
        <v>4479</v>
      </c>
    </row>
    <row r="9016">
      <c r="A9016" s="7">
        <v>2.0061148E7</v>
      </c>
      <c r="B9016" s="8" t="s">
        <v>2426</v>
      </c>
      <c r="C9016" s="8" t="s">
        <v>26949</v>
      </c>
      <c r="D9016" s="8" t="s">
        <v>2136</v>
      </c>
      <c r="E9016" s="8" t="s">
        <v>17</v>
      </c>
      <c r="F9016" s="9">
        <v>46164.0</v>
      </c>
      <c r="G9016" s="8" t="s">
        <v>1969</v>
      </c>
      <c r="H9016" s="8" t="s">
        <v>1970</v>
      </c>
      <c r="I9016" s="8" t="s">
        <v>26950</v>
      </c>
      <c r="J9016" s="8" t="s">
        <v>26951</v>
      </c>
    </row>
    <row r="9017">
      <c r="A9017" s="7">
        <v>2.0060329E7</v>
      </c>
      <c r="B9017" s="8" t="s">
        <v>2426</v>
      </c>
      <c r="C9017" s="8" t="s">
        <v>26952</v>
      </c>
      <c r="D9017" s="8" t="s">
        <v>16</v>
      </c>
      <c r="E9017" s="8" t="s">
        <v>17</v>
      </c>
      <c r="F9017" s="9">
        <v>46190.0</v>
      </c>
      <c r="G9017" s="8" t="s">
        <v>1616</v>
      </c>
      <c r="H9017" s="8" t="s">
        <v>1617</v>
      </c>
      <c r="I9017" s="8" t="s">
        <v>26953</v>
      </c>
      <c r="J9017" s="8" t="s">
        <v>26954</v>
      </c>
    </row>
    <row r="9018">
      <c r="A9018" s="7">
        <v>2.0060525E7</v>
      </c>
      <c r="B9018" s="8" t="s">
        <v>2426</v>
      </c>
      <c r="C9018" s="8" t="s">
        <v>26955</v>
      </c>
      <c r="D9018" s="8" t="s">
        <v>16</v>
      </c>
      <c r="E9018" s="8" t="s">
        <v>17</v>
      </c>
      <c r="F9018" s="9">
        <v>46182.0</v>
      </c>
      <c r="G9018" s="8" t="s">
        <v>410</v>
      </c>
      <c r="H9018" s="8" t="s">
        <v>411</v>
      </c>
      <c r="I9018" s="8" t="s">
        <v>26956</v>
      </c>
      <c r="J9018" s="8" t="s">
        <v>26957</v>
      </c>
    </row>
    <row r="9019">
      <c r="A9019" s="7">
        <v>2.0055522E7</v>
      </c>
      <c r="B9019" s="8" t="s">
        <v>2426</v>
      </c>
      <c r="C9019" s="8" t="s">
        <v>26958</v>
      </c>
      <c r="D9019" s="8" t="s">
        <v>16</v>
      </c>
      <c r="E9019" s="8" t="s">
        <v>17</v>
      </c>
      <c r="F9019" s="9">
        <v>46139.0</v>
      </c>
      <c r="G9019" s="8" t="s">
        <v>59</v>
      </c>
      <c r="H9019" s="8" t="s">
        <v>60</v>
      </c>
      <c r="I9019" s="8" t="s">
        <v>26959</v>
      </c>
      <c r="J9019" s="8" t="s">
        <v>26960</v>
      </c>
    </row>
    <row r="9020">
      <c r="A9020" s="7">
        <v>2.0056168E7</v>
      </c>
      <c r="B9020" s="8" t="s">
        <v>2426</v>
      </c>
      <c r="C9020" s="8" t="s">
        <v>26961</v>
      </c>
      <c r="D9020" s="8" t="s">
        <v>16</v>
      </c>
      <c r="E9020" s="8" t="s">
        <v>17</v>
      </c>
      <c r="F9020" s="9">
        <v>46144.0</v>
      </c>
      <c r="G9020" s="8" t="s">
        <v>1049</v>
      </c>
      <c r="H9020" s="8" t="s">
        <v>1050</v>
      </c>
      <c r="I9020" s="8" t="s">
        <v>26962</v>
      </c>
      <c r="J9020" s="8" t="s">
        <v>26963</v>
      </c>
    </row>
    <row r="9021">
      <c r="A9021" s="7">
        <v>2.0048471E7</v>
      </c>
      <c r="B9021" s="8" t="s">
        <v>2426</v>
      </c>
      <c r="C9021" s="8" t="s">
        <v>26964</v>
      </c>
      <c r="D9021" s="8" t="s">
        <v>16</v>
      </c>
      <c r="E9021" s="8" t="s">
        <v>17</v>
      </c>
      <c r="F9021" s="9">
        <v>46118.0</v>
      </c>
      <c r="G9021" s="8" t="s">
        <v>9579</v>
      </c>
      <c r="H9021" s="8" t="s">
        <v>9580</v>
      </c>
      <c r="I9021" s="8" t="s">
        <v>26965</v>
      </c>
      <c r="J9021" s="8" t="s">
        <v>26966</v>
      </c>
    </row>
    <row r="9022">
      <c r="A9022" s="7">
        <v>2.0037705E7</v>
      </c>
      <c r="B9022" s="8" t="s">
        <v>2426</v>
      </c>
      <c r="C9022" s="8" t="s">
        <v>26967</v>
      </c>
      <c r="D9022" s="8" t="s">
        <v>16</v>
      </c>
      <c r="E9022" s="8" t="s">
        <v>17</v>
      </c>
      <c r="F9022" s="9">
        <v>46095.0</v>
      </c>
      <c r="G9022" s="8" t="s">
        <v>26968</v>
      </c>
      <c r="H9022" s="8" t="s">
        <v>26969</v>
      </c>
      <c r="I9022" s="8" t="s">
        <v>26970</v>
      </c>
      <c r="J9022" s="8" t="s">
        <v>26971</v>
      </c>
    </row>
    <row r="9023">
      <c r="A9023" s="7">
        <v>2.0041385E7</v>
      </c>
      <c r="B9023" s="8" t="s">
        <v>2426</v>
      </c>
      <c r="C9023" s="8" t="s">
        <v>26972</v>
      </c>
      <c r="D9023" s="8" t="s">
        <v>16</v>
      </c>
      <c r="E9023" s="8" t="s">
        <v>17</v>
      </c>
      <c r="F9023" s="9">
        <v>46084.0</v>
      </c>
      <c r="G9023" s="8" t="s">
        <v>171</v>
      </c>
      <c r="H9023" s="8" t="s">
        <v>172</v>
      </c>
      <c r="I9023" s="8" t="s">
        <v>26973</v>
      </c>
      <c r="J9023" s="8" t="s">
        <v>26974</v>
      </c>
    </row>
    <row r="9024">
      <c r="A9024" s="7">
        <v>2.0040893E7</v>
      </c>
      <c r="B9024" s="8" t="s">
        <v>2426</v>
      </c>
      <c r="C9024" s="8" t="s">
        <v>26975</v>
      </c>
      <c r="D9024" s="8" t="s">
        <v>16</v>
      </c>
      <c r="E9024" s="8" t="s">
        <v>17</v>
      </c>
      <c r="F9024" s="9">
        <v>46085.0</v>
      </c>
      <c r="G9024" s="8" t="s">
        <v>4535</v>
      </c>
      <c r="H9024" s="8" t="s">
        <v>4536</v>
      </c>
      <c r="I9024" s="8" t="s">
        <v>26976</v>
      </c>
      <c r="J9024" s="8" t="s">
        <v>26977</v>
      </c>
    </row>
    <row r="9025">
      <c r="A9025" s="7">
        <v>2.0030512E7</v>
      </c>
      <c r="B9025" s="8" t="s">
        <v>2426</v>
      </c>
      <c r="C9025" s="8" t="s">
        <v>26978</v>
      </c>
      <c r="D9025" s="8" t="s">
        <v>16</v>
      </c>
      <c r="E9025" s="8" t="s">
        <v>17</v>
      </c>
      <c r="F9025" s="9">
        <v>46066.0</v>
      </c>
      <c r="G9025" s="8" t="s">
        <v>846</v>
      </c>
      <c r="H9025" s="8" t="s">
        <v>847</v>
      </c>
      <c r="I9025" s="8" t="s">
        <v>26979</v>
      </c>
      <c r="J9025" s="8" t="s">
        <v>26980</v>
      </c>
    </row>
    <row r="9026">
      <c r="A9026" s="7">
        <v>2.00354E7</v>
      </c>
      <c r="B9026" s="8" t="s">
        <v>2426</v>
      </c>
      <c r="C9026" s="8" t="s">
        <v>26981</v>
      </c>
      <c r="D9026" s="8" t="s">
        <v>16</v>
      </c>
      <c r="E9026" s="8" t="s">
        <v>17</v>
      </c>
      <c r="F9026" s="9">
        <v>46059.0</v>
      </c>
      <c r="G9026" s="8" t="s">
        <v>9459</v>
      </c>
      <c r="H9026" s="8" t="s">
        <v>9460</v>
      </c>
      <c r="I9026" s="8" t="s">
        <v>26982</v>
      </c>
      <c r="J9026" s="8" t="s">
        <v>26983</v>
      </c>
    </row>
    <row r="9027">
      <c r="A9027" s="7">
        <v>2.0034199E7</v>
      </c>
      <c r="B9027" s="8" t="s">
        <v>2426</v>
      </c>
      <c r="C9027" s="8" t="s">
        <v>26984</v>
      </c>
      <c r="D9027" s="8" t="s">
        <v>16</v>
      </c>
      <c r="E9027" s="8" t="s">
        <v>17</v>
      </c>
      <c r="F9027" s="9">
        <v>46060.0</v>
      </c>
      <c r="G9027" s="8" t="s">
        <v>390</v>
      </c>
      <c r="H9027" s="8" t="s">
        <v>391</v>
      </c>
      <c r="I9027" s="8" t="s">
        <v>26985</v>
      </c>
      <c r="J9027" s="8" t="s">
        <v>26986</v>
      </c>
    </row>
    <row r="9028">
      <c r="A9028" s="7">
        <v>2.0031611E7</v>
      </c>
      <c r="B9028" s="8" t="s">
        <v>2426</v>
      </c>
      <c r="C9028" s="8" t="s">
        <v>26987</v>
      </c>
      <c r="D9028" s="8" t="s">
        <v>16</v>
      </c>
      <c r="E9028" s="8" t="s">
        <v>17</v>
      </c>
      <c r="F9028" s="9">
        <v>46045.0</v>
      </c>
      <c r="G9028" s="8" t="s">
        <v>7571</v>
      </c>
      <c r="H9028" s="8" t="s">
        <v>7572</v>
      </c>
      <c r="I9028" s="8" t="s">
        <v>26988</v>
      </c>
      <c r="J9028" s="8" t="s">
        <v>26989</v>
      </c>
    </row>
    <row r="9029">
      <c r="A9029" s="7">
        <v>2.0031611E7</v>
      </c>
      <c r="B9029" s="8" t="s">
        <v>2426</v>
      </c>
      <c r="C9029" s="8" t="s">
        <v>26987</v>
      </c>
      <c r="D9029" s="8" t="s">
        <v>16</v>
      </c>
      <c r="E9029" s="8" t="s">
        <v>17</v>
      </c>
      <c r="F9029" s="9">
        <v>46045.0</v>
      </c>
      <c r="G9029" s="8" t="s">
        <v>12566</v>
      </c>
      <c r="H9029" s="8" t="s">
        <v>12567</v>
      </c>
      <c r="I9029" s="8" t="s">
        <v>26990</v>
      </c>
      <c r="J9029" s="8" t="s">
        <v>26991</v>
      </c>
    </row>
    <row r="9030">
      <c r="A9030" s="7">
        <v>2.0062351E7</v>
      </c>
      <c r="B9030" s="8" t="s">
        <v>2426</v>
      </c>
      <c r="C9030" s="8" t="s">
        <v>26992</v>
      </c>
      <c r="D9030" s="8" t="s">
        <v>16</v>
      </c>
      <c r="E9030" s="8" t="s">
        <v>17</v>
      </c>
      <c r="F9030" s="9">
        <v>46156.0</v>
      </c>
      <c r="G9030" s="8" t="s">
        <v>352</v>
      </c>
      <c r="H9030" s="8" t="s">
        <v>353</v>
      </c>
      <c r="I9030" s="8" t="s">
        <v>26993</v>
      </c>
      <c r="J9030" s="8" t="s">
        <v>26994</v>
      </c>
    </row>
    <row r="9031">
      <c r="A9031" s="7">
        <v>2.0060563E7</v>
      </c>
      <c r="B9031" s="8" t="s">
        <v>2426</v>
      </c>
      <c r="C9031" s="8" t="s">
        <v>26995</v>
      </c>
      <c r="D9031" s="8" t="s">
        <v>16</v>
      </c>
      <c r="E9031" s="8" t="s">
        <v>17</v>
      </c>
      <c r="F9031" s="9">
        <v>46151.0</v>
      </c>
      <c r="G9031" s="8" t="s">
        <v>59</v>
      </c>
      <c r="H9031" s="8" t="s">
        <v>60</v>
      </c>
      <c r="I9031" s="8" t="s">
        <v>26996</v>
      </c>
      <c r="J9031" s="8" t="s">
        <v>26997</v>
      </c>
    </row>
    <row r="9032">
      <c r="A9032" s="7">
        <v>2.0056716E7</v>
      </c>
      <c r="B9032" s="8" t="s">
        <v>2426</v>
      </c>
      <c r="C9032" s="8" t="s">
        <v>26998</v>
      </c>
      <c r="D9032" s="8" t="s">
        <v>16</v>
      </c>
      <c r="E9032" s="8" t="s">
        <v>17</v>
      </c>
      <c r="F9032" s="9">
        <v>46176.0</v>
      </c>
      <c r="G9032" s="8" t="s">
        <v>2689</v>
      </c>
      <c r="H9032" s="8" t="s">
        <v>2690</v>
      </c>
      <c r="I9032" s="8" t="s">
        <v>26999</v>
      </c>
      <c r="J9032" s="8" t="s">
        <v>27000</v>
      </c>
    </row>
    <row r="9033">
      <c r="A9033" s="7">
        <v>2.0053084E7</v>
      </c>
      <c r="B9033" s="8" t="s">
        <v>2426</v>
      </c>
      <c r="C9033" s="8" t="s">
        <v>27001</v>
      </c>
      <c r="D9033" s="8" t="s">
        <v>16</v>
      </c>
      <c r="E9033" s="8" t="s">
        <v>17</v>
      </c>
      <c r="F9033" s="9">
        <v>46151.0</v>
      </c>
      <c r="G9033" s="8" t="s">
        <v>9264</v>
      </c>
      <c r="H9033" s="8" t="s">
        <v>9265</v>
      </c>
      <c r="I9033" s="8" t="s">
        <v>27002</v>
      </c>
      <c r="J9033" s="8" t="s">
        <v>27003</v>
      </c>
    </row>
    <row r="9034">
      <c r="A9034" s="7">
        <v>2.005341E7</v>
      </c>
      <c r="B9034" s="8" t="s">
        <v>2426</v>
      </c>
      <c r="C9034" s="8" t="s">
        <v>27004</v>
      </c>
      <c r="D9034" s="8" t="s">
        <v>16</v>
      </c>
      <c r="E9034" s="8" t="s">
        <v>17</v>
      </c>
      <c r="F9034" s="9">
        <v>46139.0</v>
      </c>
      <c r="G9034" s="8" t="s">
        <v>70</v>
      </c>
      <c r="H9034" s="8" t="s">
        <v>71</v>
      </c>
      <c r="I9034" s="8" t="s">
        <v>27005</v>
      </c>
      <c r="J9034" s="8" t="s">
        <v>27006</v>
      </c>
    </row>
    <row r="9035">
      <c r="A9035" s="7">
        <v>2.005616E7</v>
      </c>
      <c r="B9035" s="8" t="s">
        <v>2426</v>
      </c>
      <c r="C9035" s="8" t="s">
        <v>27007</v>
      </c>
      <c r="D9035" s="8" t="s">
        <v>16</v>
      </c>
      <c r="E9035" s="8" t="s">
        <v>17</v>
      </c>
      <c r="F9035" s="9">
        <v>46137.0</v>
      </c>
      <c r="G9035" s="8" t="s">
        <v>59</v>
      </c>
      <c r="H9035" s="8" t="s">
        <v>60</v>
      </c>
      <c r="I9035" s="8" t="s">
        <v>27008</v>
      </c>
      <c r="J9035" s="8" t="s">
        <v>27009</v>
      </c>
    </row>
    <row r="9036">
      <c r="A9036" s="7">
        <v>2.0053797E7</v>
      </c>
      <c r="B9036" s="8" t="s">
        <v>2426</v>
      </c>
      <c r="C9036" s="8" t="s">
        <v>27010</v>
      </c>
      <c r="D9036" s="8" t="s">
        <v>16</v>
      </c>
      <c r="E9036" s="8" t="s">
        <v>17</v>
      </c>
      <c r="F9036" s="9">
        <v>46136.0</v>
      </c>
      <c r="G9036" s="8" t="s">
        <v>7659</v>
      </c>
      <c r="H9036" s="8" t="s">
        <v>7660</v>
      </c>
      <c r="I9036" s="8" t="s">
        <v>27011</v>
      </c>
      <c r="J9036" s="8" t="s">
        <v>27012</v>
      </c>
    </row>
    <row r="9037">
      <c r="A9037" s="7">
        <v>2.0031082E7</v>
      </c>
      <c r="B9037" s="8" t="s">
        <v>2426</v>
      </c>
      <c r="C9037" s="8" t="s">
        <v>27013</v>
      </c>
      <c r="D9037" s="8" t="s">
        <v>16</v>
      </c>
      <c r="E9037" s="8" t="s">
        <v>17</v>
      </c>
      <c r="F9037" s="9">
        <v>46136.0</v>
      </c>
      <c r="G9037" s="8" t="s">
        <v>27014</v>
      </c>
      <c r="H9037" s="8" t="s">
        <v>27015</v>
      </c>
      <c r="I9037" s="8" t="s">
        <v>27016</v>
      </c>
      <c r="J9037" s="8"/>
    </row>
    <row r="9038">
      <c r="A9038" s="7">
        <v>2.0050171E7</v>
      </c>
      <c r="B9038" s="8" t="s">
        <v>2426</v>
      </c>
      <c r="C9038" s="8" t="s">
        <v>27017</v>
      </c>
      <c r="D9038" s="8" t="s">
        <v>16</v>
      </c>
      <c r="E9038" s="8" t="s">
        <v>17</v>
      </c>
      <c r="F9038" s="9">
        <v>46123.0</v>
      </c>
      <c r="G9038" s="8" t="s">
        <v>27018</v>
      </c>
      <c r="H9038" s="8" t="s">
        <v>27019</v>
      </c>
      <c r="I9038" s="8" t="s">
        <v>27020</v>
      </c>
      <c r="J9038" s="8" t="s">
        <v>27021</v>
      </c>
    </row>
    <row r="9039">
      <c r="A9039" s="7">
        <v>2.0038051E7</v>
      </c>
      <c r="B9039" s="8" t="s">
        <v>2426</v>
      </c>
      <c r="C9039" s="8" t="s">
        <v>27022</v>
      </c>
      <c r="D9039" s="8" t="s">
        <v>16</v>
      </c>
      <c r="E9039" s="8" t="s">
        <v>17</v>
      </c>
      <c r="F9039" s="9">
        <v>46061.0</v>
      </c>
      <c r="G9039" s="8" t="s">
        <v>91</v>
      </c>
      <c r="H9039" s="8" t="s">
        <v>92</v>
      </c>
      <c r="I9039" s="8" t="s">
        <v>27023</v>
      </c>
      <c r="J9039" s="8" t="s">
        <v>27024</v>
      </c>
    </row>
    <row r="9040">
      <c r="A9040" s="7">
        <v>2.0037063E7</v>
      </c>
      <c r="B9040" s="8" t="s">
        <v>2426</v>
      </c>
      <c r="C9040" s="8" t="s">
        <v>27025</v>
      </c>
      <c r="D9040" s="8" t="s">
        <v>16</v>
      </c>
      <c r="E9040" s="8" t="s">
        <v>17</v>
      </c>
      <c r="F9040" s="9">
        <v>46053.0</v>
      </c>
      <c r="G9040" s="8" t="s">
        <v>9076</v>
      </c>
      <c r="H9040" s="8" t="s">
        <v>44</v>
      </c>
      <c r="I9040" s="8" t="s">
        <v>27026</v>
      </c>
      <c r="J9040" s="8" t="s">
        <v>27027</v>
      </c>
    </row>
    <row r="9041">
      <c r="A9041" s="7">
        <v>2.0030393E7</v>
      </c>
      <c r="B9041" s="8" t="s">
        <v>2426</v>
      </c>
      <c r="C9041" s="8" t="s">
        <v>27028</v>
      </c>
      <c r="D9041" s="8" t="s">
        <v>16</v>
      </c>
      <c r="E9041" s="8" t="s">
        <v>17</v>
      </c>
      <c r="F9041" s="9">
        <v>46067.0</v>
      </c>
      <c r="G9041" s="8" t="s">
        <v>436</v>
      </c>
      <c r="H9041" s="8" t="s">
        <v>437</v>
      </c>
      <c r="I9041" s="8" t="s">
        <v>27029</v>
      </c>
      <c r="J9041" s="8" t="s">
        <v>27030</v>
      </c>
    </row>
    <row r="9042">
      <c r="A9042" s="7">
        <v>2.003183E7</v>
      </c>
      <c r="B9042" s="8" t="s">
        <v>2426</v>
      </c>
      <c r="C9042" s="8" t="s">
        <v>27031</v>
      </c>
      <c r="D9042" s="8" t="s">
        <v>16</v>
      </c>
      <c r="E9042" s="8" t="s">
        <v>17</v>
      </c>
      <c r="F9042" s="9">
        <v>46055.0</v>
      </c>
      <c r="G9042" s="8" t="s">
        <v>1667</v>
      </c>
      <c r="H9042" s="8" t="s">
        <v>1668</v>
      </c>
      <c r="I9042" s="8" t="s">
        <v>27032</v>
      </c>
      <c r="J9042" s="8" t="s">
        <v>27033</v>
      </c>
    </row>
    <row r="9043">
      <c r="A9043" s="7">
        <v>2.003183E7</v>
      </c>
      <c r="B9043" s="8" t="s">
        <v>2426</v>
      </c>
      <c r="C9043" s="8" t="s">
        <v>27031</v>
      </c>
      <c r="D9043" s="8" t="s">
        <v>16</v>
      </c>
      <c r="E9043" s="8" t="s">
        <v>17</v>
      </c>
      <c r="F9043" s="9">
        <v>46055.0</v>
      </c>
      <c r="G9043" s="8" t="s">
        <v>7950</v>
      </c>
      <c r="H9043" s="8" t="s">
        <v>7951</v>
      </c>
      <c r="I9043" s="8" t="s">
        <v>27034</v>
      </c>
      <c r="J9043" s="8" t="s">
        <v>27035</v>
      </c>
    </row>
    <row r="9044">
      <c r="A9044" s="7">
        <v>2.0033488E7</v>
      </c>
      <c r="B9044" s="8" t="s">
        <v>2426</v>
      </c>
      <c r="C9044" s="8" t="s">
        <v>27036</v>
      </c>
      <c r="D9044" s="8" t="s">
        <v>16</v>
      </c>
      <c r="E9044" s="8" t="s">
        <v>17</v>
      </c>
      <c r="F9044" s="9">
        <v>46051.0</v>
      </c>
      <c r="G9044" s="8" t="s">
        <v>171</v>
      </c>
      <c r="H9044" s="8" t="s">
        <v>172</v>
      </c>
      <c r="I9044" s="8" t="s">
        <v>27037</v>
      </c>
      <c r="J9044" s="8" t="s">
        <v>27038</v>
      </c>
    </row>
    <row r="9045">
      <c r="A9045" s="7">
        <v>2.0066893E7</v>
      </c>
      <c r="B9045" s="8" t="s">
        <v>2426</v>
      </c>
      <c r="C9045" s="8" t="s">
        <v>27039</v>
      </c>
      <c r="D9045" s="8" t="s">
        <v>16</v>
      </c>
      <c r="E9045" s="8" t="s">
        <v>17</v>
      </c>
      <c r="F9045" s="9">
        <v>46192.0</v>
      </c>
      <c r="G9045" s="8" t="s">
        <v>2989</v>
      </c>
      <c r="H9045" s="8" t="s">
        <v>2990</v>
      </c>
      <c r="I9045" s="8" t="s">
        <v>27040</v>
      </c>
      <c r="J9045" s="8" t="s">
        <v>27041</v>
      </c>
    </row>
    <row r="9046">
      <c r="A9046" s="7">
        <v>2.0063443E7</v>
      </c>
      <c r="B9046" s="8" t="s">
        <v>2426</v>
      </c>
      <c r="C9046" s="8" t="s">
        <v>27042</v>
      </c>
      <c r="D9046" s="8" t="s">
        <v>16</v>
      </c>
      <c r="E9046" s="8" t="s">
        <v>69</v>
      </c>
      <c r="F9046" s="9">
        <v>46179.0</v>
      </c>
      <c r="G9046" s="8" t="s">
        <v>1427</v>
      </c>
      <c r="H9046" s="8" t="s">
        <v>1428</v>
      </c>
      <c r="I9046" s="8" t="s">
        <v>27043</v>
      </c>
      <c r="J9046" s="8" t="s">
        <v>27044</v>
      </c>
    </row>
    <row r="9047">
      <c r="A9047" s="7">
        <v>2.0062901E7</v>
      </c>
      <c r="B9047" s="8" t="s">
        <v>2426</v>
      </c>
      <c r="C9047" s="8" t="s">
        <v>27045</v>
      </c>
      <c r="D9047" s="8" t="s">
        <v>16</v>
      </c>
      <c r="E9047" s="8" t="s">
        <v>17</v>
      </c>
      <c r="F9047" s="9">
        <v>46157.0</v>
      </c>
      <c r="G9047" s="8" t="s">
        <v>385</v>
      </c>
      <c r="H9047" s="8" t="s">
        <v>386</v>
      </c>
      <c r="I9047" s="8" t="s">
        <v>27046</v>
      </c>
      <c r="J9047" s="8" t="s">
        <v>27047</v>
      </c>
    </row>
    <row r="9048">
      <c r="A9048" s="7">
        <v>2.0061266E7</v>
      </c>
      <c r="B9048" s="8" t="s">
        <v>2426</v>
      </c>
      <c r="C9048" s="8" t="s">
        <v>27048</v>
      </c>
      <c r="D9048" s="8" t="s">
        <v>16</v>
      </c>
      <c r="E9048" s="8" t="s">
        <v>17</v>
      </c>
      <c r="F9048" s="9">
        <v>46185.0</v>
      </c>
      <c r="G9048" s="8" t="s">
        <v>171</v>
      </c>
      <c r="H9048" s="8" t="s">
        <v>172</v>
      </c>
      <c r="I9048" s="8" t="s">
        <v>27049</v>
      </c>
      <c r="J9048" s="8" t="s">
        <v>27050</v>
      </c>
    </row>
    <row r="9049">
      <c r="A9049" s="7">
        <v>2.0060191E7</v>
      </c>
      <c r="B9049" s="8" t="s">
        <v>2426</v>
      </c>
      <c r="C9049" s="8" t="s">
        <v>27051</v>
      </c>
      <c r="D9049" s="8" t="s">
        <v>16</v>
      </c>
      <c r="E9049" s="8" t="s">
        <v>17</v>
      </c>
      <c r="F9049" s="9">
        <v>46153.0</v>
      </c>
      <c r="G9049" s="8" t="s">
        <v>1045</v>
      </c>
      <c r="H9049" s="8" t="s">
        <v>909</v>
      </c>
      <c r="I9049" s="8" t="s">
        <v>27052</v>
      </c>
      <c r="J9049" s="8" t="s">
        <v>27053</v>
      </c>
    </row>
    <row r="9050">
      <c r="A9050" s="7">
        <v>2.0059293E7</v>
      </c>
      <c r="B9050" s="8" t="s">
        <v>2426</v>
      </c>
      <c r="C9050" s="8" t="s">
        <v>27054</v>
      </c>
      <c r="D9050" s="8" t="s">
        <v>16</v>
      </c>
      <c r="E9050" s="8" t="s">
        <v>17</v>
      </c>
      <c r="F9050" s="9">
        <v>46144.0</v>
      </c>
      <c r="G9050" s="8" t="s">
        <v>882</v>
      </c>
      <c r="H9050" s="8" t="s">
        <v>883</v>
      </c>
      <c r="I9050" s="8" t="s">
        <v>27055</v>
      </c>
      <c r="J9050" s="8" t="s">
        <v>27056</v>
      </c>
    </row>
    <row r="9051">
      <c r="A9051" s="7">
        <v>2.0057359E7</v>
      </c>
      <c r="B9051" s="8" t="s">
        <v>2426</v>
      </c>
      <c r="C9051" s="8" t="s">
        <v>27057</v>
      </c>
      <c r="D9051" s="8" t="s">
        <v>16</v>
      </c>
      <c r="E9051" s="8" t="s">
        <v>17</v>
      </c>
      <c r="F9051" s="9">
        <v>46151.0</v>
      </c>
      <c r="G9051" s="8" t="s">
        <v>1537</v>
      </c>
      <c r="H9051" s="8" t="s">
        <v>1538</v>
      </c>
      <c r="I9051" s="8" t="s">
        <v>27058</v>
      </c>
      <c r="J9051" s="8" t="s">
        <v>27059</v>
      </c>
    </row>
    <row r="9052">
      <c r="A9052" s="7">
        <v>2.0054071E7</v>
      </c>
      <c r="B9052" s="8" t="s">
        <v>2426</v>
      </c>
      <c r="C9052" s="8" t="s">
        <v>27060</v>
      </c>
      <c r="D9052" s="8" t="s">
        <v>16</v>
      </c>
      <c r="E9052" s="8" t="s">
        <v>17</v>
      </c>
      <c r="F9052" s="9">
        <v>46120.0</v>
      </c>
      <c r="G9052" s="8" t="s">
        <v>385</v>
      </c>
      <c r="H9052" s="8" t="s">
        <v>386</v>
      </c>
      <c r="I9052" s="8" t="s">
        <v>27061</v>
      </c>
      <c r="J9052" s="8" t="s">
        <v>27062</v>
      </c>
    </row>
    <row r="9053">
      <c r="A9053" s="7">
        <v>2.0053852E7</v>
      </c>
      <c r="B9053" s="8" t="s">
        <v>2426</v>
      </c>
      <c r="C9053" s="8" t="s">
        <v>27063</v>
      </c>
      <c r="D9053" s="8" t="s">
        <v>16</v>
      </c>
      <c r="E9053" s="8" t="s">
        <v>17</v>
      </c>
      <c r="F9053" s="9">
        <v>46134.0</v>
      </c>
      <c r="G9053" s="8" t="s">
        <v>436</v>
      </c>
      <c r="H9053" s="8" t="s">
        <v>437</v>
      </c>
      <c r="I9053" s="8" t="s">
        <v>27064</v>
      </c>
      <c r="J9053" s="8" t="s">
        <v>27065</v>
      </c>
    </row>
    <row r="9054">
      <c r="A9054" s="7">
        <v>2.0052055E7</v>
      </c>
      <c r="B9054" s="8" t="s">
        <v>2426</v>
      </c>
      <c r="C9054" s="8" t="s">
        <v>27066</v>
      </c>
      <c r="D9054" s="8" t="s">
        <v>16</v>
      </c>
      <c r="E9054" s="8" t="s">
        <v>17</v>
      </c>
      <c r="F9054" s="9">
        <v>46146.0</v>
      </c>
      <c r="G9054" s="8" t="s">
        <v>104</v>
      </c>
      <c r="H9054" s="8" t="s">
        <v>105</v>
      </c>
      <c r="I9054" s="8" t="s">
        <v>27067</v>
      </c>
      <c r="J9054" s="8" t="s">
        <v>27068</v>
      </c>
    </row>
    <row r="9055">
      <c r="A9055" s="7">
        <v>2.0049484E7</v>
      </c>
      <c r="B9055" s="8" t="s">
        <v>2426</v>
      </c>
      <c r="C9055" s="8" t="s">
        <v>27069</v>
      </c>
      <c r="D9055" s="8" t="s">
        <v>16</v>
      </c>
      <c r="E9055" s="8" t="s">
        <v>17</v>
      </c>
      <c r="F9055" s="9">
        <v>46106.0</v>
      </c>
      <c r="G9055" s="8" t="s">
        <v>1746</v>
      </c>
      <c r="H9055" s="8" t="s">
        <v>4130</v>
      </c>
      <c r="I9055" s="8" t="s">
        <v>27070</v>
      </c>
      <c r="J9055" s="8" t="s">
        <v>27071</v>
      </c>
    </row>
    <row r="9056">
      <c r="A9056" s="7">
        <v>2.0044581E7</v>
      </c>
      <c r="B9056" s="8" t="s">
        <v>2426</v>
      </c>
      <c r="C9056" s="8" t="s">
        <v>27072</v>
      </c>
      <c r="D9056" s="8" t="s">
        <v>16</v>
      </c>
      <c r="E9056" s="8" t="s">
        <v>17</v>
      </c>
      <c r="F9056" s="9">
        <v>46094.0</v>
      </c>
      <c r="G9056" s="8" t="s">
        <v>314</v>
      </c>
      <c r="H9056" s="8" t="s">
        <v>315</v>
      </c>
      <c r="I9056" s="8" t="s">
        <v>27073</v>
      </c>
      <c r="J9056" s="8" t="s">
        <v>27074</v>
      </c>
    </row>
    <row r="9057">
      <c r="A9057" s="7">
        <v>2.0041687E7</v>
      </c>
      <c r="B9057" s="8" t="s">
        <v>2426</v>
      </c>
      <c r="C9057" s="8" t="s">
        <v>27075</v>
      </c>
      <c r="D9057" s="8" t="s">
        <v>16</v>
      </c>
      <c r="E9057" s="8" t="s">
        <v>4243</v>
      </c>
      <c r="F9057" s="9">
        <v>46078.0</v>
      </c>
      <c r="G9057" s="8" t="s">
        <v>1949</v>
      </c>
      <c r="H9057" s="8" t="s">
        <v>1950</v>
      </c>
      <c r="I9057" s="8" t="s">
        <v>27076</v>
      </c>
      <c r="J9057" s="8" t="s">
        <v>27077</v>
      </c>
    </row>
    <row r="9058">
      <c r="A9058" s="7">
        <v>2.0041687E7</v>
      </c>
      <c r="B9058" s="8" t="s">
        <v>2426</v>
      </c>
      <c r="C9058" s="8" t="s">
        <v>27075</v>
      </c>
      <c r="D9058" s="8" t="s">
        <v>16</v>
      </c>
      <c r="E9058" s="8" t="s">
        <v>4243</v>
      </c>
      <c r="F9058" s="9">
        <v>46078.0</v>
      </c>
      <c r="G9058" s="8" t="s">
        <v>1949</v>
      </c>
      <c r="H9058" s="8" t="s">
        <v>1950</v>
      </c>
      <c r="I9058" s="8" t="s">
        <v>27078</v>
      </c>
      <c r="J9058" s="8" t="s">
        <v>27077</v>
      </c>
    </row>
    <row r="9059">
      <c r="A9059" s="7">
        <v>2.0040646E7</v>
      </c>
      <c r="B9059" s="8" t="s">
        <v>2426</v>
      </c>
      <c r="C9059" s="8" t="s">
        <v>27079</v>
      </c>
      <c r="D9059" s="8" t="s">
        <v>16</v>
      </c>
      <c r="E9059" s="8" t="s">
        <v>17</v>
      </c>
      <c r="F9059" s="9">
        <v>46078.0</v>
      </c>
      <c r="G9059" s="8" t="s">
        <v>352</v>
      </c>
      <c r="H9059" s="8" t="s">
        <v>353</v>
      </c>
      <c r="I9059" s="8" t="s">
        <v>27080</v>
      </c>
      <c r="J9059" s="8" t="s">
        <v>27081</v>
      </c>
    </row>
    <row r="9060">
      <c r="A9060" s="7">
        <v>2.0040002E7</v>
      </c>
      <c r="B9060" s="8" t="s">
        <v>2426</v>
      </c>
      <c r="C9060" s="8" t="s">
        <v>27082</v>
      </c>
      <c r="D9060" s="8" t="s">
        <v>16</v>
      </c>
      <c r="E9060" s="8" t="s">
        <v>17</v>
      </c>
      <c r="F9060" s="9">
        <v>46068.0</v>
      </c>
      <c r="G9060" s="8" t="s">
        <v>1093</v>
      </c>
      <c r="H9060" s="8" t="s">
        <v>1094</v>
      </c>
      <c r="I9060" s="8" t="s">
        <v>27083</v>
      </c>
      <c r="J9060" s="8" t="s">
        <v>27084</v>
      </c>
    </row>
    <row r="9061">
      <c r="A9061" s="7">
        <v>2.0039888E7</v>
      </c>
      <c r="B9061" s="8" t="s">
        <v>2426</v>
      </c>
      <c r="C9061" s="8" t="s">
        <v>27085</v>
      </c>
      <c r="D9061" s="8" t="s">
        <v>16</v>
      </c>
      <c r="E9061" s="8" t="s">
        <v>17</v>
      </c>
      <c r="F9061" s="9">
        <v>46082.0</v>
      </c>
      <c r="G9061" s="8" t="s">
        <v>171</v>
      </c>
      <c r="H9061" s="8" t="s">
        <v>172</v>
      </c>
      <c r="I9061" s="8" t="s">
        <v>27086</v>
      </c>
      <c r="J9061" s="8" t="s">
        <v>27087</v>
      </c>
    </row>
    <row r="9062">
      <c r="A9062" s="7">
        <v>2.003896E7</v>
      </c>
      <c r="B9062" s="8" t="s">
        <v>2426</v>
      </c>
      <c r="C9062" s="8" t="s">
        <v>27088</v>
      </c>
      <c r="D9062" s="8" t="s">
        <v>16</v>
      </c>
      <c r="E9062" s="8" t="s">
        <v>17</v>
      </c>
      <c r="F9062" s="9">
        <v>46074.0</v>
      </c>
      <c r="G9062" s="8" t="s">
        <v>18</v>
      </c>
      <c r="H9062" s="8" t="s">
        <v>19</v>
      </c>
      <c r="I9062" s="8" t="s">
        <v>27089</v>
      </c>
      <c r="J9062" s="8" t="s">
        <v>27090</v>
      </c>
    </row>
    <row r="9063">
      <c r="A9063" s="7">
        <v>2.0034131E7</v>
      </c>
      <c r="B9063" s="8" t="s">
        <v>2426</v>
      </c>
      <c r="C9063" s="8" t="s">
        <v>27091</v>
      </c>
      <c r="D9063" s="8" t="s">
        <v>16</v>
      </c>
      <c r="E9063" s="8" t="s">
        <v>17</v>
      </c>
      <c r="F9063" s="9">
        <v>46061.0</v>
      </c>
      <c r="G9063" s="8" t="s">
        <v>732</v>
      </c>
      <c r="H9063" s="8" t="s">
        <v>733</v>
      </c>
      <c r="I9063" s="8" t="s">
        <v>27092</v>
      </c>
      <c r="J9063" s="8" t="s">
        <v>27093</v>
      </c>
    </row>
    <row r="9064">
      <c r="A9064" s="7">
        <v>2.0031966E7</v>
      </c>
      <c r="B9064" s="8" t="s">
        <v>2426</v>
      </c>
      <c r="C9064" s="8" t="s">
        <v>27094</v>
      </c>
      <c r="D9064" s="8" t="s">
        <v>16</v>
      </c>
      <c r="E9064" s="8" t="s">
        <v>17</v>
      </c>
      <c r="F9064" s="9">
        <v>46052.0</v>
      </c>
      <c r="G9064" s="8" t="s">
        <v>234</v>
      </c>
      <c r="H9064" s="8" t="s">
        <v>235</v>
      </c>
      <c r="I9064" s="8" t="s">
        <v>27095</v>
      </c>
      <c r="J9064" s="8" t="s">
        <v>27096</v>
      </c>
    </row>
    <row r="9065">
      <c r="A9065" s="7">
        <v>2.0031019E7</v>
      </c>
      <c r="B9065" s="8" t="s">
        <v>2426</v>
      </c>
      <c r="C9065" s="8" t="s">
        <v>27097</v>
      </c>
      <c r="D9065" s="8" t="s">
        <v>16</v>
      </c>
      <c r="E9065" s="8" t="s">
        <v>17</v>
      </c>
      <c r="F9065" s="9">
        <v>46050.0</v>
      </c>
      <c r="G9065" s="8" t="s">
        <v>247</v>
      </c>
      <c r="H9065" s="8" t="s">
        <v>248</v>
      </c>
      <c r="I9065" s="8" t="s">
        <v>27098</v>
      </c>
      <c r="J9065" s="8" t="s">
        <v>27099</v>
      </c>
    </row>
    <row r="9066">
      <c r="A9066" s="7">
        <v>2.0031961E7</v>
      </c>
      <c r="B9066" s="8" t="s">
        <v>2426</v>
      </c>
      <c r="C9066" s="8" t="s">
        <v>27100</v>
      </c>
      <c r="D9066" s="8" t="s">
        <v>16</v>
      </c>
      <c r="E9066" s="8" t="s">
        <v>17</v>
      </c>
      <c r="F9066" s="9">
        <v>46061.0</v>
      </c>
      <c r="G9066" s="8" t="s">
        <v>390</v>
      </c>
      <c r="H9066" s="8" t="s">
        <v>391</v>
      </c>
      <c r="I9066" s="8" t="s">
        <v>27101</v>
      </c>
      <c r="J9066" s="8" t="s">
        <v>27102</v>
      </c>
    </row>
    <row r="9067">
      <c r="A9067" s="7">
        <v>2.0031882E7</v>
      </c>
      <c r="B9067" s="8" t="s">
        <v>2426</v>
      </c>
      <c r="C9067" s="8" t="s">
        <v>27103</v>
      </c>
      <c r="D9067" s="8" t="s">
        <v>16</v>
      </c>
      <c r="E9067" s="8" t="s">
        <v>17</v>
      </c>
      <c r="F9067" s="9">
        <v>46058.0</v>
      </c>
      <c r="G9067" s="8" t="s">
        <v>390</v>
      </c>
      <c r="H9067" s="8" t="s">
        <v>391</v>
      </c>
      <c r="I9067" s="8" t="s">
        <v>27104</v>
      </c>
      <c r="J9067" s="8" t="s">
        <v>27105</v>
      </c>
    </row>
    <row r="9068">
      <c r="A9068" s="7">
        <v>2.0034805E7</v>
      </c>
      <c r="B9068" s="8" t="s">
        <v>2426</v>
      </c>
      <c r="C9068" s="8" t="s">
        <v>27106</v>
      </c>
      <c r="D9068" s="8" t="s">
        <v>16</v>
      </c>
      <c r="E9068" s="8" t="s">
        <v>17</v>
      </c>
      <c r="F9068" s="9">
        <v>46060.0</v>
      </c>
      <c r="G9068" s="8" t="s">
        <v>4535</v>
      </c>
      <c r="H9068" s="8" t="s">
        <v>4536</v>
      </c>
      <c r="I9068" s="8" t="s">
        <v>26977</v>
      </c>
      <c r="J9068" s="8" t="s">
        <v>27107</v>
      </c>
    </row>
    <row r="9069">
      <c r="A9069" s="7">
        <v>2.0060802E7</v>
      </c>
      <c r="B9069" s="8" t="s">
        <v>2426</v>
      </c>
      <c r="C9069" s="8" t="s">
        <v>27108</v>
      </c>
      <c r="D9069" s="8" t="s">
        <v>16</v>
      </c>
      <c r="E9069" s="8" t="s">
        <v>17</v>
      </c>
      <c r="F9069" s="9">
        <v>46153.0</v>
      </c>
      <c r="G9069" s="8" t="s">
        <v>59</v>
      </c>
      <c r="H9069" s="8" t="s">
        <v>60</v>
      </c>
      <c r="I9069" s="8" t="s">
        <v>27109</v>
      </c>
      <c r="J9069" s="8" t="s">
        <v>27110</v>
      </c>
    </row>
    <row r="9070">
      <c r="A9070" s="7">
        <v>2.0060972E7</v>
      </c>
      <c r="B9070" s="8" t="s">
        <v>2426</v>
      </c>
      <c r="C9070" s="8" t="s">
        <v>27111</v>
      </c>
      <c r="D9070" s="8" t="s">
        <v>16</v>
      </c>
      <c r="E9070" s="8" t="s">
        <v>17</v>
      </c>
      <c r="F9070" s="9">
        <v>46189.0</v>
      </c>
      <c r="G9070" s="8" t="s">
        <v>1941</v>
      </c>
      <c r="H9070" s="8" t="s">
        <v>1942</v>
      </c>
      <c r="I9070" s="8" t="s">
        <v>27112</v>
      </c>
      <c r="J9070" s="8" t="s">
        <v>27113</v>
      </c>
    </row>
    <row r="9071">
      <c r="A9071" s="7">
        <v>2.0058265E7</v>
      </c>
      <c r="B9071" s="8" t="s">
        <v>2426</v>
      </c>
      <c r="C9071" s="8" t="s">
        <v>27114</v>
      </c>
      <c r="D9071" s="8" t="s">
        <v>16</v>
      </c>
      <c r="E9071" s="8" t="s">
        <v>17</v>
      </c>
      <c r="F9071" s="9">
        <v>46161.0</v>
      </c>
      <c r="G9071" s="8" t="s">
        <v>3572</v>
      </c>
      <c r="H9071" s="8" t="s">
        <v>3573</v>
      </c>
      <c r="I9071" s="8" t="s">
        <v>27115</v>
      </c>
      <c r="J9071" s="8" t="s">
        <v>27116</v>
      </c>
    </row>
    <row r="9072">
      <c r="A9072" s="7">
        <v>2.0058265E7</v>
      </c>
      <c r="B9072" s="8" t="s">
        <v>2426</v>
      </c>
      <c r="C9072" s="8" t="s">
        <v>27114</v>
      </c>
      <c r="D9072" s="8" t="s">
        <v>16</v>
      </c>
      <c r="E9072" s="8" t="s">
        <v>17</v>
      </c>
      <c r="F9072" s="9">
        <v>46161.0</v>
      </c>
      <c r="G9072" s="8" t="s">
        <v>3812</v>
      </c>
      <c r="H9072" s="8" t="s">
        <v>3813</v>
      </c>
      <c r="I9072" s="8" t="s">
        <v>27117</v>
      </c>
      <c r="J9072" s="8" t="s">
        <v>27118</v>
      </c>
    </row>
    <row r="9073">
      <c r="A9073" s="7">
        <v>2.0058265E7</v>
      </c>
      <c r="B9073" s="8" t="s">
        <v>2426</v>
      </c>
      <c r="C9073" s="8" t="s">
        <v>27114</v>
      </c>
      <c r="D9073" s="8" t="s">
        <v>16</v>
      </c>
      <c r="E9073" s="8" t="s">
        <v>17</v>
      </c>
      <c r="F9073" s="9">
        <v>46161.0</v>
      </c>
      <c r="G9073" s="8" t="s">
        <v>1949</v>
      </c>
      <c r="H9073" s="8" t="s">
        <v>1950</v>
      </c>
      <c r="I9073" s="8" t="s">
        <v>27119</v>
      </c>
      <c r="J9073" s="8"/>
    </row>
    <row r="9074">
      <c r="A9074" s="7">
        <v>2.0057568E7</v>
      </c>
      <c r="B9074" s="8" t="s">
        <v>2426</v>
      </c>
      <c r="C9074" s="8" t="s">
        <v>27120</v>
      </c>
      <c r="D9074" s="8" t="s">
        <v>16</v>
      </c>
      <c r="E9074" s="8" t="s">
        <v>17</v>
      </c>
      <c r="F9074" s="9">
        <v>46143.0</v>
      </c>
      <c r="G9074" s="8" t="s">
        <v>1132</v>
      </c>
      <c r="H9074" s="8" t="s">
        <v>1133</v>
      </c>
      <c r="I9074" s="8" t="s">
        <v>27121</v>
      </c>
      <c r="J9074" s="8" t="s">
        <v>27122</v>
      </c>
    </row>
    <row r="9075">
      <c r="A9075" s="7">
        <v>2.0054642E7</v>
      </c>
      <c r="B9075" s="8" t="s">
        <v>2426</v>
      </c>
      <c r="C9075" s="8" t="s">
        <v>27123</v>
      </c>
      <c r="D9075" s="8" t="s">
        <v>16</v>
      </c>
      <c r="E9075" s="8" t="s">
        <v>17</v>
      </c>
      <c r="F9075" s="9">
        <v>46149.0</v>
      </c>
      <c r="G9075" s="8" t="s">
        <v>27124</v>
      </c>
      <c r="H9075" s="8" t="s">
        <v>27125</v>
      </c>
      <c r="I9075" s="8" t="s">
        <v>27126</v>
      </c>
      <c r="J9075" s="8" t="s">
        <v>27127</v>
      </c>
    </row>
    <row r="9076">
      <c r="A9076" s="7">
        <v>2.0055119E7</v>
      </c>
      <c r="B9076" s="8" t="s">
        <v>2426</v>
      </c>
      <c r="C9076" s="8" t="s">
        <v>27128</v>
      </c>
      <c r="D9076" s="8" t="s">
        <v>16</v>
      </c>
      <c r="E9076" s="8" t="s">
        <v>17</v>
      </c>
      <c r="F9076" s="9">
        <v>46128.0</v>
      </c>
      <c r="G9076" s="8" t="s">
        <v>882</v>
      </c>
      <c r="H9076" s="8" t="s">
        <v>883</v>
      </c>
      <c r="I9076" s="8" t="s">
        <v>27129</v>
      </c>
      <c r="J9076" s="8" t="s">
        <v>27130</v>
      </c>
    </row>
    <row r="9077">
      <c r="A9077" s="7">
        <v>2.0053345E7</v>
      </c>
      <c r="B9077" s="8" t="s">
        <v>2426</v>
      </c>
      <c r="C9077" s="8" t="s">
        <v>27131</v>
      </c>
      <c r="D9077" s="8" t="s">
        <v>16</v>
      </c>
      <c r="E9077" s="8" t="s">
        <v>48</v>
      </c>
      <c r="F9077" s="9">
        <v>46129.0</v>
      </c>
      <c r="G9077" s="8" t="s">
        <v>27132</v>
      </c>
      <c r="H9077" s="8" t="s">
        <v>27133</v>
      </c>
      <c r="I9077" s="8" t="s">
        <v>27134</v>
      </c>
      <c r="J9077" s="8"/>
    </row>
    <row r="9078">
      <c r="A9078" s="7">
        <v>2.0051256E7</v>
      </c>
      <c r="B9078" s="8" t="s">
        <v>2426</v>
      </c>
      <c r="C9078" s="8" t="s">
        <v>27135</v>
      </c>
      <c r="D9078" s="8" t="s">
        <v>16</v>
      </c>
      <c r="E9078" s="8" t="s">
        <v>17</v>
      </c>
      <c r="F9078" s="9">
        <v>46125.0</v>
      </c>
      <c r="G9078" s="8" t="s">
        <v>436</v>
      </c>
      <c r="H9078" s="8" t="s">
        <v>437</v>
      </c>
      <c r="I9078" s="8" t="s">
        <v>27136</v>
      </c>
      <c r="J9078" s="8" t="s">
        <v>27137</v>
      </c>
    </row>
    <row r="9079">
      <c r="A9079" s="7">
        <v>2.0046373E7</v>
      </c>
      <c r="B9079" s="8" t="s">
        <v>2426</v>
      </c>
      <c r="C9079" s="8" t="s">
        <v>27138</v>
      </c>
      <c r="D9079" s="8" t="s">
        <v>16</v>
      </c>
      <c r="E9079" s="8" t="s">
        <v>17</v>
      </c>
      <c r="F9079" s="9">
        <v>46092.0</v>
      </c>
      <c r="G9079" s="8" t="s">
        <v>1969</v>
      </c>
      <c r="H9079" s="8" t="s">
        <v>1970</v>
      </c>
      <c r="I9079" s="8" t="s">
        <v>27139</v>
      </c>
      <c r="J9079" s="8" t="s">
        <v>27140</v>
      </c>
    </row>
    <row r="9080">
      <c r="A9080" s="7">
        <v>2.0042899E7</v>
      </c>
      <c r="B9080" s="8" t="s">
        <v>2426</v>
      </c>
      <c r="C9080" s="8" t="s">
        <v>27141</v>
      </c>
      <c r="D9080" s="8" t="s">
        <v>16</v>
      </c>
      <c r="E9080" s="8" t="s">
        <v>17</v>
      </c>
      <c r="F9080" s="9">
        <v>46092.0</v>
      </c>
      <c r="G9080" s="8" t="s">
        <v>59</v>
      </c>
      <c r="H9080" s="8" t="s">
        <v>60</v>
      </c>
      <c r="I9080" s="8" t="s">
        <v>27142</v>
      </c>
      <c r="J9080" s="8" t="s">
        <v>27143</v>
      </c>
    </row>
    <row r="9081">
      <c r="A9081" s="7">
        <v>2.0041435E7</v>
      </c>
      <c r="B9081" s="8" t="s">
        <v>2426</v>
      </c>
      <c r="C9081" s="8" t="s">
        <v>27144</v>
      </c>
      <c r="D9081" s="8" t="s">
        <v>16</v>
      </c>
      <c r="E9081" s="8" t="s">
        <v>17</v>
      </c>
      <c r="F9081" s="9">
        <v>46081.0</v>
      </c>
      <c r="G9081" s="8" t="s">
        <v>54</v>
      </c>
      <c r="H9081" s="8" t="s">
        <v>55</v>
      </c>
      <c r="I9081" s="8" t="s">
        <v>27145</v>
      </c>
      <c r="J9081" s="8" t="s">
        <v>27146</v>
      </c>
    </row>
    <row r="9082">
      <c r="A9082" s="7">
        <v>2.0042253E7</v>
      </c>
      <c r="B9082" s="8" t="s">
        <v>2426</v>
      </c>
      <c r="C9082" s="8" t="s">
        <v>27147</v>
      </c>
      <c r="D9082" s="8" t="s">
        <v>16</v>
      </c>
      <c r="E9082" s="8" t="s">
        <v>17</v>
      </c>
      <c r="F9082" s="9">
        <v>46097.0</v>
      </c>
      <c r="G9082" s="8" t="s">
        <v>64</v>
      </c>
      <c r="H9082" s="8" t="s">
        <v>65</v>
      </c>
      <c r="I9082" s="8" t="s">
        <v>27148</v>
      </c>
      <c r="J9082" s="8" t="s">
        <v>27149</v>
      </c>
    </row>
    <row r="9083">
      <c r="A9083" s="7">
        <v>2.0034177E7</v>
      </c>
      <c r="B9083" s="8" t="s">
        <v>2426</v>
      </c>
      <c r="C9083" s="8" t="s">
        <v>27150</v>
      </c>
      <c r="D9083" s="8" t="s">
        <v>16</v>
      </c>
      <c r="E9083" s="8" t="s">
        <v>17</v>
      </c>
      <c r="F9083" s="9">
        <v>46095.0</v>
      </c>
      <c r="G9083" s="8" t="s">
        <v>109</v>
      </c>
      <c r="H9083" s="8" t="s">
        <v>110</v>
      </c>
      <c r="I9083" s="8" t="s">
        <v>27151</v>
      </c>
      <c r="J9083" s="8" t="s">
        <v>27152</v>
      </c>
    </row>
    <row r="9084">
      <c r="A9084" s="7">
        <v>2.0034177E7</v>
      </c>
      <c r="B9084" s="8" t="s">
        <v>2426</v>
      </c>
      <c r="C9084" s="8" t="s">
        <v>27150</v>
      </c>
      <c r="D9084" s="8" t="s">
        <v>16</v>
      </c>
      <c r="E9084" s="8" t="s">
        <v>17</v>
      </c>
      <c r="F9084" s="9">
        <v>46095.0</v>
      </c>
      <c r="G9084" s="8" t="s">
        <v>10640</v>
      </c>
      <c r="H9084" s="8" t="s">
        <v>10641</v>
      </c>
      <c r="I9084" s="8" t="s">
        <v>27153</v>
      </c>
      <c r="J9084" s="8" t="s">
        <v>27154</v>
      </c>
    </row>
    <row r="9085">
      <c r="A9085" s="7">
        <v>2.0038682E7</v>
      </c>
      <c r="B9085" s="8" t="s">
        <v>2426</v>
      </c>
      <c r="C9085" s="8" t="s">
        <v>27155</v>
      </c>
      <c r="D9085" s="8" t="s">
        <v>16</v>
      </c>
      <c r="E9085" s="8" t="s">
        <v>17</v>
      </c>
      <c r="F9085" s="9">
        <v>46059.0</v>
      </c>
      <c r="G9085" s="8" t="s">
        <v>91</v>
      </c>
      <c r="H9085" s="8" t="s">
        <v>92</v>
      </c>
      <c r="I9085" s="8" t="s">
        <v>27156</v>
      </c>
      <c r="J9085" s="8" t="s">
        <v>27157</v>
      </c>
    </row>
    <row r="9086">
      <c r="A9086" s="7">
        <v>2.0036504E7</v>
      </c>
      <c r="B9086" s="8" t="s">
        <v>2426</v>
      </c>
      <c r="C9086" s="8" t="s">
        <v>27158</v>
      </c>
      <c r="D9086" s="8" t="s">
        <v>16</v>
      </c>
      <c r="E9086" s="8" t="s">
        <v>17</v>
      </c>
      <c r="F9086" s="9">
        <v>46053.0</v>
      </c>
      <c r="G9086" s="8" t="s">
        <v>220</v>
      </c>
      <c r="H9086" s="8" t="s">
        <v>221</v>
      </c>
      <c r="I9086" s="8" t="s">
        <v>27159</v>
      </c>
      <c r="J9086" s="8" t="s">
        <v>27160</v>
      </c>
    </row>
    <row r="9087">
      <c r="A9087" s="7">
        <v>2.003319E7</v>
      </c>
      <c r="B9087" s="8" t="s">
        <v>2426</v>
      </c>
      <c r="C9087" s="8" t="s">
        <v>27161</v>
      </c>
      <c r="D9087" s="8" t="s">
        <v>16</v>
      </c>
      <c r="E9087" s="8" t="s">
        <v>17</v>
      </c>
      <c r="F9087" s="9">
        <v>46051.0</v>
      </c>
      <c r="G9087" s="8" t="s">
        <v>59</v>
      </c>
      <c r="H9087" s="8" t="s">
        <v>60</v>
      </c>
      <c r="I9087" s="8" t="s">
        <v>27162</v>
      </c>
      <c r="J9087" s="8" t="s">
        <v>27163</v>
      </c>
    </row>
    <row r="9088">
      <c r="A9088" s="7">
        <v>2.0065197E7</v>
      </c>
      <c r="B9088" s="8" t="s">
        <v>2426</v>
      </c>
      <c r="C9088" s="8" t="s">
        <v>27164</v>
      </c>
      <c r="D9088" s="8" t="s">
        <v>16</v>
      </c>
      <c r="E9088" s="8" t="s">
        <v>17</v>
      </c>
      <c r="F9088" s="9">
        <v>46190.0</v>
      </c>
      <c r="G9088" s="8" t="s">
        <v>486</v>
      </c>
      <c r="H9088" s="8" t="s">
        <v>487</v>
      </c>
      <c r="I9088" s="8" t="s">
        <v>27165</v>
      </c>
      <c r="J9088" s="8" t="s">
        <v>26746</v>
      </c>
    </row>
    <row r="9089">
      <c r="A9089" s="7">
        <v>2.0060763E7</v>
      </c>
      <c r="B9089" s="8" t="s">
        <v>2426</v>
      </c>
      <c r="C9089" s="8" t="s">
        <v>27166</v>
      </c>
      <c r="D9089" s="8" t="s">
        <v>16</v>
      </c>
      <c r="E9089" s="8" t="s">
        <v>17</v>
      </c>
      <c r="F9089" s="9">
        <v>46166.0</v>
      </c>
      <c r="G9089" s="8" t="s">
        <v>2719</v>
      </c>
      <c r="H9089" s="8" t="s">
        <v>2720</v>
      </c>
      <c r="I9089" s="8" t="s">
        <v>27167</v>
      </c>
      <c r="J9089" s="8" t="s">
        <v>27168</v>
      </c>
    </row>
    <row r="9090">
      <c r="A9090" s="7">
        <v>2.0059399E7</v>
      </c>
      <c r="B9090" s="8" t="s">
        <v>2426</v>
      </c>
      <c r="C9090" s="8" t="s">
        <v>27169</v>
      </c>
      <c r="D9090" s="8" t="s">
        <v>16</v>
      </c>
      <c r="E9090" s="8" t="s">
        <v>17</v>
      </c>
      <c r="F9090" s="9">
        <v>46189.0</v>
      </c>
      <c r="G9090" s="8" t="s">
        <v>10160</v>
      </c>
      <c r="H9090" s="8" t="s">
        <v>10161</v>
      </c>
      <c r="I9090" s="8" t="s">
        <v>27170</v>
      </c>
      <c r="J9090" s="8" t="s">
        <v>27171</v>
      </c>
    </row>
    <row r="9091">
      <c r="A9091" s="7">
        <v>2.0056929E7</v>
      </c>
      <c r="B9091" s="8" t="s">
        <v>2426</v>
      </c>
      <c r="C9091" s="8" t="s">
        <v>27172</v>
      </c>
      <c r="D9091" s="8" t="s">
        <v>16</v>
      </c>
      <c r="E9091" s="8" t="s">
        <v>17</v>
      </c>
      <c r="F9091" s="9">
        <v>46151.0</v>
      </c>
      <c r="G9091" s="8" t="s">
        <v>1627</v>
      </c>
      <c r="H9091" s="8" t="s">
        <v>1628</v>
      </c>
      <c r="I9091" s="8" t="s">
        <v>27173</v>
      </c>
      <c r="J9091" s="8" t="s">
        <v>27174</v>
      </c>
    </row>
    <row r="9092">
      <c r="A9092" s="7">
        <v>2.0047108E7</v>
      </c>
      <c r="B9092" s="8" t="s">
        <v>2426</v>
      </c>
      <c r="C9092" s="8" t="s">
        <v>27175</v>
      </c>
      <c r="D9092" s="8" t="s">
        <v>16</v>
      </c>
      <c r="E9092" s="8" t="s">
        <v>17</v>
      </c>
      <c r="F9092" s="9">
        <v>46104.0</v>
      </c>
      <c r="G9092" s="8" t="s">
        <v>25852</v>
      </c>
      <c r="H9092" s="8" t="s">
        <v>25853</v>
      </c>
      <c r="I9092" s="8" t="s">
        <v>27176</v>
      </c>
      <c r="J9092" s="8" t="s">
        <v>27177</v>
      </c>
    </row>
    <row r="9093">
      <c r="A9093" s="7">
        <v>2.004213E7</v>
      </c>
      <c r="B9093" s="8" t="s">
        <v>2426</v>
      </c>
      <c r="C9093" s="8" t="s">
        <v>27178</v>
      </c>
      <c r="D9093" s="8" t="s">
        <v>16</v>
      </c>
      <c r="E9093" s="8" t="s">
        <v>17</v>
      </c>
      <c r="F9093" s="9">
        <v>46078.0</v>
      </c>
      <c r="G9093" s="8" t="s">
        <v>385</v>
      </c>
      <c r="H9093" s="8" t="s">
        <v>386</v>
      </c>
      <c r="I9093" s="8" t="s">
        <v>27179</v>
      </c>
      <c r="J9093" s="8" t="s">
        <v>27180</v>
      </c>
    </row>
    <row r="9094">
      <c r="A9094" s="7">
        <v>2.0042048E7</v>
      </c>
      <c r="B9094" s="8" t="s">
        <v>2426</v>
      </c>
      <c r="C9094" s="8" t="s">
        <v>27181</v>
      </c>
      <c r="D9094" s="8" t="s">
        <v>16</v>
      </c>
      <c r="E9094" s="8" t="s">
        <v>17</v>
      </c>
      <c r="F9094" s="9">
        <v>46074.0</v>
      </c>
      <c r="G9094" s="8" t="s">
        <v>220</v>
      </c>
      <c r="H9094" s="8" t="s">
        <v>221</v>
      </c>
      <c r="I9094" s="8" t="s">
        <v>27182</v>
      </c>
      <c r="J9094" s="8" t="s">
        <v>27183</v>
      </c>
    </row>
    <row r="9095">
      <c r="A9095" s="7">
        <v>2.0042955E7</v>
      </c>
      <c r="B9095" s="8" t="s">
        <v>2426</v>
      </c>
      <c r="C9095" s="8" t="s">
        <v>27184</v>
      </c>
      <c r="D9095" s="8" t="s">
        <v>16</v>
      </c>
      <c r="E9095" s="8" t="s">
        <v>17</v>
      </c>
      <c r="F9095" s="9">
        <v>46085.0</v>
      </c>
      <c r="G9095" s="8" t="s">
        <v>137</v>
      </c>
      <c r="H9095" s="8" t="s">
        <v>138</v>
      </c>
      <c r="I9095" s="8" t="s">
        <v>27185</v>
      </c>
      <c r="J9095" s="8" t="s">
        <v>27186</v>
      </c>
    </row>
    <row r="9096">
      <c r="A9096" s="7">
        <v>2.0037052E7</v>
      </c>
      <c r="B9096" s="8" t="s">
        <v>2426</v>
      </c>
      <c r="C9096" s="8" t="s">
        <v>27187</v>
      </c>
      <c r="D9096" s="8" t="s">
        <v>16</v>
      </c>
      <c r="E9096" s="8" t="s">
        <v>17</v>
      </c>
      <c r="F9096" s="9">
        <v>46053.0</v>
      </c>
      <c r="G9096" s="8" t="s">
        <v>91</v>
      </c>
      <c r="H9096" s="8" t="s">
        <v>92</v>
      </c>
      <c r="I9096" s="8" t="s">
        <v>27188</v>
      </c>
      <c r="J9096" s="8" t="s">
        <v>27189</v>
      </c>
    </row>
    <row r="9097">
      <c r="A9097" s="7">
        <v>2.00342E7</v>
      </c>
      <c r="B9097" s="8" t="s">
        <v>2426</v>
      </c>
      <c r="C9097" s="8" t="s">
        <v>27190</v>
      </c>
      <c r="D9097" s="8" t="s">
        <v>16</v>
      </c>
      <c r="E9097" s="8" t="s">
        <v>17</v>
      </c>
      <c r="F9097" s="9">
        <v>46060.0</v>
      </c>
      <c r="G9097" s="8" t="s">
        <v>27191</v>
      </c>
      <c r="H9097" s="8" t="s">
        <v>27192</v>
      </c>
      <c r="I9097" s="8" t="s">
        <v>27193</v>
      </c>
      <c r="J9097" s="8" t="s">
        <v>27194</v>
      </c>
    </row>
    <row r="9098">
      <c r="A9098" s="7">
        <v>2.0036549E7</v>
      </c>
      <c r="B9098" s="8" t="s">
        <v>2426</v>
      </c>
      <c r="C9098" s="8" t="s">
        <v>27195</v>
      </c>
      <c r="D9098" s="8" t="s">
        <v>16</v>
      </c>
      <c r="E9098" s="8" t="s">
        <v>17</v>
      </c>
      <c r="F9098" s="9">
        <v>46060.0</v>
      </c>
      <c r="G9098" s="8" t="s">
        <v>10160</v>
      </c>
      <c r="H9098" s="8" t="s">
        <v>10161</v>
      </c>
      <c r="I9098" s="8" t="s">
        <v>27196</v>
      </c>
      <c r="J9098" s="8" t="s">
        <v>27197</v>
      </c>
    </row>
    <row r="9099">
      <c r="A9099" s="7">
        <v>2.0023584E7</v>
      </c>
      <c r="B9099" s="8" t="s">
        <v>2426</v>
      </c>
      <c r="C9099" s="8" t="s">
        <v>27198</v>
      </c>
      <c r="D9099" s="8" t="s">
        <v>16</v>
      </c>
      <c r="E9099" s="8" t="s">
        <v>17</v>
      </c>
      <c r="F9099" s="9">
        <v>46052.0</v>
      </c>
      <c r="G9099" s="8" t="s">
        <v>247</v>
      </c>
      <c r="H9099" s="8" t="s">
        <v>248</v>
      </c>
      <c r="I9099" s="8" t="s">
        <v>27199</v>
      </c>
      <c r="J9099" s="8" t="s">
        <v>27200</v>
      </c>
    </row>
    <row r="9100">
      <c r="A9100" s="7">
        <v>2.0070505E7</v>
      </c>
      <c r="B9100" s="8" t="s">
        <v>2426</v>
      </c>
      <c r="C9100" s="8" t="s">
        <v>27201</v>
      </c>
      <c r="D9100" s="8" t="s">
        <v>16</v>
      </c>
      <c r="E9100" s="8" t="s">
        <v>17</v>
      </c>
      <c r="F9100" s="9">
        <v>46191.0</v>
      </c>
      <c r="G9100" s="8" t="s">
        <v>365</v>
      </c>
      <c r="H9100" s="8" t="s">
        <v>366</v>
      </c>
      <c r="I9100" s="8" t="s">
        <v>27202</v>
      </c>
      <c r="J9100" s="8" t="s">
        <v>27203</v>
      </c>
    </row>
    <row r="9101">
      <c r="A9101" s="7">
        <v>2.006264E7</v>
      </c>
      <c r="B9101" s="8" t="s">
        <v>2426</v>
      </c>
      <c r="C9101" s="8" t="s">
        <v>27204</v>
      </c>
      <c r="D9101" s="8" t="s">
        <v>16</v>
      </c>
      <c r="E9101" s="8" t="s">
        <v>17</v>
      </c>
      <c r="F9101" s="9">
        <v>46191.0</v>
      </c>
      <c r="G9101" s="8" t="s">
        <v>436</v>
      </c>
      <c r="H9101" s="8" t="s">
        <v>437</v>
      </c>
      <c r="I9101" s="8" t="s">
        <v>27205</v>
      </c>
      <c r="J9101" s="8" t="s">
        <v>27206</v>
      </c>
    </row>
    <row r="9102">
      <c r="A9102" s="7">
        <v>2.0061143E7</v>
      </c>
      <c r="B9102" s="8" t="s">
        <v>2426</v>
      </c>
      <c r="C9102" s="8" t="s">
        <v>27207</v>
      </c>
      <c r="D9102" s="8" t="s">
        <v>16</v>
      </c>
      <c r="E9102" s="8" t="s">
        <v>17</v>
      </c>
      <c r="F9102" s="9">
        <v>46152.0</v>
      </c>
      <c r="G9102" s="8" t="s">
        <v>5046</v>
      </c>
      <c r="H9102" s="8" t="s">
        <v>5047</v>
      </c>
      <c r="I9102" s="8" t="s">
        <v>27208</v>
      </c>
      <c r="J9102" s="8" t="s">
        <v>27209</v>
      </c>
    </row>
    <row r="9103">
      <c r="A9103" s="7">
        <v>2.0056134E7</v>
      </c>
      <c r="B9103" s="8" t="s">
        <v>2426</v>
      </c>
      <c r="C9103" s="8" t="s">
        <v>27210</v>
      </c>
      <c r="D9103" s="8" t="s">
        <v>16</v>
      </c>
      <c r="E9103" s="8" t="s">
        <v>17</v>
      </c>
      <c r="F9103" s="9">
        <v>46144.0</v>
      </c>
      <c r="G9103" s="8" t="s">
        <v>626</v>
      </c>
      <c r="H9103" s="8" t="s">
        <v>627</v>
      </c>
      <c r="I9103" s="8" t="s">
        <v>27211</v>
      </c>
      <c r="J9103" s="8" t="s">
        <v>27212</v>
      </c>
    </row>
    <row r="9104">
      <c r="A9104" s="7">
        <v>2.0056371E7</v>
      </c>
      <c r="B9104" s="8" t="s">
        <v>2426</v>
      </c>
      <c r="C9104" s="8" t="s">
        <v>27213</v>
      </c>
      <c r="D9104" s="8" t="s">
        <v>16</v>
      </c>
      <c r="E9104" s="8" t="s">
        <v>17</v>
      </c>
      <c r="F9104" s="9">
        <v>46130.0</v>
      </c>
      <c r="G9104" s="8" t="s">
        <v>423</v>
      </c>
      <c r="H9104" s="8" t="s">
        <v>6351</v>
      </c>
      <c r="I9104" s="8" t="s">
        <v>27214</v>
      </c>
      <c r="J9104" s="8" t="s">
        <v>27215</v>
      </c>
    </row>
    <row r="9105">
      <c r="A9105" s="7">
        <v>2.0055457E7</v>
      </c>
      <c r="B9105" s="8" t="s">
        <v>2426</v>
      </c>
      <c r="C9105" s="8" t="s">
        <v>27216</v>
      </c>
      <c r="D9105" s="8" t="s">
        <v>16</v>
      </c>
      <c r="E9105" s="8" t="s">
        <v>17</v>
      </c>
      <c r="F9105" s="9">
        <v>46137.0</v>
      </c>
      <c r="G9105" s="8" t="s">
        <v>282</v>
      </c>
      <c r="H9105" s="8" t="s">
        <v>3005</v>
      </c>
      <c r="I9105" s="8" t="s">
        <v>27217</v>
      </c>
      <c r="J9105" s="8" t="s">
        <v>27218</v>
      </c>
    </row>
    <row r="9106">
      <c r="A9106" s="7">
        <v>2.0055457E7</v>
      </c>
      <c r="B9106" s="8" t="s">
        <v>2426</v>
      </c>
      <c r="C9106" s="8" t="s">
        <v>27216</v>
      </c>
      <c r="D9106" s="8" t="s">
        <v>16</v>
      </c>
      <c r="E9106" s="8" t="s">
        <v>17</v>
      </c>
      <c r="F9106" s="9">
        <v>46137.0</v>
      </c>
      <c r="G9106" s="8" t="s">
        <v>282</v>
      </c>
      <c r="H9106" s="8" t="s">
        <v>3005</v>
      </c>
      <c r="I9106" s="8" t="s">
        <v>27219</v>
      </c>
      <c r="J9106" s="8" t="s">
        <v>27218</v>
      </c>
    </row>
    <row r="9107">
      <c r="A9107" s="7">
        <v>2.0055353E7</v>
      </c>
      <c r="B9107" s="8" t="s">
        <v>2426</v>
      </c>
      <c r="C9107" s="8" t="s">
        <v>27220</v>
      </c>
      <c r="D9107" s="8" t="s">
        <v>16</v>
      </c>
      <c r="E9107" s="8" t="s">
        <v>17</v>
      </c>
      <c r="F9107" s="9">
        <v>46138.0</v>
      </c>
      <c r="G9107" s="8" t="s">
        <v>19494</v>
      </c>
      <c r="H9107" s="8" t="s">
        <v>19495</v>
      </c>
      <c r="I9107" s="8" t="s">
        <v>27221</v>
      </c>
      <c r="J9107" s="8" t="s">
        <v>27222</v>
      </c>
    </row>
    <row r="9108">
      <c r="A9108" s="7">
        <v>2.0054907E7</v>
      </c>
      <c r="B9108" s="8" t="s">
        <v>2426</v>
      </c>
      <c r="C9108" s="8" t="s">
        <v>27223</v>
      </c>
      <c r="D9108" s="8" t="s">
        <v>16</v>
      </c>
      <c r="E9108" s="8" t="s">
        <v>17</v>
      </c>
      <c r="F9108" s="9">
        <v>46123.0</v>
      </c>
      <c r="G9108" s="8" t="s">
        <v>1949</v>
      </c>
      <c r="H9108" s="8" t="s">
        <v>1950</v>
      </c>
      <c r="I9108" s="8" t="s">
        <v>27224</v>
      </c>
      <c r="J9108" s="8" t="s">
        <v>27225</v>
      </c>
    </row>
    <row r="9109">
      <c r="A9109" s="7">
        <v>2.004699E7</v>
      </c>
      <c r="B9109" s="8" t="s">
        <v>2426</v>
      </c>
      <c r="C9109" s="8" t="s">
        <v>27226</v>
      </c>
      <c r="D9109" s="8" t="s">
        <v>16</v>
      </c>
      <c r="E9109" s="8" t="s">
        <v>17</v>
      </c>
      <c r="F9109" s="9">
        <v>46119.0</v>
      </c>
      <c r="G9109" s="8" t="s">
        <v>3255</v>
      </c>
      <c r="H9109" s="8" t="s">
        <v>3256</v>
      </c>
      <c r="I9109" s="8" t="s">
        <v>27227</v>
      </c>
      <c r="J9109" s="8" t="s">
        <v>27228</v>
      </c>
    </row>
    <row r="9110">
      <c r="A9110" s="7">
        <v>2.004699E7</v>
      </c>
      <c r="B9110" s="8" t="s">
        <v>2426</v>
      </c>
      <c r="C9110" s="8" t="s">
        <v>27226</v>
      </c>
      <c r="D9110" s="8" t="s">
        <v>16</v>
      </c>
      <c r="E9110" s="8" t="s">
        <v>17</v>
      </c>
      <c r="F9110" s="9">
        <v>46119.0</v>
      </c>
      <c r="G9110" s="8" t="s">
        <v>234</v>
      </c>
      <c r="H9110" s="8" t="s">
        <v>235</v>
      </c>
      <c r="I9110" s="8" t="s">
        <v>27229</v>
      </c>
      <c r="J9110" s="8" t="s">
        <v>27230</v>
      </c>
    </row>
    <row r="9111">
      <c r="A9111" s="7">
        <v>2.0047162E7</v>
      </c>
      <c r="B9111" s="8" t="s">
        <v>2426</v>
      </c>
      <c r="C9111" s="8" t="s">
        <v>27231</v>
      </c>
      <c r="D9111" s="8" t="s">
        <v>16</v>
      </c>
      <c r="E9111" s="8" t="s">
        <v>17</v>
      </c>
      <c r="F9111" s="9">
        <v>46092.0</v>
      </c>
      <c r="G9111" s="8" t="s">
        <v>365</v>
      </c>
      <c r="H9111" s="8" t="s">
        <v>366</v>
      </c>
      <c r="I9111" s="8" t="s">
        <v>27232</v>
      </c>
      <c r="J9111" s="8" t="s">
        <v>27233</v>
      </c>
    </row>
    <row r="9112">
      <c r="A9112" s="7">
        <v>2.0046888E7</v>
      </c>
      <c r="B9112" s="8" t="s">
        <v>2426</v>
      </c>
      <c r="C9112" s="8" t="s">
        <v>27234</v>
      </c>
      <c r="D9112" s="8" t="s">
        <v>16</v>
      </c>
      <c r="E9112" s="8" t="s">
        <v>17</v>
      </c>
      <c r="F9112" s="9">
        <v>46091.0</v>
      </c>
      <c r="G9112" s="8" t="s">
        <v>365</v>
      </c>
      <c r="H9112" s="8" t="s">
        <v>366</v>
      </c>
      <c r="I9112" s="8" t="s">
        <v>27235</v>
      </c>
      <c r="J9112" s="8" t="s">
        <v>27236</v>
      </c>
    </row>
    <row r="9113">
      <c r="A9113" s="7">
        <v>2.0044334E7</v>
      </c>
      <c r="B9113" s="8" t="s">
        <v>2426</v>
      </c>
      <c r="C9113" s="8" t="s">
        <v>27237</v>
      </c>
      <c r="D9113" s="8" t="s">
        <v>16</v>
      </c>
      <c r="E9113" s="8" t="s">
        <v>17</v>
      </c>
      <c r="F9113" s="9">
        <v>46092.0</v>
      </c>
      <c r="G9113" s="8" t="s">
        <v>91</v>
      </c>
      <c r="H9113" s="8" t="s">
        <v>92</v>
      </c>
      <c r="I9113" s="8" t="s">
        <v>27238</v>
      </c>
      <c r="J9113" s="8" t="s">
        <v>27239</v>
      </c>
    </row>
    <row r="9114">
      <c r="A9114" s="7">
        <v>2.0041353E7</v>
      </c>
      <c r="B9114" s="8" t="s">
        <v>2426</v>
      </c>
      <c r="C9114" s="8" t="s">
        <v>27240</v>
      </c>
      <c r="D9114" s="8" t="s">
        <v>16</v>
      </c>
      <c r="E9114" s="8" t="s">
        <v>17</v>
      </c>
      <c r="F9114" s="9">
        <v>46075.0</v>
      </c>
      <c r="G9114" s="8" t="s">
        <v>91</v>
      </c>
      <c r="H9114" s="8" t="s">
        <v>92</v>
      </c>
      <c r="I9114" s="8" t="s">
        <v>27241</v>
      </c>
      <c r="J9114" s="8" t="s">
        <v>27242</v>
      </c>
    </row>
    <row r="9115">
      <c r="A9115" s="7">
        <v>2.003555E7</v>
      </c>
      <c r="B9115" s="8" t="s">
        <v>2426</v>
      </c>
      <c r="C9115" s="8" t="s">
        <v>27243</v>
      </c>
      <c r="D9115" s="8" t="s">
        <v>16</v>
      </c>
      <c r="E9115" s="8" t="s">
        <v>17</v>
      </c>
      <c r="F9115" s="9">
        <v>46058.0</v>
      </c>
      <c r="G9115" s="8" t="s">
        <v>805</v>
      </c>
      <c r="H9115" s="8" t="s">
        <v>806</v>
      </c>
      <c r="I9115" s="8" t="s">
        <v>27244</v>
      </c>
      <c r="J9115" s="8" t="s">
        <v>27245</v>
      </c>
    </row>
    <row r="9116">
      <c r="A9116" s="7">
        <v>2.0036627E7</v>
      </c>
      <c r="B9116" s="8" t="s">
        <v>2426</v>
      </c>
      <c r="C9116" s="8" t="s">
        <v>27246</v>
      </c>
      <c r="D9116" s="8" t="s">
        <v>16</v>
      </c>
      <c r="E9116" s="8" t="s">
        <v>17</v>
      </c>
      <c r="F9116" s="9">
        <v>46060.0</v>
      </c>
      <c r="G9116" s="8" t="s">
        <v>23809</v>
      </c>
      <c r="H9116" s="8" t="s">
        <v>23810</v>
      </c>
      <c r="I9116" s="8" t="s">
        <v>27247</v>
      </c>
      <c r="J9116" s="8" t="s">
        <v>27248</v>
      </c>
    </row>
    <row r="9117">
      <c r="A9117" s="7">
        <v>2.0030947E7</v>
      </c>
      <c r="B9117" s="8" t="s">
        <v>2426</v>
      </c>
      <c r="C9117" s="8" t="s">
        <v>27249</v>
      </c>
      <c r="D9117" s="8" t="s">
        <v>16</v>
      </c>
      <c r="E9117" s="8" t="s">
        <v>17</v>
      </c>
      <c r="F9117" s="9">
        <v>46051.0</v>
      </c>
      <c r="G9117" s="8" t="s">
        <v>378</v>
      </c>
      <c r="H9117" s="8" t="s">
        <v>379</v>
      </c>
      <c r="I9117" s="8" t="s">
        <v>27250</v>
      </c>
      <c r="J9117" s="8" t="s">
        <v>27251</v>
      </c>
    </row>
    <row r="9118">
      <c r="A9118" s="7">
        <v>2.0067039E7</v>
      </c>
      <c r="B9118" s="8" t="s">
        <v>2426</v>
      </c>
      <c r="C9118" s="8" t="s">
        <v>27252</v>
      </c>
      <c r="D9118" s="8" t="s">
        <v>16</v>
      </c>
      <c r="E9118" s="8" t="s">
        <v>17</v>
      </c>
      <c r="F9118" s="9">
        <v>46180.0</v>
      </c>
      <c r="G9118" s="8" t="s">
        <v>91</v>
      </c>
      <c r="H9118" s="8" t="s">
        <v>92</v>
      </c>
      <c r="I9118" s="8" t="s">
        <v>27253</v>
      </c>
      <c r="J9118" s="8" t="s">
        <v>27254</v>
      </c>
    </row>
    <row r="9119">
      <c r="A9119" s="7">
        <v>2.0065635E7</v>
      </c>
      <c r="B9119" s="8" t="s">
        <v>2426</v>
      </c>
      <c r="C9119" s="8" t="s">
        <v>27255</v>
      </c>
      <c r="D9119" s="8" t="s">
        <v>16</v>
      </c>
      <c r="E9119" s="8" t="s">
        <v>17</v>
      </c>
      <c r="F9119" s="9">
        <v>46191.0</v>
      </c>
      <c r="G9119" s="8" t="s">
        <v>511</v>
      </c>
      <c r="H9119" s="8" t="s">
        <v>512</v>
      </c>
      <c r="I9119" s="8" t="s">
        <v>27256</v>
      </c>
      <c r="J9119" s="8" t="s">
        <v>27257</v>
      </c>
    </row>
    <row r="9120">
      <c r="A9120" s="7">
        <v>2.006513E7</v>
      </c>
      <c r="B9120" s="8" t="s">
        <v>2426</v>
      </c>
      <c r="C9120" s="8" t="s">
        <v>27258</v>
      </c>
      <c r="D9120" s="8" t="s">
        <v>16</v>
      </c>
      <c r="E9120" s="8" t="s">
        <v>17</v>
      </c>
      <c r="F9120" s="9">
        <v>46173.0</v>
      </c>
      <c r="G9120" s="8" t="s">
        <v>20224</v>
      </c>
      <c r="H9120" s="8" t="s">
        <v>20225</v>
      </c>
      <c r="I9120" s="8" t="s">
        <v>27259</v>
      </c>
      <c r="J9120" s="8" t="s">
        <v>27260</v>
      </c>
    </row>
    <row r="9121">
      <c r="A9121" s="7">
        <v>2.006513E7</v>
      </c>
      <c r="B9121" s="8" t="s">
        <v>2426</v>
      </c>
      <c r="C9121" s="8" t="s">
        <v>27258</v>
      </c>
      <c r="D9121" s="8" t="s">
        <v>16</v>
      </c>
      <c r="E9121" s="8" t="s">
        <v>17</v>
      </c>
      <c r="F9121" s="9">
        <v>46173.0</v>
      </c>
      <c r="G9121" s="8" t="s">
        <v>9383</v>
      </c>
      <c r="H9121" s="8" t="s">
        <v>9384</v>
      </c>
      <c r="I9121" s="8" t="s">
        <v>27261</v>
      </c>
      <c r="J9121" s="8" t="s">
        <v>27262</v>
      </c>
    </row>
    <row r="9122">
      <c r="A9122" s="7">
        <v>2.0055473E7</v>
      </c>
      <c r="B9122" s="8" t="s">
        <v>2426</v>
      </c>
      <c r="C9122" s="8" t="s">
        <v>27263</v>
      </c>
      <c r="D9122" s="8" t="s">
        <v>16</v>
      </c>
      <c r="E9122" s="8" t="s">
        <v>17</v>
      </c>
      <c r="F9122" s="9">
        <v>46131.0</v>
      </c>
      <c r="G9122" s="8" t="s">
        <v>6235</v>
      </c>
      <c r="H9122" s="8" t="s">
        <v>6236</v>
      </c>
      <c r="I9122" s="8" t="s">
        <v>27264</v>
      </c>
      <c r="J9122" s="8" t="s">
        <v>27265</v>
      </c>
    </row>
    <row r="9123">
      <c r="A9123" s="7">
        <v>2.005472E7</v>
      </c>
      <c r="B9123" s="8" t="s">
        <v>2426</v>
      </c>
      <c r="C9123" s="8" t="s">
        <v>27266</v>
      </c>
      <c r="D9123" s="8" t="s">
        <v>16</v>
      </c>
      <c r="E9123" s="8" t="s">
        <v>17</v>
      </c>
      <c r="F9123" s="9">
        <v>46127.0</v>
      </c>
      <c r="G9123" s="8" t="s">
        <v>91</v>
      </c>
      <c r="H9123" s="8" t="s">
        <v>92</v>
      </c>
      <c r="I9123" s="8" t="s">
        <v>27267</v>
      </c>
      <c r="J9123" s="8" t="s">
        <v>27268</v>
      </c>
    </row>
    <row r="9124">
      <c r="A9124" s="7">
        <v>2.0054421E7</v>
      </c>
      <c r="B9124" s="8" t="s">
        <v>2426</v>
      </c>
      <c r="C9124" s="8" t="s">
        <v>27269</v>
      </c>
      <c r="D9124" s="8" t="s">
        <v>16</v>
      </c>
      <c r="E9124" s="8" t="s">
        <v>17</v>
      </c>
      <c r="F9124" s="9">
        <v>46121.0</v>
      </c>
      <c r="G9124" s="8" t="s">
        <v>91</v>
      </c>
      <c r="H9124" s="8" t="s">
        <v>92</v>
      </c>
      <c r="I9124" s="8" t="s">
        <v>27270</v>
      </c>
      <c r="J9124" s="8" t="s">
        <v>27271</v>
      </c>
    </row>
    <row r="9125">
      <c r="A9125" s="7">
        <v>2.005235E7</v>
      </c>
      <c r="B9125" s="8" t="s">
        <v>2426</v>
      </c>
      <c r="C9125" s="8" t="s">
        <v>27272</v>
      </c>
      <c r="D9125" s="8" t="s">
        <v>16</v>
      </c>
      <c r="E9125" s="8" t="s">
        <v>17</v>
      </c>
      <c r="F9125" s="9">
        <v>46127.0</v>
      </c>
      <c r="G9125" s="8" t="s">
        <v>27273</v>
      </c>
      <c r="H9125" s="8" t="s">
        <v>27274</v>
      </c>
      <c r="I9125" s="8" t="s">
        <v>27275</v>
      </c>
      <c r="J9125" s="8" t="s">
        <v>27276</v>
      </c>
    </row>
    <row r="9126">
      <c r="A9126" s="7">
        <v>2.0042173E7</v>
      </c>
      <c r="B9126" s="8" t="s">
        <v>2426</v>
      </c>
      <c r="C9126" s="8" t="s">
        <v>27277</v>
      </c>
      <c r="D9126" s="8" t="s">
        <v>16</v>
      </c>
      <c r="E9126" s="8" t="s">
        <v>17</v>
      </c>
      <c r="F9126" s="9">
        <v>46081.0</v>
      </c>
      <c r="G9126" s="8" t="s">
        <v>800</v>
      </c>
      <c r="H9126" s="8" t="s">
        <v>801</v>
      </c>
      <c r="I9126" s="8" t="s">
        <v>27278</v>
      </c>
      <c r="J9126" s="8" t="s">
        <v>27279</v>
      </c>
    </row>
    <row r="9127">
      <c r="A9127" s="7">
        <v>2.0035012E7</v>
      </c>
      <c r="B9127" s="8" t="s">
        <v>2426</v>
      </c>
      <c r="C9127" s="8" t="s">
        <v>27280</v>
      </c>
      <c r="D9127" s="8" t="s">
        <v>16</v>
      </c>
      <c r="E9127" s="8" t="s">
        <v>17</v>
      </c>
      <c r="F9127" s="9">
        <v>46070.0</v>
      </c>
      <c r="G9127" s="8" t="s">
        <v>59</v>
      </c>
      <c r="H9127" s="8" t="s">
        <v>60</v>
      </c>
      <c r="I9127" s="8" t="s">
        <v>27281</v>
      </c>
      <c r="J9127" s="8" t="s">
        <v>27282</v>
      </c>
    </row>
    <row r="9128">
      <c r="A9128" s="7">
        <v>2.0039487E7</v>
      </c>
      <c r="B9128" s="8" t="s">
        <v>2426</v>
      </c>
      <c r="C9128" s="8" t="s">
        <v>27283</v>
      </c>
      <c r="D9128" s="8" t="s">
        <v>16</v>
      </c>
      <c r="E9128" s="8" t="s">
        <v>17</v>
      </c>
      <c r="F9128" s="9">
        <v>46080.0</v>
      </c>
      <c r="G9128" s="8" t="s">
        <v>436</v>
      </c>
      <c r="H9128" s="8" t="s">
        <v>437</v>
      </c>
      <c r="I9128" s="8" t="s">
        <v>27284</v>
      </c>
      <c r="J9128" s="8" t="s">
        <v>27285</v>
      </c>
    </row>
    <row r="9129">
      <c r="A9129" s="7">
        <v>2.0034618E7</v>
      </c>
      <c r="B9129" s="8" t="s">
        <v>2426</v>
      </c>
      <c r="C9129" s="8" t="s">
        <v>27286</v>
      </c>
      <c r="D9129" s="8" t="s">
        <v>16</v>
      </c>
      <c r="E9129" s="8" t="s">
        <v>17</v>
      </c>
      <c r="F9129" s="9">
        <v>46062.0</v>
      </c>
      <c r="G9129" s="8" t="s">
        <v>436</v>
      </c>
      <c r="H9129" s="8" t="s">
        <v>437</v>
      </c>
      <c r="I9129" s="8" t="s">
        <v>27287</v>
      </c>
      <c r="J9129" s="8" t="s">
        <v>27288</v>
      </c>
    </row>
    <row r="9130">
      <c r="A9130" s="7">
        <v>2.0032919E7</v>
      </c>
      <c r="B9130" s="8" t="s">
        <v>2426</v>
      </c>
      <c r="C9130" s="8" t="s">
        <v>27289</v>
      </c>
      <c r="D9130" s="8" t="s">
        <v>16</v>
      </c>
      <c r="E9130" s="8" t="s">
        <v>17</v>
      </c>
      <c r="F9130" s="9">
        <v>46054.0</v>
      </c>
      <c r="G9130" s="8" t="s">
        <v>34</v>
      </c>
      <c r="H9130" s="8" t="s">
        <v>35</v>
      </c>
      <c r="I9130" s="8" t="s">
        <v>27290</v>
      </c>
      <c r="J9130" s="8" t="s">
        <v>27291</v>
      </c>
    </row>
    <row r="9131">
      <c r="A9131" s="7">
        <v>2.006978E7</v>
      </c>
      <c r="B9131" s="8" t="s">
        <v>2426</v>
      </c>
      <c r="C9131" s="8" t="s">
        <v>27292</v>
      </c>
      <c r="D9131" s="8" t="s">
        <v>16</v>
      </c>
      <c r="E9131" s="8" t="s">
        <v>17</v>
      </c>
      <c r="F9131" s="9">
        <v>46189.0</v>
      </c>
      <c r="G9131" s="8" t="s">
        <v>21407</v>
      </c>
      <c r="H9131" s="8" t="s">
        <v>21408</v>
      </c>
      <c r="I9131" s="8" t="s">
        <v>27293</v>
      </c>
      <c r="J9131" s="8" t="s">
        <v>27294</v>
      </c>
    </row>
    <row r="9132">
      <c r="A9132" s="7">
        <v>2.0066592E7</v>
      </c>
      <c r="B9132" s="8" t="s">
        <v>2426</v>
      </c>
      <c r="C9132" s="8" t="s">
        <v>27295</v>
      </c>
      <c r="D9132" s="8" t="s">
        <v>16</v>
      </c>
      <c r="E9132" s="8" t="s">
        <v>17</v>
      </c>
      <c r="F9132" s="9">
        <v>46190.0</v>
      </c>
      <c r="G9132" s="8" t="s">
        <v>436</v>
      </c>
      <c r="H9132" s="8" t="s">
        <v>437</v>
      </c>
      <c r="I9132" s="8" t="s">
        <v>27296</v>
      </c>
      <c r="J9132" s="8" t="s">
        <v>27297</v>
      </c>
    </row>
    <row r="9133">
      <c r="A9133" s="7">
        <v>2.006389E7</v>
      </c>
      <c r="B9133" s="8" t="s">
        <v>2426</v>
      </c>
      <c r="C9133" s="8" t="s">
        <v>27298</v>
      </c>
      <c r="D9133" s="8" t="s">
        <v>16</v>
      </c>
      <c r="E9133" s="8" t="s">
        <v>17</v>
      </c>
      <c r="F9133" s="9">
        <v>46164.0</v>
      </c>
      <c r="G9133" s="8" t="s">
        <v>59</v>
      </c>
      <c r="H9133" s="8" t="s">
        <v>60</v>
      </c>
      <c r="I9133" s="8" t="s">
        <v>27299</v>
      </c>
      <c r="J9133" s="8" t="s">
        <v>27300</v>
      </c>
    </row>
    <row r="9134">
      <c r="A9134" s="7">
        <v>2.0055189E7</v>
      </c>
      <c r="B9134" s="8" t="s">
        <v>2426</v>
      </c>
      <c r="C9134" s="8" t="s">
        <v>27301</v>
      </c>
      <c r="D9134" s="8" t="s">
        <v>16</v>
      </c>
      <c r="E9134" s="8" t="s">
        <v>17</v>
      </c>
      <c r="F9134" s="9">
        <v>46183.0</v>
      </c>
      <c r="G9134" s="8" t="s">
        <v>8230</v>
      </c>
      <c r="H9134" s="8" t="s">
        <v>8231</v>
      </c>
      <c r="I9134" s="8" t="s">
        <v>27302</v>
      </c>
      <c r="J9134" s="8" t="s">
        <v>27303</v>
      </c>
    </row>
    <row r="9135">
      <c r="A9135" s="7">
        <v>2.0062972E7</v>
      </c>
      <c r="B9135" s="8" t="s">
        <v>2426</v>
      </c>
      <c r="C9135" s="8" t="s">
        <v>27304</v>
      </c>
      <c r="D9135" s="8" t="s">
        <v>16</v>
      </c>
      <c r="E9135" s="8" t="s">
        <v>17</v>
      </c>
      <c r="F9135" s="9">
        <v>46182.0</v>
      </c>
      <c r="G9135" s="8" t="s">
        <v>436</v>
      </c>
      <c r="H9135" s="8" t="s">
        <v>437</v>
      </c>
      <c r="I9135" s="8" t="s">
        <v>27305</v>
      </c>
      <c r="J9135" s="8" t="s">
        <v>27306</v>
      </c>
    </row>
    <row r="9136">
      <c r="A9136" s="7">
        <v>2.0061534E7</v>
      </c>
      <c r="B9136" s="8" t="s">
        <v>2426</v>
      </c>
      <c r="C9136" s="8" t="s">
        <v>27307</v>
      </c>
      <c r="D9136" s="8" t="s">
        <v>16</v>
      </c>
      <c r="E9136" s="8" t="s">
        <v>17</v>
      </c>
      <c r="F9136" s="9">
        <v>46181.0</v>
      </c>
      <c r="G9136" s="8" t="s">
        <v>171</v>
      </c>
      <c r="H9136" s="8" t="s">
        <v>172</v>
      </c>
      <c r="I9136" s="8" t="s">
        <v>27308</v>
      </c>
      <c r="J9136" s="8" t="s">
        <v>27309</v>
      </c>
    </row>
    <row r="9137">
      <c r="A9137" s="7">
        <v>2.0060754E7</v>
      </c>
      <c r="B9137" s="8" t="s">
        <v>2426</v>
      </c>
      <c r="C9137" s="8" t="s">
        <v>27310</v>
      </c>
      <c r="D9137" s="8" t="s">
        <v>16</v>
      </c>
      <c r="E9137" s="8" t="s">
        <v>17</v>
      </c>
      <c r="F9137" s="9">
        <v>46151.0</v>
      </c>
      <c r="G9137" s="8" t="s">
        <v>234</v>
      </c>
      <c r="H9137" s="8" t="s">
        <v>235</v>
      </c>
      <c r="I9137" s="8" t="s">
        <v>27311</v>
      </c>
      <c r="J9137" s="8" t="s">
        <v>27312</v>
      </c>
    </row>
    <row r="9138">
      <c r="A9138" s="7">
        <v>2.0060932E7</v>
      </c>
      <c r="B9138" s="8" t="s">
        <v>2426</v>
      </c>
      <c r="C9138" s="8" t="s">
        <v>27313</v>
      </c>
      <c r="D9138" s="8" t="s">
        <v>16</v>
      </c>
      <c r="E9138" s="8" t="s">
        <v>17</v>
      </c>
      <c r="F9138" s="9">
        <v>46152.0</v>
      </c>
      <c r="G9138" s="8" t="s">
        <v>805</v>
      </c>
      <c r="H9138" s="8" t="s">
        <v>806</v>
      </c>
      <c r="I9138" s="8" t="s">
        <v>27314</v>
      </c>
      <c r="J9138" s="8" t="s">
        <v>27315</v>
      </c>
    </row>
    <row r="9139">
      <c r="A9139" s="7">
        <v>2.0056475E7</v>
      </c>
      <c r="B9139" s="8" t="s">
        <v>2426</v>
      </c>
      <c r="C9139" s="8" t="s">
        <v>27316</v>
      </c>
      <c r="D9139" s="8" t="s">
        <v>16</v>
      </c>
      <c r="E9139" s="8" t="s">
        <v>17</v>
      </c>
      <c r="F9139" s="9">
        <v>46141.0</v>
      </c>
      <c r="G9139" s="8" t="s">
        <v>59</v>
      </c>
      <c r="H9139" s="8" t="s">
        <v>60</v>
      </c>
      <c r="I9139" s="8" t="s">
        <v>27317</v>
      </c>
      <c r="J9139" s="8" t="s">
        <v>27318</v>
      </c>
    </row>
    <row r="9140">
      <c r="A9140" s="7">
        <v>2.0051229E7</v>
      </c>
      <c r="B9140" s="8" t="s">
        <v>2426</v>
      </c>
      <c r="C9140" s="8" t="s">
        <v>27319</v>
      </c>
      <c r="D9140" s="8" t="s">
        <v>16</v>
      </c>
      <c r="E9140" s="8" t="s">
        <v>17</v>
      </c>
      <c r="F9140" s="9">
        <v>46118.0</v>
      </c>
      <c r="G9140" s="8" t="s">
        <v>626</v>
      </c>
      <c r="H9140" s="8" t="s">
        <v>627</v>
      </c>
      <c r="I9140" s="8" t="s">
        <v>27320</v>
      </c>
      <c r="J9140" s="8" t="s">
        <v>27321</v>
      </c>
    </row>
    <row r="9141">
      <c r="A9141" s="7">
        <v>2.0047197E7</v>
      </c>
      <c r="B9141" s="8" t="s">
        <v>2426</v>
      </c>
      <c r="C9141" s="8" t="s">
        <v>27322</v>
      </c>
      <c r="D9141" s="8" t="s">
        <v>16</v>
      </c>
      <c r="E9141" s="8" t="s">
        <v>17</v>
      </c>
      <c r="F9141" s="9">
        <v>46125.0</v>
      </c>
      <c r="G9141" s="8" t="s">
        <v>220</v>
      </c>
      <c r="H9141" s="8" t="s">
        <v>221</v>
      </c>
      <c r="I9141" s="8" t="s">
        <v>27323</v>
      </c>
      <c r="J9141" s="8" t="s">
        <v>27324</v>
      </c>
    </row>
    <row r="9142">
      <c r="A9142" s="7">
        <v>2.0047197E7</v>
      </c>
      <c r="B9142" s="8" t="s">
        <v>2426</v>
      </c>
      <c r="C9142" s="8" t="s">
        <v>27322</v>
      </c>
      <c r="D9142" s="8" t="s">
        <v>16</v>
      </c>
      <c r="E9142" s="8" t="s">
        <v>17</v>
      </c>
      <c r="F9142" s="9">
        <v>46125.0</v>
      </c>
      <c r="G9142" s="8" t="s">
        <v>277</v>
      </c>
      <c r="H9142" s="8" t="s">
        <v>278</v>
      </c>
      <c r="I9142" s="8" t="s">
        <v>27325</v>
      </c>
      <c r="J9142" s="8" t="s">
        <v>27326</v>
      </c>
    </row>
    <row r="9143">
      <c r="A9143" s="7">
        <v>2.0049063E7</v>
      </c>
      <c r="B9143" s="8" t="s">
        <v>2426</v>
      </c>
      <c r="C9143" s="8" t="s">
        <v>27327</v>
      </c>
      <c r="D9143" s="8" t="s">
        <v>16</v>
      </c>
      <c r="E9143" s="8" t="s">
        <v>17</v>
      </c>
      <c r="F9143" s="9">
        <v>46111.0</v>
      </c>
      <c r="G9143" s="8" t="s">
        <v>543</v>
      </c>
      <c r="H9143" s="8" t="s">
        <v>544</v>
      </c>
      <c r="I9143" s="8" t="s">
        <v>27328</v>
      </c>
      <c r="J9143" s="8" t="s">
        <v>27329</v>
      </c>
    </row>
    <row r="9144">
      <c r="A9144" s="7">
        <v>2.0044674E7</v>
      </c>
      <c r="B9144" s="8" t="s">
        <v>2426</v>
      </c>
      <c r="C9144" s="8" t="s">
        <v>27330</v>
      </c>
      <c r="D9144" s="8" t="s">
        <v>16</v>
      </c>
      <c r="E9144" s="8" t="s">
        <v>17</v>
      </c>
      <c r="F9144" s="9">
        <v>46101.0</v>
      </c>
      <c r="G9144" s="8" t="s">
        <v>171</v>
      </c>
      <c r="H9144" s="8" t="s">
        <v>172</v>
      </c>
      <c r="I9144" s="8" t="s">
        <v>27331</v>
      </c>
      <c r="J9144" s="8" t="s">
        <v>27332</v>
      </c>
    </row>
    <row r="9145">
      <c r="A9145" s="7">
        <v>2.0041818E7</v>
      </c>
      <c r="B9145" s="8" t="s">
        <v>2426</v>
      </c>
      <c r="C9145" s="8" t="s">
        <v>27333</v>
      </c>
      <c r="D9145" s="8" t="s">
        <v>16</v>
      </c>
      <c r="E9145" s="8" t="s">
        <v>17</v>
      </c>
      <c r="F9145" s="9">
        <v>46088.0</v>
      </c>
      <c r="G9145" s="8" t="s">
        <v>1949</v>
      </c>
      <c r="H9145" s="8" t="s">
        <v>1950</v>
      </c>
      <c r="I9145" s="8" t="s">
        <v>27334</v>
      </c>
      <c r="J9145" s="8" t="s">
        <v>27335</v>
      </c>
    </row>
    <row r="9146">
      <c r="A9146" s="7">
        <v>2.0041818E7</v>
      </c>
      <c r="B9146" s="8" t="s">
        <v>2426</v>
      </c>
      <c r="C9146" s="8" t="s">
        <v>27333</v>
      </c>
      <c r="D9146" s="8" t="s">
        <v>16</v>
      </c>
      <c r="E9146" s="8" t="s">
        <v>17</v>
      </c>
      <c r="F9146" s="9">
        <v>46088.0</v>
      </c>
      <c r="G9146" s="8" t="s">
        <v>1949</v>
      </c>
      <c r="H9146" s="8" t="s">
        <v>1950</v>
      </c>
      <c r="I9146" s="8" t="s">
        <v>27336</v>
      </c>
      <c r="J9146" s="8" t="s">
        <v>27335</v>
      </c>
    </row>
    <row r="9147">
      <c r="A9147" s="7">
        <v>2.0036308E7</v>
      </c>
      <c r="B9147" s="8" t="s">
        <v>2426</v>
      </c>
      <c r="C9147" s="8" t="s">
        <v>27337</v>
      </c>
      <c r="D9147" s="8" t="s">
        <v>16</v>
      </c>
      <c r="E9147" s="8" t="s">
        <v>17</v>
      </c>
      <c r="F9147" s="9">
        <v>46070.0</v>
      </c>
      <c r="G9147" s="8" t="s">
        <v>1880</v>
      </c>
      <c r="H9147" s="8" t="s">
        <v>55</v>
      </c>
      <c r="I9147" s="8" t="s">
        <v>27338</v>
      </c>
      <c r="J9147" s="8" t="s">
        <v>27339</v>
      </c>
    </row>
    <row r="9148">
      <c r="A9148" s="7">
        <v>2.0036308E7</v>
      </c>
      <c r="B9148" s="8" t="s">
        <v>2426</v>
      </c>
      <c r="C9148" s="8" t="s">
        <v>27337</v>
      </c>
      <c r="D9148" s="8" t="s">
        <v>16</v>
      </c>
      <c r="E9148" s="8" t="s">
        <v>17</v>
      </c>
      <c r="F9148" s="9">
        <v>46070.0</v>
      </c>
      <c r="G9148" s="8" t="s">
        <v>7527</v>
      </c>
      <c r="H9148" s="8" t="s">
        <v>2969</v>
      </c>
      <c r="I9148" s="8" t="s">
        <v>27340</v>
      </c>
      <c r="J9148" s="8" t="s">
        <v>27341</v>
      </c>
    </row>
    <row r="9149">
      <c r="A9149" s="7">
        <v>2.0037316E7</v>
      </c>
      <c r="B9149" s="8" t="s">
        <v>2426</v>
      </c>
      <c r="C9149" s="8" t="s">
        <v>27342</v>
      </c>
      <c r="D9149" s="8" t="s">
        <v>16</v>
      </c>
      <c r="E9149" s="8" t="s">
        <v>17</v>
      </c>
      <c r="F9149" s="9">
        <v>46053.0</v>
      </c>
      <c r="G9149" s="8" t="s">
        <v>365</v>
      </c>
      <c r="H9149" s="8" t="s">
        <v>366</v>
      </c>
      <c r="I9149" s="8" t="s">
        <v>27343</v>
      </c>
      <c r="J9149" s="8" t="s">
        <v>27344</v>
      </c>
    </row>
    <row r="9150">
      <c r="A9150" s="7">
        <v>2.0037041E7</v>
      </c>
      <c r="B9150" s="8" t="s">
        <v>2426</v>
      </c>
      <c r="C9150" s="8" t="s">
        <v>27345</v>
      </c>
      <c r="D9150" s="8" t="s">
        <v>16</v>
      </c>
      <c r="E9150" s="8" t="s">
        <v>4243</v>
      </c>
      <c r="F9150" s="9">
        <v>46052.0</v>
      </c>
      <c r="G9150" s="8" t="s">
        <v>3812</v>
      </c>
      <c r="H9150" s="8" t="s">
        <v>3813</v>
      </c>
      <c r="I9150" s="8" t="s">
        <v>27346</v>
      </c>
      <c r="J9150" s="8" t="s">
        <v>27347</v>
      </c>
    </row>
    <row r="9151">
      <c r="A9151" s="7">
        <v>2.0037041E7</v>
      </c>
      <c r="B9151" s="8" t="s">
        <v>2426</v>
      </c>
      <c r="C9151" s="8" t="s">
        <v>27345</v>
      </c>
      <c r="D9151" s="8" t="s">
        <v>16</v>
      </c>
      <c r="E9151" s="8" t="s">
        <v>4243</v>
      </c>
      <c r="F9151" s="9">
        <v>46052.0</v>
      </c>
      <c r="G9151" s="8" t="s">
        <v>3572</v>
      </c>
      <c r="H9151" s="8" t="s">
        <v>3573</v>
      </c>
      <c r="I9151" s="8" t="s">
        <v>27348</v>
      </c>
      <c r="J9151" s="8" t="s">
        <v>27349</v>
      </c>
    </row>
    <row r="9152">
      <c r="A9152" s="7">
        <v>2.0031452E7</v>
      </c>
      <c r="B9152" s="8" t="s">
        <v>2426</v>
      </c>
      <c r="C9152" s="8" t="s">
        <v>27350</v>
      </c>
      <c r="D9152" s="8" t="s">
        <v>16</v>
      </c>
      <c r="E9152" s="8" t="s">
        <v>17</v>
      </c>
      <c r="F9152" s="9">
        <v>46059.0</v>
      </c>
      <c r="G9152" s="8" t="s">
        <v>385</v>
      </c>
      <c r="H9152" s="8" t="s">
        <v>386</v>
      </c>
      <c r="I9152" s="8" t="s">
        <v>27351</v>
      </c>
      <c r="J9152" s="8" t="s">
        <v>27352</v>
      </c>
    </row>
    <row r="9153">
      <c r="A9153" s="7">
        <v>2.0035005E7</v>
      </c>
      <c r="B9153" s="8" t="s">
        <v>2426</v>
      </c>
      <c r="C9153" s="8" t="s">
        <v>27353</v>
      </c>
      <c r="D9153" s="8" t="s">
        <v>16</v>
      </c>
      <c r="E9153" s="8" t="s">
        <v>17</v>
      </c>
      <c r="F9153" s="9">
        <v>46066.0</v>
      </c>
      <c r="G9153" s="8" t="s">
        <v>171</v>
      </c>
      <c r="H9153" s="8" t="s">
        <v>172</v>
      </c>
      <c r="I9153" s="8" t="s">
        <v>27354</v>
      </c>
      <c r="J9153" s="8" t="s">
        <v>27355</v>
      </c>
    </row>
    <row r="9154">
      <c r="A9154" s="7">
        <v>2.0067221E7</v>
      </c>
      <c r="B9154" s="8" t="s">
        <v>2426</v>
      </c>
      <c r="C9154" s="8" t="s">
        <v>27356</v>
      </c>
      <c r="D9154" s="8" t="s">
        <v>16</v>
      </c>
      <c r="E9154" s="8" t="s">
        <v>17</v>
      </c>
      <c r="F9154" s="9">
        <v>46183.0</v>
      </c>
      <c r="G9154" s="8" t="s">
        <v>6072</v>
      </c>
      <c r="H9154" s="8" t="s">
        <v>6073</v>
      </c>
      <c r="I9154" s="8" t="s">
        <v>27357</v>
      </c>
      <c r="J9154" s="8" t="s">
        <v>27358</v>
      </c>
    </row>
    <row r="9155">
      <c r="A9155" s="7">
        <v>2.0064064E7</v>
      </c>
      <c r="B9155" s="8" t="s">
        <v>2426</v>
      </c>
      <c r="C9155" s="8" t="s">
        <v>27359</v>
      </c>
      <c r="D9155" s="8" t="s">
        <v>16</v>
      </c>
      <c r="E9155" s="8" t="s">
        <v>17</v>
      </c>
      <c r="F9155" s="9">
        <v>46186.0</v>
      </c>
      <c r="G9155" s="8" t="s">
        <v>171</v>
      </c>
      <c r="H9155" s="8" t="s">
        <v>172</v>
      </c>
      <c r="I9155" s="8" t="s">
        <v>27360</v>
      </c>
      <c r="J9155" s="8" t="s">
        <v>27361</v>
      </c>
    </row>
    <row r="9156">
      <c r="A9156" s="7">
        <v>2.0058221E7</v>
      </c>
      <c r="B9156" s="8" t="s">
        <v>2426</v>
      </c>
      <c r="C9156" s="8" t="s">
        <v>27362</v>
      </c>
      <c r="D9156" s="8" t="s">
        <v>16</v>
      </c>
      <c r="E9156" s="8" t="s">
        <v>17</v>
      </c>
      <c r="F9156" s="9">
        <v>46189.0</v>
      </c>
      <c r="G9156" s="8" t="s">
        <v>158</v>
      </c>
      <c r="H9156" s="8" t="s">
        <v>159</v>
      </c>
      <c r="I9156" s="8" t="s">
        <v>27363</v>
      </c>
      <c r="J9156" s="8" t="s">
        <v>27364</v>
      </c>
    </row>
    <row r="9157">
      <c r="A9157" s="7">
        <v>2.0048167E7</v>
      </c>
      <c r="B9157" s="8" t="s">
        <v>2426</v>
      </c>
      <c r="C9157" s="8" t="s">
        <v>27365</v>
      </c>
      <c r="D9157" s="8" t="s">
        <v>16</v>
      </c>
      <c r="E9157" s="8" t="s">
        <v>17</v>
      </c>
      <c r="F9157" s="9">
        <v>46123.0</v>
      </c>
      <c r="G9157" s="8" t="s">
        <v>873</v>
      </c>
      <c r="H9157" s="8" t="s">
        <v>874</v>
      </c>
      <c r="I9157" s="8" t="s">
        <v>27366</v>
      </c>
      <c r="J9157" s="8" t="s">
        <v>27367</v>
      </c>
    </row>
    <row r="9158">
      <c r="A9158" s="7">
        <v>2.005211E7</v>
      </c>
      <c r="B9158" s="8" t="s">
        <v>2426</v>
      </c>
      <c r="C9158" s="8" t="s">
        <v>27368</v>
      </c>
      <c r="D9158" s="8" t="s">
        <v>16</v>
      </c>
      <c r="E9158" s="8" t="s">
        <v>17</v>
      </c>
      <c r="F9158" s="9">
        <v>46126.0</v>
      </c>
      <c r="G9158" s="8" t="s">
        <v>1537</v>
      </c>
      <c r="H9158" s="8" t="s">
        <v>1538</v>
      </c>
      <c r="I9158" s="8" t="s">
        <v>27369</v>
      </c>
      <c r="J9158" s="8" t="s">
        <v>27370</v>
      </c>
    </row>
    <row r="9159">
      <c r="A9159" s="7">
        <v>2.0051854E7</v>
      </c>
      <c r="B9159" s="8" t="s">
        <v>2426</v>
      </c>
      <c r="C9159" s="8" t="s">
        <v>27371</v>
      </c>
      <c r="D9159" s="8" t="s">
        <v>16</v>
      </c>
      <c r="E9159" s="8" t="s">
        <v>17</v>
      </c>
      <c r="F9159" s="9">
        <v>46130.0</v>
      </c>
      <c r="G9159" s="8" t="s">
        <v>492</v>
      </c>
      <c r="H9159" s="8" t="s">
        <v>493</v>
      </c>
      <c r="I9159" s="8" t="s">
        <v>27372</v>
      </c>
      <c r="J9159" s="8" t="s">
        <v>27373</v>
      </c>
    </row>
    <row r="9160">
      <c r="A9160" s="7">
        <v>2.0048416E7</v>
      </c>
      <c r="B9160" s="8" t="s">
        <v>2426</v>
      </c>
      <c r="C9160" s="8" t="s">
        <v>27374</v>
      </c>
      <c r="D9160" s="8" t="s">
        <v>16</v>
      </c>
      <c r="E9160" s="8" t="s">
        <v>17</v>
      </c>
      <c r="F9160" s="9">
        <v>46110.0</v>
      </c>
      <c r="G9160" s="8" t="s">
        <v>59</v>
      </c>
      <c r="H9160" s="8" t="s">
        <v>60</v>
      </c>
      <c r="I9160" s="8" t="s">
        <v>27375</v>
      </c>
      <c r="J9160" s="8" t="s">
        <v>27376</v>
      </c>
    </row>
    <row r="9161">
      <c r="A9161" s="7">
        <v>2.0048739E7</v>
      </c>
      <c r="B9161" s="8" t="s">
        <v>2426</v>
      </c>
      <c r="C9161" s="8" t="s">
        <v>27377</v>
      </c>
      <c r="D9161" s="8" t="s">
        <v>16</v>
      </c>
      <c r="E9161" s="8" t="s">
        <v>17</v>
      </c>
      <c r="F9161" s="9">
        <v>46116.0</v>
      </c>
      <c r="G9161" s="8" t="s">
        <v>370</v>
      </c>
      <c r="H9161" s="8" t="s">
        <v>371</v>
      </c>
      <c r="I9161" s="8" t="s">
        <v>27378</v>
      </c>
      <c r="J9161" s="8" t="s">
        <v>27379</v>
      </c>
    </row>
    <row r="9162">
      <c r="A9162" s="7">
        <v>2.0045337E7</v>
      </c>
      <c r="B9162" s="8" t="s">
        <v>2426</v>
      </c>
      <c r="C9162" s="8" t="s">
        <v>27380</v>
      </c>
      <c r="D9162" s="8" t="s">
        <v>16</v>
      </c>
      <c r="E9162" s="8" t="s">
        <v>17</v>
      </c>
      <c r="F9162" s="9">
        <v>46099.0</v>
      </c>
      <c r="G9162" s="8" t="s">
        <v>59</v>
      </c>
      <c r="H9162" s="8" t="s">
        <v>60</v>
      </c>
      <c r="I9162" s="8" t="s">
        <v>27381</v>
      </c>
      <c r="J9162" s="8" t="s">
        <v>27382</v>
      </c>
    </row>
    <row r="9163">
      <c r="A9163" s="7">
        <v>2.0045801E7</v>
      </c>
      <c r="B9163" s="8" t="s">
        <v>2426</v>
      </c>
      <c r="C9163" s="8" t="s">
        <v>27383</v>
      </c>
      <c r="D9163" s="8" t="s">
        <v>16</v>
      </c>
      <c r="E9163" s="8" t="s">
        <v>17</v>
      </c>
      <c r="F9163" s="9">
        <v>46099.0</v>
      </c>
      <c r="G9163" s="8" t="s">
        <v>15258</v>
      </c>
      <c r="H9163" s="8" t="s">
        <v>15259</v>
      </c>
      <c r="I9163" s="8" t="s">
        <v>27384</v>
      </c>
      <c r="J9163" s="8" t="s">
        <v>27385</v>
      </c>
    </row>
    <row r="9164">
      <c r="A9164" s="7">
        <v>2.0042833E7</v>
      </c>
      <c r="B9164" s="8" t="s">
        <v>2426</v>
      </c>
      <c r="C9164" s="8" t="s">
        <v>27386</v>
      </c>
      <c r="D9164" s="8" t="s">
        <v>16</v>
      </c>
      <c r="E9164" s="8" t="s">
        <v>17</v>
      </c>
      <c r="F9164" s="9">
        <v>46094.0</v>
      </c>
      <c r="G9164" s="8" t="s">
        <v>27387</v>
      </c>
      <c r="H9164" s="8" t="s">
        <v>27388</v>
      </c>
      <c r="I9164" s="8" t="s">
        <v>27389</v>
      </c>
      <c r="J9164" s="8" t="s">
        <v>27390</v>
      </c>
    </row>
    <row r="9165">
      <c r="A9165" s="7">
        <v>2.0042881E7</v>
      </c>
      <c r="B9165" s="8" t="s">
        <v>2426</v>
      </c>
      <c r="C9165" s="8" t="s">
        <v>27391</v>
      </c>
      <c r="D9165" s="8" t="s">
        <v>16</v>
      </c>
      <c r="E9165" s="8" t="s">
        <v>17</v>
      </c>
      <c r="F9165" s="9">
        <v>46087.0</v>
      </c>
      <c r="G9165" s="8" t="s">
        <v>543</v>
      </c>
      <c r="H9165" s="8" t="s">
        <v>544</v>
      </c>
      <c r="I9165" s="8" t="s">
        <v>27392</v>
      </c>
      <c r="J9165" s="8" t="s">
        <v>26669</v>
      </c>
    </row>
    <row r="9166">
      <c r="A9166" s="7">
        <v>2.0038978E7</v>
      </c>
      <c r="B9166" s="8" t="s">
        <v>2426</v>
      </c>
      <c r="C9166" s="8" t="s">
        <v>27393</v>
      </c>
      <c r="D9166" s="8" t="s">
        <v>16</v>
      </c>
      <c r="E9166" s="8" t="s">
        <v>17</v>
      </c>
      <c r="F9166" s="9">
        <v>46068.0</v>
      </c>
      <c r="G9166" s="8" t="s">
        <v>1557</v>
      </c>
      <c r="H9166" s="8" t="s">
        <v>1558</v>
      </c>
      <c r="I9166" s="8" t="s">
        <v>27394</v>
      </c>
      <c r="J9166" s="8" t="s">
        <v>27395</v>
      </c>
    </row>
    <row r="9167">
      <c r="A9167" s="7">
        <v>2.0032582E7</v>
      </c>
      <c r="B9167" s="8" t="s">
        <v>2426</v>
      </c>
      <c r="C9167" s="8" t="s">
        <v>27396</v>
      </c>
      <c r="D9167" s="8" t="s">
        <v>16</v>
      </c>
      <c r="E9167" s="8" t="s">
        <v>17</v>
      </c>
      <c r="F9167" s="9">
        <v>46061.0</v>
      </c>
      <c r="G9167" s="8" t="s">
        <v>846</v>
      </c>
      <c r="H9167" s="8" t="s">
        <v>847</v>
      </c>
      <c r="I9167" s="8" t="s">
        <v>27397</v>
      </c>
      <c r="J9167" s="8" t="s">
        <v>27398</v>
      </c>
    </row>
    <row r="9168">
      <c r="A9168" s="7">
        <v>2.0032582E7</v>
      </c>
      <c r="B9168" s="8" t="s">
        <v>2426</v>
      </c>
      <c r="C9168" s="8" t="s">
        <v>27396</v>
      </c>
      <c r="D9168" s="8" t="s">
        <v>16</v>
      </c>
      <c r="E9168" s="8" t="s">
        <v>17</v>
      </c>
      <c r="F9168" s="9">
        <v>46061.0</v>
      </c>
      <c r="G9168" s="8" t="s">
        <v>1888</v>
      </c>
      <c r="H9168" s="8" t="s">
        <v>1889</v>
      </c>
      <c r="I9168" s="8" t="s">
        <v>27399</v>
      </c>
      <c r="J9168" s="8" t="s">
        <v>27400</v>
      </c>
    </row>
    <row r="9169">
      <c r="A9169" s="7">
        <v>2.006431E7</v>
      </c>
      <c r="B9169" s="8" t="s">
        <v>2426</v>
      </c>
      <c r="C9169" s="8" t="s">
        <v>27401</v>
      </c>
      <c r="D9169" s="8" t="s">
        <v>16</v>
      </c>
      <c r="E9169" s="8" t="s">
        <v>17</v>
      </c>
      <c r="F9169" s="9">
        <v>46184.0</v>
      </c>
      <c r="G9169" s="8" t="s">
        <v>59</v>
      </c>
      <c r="H9169" s="8" t="s">
        <v>60</v>
      </c>
      <c r="I9169" s="8" t="s">
        <v>27402</v>
      </c>
      <c r="J9169" s="8" t="s">
        <v>27403</v>
      </c>
    </row>
    <row r="9170">
      <c r="A9170" s="7">
        <v>2.0067646E7</v>
      </c>
      <c r="B9170" s="8" t="s">
        <v>2426</v>
      </c>
      <c r="C9170" s="8" t="s">
        <v>27404</v>
      </c>
      <c r="D9170" s="8" t="s">
        <v>16</v>
      </c>
      <c r="E9170" s="8" t="s">
        <v>17</v>
      </c>
      <c r="F9170" s="9">
        <v>46184.0</v>
      </c>
      <c r="G9170" s="8" t="s">
        <v>234</v>
      </c>
      <c r="H9170" s="8" t="s">
        <v>235</v>
      </c>
      <c r="I9170" s="8" t="s">
        <v>27405</v>
      </c>
      <c r="J9170" s="8" t="s">
        <v>27406</v>
      </c>
    </row>
    <row r="9171">
      <c r="A9171" s="7">
        <v>2.0061075E7</v>
      </c>
      <c r="B9171" s="8" t="s">
        <v>2426</v>
      </c>
      <c r="C9171" s="8" t="s">
        <v>27407</v>
      </c>
      <c r="D9171" s="8" t="s">
        <v>16</v>
      </c>
      <c r="E9171" s="8" t="s">
        <v>17</v>
      </c>
      <c r="F9171" s="9">
        <v>46162.0</v>
      </c>
      <c r="G9171" s="8" t="s">
        <v>59</v>
      </c>
      <c r="H9171" s="8" t="s">
        <v>60</v>
      </c>
      <c r="I9171" s="8" t="s">
        <v>27408</v>
      </c>
      <c r="J9171" s="8" t="s">
        <v>27409</v>
      </c>
    </row>
    <row r="9172">
      <c r="A9172" s="7">
        <v>2.0061034E7</v>
      </c>
      <c r="B9172" s="8" t="s">
        <v>2426</v>
      </c>
      <c r="C9172" s="8" t="s">
        <v>27410</v>
      </c>
      <c r="D9172" s="8" t="s">
        <v>16</v>
      </c>
      <c r="E9172" s="8" t="s">
        <v>17</v>
      </c>
      <c r="F9172" s="9">
        <v>46184.0</v>
      </c>
      <c r="G9172" s="8" t="s">
        <v>1616</v>
      </c>
      <c r="H9172" s="8" t="s">
        <v>1617</v>
      </c>
      <c r="I9172" s="8" t="s">
        <v>27411</v>
      </c>
      <c r="J9172" s="8" t="s">
        <v>27412</v>
      </c>
    </row>
    <row r="9173">
      <c r="A9173" s="7">
        <v>2.0058952E7</v>
      </c>
      <c r="B9173" s="8" t="s">
        <v>2426</v>
      </c>
      <c r="C9173" s="8" t="s">
        <v>27413</v>
      </c>
      <c r="D9173" s="8" t="s">
        <v>16</v>
      </c>
      <c r="E9173" s="8" t="s">
        <v>17</v>
      </c>
      <c r="F9173" s="9">
        <v>46151.0</v>
      </c>
      <c r="G9173" s="8" t="s">
        <v>13468</v>
      </c>
      <c r="H9173" s="8" t="s">
        <v>13469</v>
      </c>
      <c r="I9173" s="8" t="s">
        <v>27414</v>
      </c>
      <c r="J9173" s="8" t="s">
        <v>27415</v>
      </c>
    </row>
    <row r="9174">
      <c r="A9174" s="7">
        <v>2.0057624E7</v>
      </c>
      <c r="B9174" s="8" t="s">
        <v>2426</v>
      </c>
      <c r="C9174" s="8" t="s">
        <v>27416</v>
      </c>
      <c r="D9174" s="8" t="s">
        <v>16</v>
      </c>
      <c r="E9174" s="8" t="s">
        <v>17</v>
      </c>
      <c r="F9174" s="9">
        <v>46182.0</v>
      </c>
      <c r="G9174" s="8" t="s">
        <v>10160</v>
      </c>
      <c r="H9174" s="8" t="s">
        <v>10161</v>
      </c>
      <c r="I9174" s="8" t="s">
        <v>27417</v>
      </c>
      <c r="J9174" s="8" t="s">
        <v>27418</v>
      </c>
    </row>
    <row r="9175">
      <c r="A9175" s="7">
        <v>2.0048926E7</v>
      </c>
      <c r="B9175" s="8" t="s">
        <v>2426</v>
      </c>
      <c r="C9175" s="8" t="s">
        <v>27419</v>
      </c>
      <c r="D9175" s="8" t="s">
        <v>16</v>
      </c>
      <c r="E9175" s="8" t="s">
        <v>17</v>
      </c>
      <c r="F9175" s="9">
        <v>46119.0</v>
      </c>
      <c r="G9175" s="8" t="s">
        <v>1049</v>
      </c>
      <c r="H9175" s="8" t="s">
        <v>1050</v>
      </c>
      <c r="I9175" s="8" t="s">
        <v>27420</v>
      </c>
      <c r="J9175" s="8" t="s">
        <v>27421</v>
      </c>
    </row>
    <row r="9176">
      <c r="A9176" s="7">
        <v>2.0048175E7</v>
      </c>
      <c r="B9176" s="8" t="s">
        <v>2426</v>
      </c>
      <c r="C9176" s="8" t="s">
        <v>27422</v>
      </c>
      <c r="D9176" s="8" t="s">
        <v>16</v>
      </c>
      <c r="E9176" s="8" t="s">
        <v>17</v>
      </c>
      <c r="F9176" s="9">
        <v>46112.0</v>
      </c>
      <c r="G9176" s="8" t="s">
        <v>414</v>
      </c>
      <c r="H9176" s="8" t="s">
        <v>415</v>
      </c>
      <c r="I9176" s="8" t="s">
        <v>27423</v>
      </c>
      <c r="J9176" s="8" t="s">
        <v>27424</v>
      </c>
    </row>
    <row r="9177">
      <c r="A9177" s="7">
        <v>2.0042354E7</v>
      </c>
      <c r="B9177" s="8" t="s">
        <v>2426</v>
      </c>
      <c r="C9177" s="8" t="s">
        <v>27425</v>
      </c>
      <c r="D9177" s="8" t="s">
        <v>16</v>
      </c>
      <c r="E9177" s="8" t="s">
        <v>17</v>
      </c>
      <c r="F9177" s="9">
        <v>46098.0</v>
      </c>
      <c r="G9177" s="8" t="s">
        <v>436</v>
      </c>
      <c r="H9177" s="8" t="s">
        <v>437</v>
      </c>
      <c r="I9177" s="8" t="s">
        <v>27426</v>
      </c>
      <c r="J9177" s="8" t="s">
        <v>27427</v>
      </c>
    </row>
    <row r="9178">
      <c r="A9178" s="7">
        <v>2.0043426E7</v>
      </c>
      <c r="B9178" s="8" t="s">
        <v>2426</v>
      </c>
      <c r="C9178" s="8" t="s">
        <v>27428</v>
      </c>
      <c r="D9178" s="8" t="s">
        <v>16</v>
      </c>
      <c r="E9178" s="8" t="s">
        <v>17</v>
      </c>
      <c r="F9178" s="9">
        <v>46085.0</v>
      </c>
      <c r="G9178" s="8" t="s">
        <v>220</v>
      </c>
      <c r="H9178" s="8" t="s">
        <v>221</v>
      </c>
      <c r="I9178" s="8" t="s">
        <v>27429</v>
      </c>
      <c r="J9178" s="8" t="s">
        <v>27430</v>
      </c>
    </row>
    <row r="9179">
      <c r="A9179" s="7">
        <v>2.0041686E7</v>
      </c>
      <c r="B9179" s="8" t="s">
        <v>2426</v>
      </c>
      <c r="C9179" s="8" t="s">
        <v>27431</v>
      </c>
      <c r="D9179" s="8" t="s">
        <v>16</v>
      </c>
      <c r="E9179" s="8" t="s">
        <v>17</v>
      </c>
      <c r="F9179" s="9">
        <v>46092.0</v>
      </c>
      <c r="G9179" s="8" t="s">
        <v>390</v>
      </c>
      <c r="H9179" s="8" t="s">
        <v>391</v>
      </c>
      <c r="I9179" s="8" t="s">
        <v>27432</v>
      </c>
      <c r="J9179" s="8" t="s">
        <v>27433</v>
      </c>
    </row>
    <row r="9180">
      <c r="A9180" s="7">
        <v>2.0041917E7</v>
      </c>
      <c r="B9180" s="8" t="s">
        <v>2426</v>
      </c>
      <c r="C9180" s="8" t="s">
        <v>27434</v>
      </c>
      <c r="D9180" s="8" t="s">
        <v>16</v>
      </c>
      <c r="E9180" s="8" t="s">
        <v>17</v>
      </c>
      <c r="F9180" s="9">
        <v>46081.0</v>
      </c>
      <c r="G9180" s="8" t="s">
        <v>247</v>
      </c>
      <c r="H9180" s="8" t="s">
        <v>248</v>
      </c>
      <c r="I9180" s="8" t="s">
        <v>27435</v>
      </c>
      <c r="J9180" s="8" t="s">
        <v>27436</v>
      </c>
    </row>
    <row r="9181">
      <c r="A9181" s="7">
        <v>2.0040307E7</v>
      </c>
      <c r="B9181" s="8" t="s">
        <v>2426</v>
      </c>
      <c r="C9181" s="8" t="s">
        <v>27437</v>
      </c>
      <c r="D9181" s="8" t="s">
        <v>16</v>
      </c>
      <c r="E9181" s="8" t="s">
        <v>17</v>
      </c>
      <c r="F9181" s="9">
        <v>46084.0</v>
      </c>
      <c r="G9181" s="8" t="s">
        <v>410</v>
      </c>
      <c r="H9181" s="8" t="s">
        <v>411</v>
      </c>
      <c r="I9181" s="8" t="s">
        <v>27438</v>
      </c>
      <c r="J9181" s="8" t="s">
        <v>27439</v>
      </c>
    </row>
    <row r="9182">
      <c r="A9182" s="7">
        <v>2.0039207E7</v>
      </c>
      <c r="B9182" s="8" t="s">
        <v>2426</v>
      </c>
      <c r="C9182" s="8" t="s">
        <v>27440</v>
      </c>
      <c r="D9182" s="8" t="s">
        <v>16</v>
      </c>
      <c r="E9182" s="8" t="s">
        <v>17</v>
      </c>
      <c r="F9182" s="9">
        <v>46078.0</v>
      </c>
      <c r="G9182" s="8" t="s">
        <v>13971</v>
      </c>
      <c r="H9182" s="8" t="s">
        <v>13972</v>
      </c>
      <c r="I9182" s="8" t="s">
        <v>27441</v>
      </c>
      <c r="J9182" s="8" t="s">
        <v>27442</v>
      </c>
    </row>
    <row r="9183">
      <c r="A9183" s="7">
        <v>2.0036568E7</v>
      </c>
      <c r="B9183" s="8" t="s">
        <v>2426</v>
      </c>
      <c r="C9183" s="8" t="s">
        <v>27443</v>
      </c>
      <c r="D9183" s="8" t="s">
        <v>16</v>
      </c>
      <c r="E9183" s="8" t="s">
        <v>17</v>
      </c>
      <c r="F9183" s="9">
        <v>46053.0</v>
      </c>
      <c r="G9183" s="8" t="s">
        <v>91</v>
      </c>
      <c r="H9183" s="8" t="s">
        <v>92</v>
      </c>
      <c r="I9183" s="8" t="s">
        <v>27444</v>
      </c>
      <c r="J9183" s="8" t="s">
        <v>27445</v>
      </c>
    </row>
    <row r="9184">
      <c r="A9184" s="7">
        <v>2.0032189E7</v>
      </c>
      <c r="B9184" s="8" t="s">
        <v>2426</v>
      </c>
      <c r="C9184" s="8" t="s">
        <v>27446</v>
      </c>
      <c r="D9184" s="8" t="s">
        <v>16</v>
      </c>
      <c r="E9184" s="8" t="s">
        <v>17</v>
      </c>
      <c r="F9184" s="9">
        <v>46053.0</v>
      </c>
      <c r="G9184" s="8" t="s">
        <v>365</v>
      </c>
      <c r="H9184" s="8" t="s">
        <v>366</v>
      </c>
      <c r="I9184" s="8" t="s">
        <v>27447</v>
      </c>
      <c r="J9184" s="8" t="s">
        <v>27448</v>
      </c>
    </row>
    <row r="9185">
      <c r="A9185" s="7">
        <v>2.0032094E7</v>
      </c>
      <c r="B9185" s="8" t="s">
        <v>2426</v>
      </c>
      <c r="C9185" s="8" t="s">
        <v>27449</v>
      </c>
      <c r="D9185" s="8" t="s">
        <v>16</v>
      </c>
      <c r="E9185" s="8" t="s">
        <v>17</v>
      </c>
      <c r="F9185" s="9">
        <v>46051.0</v>
      </c>
      <c r="G9185" s="8" t="s">
        <v>365</v>
      </c>
      <c r="H9185" s="8" t="s">
        <v>366</v>
      </c>
      <c r="I9185" s="8" t="s">
        <v>27450</v>
      </c>
      <c r="J9185" s="8" t="s">
        <v>27451</v>
      </c>
    </row>
    <row r="9186">
      <c r="A9186" s="7">
        <v>2.0030913E7</v>
      </c>
      <c r="B9186" s="8" t="s">
        <v>2426</v>
      </c>
      <c r="C9186" s="8" t="s">
        <v>27452</v>
      </c>
      <c r="D9186" s="8" t="s">
        <v>16</v>
      </c>
      <c r="E9186" s="8" t="s">
        <v>17</v>
      </c>
      <c r="F9186" s="9">
        <v>46051.0</v>
      </c>
      <c r="G9186" s="8" t="s">
        <v>385</v>
      </c>
      <c r="H9186" s="8" t="s">
        <v>386</v>
      </c>
      <c r="I9186" s="8" t="s">
        <v>27453</v>
      </c>
      <c r="J9186" s="8" t="s">
        <v>27454</v>
      </c>
    </row>
    <row r="9187">
      <c r="A9187" s="7">
        <v>2.0069842E7</v>
      </c>
      <c r="B9187" s="8" t="s">
        <v>2426</v>
      </c>
      <c r="C9187" s="8" t="s">
        <v>27455</v>
      </c>
      <c r="D9187" s="8" t="s">
        <v>16</v>
      </c>
      <c r="E9187" s="8" t="s">
        <v>17</v>
      </c>
      <c r="F9187" s="9">
        <v>46193.0</v>
      </c>
      <c r="G9187" s="8" t="s">
        <v>273</v>
      </c>
      <c r="H9187" s="8" t="s">
        <v>274</v>
      </c>
      <c r="I9187" s="8" t="s">
        <v>27456</v>
      </c>
      <c r="J9187" s="8" t="s">
        <v>27457</v>
      </c>
    </row>
    <row r="9188">
      <c r="A9188" s="7">
        <v>2.0068635E7</v>
      </c>
      <c r="B9188" s="8" t="s">
        <v>2426</v>
      </c>
      <c r="C9188" s="8" t="s">
        <v>27458</v>
      </c>
      <c r="D9188" s="8" t="s">
        <v>16</v>
      </c>
      <c r="E9188" s="8" t="s">
        <v>17</v>
      </c>
      <c r="F9188" s="9">
        <v>46191.0</v>
      </c>
      <c r="G9188" s="8" t="s">
        <v>59</v>
      </c>
      <c r="H9188" s="8" t="s">
        <v>60</v>
      </c>
      <c r="I9188" s="8" t="s">
        <v>27459</v>
      </c>
      <c r="J9188" s="8" t="s">
        <v>27460</v>
      </c>
    </row>
    <row r="9189">
      <c r="A9189" s="7">
        <v>2.0064709E7</v>
      </c>
      <c r="B9189" s="8" t="s">
        <v>2426</v>
      </c>
      <c r="C9189" s="8" t="s">
        <v>27461</v>
      </c>
      <c r="D9189" s="8" t="s">
        <v>16</v>
      </c>
      <c r="E9189" s="8" t="s">
        <v>17</v>
      </c>
      <c r="F9189" s="9">
        <v>46172.0</v>
      </c>
      <c r="G9189" s="8" t="s">
        <v>247</v>
      </c>
      <c r="H9189" s="8" t="s">
        <v>248</v>
      </c>
      <c r="I9189" s="8" t="s">
        <v>27462</v>
      </c>
      <c r="J9189" s="8" t="s">
        <v>27463</v>
      </c>
    </row>
    <row r="9190">
      <c r="A9190" s="7">
        <v>2.0063745E7</v>
      </c>
      <c r="B9190" s="8" t="s">
        <v>2426</v>
      </c>
      <c r="C9190" s="8" t="s">
        <v>27464</v>
      </c>
      <c r="D9190" s="8" t="s">
        <v>16</v>
      </c>
      <c r="E9190" s="8" t="s">
        <v>17</v>
      </c>
      <c r="F9190" s="9">
        <v>46187.0</v>
      </c>
      <c r="G9190" s="8" t="s">
        <v>436</v>
      </c>
      <c r="H9190" s="8" t="s">
        <v>437</v>
      </c>
      <c r="I9190" s="8" t="s">
        <v>27465</v>
      </c>
      <c r="J9190" s="8" t="s">
        <v>27466</v>
      </c>
    </row>
    <row r="9191">
      <c r="A9191" s="7">
        <v>2.0059017E7</v>
      </c>
      <c r="B9191" s="8" t="s">
        <v>2426</v>
      </c>
      <c r="C9191" s="8" t="s">
        <v>27467</v>
      </c>
      <c r="D9191" s="8" t="s">
        <v>16</v>
      </c>
      <c r="E9191" s="8" t="s">
        <v>17</v>
      </c>
      <c r="F9191" s="9">
        <v>46184.0</v>
      </c>
      <c r="G9191" s="8" t="s">
        <v>666</v>
      </c>
      <c r="H9191" s="8" t="s">
        <v>667</v>
      </c>
      <c r="I9191" s="8" t="s">
        <v>27468</v>
      </c>
      <c r="J9191" s="8" t="s">
        <v>27469</v>
      </c>
    </row>
    <row r="9192">
      <c r="A9192" s="7">
        <v>2.0060846E7</v>
      </c>
      <c r="B9192" s="8" t="s">
        <v>2426</v>
      </c>
      <c r="C9192" s="8" t="s">
        <v>27470</v>
      </c>
      <c r="D9192" s="8" t="s">
        <v>16</v>
      </c>
      <c r="E9192" s="8" t="s">
        <v>17</v>
      </c>
      <c r="F9192" s="9">
        <v>46182.0</v>
      </c>
      <c r="G9192" s="8" t="s">
        <v>171</v>
      </c>
      <c r="H9192" s="8" t="s">
        <v>172</v>
      </c>
      <c r="I9192" s="8" t="s">
        <v>27471</v>
      </c>
      <c r="J9192" s="8" t="s">
        <v>27472</v>
      </c>
    </row>
    <row r="9193">
      <c r="A9193" s="7">
        <v>2.0060197E7</v>
      </c>
      <c r="B9193" s="8" t="s">
        <v>2426</v>
      </c>
      <c r="C9193" s="8" t="s">
        <v>27473</v>
      </c>
      <c r="D9193" s="8" t="s">
        <v>16</v>
      </c>
      <c r="E9193" s="8" t="s">
        <v>17</v>
      </c>
      <c r="F9193" s="9">
        <v>46186.0</v>
      </c>
      <c r="G9193" s="8" t="s">
        <v>1627</v>
      </c>
      <c r="H9193" s="8" t="s">
        <v>1628</v>
      </c>
      <c r="I9193" s="8" t="s">
        <v>27474</v>
      </c>
      <c r="J9193" s="8" t="s">
        <v>27475</v>
      </c>
    </row>
    <row r="9194">
      <c r="A9194" s="7">
        <v>2.0057259E7</v>
      </c>
      <c r="B9194" s="8" t="s">
        <v>2426</v>
      </c>
      <c r="C9194" s="8" t="s">
        <v>27476</v>
      </c>
      <c r="D9194" s="8" t="s">
        <v>16</v>
      </c>
      <c r="E9194" s="8" t="s">
        <v>17</v>
      </c>
      <c r="F9194" s="9">
        <v>46154.0</v>
      </c>
      <c r="G9194" s="8" t="s">
        <v>158</v>
      </c>
      <c r="H9194" s="8" t="s">
        <v>159</v>
      </c>
      <c r="I9194" s="8" t="s">
        <v>27477</v>
      </c>
      <c r="J9194" s="8" t="s">
        <v>27478</v>
      </c>
    </row>
    <row r="9195">
      <c r="A9195" s="7">
        <v>2.0056679E7</v>
      </c>
      <c r="B9195" s="8" t="s">
        <v>2426</v>
      </c>
      <c r="C9195" s="8" t="s">
        <v>27479</v>
      </c>
      <c r="D9195" s="8" t="s">
        <v>16</v>
      </c>
      <c r="E9195" s="8" t="s">
        <v>17</v>
      </c>
      <c r="F9195" s="9">
        <v>46135.0</v>
      </c>
      <c r="G9195" s="8" t="s">
        <v>365</v>
      </c>
      <c r="H9195" s="8" t="s">
        <v>366</v>
      </c>
      <c r="I9195" s="8" t="s">
        <v>27480</v>
      </c>
      <c r="J9195" s="8" t="s">
        <v>27481</v>
      </c>
    </row>
    <row r="9196">
      <c r="A9196" s="7">
        <v>2.0055757E7</v>
      </c>
      <c r="B9196" s="8" t="s">
        <v>2426</v>
      </c>
      <c r="C9196" s="8" t="s">
        <v>27482</v>
      </c>
      <c r="D9196" s="8" t="s">
        <v>16</v>
      </c>
      <c r="E9196" s="8" t="s">
        <v>17</v>
      </c>
      <c r="F9196" s="9">
        <v>46127.0</v>
      </c>
      <c r="G9196" s="8" t="s">
        <v>3088</v>
      </c>
      <c r="H9196" s="8" t="s">
        <v>3089</v>
      </c>
      <c r="I9196" s="8" t="s">
        <v>27483</v>
      </c>
      <c r="J9196" s="8" t="s">
        <v>27484</v>
      </c>
    </row>
    <row r="9197">
      <c r="A9197" s="7">
        <v>2.005338E7</v>
      </c>
      <c r="B9197" s="8" t="s">
        <v>2426</v>
      </c>
      <c r="C9197" s="8" t="s">
        <v>27485</v>
      </c>
      <c r="D9197" s="8" t="s">
        <v>16</v>
      </c>
      <c r="E9197" s="8" t="s">
        <v>17</v>
      </c>
      <c r="F9197" s="9">
        <v>46187.0</v>
      </c>
      <c r="G9197" s="8" t="s">
        <v>335</v>
      </c>
      <c r="H9197" s="8" t="s">
        <v>336</v>
      </c>
      <c r="I9197" s="8" t="s">
        <v>27486</v>
      </c>
      <c r="J9197" s="8" t="s">
        <v>27487</v>
      </c>
    </row>
    <row r="9198">
      <c r="A9198" s="7">
        <v>2.005338E7</v>
      </c>
      <c r="B9198" s="8" t="s">
        <v>2426</v>
      </c>
      <c r="C9198" s="8" t="s">
        <v>27485</v>
      </c>
      <c r="D9198" s="8" t="s">
        <v>16</v>
      </c>
      <c r="E9198" s="8" t="s">
        <v>17</v>
      </c>
      <c r="F9198" s="9">
        <v>46187.0</v>
      </c>
      <c r="G9198" s="8" t="s">
        <v>335</v>
      </c>
      <c r="H9198" s="8" t="s">
        <v>336</v>
      </c>
      <c r="I9198" s="8" t="s">
        <v>27488</v>
      </c>
      <c r="J9198" s="8" t="s">
        <v>27487</v>
      </c>
    </row>
    <row r="9199">
      <c r="A9199" s="7">
        <v>2.0050165E7</v>
      </c>
      <c r="B9199" s="8" t="s">
        <v>2426</v>
      </c>
      <c r="C9199" s="8" t="s">
        <v>27489</v>
      </c>
      <c r="D9199" s="8" t="s">
        <v>16</v>
      </c>
      <c r="E9199" s="8" t="s">
        <v>17</v>
      </c>
      <c r="F9199" s="9">
        <v>46102.0</v>
      </c>
      <c r="G9199" s="8" t="s">
        <v>91</v>
      </c>
      <c r="H9199" s="8" t="s">
        <v>92</v>
      </c>
      <c r="I9199" s="8" t="s">
        <v>27490</v>
      </c>
      <c r="J9199" s="8" t="s">
        <v>27491</v>
      </c>
    </row>
    <row r="9200">
      <c r="A9200" s="7">
        <v>2.004927E7</v>
      </c>
      <c r="B9200" s="8" t="s">
        <v>2426</v>
      </c>
      <c r="C9200" s="8" t="s">
        <v>27492</v>
      </c>
      <c r="D9200" s="8" t="s">
        <v>16</v>
      </c>
      <c r="E9200" s="8" t="s">
        <v>17</v>
      </c>
      <c r="F9200" s="9">
        <v>46112.0</v>
      </c>
      <c r="G9200" s="8" t="s">
        <v>1813</v>
      </c>
      <c r="H9200" s="8" t="s">
        <v>1814</v>
      </c>
      <c r="I9200" s="8" t="s">
        <v>27493</v>
      </c>
      <c r="J9200" s="8" t="s">
        <v>27494</v>
      </c>
    </row>
    <row r="9201">
      <c r="A9201" s="7">
        <v>2.0046856E7</v>
      </c>
      <c r="B9201" s="8" t="s">
        <v>2426</v>
      </c>
      <c r="C9201" s="8" t="s">
        <v>27495</v>
      </c>
      <c r="D9201" s="8" t="s">
        <v>16</v>
      </c>
      <c r="E9201" s="8" t="s">
        <v>17</v>
      </c>
      <c r="F9201" s="9">
        <v>46107.0</v>
      </c>
      <c r="G9201" s="8" t="s">
        <v>171</v>
      </c>
      <c r="H9201" s="8" t="s">
        <v>172</v>
      </c>
      <c r="I9201" s="8" t="s">
        <v>27496</v>
      </c>
      <c r="J9201" s="8" t="s">
        <v>27497</v>
      </c>
    </row>
    <row r="9202">
      <c r="A9202" s="7">
        <v>2.0046727E7</v>
      </c>
      <c r="B9202" s="8" t="s">
        <v>2426</v>
      </c>
      <c r="C9202" s="8" t="s">
        <v>27498</v>
      </c>
      <c r="D9202" s="8" t="s">
        <v>16</v>
      </c>
      <c r="E9202" s="8" t="s">
        <v>17</v>
      </c>
      <c r="F9202" s="9">
        <v>46119.0</v>
      </c>
      <c r="G9202" s="8" t="s">
        <v>390</v>
      </c>
      <c r="H9202" s="8" t="s">
        <v>391</v>
      </c>
      <c r="I9202" s="8" t="s">
        <v>27499</v>
      </c>
      <c r="J9202" s="8" t="s">
        <v>27500</v>
      </c>
    </row>
    <row r="9203">
      <c r="A9203" s="7">
        <v>2.0046532E7</v>
      </c>
      <c r="B9203" s="8" t="s">
        <v>2426</v>
      </c>
      <c r="C9203" s="8" t="s">
        <v>27501</v>
      </c>
      <c r="D9203" s="8" t="s">
        <v>16</v>
      </c>
      <c r="E9203" s="8" t="s">
        <v>17</v>
      </c>
      <c r="F9203" s="9">
        <v>46093.0</v>
      </c>
      <c r="G9203" s="8" t="s">
        <v>352</v>
      </c>
      <c r="H9203" s="8" t="s">
        <v>353</v>
      </c>
      <c r="I9203" s="8" t="s">
        <v>27502</v>
      </c>
      <c r="J9203" s="8" t="s">
        <v>27503</v>
      </c>
    </row>
    <row r="9204">
      <c r="A9204" s="7">
        <v>2.0045401E7</v>
      </c>
      <c r="B9204" s="8" t="s">
        <v>2426</v>
      </c>
      <c r="C9204" s="8" t="s">
        <v>27504</v>
      </c>
      <c r="D9204" s="8" t="s">
        <v>16</v>
      </c>
      <c r="E9204" s="8" t="s">
        <v>17</v>
      </c>
      <c r="F9204" s="9">
        <v>46090.0</v>
      </c>
      <c r="G9204" s="8" t="s">
        <v>385</v>
      </c>
      <c r="H9204" s="8" t="s">
        <v>386</v>
      </c>
      <c r="I9204" s="8" t="s">
        <v>27505</v>
      </c>
      <c r="J9204" s="8" t="s">
        <v>27506</v>
      </c>
    </row>
    <row r="9205">
      <c r="A9205" s="7">
        <v>2.0045338E7</v>
      </c>
      <c r="B9205" s="8" t="s">
        <v>2426</v>
      </c>
      <c r="C9205" s="8" t="s">
        <v>27507</v>
      </c>
      <c r="D9205" s="8" t="s">
        <v>16</v>
      </c>
      <c r="E9205" s="8" t="s">
        <v>17</v>
      </c>
      <c r="F9205" s="9">
        <v>46087.0</v>
      </c>
      <c r="G9205" s="8" t="s">
        <v>26845</v>
      </c>
      <c r="H9205" s="8" t="s">
        <v>26846</v>
      </c>
      <c r="I9205" s="8" t="s">
        <v>27508</v>
      </c>
      <c r="J9205" s="8" t="s">
        <v>27509</v>
      </c>
    </row>
    <row r="9206">
      <c r="A9206" s="7">
        <v>2.0045338E7</v>
      </c>
      <c r="B9206" s="8" t="s">
        <v>2426</v>
      </c>
      <c r="C9206" s="8" t="s">
        <v>27507</v>
      </c>
      <c r="D9206" s="8" t="s">
        <v>16</v>
      </c>
      <c r="E9206" s="8" t="s">
        <v>17</v>
      </c>
      <c r="F9206" s="9">
        <v>46087.0</v>
      </c>
      <c r="G9206" s="8" t="s">
        <v>21542</v>
      </c>
      <c r="H9206" s="8" t="s">
        <v>21543</v>
      </c>
      <c r="I9206" s="8" t="s">
        <v>26844</v>
      </c>
      <c r="J9206" s="8" t="s">
        <v>27510</v>
      </c>
    </row>
    <row r="9207">
      <c r="A9207" s="7">
        <v>2.0042234E7</v>
      </c>
      <c r="B9207" s="8" t="s">
        <v>2426</v>
      </c>
      <c r="C9207" s="8" t="s">
        <v>27511</v>
      </c>
      <c r="D9207" s="8" t="s">
        <v>16</v>
      </c>
      <c r="E9207" s="8" t="s">
        <v>17</v>
      </c>
      <c r="F9207" s="9">
        <v>46092.0</v>
      </c>
      <c r="G9207" s="8" t="s">
        <v>436</v>
      </c>
      <c r="H9207" s="8" t="s">
        <v>437</v>
      </c>
      <c r="I9207" s="8" t="s">
        <v>27512</v>
      </c>
      <c r="J9207" s="8" t="s">
        <v>27513</v>
      </c>
    </row>
    <row r="9208">
      <c r="A9208" s="7">
        <v>2.0040571E7</v>
      </c>
      <c r="B9208" s="8" t="s">
        <v>2426</v>
      </c>
      <c r="C9208" s="8" t="s">
        <v>27514</v>
      </c>
      <c r="D9208" s="8" t="s">
        <v>16</v>
      </c>
      <c r="E9208" s="8" t="s">
        <v>17</v>
      </c>
      <c r="F9208" s="9">
        <v>46087.0</v>
      </c>
      <c r="G9208" s="8" t="s">
        <v>59</v>
      </c>
      <c r="H9208" s="8" t="s">
        <v>60</v>
      </c>
      <c r="I9208" s="8" t="s">
        <v>26753</v>
      </c>
      <c r="J9208" s="8" t="s">
        <v>27515</v>
      </c>
    </row>
    <row r="9209">
      <c r="A9209" s="7">
        <v>2.0040386E7</v>
      </c>
      <c r="B9209" s="8" t="s">
        <v>2426</v>
      </c>
      <c r="C9209" s="8" t="s">
        <v>27516</v>
      </c>
      <c r="D9209" s="8" t="s">
        <v>16</v>
      </c>
      <c r="E9209" s="8" t="s">
        <v>17</v>
      </c>
      <c r="F9209" s="9">
        <v>46085.0</v>
      </c>
      <c r="G9209" s="8" t="s">
        <v>357</v>
      </c>
      <c r="H9209" s="8" t="s">
        <v>358</v>
      </c>
      <c r="I9209" s="8" t="s">
        <v>27517</v>
      </c>
      <c r="J9209" s="8" t="s">
        <v>27518</v>
      </c>
    </row>
    <row r="9210">
      <c r="A9210" s="7">
        <v>2.003732E7</v>
      </c>
      <c r="B9210" s="8" t="s">
        <v>2426</v>
      </c>
      <c r="C9210" s="8" t="s">
        <v>27519</v>
      </c>
      <c r="D9210" s="8" t="s">
        <v>16</v>
      </c>
      <c r="E9210" s="8" t="s">
        <v>17</v>
      </c>
      <c r="F9210" s="9">
        <v>46068.0</v>
      </c>
      <c r="G9210" s="8" t="s">
        <v>27520</v>
      </c>
      <c r="H9210" s="8" t="s">
        <v>27521</v>
      </c>
      <c r="I9210" s="8" t="s">
        <v>27522</v>
      </c>
      <c r="J9210" s="8" t="s">
        <v>27523</v>
      </c>
    </row>
    <row r="9211">
      <c r="A9211" s="7">
        <v>2.0032307E7</v>
      </c>
      <c r="B9211" s="8" t="s">
        <v>2426</v>
      </c>
      <c r="C9211" s="8" t="s">
        <v>27524</v>
      </c>
      <c r="D9211" s="8" t="s">
        <v>16</v>
      </c>
      <c r="E9211" s="8" t="s">
        <v>17</v>
      </c>
      <c r="F9211" s="9">
        <v>46067.0</v>
      </c>
      <c r="G9211" s="8" t="s">
        <v>247</v>
      </c>
      <c r="H9211" s="8" t="s">
        <v>248</v>
      </c>
      <c r="I9211" s="8" t="s">
        <v>27525</v>
      </c>
      <c r="J9211" s="8" t="s">
        <v>27526</v>
      </c>
    </row>
    <row r="9212">
      <c r="A9212" s="7">
        <v>2.0036112E7</v>
      </c>
      <c r="B9212" s="8" t="s">
        <v>2426</v>
      </c>
      <c r="C9212" s="8" t="s">
        <v>27527</v>
      </c>
      <c r="D9212" s="8" t="s">
        <v>16</v>
      </c>
      <c r="E9212" s="8" t="s">
        <v>17</v>
      </c>
      <c r="F9212" s="9">
        <v>46069.0</v>
      </c>
      <c r="G9212" s="8" t="s">
        <v>234</v>
      </c>
      <c r="H9212" s="8" t="s">
        <v>235</v>
      </c>
      <c r="I9212" s="8" t="s">
        <v>27528</v>
      </c>
      <c r="J9212" s="8" t="s">
        <v>27529</v>
      </c>
    </row>
    <row r="9213">
      <c r="A9213" s="7">
        <v>2.0039921E7</v>
      </c>
      <c r="B9213" s="8" t="s">
        <v>2426</v>
      </c>
      <c r="C9213" s="8" t="s">
        <v>27530</v>
      </c>
      <c r="D9213" s="8" t="s">
        <v>16</v>
      </c>
      <c r="E9213" s="8" t="s">
        <v>17</v>
      </c>
      <c r="F9213" s="9">
        <v>46064.0</v>
      </c>
      <c r="G9213" s="8" t="s">
        <v>4416</v>
      </c>
      <c r="H9213" s="8" t="s">
        <v>4417</v>
      </c>
      <c r="I9213" s="8" t="s">
        <v>27531</v>
      </c>
      <c r="J9213" s="8" t="s">
        <v>27532</v>
      </c>
    </row>
    <row r="9214">
      <c r="A9214" s="7">
        <v>2.0037861E7</v>
      </c>
      <c r="B9214" s="8" t="s">
        <v>2426</v>
      </c>
      <c r="C9214" s="8" t="s">
        <v>27533</v>
      </c>
      <c r="D9214" s="8" t="s">
        <v>16</v>
      </c>
      <c r="E9214" s="8" t="s">
        <v>17</v>
      </c>
      <c r="F9214" s="9">
        <v>46073.0</v>
      </c>
      <c r="G9214" s="8" t="s">
        <v>436</v>
      </c>
      <c r="H9214" s="8" t="s">
        <v>437</v>
      </c>
      <c r="I9214" s="8" t="s">
        <v>27534</v>
      </c>
      <c r="J9214" s="8" t="s">
        <v>27535</v>
      </c>
    </row>
    <row r="9215">
      <c r="A9215" s="7">
        <v>2.0035686E7</v>
      </c>
      <c r="B9215" s="8" t="s">
        <v>2426</v>
      </c>
      <c r="C9215" s="8" t="s">
        <v>27536</v>
      </c>
      <c r="D9215" s="8" t="s">
        <v>16</v>
      </c>
      <c r="E9215" s="8" t="s">
        <v>17</v>
      </c>
      <c r="F9215" s="9">
        <v>46054.0</v>
      </c>
      <c r="G9215" s="8" t="s">
        <v>34</v>
      </c>
      <c r="H9215" s="8" t="s">
        <v>35</v>
      </c>
      <c r="I9215" s="8" t="s">
        <v>27537</v>
      </c>
      <c r="J9215" s="8" t="s">
        <v>27538</v>
      </c>
    </row>
    <row r="9216">
      <c r="A9216" s="7">
        <v>2.0035976E7</v>
      </c>
      <c r="B9216" s="8" t="s">
        <v>2426</v>
      </c>
      <c r="C9216" s="8" t="s">
        <v>27539</v>
      </c>
      <c r="D9216" s="8" t="s">
        <v>16</v>
      </c>
      <c r="E9216" s="8" t="s">
        <v>17</v>
      </c>
      <c r="F9216" s="9">
        <v>46062.0</v>
      </c>
      <c r="G9216" s="8" t="s">
        <v>4472</v>
      </c>
      <c r="H9216" s="8" t="s">
        <v>4473</v>
      </c>
      <c r="I9216" s="8" t="s">
        <v>27000</v>
      </c>
      <c r="J9216" s="8" t="s">
        <v>27540</v>
      </c>
    </row>
    <row r="9217">
      <c r="A9217" s="7">
        <v>2.0030495E7</v>
      </c>
      <c r="B9217" s="8" t="s">
        <v>2426</v>
      </c>
      <c r="C9217" s="8" t="s">
        <v>27541</v>
      </c>
      <c r="D9217" s="8" t="s">
        <v>16</v>
      </c>
      <c r="E9217" s="8" t="s">
        <v>17</v>
      </c>
      <c r="F9217" s="9">
        <v>46046.0</v>
      </c>
      <c r="G9217" s="8" t="s">
        <v>195</v>
      </c>
      <c r="H9217" s="8" t="s">
        <v>196</v>
      </c>
      <c r="I9217" s="8" t="s">
        <v>27542</v>
      </c>
      <c r="J9217" s="8" t="s">
        <v>27543</v>
      </c>
    </row>
    <row r="9218">
      <c r="A9218" s="7">
        <v>2.0062893E7</v>
      </c>
      <c r="B9218" s="8" t="s">
        <v>2426</v>
      </c>
      <c r="C9218" s="8" t="s">
        <v>27544</v>
      </c>
      <c r="D9218" s="8" t="s">
        <v>16</v>
      </c>
      <c r="E9218" s="8" t="s">
        <v>17</v>
      </c>
      <c r="F9218" s="9">
        <v>46185.0</v>
      </c>
      <c r="G9218" s="8" t="s">
        <v>109</v>
      </c>
      <c r="H9218" s="8" t="s">
        <v>110</v>
      </c>
      <c r="I9218" s="8" t="s">
        <v>27545</v>
      </c>
      <c r="J9218" s="8" t="s">
        <v>27546</v>
      </c>
    </row>
    <row r="9219">
      <c r="A9219" s="7">
        <v>2.0062893E7</v>
      </c>
      <c r="B9219" s="8" t="s">
        <v>2426</v>
      </c>
      <c r="C9219" s="8" t="s">
        <v>27544</v>
      </c>
      <c r="D9219" s="8" t="s">
        <v>16</v>
      </c>
      <c r="E9219" s="8" t="s">
        <v>17</v>
      </c>
      <c r="F9219" s="9">
        <v>46185.0</v>
      </c>
      <c r="G9219" s="8" t="s">
        <v>10640</v>
      </c>
      <c r="H9219" s="8" t="s">
        <v>10641</v>
      </c>
      <c r="I9219" s="8" t="s">
        <v>27547</v>
      </c>
      <c r="J9219" s="8" t="s">
        <v>27548</v>
      </c>
    </row>
    <row r="9220">
      <c r="A9220" s="7">
        <v>2.0059818E7</v>
      </c>
      <c r="B9220" s="8" t="s">
        <v>2426</v>
      </c>
      <c r="C9220" s="8" t="s">
        <v>27549</v>
      </c>
      <c r="D9220" s="8" t="s">
        <v>16</v>
      </c>
      <c r="E9220" s="8" t="s">
        <v>17</v>
      </c>
      <c r="F9220" s="9">
        <v>46158.0</v>
      </c>
      <c r="G9220" s="8" t="s">
        <v>3136</v>
      </c>
      <c r="H9220" s="8" t="s">
        <v>3137</v>
      </c>
      <c r="I9220" s="8" t="s">
        <v>27550</v>
      </c>
      <c r="J9220" s="8"/>
    </row>
    <row r="9221">
      <c r="A9221" s="7">
        <v>2.0055599E7</v>
      </c>
      <c r="B9221" s="8" t="s">
        <v>2426</v>
      </c>
      <c r="C9221" s="8" t="s">
        <v>27551</v>
      </c>
      <c r="D9221" s="8" t="s">
        <v>16</v>
      </c>
      <c r="E9221" s="8" t="s">
        <v>17</v>
      </c>
      <c r="F9221" s="9">
        <v>46129.0</v>
      </c>
      <c r="G9221" s="8" t="s">
        <v>247</v>
      </c>
      <c r="H9221" s="8" t="s">
        <v>248</v>
      </c>
      <c r="I9221" s="8" t="s">
        <v>27552</v>
      </c>
      <c r="J9221" s="8" t="s">
        <v>27553</v>
      </c>
    </row>
    <row r="9222">
      <c r="A9222" s="7">
        <v>2.004753E7</v>
      </c>
      <c r="B9222" s="8" t="s">
        <v>2426</v>
      </c>
      <c r="C9222" s="8" t="s">
        <v>27554</v>
      </c>
      <c r="D9222" s="8" t="s">
        <v>16</v>
      </c>
      <c r="E9222" s="8" t="s">
        <v>17</v>
      </c>
      <c r="F9222" s="9">
        <v>46129.0</v>
      </c>
      <c r="G9222" s="8" t="s">
        <v>27555</v>
      </c>
      <c r="H9222" s="8" t="s">
        <v>27556</v>
      </c>
      <c r="I9222" s="8" t="s">
        <v>27557</v>
      </c>
      <c r="J9222" s="8" t="s">
        <v>27558</v>
      </c>
    </row>
    <row r="9223">
      <c r="A9223" s="7">
        <v>2.0040392E7</v>
      </c>
      <c r="B9223" s="8" t="s">
        <v>2426</v>
      </c>
      <c r="C9223" s="8" t="s">
        <v>27559</v>
      </c>
      <c r="D9223" s="8" t="s">
        <v>16</v>
      </c>
      <c r="E9223" s="8" t="s">
        <v>17</v>
      </c>
      <c r="F9223" s="9">
        <v>46086.0</v>
      </c>
      <c r="G9223" s="8" t="s">
        <v>923</v>
      </c>
      <c r="H9223" s="8" t="s">
        <v>71</v>
      </c>
      <c r="I9223" s="8" t="s">
        <v>27560</v>
      </c>
      <c r="J9223" s="8" t="s">
        <v>27561</v>
      </c>
    </row>
    <row r="9224">
      <c r="A9224" s="7">
        <v>2.0041347E7</v>
      </c>
      <c r="B9224" s="8" t="s">
        <v>2426</v>
      </c>
      <c r="C9224" s="8" t="s">
        <v>27562</v>
      </c>
      <c r="D9224" s="8" t="s">
        <v>16</v>
      </c>
      <c r="E9224" s="8" t="s">
        <v>17</v>
      </c>
      <c r="F9224" s="9">
        <v>46090.0</v>
      </c>
      <c r="G9224" s="8" t="s">
        <v>24048</v>
      </c>
      <c r="H9224" s="8" t="s">
        <v>24049</v>
      </c>
      <c r="I9224" s="8" t="s">
        <v>27563</v>
      </c>
      <c r="J9224" s="8" t="s">
        <v>27564</v>
      </c>
    </row>
    <row r="9225">
      <c r="A9225" s="7">
        <v>2.003924E7</v>
      </c>
      <c r="B9225" s="8" t="s">
        <v>2426</v>
      </c>
      <c r="C9225" s="8" t="s">
        <v>27565</v>
      </c>
      <c r="D9225" s="8" t="s">
        <v>16</v>
      </c>
      <c r="E9225" s="8" t="s">
        <v>17</v>
      </c>
      <c r="F9225" s="9">
        <v>46082.0</v>
      </c>
      <c r="G9225" s="8" t="s">
        <v>378</v>
      </c>
      <c r="H9225" s="8" t="s">
        <v>379</v>
      </c>
      <c r="I9225" s="8" t="s">
        <v>27566</v>
      </c>
      <c r="J9225" s="8" t="s">
        <v>27567</v>
      </c>
    </row>
    <row r="9226">
      <c r="A9226" s="7">
        <v>2.0032211E7</v>
      </c>
      <c r="B9226" s="8" t="s">
        <v>2426</v>
      </c>
      <c r="C9226" s="8" t="s">
        <v>27568</v>
      </c>
      <c r="D9226" s="8" t="s">
        <v>16</v>
      </c>
      <c r="E9226" s="8" t="s">
        <v>17</v>
      </c>
      <c r="F9226" s="9">
        <v>46074.0</v>
      </c>
      <c r="G9226" s="8" t="s">
        <v>75</v>
      </c>
      <c r="H9226" s="8" t="s">
        <v>76</v>
      </c>
      <c r="I9226" s="8" t="s">
        <v>27569</v>
      </c>
      <c r="J9226" s="8" t="s">
        <v>27570</v>
      </c>
    </row>
    <row r="9227">
      <c r="A9227" s="7">
        <v>2.0034317E7</v>
      </c>
      <c r="B9227" s="8" t="s">
        <v>2426</v>
      </c>
      <c r="C9227" s="8" t="s">
        <v>27571</v>
      </c>
      <c r="D9227" s="8" t="s">
        <v>16</v>
      </c>
      <c r="E9227" s="8" t="s">
        <v>17</v>
      </c>
      <c r="F9227" s="9">
        <v>46058.0</v>
      </c>
      <c r="G9227" s="8" t="s">
        <v>59</v>
      </c>
      <c r="H9227" s="8" t="s">
        <v>60</v>
      </c>
      <c r="I9227" s="8" t="s">
        <v>27572</v>
      </c>
      <c r="J9227" s="8" t="s">
        <v>27573</v>
      </c>
    </row>
    <row r="9228">
      <c r="A9228" s="7">
        <v>2.003029E7</v>
      </c>
      <c r="B9228" s="8" t="s">
        <v>2426</v>
      </c>
      <c r="C9228" s="8" t="s">
        <v>27574</v>
      </c>
      <c r="D9228" s="8" t="s">
        <v>16</v>
      </c>
      <c r="E9228" s="8" t="s">
        <v>17</v>
      </c>
      <c r="F9228" s="9">
        <v>46045.0</v>
      </c>
      <c r="G9228" s="8" t="s">
        <v>365</v>
      </c>
      <c r="H9228" s="8" t="s">
        <v>366</v>
      </c>
      <c r="I9228" s="8" t="s">
        <v>27575</v>
      </c>
      <c r="J9228" s="8" t="s">
        <v>27576</v>
      </c>
    </row>
    <row r="9229">
      <c r="A9229" s="7">
        <v>2.0070358E7</v>
      </c>
      <c r="B9229" s="8" t="s">
        <v>2426</v>
      </c>
      <c r="C9229" s="8" t="s">
        <v>27577</v>
      </c>
      <c r="D9229" s="8" t="s">
        <v>16</v>
      </c>
      <c r="E9229" s="8" t="s">
        <v>17</v>
      </c>
      <c r="F9229" s="9">
        <v>46192.0</v>
      </c>
      <c r="G9229" s="8" t="s">
        <v>277</v>
      </c>
      <c r="H9229" s="8" t="s">
        <v>278</v>
      </c>
      <c r="I9229" s="8" t="s">
        <v>27578</v>
      </c>
      <c r="J9229" s="8" t="s">
        <v>27579</v>
      </c>
    </row>
    <row r="9230">
      <c r="A9230" s="7">
        <v>2.0068184E7</v>
      </c>
      <c r="B9230" s="8" t="s">
        <v>2426</v>
      </c>
      <c r="C9230" s="8" t="s">
        <v>27580</v>
      </c>
      <c r="D9230" s="8" t="s">
        <v>16</v>
      </c>
      <c r="E9230" s="8" t="s">
        <v>17</v>
      </c>
      <c r="F9230" s="9">
        <v>46178.0</v>
      </c>
      <c r="G9230" s="8" t="s">
        <v>978</v>
      </c>
      <c r="H9230" s="8" t="s">
        <v>979</v>
      </c>
      <c r="I9230" s="8" t="s">
        <v>27581</v>
      </c>
      <c r="J9230" s="8" t="s">
        <v>27582</v>
      </c>
    </row>
    <row r="9231">
      <c r="A9231" s="7">
        <v>2.0063405E7</v>
      </c>
      <c r="B9231" s="8" t="s">
        <v>2426</v>
      </c>
      <c r="C9231" s="8" t="s">
        <v>27583</v>
      </c>
      <c r="D9231" s="8" t="s">
        <v>16</v>
      </c>
      <c r="E9231" s="8" t="s">
        <v>17</v>
      </c>
      <c r="F9231" s="9">
        <v>46166.0</v>
      </c>
      <c r="G9231" s="8" t="s">
        <v>59</v>
      </c>
      <c r="H9231" s="8" t="s">
        <v>60</v>
      </c>
      <c r="I9231" s="8" t="s">
        <v>27584</v>
      </c>
      <c r="J9231" s="8" t="s">
        <v>27585</v>
      </c>
    </row>
    <row r="9232">
      <c r="A9232" s="7">
        <v>2.0061489E7</v>
      </c>
      <c r="B9232" s="8" t="s">
        <v>2426</v>
      </c>
      <c r="C9232" s="8" t="s">
        <v>27586</v>
      </c>
      <c r="D9232" s="8" t="s">
        <v>16</v>
      </c>
      <c r="E9232" s="8" t="s">
        <v>17</v>
      </c>
      <c r="F9232" s="9">
        <v>46153.0</v>
      </c>
      <c r="G9232" s="8" t="s">
        <v>423</v>
      </c>
      <c r="H9232" s="8" t="s">
        <v>6351</v>
      </c>
      <c r="I9232" s="8" t="s">
        <v>27587</v>
      </c>
      <c r="J9232" s="8" t="s">
        <v>27588</v>
      </c>
    </row>
    <row r="9233">
      <c r="A9233" s="7">
        <v>2.0055971E7</v>
      </c>
      <c r="B9233" s="8" t="s">
        <v>2426</v>
      </c>
      <c r="C9233" s="8" t="s">
        <v>27589</v>
      </c>
      <c r="D9233" s="8" t="s">
        <v>16</v>
      </c>
      <c r="E9233" s="8" t="s">
        <v>17</v>
      </c>
      <c r="F9233" s="9">
        <v>46127.0</v>
      </c>
      <c r="G9233" s="8" t="s">
        <v>1911</v>
      </c>
      <c r="H9233" s="8" t="s">
        <v>1912</v>
      </c>
      <c r="I9233" s="8" t="s">
        <v>27590</v>
      </c>
      <c r="J9233" s="8" t="s">
        <v>27591</v>
      </c>
    </row>
    <row r="9234">
      <c r="A9234" s="7">
        <v>2.0052837E7</v>
      </c>
      <c r="B9234" s="8" t="s">
        <v>2426</v>
      </c>
      <c r="C9234" s="8" t="s">
        <v>27592</v>
      </c>
      <c r="D9234" s="8" t="s">
        <v>16</v>
      </c>
      <c r="E9234" s="8" t="s">
        <v>17</v>
      </c>
      <c r="F9234" s="9">
        <v>46136.0</v>
      </c>
      <c r="G9234" s="8" t="s">
        <v>390</v>
      </c>
      <c r="H9234" s="8" t="s">
        <v>391</v>
      </c>
      <c r="I9234" s="8" t="s">
        <v>27593</v>
      </c>
      <c r="J9234" s="8" t="s">
        <v>27594</v>
      </c>
    </row>
    <row r="9235">
      <c r="A9235" s="7">
        <v>2.0047899E7</v>
      </c>
      <c r="B9235" s="8" t="s">
        <v>2426</v>
      </c>
      <c r="C9235" s="8" t="s">
        <v>27595</v>
      </c>
      <c r="D9235" s="8" t="s">
        <v>16</v>
      </c>
      <c r="E9235" s="8" t="s">
        <v>17</v>
      </c>
      <c r="F9235" s="9">
        <v>46126.0</v>
      </c>
      <c r="G9235" s="8" t="s">
        <v>59</v>
      </c>
      <c r="H9235" s="8" t="s">
        <v>60</v>
      </c>
      <c r="I9235" s="8" t="s">
        <v>27596</v>
      </c>
      <c r="J9235" s="8" t="s">
        <v>27597</v>
      </c>
    </row>
    <row r="9236">
      <c r="A9236" s="7">
        <v>2.0052046E7</v>
      </c>
      <c r="B9236" s="8" t="s">
        <v>2426</v>
      </c>
      <c r="C9236" s="8" t="s">
        <v>27598</v>
      </c>
      <c r="D9236" s="8" t="s">
        <v>16</v>
      </c>
      <c r="E9236" s="8" t="s">
        <v>17</v>
      </c>
      <c r="F9236" s="9">
        <v>46122.0</v>
      </c>
      <c r="G9236" s="8" t="s">
        <v>314</v>
      </c>
      <c r="H9236" s="8" t="s">
        <v>315</v>
      </c>
      <c r="I9236" s="8" t="s">
        <v>27599</v>
      </c>
      <c r="J9236" s="8" t="s">
        <v>27600</v>
      </c>
    </row>
    <row r="9237">
      <c r="A9237" s="7">
        <v>2.0052162E7</v>
      </c>
      <c r="B9237" s="8" t="s">
        <v>2426</v>
      </c>
      <c r="C9237" s="8" t="s">
        <v>27601</v>
      </c>
      <c r="D9237" s="8" t="s">
        <v>16</v>
      </c>
      <c r="E9237" s="8" t="s">
        <v>17</v>
      </c>
      <c r="F9237" s="9">
        <v>46127.0</v>
      </c>
      <c r="G9237" s="8" t="s">
        <v>436</v>
      </c>
      <c r="H9237" s="8" t="s">
        <v>437</v>
      </c>
      <c r="I9237" s="8" t="s">
        <v>27602</v>
      </c>
      <c r="J9237" s="8" t="s">
        <v>27603</v>
      </c>
    </row>
    <row r="9238">
      <c r="A9238" s="7">
        <v>2.0044097E7</v>
      </c>
      <c r="B9238" s="8" t="s">
        <v>2426</v>
      </c>
      <c r="C9238" s="8" t="s">
        <v>27604</v>
      </c>
      <c r="D9238" s="8" t="s">
        <v>16</v>
      </c>
      <c r="E9238" s="8" t="s">
        <v>17</v>
      </c>
      <c r="F9238" s="9">
        <v>46085.0</v>
      </c>
      <c r="G9238" s="8" t="s">
        <v>91</v>
      </c>
      <c r="H9238" s="8" t="s">
        <v>92</v>
      </c>
      <c r="I9238" s="8" t="s">
        <v>27605</v>
      </c>
      <c r="J9238" s="8" t="s">
        <v>27606</v>
      </c>
    </row>
    <row r="9239">
      <c r="A9239" s="7">
        <v>2.0041638E7</v>
      </c>
      <c r="B9239" s="8" t="s">
        <v>2426</v>
      </c>
      <c r="C9239" s="8" t="s">
        <v>27607</v>
      </c>
      <c r="D9239" s="8" t="s">
        <v>16</v>
      </c>
      <c r="E9239" s="8" t="s">
        <v>17</v>
      </c>
      <c r="F9239" s="9">
        <v>46092.0</v>
      </c>
      <c r="G9239" s="8" t="s">
        <v>54</v>
      </c>
      <c r="H9239" s="8" t="s">
        <v>55</v>
      </c>
      <c r="I9239" s="8" t="s">
        <v>27608</v>
      </c>
      <c r="J9239" s="8" t="s">
        <v>27609</v>
      </c>
    </row>
    <row r="9240">
      <c r="A9240" s="7">
        <v>2.0041821E7</v>
      </c>
      <c r="B9240" s="8" t="s">
        <v>2426</v>
      </c>
      <c r="C9240" s="8" t="s">
        <v>27610</v>
      </c>
      <c r="D9240" s="8" t="s">
        <v>16</v>
      </c>
      <c r="E9240" s="8" t="s">
        <v>17</v>
      </c>
      <c r="F9240" s="9">
        <v>46074.0</v>
      </c>
      <c r="G9240" s="8" t="s">
        <v>34</v>
      </c>
      <c r="H9240" s="8" t="s">
        <v>35</v>
      </c>
      <c r="I9240" s="8" t="s">
        <v>27611</v>
      </c>
      <c r="J9240" s="8" t="s">
        <v>27612</v>
      </c>
    </row>
    <row r="9241">
      <c r="A9241" s="7">
        <v>2.0039893E7</v>
      </c>
      <c r="B9241" s="8" t="s">
        <v>2426</v>
      </c>
      <c r="C9241" s="8" t="s">
        <v>27613</v>
      </c>
      <c r="D9241" s="8" t="s">
        <v>16</v>
      </c>
      <c r="E9241" s="8" t="s">
        <v>17</v>
      </c>
      <c r="F9241" s="9">
        <v>46089.0</v>
      </c>
      <c r="G9241" s="8" t="s">
        <v>158</v>
      </c>
      <c r="H9241" s="8" t="s">
        <v>159</v>
      </c>
      <c r="I9241" s="8" t="s">
        <v>27614</v>
      </c>
      <c r="J9241" s="8" t="s">
        <v>27615</v>
      </c>
    </row>
    <row r="9242">
      <c r="A9242" s="7">
        <v>2.003915E7</v>
      </c>
      <c r="B9242" s="8" t="s">
        <v>2426</v>
      </c>
      <c r="C9242" s="8" t="s">
        <v>27616</v>
      </c>
      <c r="D9242" s="8" t="s">
        <v>16</v>
      </c>
      <c r="E9242" s="8" t="s">
        <v>17</v>
      </c>
      <c r="F9242" s="9">
        <v>46078.0</v>
      </c>
      <c r="G9242" s="8" t="s">
        <v>1627</v>
      </c>
      <c r="H9242" s="8" t="s">
        <v>1628</v>
      </c>
      <c r="I9242" s="8" t="s">
        <v>27617</v>
      </c>
      <c r="J9242" s="8" t="s">
        <v>27618</v>
      </c>
    </row>
    <row r="9243">
      <c r="A9243" s="7">
        <v>2.0032693E7</v>
      </c>
      <c r="B9243" s="8" t="s">
        <v>2426</v>
      </c>
      <c r="C9243" s="8" t="s">
        <v>27619</v>
      </c>
      <c r="D9243" s="8" t="s">
        <v>16</v>
      </c>
      <c r="E9243" s="8" t="s">
        <v>17</v>
      </c>
      <c r="F9243" s="9">
        <v>46091.0</v>
      </c>
      <c r="G9243" s="8" t="s">
        <v>19494</v>
      </c>
      <c r="H9243" s="8" t="s">
        <v>19495</v>
      </c>
      <c r="I9243" s="8" t="s">
        <v>27620</v>
      </c>
      <c r="J9243" s="8" t="s">
        <v>27621</v>
      </c>
    </row>
    <row r="9244">
      <c r="A9244" s="7">
        <v>2.0032693E7</v>
      </c>
      <c r="B9244" s="8" t="s">
        <v>2426</v>
      </c>
      <c r="C9244" s="8" t="s">
        <v>27619</v>
      </c>
      <c r="D9244" s="8" t="s">
        <v>16</v>
      </c>
      <c r="E9244" s="8" t="s">
        <v>17</v>
      </c>
      <c r="F9244" s="9">
        <v>46091.0</v>
      </c>
      <c r="G9244" s="8" t="s">
        <v>27622</v>
      </c>
      <c r="H9244" s="8" t="s">
        <v>27623</v>
      </c>
      <c r="I9244" s="8" t="s">
        <v>27222</v>
      </c>
      <c r="J9244" s="8" t="s">
        <v>27621</v>
      </c>
    </row>
    <row r="9245">
      <c r="A9245" s="7">
        <v>2.0032056E7</v>
      </c>
      <c r="B9245" s="8" t="s">
        <v>2426</v>
      </c>
      <c r="C9245" s="8" t="s">
        <v>27624</v>
      </c>
      <c r="D9245" s="8" t="s">
        <v>16</v>
      </c>
      <c r="E9245" s="8" t="s">
        <v>17</v>
      </c>
      <c r="F9245" s="9">
        <v>46065.0</v>
      </c>
      <c r="G9245" s="8" t="s">
        <v>59</v>
      </c>
      <c r="H9245" s="8" t="s">
        <v>60</v>
      </c>
      <c r="I9245" s="8" t="s">
        <v>27625</v>
      </c>
      <c r="J9245" s="8" t="s">
        <v>27626</v>
      </c>
    </row>
    <row r="9246">
      <c r="A9246" s="7">
        <v>2.0038246E7</v>
      </c>
      <c r="B9246" s="8" t="s">
        <v>2426</v>
      </c>
      <c r="C9246" s="8" t="s">
        <v>27627</v>
      </c>
      <c r="D9246" s="8" t="s">
        <v>16</v>
      </c>
      <c r="E9246" s="8" t="s">
        <v>17</v>
      </c>
      <c r="F9246" s="9">
        <v>46059.0</v>
      </c>
      <c r="G9246" s="8" t="s">
        <v>2910</v>
      </c>
      <c r="H9246" s="8" t="s">
        <v>2911</v>
      </c>
      <c r="I9246" s="8" t="s">
        <v>27628</v>
      </c>
      <c r="J9246" s="8" t="s">
        <v>27629</v>
      </c>
    </row>
    <row r="9247">
      <c r="A9247" s="7">
        <v>2.0036101E7</v>
      </c>
      <c r="B9247" s="8" t="s">
        <v>2426</v>
      </c>
      <c r="C9247" s="8" t="s">
        <v>27630</v>
      </c>
      <c r="D9247" s="8" t="s">
        <v>16</v>
      </c>
      <c r="E9247" s="8" t="s">
        <v>17</v>
      </c>
      <c r="F9247" s="9">
        <v>46054.0</v>
      </c>
      <c r="G9247" s="8" t="s">
        <v>423</v>
      </c>
      <c r="H9247" s="8" t="s">
        <v>424</v>
      </c>
      <c r="I9247" s="8" t="s">
        <v>27631</v>
      </c>
      <c r="J9247" s="8" t="s">
        <v>27632</v>
      </c>
    </row>
    <row r="9248">
      <c r="A9248" s="7">
        <v>2.0031153E7</v>
      </c>
      <c r="B9248" s="8" t="s">
        <v>2426</v>
      </c>
      <c r="C9248" s="8" t="s">
        <v>27633</v>
      </c>
      <c r="D9248" s="8" t="s">
        <v>16</v>
      </c>
      <c r="E9248" s="8" t="s">
        <v>17</v>
      </c>
      <c r="F9248" s="9">
        <v>46051.0</v>
      </c>
      <c r="G9248" s="8" t="s">
        <v>1179</v>
      </c>
      <c r="H9248" s="8" t="s">
        <v>1180</v>
      </c>
      <c r="I9248" s="8" t="s">
        <v>27634</v>
      </c>
      <c r="J9248" s="8" t="s">
        <v>27635</v>
      </c>
    </row>
    <row r="9249">
      <c r="A9249" s="7">
        <v>2.0071094E7</v>
      </c>
      <c r="B9249" s="8" t="s">
        <v>2426</v>
      </c>
      <c r="C9249" s="8" t="s">
        <v>27636</v>
      </c>
      <c r="D9249" s="8" t="s">
        <v>16</v>
      </c>
      <c r="E9249" s="8" t="s">
        <v>17</v>
      </c>
      <c r="F9249" s="9">
        <v>46193.0</v>
      </c>
      <c r="G9249" s="8" t="s">
        <v>1319</v>
      </c>
      <c r="H9249" s="8" t="s">
        <v>1320</v>
      </c>
      <c r="I9249" s="8" t="s">
        <v>27637</v>
      </c>
      <c r="J9249" s="8" t="s">
        <v>27638</v>
      </c>
    </row>
    <row r="9250">
      <c r="A9250" s="7">
        <v>2.0059174E7</v>
      </c>
      <c r="B9250" s="8" t="s">
        <v>2426</v>
      </c>
      <c r="C9250" s="8" t="s">
        <v>27639</v>
      </c>
      <c r="D9250" s="8" t="s">
        <v>16</v>
      </c>
      <c r="E9250" s="8" t="s">
        <v>17</v>
      </c>
      <c r="F9250" s="9">
        <v>46190.0</v>
      </c>
      <c r="G9250" s="8" t="s">
        <v>59</v>
      </c>
      <c r="H9250" s="8" t="s">
        <v>60</v>
      </c>
      <c r="I9250" s="8" t="s">
        <v>27640</v>
      </c>
      <c r="J9250" s="8" t="s">
        <v>27641</v>
      </c>
    </row>
    <row r="9251">
      <c r="A9251" s="7">
        <v>2.006481E7</v>
      </c>
      <c r="B9251" s="8" t="s">
        <v>2426</v>
      </c>
      <c r="C9251" s="8" t="s">
        <v>27642</v>
      </c>
      <c r="D9251" s="8" t="s">
        <v>16</v>
      </c>
      <c r="E9251" s="8" t="s">
        <v>17</v>
      </c>
      <c r="F9251" s="9">
        <v>46179.0</v>
      </c>
      <c r="G9251" s="8" t="s">
        <v>971</v>
      </c>
      <c r="H9251" s="8" t="s">
        <v>972</v>
      </c>
      <c r="I9251" s="8" t="s">
        <v>27643</v>
      </c>
      <c r="J9251" s="8" t="s">
        <v>27644</v>
      </c>
    </row>
    <row r="9252">
      <c r="A9252" s="7">
        <v>2.0061954E7</v>
      </c>
      <c r="B9252" s="8" t="s">
        <v>2426</v>
      </c>
      <c r="C9252" s="8" t="s">
        <v>27645</v>
      </c>
      <c r="D9252" s="8" t="s">
        <v>16</v>
      </c>
      <c r="E9252" s="8" t="s">
        <v>17</v>
      </c>
      <c r="F9252" s="9">
        <v>46181.0</v>
      </c>
      <c r="G9252" s="8" t="s">
        <v>1085</v>
      </c>
      <c r="H9252" s="8" t="s">
        <v>1086</v>
      </c>
      <c r="I9252" s="8" t="s">
        <v>27646</v>
      </c>
      <c r="J9252" s="8" t="s">
        <v>27647</v>
      </c>
    </row>
    <row r="9253">
      <c r="A9253" s="7">
        <v>2.0060237E7</v>
      </c>
      <c r="B9253" s="8" t="s">
        <v>2426</v>
      </c>
      <c r="C9253" s="8" t="s">
        <v>27648</v>
      </c>
      <c r="D9253" s="8" t="s">
        <v>16</v>
      </c>
      <c r="E9253" s="8" t="s">
        <v>17</v>
      </c>
      <c r="F9253" s="9">
        <v>46153.0</v>
      </c>
      <c r="G9253" s="8" t="s">
        <v>1319</v>
      </c>
      <c r="H9253" s="8" t="s">
        <v>1320</v>
      </c>
      <c r="I9253" s="8" t="s">
        <v>27649</v>
      </c>
      <c r="J9253" s="8" t="s">
        <v>27650</v>
      </c>
    </row>
    <row r="9254">
      <c r="A9254" s="7">
        <v>2.0059351E7</v>
      </c>
      <c r="B9254" s="8" t="s">
        <v>2426</v>
      </c>
      <c r="C9254" s="8" t="s">
        <v>27651</v>
      </c>
      <c r="D9254" s="8" t="s">
        <v>16</v>
      </c>
      <c r="E9254" s="8" t="s">
        <v>17</v>
      </c>
      <c r="F9254" s="9">
        <v>46142.0</v>
      </c>
      <c r="G9254" s="8" t="s">
        <v>630</v>
      </c>
      <c r="H9254" s="8" t="s">
        <v>631</v>
      </c>
      <c r="I9254" s="8" t="s">
        <v>27652</v>
      </c>
      <c r="J9254" s="8" t="s">
        <v>27653</v>
      </c>
    </row>
    <row r="9255">
      <c r="A9255" s="7">
        <v>2.0058785E7</v>
      </c>
      <c r="B9255" s="8" t="s">
        <v>2426</v>
      </c>
      <c r="C9255" s="8" t="s">
        <v>27654</v>
      </c>
      <c r="D9255" s="8" t="s">
        <v>16</v>
      </c>
      <c r="E9255" s="8" t="s">
        <v>17</v>
      </c>
      <c r="F9255" s="9">
        <v>46179.0</v>
      </c>
      <c r="G9255" s="8" t="s">
        <v>1155</v>
      </c>
      <c r="H9255" s="8" t="s">
        <v>1156</v>
      </c>
      <c r="I9255" s="8" t="s">
        <v>27655</v>
      </c>
      <c r="J9255" s="8" t="s">
        <v>27656</v>
      </c>
    </row>
    <row r="9256">
      <c r="A9256" s="7">
        <v>2.0055407E7</v>
      </c>
      <c r="B9256" s="8" t="s">
        <v>2426</v>
      </c>
      <c r="C9256" s="8" t="s">
        <v>27657</v>
      </c>
      <c r="D9256" s="8" t="s">
        <v>16</v>
      </c>
      <c r="E9256" s="8" t="s">
        <v>17</v>
      </c>
      <c r="F9256" s="9">
        <v>46139.0</v>
      </c>
      <c r="G9256" s="8" t="s">
        <v>666</v>
      </c>
      <c r="H9256" s="8" t="s">
        <v>667</v>
      </c>
      <c r="I9256" s="8" t="s">
        <v>27658</v>
      </c>
      <c r="J9256" s="8" t="s">
        <v>27659</v>
      </c>
    </row>
    <row r="9257">
      <c r="A9257" s="7">
        <v>2.0053671E7</v>
      </c>
      <c r="B9257" s="8" t="s">
        <v>2426</v>
      </c>
      <c r="C9257" s="8" t="s">
        <v>27660</v>
      </c>
      <c r="D9257" s="8" t="s">
        <v>16</v>
      </c>
      <c r="E9257" s="8" t="s">
        <v>17</v>
      </c>
      <c r="F9257" s="9">
        <v>46119.0</v>
      </c>
      <c r="G9257" s="8" t="s">
        <v>385</v>
      </c>
      <c r="H9257" s="8" t="s">
        <v>386</v>
      </c>
      <c r="I9257" s="8" t="s">
        <v>27661</v>
      </c>
      <c r="J9257" s="8" t="s">
        <v>27662</v>
      </c>
    </row>
    <row r="9258">
      <c r="A9258" s="7">
        <v>2.0053671E7</v>
      </c>
      <c r="B9258" s="8" t="s">
        <v>2426</v>
      </c>
      <c r="C9258" s="8" t="s">
        <v>27660</v>
      </c>
      <c r="D9258" s="8" t="s">
        <v>16</v>
      </c>
      <c r="E9258" s="8" t="s">
        <v>17</v>
      </c>
      <c r="F9258" s="9">
        <v>46119.0</v>
      </c>
      <c r="G9258" s="8" t="s">
        <v>517</v>
      </c>
      <c r="H9258" s="8" t="s">
        <v>518</v>
      </c>
      <c r="I9258" s="8" t="s">
        <v>27663</v>
      </c>
      <c r="J9258" s="8" t="s">
        <v>27664</v>
      </c>
    </row>
    <row r="9259">
      <c r="A9259" s="7">
        <v>2.0046335E7</v>
      </c>
      <c r="B9259" s="8" t="s">
        <v>2426</v>
      </c>
      <c r="C9259" s="8" t="s">
        <v>27665</v>
      </c>
      <c r="D9259" s="8" t="s">
        <v>16</v>
      </c>
      <c r="E9259" s="8" t="s">
        <v>17</v>
      </c>
      <c r="F9259" s="9">
        <v>46096.0</v>
      </c>
      <c r="G9259" s="8" t="s">
        <v>1045</v>
      </c>
      <c r="H9259" s="8" t="s">
        <v>909</v>
      </c>
      <c r="I9259" s="8" t="s">
        <v>27666</v>
      </c>
      <c r="J9259" s="8" t="s">
        <v>27667</v>
      </c>
    </row>
    <row r="9260">
      <c r="A9260" s="7">
        <v>2.004347E7</v>
      </c>
      <c r="B9260" s="8" t="s">
        <v>2426</v>
      </c>
      <c r="C9260" s="8" t="s">
        <v>27668</v>
      </c>
      <c r="D9260" s="8" t="s">
        <v>16</v>
      </c>
      <c r="E9260" s="8" t="s">
        <v>17</v>
      </c>
      <c r="F9260" s="9">
        <v>46086.0</v>
      </c>
      <c r="G9260" s="8" t="s">
        <v>273</v>
      </c>
      <c r="H9260" s="8" t="s">
        <v>274</v>
      </c>
      <c r="I9260" s="8" t="s">
        <v>27669</v>
      </c>
      <c r="J9260" s="8" t="s">
        <v>27670</v>
      </c>
    </row>
    <row r="9261">
      <c r="A9261" s="7">
        <v>2.0033725E7</v>
      </c>
      <c r="B9261" s="8" t="s">
        <v>2426</v>
      </c>
      <c r="C9261" s="8" t="s">
        <v>27671</v>
      </c>
      <c r="D9261" s="8" t="s">
        <v>16</v>
      </c>
      <c r="E9261" s="8" t="s">
        <v>17</v>
      </c>
      <c r="F9261" s="9">
        <v>46068.0</v>
      </c>
      <c r="G9261" s="8" t="s">
        <v>91</v>
      </c>
      <c r="H9261" s="8" t="s">
        <v>92</v>
      </c>
      <c r="I9261" s="8" t="s">
        <v>27672</v>
      </c>
      <c r="J9261" s="8" t="s">
        <v>27673</v>
      </c>
    </row>
    <row r="9262">
      <c r="A9262" s="7">
        <v>2.0037552E7</v>
      </c>
      <c r="B9262" s="8" t="s">
        <v>2426</v>
      </c>
      <c r="C9262" s="8" t="s">
        <v>27674</v>
      </c>
      <c r="D9262" s="8" t="s">
        <v>16</v>
      </c>
      <c r="E9262" s="8" t="s">
        <v>17</v>
      </c>
      <c r="F9262" s="9">
        <v>46067.0</v>
      </c>
      <c r="G9262" s="8" t="s">
        <v>561</v>
      </c>
      <c r="H9262" s="8" t="s">
        <v>562</v>
      </c>
      <c r="I9262" s="8" t="s">
        <v>27675</v>
      </c>
      <c r="J9262" s="8" t="s">
        <v>27676</v>
      </c>
    </row>
    <row r="9263">
      <c r="A9263" s="7">
        <v>2.0037609E7</v>
      </c>
      <c r="B9263" s="8" t="s">
        <v>2426</v>
      </c>
      <c r="C9263" s="8" t="s">
        <v>27677</v>
      </c>
      <c r="D9263" s="8" t="s">
        <v>16</v>
      </c>
      <c r="E9263" s="8" t="s">
        <v>17</v>
      </c>
      <c r="F9263" s="9">
        <v>46058.0</v>
      </c>
      <c r="G9263" s="8" t="s">
        <v>109</v>
      </c>
      <c r="H9263" s="8" t="s">
        <v>110</v>
      </c>
      <c r="I9263" s="8" t="s">
        <v>27678</v>
      </c>
      <c r="J9263" s="8" t="s">
        <v>27679</v>
      </c>
    </row>
    <row r="9264">
      <c r="A9264" s="7">
        <v>2.0069242E7</v>
      </c>
      <c r="B9264" s="8" t="s">
        <v>2426</v>
      </c>
      <c r="C9264" s="8" t="s">
        <v>27680</v>
      </c>
      <c r="D9264" s="8" t="s">
        <v>16</v>
      </c>
      <c r="E9264" s="8" t="s">
        <v>17</v>
      </c>
      <c r="F9264" s="9">
        <v>46191.0</v>
      </c>
      <c r="G9264" s="8" t="s">
        <v>59</v>
      </c>
      <c r="H9264" s="8" t="s">
        <v>60</v>
      </c>
      <c r="I9264" s="8" t="s">
        <v>27681</v>
      </c>
      <c r="J9264" s="8" t="s">
        <v>27682</v>
      </c>
    </row>
    <row r="9265">
      <c r="A9265" s="7">
        <v>2.0067162E7</v>
      </c>
      <c r="B9265" s="8" t="s">
        <v>2426</v>
      </c>
      <c r="C9265" s="8" t="s">
        <v>27683</v>
      </c>
      <c r="D9265" s="8" t="s">
        <v>16</v>
      </c>
      <c r="E9265" s="8" t="s">
        <v>17</v>
      </c>
      <c r="F9265" s="9">
        <v>46190.0</v>
      </c>
      <c r="G9265" s="8" t="s">
        <v>59</v>
      </c>
      <c r="H9265" s="8" t="s">
        <v>60</v>
      </c>
      <c r="I9265" s="8" t="s">
        <v>27684</v>
      </c>
      <c r="J9265" s="8" t="s">
        <v>27685</v>
      </c>
    </row>
    <row r="9266">
      <c r="A9266" s="7">
        <v>2.0065538E7</v>
      </c>
      <c r="B9266" s="8" t="s">
        <v>2426</v>
      </c>
      <c r="C9266" s="8" t="s">
        <v>27686</v>
      </c>
      <c r="D9266" s="8" t="s">
        <v>16</v>
      </c>
      <c r="E9266" s="8" t="s">
        <v>17</v>
      </c>
      <c r="F9266" s="9">
        <v>46182.0</v>
      </c>
      <c r="G9266" s="8" t="s">
        <v>1045</v>
      </c>
      <c r="H9266" s="8" t="s">
        <v>909</v>
      </c>
      <c r="I9266" s="8" t="s">
        <v>27687</v>
      </c>
      <c r="J9266" s="8" t="s">
        <v>27688</v>
      </c>
    </row>
    <row r="9267">
      <c r="A9267" s="7">
        <v>2.0061208E7</v>
      </c>
      <c r="B9267" s="8" t="s">
        <v>2426</v>
      </c>
      <c r="C9267" s="8" t="s">
        <v>27689</v>
      </c>
      <c r="D9267" s="8" t="s">
        <v>16</v>
      </c>
      <c r="E9267" s="8" t="s">
        <v>17</v>
      </c>
      <c r="F9267" s="9">
        <v>46156.0</v>
      </c>
      <c r="G9267" s="8" t="s">
        <v>59</v>
      </c>
      <c r="H9267" s="8" t="s">
        <v>60</v>
      </c>
      <c r="I9267" s="8" t="s">
        <v>27690</v>
      </c>
      <c r="J9267" s="8" t="s">
        <v>27691</v>
      </c>
    </row>
    <row r="9268">
      <c r="A9268" s="7">
        <v>2.0060698E7</v>
      </c>
      <c r="B9268" s="8" t="s">
        <v>2426</v>
      </c>
      <c r="C9268" s="8" t="s">
        <v>27692</v>
      </c>
      <c r="D9268" s="8" t="s">
        <v>16</v>
      </c>
      <c r="E9268" s="8" t="s">
        <v>17</v>
      </c>
      <c r="F9268" s="9">
        <v>46184.0</v>
      </c>
      <c r="G9268" s="8" t="s">
        <v>9891</v>
      </c>
      <c r="H9268" s="8" t="s">
        <v>9892</v>
      </c>
      <c r="I9268" s="8" t="s">
        <v>27693</v>
      </c>
      <c r="J9268" s="8" t="s">
        <v>27694</v>
      </c>
    </row>
    <row r="9269">
      <c r="A9269" s="7">
        <v>2.0058493E7</v>
      </c>
      <c r="B9269" s="8" t="s">
        <v>2426</v>
      </c>
      <c r="C9269" s="8" t="s">
        <v>27695</v>
      </c>
      <c r="D9269" s="8" t="s">
        <v>16</v>
      </c>
      <c r="E9269" s="8" t="s">
        <v>17</v>
      </c>
      <c r="F9269" s="9">
        <v>46156.0</v>
      </c>
      <c r="G9269" s="8" t="s">
        <v>59</v>
      </c>
      <c r="H9269" s="8" t="s">
        <v>60</v>
      </c>
      <c r="I9269" s="8" t="s">
        <v>27696</v>
      </c>
      <c r="J9269" s="8" t="s">
        <v>27697</v>
      </c>
    </row>
    <row r="9270">
      <c r="A9270" s="7">
        <v>2.0057918E7</v>
      </c>
      <c r="B9270" s="8" t="s">
        <v>2426</v>
      </c>
      <c r="C9270" s="8" t="s">
        <v>27698</v>
      </c>
      <c r="D9270" s="8" t="s">
        <v>16</v>
      </c>
      <c r="E9270" s="8" t="s">
        <v>17</v>
      </c>
      <c r="F9270" s="9">
        <v>46158.0</v>
      </c>
      <c r="G9270" s="8" t="s">
        <v>195</v>
      </c>
      <c r="H9270" s="8" t="s">
        <v>196</v>
      </c>
      <c r="I9270" s="8" t="s">
        <v>27699</v>
      </c>
      <c r="J9270" s="8" t="s">
        <v>27700</v>
      </c>
    </row>
    <row r="9271">
      <c r="A9271" s="7">
        <v>2.0057347E7</v>
      </c>
      <c r="B9271" s="8" t="s">
        <v>2426</v>
      </c>
      <c r="C9271" s="8" t="s">
        <v>27701</v>
      </c>
      <c r="D9271" s="8" t="s">
        <v>16</v>
      </c>
      <c r="E9271" s="8" t="s">
        <v>17</v>
      </c>
      <c r="F9271" s="9">
        <v>46136.0</v>
      </c>
      <c r="G9271" s="8" t="s">
        <v>1093</v>
      </c>
      <c r="H9271" s="8" t="s">
        <v>1094</v>
      </c>
      <c r="I9271" s="8" t="s">
        <v>27702</v>
      </c>
      <c r="J9271" s="8" t="s">
        <v>27703</v>
      </c>
    </row>
    <row r="9272">
      <c r="A9272" s="7">
        <v>2.0052456E7</v>
      </c>
      <c r="B9272" s="8" t="s">
        <v>2426</v>
      </c>
      <c r="C9272" s="8" t="s">
        <v>27704</v>
      </c>
      <c r="D9272" s="8" t="s">
        <v>16</v>
      </c>
      <c r="E9272" s="8" t="s">
        <v>17</v>
      </c>
      <c r="F9272" s="9">
        <v>46120.0</v>
      </c>
      <c r="G9272" s="8" t="s">
        <v>2511</v>
      </c>
      <c r="H9272" s="8" t="s">
        <v>2512</v>
      </c>
      <c r="I9272" s="8" t="s">
        <v>27705</v>
      </c>
      <c r="J9272" s="8" t="s">
        <v>27706</v>
      </c>
    </row>
    <row r="9273">
      <c r="A9273" s="7">
        <v>2.0043935E7</v>
      </c>
      <c r="B9273" s="8" t="s">
        <v>2426</v>
      </c>
      <c r="C9273" s="8" t="s">
        <v>27707</v>
      </c>
      <c r="D9273" s="8" t="s">
        <v>16</v>
      </c>
      <c r="E9273" s="8" t="s">
        <v>17</v>
      </c>
      <c r="F9273" s="9">
        <v>46092.0</v>
      </c>
      <c r="G9273" s="8" t="s">
        <v>543</v>
      </c>
      <c r="H9273" s="8" t="s">
        <v>544</v>
      </c>
      <c r="I9273" s="8" t="s">
        <v>27708</v>
      </c>
      <c r="J9273" s="8" t="s">
        <v>27709</v>
      </c>
    </row>
    <row r="9274">
      <c r="A9274" s="7">
        <v>2.0043194E7</v>
      </c>
      <c r="B9274" s="8" t="s">
        <v>2426</v>
      </c>
      <c r="C9274" s="8" t="s">
        <v>27710</v>
      </c>
      <c r="D9274" s="8" t="s">
        <v>16</v>
      </c>
      <c r="E9274" s="8" t="s">
        <v>17</v>
      </c>
      <c r="F9274" s="9">
        <v>46080.0</v>
      </c>
      <c r="G9274" s="8" t="s">
        <v>873</v>
      </c>
      <c r="H9274" s="8" t="s">
        <v>874</v>
      </c>
      <c r="I9274" s="8" t="s">
        <v>27711</v>
      </c>
      <c r="J9274" s="8" t="s">
        <v>27712</v>
      </c>
    </row>
    <row r="9275">
      <c r="A9275" s="7">
        <v>2.0041647E7</v>
      </c>
      <c r="B9275" s="8" t="s">
        <v>2426</v>
      </c>
      <c r="C9275" s="8" t="s">
        <v>27713</v>
      </c>
      <c r="D9275" s="8" t="s">
        <v>16</v>
      </c>
      <c r="E9275" s="8" t="s">
        <v>17</v>
      </c>
      <c r="F9275" s="9">
        <v>46080.0</v>
      </c>
      <c r="G9275" s="8" t="s">
        <v>3012</v>
      </c>
      <c r="H9275" s="8" t="s">
        <v>3013</v>
      </c>
      <c r="I9275" s="8" t="s">
        <v>27714</v>
      </c>
      <c r="J9275" s="8" t="s">
        <v>27715</v>
      </c>
    </row>
    <row r="9276">
      <c r="A9276" s="7">
        <v>2.0041298E7</v>
      </c>
      <c r="B9276" s="8" t="s">
        <v>2426</v>
      </c>
      <c r="C9276" s="8" t="s">
        <v>27716</v>
      </c>
      <c r="D9276" s="8" t="s">
        <v>16</v>
      </c>
      <c r="E9276" s="8" t="s">
        <v>17</v>
      </c>
      <c r="F9276" s="9">
        <v>46089.0</v>
      </c>
      <c r="G9276" s="8" t="s">
        <v>1085</v>
      </c>
      <c r="H9276" s="8" t="s">
        <v>1086</v>
      </c>
      <c r="I9276" s="8" t="s">
        <v>27717</v>
      </c>
      <c r="J9276" s="8" t="s">
        <v>27718</v>
      </c>
    </row>
    <row r="9277">
      <c r="A9277" s="7">
        <v>2.0036578E7</v>
      </c>
      <c r="B9277" s="8" t="s">
        <v>2426</v>
      </c>
      <c r="C9277" s="8" t="s">
        <v>27719</v>
      </c>
      <c r="D9277" s="8" t="s">
        <v>16</v>
      </c>
      <c r="E9277" s="8" t="s">
        <v>17</v>
      </c>
      <c r="F9277" s="9">
        <v>46077.0</v>
      </c>
      <c r="G9277" s="8" t="s">
        <v>361</v>
      </c>
      <c r="H9277" s="8" t="s">
        <v>362</v>
      </c>
      <c r="I9277" s="8" t="s">
        <v>27720</v>
      </c>
      <c r="J9277" s="8" t="s">
        <v>27721</v>
      </c>
    </row>
    <row r="9278">
      <c r="A9278" s="7">
        <v>2.0039033E7</v>
      </c>
      <c r="B9278" s="8" t="s">
        <v>2426</v>
      </c>
      <c r="C9278" s="8" t="s">
        <v>27722</v>
      </c>
      <c r="D9278" s="8" t="s">
        <v>16</v>
      </c>
      <c r="E9278" s="8" t="s">
        <v>17</v>
      </c>
      <c r="F9278" s="9">
        <v>46075.0</v>
      </c>
      <c r="G9278" s="8" t="s">
        <v>1638</v>
      </c>
      <c r="H9278" s="8" t="s">
        <v>1639</v>
      </c>
      <c r="I9278" s="8" t="s">
        <v>27723</v>
      </c>
      <c r="J9278" s="8" t="s">
        <v>27724</v>
      </c>
    </row>
    <row r="9279">
      <c r="A9279" s="7">
        <v>2.0036013E7</v>
      </c>
      <c r="B9279" s="8" t="s">
        <v>2426</v>
      </c>
      <c r="C9279" s="8" t="s">
        <v>27725</v>
      </c>
      <c r="D9279" s="8" t="s">
        <v>16</v>
      </c>
      <c r="E9279" s="8" t="s">
        <v>17</v>
      </c>
      <c r="F9279" s="9">
        <v>46061.0</v>
      </c>
      <c r="G9279" s="8" t="s">
        <v>688</v>
      </c>
      <c r="H9279" s="8" t="s">
        <v>689</v>
      </c>
      <c r="I9279" s="8" t="s">
        <v>27726</v>
      </c>
      <c r="J9279" s="8" t="s">
        <v>27727</v>
      </c>
    </row>
    <row r="9280">
      <c r="A9280" s="7">
        <v>2.0029762E7</v>
      </c>
      <c r="B9280" s="8" t="s">
        <v>2426</v>
      </c>
      <c r="C9280" s="8" t="s">
        <v>27728</v>
      </c>
      <c r="D9280" s="8" t="s">
        <v>16</v>
      </c>
      <c r="E9280" s="8" t="s">
        <v>17</v>
      </c>
      <c r="F9280" s="9">
        <v>46047.0</v>
      </c>
      <c r="G9280" s="8" t="s">
        <v>195</v>
      </c>
      <c r="H9280" s="8" t="s">
        <v>196</v>
      </c>
      <c r="I9280" s="8" t="s">
        <v>27729</v>
      </c>
      <c r="J9280" s="8" t="s">
        <v>27730</v>
      </c>
    </row>
    <row r="9281">
      <c r="A9281" s="7">
        <v>2.0031205E7</v>
      </c>
      <c r="B9281" s="8" t="s">
        <v>2426</v>
      </c>
      <c r="C9281" s="8" t="s">
        <v>27731</v>
      </c>
      <c r="D9281" s="8" t="s">
        <v>16</v>
      </c>
      <c r="E9281" s="8" t="s">
        <v>17</v>
      </c>
      <c r="F9281" s="9">
        <v>46043.0</v>
      </c>
      <c r="G9281" s="8" t="s">
        <v>3585</v>
      </c>
      <c r="H9281" s="8" t="s">
        <v>3586</v>
      </c>
      <c r="I9281" s="8" t="s">
        <v>27732</v>
      </c>
      <c r="J9281" s="8" t="s">
        <v>27733</v>
      </c>
    </row>
    <row r="9282">
      <c r="A9282" s="7">
        <v>2.0031205E7</v>
      </c>
      <c r="B9282" s="8" t="s">
        <v>2426</v>
      </c>
      <c r="C9282" s="8" t="s">
        <v>27731</v>
      </c>
      <c r="D9282" s="8" t="s">
        <v>16</v>
      </c>
      <c r="E9282" s="8" t="s">
        <v>17</v>
      </c>
      <c r="F9282" s="9">
        <v>46043.0</v>
      </c>
      <c r="G9282" s="8" t="s">
        <v>3585</v>
      </c>
      <c r="H9282" s="8" t="s">
        <v>3586</v>
      </c>
      <c r="I9282" s="8" t="s">
        <v>27734</v>
      </c>
      <c r="J9282" s="8" t="s">
        <v>27733</v>
      </c>
    </row>
    <row r="9283">
      <c r="A9283" s="7">
        <v>2.0070929E7</v>
      </c>
      <c r="B9283" s="8" t="s">
        <v>2426</v>
      </c>
      <c r="C9283" s="8" t="s">
        <v>27735</v>
      </c>
      <c r="D9283" s="8" t="s">
        <v>16</v>
      </c>
      <c r="E9283" s="8" t="s">
        <v>17</v>
      </c>
      <c r="F9283" s="9">
        <v>46193.0</v>
      </c>
      <c r="G9283" s="8" t="s">
        <v>365</v>
      </c>
      <c r="H9283" s="8" t="s">
        <v>366</v>
      </c>
      <c r="I9283" s="8" t="s">
        <v>27736</v>
      </c>
      <c r="J9283" s="8" t="s">
        <v>27737</v>
      </c>
    </row>
    <row r="9284">
      <c r="A9284" s="7">
        <v>2.006536E7</v>
      </c>
      <c r="B9284" s="8" t="s">
        <v>2426</v>
      </c>
      <c r="C9284" s="8" t="s">
        <v>27738</v>
      </c>
      <c r="D9284" s="8" t="s">
        <v>16</v>
      </c>
      <c r="E9284" s="8" t="s">
        <v>17</v>
      </c>
      <c r="F9284" s="9">
        <v>46190.0</v>
      </c>
      <c r="G9284" s="8" t="s">
        <v>158</v>
      </c>
      <c r="H9284" s="8" t="s">
        <v>159</v>
      </c>
      <c r="I9284" s="8" t="s">
        <v>27739</v>
      </c>
      <c r="J9284" s="8" t="s">
        <v>27740</v>
      </c>
    </row>
    <row r="9285">
      <c r="A9285" s="7">
        <v>2.006322E7</v>
      </c>
      <c r="B9285" s="8" t="s">
        <v>2426</v>
      </c>
      <c r="C9285" s="8" t="s">
        <v>27741</v>
      </c>
      <c r="D9285" s="8" t="s">
        <v>16</v>
      </c>
      <c r="E9285" s="8" t="s">
        <v>17</v>
      </c>
      <c r="F9285" s="9">
        <v>46160.0</v>
      </c>
      <c r="G9285" s="8" t="s">
        <v>13468</v>
      </c>
      <c r="H9285" s="8" t="s">
        <v>13469</v>
      </c>
      <c r="I9285" s="8" t="s">
        <v>27742</v>
      </c>
      <c r="J9285" s="8" t="s">
        <v>27414</v>
      </c>
    </row>
    <row r="9286">
      <c r="A9286" s="7">
        <v>2.0057274E7</v>
      </c>
      <c r="B9286" s="8" t="s">
        <v>2426</v>
      </c>
      <c r="C9286" s="8" t="s">
        <v>27743</v>
      </c>
      <c r="D9286" s="8" t="s">
        <v>16</v>
      </c>
      <c r="E9286" s="8" t="s">
        <v>17</v>
      </c>
      <c r="F9286" s="9">
        <v>46159.0</v>
      </c>
      <c r="G9286" s="8" t="s">
        <v>59</v>
      </c>
      <c r="H9286" s="8" t="s">
        <v>60</v>
      </c>
      <c r="I9286" s="8" t="s">
        <v>27744</v>
      </c>
      <c r="J9286" s="8" t="s">
        <v>27745</v>
      </c>
    </row>
    <row r="9287">
      <c r="A9287" s="7">
        <v>2.0061487E7</v>
      </c>
      <c r="B9287" s="8" t="s">
        <v>2426</v>
      </c>
      <c r="C9287" s="8" t="s">
        <v>27746</v>
      </c>
      <c r="D9287" s="8" t="s">
        <v>16</v>
      </c>
      <c r="E9287" s="8" t="s">
        <v>17</v>
      </c>
      <c r="F9287" s="9">
        <v>46159.0</v>
      </c>
      <c r="G9287" s="8" t="s">
        <v>25002</v>
      </c>
      <c r="H9287" s="8" t="s">
        <v>25003</v>
      </c>
      <c r="I9287" s="8" t="s">
        <v>27747</v>
      </c>
      <c r="J9287" s="8" t="s">
        <v>27748</v>
      </c>
    </row>
    <row r="9288">
      <c r="A9288" s="7">
        <v>2.0059403E7</v>
      </c>
      <c r="B9288" s="8" t="s">
        <v>2426</v>
      </c>
      <c r="C9288" s="8" t="s">
        <v>27749</v>
      </c>
      <c r="D9288" s="8" t="s">
        <v>16</v>
      </c>
      <c r="E9288" s="8" t="s">
        <v>17</v>
      </c>
      <c r="F9288" s="9">
        <v>46158.0</v>
      </c>
      <c r="G9288" s="8" t="s">
        <v>1557</v>
      </c>
      <c r="H9288" s="8" t="s">
        <v>1558</v>
      </c>
      <c r="I9288" s="8" t="s">
        <v>27750</v>
      </c>
      <c r="J9288" s="8" t="s">
        <v>27751</v>
      </c>
    </row>
    <row r="9289">
      <c r="A9289" s="7">
        <v>2.0056255E7</v>
      </c>
      <c r="B9289" s="8" t="s">
        <v>2426</v>
      </c>
      <c r="C9289" s="8" t="s">
        <v>27752</v>
      </c>
      <c r="D9289" s="8" t="s">
        <v>16</v>
      </c>
      <c r="E9289" s="8" t="s">
        <v>17</v>
      </c>
      <c r="F9289" s="9">
        <v>46145.0</v>
      </c>
      <c r="G9289" s="8" t="s">
        <v>561</v>
      </c>
      <c r="H9289" s="8" t="s">
        <v>562</v>
      </c>
      <c r="I9289" s="8" t="s">
        <v>27753</v>
      </c>
      <c r="J9289" s="8" t="s">
        <v>27754</v>
      </c>
    </row>
    <row r="9290">
      <c r="A9290" s="7">
        <v>2.0054789E7</v>
      </c>
      <c r="B9290" s="8" t="s">
        <v>2426</v>
      </c>
      <c r="C9290" s="8" t="s">
        <v>27755</v>
      </c>
      <c r="D9290" s="8" t="s">
        <v>16</v>
      </c>
      <c r="E9290" s="8" t="s">
        <v>17</v>
      </c>
      <c r="F9290" s="9">
        <v>46123.0</v>
      </c>
      <c r="G9290" s="8" t="s">
        <v>5590</v>
      </c>
      <c r="H9290" s="8" t="s">
        <v>2062</v>
      </c>
      <c r="I9290" s="8" t="s">
        <v>27756</v>
      </c>
      <c r="J9290" s="8" t="s">
        <v>27757</v>
      </c>
    </row>
    <row r="9291">
      <c r="A9291" s="7">
        <v>2.0054249E7</v>
      </c>
      <c r="B9291" s="8" t="s">
        <v>2426</v>
      </c>
      <c r="C9291" s="8" t="s">
        <v>27758</v>
      </c>
      <c r="D9291" s="8" t="s">
        <v>16</v>
      </c>
      <c r="E9291" s="8" t="s">
        <v>17</v>
      </c>
      <c r="F9291" s="9">
        <v>46137.0</v>
      </c>
      <c r="G9291" s="8" t="s">
        <v>361</v>
      </c>
      <c r="H9291" s="8" t="s">
        <v>362</v>
      </c>
      <c r="I9291" s="8" t="s">
        <v>27759</v>
      </c>
      <c r="J9291" s="8" t="s">
        <v>27760</v>
      </c>
    </row>
    <row r="9292">
      <c r="A9292" s="7">
        <v>2.0041394E7</v>
      </c>
      <c r="B9292" s="8" t="s">
        <v>2426</v>
      </c>
      <c r="C9292" s="8" t="s">
        <v>27761</v>
      </c>
      <c r="D9292" s="8" t="s">
        <v>16</v>
      </c>
      <c r="E9292" s="8" t="s">
        <v>17</v>
      </c>
      <c r="F9292" s="9">
        <v>46087.0</v>
      </c>
      <c r="G9292" s="8" t="s">
        <v>59</v>
      </c>
      <c r="H9292" s="8" t="s">
        <v>60</v>
      </c>
      <c r="I9292" s="8" t="s">
        <v>27762</v>
      </c>
      <c r="J9292" s="8" t="s">
        <v>27763</v>
      </c>
    </row>
    <row r="9293">
      <c r="A9293" s="7">
        <v>2.0044077E7</v>
      </c>
      <c r="B9293" s="8" t="s">
        <v>2426</v>
      </c>
      <c r="C9293" s="8" t="s">
        <v>27764</v>
      </c>
      <c r="D9293" s="8" t="s">
        <v>16</v>
      </c>
      <c r="E9293" s="8" t="s">
        <v>48</v>
      </c>
      <c r="F9293" s="9">
        <v>46107.0</v>
      </c>
      <c r="G9293" s="8" t="s">
        <v>27765</v>
      </c>
      <c r="H9293" s="8" t="s">
        <v>27766</v>
      </c>
      <c r="I9293" s="8" t="s">
        <v>27767</v>
      </c>
      <c r="J9293" s="8"/>
    </row>
    <row r="9294">
      <c r="A9294" s="7">
        <v>2.0039261E7</v>
      </c>
      <c r="B9294" s="8" t="s">
        <v>2426</v>
      </c>
      <c r="C9294" s="8" t="s">
        <v>27768</v>
      </c>
      <c r="D9294" s="8" t="s">
        <v>16</v>
      </c>
      <c r="E9294" s="8" t="s">
        <v>17</v>
      </c>
      <c r="F9294" s="9">
        <v>46093.0</v>
      </c>
      <c r="G9294" s="8" t="s">
        <v>846</v>
      </c>
      <c r="H9294" s="8" t="s">
        <v>847</v>
      </c>
      <c r="I9294" s="8" t="s">
        <v>27769</v>
      </c>
      <c r="J9294" s="8" t="s">
        <v>27770</v>
      </c>
    </row>
    <row r="9295">
      <c r="A9295" s="7">
        <v>2.0036531E7</v>
      </c>
      <c r="B9295" s="8" t="s">
        <v>2426</v>
      </c>
      <c r="C9295" s="8" t="s">
        <v>27771</v>
      </c>
      <c r="D9295" s="8" t="s">
        <v>16</v>
      </c>
      <c r="E9295" s="8" t="s">
        <v>17</v>
      </c>
      <c r="F9295" s="9">
        <v>46091.0</v>
      </c>
      <c r="G9295" s="8" t="s">
        <v>846</v>
      </c>
      <c r="H9295" s="8" t="s">
        <v>847</v>
      </c>
      <c r="I9295" s="8" t="s">
        <v>27772</v>
      </c>
      <c r="J9295" s="8" t="s">
        <v>27773</v>
      </c>
    </row>
    <row r="9296">
      <c r="A9296" s="7">
        <v>2.0034417E7</v>
      </c>
      <c r="B9296" s="8" t="s">
        <v>2426</v>
      </c>
      <c r="C9296" s="8" t="s">
        <v>27774</v>
      </c>
      <c r="D9296" s="8" t="s">
        <v>16</v>
      </c>
      <c r="E9296" s="8" t="s">
        <v>17</v>
      </c>
      <c r="F9296" s="9">
        <v>46069.0</v>
      </c>
      <c r="G9296" s="8" t="s">
        <v>1503</v>
      </c>
      <c r="H9296" s="8" t="s">
        <v>1504</v>
      </c>
      <c r="I9296" s="8" t="s">
        <v>27775</v>
      </c>
      <c r="J9296" s="8" t="s">
        <v>27776</v>
      </c>
    </row>
    <row r="9297">
      <c r="A9297" s="7">
        <v>2.0038776E7</v>
      </c>
      <c r="B9297" s="8" t="s">
        <v>2426</v>
      </c>
      <c r="C9297" s="8" t="s">
        <v>27777</v>
      </c>
      <c r="D9297" s="8" t="s">
        <v>16</v>
      </c>
      <c r="E9297" s="8" t="s">
        <v>17</v>
      </c>
      <c r="F9297" s="9">
        <v>46058.0</v>
      </c>
      <c r="G9297" s="8" t="s">
        <v>91</v>
      </c>
      <c r="H9297" s="8" t="s">
        <v>92</v>
      </c>
      <c r="I9297" s="8" t="s">
        <v>27778</v>
      </c>
      <c r="J9297" s="8" t="s">
        <v>27779</v>
      </c>
    </row>
    <row r="9298">
      <c r="A9298" s="7">
        <v>2.0031067E7</v>
      </c>
      <c r="B9298" s="8" t="s">
        <v>2426</v>
      </c>
      <c r="C9298" s="8" t="s">
        <v>27780</v>
      </c>
      <c r="D9298" s="8" t="s">
        <v>16</v>
      </c>
      <c r="E9298" s="8" t="s">
        <v>17</v>
      </c>
      <c r="F9298" s="9">
        <v>46054.0</v>
      </c>
      <c r="G9298" s="8" t="s">
        <v>846</v>
      </c>
      <c r="H9298" s="8" t="s">
        <v>847</v>
      </c>
      <c r="I9298" s="8" t="s">
        <v>27781</v>
      </c>
      <c r="J9298" s="8" t="s">
        <v>27782</v>
      </c>
    </row>
    <row r="9299">
      <c r="A9299" s="7">
        <v>2.0059771E7</v>
      </c>
      <c r="B9299" s="8" t="s">
        <v>2426</v>
      </c>
      <c r="C9299" s="8" t="s">
        <v>27783</v>
      </c>
      <c r="D9299" s="8" t="s">
        <v>16</v>
      </c>
      <c r="E9299" s="8" t="s">
        <v>17</v>
      </c>
      <c r="F9299" s="9">
        <v>46166.0</v>
      </c>
      <c r="G9299" s="8" t="s">
        <v>3255</v>
      </c>
      <c r="H9299" s="8" t="s">
        <v>3256</v>
      </c>
      <c r="I9299" s="8" t="s">
        <v>27784</v>
      </c>
      <c r="J9299" s="8" t="s">
        <v>27785</v>
      </c>
    </row>
    <row r="9300">
      <c r="A9300" s="7">
        <v>2.0058958E7</v>
      </c>
      <c r="B9300" s="8" t="s">
        <v>2426</v>
      </c>
      <c r="C9300" s="8" t="s">
        <v>27786</v>
      </c>
      <c r="D9300" s="8" t="s">
        <v>2136</v>
      </c>
      <c r="E9300" s="8" t="s">
        <v>17</v>
      </c>
      <c r="F9300" s="9">
        <v>46162.0</v>
      </c>
      <c r="G9300" s="8" t="s">
        <v>1969</v>
      </c>
      <c r="H9300" s="8" t="s">
        <v>1970</v>
      </c>
      <c r="I9300" s="8" t="s">
        <v>27787</v>
      </c>
      <c r="J9300" s="8" t="s">
        <v>27788</v>
      </c>
    </row>
    <row r="9301">
      <c r="A9301" s="7">
        <v>2.0060706E7</v>
      </c>
      <c r="B9301" s="8" t="s">
        <v>2426</v>
      </c>
      <c r="C9301" s="8" t="s">
        <v>27789</v>
      </c>
      <c r="D9301" s="8" t="s">
        <v>16</v>
      </c>
      <c r="E9301" s="8" t="s">
        <v>17</v>
      </c>
      <c r="F9301" s="9">
        <v>46163.0</v>
      </c>
      <c r="G9301" s="8" t="s">
        <v>75</v>
      </c>
      <c r="H9301" s="8" t="s">
        <v>76</v>
      </c>
      <c r="I9301" s="8" t="s">
        <v>27790</v>
      </c>
      <c r="J9301" s="8" t="s">
        <v>27791</v>
      </c>
    </row>
    <row r="9302">
      <c r="A9302" s="7">
        <v>2.0062326E7</v>
      </c>
      <c r="B9302" s="8" t="s">
        <v>2426</v>
      </c>
      <c r="C9302" s="8" t="s">
        <v>27792</v>
      </c>
      <c r="D9302" s="8" t="s">
        <v>16</v>
      </c>
      <c r="E9302" s="8" t="s">
        <v>17</v>
      </c>
      <c r="F9302" s="9">
        <v>46189.0</v>
      </c>
      <c r="G9302" s="8" t="s">
        <v>171</v>
      </c>
      <c r="H9302" s="8" t="s">
        <v>172</v>
      </c>
      <c r="I9302" s="8" t="s">
        <v>27793</v>
      </c>
      <c r="J9302" s="8" t="s">
        <v>27794</v>
      </c>
    </row>
    <row r="9303">
      <c r="A9303" s="7">
        <v>2.0059237E7</v>
      </c>
      <c r="B9303" s="8" t="s">
        <v>2426</v>
      </c>
      <c r="C9303" s="8" t="s">
        <v>27795</v>
      </c>
      <c r="D9303" s="8" t="s">
        <v>16</v>
      </c>
      <c r="E9303" s="8" t="s">
        <v>17</v>
      </c>
      <c r="F9303" s="9">
        <v>46185.0</v>
      </c>
      <c r="G9303" s="8" t="s">
        <v>314</v>
      </c>
      <c r="H9303" s="8" t="s">
        <v>315</v>
      </c>
      <c r="I9303" s="8" t="s">
        <v>27796</v>
      </c>
      <c r="J9303" s="8" t="s">
        <v>27797</v>
      </c>
    </row>
    <row r="9304">
      <c r="A9304" s="7">
        <v>2.0058411E7</v>
      </c>
      <c r="B9304" s="8" t="s">
        <v>2426</v>
      </c>
      <c r="C9304" s="8" t="s">
        <v>27798</v>
      </c>
      <c r="D9304" s="8" t="s">
        <v>16</v>
      </c>
      <c r="E9304" s="8" t="s">
        <v>17</v>
      </c>
      <c r="F9304" s="9">
        <v>46139.0</v>
      </c>
      <c r="G9304" s="8" t="s">
        <v>971</v>
      </c>
      <c r="H9304" s="8" t="s">
        <v>972</v>
      </c>
      <c r="I9304" s="8" t="s">
        <v>27799</v>
      </c>
      <c r="J9304" s="8" t="s">
        <v>27800</v>
      </c>
    </row>
    <row r="9305">
      <c r="A9305" s="7">
        <v>2.0052882E7</v>
      </c>
      <c r="B9305" s="8" t="s">
        <v>2426</v>
      </c>
      <c r="C9305" s="8" t="s">
        <v>27801</v>
      </c>
      <c r="D9305" s="8" t="s">
        <v>16</v>
      </c>
      <c r="E9305" s="8" t="s">
        <v>17</v>
      </c>
      <c r="F9305" s="9">
        <v>46126.0</v>
      </c>
      <c r="G9305" s="8" t="s">
        <v>436</v>
      </c>
      <c r="H9305" s="8" t="s">
        <v>437</v>
      </c>
      <c r="I9305" s="8" t="s">
        <v>27802</v>
      </c>
      <c r="J9305" s="8" t="s">
        <v>26331</v>
      </c>
    </row>
    <row r="9306">
      <c r="A9306" s="7">
        <v>2.0050771E7</v>
      </c>
      <c r="B9306" s="8" t="s">
        <v>2426</v>
      </c>
      <c r="C9306" s="8" t="s">
        <v>27803</v>
      </c>
      <c r="D9306" s="8" t="s">
        <v>16</v>
      </c>
      <c r="E9306" s="8" t="s">
        <v>17</v>
      </c>
      <c r="F9306" s="9">
        <v>46113.0</v>
      </c>
      <c r="G9306" s="8" t="s">
        <v>1969</v>
      </c>
      <c r="H9306" s="8" t="s">
        <v>1970</v>
      </c>
      <c r="I9306" s="8" t="s">
        <v>27804</v>
      </c>
      <c r="J9306" s="8" t="s">
        <v>27805</v>
      </c>
    </row>
    <row r="9307">
      <c r="A9307" s="7">
        <v>2.004858E7</v>
      </c>
      <c r="B9307" s="8" t="s">
        <v>2426</v>
      </c>
      <c r="C9307" s="8" t="s">
        <v>27806</v>
      </c>
      <c r="D9307" s="8" t="s">
        <v>16</v>
      </c>
      <c r="E9307" s="8" t="s">
        <v>17</v>
      </c>
      <c r="F9307" s="9">
        <v>46100.0</v>
      </c>
      <c r="G9307" s="8" t="s">
        <v>3572</v>
      </c>
      <c r="H9307" s="8" t="s">
        <v>3573</v>
      </c>
      <c r="I9307" s="8" t="s">
        <v>27807</v>
      </c>
      <c r="J9307" s="8" t="s">
        <v>27808</v>
      </c>
    </row>
    <row r="9308">
      <c r="A9308" s="7">
        <v>2.004858E7</v>
      </c>
      <c r="B9308" s="8" t="s">
        <v>2426</v>
      </c>
      <c r="C9308" s="8" t="s">
        <v>27806</v>
      </c>
      <c r="D9308" s="8" t="s">
        <v>16</v>
      </c>
      <c r="E9308" s="8" t="s">
        <v>17</v>
      </c>
      <c r="F9308" s="9">
        <v>46100.0</v>
      </c>
      <c r="G9308" s="8" t="s">
        <v>3812</v>
      </c>
      <c r="H9308" s="8" t="s">
        <v>3813</v>
      </c>
      <c r="I9308" s="8" t="s">
        <v>27809</v>
      </c>
      <c r="J9308" s="8" t="s">
        <v>27810</v>
      </c>
    </row>
    <row r="9309">
      <c r="A9309" s="7">
        <v>2.004858E7</v>
      </c>
      <c r="B9309" s="8" t="s">
        <v>2426</v>
      </c>
      <c r="C9309" s="8" t="s">
        <v>27806</v>
      </c>
      <c r="D9309" s="8" t="s">
        <v>16</v>
      </c>
      <c r="E9309" s="8" t="s">
        <v>17</v>
      </c>
      <c r="F9309" s="9">
        <v>46100.0</v>
      </c>
      <c r="G9309" s="8" t="s">
        <v>3812</v>
      </c>
      <c r="H9309" s="8" t="s">
        <v>3813</v>
      </c>
      <c r="I9309" s="8" t="s">
        <v>27811</v>
      </c>
      <c r="J9309" s="8" t="s">
        <v>27812</v>
      </c>
    </row>
    <row r="9310">
      <c r="A9310" s="7">
        <v>2.004858E7</v>
      </c>
      <c r="B9310" s="8" t="s">
        <v>2426</v>
      </c>
      <c r="C9310" s="8" t="s">
        <v>27806</v>
      </c>
      <c r="D9310" s="8" t="s">
        <v>16</v>
      </c>
      <c r="E9310" s="8" t="s">
        <v>17</v>
      </c>
      <c r="F9310" s="9">
        <v>46100.0</v>
      </c>
      <c r="G9310" s="8" t="s">
        <v>3572</v>
      </c>
      <c r="H9310" s="8" t="s">
        <v>3573</v>
      </c>
      <c r="I9310" s="8" t="s">
        <v>27813</v>
      </c>
      <c r="J9310" s="8" t="s">
        <v>27807</v>
      </c>
    </row>
    <row r="9311">
      <c r="A9311" s="7">
        <v>2.0045317E7</v>
      </c>
      <c r="B9311" s="8" t="s">
        <v>2426</v>
      </c>
      <c r="C9311" s="8" t="s">
        <v>27814</v>
      </c>
      <c r="D9311" s="8" t="s">
        <v>16</v>
      </c>
      <c r="E9311" s="8" t="s">
        <v>17</v>
      </c>
      <c r="F9311" s="9">
        <v>46106.0</v>
      </c>
      <c r="G9311" s="8" t="s">
        <v>109</v>
      </c>
      <c r="H9311" s="8" t="s">
        <v>110</v>
      </c>
      <c r="I9311" s="8" t="s">
        <v>27815</v>
      </c>
      <c r="J9311" s="8" t="s">
        <v>27816</v>
      </c>
    </row>
    <row r="9312">
      <c r="A9312" s="7">
        <v>2.0047889E7</v>
      </c>
      <c r="B9312" s="8" t="s">
        <v>2426</v>
      </c>
      <c r="C9312" s="8" t="s">
        <v>27817</v>
      </c>
      <c r="D9312" s="8" t="s">
        <v>16</v>
      </c>
      <c r="E9312" s="8" t="s">
        <v>17</v>
      </c>
      <c r="F9312" s="9">
        <v>46110.0</v>
      </c>
      <c r="G9312" s="8" t="s">
        <v>486</v>
      </c>
      <c r="H9312" s="8" t="s">
        <v>487</v>
      </c>
      <c r="I9312" s="8" t="s">
        <v>27818</v>
      </c>
      <c r="J9312" s="8" t="s">
        <v>27819</v>
      </c>
    </row>
    <row r="9313">
      <c r="A9313" s="7">
        <v>2.0018996E7</v>
      </c>
      <c r="B9313" s="8" t="s">
        <v>2426</v>
      </c>
      <c r="C9313" s="8" t="s">
        <v>27820</v>
      </c>
      <c r="D9313" s="8" t="s">
        <v>16</v>
      </c>
      <c r="E9313" s="8" t="s">
        <v>17</v>
      </c>
      <c r="F9313" s="9">
        <v>46101.0</v>
      </c>
      <c r="G9313" s="8" t="s">
        <v>7815</v>
      </c>
      <c r="H9313" s="8" t="s">
        <v>7816</v>
      </c>
      <c r="I9313" s="8" t="s">
        <v>27821</v>
      </c>
      <c r="J9313" s="8" t="s">
        <v>27822</v>
      </c>
    </row>
    <row r="9314">
      <c r="A9314" s="7">
        <v>2.0043337E7</v>
      </c>
      <c r="B9314" s="8" t="s">
        <v>2426</v>
      </c>
      <c r="C9314" s="8" t="s">
        <v>27823</v>
      </c>
      <c r="D9314" s="8" t="s">
        <v>16</v>
      </c>
      <c r="E9314" s="8" t="s">
        <v>17</v>
      </c>
      <c r="F9314" s="9">
        <v>46105.0</v>
      </c>
      <c r="G9314" s="8" t="s">
        <v>314</v>
      </c>
      <c r="H9314" s="8" t="s">
        <v>315</v>
      </c>
      <c r="I9314" s="8" t="s">
        <v>27824</v>
      </c>
      <c r="J9314" s="8" t="s">
        <v>27825</v>
      </c>
    </row>
    <row r="9315">
      <c r="A9315" s="7">
        <v>2.004084E7</v>
      </c>
      <c r="B9315" s="8" t="s">
        <v>2426</v>
      </c>
      <c r="C9315" s="8" t="s">
        <v>27826</v>
      </c>
      <c r="D9315" s="8" t="s">
        <v>16</v>
      </c>
      <c r="E9315" s="8" t="s">
        <v>17</v>
      </c>
      <c r="F9315" s="9">
        <v>46088.0</v>
      </c>
      <c r="G9315" s="8" t="s">
        <v>59</v>
      </c>
      <c r="H9315" s="8" t="s">
        <v>60</v>
      </c>
      <c r="I9315" s="8" t="s">
        <v>27827</v>
      </c>
      <c r="J9315" s="8" t="s">
        <v>27828</v>
      </c>
    </row>
    <row r="9316">
      <c r="A9316" s="7">
        <v>2.0040078E7</v>
      </c>
      <c r="B9316" s="8" t="s">
        <v>2426</v>
      </c>
      <c r="C9316" s="8" t="s">
        <v>27829</v>
      </c>
      <c r="D9316" s="8" t="s">
        <v>16</v>
      </c>
      <c r="E9316" s="8" t="s">
        <v>17</v>
      </c>
      <c r="F9316" s="9">
        <v>46085.0</v>
      </c>
      <c r="G9316" s="8" t="s">
        <v>158</v>
      </c>
      <c r="H9316" s="8" t="s">
        <v>159</v>
      </c>
      <c r="I9316" s="8" t="s">
        <v>27830</v>
      </c>
      <c r="J9316" s="8" t="s">
        <v>27831</v>
      </c>
    </row>
    <row r="9317">
      <c r="A9317" s="7">
        <v>2.0039953E7</v>
      </c>
      <c r="B9317" s="8" t="s">
        <v>2426</v>
      </c>
      <c r="C9317" s="8" t="s">
        <v>27832</v>
      </c>
      <c r="D9317" s="8" t="s">
        <v>16</v>
      </c>
      <c r="E9317" s="8" t="s">
        <v>4243</v>
      </c>
      <c r="F9317" s="9">
        <v>46069.0</v>
      </c>
      <c r="G9317" s="8" t="s">
        <v>9053</v>
      </c>
      <c r="H9317" s="8" t="s">
        <v>9054</v>
      </c>
      <c r="I9317" s="8" t="s">
        <v>27833</v>
      </c>
      <c r="J9317" s="8" t="s">
        <v>27834</v>
      </c>
    </row>
    <row r="9318">
      <c r="A9318" s="7">
        <v>2.0033238E7</v>
      </c>
      <c r="B9318" s="8" t="s">
        <v>2426</v>
      </c>
      <c r="C9318" s="8" t="s">
        <v>27835</v>
      </c>
      <c r="D9318" s="8" t="s">
        <v>16</v>
      </c>
      <c r="E9318" s="8" t="s">
        <v>17</v>
      </c>
      <c r="F9318" s="9">
        <v>46064.0</v>
      </c>
      <c r="G9318" s="8" t="s">
        <v>109</v>
      </c>
      <c r="H9318" s="8" t="s">
        <v>110</v>
      </c>
      <c r="I9318" s="8" t="s">
        <v>27836</v>
      </c>
      <c r="J9318" s="8" t="s">
        <v>27837</v>
      </c>
    </row>
    <row r="9319">
      <c r="A9319" s="7">
        <v>2.0032223E7</v>
      </c>
      <c r="B9319" s="8" t="s">
        <v>2426</v>
      </c>
      <c r="C9319" s="8" t="s">
        <v>27838</v>
      </c>
      <c r="D9319" s="8" t="s">
        <v>16</v>
      </c>
      <c r="E9319" s="8" t="s">
        <v>17</v>
      </c>
      <c r="F9319" s="9">
        <v>46067.0</v>
      </c>
      <c r="G9319" s="8" t="s">
        <v>59</v>
      </c>
      <c r="H9319" s="8" t="s">
        <v>60</v>
      </c>
      <c r="I9319" s="8" t="s">
        <v>27839</v>
      </c>
      <c r="J9319" s="8" t="s">
        <v>27840</v>
      </c>
    </row>
    <row r="9320">
      <c r="A9320" s="7">
        <v>2.0032805E7</v>
      </c>
      <c r="B9320" s="8" t="s">
        <v>2426</v>
      </c>
      <c r="C9320" s="8" t="s">
        <v>27841</v>
      </c>
      <c r="D9320" s="8" t="s">
        <v>16</v>
      </c>
      <c r="E9320" s="8" t="s">
        <v>17</v>
      </c>
      <c r="F9320" s="9">
        <v>46043.0</v>
      </c>
      <c r="G9320" s="8" t="s">
        <v>329</v>
      </c>
      <c r="H9320" s="8" t="s">
        <v>330</v>
      </c>
      <c r="I9320" s="8" t="s">
        <v>27842</v>
      </c>
      <c r="J9320" s="8" t="s">
        <v>27843</v>
      </c>
    </row>
    <row r="9321">
      <c r="A9321" s="7">
        <v>2.0032805E7</v>
      </c>
      <c r="B9321" s="8" t="s">
        <v>2426</v>
      </c>
      <c r="C9321" s="8" t="s">
        <v>27841</v>
      </c>
      <c r="D9321" s="8" t="s">
        <v>16</v>
      </c>
      <c r="E9321" s="8" t="s">
        <v>17</v>
      </c>
      <c r="F9321" s="9">
        <v>46043.0</v>
      </c>
      <c r="G9321" s="8" t="s">
        <v>759</v>
      </c>
      <c r="H9321" s="8" t="s">
        <v>760</v>
      </c>
      <c r="I9321" s="8" t="s">
        <v>27844</v>
      </c>
      <c r="J9321" s="8" t="s">
        <v>27845</v>
      </c>
    </row>
    <row r="9322">
      <c r="A9322" s="7">
        <v>2.0027785E7</v>
      </c>
      <c r="B9322" s="8" t="s">
        <v>2426</v>
      </c>
      <c r="C9322" s="8" t="s">
        <v>27846</v>
      </c>
      <c r="D9322" s="8" t="s">
        <v>16</v>
      </c>
      <c r="E9322" s="8" t="s">
        <v>17</v>
      </c>
      <c r="F9322" s="9">
        <v>46044.0</v>
      </c>
      <c r="G9322" s="8" t="s">
        <v>59</v>
      </c>
      <c r="H9322" s="8" t="s">
        <v>60</v>
      </c>
      <c r="I9322" s="8" t="s">
        <v>27847</v>
      </c>
      <c r="J9322" s="8" t="s">
        <v>27848</v>
      </c>
    </row>
    <row r="9323">
      <c r="A9323" s="7">
        <v>2.0066018E7</v>
      </c>
      <c r="B9323" s="8" t="s">
        <v>2426</v>
      </c>
      <c r="C9323" s="8" t="s">
        <v>27849</v>
      </c>
      <c r="D9323" s="8" t="s">
        <v>16</v>
      </c>
      <c r="E9323" s="8" t="s">
        <v>17</v>
      </c>
      <c r="F9323" s="9">
        <v>46190.0</v>
      </c>
      <c r="G9323" s="8" t="s">
        <v>543</v>
      </c>
      <c r="H9323" s="8" t="s">
        <v>544</v>
      </c>
      <c r="I9323" s="8" t="s">
        <v>27850</v>
      </c>
      <c r="J9323" s="8" t="s">
        <v>27392</v>
      </c>
    </row>
    <row r="9324">
      <c r="A9324" s="7">
        <v>2.0066108E7</v>
      </c>
      <c r="B9324" s="8" t="s">
        <v>2426</v>
      </c>
      <c r="C9324" s="8" t="s">
        <v>27851</v>
      </c>
      <c r="D9324" s="8" t="s">
        <v>16</v>
      </c>
      <c r="E9324" s="8" t="s">
        <v>17</v>
      </c>
      <c r="F9324" s="9">
        <v>46173.0</v>
      </c>
      <c r="G9324" s="8" t="s">
        <v>34</v>
      </c>
      <c r="H9324" s="8" t="s">
        <v>35</v>
      </c>
      <c r="I9324" s="8" t="s">
        <v>27852</v>
      </c>
      <c r="J9324" s="8" t="s">
        <v>27853</v>
      </c>
    </row>
    <row r="9325">
      <c r="A9325" s="7">
        <v>2.0056897E7</v>
      </c>
      <c r="B9325" s="8" t="s">
        <v>2426</v>
      </c>
      <c r="C9325" s="8" t="s">
        <v>27854</v>
      </c>
      <c r="D9325" s="8" t="s">
        <v>16</v>
      </c>
      <c r="E9325" s="8" t="s">
        <v>17</v>
      </c>
      <c r="F9325" s="9">
        <v>46135.0</v>
      </c>
      <c r="G9325" s="8" t="s">
        <v>2225</v>
      </c>
      <c r="H9325" s="8" t="s">
        <v>2226</v>
      </c>
      <c r="I9325" s="8" t="s">
        <v>27855</v>
      </c>
      <c r="J9325" s="8" t="s">
        <v>27856</v>
      </c>
    </row>
    <row r="9326">
      <c r="A9326" s="7">
        <v>2.0056897E7</v>
      </c>
      <c r="B9326" s="8" t="s">
        <v>2426</v>
      </c>
      <c r="C9326" s="8" t="s">
        <v>27854</v>
      </c>
      <c r="D9326" s="8" t="s">
        <v>16</v>
      </c>
      <c r="E9326" s="8" t="s">
        <v>17</v>
      </c>
      <c r="F9326" s="9">
        <v>46135.0</v>
      </c>
      <c r="G9326" s="8" t="s">
        <v>21407</v>
      </c>
      <c r="H9326" s="8" t="s">
        <v>21408</v>
      </c>
      <c r="I9326" s="8" t="s">
        <v>27857</v>
      </c>
      <c r="J9326" s="8" t="s">
        <v>27858</v>
      </c>
    </row>
    <row r="9327">
      <c r="A9327" s="7">
        <v>2.005487E7</v>
      </c>
      <c r="B9327" s="8" t="s">
        <v>2426</v>
      </c>
      <c r="C9327" s="8" t="s">
        <v>27859</v>
      </c>
      <c r="D9327" s="8" t="s">
        <v>16</v>
      </c>
      <c r="E9327" s="8" t="s">
        <v>17</v>
      </c>
      <c r="F9327" s="9">
        <v>46123.0</v>
      </c>
      <c r="G9327" s="8" t="s">
        <v>365</v>
      </c>
      <c r="H9327" s="8" t="s">
        <v>366</v>
      </c>
      <c r="I9327" s="8" t="s">
        <v>27860</v>
      </c>
      <c r="J9327" s="8" t="s">
        <v>27861</v>
      </c>
    </row>
    <row r="9328">
      <c r="A9328" s="7">
        <v>2.0051968E7</v>
      </c>
      <c r="B9328" s="8" t="s">
        <v>2426</v>
      </c>
      <c r="C9328" s="8" t="s">
        <v>27862</v>
      </c>
      <c r="D9328" s="8" t="s">
        <v>16</v>
      </c>
      <c r="E9328" s="8" t="s">
        <v>17</v>
      </c>
      <c r="F9328" s="9">
        <v>46108.0</v>
      </c>
      <c r="G9328" s="8" t="s">
        <v>365</v>
      </c>
      <c r="H9328" s="8" t="s">
        <v>366</v>
      </c>
      <c r="I9328" s="8" t="s">
        <v>27863</v>
      </c>
      <c r="J9328" s="8" t="s">
        <v>27864</v>
      </c>
    </row>
    <row r="9329">
      <c r="A9329" s="7">
        <v>2.0046314E7</v>
      </c>
      <c r="B9329" s="8" t="s">
        <v>2426</v>
      </c>
      <c r="C9329" s="8" t="s">
        <v>27865</v>
      </c>
      <c r="D9329" s="8" t="s">
        <v>16</v>
      </c>
      <c r="E9329" s="8" t="s">
        <v>17</v>
      </c>
      <c r="F9329" s="9">
        <v>46093.0</v>
      </c>
      <c r="G9329" s="8" t="s">
        <v>59</v>
      </c>
      <c r="H9329" s="8" t="s">
        <v>60</v>
      </c>
      <c r="I9329" s="8" t="s">
        <v>27866</v>
      </c>
      <c r="J9329" s="8" t="s">
        <v>27867</v>
      </c>
    </row>
    <row r="9330">
      <c r="A9330" s="7">
        <v>2.0042863E7</v>
      </c>
      <c r="B9330" s="8" t="s">
        <v>2426</v>
      </c>
      <c r="C9330" s="8" t="s">
        <v>27868</v>
      </c>
      <c r="D9330" s="8" t="s">
        <v>16</v>
      </c>
      <c r="E9330" s="8" t="s">
        <v>17</v>
      </c>
      <c r="F9330" s="9">
        <v>46089.0</v>
      </c>
      <c r="G9330" s="8" t="s">
        <v>91</v>
      </c>
      <c r="H9330" s="8" t="s">
        <v>92</v>
      </c>
      <c r="I9330" s="8" t="s">
        <v>27869</v>
      </c>
      <c r="J9330" s="8" t="s">
        <v>27870</v>
      </c>
    </row>
    <row r="9331">
      <c r="A9331" s="7">
        <v>2.004371E7</v>
      </c>
      <c r="B9331" s="8" t="s">
        <v>2426</v>
      </c>
      <c r="C9331" s="8" t="s">
        <v>27871</v>
      </c>
      <c r="D9331" s="8" t="s">
        <v>16</v>
      </c>
      <c r="E9331" s="8" t="s">
        <v>17</v>
      </c>
      <c r="F9331" s="9">
        <v>46093.0</v>
      </c>
      <c r="G9331" s="8" t="s">
        <v>171</v>
      </c>
      <c r="H9331" s="8" t="s">
        <v>172</v>
      </c>
      <c r="I9331" s="8" t="s">
        <v>27872</v>
      </c>
      <c r="J9331" s="8" t="s">
        <v>27873</v>
      </c>
    </row>
    <row r="9332">
      <c r="A9332" s="7">
        <v>2.0041554E7</v>
      </c>
      <c r="B9332" s="8" t="s">
        <v>2426</v>
      </c>
      <c r="C9332" s="8" t="s">
        <v>27874</v>
      </c>
      <c r="D9332" s="8" t="s">
        <v>16</v>
      </c>
      <c r="E9332" s="8" t="s">
        <v>17</v>
      </c>
      <c r="F9332" s="9">
        <v>46093.0</v>
      </c>
      <c r="G9332" s="8" t="s">
        <v>59</v>
      </c>
      <c r="H9332" s="8" t="s">
        <v>60</v>
      </c>
      <c r="I9332" s="8" t="s">
        <v>27875</v>
      </c>
      <c r="J9332" s="8" t="s">
        <v>27876</v>
      </c>
    </row>
    <row r="9333">
      <c r="A9333" s="7">
        <v>2.0041306E7</v>
      </c>
      <c r="B9333" s="8" t="s">
        <v>2426</v>
      </c>
      <c r="C9333" s="8" t="s">
        <v>27877</v>
      </c>
      <c r="D9333" s="8" t="s">
        <v>16</v>
      </c>
      <c r="E9333" s="8" t="s">
        <v>17</v>
      </c>
      <c r="F9333" s="9">
        <v>46087.0</v>
      </c>
      <c r="G9333" s="8" t="s">
        <v>732</v>
      </c>
      <c r="H9333" s="8" t="s">
        <v>733</v>
      </c>
      <c r="I9333" s="8" t="s">
        <v>27878</v>
      </c>
      <c r="J9333" s="8" t="s">
        <v>27879</v>
      </c>
    </row>
    <row r="9334">
      <c r="A9334" s="7">
        <v>2.0038994E7</v>
      </c>
      <c r="B9334" s="8" t="s">
        <v>2426</v>
      </c>
      <c r="C9334" s="8" t="s">
        <v>27880</v>
      </c>
      <c r="D9334" s="8" t="s">
        <v>16</v>
      </c>
      <c r="E9334" s="8" t="s">
        <v>17</v>
      </c>
      <c r="F9334" s="9">
        <v>46074.0</v>
      </c>
      <c r="G9334" s="8" t="s">
        <v>410</v>
      </c>
      <c r="H9334" s="8" t="s">
        <v>411</v>
      </c>
      <c r="I9334" s="8" t="s">
        <v>27881</v>
      </c>
      <c r="J9334" s="8" t="s">
        <v>27882</v>
      </c>
    </row>
    <row r="9335">
      <c r="A9335" s="7">
        <v>2.0038705E7</v>
      </c>
      <c r="B9335" s="8" t="s">
        <v>2426</v>
      </c>
      <c r="C9335" s="8" t="s">
        <v>27883</v>
      </c>
      <c r="D9335" s="8" t="s">
        <v>16</v>
      </c>
      <c r="E9335" s="8" t="s">
        <v>17</v>
      </c>
      <c r="F9335" s="9">
        <v>46058.0</v>
      </c>
      <c r="G9335" s="8" t="s">
        <v>220</v>
      </c>
      <c r="H9335" s="8" t="s">
        <v>221</v>
      </c>
      <c r="I9335" s="8" t="s">
        <v>27884</v>
      </c>
      <c r="J9335" s="8" t="s">
        <v>27885</v>
      </c>
    </row>
    <row r="9336">
      <c r="A9336" s="7">
        <v>2.0038823E7</v>
      </c>
      <c r="B9336" s="8" t="s">
        <v>2426</v>
      </c>
      <c r="C9336" s="8" t="s">
        <v>27886</v>
      </c>
      <c r="D9336" s="8" t="s">
        <v>16</v>
      </c>
      <c r="E9336" s="8" t="s">
        <v>17</v>
      </c>
      <c r="F9336" s="9">
        <v>46073.0</v>
      </c>
      <c r="G9336" s="8" t="s">
        <v>277</v>
      </c>
      <c r="H9336" s="8" t="s">
        <v>278</v>
      </c>
      <c r="I9336" s="8" t="s">
        <v>27887</v>
      </c>
      <c r="J9336" s="8" t="s">
        <v>27888</v>
      </c>
    </row>
    <row r="9337">
      <c r="A9337" s="7">
        <v>2.0038823E7</v>
      </c>
      <c r="B9337" s="8" t="s">
        <v>2426</v>
      </c>
      <c r="C9337" s="8" t="s">
        <v>27886</v>
      </c>
      <c r="D9337" s="8" t="s">
        <v>16</v>
      </c>
      <c r="E9337" s="8" t="s">
        <v>17</v>
      </c>
      <c r="F9337" s="9">
        <v>46073.0</v>
      </c>
      <c r="G9337" s="8" t="s">
        <v>27889</v>
      </c>
      <c r="H9337" s="8" t="s">
        <v>27890</v>
      </c>
      <c r="I9337" s="8" t="s">
        <v>27891</v>
      </c>
      <c r="J9337" s="8" t="s">
        <v>27892</v>
      </c>
    </row>
    <row r="9338">
      <c r="A9338" s="7">
        <v>2.0038718E7</v>
      </c>
      <c r="B9338" s="8" t="s">
        <v>2426</v>
      </c>
      <c r="C9338" s="8" t="s">
        <v>27893</v>
      </c>
      <c r="D9338" s="8" t="s">
        <v>16</v>
      </c>
      <c r="E9338" s="8" t="s">
        <v>17</v>
      </c>
      <c r="F9338" s="9">
        <v>46079.0</v>
      </c>
      <c r="G9338" s="8" t="s">
        <v>22229</v>
      </c>
      <c r="H9338" s="8" t="s">
        <v>22230</v>
      </c>
      <c r="I9338" s="8" t="s">
        <v>27894</v>
      </c>
      <c r="J9338" s="8" t="s">
        <v>27895</v>
      </c>
    </row>
    <row r="9339">
      <c r="A9339" s="7">
        <v>2.0034327E7</v>
      </c>
      <c r="B9339" s="8" t="s">
        <v>2426</v>
      </c>
      <c r="C9339" s="8" t="s">
        <v>27896</v>
      </c>
      <c r="D9339" s="8" t="s">
        <v>16</v>
      </c>
      <c r="E9339" s="8" t="s">
        <v>17</v>
      </c>
      <c r="F9339" s="9">
        <v>46054.0</v>
      </c>
      <c r="G9339" s="8" t="s">
        <v>59</v>
      </c>
      <c r="H9339" s="8" t="s">
        <v>60</v>
      </c>
      <c r="I9339" s="8" t="s">
        <v>27897</v>
      </c>
      <c r="J9339" s="8" t="s">
        <v>27898</v>
      </c>
    </row>
    <row r="9340">
      <c r="A9340" s="7">
        <v>2.0033038E7</v>
      </c>
      <c r="B9340" s="8" t="s">
        <v>2426</v>
      </c>
      <c r="C9340" s="8" t="s">
        <v>27899</v>
      </c>
      <c r="D9340" s="8" t="s">
        <v>16</v>
      </c>
      <c r="E9340" s="8" t="s">
        <v>17</v>
      </c>
      <c r="F9340" s="9">
        <v>46059.0</v>
      </c>
      <c r="G9340" s="8" t="s">
        <v>2170</v>
      </c>
      <c r="H9340" s="8" t="s">
        <v>2171</v>
      </c>
      <c r="I9340" s="8" t="s">
        <v>27900</v>
      </c>
      <c r="J9340" s="8" t="s">
        <v>27901</v>
      </c>
    </row>
    <row r="9341">
      <c r="A9341" s="7">
        <v>2.0035923E7</v>
      </c>
      <c r="B9341" s="8" t="s">
        <v>2426</v>
      </c>
      <c r="C9341" s="8" t="s">
        <v>27902</v>
      </c>
      <c r="D9341" s="8" t="s">
        <v>16</v>
      </c>
      <c r="E9341" s="8" t="s">
        <v>17</v>
      </c>
      <c r="F9341" s="9">
        <v>46045.0</v>
      </c>
      <c r="G9341" s="8" t="s">
        <v>428</v>
      </c>
      <c r="H9341" s="8" t="s">
        <v>429</v>
      </c>
      <c r="I9341" s="8" t="s">
        <v>27903</v>
      </c>
      <c r="J9341" s="8" t="s">
        <v>27904</v>
      </c>
    </row>
    <row r="9342">
      <c r="A9342" s="7">
        <v>2.0052114E7</v>
      </c>
      <c r="B9342" s="8" t="s">
        <v>5706</v>
      </c>
      <c r="C9342" s="8" t="s">
        <v>27905</v>
      </c>
      <c r="D9342" s="8" t="s">
        <v>16</v>
      </c>
      <c r="E9342" s="8" t="s">
        <v>17</v>
      </c>
      <c r="F9342" s="9">
        <v>46119.0</v>
      </c>
      <c r="G9342" s="8" t="s">
        <v>978</v>
      </c>
      <c r="H9342" s="8" t="s">
        <v>979</v>
      </c>
      <c r="I9342" s="8" t="s">
        <v>27906</v>
      </c>
      <c r="J9342" s="8" t="s">
        <v>27907</v>
      </c>
    </row>
    <row r="9343">
      <c r="A9343" s="7">
        <v>2.0069107E7</v>
      </c>
      <c r="B9343" s="8" t="s">
        <v>5706</v>
      </c>
      <c r="C9343" s="8" t="s">
        <v>27908</v>
      </c>
      <c r="D9343" s="8" t="s">
        <v>16</v>
      </c>
      <c r="E9343" s="8" t="s">
        <v>17</v>
      </c>
      <c r="F9343" s="9">
        <v>46191.0</v>
      </c>
      <c r="G9343" s="8" t="s">
        <v>3200</v>
      </c>
      <c r="H9343" s="8" t="s">
        <v>12909</v>
      </c>
      <c r="I9343" s="8" t="s">
        <v>27909</v>
      </c>
      <c r="J9343" s="8" t="s">
        <v>27910</v>
      </c>
    </row>
    <row r="9344">
      <c r="A9344" s="7">
        <v>2.0059996E7</v>
      </c>
      <c r="B9344" s="8" t="s">
        <v>5706</v>
      </c>
      <c r="C9344" s="8" t="s">
        <v>27911</v>
      </c>
      <c r="D9344" s="8" t="s">
        <v>16</v>
      </c>
      <c r="E9344" s="8" t="s">
        <v>17</v>
      </c>
      <c r="F9344" s="9">
        <v>46178.0</v>
      </c>
      <c r="G9344" s="8" t="s">
        <v>171</v>
      </c>
      <c r="H9344" s="8" t="s">
        <v>172</v>
      </c>
      <c r="I9344" s="8" t="s">
        <v>27912</v>
      </c>
      <c r="J9344" s="8" t="s">
        <v>27913</v>
      </c>
    </row>
    <row r="9345">
      <c r="A9345" s="7">
        <v>2.00526E7</v>
      </c>
      <c r="B9345" s="8" t="s">
        <v>5706</v>
      </c>
      <c r="C9345" s="8" t="s">
        <v>27914</v>
      </c>
      <c r="D9345" s="8" t="s">
        <v>16</v>
      </c>
      <c r="E9345" s="8" t="s">
        <v>17</v>
      </c>
      <c r="F9345" s="9">
        <v>46109.0</v>
      </c>
      <c r="G9345" s="8" t="s">
        <v>385</v>
      </c>
      <c r="H9345" s="8" t="s">
        <v>386</v>
      </c>
      <c r="I9345" s="8" t="s">
        <v>27915</v>
      </c>
      <c r="J9345" s="8" t="s">
        <v>27916</v>
      </c>
    </row>
    <row r="9346">
      <c r="A9346" s="7">
        <v>2.0043082E7</v>
      </c>
      <c r="B9346" s="8" t="s">
        <v>5706</v>
      </c>
      <c r="C9346" s="8" t="s">
        <v>27917</v>
      </c>
      <c r="D9346" s="8" t="s">
        <v>16</v>
      </c>
      <c r="E9346" s="8" t="s">
        <v>17</v>
      </c>
      <c r="F9346" s="9">
        <v>46085.0</v>
      </c>
      <c r="G9346" s="8" t="s">
        <v>59</v>
      </c>
      <c r="H9346" s="8" t="s">
        <v>60</v>
      </c>
      <c r="I9346" s="8" t="s">
        <v>27918</v>
      </c>
      <c r="J9346" s="8" t="s">
        <v>27919</v>
      </c>
    </row>
    <row r="9347">
      <c r="A9347" s="7">
        <v>2.0040344E7</v>
      </c>
      <c r="B9347" s="8" t="s">
        <v>5706</v>
      </c>
      <c r="C9347" s="8" t="s">
        <v>27920</v>
      </c>
      <c r="D9347" s="8" t="s">
        <v>16</v>
      </c>
      <c r="E9347" s="8" t="s">
        <v>17</v>
      </c>
      <c r="F9347" s="9">
        <v>46064.0</v>
      </c>
      <c r="G9347" s="8" t="s">
        <v>34</v>
      </c>
      <c r="H9347" s="8" t="s">
        <v>35</v>
      </c>
      <c r="I9347" s="8" t="s">
        <v>27921</v>
      </c>
      <c r="J9347" s="8" t="s">
        <v>27922</v>
      </c>
    </row>
    <row r="9348">
      <c r="A9348" s="7">
        <v>2.0036028E7</v>
      </c>
      <c r="B9348" s="8" t="s">
        <v>5706</v>
      </c>
      <c r="C9348" s="8" t="s">
        <v>27923</v>
      </c>
      <c r="D9348" s="8" t="s">
        <v>16</v>
      </c>
      <c r="E9348" s="8" t="s">
        <v>17</v>
      </c>
      <c r="F9348" s="9">
        <v>46052.0</v>
      </c>
      <c r="G9348" s="8" t="s">
        <v>385</v>
      </c>
      <c r="H9348" s="8" t="s">
        <v>386</v>
      </c>
      <c r="I9348" s="8" t="s">
        <v>27924</v>
      </c>
      <c r="J9348" s="8" t="s">
        <v>27925</v>
      </c>
    </row>
    <row r="9349">
      <c r="A9349" s="7">
        <v>2.0065155E7</v>
      </c>
      <c r="B9349" s="8" t="s">
        <v>5706</v>
      </c>
      <c r="C9349" s="8" t="s">
        <v>27926</v>
      </c>
      <c r="D9349" s="8" t="s">
        <v>16</v>
      </c>
      <c r="E9349" s="8" t="s">
        <v>17</v>
      </c>
      <c r="F9349" s="9">
        <v>46193.0</v>
      </c>
      <c r="G9349" s="8" t="s">
        <v>171</v>
      </c>
      <c r="H9349" s="8" t="s">
        <v>172</v>
      </c>
      <c r="I9349" s="8" t="s">
        <v>27927</v>
      </c>
      <c r="J9349" s="8" t="s">
        <v>27928</v>
      </c>
    </row>
    <row r="9350">
      <c r="A9350" s="7">
        <v>2.0064516E7</v>
      </c>
      <c r="B9350" s="8" t="s">
        <v>5706</v>
      </c>
      <c r="C9350" s="8" t="s">
        <v>27929</v>
      </c>
      <c r="D9350" s="8" t="s">
        <v>16</v>
      </c>
      <c r="E9350" s="8" t="s">
        <v>17</v>
      </c>
      <c r="F9350" s="9">
        <v>46160.0</v>
      </c>
      <c r="G9350" s="8" t="s">
        <v>34</v>
      </c>
      <c r="H9350" s="8" t="s">
        <v>35</v>
      </c>
      <c r="I9350" s="8" t="s">
        <v>27930</v>
      </c>
      <c r="J9350" s="8" t="s">
        <v>27931</v>
      </c>
    </row>
    <row r="9351">
      <c r="A9351" s="7">
        <v>2.0064429E7</v>
      </c>
      <c r="B9351" s="8" t="s">
        <v>5706</v>
      </c>
      <c r="C9351" s="8" t="s">
        <v>27932</v>
      </c>
      <c r="D9351" s="8" t="s">
        <v>16</v>
      </c>
      <c r="E9351" s="8" t="s">
        <v>17</v>
      </c>
      <c r="F9351" s="9">
        <v>46172.0</v>
      </c>
      <c r="G9351" s="8" t="s">
        <v>630</v>
      </c>
      <c r="H9351" s="8" t="s">
        <v>631</v>
      </c>
      <c r="I9351" s="8" t="s">
        <v>27933</v>
      </c>
      <c r="J9351" s="8" t="s">
        <v>27934</v>
      </c>
    </row>
    <row r="9352">
      <c r="A9352" s="7">
        <v>2.0039919E7</v>
      </c>
      <c r="B9352" s="8" t="s">
        <v>5706</v>
      </c>
      <c r="C9352" s="8" t="s">
        <v>27935</v>
      </c>
      <c r="D9352" s="8" t="s">
        <v>16</v>
      </c>
      <c r="E9352" s="8" t="s">
        <v>17</v>
      </c>
      <c r="F9352" s="9">
        <v>46068.0</v>
      </c>
      <c r="G9352" s="8" t="s">
        <v>630</v>
      </c>
      <c r="H9352" s="8" t="s">
        <v>631</v>
      </c>
      <c r="I9352" s="8" t="s">
        <v>27936</v>
      </c>
      <c r="J9352" s="8"/>
    </row>
    <row r="9353">
      <c r="A9353" s="7">
        <v>2.003902E7</v>
      </c>
      <c r="B9353" s="8" t="s">
        <v>5706</v>
      </c>
      <c r="C9353" s="8" t="s">
        <v>27937</v>
      </c>
      <c r="D9353" s="8" t="s">
        <v>16</v>
      </c>
      <c r="E9353" s="8" t="s">
        <v>17</v>
      </c>
      <c r="F9353" s="9">
        <v>46074.0</v>
      </c>
      <c r="G9353" s="8" t="s">
        <v>630</v>
      </c>
      <c r="H9353" s="8" t="s">
        <v>631</v>
      </c>
      <c r="I9353" s="8" t="s">
        <v>27938</v>
      </c>
      <c r="J9353" s="8"/>
    </row>
    <row r="9354">
      <c r="A9354" s="7">
        <v>2.004065E7</v>
      </c>
      <c r="B9354" s="8" t="s">
        <v>5706</v>
      </c>
      <c r="C9354" s="8" t="s">
        <v>27939</v>
      </c>
      <c r="D9354" s="8" t="s">
        <v>16</v>
      </c>
      <c r="E9354" s="8" t="s">
        <v>17</v>
      </c>
      <c r="F9354" s="9">
        <v>46081.0</v>
      </c>
      <c r="G9354" s="8" t="s">
        <v>3434</v>
      </c>
      <c r="H9354" s="8" t="s">
        <v>44</v>
      </c>
      <c r="I9354" s="8" t="s">
        <v>27940</v>
      </c>
      <c r="J9354" s="8" t="s">
        <v>27941</v>
      </c>
    </row>
    <row r="9355">
      <c r="A9355" s="7">
        <v>2.004065E7</v>
      </c>
      <c r="B9355" s="8" t="s">
        <v>5706</v>
      </c>
      <c r="C9355" s="8" t="s">
        <v>27939</v>
      </c>
      <c r="D9355" s="8" t="s">
        <v>16</v>
      </c>
      <c r="E9355" s="8" t="s">
        <v>17</v>
      </c>
      <c r="F9355" s="9">
        <v>46081.0</v>
      </c>
      <c r="G9355" s="8" t="s">
        <v>3438</v>
      </c>
      <c r="H9355" s="8" t="s">
        <v>3439</v>
      </c>
      <c r="I9355" s="8" t="s">
        <v>27942</v>
      </c>
      <c r="J9355" s="8" t="s">
        <v>27943</v>
      </c>
    </row>
    <row r="9356">
      <c r="A9356" s="7">
        <v>2.0054444E7</v>
      </c>
      <c r="B9356" s="8" t="s">
        <v>5706</v>
      </c>
      <c r="C9356" s="8" t="s">
        <v>27944</v>
      </c>
      <c r="D9356" s="8" t="s">
        <v>16</v>
      </c>
      <c r="E9356" s="8" t="s">
        <v>17</v>
      </c>
      <c r="F9356" s="9">
        <v>46121.0</v>
      </c>
      <c r="G9356" s="8" t="s">
        <v>59</v>
      </c>
      <c r="H9356" s="8" t="s">
        <v>60</v>
      </c>
      <c r="I9356" s="8" t="s">
        <v>27945</v>
      </c>
      <c r="J9356" s="8" t="s">
        <v>27946</v>
      </c>
    </row>
    <row r="9357">
      <c r="A9357" s="7">
        <v>2.0045911E7</v>
      </c>
      <c r="B9357" s="8" t="s">
        <v>5706</v>
      </c>
      <c r="C9357" s="8" t="s">
        <v>27947</v>
      </c>
      <c r="D9357" s="8" t="s">
        <v>16</v>
      </c>
      <c r="E9357" s="8" t="s">
        <v>17</v>
      </c>
      <c r="F9357" s="9">
        <v>46085.0</v>
      </c>
      <c r="G9357" s="8" t="s">
        <v>504</v>
      </c>
      <c r="H9357" s="8" t="s">
        <v>505</v>
      </c>
      <c r="I9357" s="8" t="s">
        <v>27948</v>
      </c>
      <c r="J9357" s="8" t="s">
        <v>27949</v>
      </c>
    </row>
    <row r="9358">
      <c r="A9358" s="7">
        <v>2.0062822E7</v>
      </c>
      <c r="B9358" s="8" t="s">
        <v>5706</v>
      </c>
      <c r="C9358" s="8" t="s">
        <v>27950</v>
      </c>
      <c r="D9358" s="8" t="s">
        <v>16</v>
      </c>
      <c r="E9358" s="8" t="s">
        <v>48</v>
      </c>
      <c r="F9358" s="9">
        <v>46174.0</v>
      </c>
      <c r="G9358" s="8" t="s">
        <v>791</v>
      </c>
      <c r="H9358" s="8" t="s">
        <v>792</v>
      </c>
      <c r="I9358" s="8"/>
      <c r="J9358" s="8" t="s">
        <v>27951</v>
      </c>
    </row>
    <row r="9359">
      <c r="A9359" s="7">
        <v>2.0062822E7</v>
      </c>
      <c r="B9359" s="8" t="s">
        <v>5706</v>
      </c>
      <c r="C9359" s="8" t="s">
        <v>27950</v>
      </c>
      <c r="D9359" s="8" t="s">
        <v>16</v>
      </c>
      <c r="E9359" s="8" t="s">
        <v>48</v>
      </c>
      <c r="F9359" s="9">
        <v>46174.0</v>
      </c>
      <c r="G9359" s="8" t="s">
        <v>1557</v>
      </c>
      <c r="H9359" s="8" t="s">
        <v>1558</v>
      </c>
      <c r="I9359" s="8" t="s">
        <v>27952</v>
      </c>
      <c r="J9359" s="8"/>
    </row>
    <row r="9360">
      <c r="A9360" s="7">
        <v>2.0059759E7</v>
      </c>
      <c r="B9360" s="8" t="s">
        <v>5706</v>
      </c>
      <c r="C9360" s="8" t="s">
        <v>27953</v>
      </c>
      <c r="D9360" s="8" t="s">
        <v>16</v>
      </c>
      <c r="E9360" s="8" t="s">
        <v>17</v>
      </c>
      <c r="F9360" s="9">
        <v>46157.0</v>
      </c>
      <c r="G9360" s="8" t="s">
        <v>1813</v>
      </c>
      <c r="H9360" s="8" t="s">
        <v>1814</v>
      </c>
      <c r="I9360" s="8" t="s">
        <v>27954</v>
      </c>
      <c r="J9360" s="8" t="s">
        <v>27955</v>
      </c>
    </row>
    <row r="9361">
      <c r="A9361" s="7">
        <v>2.0055474E7</v>
      </c>
      <c r="B9361" s="8" t="s">
        <v>5706</v>
      </c>
      <c r="C9361" s="8" t="s">
        <v>27956</v>
      </c>
      <c r="D9361" s="8" t="s">
        <v>16</v>
      </c>
      <c r="E9361" s="8" t="s">
        <v>17</v>
      </c>
      <c r="F9361" s="9">
        <v>46131.0</v>
      </c>
      <c r="G9361" s="8" t="s">
        <v>91</v>
      </c>
      <c r="H9361" s="8" t="s">
        <v>92</v>
      </c>
      <c r="I9361" s="8" t="s">
        <v>27957</v>
      </c>
      <c r="J9361" s="8" t="s">
        <v>27958</v>
      </c>
    </row>
    <row r="9362">
      <c r="A9362" s="7">
        <v>2.0071188E7</v>
      </c>
      <c r="B9362" s="8" t="s">
        <v>5706</v>
      </c>
      <c r="C9362" s="8" t="s">
        <v>27959</v>
      </c>
      <c r="D9362" s="8" t="s">
        <v>16</v>
      </c>
      <c r="E9362" s="8" t="s">
        <v>17</v>
      </c>
      <c r="F9362" s="9">
        <v>46192.0</v>
      </c>
      <c r="G9362" s="8" t="s">
        <v>59</v>
      </c>
      <c r="H9362" s="8" t="s">
        <v>60</v>
      </c>
      <c r="I9362" s="8" t="s">
        <v>27960</v>
      </c>
      <c r="J9362" s="8" t="s">
        <v>27961</v>
      </c>
    </row>
    <row r="9363">
      <c r="A9363" s="7">
        <v>2.0066629E7</v>
      </c>
      <c r="B9363" s="8" t="s">
        <v>5706</v>
      </c>
      <c r="C9363" s="8" t="s">
        <v>27962</v>
      </c>
      <c r="D9363" s="8" t="s">
        <v>16</v>
      </c>
      <c r="E9363" s="8" t="s">
        <v>17</v>
      </c>
      <c r="F9363" s="9">
        <v>46193.0</v>
      </c>
      <c r="G9363" s="8" t="s">
        <v>428</v>
      </c>
      <c r="H9363" s="8" t="s">
        <v>429</v>
      </c>
      <c r="I9363" s="8" t="s">
        <v>27963</v>
      </c>
      <c r="J9363" s="8" t="s">
        <v>27964</v>
      </c>
    </row>
    <row r="9364">
      <c r="A9364" s="7">
        <v>2.0064669E7</v>
      </c>
      <c r="B9364" s="8" t="s">
        <v>5706</v>
      </c>
      <c r="C9364" s="8" t="s">
        <v>27965</v>
      </c>
      <c r="D9364" s="8" t="s">
        <v>16</v>
      </c>
      <c r="E9364" s="8" t="s">
        <v>48</v>
      </c>
      <c r="F9364" s="9">
        <v>46163.0</v>
      </c>
      <c r="G9364" s="8" t="s">
        <v>234</v>
      </c>
      <c r="H9364" s="8" t="s">
        <v>235</v>
      </c>
      <c r="I9364" s="8" t="s">
        <v>27966</v>
      </c>
      <c r="J9364" s="8" t="s">
        <v>27967</v>
      </c>
    </row>
    <row r="9365">
      <c r="A9365" s="7">
        <v>2.0064669E7</v>
      </c>
      <c r="B9365" s="8" t="s">
        <v>5706</v>
      </c>
      <c r="C9365" s="8" t="s">
        <v>27965</v>
      </c>
      <c r="D9365" s="8" t="s">
        <v>16</v>
      </c>
      <c r="E9365" s="8" t="s">
        <v>48</v>
      </c>
      <c r="F9365" s="9">
        <v>46163.0</v>
      </c>
      <c r="G9365" s="8" t="s">
        <v>3255</v>
      </c>
      <c r="H9365" s="8" t="s">
        <v>3256</v>
      </c>
      <c r="I9365" s="8" t="s">
        <v>27968</v>
      </c>
      <c r="J9365" s="8" t="s">
        <v>27969</v>
      </c>
    </row>
    <row r="9366">
      <c r="A9366" s="7">
        <v>2.0057292E7</v>
      </c>
      <c r="B9366" s="8" t="s">
        <v>5706</v>
      </c>
      <c r="C9366" s="8" t="s">
        <v>27970</v>
      </c>
      <c r="D9366" s="8" t="s">
        <v>16</v>
      </c>
      <c r="E9366" s="8" t="s">
        <v>17</v>
      </c>
      <c r="F9366" s="9">
        <v>46137.0</v>
      </c>
      <c r="G9366" s="8" t="s">
        <v>4616</v>
      </c>
      <c r="H9366" s="8" t="s">
        <v>4617</v>
      </c>
      <c r="I9366" s="8" t="s">
        <v>27971</v>
      </c>
      <c r="J9366" s="8" t="s">
        <v>27972</v>
      </c>
    </row>
    <row r="9367">
      <c r="A9367" s="7">
        <v>2.0055937E7</v>
      </c>
      <c r="B9367" s="8" t="s">
        <v>5706</v>
      </c>
      <c r="C9367" s="8" t="s">
        <v>27973</v>
      </c>
      <c r="D9367" s="8" t="s">
        <v>16</v>
      </c>
      <c r="E9367" s="8" t="s">
        <v>17</v>
      </c>
      <c r="F9367" s="9">
        <v>46134.0</v>
      </c>
      <c r="G9367" s="8" t="s">
        <v>3027</v>
      </c>
      <c r="H9367" s="8" t="s">
        <v>909</v>
      </c>
      <c r="I9367" s="8" t="s">
        <v>27974</v>
      </c>
      <c r="J9367" s="8" t="s">
        <v>27975</v>
      </c>
    </row>
    <row r="9368">
      <c r="A9368" s="7">
        <v>2.0050679E7</v>
      </c>
      <c r="B9368" s="8" t="s">
        <v>5706</v>
      </c>
      <c r="C9368" s="8" t="s">
        <v>27976</v>
      </c>
      <c r="D9368" s="8" t="s">
        <v>16</v>
      </c>
      <c r="E9368" s="8" t="s">
        <v>48</v>
      </c>
      <c r="F9368" s="9">
        <v>46166.0</v>
      </c>
      <c r="G9368" s="8" t="s">
        <v>3427</v>
      </c>
      <c r="H9368" s="8" t="s">
        <v>1294</v>
      </c>
      <c r="I9368" s="8" t="s">
        <v>27977</v>
      </c>
      <c r="J9368" s="8" t="s">
        <v>27978</v>
      </c>
    </row>
    <row r="9369">
      <c r="A9369" s="7">
        <v>2.0050679E7</v>
      </c>
      <c r="B9369" s="8" t="s">
        <v>5706</v>
      </c>
      <c r="C9369" s="8" t="s">
        <v>27976</v>
      </c>
      <c r="D9369" s="8" t="s">
        <v>16</v>
      </c>
      <c r="E9369" s="8" t="s">
        <v>48</v>
      </c>
      <c r="F9369" s="9">
        <v>46166.0</v>
      </c>
      <c r="G9369" s="8" t="s">
        <v>3264</v>
      </c>
      <c r="H9369" s="8" t="s">
        <v>827</v>
      </c>
      <c r="I9369" s="8" t="s">
        <v>27979</v>
      </c>
      <c r="J9369" s="8" t="s">
        <v>27980</v>
      </c>
    </row>
    <row r="9370">
      <c r="A9370" s="7">
        <v>2.0050679E7</v>
      </c>
      <c r="B9370" s="8" t="s">
        <v>5706</v>
      </c>
      <c r="C9370" s="8" t="s">
        <v>27976</v>
      </c>
      <c r="D9370" s="8" t="s">
        <v>16</v>
      </c>
      <c r="E9370" s="8" t="s">
        <v>48</v>
      </c>
      <c r="F9370" s="9">
        <v>46166.0</v>
      </c>
      <c r="G9370" s="8" t="s">
        <v>27981</v>
      </c>
      <c r="H9370" s="8" t="s">
        <v>3145</v>
      </c>
      <c r="I9370" s="8" t="s">
        <v>27982</v>
      </c>
      <c r="J9370" s="8"/>
    </row>
    <row r="9371">
      <c r="A9371" s="7">
        <v>2.0044565E7</v>
      </c>
      <c r="B9371" s="8" t="s">
        <v>5706</v>
      </c>
      <c r="C9371" s="8" t="s">
        <v>27983</v>
      </c>
      <c r="D9371" s="8" t="s">
        <v>16</v>
      </c>
      <c r="E9371" s="8" t="s">
        <v>17</v>
      </c>
      <c r="F9371" s="9">
        <v>46082.0</v>
      </c>
      <c r="G9371" s="8" t="s">
        <v>247</v>
      </c>
      <c r="H9371" s="8" t="s">
        <v>248</v>
      </c>
      <c r="I9371" s="8" t="s">
        <v>27984</v>
      </c>
      <c r="J9371" s="8" t="s">
        <v>27985</v>
      </c>
    </row>
    <row r="9372">
      <c r="A9372" s="7">
        <v>2.0035526E7</v>
      </c>
      <c r="B9372" s="8" t="s">
        <v>5706</v>
      </c>
      <c r="C9372" s="8" t="s">
        <v>27986</v>
      </c>
      <c r="D9372" s="8" t="s">
        <v>16</v>
      </c>
      <c r="E9372" s="8" t="s">
        <v>17</v>
      </c>
      <c r="F9372" s="9">
        <v>46047.0</v>
      </c>
      <c r="G9372" s="8" t="s">
        <v>1969</v>
      </c>
      <c r="H9372" s="8" t="s">
        <v>1970</v>
      </c>
      <c r="I9372" s="8" t="s">
        <v>27987</v>
      </c>
      <c r="J9372" s="8" t="s">
        <v>27988</v>
      </c>
    </row>
    <row r="9373">
      <c r="A9373" s="7">
        <v>2.0062717E7</v>
      </c>
      <c r="B9373" s="8" t="s">
        <v>5706</v>
      </c>
      <c r="C9373" s="8" t="s">
        <v>27989</v>
      </c>
      <c r="D9373" s="8" t="s">
        <v>16</v>
      </c>
      <c r="E9373" s="8" t="s">
        <v>17</v>
      </c>
      <c r="F9373" s="9">
        <v>46158.0</v>
      </c>
      <c r="G9373" s="8" t="s">
        <v>4850</v>
      </c>
      <c r="H9373" s="8" t="s">
        <v>4851</v>
      </c>
      <c r="I9373" s="8" t="s">
        <v>27990</v>
      </c>
      <c r="J9373" s="8" t="s">
        <v>27991</v>
      </c>
    </row>
    <row r="9374">
      <c r="A9374" s="7">
        <v>2.0055966E7</v>
      </c>
      <c r="B9374" s="8" t="s">
        <v>5706</v>
      </c>
      <c r="C9374" s="8" t="s">
        <v>27992</v>
      </c>
      <c r="D9374" s="8" t="s">
        <v>16</v>
      </c>
      <c r="E9374" s="8" t="s">
        <v>17</v>
      </c>
      <c r="F9374" s="9">
        <v>46135.0</v>
      </c>
      <c r="G9374" s="8" t="s">
        <v>6142</v>
      </c>
      <c r="H9374" s="8" t="s">
        <v>6143</v>
      </c>
      <c r="I9374" s="8" t="s">
        <v>27993</v>
      </c>
      <c r="J9374" s="8" t="s">
        <v>27994</v>
      </c>
    </row>
    <row r="9375">
      <c r="A9375" s="7">
        <v>2.0054411E7</v>
      </c>
      <c r="B9375" s="8" t="s">
        <v>5706</v>
      </c>
      <c r="C9375" s="8" t="s">
        <v>27995</v>
      </c>
      <c r="D9375" s="8" t="s">
        <v>16</v>
      </c>
      <c r="E9375" s="8" t="s">
        <v>17</v>
      </c>
      <c r="F9375" s="9">
        <v>46136.0</v>
      </c>
      <c r="G9375" s="8" t="s">
        <v>64</v>
      </c>
      <c r="H9375" s="8" t="s">
        <v>65</v>
      </c>
      <c r="I9375" s="8" t="s">
        <v>27996</v>
      </c>
      <c r="J9375" s="8" t="s">
        <v>27997</v>
      </c>
    </row>
    <row r="9376">
      <c r="A9376" s="7">
        <v>2.0053642E7</v>
      </c>
      <c r="B9376" s="8" t="s">
        <v>5706</v>
      </c>
      <c r="C9376" s="8" t="s">
        <v>27998</v>
      </c>
      <c r="D9376" s="8" t="s">
        <v>16</v>
      </c>
      <c r="E9376" s="8" t="s">
        <v>17</v>
      </c>
      <c r="F9376" s="9">
        <v>46128.0</v>
      </c>
      <c r="G9376" s="8" t="s">
        <v>29</v>
      </c>
      <c r="H9376" s="8" t="s">
        <v>30</v>
      </c>
      <c r="I9376" s="8" t="s">
        <v>27999</v>
      </c>
      <c r="J9376" s="8" t="s">
        <v>28000</v>
      </c>
    </row>
    <row r="9377">
      <c r="A9377" s="7">
        <v>2.0042186E7</v>
      </c>
      <c r="B9377" s="8" t="s">
        <v>5706</v>
      </c>
      <c r="C9377" s="8" t="s">
        <v>28001</v>
      </c>
      <c r="D9377" s="8" t="s">
        <v>16</v>
      </c>
      <c r="E9377" s="8" t="s">
        <v>17</v>
      </c>
      <c r="F9377" s="9">
        <v>46086.0</v>
      </c>
      <c r="G9377" s="8" t="s">
        <v>630</v>
      </c>
      <c r="H9377" s="8" t="s">
        <v>631</v>
      </c>
      <c r="I9377" s="8" t="s">
        <v>28002</v>
      </c>
      <c r="J9377" s="8" t="s">
        <v>28003</v>
      </c>
    </row>
    <row r="9378">
      <c r="A9378" s="7">
        <v>2.0058736E7</v>
      </c>
      <c r="B9378" s="8" t="s">
        <v>5706</v>
      </c>
      <c r="C9378" s="8" t="s">
        <v>28004</v>
      </c>
      <c r="D9378" s="8" t="s">
        <v>16</v>
      </c>
      <c r="E9378" s="8" t="s">
        <v>17</v>
      </c>
      <c r="F9378" s="9">
        <v>46182.0</v>
      </c>
      <c r="G9378" s="8" t="s">
        <v>8230</v>
      </c>
      <c r="H9378" s="8" t="s">
        <v>8231</v>
      </c>
      <c r="I9378" s="8" t="s">
        <v>28005</v>
      </c>
      <c r="J9378" s="8" t="s">
        <v>28006</v>
      </c>
    </row>
    <row r="9379">
      <c r="A9379" s="7">
        <v>2.0047102E7</v>
      </c>
      <c r="B9379" s="8" t="s">
        <v>5706</v>
      </c>
      <c r="C9379" s="8" t="s">
        <v>28007</v>
      </c>
      <c r="D9379" s="8" t="s">
        <v>16</v>
      </c>
      <c r="E9379" s="8" t="s">
        <v>17</v>
      </c>
      <c r="F9379" s="9">
        <v>46093.0</v>
      </c>
      <c r="G9379" s="8" t="s">
        <v>759</v>
      </c>
      <c r="H9379" s="8" t="s">
        <v>760</v>
      </c>
      <c r="I9379" s="8" t="s">
        <v>28008</v>
      </c>
      <c r="J9379" s="8" t="s">
        <v>28009</v>
      </c>
    </row>
    <row r="9380">
      <c r="A9380" s="7">
        <v>2.0042157E7</v>
      </c>
      <c r="B9380" s="8" t="s">
        <v>5706</v>
      </c>
      <c r="C9380" s="8" t="s">
        <v>28010</v>
      </c>
      <c r="D9380" s="8" t="s">
        <v>16</v>
      </c>
      <c r="E9380" s="8" t="s">
        <v>17</v>
      </c>
      <c r="F9380" s="9">
        <v>46073.0</v>
      </c>
      <c r="G9380" s="8" t="s">
        <v>59</v>
      </c>
      <c r="H9380" s="8" t="s">
        <v>60</v>
      </c>
      <c r="I9380" s="8" t="s">
        <v>28011</v>
      </c>
      <c r="J9380" s="8" t="s">
        <v>28012</v>
      </c>
    </row>
    <row r="9381">
      <c r="A9381" s="7">
        <v>2.0035264E7</v>
      </c>
      <c r="B9381" s="8" t="s">
        <v>5706</v>
      </c>
      <c r="C9381" s="8" t="s">
        <v>28013</v>
      </c>
      <c r="D9381" s="8" t="s">
        <v>16</v>
      </c>
      <c r="E9381" s="8" t="s">
        <v>17</v>
      </c>
      <c r="F9381" s="9">
        <v>46051.0</v>
      </c>
      <c r="G9381" s="8" t="s">
        <v>7659</v>
      </c>
      <c r="H9381" s="8" t="s">
        <v>7660</v>
      </c>
      <c r="I9381" s="8" t="s">
        <v>28014</v>
      </c>
      <c r="J9381" s="8" t="s">
        <v>28015</v>
      </c>
    </row>
    <row r="9382">
      <c r="A9382" s="7">
        <v>2.0034611E7</v>
      </c>
      <c r="B9382" s="8" t="s">
        <v>5706</v>
      </c>
      <c r="C9382" s="8" t="s">
        <v>28016</v>
      </c>
      <c r="D9382" s="8" t="s">
        <v>16</v>
      </c>
      <c r="E9382" s="8" t="s">
        <v>17</v>
      </c>
      <c r="F9382" s="9">
        <v>46046.0</v>
      </c>
      <c r="G9382" s="8" t="s">
        <v>805</v>
      </c>
      <c r="H9382" s="8" t="s">
        <v>806</v>
      </c>
      <c r="I9382" s="8" t="s">
        <v>28017</v>
      </c>
      <c r="J9382" s="8" t="s">
        <v>28018</v>
      </c>
    </row>
    <row r="9383">
      <c r="A9383" s="7">
        <v>2.0069521E7</v>
      </c>
      <c r="B9383" s="8" t="s">
        <v>5706</v>
      </c>
      <c r="C9383" s="8" t="s">
        <v>28019</v>
      </c>
      <c r="D9383" s="8" t="s">
        <v>16</v>
      </c>
      <c r="E9383" s="8" t="s">
        <v>17</v>
      </c>
      <c r="F9383" s="9">
        <v>46189.0</v>
      </c>
      <c r="G9383" s="8" t="s">
        <v>9567</v>
      </c>
      <c r="H9383" s="8" t="s">
        <v>9568</v>
      </c>
      <c r="I9383" s="8" t="s">
        <v>28020</v>
      </c>
      <c r="J9383" s="8" t="s">
        <v>28021</v>
      </c>
    </row>
    <row r="9384">
      <c r="A9384" s="7">
        <v>2.0069521E7</v>
      </c>
      <c r="B9384" s="8" t="s">
        <v>5706</v>
      </c>
      <c r="C9384" s="8" t="s">
        <v>28019</v>
      </c>
      <c r="D9384" s="8" t="s">
        <v>16</v>
      </c>
      <c r="E9384" s="8" t="s">
        <v>17</v>
      </c>
      <c r="F9384" s="9">
        <v>46189.0</v>
      </c>
      <c r="G9384" s="8" t="s">
        <v>9383</v>
      </c>
      <c r="H9384" s="8" t="s">
        <v>9384</v>
      </c>
      <c r="I9384" s="8" t="s">
        <v>28022</v>
      </c>
      <c r="J9384" s="8" t="s">
        <v>28023</v>
      </c>
    </row>
    <row r="9385">
      <c r="A9385" s="7">
        <v>2.0050368E7</v>
      </c>
      <c r="B9385" s="8" t="s">
        <v>5706</v>
      </c>
      <c r="C9385" s="8" t="s">
        <v>28024</v>
      </c>
      <c r="D9385" s="8" t="s">
        <v>16</v>
      </c>
      <c r="E9385" s="8" t="s">
        <v>17</v>
      </c>
      <c r="F9385" s="9">
        <v>46112.0</v>
      </c>
      <c r="G9385" s="8" t="s">
        <v>3787</v>
      </c>
      <c r="H9385" s="8" t="s">
        <v>50</v>
      </c>
      <c r="I9385" s="8" t="s">
        <v>28025</v>
      </c>
      <c r="J9385" s="8" t="s">
        <v>28026</v>
      </c>
    </row>
    <row r="9386">
      <c r="A9386" s="7">
        <v>2.0049829E7</v>
      </c>
      <c r="B9386" s="8" t="s">
        <v>5706</v>
      </c>
      <c r="C9386" s="8" t="s">
        <v>28027</v>
      </c>
      <c r="D9386" s="8" t="s">
        <v>16</v>
      </c>
      <c r="E9386" s="8" t="s">
        <v>17</v>
      </c>
      <c r="F9386" s="9">
        <v>46116.0</v>
      </c>
      <c r="G9386" s="8" t="s">
        <v>28028</v>
      </c>
      <c r="H9386" s="8" t="s">
        <v>28029</v>
      </c>
      <c r="I9386" s="8" t="s">
        <v>28030</v>
      </c>
      <c r="J9386" s="8" t="s">
        <v>28031</v>
      </c>
    </row>
    <row r="9387">
      <c r="A9387" s="7">
        <v>2.00463E7</v>
      </c>
      <c r="B9387" s="8" t="s">
        <v>5706</v>
      </c>
      <c r="C9387" s="8" t="s">
        <v>28032</v>
      </c>
      <c r="D9387" s="8" t="s">
        <v>16</v>
      </c>
      <c r="E9387" s="8" t="s">
        <v>17</v>
      </c>
      <c r="F9387" s="9">
        <v>46095.0</v>
      </c>
      <c r="G9387" s="8" t="s">
        <v>5030</v>
      </c>
      <c r="H9387" s="8" t="s">
        <v>44</v>
      </c>
      <c r="I9387" s="8" t="s">
        <v>28033</v>
      </c>
      <c r="J9387" s="8" t="s">
        <v>28034</v>
      </c>
    </row>
    <row r="9388">
      <c r="A9388" s="7">
        <v>2.004447E7</v>
      </c>
      <c r="B9388" s="8" t="s">
        <v>5706</v>
      </c>
      <c r="C9388" s="8" t="s">
        <v>28035</v>
      </c>
      <c r="D9388" s="8" t="s">
        <v>16</v>
      </c>
      <c r="E9388" s="8" t="s">
        <v>17</v>
      </c>
      <c r="F9388" s="9">
        <v>46102.0</v>
      </c>
      <c r="G9388" s="8" t="s">
        <v>3706</v>
      </c>
      <c r="H9388" s="8" t="s">
        <v>3707</v>
      </c>
      <c r="I9388" s="8" t="s">
        <v>28036</v>
      </c>
      <c r="J9388" s="8"/>
    </row>
    <row r="9389">
      <c r="A9389" s="7">
        <v>2.0042073E7</v>
      </c>
      <c r="B9389" s="8" t="s">
        <v>5706</v>
      </c>
      <c r="C9389" s="8" t="s">
        <v>28037</v>
      </c>
      <c r="D9389" s="8" t="s">
        <v>16</v>
      </c>
      <c r="E9389" s="8" t="s">
        <v>17</v>
      </c>
      <c r="F9389" s="9">
        <v>46087.0</v>
      </c>
      <c r="G9389" s="8" t="s">
        <v>148</v>
      </c>
      <c r="H9389" s="8" t="s">
        <v>149</v>
      </c>
      <c r="I9389" s="8" t="s">
        <v>28038</v>
      </c>
      <c r="J9389" s="8" t="s">
        <v>28039</v>
      </c>
    </row>
    <row r="9390">
      <c r="A9390" s="7">
        <v>2.0064654E7</v>
      </c>
      <c r="B9390" s="8" t="s">
        <v>5706</v>
      </c>
      <c r="C9390" s="8" t="s">
        <v>28040</v>
      </c>
      <c r="D9390" s="8" t="s">
        <v>16</v>
      </c>
      <c r="E9390" s="8" t="s">
        <v>17</v>
      </c>
      <c r="F9390" s="9">
        <v>46173.0</v>
      </c>
      <c r="G9390" s="8" t="s">
        <v>365</v>
      </c>
      <c r="H9390" s="8" t="s">
        <v>366</v>
      </c>
      <c r="I9390" s="8" t="s">
        <v>28041</v>
      </c>
      <c r="J9390" s="8" t="s">
        <v>28042</v>
      </c>
    </row>
    <row r="9391">
      <c r="A9391" s="7">
        <v>2.0063303E7</v>
      </c>
      <c r="B9391" s="8" t="s">
        <v>5706</v>
      </c>
      <c r="C9391" s="8" t="s">
        <v>28043</v>
      </c>
      <c r="D9391" s="8" t="s">
        <v>16</v>
      </c>
      <c r="E9391" s="8" t="s">
        <v>17</v>
      </c>
      <c r="F9391" s="9">
        <v>46163.0</v>
      </c>
      <c r="G9391" s="8" t="s">
        <v>846</v>
      </c>
      <c r="H9391" s="8" t="s">
        <v>847</v>
      </c>
      <c r="I9391" s="8" t="s">
        <v>28044</v>
      </c>
      <c r="J9391" s="8" t="s">
        <v>28045</v>
      </c>
    </row>
    <row r="9392">
      <c r="A9392" s="7">
        <v>2.0060263E7</v>
      </c>
      <c r="B9392" s="8" t="s">
        <v>5706</v>
      </c>
      <c r="C9392" s="8" t="s">
        <v>28046</v>
      </c>
      <c r="D9392" s="8" t="s">
        <v>16</v>
      </c>
      <c r="E9392" s="8" t="s">
        <v>17</v>
      </c>
      <c r="F9392" s="9">
        <v>46193.0</v>
      </c>
      <c r="G9392" s="8" t="s">
        <v>2749</v>
      </c>
      <c r="H9392" s="8" t="s">
        <v>2750</v>
      </c>
      <c r="I9392" s="8" t="s">
        <v>28047</v>
      </c>
      <c r="J9392" s="8" t="s">
        <v>28048</v>
      </c>
    </row>
    <row r="9393">
      <c r="A9393" s="7">
        <v>2.005061E7</v>
      </c>
      <c r="B9393" s="8" t="s">
        <v>5706</v>
      </c>
      <c r="C9393" s="8" t="s">
        <v>28049</v>
      </c>
      <c r="D9393" s="8" t="s">
        <v>16</v>
      </c>
      <c r="E9393" s="8" t="s">
        <v>17</v>
      </c>
      <c r="F9393" s="9">
        <v>46120.0</v>
      </c>
      <c r="G9393" s="8" t="s">
        <v>277</v>
      </c>
      <c r="H9393" s="8" t="s">
        <v>278</v>
      </c>
      <c r="I9393" s="8" t="s">
        <v>28050</v>
      </c>
      <c r="J9393" s="8" t="s">
        <v>28051</v>
      </c>
    </row>
    <row r="9394">
      <c r="A9394" s="7">
        <v>2.0035001E7</v>
      </c>
      <c r="B9394" s="8" t="s">
        <v>5706</v>
      </c>
      <c r="C9394" s="8" t="s">
        <v>28052</v>
      </c>
      <c r="D9394" s="8" t="s">
        <v>16</v>
      </c>
      <c r="E9394" s="8" t="s">
        <v>17</v>
      </c>
      <c r="F9394" s="9">
        <v>46051.0</v>
      </c>
      <c r="G9394" s="8" t="s">
        <v>29</v>
      </c>
      <c r="H9394" s="8" t="s">
        <v>30</v>
      </c>
      <c r="I9394" s="8" t="s">
        <v>28053</v>
      </c>
      <c r="J9394" s="8" t="s">
        <v>28054</v>
      </c>
    </row>
    <row r="9395">
      <c r="A9395" s="7">
        <v>2.0048466E7</v>
      </c>
      <c r="B9395" s="8" t="s">
        <v>5706</v>
      </c>
      <c r="C9395" s="8" t="s">
        <v>28055</v>
      </c>
      <c r="D9395" s="8" t="s">
        <v>16</v>
      </c>
      <c r="E9395" s="8" t="s">
        <v>17</v>
      </c>
      <c r="F9395" s="9">
        <v>46126.0</v>
      </c>
      <c r="G9395" s="8" t="s">
        <v>28056</v>
      </c>
      <c r="H9395" s="8" t="s">
        <v>28057</v>
      </c>
      <c r="I9395" s="8" t="s">
        <v>28058</v>
      </c>
      <c r="J9395" s="8" t="s">
        <v>28059</v>
      </c>
    </row>
    <row r="9396">
      <c r="A9396" s="7">
        <v>2.0036672E7</v>
      </c>
      <c r="B9396" s="8" t="s">
        <v>5706</v>
      </c>
      <c r="C9396" s="8" t="s">
        <v>28060</v>
      </c>
      <c r="D9396" s="8" t="s">
        <v>16</v>
      </c>
      <c r="E9396" s="8" t="s">
        <v>17</v>
      </c>
      <c r="F9396" s="9">
        <v>46061.0</v>
      </c>
      <c r="G9396" s="8" t="s">
        <v>28061</v>
      </c>
      <c r="H9396" s="8" t="s">
        <v>28062</v>
      </c>
      <c r="I9396" s="8" t="s">
        <v>28063</v>
      </c>
      <c r="J9396" s="8" t="s">
        <v>28064</v>
      </c>
    </row>
    <row r="9397">
      <c r="A9397" s="7">
        <v>2.0064202E7</v>
      </c>
      <c r="B9397" s="8" t="s">
        <v>5706</v>
      </c>
      <c r="C9397" s="8" t="s">
        <v>28065</v>
      </c>
      <c r="D9397" s="8" t="s">
        <v>16</v>
      </c>
      <c r="E9397" s="8" t="s">
        <v>17</v>
      </c>
      <c r="F9397" s="9">
        <v>46181.0</v>
      </c>
      <c r="G9397" s="8" t="s">
        <v>1045</v>
      </c>
      <c r="H9397" s="8" t="s">
        <v>909</v>
      </c>
      <c r="I9397" s="8" t="s">
        <v>28066</v>
      </c>
      <c r="J9397" s="8" t="s">
        <v>28067</v>
      </c>
    </row>
    <row r="9398">
      <c r="A9398" s="7">
        <v>2.0058156E7</v>
      </c>
      <c r="B9398" s="8" t="s">
        <v>5706</v>
      </c>
      <c r="C9398" s="8" t="s">
        <v>28068</v>
      </c>
      <c r="D9398" s="8" t="s">
        <v>16</v>
      </c>
      <c r="E9398" s="8" t="s">
        <v>17</v>
      </c>
      <c r="F9398" s="9">
        <v>46193.0</v>
      </c>
      <c r="G9398" s="8" t="s">
        <v>28069</v>
      </c>
      <c r="H9398" s="8" t="s">
        <v>28070</v>
      </c>
      <c r="I9398" s="8" t="s">
        <v>28071</v>
      </c>
      <c r="J9398" s="8" t="s">
        <v>28072</v>
      </c>
    </row>
    <row r="9399">
      <c r="A9399" s="7">
        <v>2.0058156E7</v>
      </c>
      <c r="B9399" s="8" t="s">
        <v>5706</v>
      </c>
      <c r="C9399" s="8" t="s">
        <v>28068</v>
      </c>
      <c r="D9399" s="8" t="s">
        <v>16</v>
      </c>
      <c r="E9399" s="8" t="s">
        <v>17</v>
      </c>
      <c r="F9399" s="9">
        <v>46193.0</v>
      </c>
      <c r="G9399" s="8" t="s">
        <v>3043</v>
      </c>
      <c r="H9399" s="8" t="s">
        <v>20676</v>
      </c>
      <c r="I9399" s="8" t="s">
        <v>28073</v>
      </c>
      <c r="J9399" s="8" t="s">
        <v>28074</v>
      </c>
    </row>
    <row r="9400">
      <c r="A9400" s="7">
        <v>2.0048369E7</v>
      </c>
      <c r="B9400" s="8" t="s">
        <v>5706</v>
      </c>
      <c r="C9400" s="8" t="s">
        <v>28075</v>
      </c>
      <c r="D9400" s="8" t="s">
        <v>16</v>
      </c>
      <c r="E9400" s="8" t="s">
        <v>17</v>
      </c>
      <c r="F9400" s="9">
        <v>46103.0</v>
      </c>
      <c r="G9400" s="8" t="s">
        <v>7831</v>
      </c>
      <c r="H9400" s="8" t="s">
        <v>7832</v>
      </c>
      <c r="I9400" s="8" t="s">
        <v>28076</v>
      </c>
      <c r="J9400" s="8" t="s">
        <v>28077</v>
      </c>
    </row>
    <row r="9401">
      <c r="A9401" s="7">
        <v>2.0048369E7</v>
      </c>
      <c r="B9401" s="8" t="s">
        <v>5706</v>
      </c>
      <c r="C9401" s="8" t="s">
        <v>28075</v>
      </c>
      <c r="D9401" s="8" t="s">
        <v>16</v>
      </c>
      <c r="E9401" s="8" t="s">
        <v>17</v>
      </c>
      <c r="F9401" s="9">
        <v>46103.0</v>
      </c>
      <c r="G9401" s="8" t="s">
        <v>11113</v>
      </c>
      <c r="H9401" s="8" t="s">
        <v>11114</v>
      </c>
      <c r="I9401" s="8" t="s">
        <v>28078</v>
      </c>
      <c r="J9401" s="8" t="s">
        <v>28079</v>
      </c>
    </row>
    <row r="9402">
      <c r="A9402" s="7">
        <v>2.0063221E7</v>
      </c>
      <c r="B9402" s="8" t="s">
        <v>5706</v>
      </c>
      <c r="C9402" s="8" t="s">
        <v>28080</v>
      </c>
      <c r="D9402" s="8" t="s">
        <v>16</v>
      </c>
      <c r="E9402" s="8" t="s">
        <v>17</v>
      </c>
      <c r="F9402" s="9">
        <v>46168.0</v>
      </c>
      <c r="G9402" s="8" t="s">
        <v>195</v>
      </c>
      <c r="H9402" s="8" t="s">
        <v>196</v>
      </c>
      <c r="I9402" s="8" t="s">
        <v>28081</v>
      </c>
      <c r="J9402" s="8" t="s">
        <v>28082</v>
      </c>
    </row>
    <row r="9403">
      <c r="A9403" s="7">
        <v>2.005314E7</v>
      </c>
      <c r="B9403" s="8" t="s">
        <v>5706</v>
      </c>
      <c r="C9403" s="8" t="s">
        <v>28083</v>
      </c>
      <c r="D9403" s="8" t="s">
        <v>16</v>
      </c>
      <c r="E9403" s="8" t="s">
        <v>17</v>
      </c>
      <c r="F9403" s="9">
        <v>46113.0</v>
      </c>
      <c r="G9403" s="8" t="s">
        <v>826</v>
      </c>
      <c r="H9403" s="8" t="s">
        <v>827</v>
      </c>
      <c r="I9403" s="8" t="s">
        <v>28084</v>
      </c>
      <c r="J9403" s="8" t="s">
        <v>28085</v>
      </c>
    </row>
    <row r="9404">
      <c r="A9404" s="7">
        <v>2.0041201E7</v>
      </c>
      <c r="B9404" s="8" t="s">
        <v>5706</v>
      </c>
      <c r="C9404" s="8" t="s">
        <v>28086</v>
      </c>
      <c r="D9404" s="8" t="s">
        <v>16</v>
      </c>
      <c r="E9404" s="8" t="s">
        <v>17</v>
      </c>
      <c r="F9404" s="9">
        <v>46068.0</v>
      </c>
      <c r="G9404" s="8" t="s">
        <v>59</v>
      </c>
      <c r="H9404" s="8" t="s">
        <v>60</v>
      </c>
      <c r="I9404" s="8" t="s">
        <v>28087</v>
      </c>
      <c r="J9404" s="8" t="s">
        <v>28088</v>
      </c>
    </row>
    <row r="9405">
      <c r="A9405" s="7">
        <v>2.0042613E7</v>
      </c>
      <c r="B9405" s="8" t="s">
        <v>5706</v>
      </c>
      <c r="C9405" s="8" t="s">
        <v>28089</v>
      </c>
      <c r="D9405" s="8" t="s">
        <v>16</v>
      </c>
      <c r="E9405" s="8" t="s">
        <v>17</v>
      </c>
      <c r="F9405" s="9">
        <v>46096.0</v>
      </c>
      <c r="G9405" s="8" t="s">
        <v>1813</v>
      </c>
      <c r="H9405" s="8" t="s">
        <v>1814</v>
      </c>
      <c r="I9405" s="8" t="s">
        <v>28090</v>
      </c>
      <c r="J9405" s="8" t="s">
        <v>28091</v>
      </c>
    </row>
    <row r="9406">
      <c r="A9406" s="7">
        <v>2.0041474E7</v>
      </c>
      <c r="B9406" s="8" t="s">
        <v>5706</v>
      </c>
      <c r="C9406" s="8" t="s">
        <v>28092</v>
      </c>
      <c r="D9406" s="8" t="s">
        <v>16</v>
      </c>
      <c r="E9406" s="8" t="s">
        <v>17</v>
      </c>
      <c r="F9406" s="9">
        <v>46067.0</v>
      </c>
      <c r="G9406" s="8" t="s">
        <v>277</v>
      </c>
      <c r="H9406" s="8" t="s">
        <v>278</v>
      </c>
      <c r="I9406" s="8" t="s">
        <v>28093</v>
      </c>
      <c r="J9406" s="8" t="s">
        <v>28094</v>
      </c>
    </row>
    <row r="9407">
      <c r="A9407" s="7">
        <v>2.007075E7</v>
      </c>
      <c r="B9407" s="8" t="s">
        <v>5706</v>
      </c>
      <c r="C9407" s="8" t="s">
        <v>28095</v>
      </c>
      <c r="D9407" s="8" t="s">
        <v>16</v>
      </c>
      <c r="E9407" s="8" t="s">
        <v>17</v>
      </c>
      <c r="F9407" s="9">
        <v>46192.0</v>
      </c>
      <c r="G9407" s="8" t="s">
        <v>826</v>
      </c>
      <c r="H9407" s="8" t="s">
        <v>7633</v>
      </c>
      <c r="I9407" s="8" t="s">
        <v>28096</v>
      </c>
      <c r="J9407" s="8" t="s">
        <v>28097</v>
      </c>
    </row>
    <row r="9408">
      <c r="A9408" s="7">
        <v>2.004696E7</v>
      </c>
      <c r="B9408" s="8" t="s">
        <v>5706</v>
      </c>
      <c r="C9408" s="8" t="s">
        <v>28098</v>
      </c>
      <c r="D9408" s="8" t="s">
        <v>16</v>
      </c>
      <c r="E9408" s="8" t="s">
        <v>17</v>
      </c>
      <c r="F9408" s="9">
        <v>46092.0</v>
      </c>
      <c r="G9408" s="8" t="s">
        <v>2511</v>
      </c>
      <c r="H9408" s="8" t="s">
        <v>2512</v>
      </c>
      <c r="I9408" s="8" t="s">
        <v>28099</v>
      </c>
      <c r="J9408" s="8" t="s">
        <v>28100</v>
      </c>
    </row>
    <row r="9409">
      <c r="A9409" s="7">
        <v>2.0043468E7</v>
      </c>
      <c r="B9409" s="8" t="s">
        <v>5706</v>
      </c>
      <c r="C9409" s="8" t="s">
        <v>28101</v>
      </c>
      <c r="D9409" s="8" t="s">
        <v>16</v>
      </c>
      <c r="E9409" s="8" t="s">
        <v>17</v>
      </c>
      <c r="F9409" s="9">
        <v>46080.0</v>
      </c>
      <c r="G9409" s="8" t="s">
        <v>49</v>
      </c>
      <c r="H9409" s="8" t="s">
        <v>50</v>
      </c>
      <c r="I9409" s="8" t="s">
        <v>28102</v>
      </c>
      <c r="J9409" s="8"/>
    </row>
    <row r="9410">
      <c r="A9410" s="7">
        <v>2.003408E7</v>
      </c>
      <c r="B9410" s="8" t="s">
        <v>5706</v>
      </c>
      <c r="C9410" s="8" t="s">
        <v>28103</v>
      </c>
      <c r="D9410" s="8" t="s">
        <v>16</v>
      </c>
      <c r="E9410" s="8" t="s">
        <v>17</v>
      </c>
      <c r="F9410" s="9">
        <v>46045.0</v>
      </c>
      <c r="G9410" s="8" t="s">
        <v>577</v>
      </c>
      <c r="H9410" s="8" t="s">
        <v>578</v>
      </c>
      <c r="I9410" s="8" t="s">
        <v>28104</v>
      </c>
      <c r="J9410" s="8"/>
    </row>
    <row r="9411">
      <c r="A9411" s="7">
        <v>2.0069692E7</v>
      </c>
      <c r="B9411" s="8" t="s">
        <v>5706</v>
      </c>
      <c r="C9411" s="8" t="s">
        <v>28105</v>
      </c>
      <c r="D9411" s="8" t="s">
        <v>16</v>
      </c>
      <c r="E9411" s="8" t="s">
        <v>17</v>
      </c>
      <c r="F9411" s="9">
        <v>46193.0</v>
      </c>
      <c r="G9411" s="8" t="s">
        <v>70</v>
      </c>
      <c r="H9411" s="8" t="s">
        <v>9466</v>
      </c>
      <c r="I9411" s="8" t="s">
        <v>28106</v>
      </c>
      <c r="J9411" s="8" t="s">
        <v>28107</v>
      </c>
    </row>
    <row r="9412">
      <c r="A9412" s="7">
        <v>2.0064014E7</v>
      </c>
      <c r="B9412" s="8" t="s">
        <v>5706</v>
      </c>
      <c r="C9412" s="8" t="s">
        <v>28108</v>
      </c>
      <c r="D9412" s="8" t="s">
        <v>16</v>
      </c>
      <c r="E9412" s="8" t="s">
        <v>17</v>
      </c>
      <c r="F9412" s="9">
        <v>46183.0</v>
      </c>
      <c r="G9412" s="8" t="s">
        <v>184</v>
      </c>
      <c r="H9412" s="8" t="s">
        <v>185</v>
      </c>
      <c r="I9412" s="8" t="s">
        <v>28109</v>
      </c>
      <c r="J9412" s="8" t="s">
        <v>28110</v>
      </c>
    </row>
    <row r="9413">
      <c r="A9413" s="7">
        <v>2.0042886E7</v>
      </c>
      <c r="B9413" s="8" t="s">
        <v>5706</v>
      </c>
      <c r="C9413" s="8" t="s">
        <v>28111</v>
      </c>
      <c r="D9413" s="8" t="s">
        <v>16</v>
      </c>
      <c r="E9413" s="8" t="s">
        <v>17</v>
      </c>
      <c r="F9413" s="9">
        <v>46077.0</v>
      </c>
      <c r="G9413" s="8" t="s">
        <v>28112</v>
      </c>
      <c r="H9413" s="8" t="s">
        <v>28113</v>
      </c>
      <c r="I9413" s="8" t="s">
        <v>28114</v>
      </c>
      <c r="J9413" s="8" t="s">
        <v>28115</v>
      </c>
    </row>
    <row r="9414">
      <c r="A9414" s="7">
        <v>2.003743E7</v>
      </c>
      <c r="B9414" s="8" t="s">
        <v>5706</v>
      </c>
      <c r="C9414" s="8" t="s">
        <v>28116</v>
      </c>
      <c r="D9414" s="8" t="s">
        <v>16</v>
      </c>
      <c r="E9414" s="8" t="s">
        <v>17</v>
      </c>
      <c r="F9414" s="9">
        <v>46056.0</v>
      </c>
      <c r="G9414" s="8" t="s">
        <v>109</v>
      </c>
      <c r="H9414" s="8" t="s">
        <v>110</v>
      </c>
      <c r="I9414" s="8" t="s">
        <v>28117</v>
      </c>
      <c r="J9414" s="8" t="s">
        <v>28118</v>
      </c>
    </row>
    <row r="9415">
      <c r="A9415" s="7">
        <v>2.0034319E7</v>
      </c>
      <c r="B9415" s="8" t="s">
        <v>5706</v>
      </c>
      <c r="C9415" s="8" t="s">
        <v>28119</v>
      </c>
      <c r="D9415" s="8" t="s">
        <v>16</v>
      </c>
      <c r="E9415" s="8" t="s">
        <v>17</v>
      </c>
      <c r="F9415" s="9">
        <v>46052.0</v>
      </c>
      <c r="G9415" s="8" t="s">
        <v>132</v>
      </c>
      <c r="H9415" s="8" t="s">
        <v>133</v>
      </c>
      <c r="I9415" s="8" t="s">
        <v>28120</v>
      </c>
      <c r="J9415" s="8"/>
    </row>
    <row r="9416">
      <c r="A9416" s="7">
        <v>2.0066264E7</v>
      </c>
      <c r="B9416" s="8" t="s">
        <v>5706</v>
      </c>
      <c r="C9416" s="8" t="s">
        <v>28121</v>
      </c>
      <c r="D9416" s="8" t="s">
        <v>16</v>
      </c>
      <c r="E9416" s="8" t="s">
        <v>17</v>
      </c>
      <c r="F9416" s="9">
        <v>46169.0</v>
      </c>
      <c r="G9416" s="8" t="s">
        <v>423</v>
      </c>
      <c r="H9416" s="8" t="s">
        <v>6351</v>
      </c>
      <c r="I9416" s="8" t="s">
        <v>28122</v>
      </c>
      <c r="J9416" s="8" t="s">
        <v>28123</v>
      </c>
    </row>
    <row r="9417">
      <c r="A9417" s="7">
        <v>2.0057937E7</v>
      </c>
      <c r="B9417" s="8" t="s">
        <v>5706</v>
      </c>
      <c r="C9417" s="8" t="s">
        <v>28124</v>
      </c>
      <c r="D9417" s="8" t="s">
        <v>16</v>
      </c>
      <c r="E9417" s="8" t="s">
        <v>17</v>
      </c>
      <c r="F9417" s="9">
        <v>46193.0</v>
      </c>
      <c r="G9417" s="8" t="s">
        <v>109</v>
      </c>
      <c r="H9417" s="8" t="s">
        <v>110</v>
      </c>
      <c r="I9417" s="8" t="s">
        <v>28125</v>
      </c>
      <c r="J9417" s="8" t="s">
        <v>28126</v>
      </c>
    </row>
    <row r="9418">
      <c r="A9418" s="7">
        <v>2.0057937E7</v>
      </c>
      <c r="B9418" s="8" t="s">
        <v>5706</v>
      </c>
      <c r="C9418" s="8" t="s">
        <v>28124</v>
      </c>
      <c r="D9418" s="8" t="s">
        <v>16</v>
      </c>
      <c r="E9418" s="8" t="s">
        <v>17</v>
      </c>
      <c r="F9418" s="9">
        <v>46193.0</v>
      </c>
      <c r="G9418" s="8" t="s">
        <v>7038</v>
      </c>
      <c r="H9418" s="8" t="s">
        <v>7039</v>
      </c>
      <c r="I9418" s="8"/>
      <c r="J9418" s="8" t="s">
        <v>28127</v>
      </c>
    </row>
    <row r="9419">
      <c r="A9419" s="7">
        <v>2.0054966E7</v>
      </c>
      <c r="B9419" s="8" t="s">
        <v>5706</v>
      </c>
      <c r="C9419" s="8" t="s">
        <v>28128</v>
      </c>
      <c r="D9419" s="8" t="s">
        <v>16</v>
      </c>
      <c r="E9419" s="8" t="s">
        <v>17</v>
      </c>
      <c r="F9419" s="9">
        <v>46137.0</v>
      </c>
      <c r="G9419" s="8" t="s">
        <v>10148</v>
      </c>
      <c r="H9419" s="8" t="s">
        <v>10149</v>
      </c>
      <c r="I9419" s="8" t="s">
        <v>28129</v>
      </c>
      <c r="J9419" s="8" t="s">
        <v>28130</v>
      </c>
    </row>
    <row r="9420">
      <c r="A9420" s="7">
        <v>2.0052049E7</v>
      </c>
      <c r="B9420" s="8" t="s">
        <v>5706</v>
      </c>
      <c r="C9420" s="8" t="s">
        <v>28131</v>
      </c>
      <c r="D9420" s="8" t="s">
        <v>16</v>
      </c>
      <c r="E9420" s="8" t="s">
        <v>17</v>
      </c>
      <c r="F9420" s="9">
        <v>46121.0</v>
      </c>
      <c r="G9420" s="8" t="s">
        <v>868</v>
      </c>
      <c r="H9420" s="8" t="s">
        <v>869</v>
      </c>
      <c r="I9420" s="8" t="s">
        <v>28132</v>
      </c>
      <c r="J9420" s="8" t="s">
        <v>28133</v>
      </c>
    </row>
    <row r="9421">
      <c r="A9421" s="7">
        <v>2.0042653E7</v>
      </c>
      <c r="B9421" s="8" t="s">
        <v>5706</v>
      </c>
      <c r="C9421" s="8" t="s">
        <v>28134</v>
      </c>
      <c r="D9421" s="8" t="s">
        <v>16</v>
      </c>
      <c r="E9421" s="8" t="s">
        <v>17</v>
      </c>
      <c r="F9421" s="9">
        <v>46079.0</v>
      </c>
      <c r="G9421" s="8" t="s">
        <v>504</v>
      </c>
      <c r="H9421" s="8" t="s">
        <v>505</v>
      </c>
      <c r="I9421" s="8" t="s">
        <v>28135</v>
      </c>
      <c r="J9421" s="8" t="s">
        <v>28136</v>
      </c>
    </row>
    <row r="9422">
      <c r="A9422" s="7">
        <v>2.0038684E7</v>
      </c>
      <c r="B9422" s="8" t="s">
        <v>5706</v>
      </c>
      <c r="C9422" s="8" t="s">
        <v>28137</v>
      </c>
      <c r="D9422" s="8" t="s">
        <v>16</v>
      </c>
      <c r="E9422" s="8" t="s">
        <v>17</v>
      </c>
      <c r="F9422" s="9">
        <v>46059.0</v>
      </c>
      <c r="G9422" s="8" t="s">
        <v>6399</v>
      </c>
      <c r="H9422" s="8" t="s">
        <v>120</v>
      </c>
      <c r="I9422" s="8" t="s">
        <v>28138</v>
      </c>
      <c r="J9422" s="8" t="s">
        <v>28139</v>
      </c>
    </row>
    <row r="9423">
      <c r="A9423" s="7">
        <v>2.0054785E7</v>
      </c>
      <c r="B9423" s="8" t="s">
        <v>5706</v>
      </c>
      <c r="C9423" s="8" t="s">
        <v>28140</v>
      </c>
      <c r="D9423" s="8" t="s">
        <v>16</v>
      </c>
      <c r="E9423" s="8" t="s">
        <v>17</v>
      </c>
      <c r="F9423" s="9">
        <v>46135.0</v>
      </c>
      <c r="G9423" s="8" t="s">
        <v>247</v>
      </c>
      <c r="H9423" s="8" t="s">
        <v>248</v>
      </c>
      <c r="I9423" s="8" t="s">
        <v>28141</v>
      </c>
      <c r="J9423" s="8" t="s">
        <v>28142</v>
      </c>
    </row>
    <row r="9424">
      <c r="A9424" s="7">
        <v>2.0038103E7</v>
      </c>
      <c r="B9424" s="8" t="s">
        <v>5706</v>
      </c>
      <c r="C9424" s="8" t="s">
        <v>28143</v>
      </c>
      <c r="D9424" s="8" t="s">
        <v>16</v>
      </c>
      <c r="E9424" s="8" t="s">
        <v>17</v>
      </c>
      <c r="F9424" s="9">
        <v>46063.0</v>
      </c>
      <c r="G9424" s="8" t="s">
        <v>29</v>
      </c>
      <c r="H9424" s="8" t="s">
        <v>30</v>
      </c>
      <c r="I9424" s="8" t="s">
        <v>28144</v>
      </c>
      <c r="J9424" s="8" t="s">
        <v>28145</v>
      </c>
    </row>
    <row r="9425">
      <c r="A9425" s="7">
        <v>2.0064097E7</v>
      </c>
      <c r="B9425" s="8" t="s">
        <v>5706</v>
      </c>
      <c r="C9425" s="8" t="s">
        <v>28146</v>
      </c>
      <c r="D9425" s="8" t="s">
        <v>16</v>
      </c>
      <c r="E9425" s="8" t="s">
        <v>17</v>
      </c>
      <c r="F9425" s="9">
        <v>46190.0</v>
      </c>
      <c r="G9425" s="8" t="s">
        <v>28147</v>
      </c>
      <c r="H9425" s="8" t="s">
        <v>28148</v>
      </c>
      <c r="I9425" s="8" t="s">
        <v>28149</v>
      </c>
      <c r="J9425" s="8" t="s">
        <v>28150</v>
      </c>
    </row>
    <row r="9426">
      <c r="A9426" s="7">
        <v>2.0056872E7</v>
      </c>
      <c r="B9426" s="8" t="s">
        <v>5706</v>
      </c>
      <c r="C9426" s="8" t="s">
        <v>28151</v>
      </c>
      <c r="D9426" s="8" t="s">
        <v>16</v>
      </c>
      <c r="E9426" s="8" t="s">
        <v>17</v>
      </c>
      <c r="F9426" s="9">
        <v>46134.0</v>
      </c>
      <c r="G9426" s="8" t="s">
        <v>800</v>
      </c>
      <c r="H9426" s="8" t="s">
        <v>801</v>
      </c>
      <c r="I9426" s="8" t="s">
        <v>28152</v>
      </c>
      <c r="J9426" s="8" t="s">
        <v>28153</v>
      </c>
    </row>
    <row r="9427">
      <c r="A9427" s="7">
        <v>2.0055946E7</v>
      </c>
      <c r="B9427" s="8" t="s">
        <v>5706</v>
      </c>
      <c r="C9427" s="8" t="s">
        <v>28154</v>
      </c>
      <c r="D9427" s="8" t="s">
        <v>16</v>
      </c>
      <c r="E9427" s="8" t="s">
        <v>17</v>
      </c>
      <c r="F9427" s="9">
        <v>46140.0</v>
      </c>
      <c r="G9427" s="8" t="s">
        <v>630</v>
      </c>
      <c r="H9427" s="8" t="s">
        <v>631</v>
      </c>
      <c r="I9427" s="8" t="s">
        <v>27934</v>
      </c>
      <c r="J9427" s="8" t="s">
        <v>28155</v>
      </c>
    </row>
    <row r="9428">
      <c r="A9428" s="7">
        <v>2.0039883E7</v>
      </c>
      <c r="B9428" s="8" t="s">
        <v>5706</v>
      </c>
      <c r="C9428" s="8" t="s">
        <v>28156</v>
      </c>
      <c r="D9428" s="8" t="s">
        <v>16</v>
      </c>
      <c r="E9428" s="8" t="s">
        <v>17</v>
      </c>
      <c r="F9428" s="9">
        <v>46068.0</v>
      </c>
      <c r="G9428" s="8" t="s">
        <v>247</v>
      </c>
      <c r="H9428" s="8" t="s">
        <v>248</v>
      </c>
      <c r="I9428" s="8" t="s">
        <v>28157</v>
      </c>
      <c r="J9428" s="8" t="s">
        <v>28158</v>
      </c>
    </row>
    <row r="9429">
      <c r="A9429" s="7">
        <v>2.0038309E7</v>
      </c>
      <c r="B9429" s="8" t="s">
        <v>5706</v>
      </c>
      <c r="C9429" s="8" t="s">
        <v>28159</v>
      </c>
      <c r="D9429" s="8" t="s">
        <v>16</v>
      </c>
      <c r="E9429" s="8" t="s">
        <v>17</v>
      </c>
      <c r="F9429" s="9">
        <v>46057.0</v>
      </c>
      <c r="G9429" s="8" t="s">
        <v>59</v>
      </c>
      <c r="H9429" s="8" t="s">
        <v>60</v>
      </c>
      <c r="I9429" s="8" t="s">
        <v>28160</v>
      </c>
      <c r="J9429" s="8" t="s">
        <v>28161</v>
      </c>
    </row>
    <row r="9430">
      <c r="A9430" s="7">
        <v>2.0057847E7</v>
      </c>
      <c r="B9430" s="8" t="s">
        <v>5706</v>
      </c>
      <c r="C9430" s="8" t="s">
        <v>28162</v>
      </c>
      <c r="D9430" s="8" t="s">
        <v>16</v>
      </c>
      <c r="E9430" s="8" t="s">
        <v>17</v>
      </c>
      <c r="F9430" s="9">
        <v>46178.0</v>
      </c>
      <c r="G9430" s="8" t="s">
        <v>28163</v>
      </c>
      <c r="H9430" s="8" t="s">
        <v>28164</v>
      </c>
      <c r="I9430" s="8" t="s">
        <v>28165</v>
      </c>
      <c r="J9430" s="8"/>
    </row>
    <row r="9431">
      <c r="A9431" s="7">
        <v>2.0054675E7</v>
      </c>
      <c r="B9431" s="8" t="s">
        <v>5706</v>
      </c>
      <c r="C9431" s="8" t="s">
        <v>28166</v>
      </c>
      <c r="D9431" s="8" t="s">
        <v>16</v>
      </c>
      <c r="E9431" s="8" t="s">
        <v>17</v>
      </c>
      <c r="F9431" s="9">
        <v>46137.0</v>
      </c>
      <c r="G9431" s="8" t="s">
        <v>1880</v>
      </c>
      <c r="H9431" s="8" t="s">
        <v>6631</v>
      </c>
      <c r="I9431" s="8" t="s">
        <v>28167</v>
      </c>
      <c r="J9431" s="8" t="s">
        <v>28168</v>
      </c>
    </row>
    <row r="9432">
      <c r="A9432" s="7">
        <v>2.0038812E7</v>
      </c>
      <c r="B9432" s="8" t="s">
        <v>5706</v>
      </c>
      <c r="C9432" s="8" t="s">
        <v>28169</v>
      </c>
      <c r="D9432" s="8" t="s">
        <v>16</v>
      </c>
      <c r="E9432" s="8" t="s">
        <v>17</v>
      </c>
      <c r="F9432" s="9">
        <v>46060.0</v>
      </c>
      <c r="G9432" s="8" t="s">
        <v>2486</v>
      </c>
      <c r="H9432" s="8" t="s">
        <v>44</v>
      </c>
      <c r="I9432" s="8" t="s">
        <v>28170</v>
      </c>
      <c r="J9432" s="8" t="s">
        <v>28171</v>
      </c>
    </row>
    <row r="9433">
      <c r="A9433" s="7">
        <v>2.0036169E7</v>
      </c>
      <c r="B9433" s="8" t="s">
        <v>5706</v>
      </c>
      <c r="C9433" s="8" t="s">
        <v>28172</v>
      </c>
      <c r="D9433" s="8" t="s">
        <v>16</v>
      </c>
      <c r="E9433" s="8" t="s">
        <v>17</v>
      </c>
      <c r="F9433" s="9">
        <v>46048.0</v>
      </c>
      <c r="G9433" s="8" t="s">
        <v>18601</v>
      </c>
      <c r="H9433" s="8" t="s">
        <v>3410</v>
      </c>
      <c r="I9433" s="8" t="s">
        <v>28173</v>
      </c>
      <c r="J9433" s="8" t="s">
        <v>28174</v>
      </c>
    </row>
    <row r="9434">
      <c r="A9434" s="7">
        <v>2.0062179E7</v>
      </c>
      <c r="B9434" s="8" t="s">
        <v>5706</v>
      </c>
      <c r="C9434" s="8" t="s">
        <v>28175</v>
      </c>
      <c r="D9434" s="8" t="s">
        <v>16</v>
      </c>
      <c r="E9434" s="8" t="s">
        <v>17</v>
      </c>
      <c r="F9434" s="9">
        <v>46154.0</v>
      </c>
      <c r="G9434" s="8" t="s">
        <v>59</v>
      </c>
      <c r="H9434" s="8" t="s">
        <v>60</v>
      </c>
      <c r="I9434" s="8" t="s">
        <v>28176</v>
      </c>
      <c r="J9434" s="8" t="s">
        <v>28177</v>
      </c>
    </row>
    <row r="9435">
      <c r="A9435" s="7">
        <v>2.0051666E7</v>
      </c>
      <c r="B9435" s="8" t="s">
        <v>5706</v>
      </c>
      <c r="C9435" s="8" t="s">
        <v>28178</v>
      </c>
      <c r="D9435" s="8" t="s">
        <v>16</v>
      </c>
      <c r="E9435" s="8" t="s">
        <v>17</v>
      </c>
      <c r="F9435" s="9">
        <v>46134.0</v>
      </c>
      <c r="G9435" s="8" t="s">
        <v>3133</v>
      </c>
      <c r="H9435" s="8" t="s">
        <v>3134</v>
      </c>
      <c r="I9435" s="8" t="s">
        <v>28179</v>
      </c>
      <c r="J9435" s="8"/>
    </row>
    <row r="9436">
      <c r="A9436" s="7">
        <v>2.0046415E7</v>
      </c>
      <c r="B9436" s="8" t="s">
        <v>5706</v>
      </c>
      <c r="C9436" s="8" t="s">
        <v>28180</v>
      </c>
      <c r="D9436" s="8" t="s">
        <v>16</v>
      </c>
      <c r="E9436" s="8" t="s">
        <v>48</v>
      </c>
      <c r="F9436" s="9">
        <v>46102.0</v>
      </c>
      <c r="G9436" s="8" t="s">
        <v>64</v>
      </c>
      <c r="H9436" s="8" t="s">
        <v>65</v>
      </c>
      <c r="I9436" s="8" t="s">
        <v>28181</v>
      </c>
      <c r="J9436" s="8"/>
    </row>
    <row r="9437">
      <c r="A9437" s="7">
        <v>2.0042112E7</v>
      </c>
      <c r="B9437" s="8" t="s">
        <v>5706</v>
      </c>
      <c r="C9437" s="8" t="s">
        <v>28182</v>
      </c>
      <c r="D9437" s="8" t="s">
        <v>16</v>
      </c>
      <c r="E9437" s="8" t="s">
        <v>17</v>
      </c>
      <c r="F9437" s="9">
        <v>46084.0</v>
      </c>
      <c r="G9437" s="8" t="s">
        <v>1085</v>
      </c>
      <c r="H9437" s="8" t="s">
        <v>1086</v>
      </c>
      <c r="I9437" s="8" t="s">
        <v>28183</v>
      </c>
      <c r="J9437" s="8" t="s">
        <v>28184</v>
      </c>
    </row>
    <row r="9438">
      <c r="A9438" s="7">
        <v>2.0034641E7</v>
      </c>
      <c r="B9438" s="8" t="s">
        <v>5706</v>
      </c>
      <c r="C9438" s="8" t="s">
        <v>28185</v>
      </c>
      <c r="D9438" s="8" t="s">
        <v>16</v>
      </c>
      <c r="E9438" s="8" t="s">
        <v>17</v>
      </c>
      <c r="F9438" s="9">
        <v>46058.0</v>
      </c>
      <c r="G9438" s="8" t="s">
        <v>64</v>
      </c>
      <c r="H9438" s="8" t="s">
        <v>65</v>
      </c>
      <c r="I9438" s="8" t="s">
        <v>28186</v>
      </c>
      <c r="J9438" s="8" t="s">
        <v>28187</v>
      </c>
    </row>
    <row r="9439">
      <c r="A9439" s="7">
        <v>2.0066785E7</v>
      </c>
      <c r="B9439" s="8" t="s">
        <v>5706</v>
      </c>
      <c r="C9439" s="8" t="s">
        <v>28188</v>
      </c>
      <c r="D9439" s="8" t="s">
        <v>16</v>
      </c>
      <c r="E9439" s="8" t="s">
        <v>17</v>
      </c>
      <c r="F9439" s="9">
        <v>46178.0</v>
      </c>
      <c r="G9439" s="8" t="s">
        <v>28189</v>
      </c>
      <c r="H9439" s="8" t="s">
        <v>28190</v>
      </c>
      <c r="I9439" s="8" t="s">
        <v>28191</v>
      </c>
      <c r="J9439" s="8" t="s">
        <v>28192</v>
      </c>
    </row>
    <row r="9440">
      <c r="A9440" s="7">
        <v>2.0059605E7</v>
      </c>
      <c r="B9440" s="8" t="s">
        <v>5706</v>
      </c>
      <c r="C9440" s="8" t="s">
        <v>28193</v>
      </c>
      <c r="D9440" s="8" t="s">
        <v>16</v>
      </c>
      <c r="E9440" s="8" t="s">
        <v>17</v>
      </c>
      <c r="F9440" s="9">
        <v>46180.0</v>
      </c>
      <c r="G9440" s="8" t="s">
        <v>978</v>
      </c>
      <c r="H9440" s="8" t="s">
        <v>979</v>
      </c>
      <c r="I9440" s="8" t="s">
        <v>28194</v>
      </c>
      <c r="J9440" s="8" t="s">
        <v>28195</v>
      </c>
    </row>
    <row r="9441">
      <c r="A9441" s="7">
        <v>2.0059605E7</v>
      </c>
      <c r="B9441" s="8" t="s">
        <v>5706</v>
      </c>
      <c r="C9441" s="8" t="s">
        <v>28193</v>
      </c>
      <c r="D9441" s="8" t="s">
        <v>16</v>
      </c>
      <c r="E9441" s="8" t="s">
        <v>17</v>
      </c>
      <c r="F9441" s="9">
        <v>46180.0</v>
      </c>
      <c r="G9441" s="8" t="s">
        <v>978</v>
      </c>
      <c r="H9441" s="8" t="s">
        <v>979</v>
      </c>
      <c r="I9441" s="8"/>
      <c r="J9441" s="8" t="s">
        <v>28196</v>
      </c>
    </row>
    <row r="9442">
      <c r="A9442" s="7">
        <v>2.0052811E7</v>
      </c>
      <c r="B9442" s="8" t="s">
        <v>5706</v>
      </c>
      <c r="C9442" s="8" t="s">
        <v>28197</v>
      </c>
      <c r="D9442" s="8" t="s">
        <v>16</v>
      </c>
      <c r="E9442" s="8" t="s">
        <v>17</v>
      </c>
      <c r="F9442" s="9">
        <v>46121.0</v>
      </c>
      <c r="G9442" s="8" t="s">
        <v>5425</v>
      </c>
      <c r="H9442" s="8" t="s">
        <v>120</v>
      </c>
      <c r="I9442" s="8" t="s">
        <v>28198</v>
      </c>
      <c r="J9442" s="8" t="s">
        <v>28199</v>
      </c>
    </row>
    <row r="9443">
      <c r="A9443" s="7">
        <v>2.0052124E7</v>
      </c>
      <c r="B9443" s="8" t="s">
        <v>5706</v>
      </c>
      <c r="C9443" s="8" t="s">
        <v>28200</v>
      </c>
      <c r="D9443" s="8" t="s">
        <v>16</v>
      </c>
      <c r="E9443" s="8" t="s">
        <v>17</v>
      </c>
      <c r="F9443" s="9">
        <v>46125.0</v>
      </c>
      <c r="G9443" s="8" t="s">
        <v>361</v>
      </c>
      <c r="H9443" s="8" t="s">
        <v>362</v>
      </c>
      <c r="I9443" s="8" t="s">
        <v>28201</v>
      </c>
      <c r="J9443" s="8" t="s">
        <v>28202</v>
      </c>
    </row>
    <row r="9444">
      <c r="A9444" s="7">
        <v>2.0044107E7</v>
      </c>
      <c r="B9444" s="8" t="s">
        <v>5706</v>
      </c>
      <c r="C9444" s="8" t="s">
        <v>28203</v>
      </c>
      <c r="D9444" s="8" t="s">
        <v>16</v>
      </c>
      <c r="E9444" s="8" t="s">
        <v>48</v>
      </c>
      <c r="F9444" s="9">
        <v>46092.0</v>
      </c>
      <c r="G9444" s="8" t="s">
        <v>5570</v>
      </c>
      <c r="H9444" s="8" t="s">
        <v>5571</v>
      </c>
      <c r="I9444" s="8" t="s">
        <v>28204</v>
      </c>
      <c r="J9444" s="8"/>
    </row>
    <row r="9445">
      <c r="A9445" s="7">
        <v>2.0038575E7</v>
      </c>
      <c r="B9445" s="8" t="s">
        <v>5706</v>
      </c>
      <c r="C9445" s="8" t="s">
        <v>28205</v>
      </c>
      <c r="D9445" s="8" t="s">
        <v>16</v>
      </c>
      <c r="E9445" s="8" t="s">
        <v>17</v>
      </c>
      <c r="F9445" s="9">
        <v>46098.0</v>
      </c>
      <c r="G9445" s="8" t="s">
        <v>1057</v>
      </c>
      <c r="H9445" s="8" t="s">
        <v>1058</v>
      </c>
      <c r="I9445" s="8" t="s">
        <v>28206</v>
      </c>
      <c r="J9445" s="8" t="s">
        <v>28207</v>
      </c>
    </row>
    <row r="9446">
      <c r="A9446" s="7">
        <v>2.0034307E7</v>
      </c>
      <c r="B9446" s="8" t="s">
        <v>5706</v>
      </c>
      <c r="C9446" s="8" t="s">
        <v>28208</v>
      </c>
      <c r="D9446" s="8" t="s">
        <v>16</v>
      </c>
      <c r="E9446" s="8" t="s">
        <v>17</v>
      </c>
      <c r="F9446" s="9">
        <v>46042.0</v>
      </c>
      <c r="G9446" s="8" t="s">
        <v>59</v>
      </c>
      <c r="H9446" s="8" t="s">
        <v>60</v>
      </c>
      <c r="I9446" s="8" t="s">
        <v>28209</v>
      </c>
      <c r="J9446" s="8" t="s">
        <v>28210</v>
      </c>
    </row>
    <row r="9447">
      <c r="A9447" s="7">
        <v>2.0042662E7</v>
      </c>
      <c r="B9447" s="8" t="s">
        <v>5706</v>
      </c>
      <c r="C9447" s="8" t="s">
        <v>28211</v>
      </c>
      <c r="D9447" s="8" t="s">
        <v>16</v>
      </c>
      <c r="E9447" s="8" t="s">
        <v>17</v>
      </c>
      <c r="F9447" s="9">
        <v>46080.0</v>
      </c>
      <c r="G9447" s="8" t="s">
        <v>873</v>
      </c>
      <c r="H9447" s="8" t="s">
        <v>874</v>
      </c>
      <c r="I9447" s="8" t="s">
        <v>28212</v>
      </c>
      <c r="J9447" s="8" t="s">
        <v>28213</v>
      </c>
    </row>
    <row r="9448">
      <c r="A9448" s="7">
        <v>2.0069864E7</v>
      </c>
      <c r="B9448" s="8" t="s">
        <v>5706</v>
      </c>
      <c r="C9448" s="8" t="s">
        <v>28214</v>
      </c>
      <c r="D9448" s="8" t="s">
        <v>16</v>
      </c>
      <c r="E9448" s="8" t="s">
        <v>17</v>
      </c>
      <c r="F9448" s="9">
        <v>46189.0</v>
      </c>
      <c r="G9448" s="8" t="s">
        <v>13538</v>
      </c>
      <c r="H9448" s="8" t="s">
        <v>13539</v>
      </c>
      <c r="I9448" s="8" t="s">
        <v>28215</v>
      </c>
      <c r="J9448" s="8" t="s">
        <v>28216</v>
      </c>
    </row>
    <row r="9449">
      <c r="A9449" s="7">
        <v>2.0036401E7</v>
      </c>
      <c r="B9449" s="8" t="s">
        <v>5706</v>
      </c>
      <c r="C9449" s="8" t="s">
        <v>28217</v>
      </c>
      <c r="D9449" s="8" t="s">
        <v>16</v>
      </c>
      <c r="E9449" s="8" t="s">
        <v>17</v>
      </c>
      <c r="F9449" s="9">
        <v>46048.0</v>
      </c>
      <c r="G9449" s="8" t="s">
        <v>2511</v>
      </c>
      <c r="H9449" s="8" t="s">
        <v>2512</v>
      </c>
      <c r="I9449" s="8" t="s">
        <v>28218</v>
      </c>
      <c r="J9449" s="8" t="s">
        <v>28219</v>
      </c>
    </row>
    <row r="9450">
      <c r="A9450" s="7">
        <v>2.0034814E7</v>
      </c>
      <c r="B9450" s="8" t="s">
        <v>5706</v>
      </c>
      <c r="C9450" s="8" t="s">
        <v>28220</v>
      </c>
      <c r="D9450" s="8" t="s">
        <v>16</v>
      </c>
      <c r="E9450" s="8" t="s">
        <v>17</v>
      </c>
      <c r="F9450" s="9">
        <v>46043.0</v>
      </c>
      <c r="G9450" s="8" t="s">
        <v>34</v>
      </c>
      <c r="H9450" s="8" t="s">
        <v>35</v>
      </c>
      <c r="I9450" s="8" t="s">
        <v>28221</v>
      </c>
      <c r="J9450" s="8" t="s">
        <v>28222</v>
      </c>
    </row>
    <row r="9451">
      <c r="A9451" s="7">
        <v>2.006792E7</v>
      </c>
      <c r="B9451" s="8" t="s">
        <v>5706</v>
      </c>
      <c r="C9451" s="8" t="s">
        <v>28223</v>
      </c>
      <c r="D9451" s="8" t="s">
        <v>16</v>
      </c>
      <c r="E9451" s="8" t="s">
        <v>17</v>
      </c>
      <c r="F9451" s="9">
        <v>46180.0</v>
      </c>
      <c r="G9451" s="8" t="s">
        <v>517</v>
      </c>
      <c r="H9451" s="8" t="s">
        <v>518</v>
      </c>
      <c r="I9451" s="8" t="s">
        <v>28224</v>
      </c>
      <c r="J9451" s="8" t="s">
        <v>28225</v>
      </c>
    </row>
    <row r="9452">
      <c r="A9452" s="7">
        <v>2.0063441E7</v>
      </c>
      <c r="B9452" s="8" t="s">
        <v>5706</v>
      </c>
      <c r="C9452" s="8" t="s">
        <v>28226</v>
      </c>
      <c r="D9452" s="8" t="s">
        <v>16</v>
      </c>
      <c r="E9452" s="8" t="s">
        <v>17</v>
      </c>
      <c r="F9452" s="9">
        <v>46193.0</v>
      </c>
      <c r="G9452" s="8" t="s">
        <v>3709</v>
      </c>
      <c r="H9452" s="8" t="s">
        <v>3710</v>
      </c>
      <c r="I9452" s="8" t="s">
        <v>28227</v>
      </c>
      <c r="J9452" s="8" t="s">
        <v>28228</v>
      </c>
    </row>
    <row r="9453">
      <c r="A9453" s="7">
        <v>2.0053777E7</v>
      </c>
      <c r="B9453" s="8" t="s">
        <v>5706</v>
      </c>
      <c r="C9453" s="8" t="s">
        <v>28229</v>
      </c>
      <c r="D9453" s="8" t="s">
        <v>16</v>
      </c>
      <c r="E9453" s="8" t="s">
        <v>17</v>
      </c>
      <c r="F9453" s="9">
        <v>46135.0</v>
      </c>
      <c r="G9453" s="8" t="s">
        <v>1841</v>
      </c>
      <c r="H9453" s="8" t="s">
        <v>1842</v>
      </c>
      <c r="I9453" s="8" t="s">
        <v>28230</v>
      </c>
      <c r="J9453" s="8"/>
    </row>
    <row r="9454">
      <c r="A9454" s="7">
        <v>2.004154E7</v>
      </c>
      <c r="B9454" s="8" t="s">
        <v>5706</v>
      </c>
      <c r="C9454" s="8" t="s">
        <v>28231</v>
      </c>
      <c r="D9454" s="8" t="s">
        <v>16</v>
      </c>
      <c r="E9454" s="8" t="s">
        <v>17</v>
      </c>
      <c r="F9454" s="9">
        <v>46086.0</v>
      </c>
      <c r="G9454" s="8" t="s">
        <v>3118</v>
      </c>
      <c r="H9454" s="8" t="s">
        <v>3119</v>
      </c>
      <c r="I9454" s="8" t="s">
        <v>28232</v>
      </c>
      <c r="J9454" s="8" t="s">
        <v>28233</v>
      </c>
    </row>
    <row r="9455">
      <c r="A9455" s="7">
        <v>2.004154E7</v>
      </c>
      <c r="B9455" s="8" t="s">
        <v>5706</v>
      </c>
      <c r="C9455" s="8" t="s">
        <v>28231</v>
      </c>
      <c r="D9455" s="8" t="s">
        <v>16</v>
      </c>
      <c r="E9455" s="8" t="s">
        <v>17</v>
      </c>
      <c r="F9455" s="9">
        <v>46086.0</v>
      </c>
      <c r="G9455" s="8" t="s">
        <v>3122</v>
      </c>
      <c r="H9455" s="8" t="s">
        <v>3123</v>
      </c>
      <c r="I9455" s="8" t="s">
        <v>28234</v>
      </c>
      <c r="J9455" s="8" t="s">
        <v>28235</v>
      </c>
    </row>
    <row r="9456">
      <c r="A9456" s="7">
        <v>2.0063721E7</v>
      </c>
      <c r="B9456" s="8" t="s">
        <v>5706</v>
      </c>
      <c r="C9456" s="8" t="s">
        <v>28236</v>
      </c>
      <c r="D9456" s="8" t="s">
        <v>16</v>
      </c>
      <c r="E9456" s="8" t="s">
        <v>17</v>
      </c>
      <c r="F9456" s="9">
        <v>46185.0</v>
      </c>
      <c r="G9456" s="8" t="s">
        <v>3140</v>
      </c>
      <c r="H9456" s="8" t="s">
        <v>3141</v>
      </c>
      <c r="I9456" s="8" t="s">
        <v>28237</v>
      </c>
      <c r="J9456" s="8" t="s">
        <v>28238</v>
      </c>
    </row>
    <row r="9457">
      <c r="A9457" s="7">
        <v>2.005787E7</v>
      </c>
      <c r="B9457" s="8" t="s">
        <v>5706</v>
      </c>
      <c r="C9457" s="8" t="s">
        <v>28239</v>
      </c>
      <c r="D9457" s="8" t="s">
        <v>16</v>
      </c>
      <c r="E9457" s="8" t="s">
        <v>17</v>
      </c>
      <c r="F9457" s="9">
        <v>46133.0</v>
      </c>
      <c r="G9457" s="8" t="s">
        <v>220</v>
      </c>
      <c r="H9457" s="8" t="s">
        <v>221</v>
      </c>
      <c r="I9457" s="8" t="s">
        <v>28240</v>
      </c>
      <c r="J9457" s="8" t="s">
        <v>28241</v>
      </c>
    </row>
    <row r="9458">
      <c r="A9458" s="7">
        <v>2.005759E7</v>
      </c>
      <c r="B9458" s="8" t="s">
        <v>5706</v>
      </c>
      <c r="C9458" s="8" t="s">
        <v>28242</v>
      </c>
      <c r="D9458" s="8" t="s">
        <v>16</v>
      </c>
      <c r="E9458" s="8" t="s">
        <v>17</v>
      </c>
      <c r="F9458" s="9">
        <v>46130.0</v>
      </c>
      <c r="G9458" s="8" t="s">
        <v>3012</v>
      </c>
      <c r="H9458" s="8" t="s">
        <v>3013</v>
      </c>
      <c r="I9458" s="8" t="s">
        <v>28243</v>
      </c>
      <c r="J9458" s="8" t="s">
        <v>28244</v>
      </c>
    </row>
    <row r="9459">
      <c r="A9459" s="7">
        <v>2.004637E7</v>
      </c>
      <c r="B9459" s="8" t="s">
        <v>5706</v>
      </c>
      <c r="C9459" s="8" t="s">
        <v>28245</v>
      </c>
      <c r="D9459" s="8" t="s">
        <v>16</v>
      </c>
      <c r="E9459" s="8" t="s">
        <v>17</v>
      </c>
      <c r="F9459" s="9">
        <v>46085.0</v>
      </c>
      <c r="G9459" s="8" t="s">
        <v>3012</v>
      </c>
      <c r="H9459" s="8" t="s">
        <v>3013</v>
      </c>
      <c r="I9459" s="8" t="s">
        <v>28246</v>
      </c>
      <c r="J9459" s="8" t="s">
        <v>28247</v>
      </c>
    </row>
    <row r="9460">
      <c r="A9460" s="7">
        <v>2.0042634E7</v>
      </c>
      <c r="B9460" s="8" t="s">
        <v>5706</v>
      </c>
      <c r="C9460" s="8" t="s">
        <v>28248</v>
      </c>
      <c r="D9460" s="8" t="s">
        <v>16</v>
      </c>
      <c r="E9460" s="8" t="s">
        <v>17</v>
      </c>
      <c r="F9460" s="9">
        <v>46082.0</v>
      </c>
      <c r="G9460" s="8" t="s">
        <v>1045</v>
      </c>
      <c r="H9460" s="8" t="s">
        <v>909</v>
      </c>
      <c r="I9460" s="8" t="s">
        <v>28249</v>
      </c>
      <c r="J9460" s="8" t="s">
        <v>28250</v>
      </c>
    </row>
    <row r="9461">
      <c r="A9461" s="7">
        <v>2.0043802E7</v>
      </c>
      <c r="B9461" s="8" t="s">
        <v>5706</v>
      </c>
      <c r="C9461" s="8" t="s">
        <v>28251</v>
      </c>
      <c r="D9461" s="8" t="s">
        <v>16</v>
      </c>
      <c r="E9461" s="8" t="s">
        <v>17</v>
      </c>
      <c r="F9461" s="9">
        <v>46109.0</v>
      </c>
      <c r="G9461" s="8" t="s">
        <v>6467</v>
      </c>
      <c r="H9461" s="8" t="s">
        <v>6468</v>
      </c>
      <c r="I9461" s="8" t="s">
        <v>28252</v>
      </c>
      <c r="J9461" s="8" t="s">
        <v>28253</v>
      </c>
    </row>
    <row r="9462">
      <c r="A9462" s="7">
        <v>2.0039814E7</v>
      </c>
      <c r="B9462" s="8" t="s">
        <v>5706</v>
      </c>
      <c r="C9462" s="8" t="s">
        <v>28254</v>
      </c>
      <c r="D9462" s="8" t="s">
        <v>16</v>
      </c>
      <c r="E9462" s="8" t="s">
        <v>17</v>
      </c>
      <c r="F9462" s="9">
        <v>46064.0</v>
      </c>
      <c r="G9462" s="8" t="s">
        <v>247</v>
      </c>
      <c r="H9462" s="8" t="s">
        <v>248</v>
      </c>
      <c r="I9462" s="8" t="s">
        <v>28255</v>
      </c>
      <c r="J9462" s="8" t="s">
        <v>28256</v>
      </c>
    </row>
    <row r="9463">
      <c r="A9463" s="7">
        <v>2.0045832E7</v>
      </c>
      <c r="B9463" s="8" t="s">
        <v>5706</v>
      </c>
      <c r="C9463" s="8" t="s">
        <v>28257</v>
      </c>
      <c r="D9463" s="8" t="s">
        <v>16</v>
      </c>
      <c r="E9463" s="8" t="s">
        <v>17</v>
      </c>
      <c r="F9463" s="9">
        <v>46095.0</v>
      </c>
      <c r="G9463" s="8" t="s">
        <v>70</v>
      </c>
      <c r="H9463" s="8" t="s">
        <v>71</v>
      </c>
      <c r="I9463" s="8" t="s">
        <v>28258</v>
      </c>
      <c r="J9463" s="8" t="s">
        <v>28259</v>
      </c>
    </row>
    <row r="9464">
      <c r="A9464" s="7">
        <v>2.0042277E7</v>
      </c>
      <c r="B9464" s="8" t="s">
        <v>5706</v>
      </c>
      <c r="C9464" s="8" t="s">
        <v>28260</v>
      </c>
      <c r="D9464" s="8" t="s">
        <v>16</v>
      </c>
      <c r="E9464" s="8" t="s">
        <v>17</v>
      </c>
      <c r="F9464" s="9">
        <v>46118.0</v>
      </c>
      <c r="G9464" s="8" t="s">
        <v>176</v>
      </c>
      <c r="H9464" s="8" t="s">
        <v>177</v>
      </c>
      <c r="I9464" s="8" t="s">
        <v>28261</v>
      </c>
      <c r="J9464" s="8" t="s">
        <v>28262</v>
      </c>
    </row>
    <row r="9465">
      <c r="A9465" s="7">
        <v>2.0042277E7</v>
      </c>
      <c r="B9465" s="8" t="s">
        <v>5706</v>
      </c>
      <c r="C9465" s="8" t="s">
        <v>28260</v>
      </c>
      <c r="D9465" s="8" t="s">
        <v>16</v>
      </c>
      <c r="E9465" s="8" t="s">
        <v>17</v>
      </c>
      <c r="F9465" s="9">
        <v>46118.0</v>
      </c>
      <c r="G9465" s="8" t="s">
        <v>176</v>
      </c>
      <c r="H9465" s="8" t="s">
        <v>177</v>
      </c>
      <c r="I9465" s="8" t="s">
        <v>28261</v>
      </c>
      <c r="J9465" s="8"/>
    </row>
    <row r="9466">
      <c r="A9466" s="7">
        <v>2.0034138E7</v>
      </c>
      <c r="B9466" s="8" t="s">
        <v>5706</v>
      </c>
      <c r="C9466" s="8" t="s">
        <v>28263</v>
      </c>
      <c r="D9466" s="8" t="s">
        <v>16</v>
      </c>
      <c r="E9466" s="8" t="s">
        <v>17</v>
      </c>
      <c r="F9466" s="9">
        <v>46045.0</v>
      </c>
      <c r="G9466" s="8" t="s">
        <v>109</v>
      </c>
      <c r="H9466" s="8" t="s">
        <v>110</v>
      </c>
      <c r="I9466" s="8" t="s">
        <v>28264</v>
      </c>
      <c r="J9466" s="8"/>
    </row>
    <row r="9467">
      <c r="A9467" s="7">
        <v>2.0071005E7</v>
      </c>
      <c r="B9467" s="8" t="s">
        <v>5706</v>
      </c>
      <c r="C9467" s="8" t="s">
        <v>28265</v>
      </c>
      <c r="D9467" s="8" t="s">
        <v>16</v>
      </c>
      <c r="E9467" s="8" t="s">
        <v>17</v>
      </c>
      <c r="F9467" s="9">
        <v>46192.0</v>
      </c>
      <c r="G9467" s="8" t="s">
        <v>59</v>
      </c>
      <c r="H9467" s="8" t="s">
        <v>60</v>
      </c>
      <c r="I9467" s="8" t="s">
        <v>28266</v>
      </c>
      <c r="J9467" s="8" t="s">
        <v>28267</v>
      </c>
    </row>
    <row r="9468">
      <c r="A9468" s="7">
        <v>2.0065091E7</v>
      </c>
      <c r="B9468" s="8" t="s">
        <v>1988</v>
      </c>
      <c r="C9468" s="8" t="s">
        <v>28268</v>
      </c>
      <c r="D9468" s="8" t="s">
        <v>16</v>
      </c>
      <c r="E9468" s="8" t="s">
        <v>17</v>
      </c>
      <c r="F9468" s="9">
        <v>46178.0</v>
      </c>
      <c r="G9468" s="8" t="s">
        <v>5105</v>
      </c>
      <c r="H9468" s="8" t="s">
        <v>909</v>
      </c>
      <c r="I9468" s="8" t="s">
        <v>28269</v>
      </c>
      <c r="J9468" s="8" t="s">
        <v>28270</v>
      </c>
    </row>
    <row r="9469">
      <c r="A9469" s="7">
        <v>2.0052464E7</v>
      </c>
      <c r="B9469" s="8" t="s">
        <v>1988</v>
      </c>
      <c r="C9469" s="8" t="s">
        <v>28271</v>
      </c>
      <c r="D9469" s="8" t="s">
        <v>16</v>
      </c>
      <c r="E9469" s="8" t="s">
        <v>17</v>
      </c>
      <c r="F9469" s="9">
        <v>46129.0</v>
      </c>
      <c r="G9469" s="8" t="s">
        <v>390</v>
      </c>
      <c r="H9469" s="8" t="s">
        <v>391</v>
      </c>
      <c r="I9469" s="8" t="s">
        <v>28272</v>
      </c>
      <c r="J9469" s="8" t="s">
        <v>28273</v>
      </c>
    </row>
    <row r="9470">
      <c r="A9470" s="7">
        <v>2.0045007E7</v>
      </c>
      <c r="B9470" s="8" t="s">
        <v>1988</v>
      </c>
      <c r="C9470" s="8" t="s">
        <v>28274</v>
      </c>
      <c r="D9470" s="8" t="s">
        <v>16</v>
      </c>
      <c r="E9470" s="8" t="s">
        <v>17</v>
      </c>
      <c r="F9470" s="9">
        <v>46092.0</v>
      </c>
      <c r="G9470" s="8" t="s">
        <v>385</v>
      </c>
      <c r="H9470" s="8" t="s">
        <v>386</v>
      </c>
      <c r="I9470" s="8" t="s">
        <v>28275</v>
      </c>
      <c r="J9470" s="8" t="s">
        <v>28276</v>
      </c>
    </row>
    <row r="9471">
      <c r="A9471" s="7">
        <v>2.0034557E7</v>
      </c>
      <c r="B9471" s="8" t="s">
        <v>1988</v>
      </c>
      <c r="C9471" s="8" t="s">
        <v>28277</v>
      </c>
      <c r="D9471" s="8" t="s">
        <v>16</v>
      </c>
      <c r="E9471" s="8" t="s">
        <v>17</v>
      </c>
      <c r="F9471" s="9">
        <v>46071.0</v>
      </c>
      <c r="G9471" s="8" t="s">
        <v>601</v>
      </c>
      <c r="H9471" s="8" t="s">
        <v>602</v>
      </c>
      <c r="I9471" s="8" t="s">
        <v>28278</v>
      </c>
      <c r="J9471" s="8" t="s">
        <v>28279</v>
      </c>
    </row>
    <row r="9472">
      <c r="A9472" s="7">
        <v>2.0036977E7</v>
      </c>
      <c r="B9472" s="8" t="s">
        <v>1988</v>
      </c>
      <c r="C9472" s="8" t="s">
        <v>28280</v>
      </c>
      <c r="D9472" s="8" t="s">
        <v>16</v>
      </c>
      <c r="E9472" s="8" t="s">
        <v>17</v>
      </c>
      <c r="F9472" s="9">
        <v>46074.0</v>
      </c>
      <c r="G9472" s="8" t="s">
        <v>561</v>
      </c>
      <c r="H9472" s="8" t="s">
        <v>562</v>
      </c>
      <c r="I9472" s="8" t="s">
        <v>28281</v>
      </c>
      <c r="J9472" s="8" t="s">
        <v>28282</v>
      </c>
    </row>
    <row r="9473">
      <c r="A9473" s="7">
        <v>2.0029391E7</v>
      </c>
      <c r="B9473" s="8" t="s">
        <v>1988</v>
      </c>
      <c r="C9473" s="8" t="s">
        <v>28283</v>
      </c>
      <c r="D9473" s="8" t="s">
        <v>16</v>
      </c>
      <c r="E9473" s="8" t="s">
        <v>17</v>
      </c>
      <c r="F9473" s="9">
        <v>46057.0</v>
      </c>
      <c r="G9473" s="8" t="s">
        <v>2666</v>
      </c>
      <c r="H9473" s="8" t="s">
        <v>2667</v>
      </c>
      <c r="I9473" s="8" t="s">
        <v>28284</v>
      </c>
      <c r="J9473" s="8" t="s">
        <v>28285</v>
      </c>
    </row>
    <row r="9474">
      <c r="A9474" s="7">
        <v>2.0067799E7</v>
      </c>
      <c r="B9474" s="8" t="s">
        <v>1988</v>
      </c>
      <c r="C9474" s="8" t="s">
        <v>28286</v>
      </c>
      <c r="D9474" s="8" t="s">
        <v>16</v>
      </c>
      <c r="E9474" s="8" t="s">
        <v>17</v>
      </c>
      <c r="F9474" s="9">
        <v>46185.0</v>
      </c>
      <c r="G9474" s="8" t="s">
        <v>908</v>
      </c>
      <c r="H9474" s="8" t="s">
        <v>909</v>
      </c>
      <c r="I9474" s="8" t="s">
        <v>28287</v>
      </c>
      <c r="J9474" s="8" t="s">
        <v>28288</v>
      </c>
    </row>
    <row r="9475">
      <c r="A9475" s="7">
        <v>2.0055176E7</v>
      </c>
      <c r="B9475" s="8" t="s">
        <v>1988</v>
      </c>
      <c r="C9475" s="8" t="s">
        <v>28289</v>
      </c>
      <c r="D9475" s="8" t="s">
        <v>16</v>
      </c>
      <c r="E9475" s="8" t="s">
        <v>700</v>
      </c>
      <c r="F9475" s="9">
        <v>46128.0</v>
      </c>
      <c r="G9475" s="8" t="s">
        <v>28290</v>
      </c>
      <c r="H9475" s="8" t="s">
        <v>28291</v>
      </c>
      <c r="I9475" s="8" t="s">
        <v>28292</v>
      </c>
      <c r="J9475" s="8"/>
    </row>
    <row r="9476">
      <c r="A9476" s="7">
        <v>2.0047836E7</v>
      </c>
      <c r="B9476" s="8" t="s">
        <v>1988</v>
      </c>
      <c r="C9476" s="8" t="s">
        <v>28293</v>
      </c>
      <c r="D9476" s="8" t="s">
        <v>16</v>
      </c>
      <c r="E9476" s="8" t="s">
        <v>17</v>
      </c>
      <c r="F9476" s="9">
        <v>46112.0</v>
      </c>
      <c r="G9476" s="8" t="s">
        <v>436</v>
      </c>
      <c r="H9476" s="8" t="s">
        <v>437</v>
      </c>
      <c r="I9476" s="8" t="s">
        <v>28294</v>
      </c>
      <c r="J9476" s="8" t="s">
        <v>28295</v>
      </c>
    </row>
    <row r="9477">
      <c r="A9477" s="7">
        <v>2.0047528E7</v>
      </c>
      <c r="B9477" s="8" t="s">
        <v>1988</v>
      </c>
      <c r="C9477" s="8" t="s">
        <v>28296</v>
      </c>
      <c r="D9477" s="8" t="s">
        <v>16</v>
      </c>
      <c r="E9477" s="8" t="s">
        <v>17</v>
      </c>
      <c r="F9477" s="9">
        <v>46097.0</v>
      </c>
      <c r="G9477" s="8" t="s">
        <v>365</v>
      </c>
      <c r="H9477" s="8" t="s">
        <v>366</v>
      </c>
      <c r="I9477" s="8" t="s">
        <v>28297</v>
      </c>
      <c r="J9477" s="8" t="s">
        <v>28298</v>
      </c>
    </row>
    <row r="9478">
      <c r="A9478" s="7">
        <v>2.0034255E7</v>
      </c>
      <c r="B9478" s="8" t="s">
        <v>1988</v>
      </c>
      <c r="C9478" s="8" t="s">
        <v>28299</v>
      </c>
      <c r="D9478" s="8" t="s">
        <v>16</v>
      </c>
      <c r="E9478" s="8" t="s">
        <v>17</v>
      </c>
      <c r="F9478" s="9">
        <v>46075.0</v>
      </c>
      <c r="G9478" s="8" t="s">
        <v>11113</v>
      </c>
      <c r="H9478" s="8" t="s">
        <v>11114</v>
      </c>
      <c r="I9478" s="8" t="s">
        <v>28300</v>
      </c>
      <c r="J9478" s="8" t="s">
        <v>28301</v>
      </c>
    </row>
    <row r="9479">
      <c r="A9479" s="7">
        <v>2.0061514E7</v>
      </c>
      <c r="B9479" s="8" t="s">
        <v>1988</v>
      </c>
      <c r="C9479" s="8" t="s">
        <v>28302</v>
      </c>
      <c r="D9479" s="8" t="s">
        <v>16</v>
      </c>
      <c r="E9479" s="8" t="s">
        <v>17</v>
      </c>
      <c r="F9479" s="9">
        <v>46189.0</v>
      </c>
      <c r="G9479" s="8" t="s">
        <v>171</v>
      </c>
      <c r="H9479" s="8" t="s">
        <v>172</v>
      </c>
      <c r="I9479" s="8" t="s">
        <v>28303</v>
      </c>
      <c r="J9479" s="8" t="s">
        <v>28304</v>
      </c>
    </row>
    <row r="9480">
      <c r="A9480" s="7">
        <v>2.0057339E7</v>
      </c>
      <c r="B9480" s="8" t="s">
        <v>1988</v>
      </c>
      <c r="C9480" s="8" t="s">
        <v>28305</v>
      </c>
      <c r="D9480" s="8" t="s">
        <v>16</v>
      </c>
      <c r="E9480" s="8" t="s">
        <v>17</v>
      </c>
      <c r="F9480" s="9">
        <v>46184.0</v>
      </c>
      <c r="G9480" s="8" t="s">
        <v>8538</v>
      </c>
      <c r="H9480" s="8" t="s">
        <v>8539</v>
      </c>
      <c r="I9480" s="8" t="s">
        <v>28306</v>
      </c>
      <c r="J9480" s="8" t="s">
        <v>28307</v>
      </c>
    </row>
    <row r="9481">
      <c r="A9481" s="7">
        <v>2.0042116E7</v>
      </c>
      <c r="B9481" s="8" t="s">
        <v>1988</v>
      </c>
      <c r="C9481" s="8" t="s">
        <v>28308</v>
      </c>
      <c r="D9481" s="8" t="s">
        <v>16</v>
      </c>
      <c r="E9481" s="8" t="s">
        <v>17</v>
      </c>
      <c r="F9481" s="9">
        <v>46089.0</v>
      </c>
      <c r="G9481" s="8" t="s">
        <v>28309</v>
      </c>
      <c r="H9481" s="8" t="s">
        <v>28310</v>
      </c>
      <c r="I9481" s="8" t="s">
        <v>28311</v>
      </c>
      <c r="J9481" s="8" t="s">
        <v>28312</v>
      </c>
    </row>
    <row r="9482">
      <c r="A9482" s="7">
        <v>2.0037611E7</v>
      </c>
      <c r="B9482" s="8" t="s">
        <v>1988</v>
      </c>
      <c r="C9482" s="8" t="s">
        <v>28313</v>
      </c>
      <c r="D9482" s="8" t="s">
        <v>16</v>
      </c>
      <c r="E9482" s="8" t="s">
        <v>17</v>
      </c>
      <c r="F9482" s="9">
        <v>46073.0</v>
      </c>
      <c r="G9482" s="8" t="s">
        <v>868</v>
      </c>
      <c r="H9482" s="8" t="s">
        <v>869</v>
      </c>
      <c r="I9482" s="8" t="s">
        <v>28314</v>
      </c>
      <c r="J9482" s="8" t="s">
        <v>28315</v>
      </c>
    </row>
    <row r="9483">
      <c r="A9483" s="7">
        <v>2.0037873E7</v>
      </c>
      <c r="B9483" s="8" t="s">
        <v>1988</v>
      </c>
      <c r="C9483" s="8" t="s">
        <v>28316</v>
      </c>
      <c r="D9483" s="8" t="s">
        <v>16</v>
      </c>
      <c r="E9483" s="8" t="s">
        <v>17</v>
      </c>
      <c r="F9483" s="9">
        <v>46108.0</v>
      </c>
      <c r="G9483" s="8" t="s">
        <v>171</v>
      </c>
      <c r="H9483" s="8" t="s">
        <v>172</v>
      </c>
      <c r="I9483" s="8" t="s">
        <v>28317</v>
      </c>
      <c r="J9483" s="8" t="s">
        <v>28318</v>
      </c>
    </row>
    <row r="9484">
      <c r="A9484" s="7">
        <v>2.0037873E7</v>
      </c>
      <c r="B9484" s="8" t="s">
        <v>1988</v>
      </c>
      <c r="C9484" s="8" t="s">
        <v>28316</v>
      </c>
      <c r="D9484" s="8" t="s">
        <v>16</v>
      </c>
      <c r="E9484" s="8" t="s">
        <v>17</v>
      </c>
      <c r="F9484" s="9">
        <v>46108.0</v>
      </c>
      <c r="G9484" s="8" t="s">
        <v>171</v>
      </c>
      <c r="H9484" s="8" t="s">
        <v>172</v>
      </c>
      <c r="I9484" s="8" t="s">
        <v>28319</v>
      </c>
      <c r="J9484" s="8" t="s">
        <v>28318</v>
      </c>
    </row>
    <row r="9485">
      <c r="A9485" s="7">
        <v>2.0036381E7</v>
      </c>
      <c r="B9485" s="8" t="s">
        <v>1988</v>
      </c>
      <c r="C9485" s="8" t="s">
        <v>28320</v>
      </c>
      <c r="D9485" s="8" t="s">
        <v>16</v>
      </c>
      <c r="E9485" s="8" t="s">
        <v>17</v>
      </c>
      <c r="F9485" s="9">
        <v>46054.0</v>
      </c>
      <c r="G9485" s="8" t="s">
        <v>1132</v>
      </c>
      <c r="H9485" s="8" t="s">
        <v>1133</v>
      </c>
      <c r="I9485" s="8" t="s">
        <v>28321</v>
      </c>
      <c r="J9485" s="8" t="s">
        <v>28322</v>
      </c>
    </row>
    <row r="9486">
      <c r="A9486" s="7">
        <v>2.0035034E7</v>
      </c>
      <c r="B9486" s="8" t="s">
        <v>1988</v>
      </c>
      <c r="C9486" s="8" t="s">
        <v>28323</v>
      </c>
      <c r="D9486" s="8" t="s">
        <v>16</v>
      </c>
      <c r="E9486" s="8" t="s">
        <v>17</v>
      </c>
      <c r="F9486" s="9">
        <v>46049.0</v>
      </c>
      <c r="G9486" s="8" t="s">
        <v>400</v>
      </c>
      <c r="H9486" s="8" t="s">
        <v>401</v>
      </c>
      <c r="I9486" s="8" t="s">
        <v>28324</v>
      </c>
      <c r="J9486" s="8" t="s">
        <v>28325</v>
      </c>
    </row>
    <row r="9487">
      <c r="A9487" s="7">
        <v>2.0032682E7</v>
      </c>
      <c r="B9487" s="8" t="s">
        <v>1988</v>
      </c>
      <c r="C9487" s="8" t="s">
        <v>28326</v>
      </c>
      <c r="D9487" s="8" t="s">
        <v>16</v>
      </c>
      <c r="E9487" s="8" t="s">
        <v>17</v>
      </c>
      <c r="F9487" s="9">
        <v>46060.0</v>
      </c>
      <c r="G9487" s="8" t="s">
        <v>390</v>
      </c>
      <c r="H9487" s="8" t="s">
        <v>391</v>
      </c>
      <c r="I9487" s="8" t="s">
        <v>28327</v>
      </c>
      <c r="J9487" s="8" t="s">
        <v>28328</v>
      </c>
    </row>
    <row r="9488">
      <c r="A9488" s="7">
        <v>2.0049512E7</v>
      </c>
      <c r="B9488" s="8" t="s">
        <v>1988</v>
      </c>
      <c r="C9488" s="8" t="s">
        <v>28329</v>
      </c>
      <c r="D9488" s="8" t="s">
        <v>16</v>
      </c>
      <c r="E9488" s="8" t="s">
        <v>17</v>
      </c>
      <c r="F9488" s="9">
        <v>46127.0</v>
      </c>
      <c r="G9488" s="8" t="s">
        <v>9891</v>
      </c>
      <c r="H9488" s="8" t="s">
        <v>9892</v>
      </c>
      <c r="I9488" s="8" t="s">
        <v>28330</v>
      </c>
      <c r="J9488" s="8" t="s">
        <v>28331</v>
      </c>
    </row>
    <row r="9489">
      <c r="A9489" s="7">
        <v>2.0049989E7</v>
      </c>
      <c r="B9489" s="8" t="s">
        <v>1988</v>
      </c>
      <c r="C9489" s="8" t="s">
        <v>28332</v>
      </c>
      <c r="D9489" s="8" t="s">
        <v>16</v>
      </c>
      <c r="E9489" s="8" t="s">
        <v>17</v>
      </c>
      <c r="F9489" s="9">
        <v>46119.0</v>
      </c>
      <c r="G9489" s="8" t="s">
        <v>400</v>
      </c>
      <c r="H9489" s="8" t="s">
        <v>401</v>
      </c>
      <c r="I9489" s="8" t="s">
        <v>28333</v>
      </c>
      <c r="J9489" s="8" t="s">
        <v>28334</v>
      </c>
    </row>
    <row r="9490">
      <c r="A9490" s="7">
        <v>2.004532E7</v>
      </c>
      <c r="B9490" s="8" t="s">
        <v>1988</v>
      </c>
      <c r="C9490" s="8" t="s">
        <v>28335</v>
      </c>
      <c r="D9490" s="8" t="s">
        <v>16</v>
      </c>
      <c r="E9490" s="8" t="s">
        <v>17</v>
      </c>
      <c r="F9490" s="9">
        <v>46094.0</v>
      </c>
      <c r="G9490" s="8" t="s">
        <v>1627</v>
      </c>
      <c r="H9490" s="8" t="s">
        <v>1628</v>
      </c>
      <c r="I9490" s="8" t="s">
        <v>28336</v>
      </c>
      <c r="J9490" s="8" t="s">
        <v>28337</v>
      </c>
    </row>
    <row r="9491">
      <c r="A9491" s="7">
        <v>2.0061689E7</v>
      </c>
      <c r="B9491" s="8" t="s">
        <v>1988</v>
      </c>
      <c r="C9491" s="8" t="s">
        <v>28338</v>
      </c>
      <c r="D9491" s="8" t="s">
        <v>16</v>
      </c>
      <c r="E9491" s="8" t="s">
        <v>17</v>
      </c>
      <c r="F9491" s="9">
        <v>46165.0</v>
      </c>
      <c r="G9491" s="8" t="s">
        <v>882</v>
      </c>
      <c r="H9491" s="8" t="s">
        <v>883</v>
      </c>
      <c r="I9491" s="8" t="s">
        <v>28339</v>
      </c>
      <c r="J9491" s="8" t="s">
        <v>28340</v>
      </c>
    </row>
    <row r="9492">
      <c r="A9492" s="7">
        <v>2.0051588E7</v>
      </c>
      <c r="B9492" s="8" t="s">
        <v>1988</v>
      </c>
      <c r="C9492" s="8" t="s">
        <v>28341</v>
      </c>
      <c r="D9492" s="8" t="s">
        <v>16</v>
      </c>
      <c r="E9492" s="8" t="s">
        <v>17</v>
      </c>
      <c r="F9492" s="9">
        <v>46141.0</v>
      </c>
      <c r="G9492" s="8" t="s">
        <v>846</v>
      </c>
      <c r="H9492" s="8" t="s">
        <v>847</v>
      </c>
      <c r="I9492" s="8" t="s">
        <v>28342</v>
      </c>
      <c r="J9492" s="8" t="s">
        <v>28343</v>
      </c>
    </row>
    <row r="9493">
      <c r="A9493" s="7">
        <v>2.0042478E7</v>
      </c>
      <c r="B9493" s="8" t="s">
        <v>1988</v>
      </c>
      <c r="C9493" s="8" t="s">
        <v>28344</v>
      </c>
      <c r="D9493" s="8" t="s">
        <v>16</v>
      </c>
      <c r="E9493" s="8" t="s">
        <v>17</v>
      </c>
      <c r="F9493" s="9">
        <v>46078.0</v>
      </c>
      <c r="G9493" s="8" t="s">
        <v>882</v>
      </c>
      <c r="H9493" s="8" t="s">
        <v>883</v>
      </c>
      <c r="I9493" s="8" t="s">
        <v>28345</v>
      </c>
      <c r="J9493" s="8" t="s">
        <v>28346</v>
      </c>
    </row>
    <row r="9494">
      <c r="A9494" s="7">
        <v>2.0039839E7</v>
      </c>
      <c r="B9494" s="8" t="s">
        <v>1988</v>
      </c>
      <c r="C9494" s="8" t="s">
        <v>28347</v>
      </c>
      <c r="D9494" s="8" t="s">
        <v>16</v>
      </c>
      <c r="E9494" s="8" t="s">
        <v>17</v>
      </c>
      <c r="F9494" s="9">
        <v>46079.0</v>
      </c>
      <c r="G9494" s="8" t="s">
        <v>436</v>
      </c>
      <c r="H9494" s="8" t="s">
        <v>437</v>
      </c>
      <c r="I9494" s="8" t="s">
        <v>28348</v>
      </c>
      <c r="J9494" s="8" t="s">
        <v>28349</v>
      </c>
    </row>
    <row r="9495">
      <c r="A9495" s="7">
        <v>2.0047407E7</v>
      </c>
      <c r="B9495" s="8" t="s">
        <v>1988</v>
      </c>
      <c r="C9495" s="8" t="s">
        <v>28350</v>
      </c>
      <c r="D9495" s="8" t="s">
        <v>16</v>
      </c>
      <c r="E9495" s="8" t="s">
        <v>17</v>
      </c>
      <c r="F9495" s="9">
        <v>46098.0</v>
      </c>
      <c r="G9495" s="8" t="s">
        <v>59</v>
      </c>
      <c r="H9495" s="8" t="s">
        <v>60</v>
      </c>
      <c r="I9495" s="8" t="s">
        <v>28351</v>
      </c>
      <c r="J9495" s="8" t="s">
        <v>28352</v>
      </c>
    </row>
    <row r="9496">
      <c r="A9496" s="7">
        <v>2.0044527E7</v>
      </c>
      <c r="B9496" s="8" t="s">
        <v>1988</v>
      </c>
      <c r="C9496" s="8" t="s">
        <v>28353</v>
      </c>
      <c r="D9496" s="8" t="s">
        <v>16</v>
      </c>
      <c r="E9496" s="8" t="s">
        <v>17</v>
      </c>
      <c r="F9496" s="9">
        <v>46089.0</v>
      </c>
      <c r="G9496" s="8" t="s">
        <v>220</v>
      </c>
      <c r="H9496" s="8" t="s">
        <v>221</v>
      </c>
      <c r="I9496" s="8" t="s">
        <v>28354</v>
      </c>
      <c r="J9496" s="8" t="s">
        <v>28355</v>
      </c>
    </row>
    <row r="9497">
      <c r="A9497" s="7">
        <v>2.0041179E7</v>
      </c>
      <c r="B9497" s="8" t="s">
        <v>1988</v>
      </c>
      <c r="C9497" s="8" t="s">
        <v>28356</v>
      </c>
      <c r="D9497" s="8" t="s">
        <v>16</v>
      </c>
      <c r="E9497" s="8" t="s">
        <v>17</v>
      </c>
      <c r="F9497" s="9">
        <v>46083.0</v>
      </c>
      <c r="G9497" s="8" t="s">
        <v>1236</v>
      </c>
      <c r="H9497" s="8" t="s">
        <v>1237</v>
      </c>
      <c r="I9497" s="8" t="s">
        <v>28357</v>
      </c>
      <c r="J9497" s="8" t="s">
        <v>28358</v>
      </c>
    </row>
    <row r="9498">
      <c r="A9498" s="7">
        <v>2.0032051E7</v>
      </c>
      <c r="B9498" s="8" t="s">
        <v>1988</v>
      </c>
      <c r="C9498" s="8" t="s">
        <v>28359</v>
      </c>
      <c r="D9498" s="8" t="s">
        <v>16</v>
      </c>
      <c r="E9498" s="8" t="s">
        <v>17</v>
      </c>
      <c r="F9498" s="9">
        <v>46054.0</v>
      </c>
      <c r="G9498" s="8" t="s">
        <v>109</v>
      </c>
      <c r="H9498" s="8" t="s">
        <v>110</v>
      </c>
      <c r="I9498" s="8" t="s">
        <v>28360</v>
      </c>
      <c r="J9498" s="8" t="s">
        <v>28361</v>
      </c>
    </row>
    <row r="9499">
      <c r="A9499" s="7">
        <v>2.006046E7</v>
      </c>
      <c r="B9499" s="8" t="s">
        <v>1988</v>
      </c>
      <c r="C9499" s="8" t="s">
        <v>28362</v>
      </c>
      <c r="D9499" s="8" t="s">
        <v>16</v>
      </c>
      <c r="E9499" s="8" t="s">
        <v>17</v>
      </c>
      <c r="F9499" s="9">
        <v>46151.0</v>
      </c>
      <c r="G9499" s="8" t="s">
        <v>882</v>
      </c>
      <c r="H9499" s="8" t="s">
        <v>883</v>
      </c>
      <c r="I9499" s="8" t="s">
        <v>28363</v>
      </c>
      <c r="J9499" s="8" t="s">
        <v>28364</v>
      </c>
    </row>
    <row r="9500">
      <c r="A9500" s="7">
        <v>2.0056923E7</v>
      </c>
      <c r="B9500" s="8" t="s">
        <v>1988</v>
      </c>
      <c r="C9500" s="8" t="s">
        <v>28365</v>
      </c>
      <c r="D9500" s="8" t="s">
        <v>16</v>
      </c>
      <c r="E9500" s="8" t="s">
        <v>17</v>
      </c>
      <c r="F9500" s="9">
        <v>46155.0</v>
      </c>
      <c r="G9500" s="8" t="s">
        <v>28147</v>
      </c>
      <c r="H9500" s="8" t="s">
        <v>28148</v>
      </c>
      <c r="I9500" s="8" t="s">
        <v>28366</v>
      </c>
      <c r="J9500" s="8" t="s">
        <v>28367</v>
      </c>
    </row>
    <row r="9501">
      <c r="A9501" s="7">
        <v>2.005612E7</v>
      </c>
      <c r="B9501" s="8" t="s">
        <v>1988</v>
      </c>
      <c r="C9501" s="8" t="s">
        <v>28368</v>
      </c>
      <c r="D9501" s="8" t="s">
        <v>16</v>
      </c>
      <c r="E9501" s="8" t="s">
        <v>17</v>
      </c>
      <c r="F9501" s="9">
        <v>46147.0</v>
      </c>
      <c r="G9501" s="8" t="s">
        <v>763</v>
      </c>
      <c r="H9501" s="8" t="s">
        <v>764</v>
      </c>
      <c r="I9501" s="8" t="s">
        <v>28369</v>
      </c>
      <c r="J9501" s="8" t="s">
        <v>28370</v>
      </c>
    </row>
    <row r="9502">
      <c r="A9502" s="7">
        <v>2.0044821E7</v>
      </c>
      <c r="B9502" s="8" t="s">
        <v>1988</v>
      </c>
      <c r="C9502" s="8" t="s">
        <v>28371</v>
      </c>
      <c r="D9502" s="8" t="s">
        <v>16</v>
      </c>
      <c r="E9502" s="8" t="s">
        <v>17</v>
      </c>
      <c r="F9502" s="9">
        <v>46088.0</v>
      </c>
      <c r="G9502" s="8" t="s">
        <v>365</v>
      </c>
      <c r="H9502" s="8" t="s">
        <v>366</v>
      </c>
      <c r="I9502" s="8" t="s">
        <v>28372</v>
      </c>
      <c r="J9502" s="8" t="s">
        <v>28373</v>
      </c>
    </row>
    <row r="9503">
      <c r="A9503" s="7">
        <v>2.0034188E7</v>
      </c>
      <c r="B9503" s="8" t="s">
        <v>1988</v>
      </c>
      <c r="C9503" s="8" t="s">
        <v>28374</v>
      </c>
      <c r="D9503" s="8" t="s">
        <v>16</v>
      </c>
      <c r="E9503" s="8" t="s">
        <v>17</v>
      </c>
      <c r="F9503" s="9">
        <v>46059.0</v>
      </c>
      <c r="G9503" s="8" t="s">
        <v>64</v>
      </c>
      <c r="H9503" s="8" t="s">
        <v>65</v>
      </c>
      <c r="I9503" s="8" t="s">
        <v>28375</v>
      </c>
      <c r="J9503" s="8" t="s">
        <v>28376</v>
      </c>
    </row>
    <row r="9504">
      <c r="A9504" s="7">
        <v>2.0069425E7</v>
      </c>
      <c r="B9504" s="8" t="s">
        <v>1988</v>
      </c>
      <c r="C9504" s="8" t="s">
        <v>28377</v>
      </c>
      <c r="D9504" s="8" t="s">
        <v>16</v>
      </c>
      <c r="E9504" s="8" t="s">
        <v>17</v>
      </c>
      <c r="F9504" s="9">
        <v>46188.0</v>
      </c>
      <c r="G9504" s="8" t="s">
        <v>1949</v>
      </c>
      <c r="H9504" s="8" t="s">
        <v>1950</v>
      </c>
      <c r="I9504" s="8" t="s">
        <v>28378</v>
      </c>
      <c r="J9504" s="8" t="s">
        <v>28379</v>
      </c>
    </row>
    <row r="9505">
      <c r="A9505" s="7">
        <v>2.004999E7</v>
      </c>
      <c r="B9505" s="8" t="s">
        <v>1988</v>
      </c>
      <c r="C9505" s="8" t="s">
        <v>28380</v>
      </c>
      <c r="D9505" s="8" t="s">
        <v>16</v>
      </c>
      <c r="E9505" s="8" t="s">
        <v>17</v>
      </c>
      <c r="F9505" s="9">
        <v>46131.0</v>
      </c>
      <c r="G9505" s="8" t="s">
        <v>2625</v>
      </c>
      <c r="H9505" s="8" t="s">
        <v>3001</v>
      </c>
      <c r="I9505" s="8" t="s">
        <v>28381</v>
      </c>
      <c r="J9505" s="8" t="s">
        <v>28382</v>
      </c>
    </row>
    <row r="9506">
      <c r="A9506" s="7">
        <v>2.004999E7</v>
      </c>
      <c r="B9506" s="8" t="s">
        <v>1988</v>
      </c>
      <c r="C9506" s="8" t="s">
        <v>28380</v>
      </c>
      <c r="D9506" s="8" t="s">
        <v>16</v>
      </c>
      <c r="E9506" s="8" t="s">
        <v>17</v>
      </c>
      <c r="F9506" s="9">
        <v>46131.0</v>
      </c>
      <c r="G9506" s="8" t="s">
        <v>207</v>
      </c>
      <c r="H9506" s="8" t="s">
        <v>7341</v>
      </c>
      <c r="I9506" s="8" t="s">
        <v>28383</v>
      </c>
      <c r="J9506" s="8" t="s">
        <v>28384</v>
      </c>
    </row>
    <row r="9507">
      <c r="A9507" s="7">
        <v>2.0045119E7</v>
      </c>
      <c r="B9507" s="8" t="s">
        <v>1988</v>
      </c>
      <c r="C9507" s="8" t="s">
        <v>28385</v>
      </c>
      <c r="D9507" s="8" t="s">
        <v>16</v>
      </c>
      <c r="E9507" s="8" t="s">
        <v>17</v>
      </c>
      <c r="F9507" s="9">
        <v>46116.0</v>
      </c>
      <c r="G9507" s="8" t="s">
        <v>171</v>
      </c>
      <c r="H9507" s="8" t="s">
        <v>172</v>
      </c>
      <c r="I9507" s="8" t="s">
        <v>28386</v>
      </c>
      <c r="J9507" s="8" t="s">
        <v>28387</v>
      </c>
    </row>
    <row r="9508">
      <c r="A9508" s="7">
        <v>2.0046564E7</v>
      </c>
      <c r="B9508" s="8" t="s">
        <v>1988</v>
      </c>
      <c r="C9508" s="8" t="s">
        <v>28388</v>
      </c>
      <c r="D9508" s="8" t="s">
        <v>16</v>
      </c>
      <c r="E9508" s="8" t="s">
        <v>17</v>
      </c>
      <c r="F9508" s="9">
        <v>46108.0</v>
      </c>
      <c r="G9508" s="8" t="s">
        <v>486</v>
      </c>
      <c r="H9508" s="8" t="s">
        <v>487</v>
      </c>
      <c r="I9508" s="8" t="s">
        <v>28389</v>
      </c>
      <c r="J9508" s="8" t="s">
        <v>28390</v>
      </c>
    </row>
    <row r="9509">
      <c r="A9509" s="7">
        <v>2.0043664E7</v>
      </c>
      <c r="B9509" s="8" t="s">
        <v>1988</v>
      </c>
      <c r="C9509" s="8" t="s">
        <v>28391</v>
      </c>
      <c r="D9509" s="8" t="s">
        <v>16</v>
      </c>
      <c r="E9509" s="8" t="s">
        <v>700</v>
      </c>
      <c r="F9509" s="9">
        <v>46127.0</v>
      </c>
      <c r="G9509" s="8" t="s">
        <v>486</v>
      </c>
      <c r="H9509" s="8" t="s">
        <v>487</v>
      </c>
      <c r="I9509" s="8" t="s">
        <v>28392</v>
      </c>
      <c r="J9509" s="8" t="s">
        <v>28393</v>
      </c>
    </row>
    <row r="9510">
      <c r="A9510" s="7">
        <v>2.0043664E7</v>
      </c>
      <c r="B9510" s="8" t="s">
        <v>1988</v>
      </c>
      <c r="C9510" s="8" t="s">
        <v>28391</v>
      </c>
      <c r="D9510" s="8" t="s">
        <v>16</v>
      </c>
      <c r="E9510" s="8" t="s">
        <v>700</v>
      </c>
      <c r="F9510" s="9">
        <v>46127.0</v>
      </c>
      <c r="G9510" s="8" t="s">
        <v>486</v>
      </c>
      <c r="H9510" s="8" t="s">
        <v>487</v>
      </c>
      <c r="I9510" s="8" t="s">
        <v>28394</v>
      </c>
      <c r="J9510" s="8" t="s">
        <v>28393</v>
      </c>
    </row>
    <row r="9511">
      <c r="A9511" s="7">
        <v>2.0052801E7</v>
      </c>
      <c r="B9511" s="8" t="s">
        <v>1988</v>
      </c>
      <c r="C9511" s="8" t="s">
        <v>28395</v>
      </c>
      <c r="D9511" s="8" t="s">
        <v>16</v>
      </c>
      <c r="E9511" s="8" t="s">
        <v>17</v>
      </c>
      <c r="F9511" s="9">
        <v>46139.0</v>
      </c>
      <c r="G9511" s="8" t="s">
        <v>16002</v>
      </c>
      <c r="H9511" s="8" t="s">
        <v>16003</v>
      </c>
      <c r="I9511" s="8" t="s">
        <v>28396</v>
      </c>
      <c r="J9511" s="8" t="s">
        <v>28397</v>
      </c>
    </row>
    <row r="9512">
      <c r="A9512" s="7">
        <v>2.0041345E7</v>
      </c>
      <c r="B9512" s="8" t="s">
        <v>1988</v>
      </c>
      <c r="C9512" s="8" t="s">
        <v>28398</v>
      </c>
      <c r="D9512" s="8" t="s">
        <v>16</v>
      </c>
      <c r="E9512" s="8" t="s">
        <v>17</v>
      </c>
      <c r="F9512" s="9">
        <v>46083.0</v>
      </c>
      <c r="G9512" s="8" t="s">
        <v>11839</v>
      </c>
      <c r="H9512" s="8" t="s">
        <v>11840</v>
      </c>
      <c r="I9512" s="8" t="s">
        <v>28399</v>
      </c>
      <c r="J9512" s="8" t="s">
        <v>28400</v>
      </c>
    </row>
    <row r="9513">
      <c r="A9513" s="7">
        <v>2.003956E7</v>
      </c>
      <c r="B9513" s="8" t="s">
        <v>1988</v>
      </c>
      <c r="C9513" s="8" t="s">
        <v>28401</v>
      </c>
      <c r="D9513" s="8" t="s">
        <v>16</v>
      </c>
      <c r="E9513" s="8" t="s">
        <v>17</v>
      </c>
      <c r="F9513" s="9">
        <v>46072.0</v>
      </c>
      <c r="G9513" s="8" t="s">
        <v>365</v>
      </c>
      <c r="H9513" s="8" t="s">
        <v>366</v>
      </c>
      <c r="I9513" s="8" t="s">
        <v>28402</v>
      </c>
      <c r="J9513" s="8" t="s">
        <v>28403</v>
      </c>
    </row>
    <row r="9514">
      <c r="A9514" s="7">
        <v>2.0032463E7</v>
      </c>
      <c r="B9514" s="8" t="s">
        <v>1988</v>
      </c>
      <c r="C9514" s="8" t="s">
        <v>28404</v>
      </c>
      <c r="D9514" s="8" t="s">
        <v>16</v>
      </c>
      <c r="E9514" s="8" t="s">
        <v>17</v>
      </c>
      <c r="F9514" s="9">
        <v>46065.0</v>
      </c>
      <c r="G9514" s="8" t="s">
        <v>3255</v>
      </c>
      <c r="H9514" s="8" t="s">
        <v>3256</v>
      </c>
      <c r="I9514" s="8" t="s">
        <v>28405</v>
      </c>
      <c r="J9514" s="8" t="s">
        <v>28406</v>
      </c>
    </row>
    <row r="9515">
      <c r="A9515" s="7">
        <v>2.0034867E7</v>
      </c>
      <c r="B9515" s="8" t="s">
        <v>1988</v>
      </c>
      <c r="C9515" s="8" t="s">
        <v>28407</v>
      </c>
      <c r="D9515" s="8" t="s">
        <v>16</v>
      </c>
      <c r="E9515" s="8" t="s">
        <v>17</v>
      </c>
      <c r="F9515" s="9">
        <v>46060.0</v>
      </c>
      <c r="G9515" s="8" t="s">
        <v>132</v>
      </c>
      <c r="H9515" s="8" t="s">
        <v>133</v>
      </c>
      <c r="I9515" s="8" t="s">
        <v>28408</v>
      </c>
      <c r="J9515" s="8" t="s">
        <v>28409</v>
      </c>
    </row>
    <row r="9516">
      <c r="A9516" s="7">
        <v>2.0065313E7</v>
      </c>
      <c r="B9516" s="8" t="s">
        <v>1988</v>
      </c>
      <c r="C9516" s="8" t="s">
        <v>28410</v>
      </c>
      <c r="D9516" s="8" t="s">
        <v>16</v>
      </c>
      <c r="E9516" s="8" t="s">
        <v>17</v>
      </c>
      <c r="F9516" s="9">
        <v>46179.0</v>
      </c>
      <c r="G9516" s="8" t="s">
        <v>846</v>
      </c>
      <c r="H9516" s="8" t="s">
        <v>847</v>
      </c>
      <c r="I9516" s="8" t="s">
        <v>28411</v>
      </c>
      <c r="J9516" s="8" t="s">
        <v>28412</v>
      </c>
    </row>
    <row r="9517">
      <c r="A9517" s="7">
        <v>2.005852E7</v>
      </c>
      <c r="B9517" s="8" t="s">
        <v>1988</v>
      </c>
      <c r="C9517" s="8" t="s">
        <v>28413</v>
      </c>
      <c r="D9517" s="8" t="s">
        <v>16</v>
      </c>
      <c r="E9517" s="8" t="s">
        <v>17</v>
      </c>
      <c r="F9517" s="9">
        <v>46192.0</v>
      </c>
      <c r="G9517" s="8" t="s">
        <v>436</v>
      </c>
      <c r="H9517" s="8" t="s">
        <v>437</v>
      </c>
      <c r="I9517" s="8" t="s">
        <v>28414</v>
      </c>
      <c r="J9517" s="8" t="s">
        <v>28415</v>
      </c>
    </row>
    <row r="9518">
      <c r="A9518" s="7">
        <v>2.0061083E7</v>
      </c>
      <c r="B9518" s="8" t="s">
        <v>1988</v>
      </c>
      <c r="C9518" s="8" t="s">
        <v>28416</v>
      </c>
      <c r="D9518" s="8" t="s">
        <v>16</v>
      </c>
      <c r="E9518" s="8" t="s">
        <v>17</v>
      </c>
      <c r="F9518" s="9">
        <v>46190.0</v>
      </c>
      <c r="G9518" s="8" t="s">
        <v>1344</v>
      </c>
      <c r="H9518" s="8" t="s">
        <v>1345</v>
      </c>
      <c r="I9518" s="8" t="s">
        <v>28417</v>
      </c>
      <c r="J9518" s="8" t="s">
        <v>28418</v>
      </c>
    </row>
    <row r="9519">
      <c r="A9519" s="7">
        <v>2.006032E7</v>
      </c>
      <c r="B9519" s="8" t="s">
        <v>1988</v>
      </c>
      <c r="C9519" s="8" t="s">
        <v>28419</v>
      </c>
      <c r="D9519" s="8" t="s">
        <v>16</v>
      </c>
      <c r="E9519" s="8" t="s">
        <v>17</v>
      </c>
      <c r="F9519" s="9">
        <v>46183.0</v>
      </c>
      <c r="G9519" s="8" t="s">
        <v>436</v>
      </c>
      <c r="H9519" s="8" t="s">
        <v>437</v>
      </c>
      <c r="I9519" s="8" t="s">
        <v>28420</v>
      </c>
      <c r="J9519" s="8" t="s">
        <v>28421</v>
      </c>
    </row>
    <row r="9520">
      <c r="A9520" s="7">
        <v>2.0057695E7</v>
      </c>
      <c r="B9520" s="8" t="s">
        <v>1988</v>
      </c>
      <c r="C9520" s="8" t="s">
        <v>28422</v>
      </c>
      <c r="D9520" s="8" t="s">
        <v>16</v>
      </c>
      <c r="E9520" s="8" t="s">
        <v>17</v>
      </c>
      <c r="F9520" s="9">
        <v>46155.0</v>
      </c>
      <c r="G9520" s="8" t="s">
        <v>171</v>
      </c>
      <c r="H9520" s="8" t="s">
        <v>172</v>
      </c>
      <c r="I9520" s="8" t="s">
        <v>28423</v>
      </c>
      <c r="J9520" s="8" t="s">
        <v>28424</v>
      </c>
    </row>
    <row r="9521">
      <c r="A9521" s="7">
        <v>2.0056556E7</v>
      </c>
      <c r="B9521" s="8" t="s">
        <v>1988</v>
      </c>
      <c r="C9521" s="8" t="s">
        <v>28425</v>
      </c>
      <c r="D9521" s="8" t="s">
        <v>16</v>
      </c>
      <c r="E9521" s="8" t="s">
        <v>17</v>
      </c>
      <c r="F9521" s="9">
        <v>46144.0</v>
      </c>
      <c r="G9521" s="8" t="s">
        <v>5431</v>
      </c>
      <c r="H9521" s="8" t="s">
        <v>5432</v>
      </c>
      <c r="I9521" s="8" t="s">
        <v>28426</v>
      </c>
      <c r="J9521" s="8" t="s">
        <v>28427</v>
      </c>
    </row>
    <row r="9522">
      <c r="A9522" s="7">
        <v>2.0056422E7</v>
      </c>
      <c r="B9522" s="8" t="s">
        <v>1988</v>
      </c>
      <c r="C9522" s="8" t="s">
        <v>28428</v>
      </c>
      <c r="D9522" s="8" t="s">
        <v>16</v>
      </c>
      <c r="E9522" s="8" t="s">
        <v>17</v>
      </c>
      <c r="F9522" s="9">
        <v>46137.0</v>
      </c>
      <c r="G9522" s="8" t="s">
        <v>3364</v>
      </c>
      <c r="H9522" s="8" t="s">
        <v>3365</v>
      </c>
      <c r="I9522" s="8" t="s">
        <v>28429</v>
      </c>
      <c r="J9522" s="8"/>
    </row>
    <row r="9523">
      <c r="A9523" s="7">
        <v>2.0053839E7</v>
      </c>
      <c r="B9523" s="8" t="s">
        <v>1988</v>
      </c>
      <c r="C9523" s="8" t="s">
        <v>28430</v>
      </c>
      <c r="D9523" s="8" t="s">
        <v>16</v>
      </c>
      <c r="E9523" s="8" t="s">
        <v>17</v>
      </c>
      <c r="F9523" s="9">
        <v>46141.0</v>
      </c>
      <c r="G9523" s="8" t="s">
        <v>370</v>
      </c>
      <c r="H9523" s="8" t="s">
        <v>371</v>
      </c>
      <c r="I9523" s="8" t="s">
        <v>28431</v>
      </c>
      <c r="J9523" s="8" t="s">
        <v>28432</v>
      </c>
    </row>
    <row r="9524">
      <c r="A9524" s="7">
        <v>2.005055E7</v>
      </c>
      <c r="B9524" s="8" t="s">
        <v>1988</v>
      </c>
      <c r="C9524" s="8" t="s">
        <v>28433</v>
      </c>
      <c r="D9524" s="8" t="s">
        <v>16</v>
      </c>
      <c r="E9524" s="8" t="s">
        <v>17</v>
      </c>
      <c r="F9524" s="9">
        <v>46108.0</v>
      </c>
      <c r="G9524" s="8" t="s">
        <v>20322</v>
      </c>
      <c r="H9524" s="8" t="s">
        <v>20323</v>
      </c>
      <c r="I9524" s="8" t="s">
        <v>28434</v>
      </c>
      <c r="J9524" s="8" t="s">
        <v>28435</v>
      </c>
    </row>
    <row r="9525">
      <c r="A9525" s="7">
        <v>2.0049764E7</v>
      </c>
      <c r="B9525" s="8" t="s">
        <v>1988</v>
      </c>
      <c r="C9525" s="8" t="s">
        <v>28436</v>
      </c>
      <c r="D9525" s="8" t="s">
        <v>16</v>
      </c>
      <c r="E9525" s="8" t="s">
        <v>17</v>
      </c>
      <c r="F9525" s="9">
        <v>46123.0</v>
      </c>
      <c r="G9525" s="8" t="s">
        <v>4574</v>
      </c>
      <c r="H9525" s="8" t="s">
        <v>4575</v>
      </c>
      <c r="I9525" s="8" t="s">
        <v>28437</v>
      </c>
      <c r="J9525" s="8" t="s">
        <v>28438</v>
      </c>
    </row>
    <row r="9526">
      <c r="A9526" s="7">
        <v>2.0045888E7</v>
      </c>
      <c r="B9526" s="8" t="s">
        <v>1988</v>
      </c>
      <c r="C9526" s="8" t="s">
        <v>28439</v>
      </c>
      <c r="D9526" s="8" t="s">
        <v>16</v>
      </c>
      <c r="E9526" s="8" t="s">
        <v>17</v>
      </c>
      <c r="F9526" s="9">
        <v>46118.0</v>
      </c>
      <c r="G9526" s="8" t="s">
        <v>59</v>
      </c>
      <c r="H9526" s="8" t="s">
        <v>60</v>
      </c>
      <c r="I9526" s="8" t="s">
        <v>28440</v>
      </c>
      <c r="J9526" s="8" t="s">
        <v>28441</v>
      </c>
    </row>
    <row r="9527">
      <c r="A9527" s="7">
        <v>2.0041366E7</v>
      </c>
      <c r="B9527" s="8" t="s">
        <v>1988</v>
      </c>
      <c r="C9527" s="8" t="s">
        <v>28442</v>
      </c>
      <c r="D9527" s="8" t="s">
        <v>16</v>
      </c>
      <c r="E9527" s="8" t="s">
        <v>17</v>
      </c>
      <c r="F9527" s="9">
        <v>46089.0</v>
      </c>
      <c r="G9527" s="8" t="s">
        <v>220</v>
      </c>
      <c r="H9527" s="8" t="s">
        <v>221</v>
      </c>
      <c r="I9527" s="8" t="s">
        <v>28443</v>
      </c>
      <c r="J9527" s="8" t="s">
        <v>28444</v>
      </c>
    </row>
    <row r="9528">
      <c r="A9528" s="7">
        <v>2.0042065E7</v>
      </c>
      <c r="B9528" s="8" t="s">
        <v>1988</v>
      </c>
      <c r="C9528" s="8" t="s">
        <v>28445</v>
      </c>
      <c r="D9528" s="8" t="s">
        <v>16</v>
      </c>
      <c r="E9528" s="8" t="s">
        <v>17</v>
      </c>
      <c r="F9528" s="9">
        <v>46089.0</v>
      </c>
      <c r="G9528" s="8" t="s">
        <v>171</v>
      </c>
      <c r="H9528" s="8" t="s">
        <v>172</v>
      </c>
      <c r="I9528" s="8" t="s">
        <v>28446</v>
      </c>
      <c r="J9528" s="8" t="s">
        <v>28447</v>
      </c>
    </row>
    <row r="9529">
      <c r="A9529" s="7">
        <v>2.0057732E7</v>
      </c>
      <c r="B9529" s="8" t="s">
        <v>1988</v>
      </c>
      <c r="C9529" s="8" t="s">
        <v>28448</v>
      </c>
      <c r="D9529" s="8" t="s">
        <v>16</v>
      </c>
      <c r="E9529" s="8" t="s">
        <v>17</v>
      </c>
      <c r="F9529" s="9">
        <v>46144.0</v>
      </c>
      <c r="G9529" s="8" t="s">
        <v>365</v>
      </c>
      <c r="H9529" s="8" t="s">
        <v>366</v>
      </c>
      <c r="I9529" s="8" t="s">
        <v>28449</v>
      </c>
      <c r="J9529" s="8" t="s">
        <v>28450</v>
      </c>
    </row>
    <row r="9530">
      <c r="A9530" s="7">
        <v>2.0048717E7</v>
      </c>
      <c r="B9530" s="8" t="s">
        <v>1988</v>
      </c>
      <c r="C9530" s="8" t="s">
        <v>28451</v>
      </c>
      <c r="D9530" s="8" t="s">
        <v>16</v>
      </c>
      <c r="E9530" s="8" t="s">
        <v>17</v>
      </c>
      <c r="F9530" s="9">
        <v>46099.0</v>
      </c>
      <c r="G9530" s="8" t="s">
        <v>504</v>
      </c>
      <c r="H9530" s="8" t="s">
        <v>505</v>
      </c>
      <c r="I9530" s="8" t="s">
        <v>28452</v>
      </c>
      <c r="J9530" s="8" t="s">
        <v>28453</v>
      </c>
    </row>
    <row r="9531">
      <c r="A9531" s="7">
        <v>2.0043172E7</v>
      </c>
      <c r="B9531" s="8" t="s">
        <v>1988</v>
      </c>
      <c r="C9531" s="8" t="s">
        <v>28454</v>
      </c>
      <c r="D9531" s="8" t="s">
        <v>16</v>
      </c>
      <c r="E9531" s="8" t="s">
        <v>17</v>
      </c>
      <c r="F9531" s="9">
        <v>46084.0</v>
      </c>
      <c r="G9531" s="8" t="s">
        <v>365</v>
      </c>
      <c r="H9531" s="8" t="s">
        <v>366</v>
      </c>
      <c r="I9531" s="8" t="s">
        <v>28455</v>
      </c>
      <c r="J9531" s="8" t="s">
        <v>28456</v>
      </c>
    </row>
    <row r="9532">
      <c r="A9532" s="7">
        <v>2.003584E7</v>
      </c>
      <c r="B9532" s="8" t="s">
        <v>1988</v>
      </c>
      <c r="C9532" s="8" t="s">
        <v>28457</v>
      </c>
      <c r="D9532" s="8" t="s">
        <v>16</v>
      </c>
      <c r="E9532" s="8" t="s">
        <v>17</v>
      </c>
      <c r="F9532" s="9">
        <v>46047.0</v>
      </c>
      <c r="G9532" s="8" t="s">
        <v>882</v>
      </c>
      <c r="H9532" s="8" t="s">
        <v>883</v>
      </c>
      <c r="I9532" s="8" t="s">
        <v>28458</v>
      </c>
      <c r="J9532" s="8" t="s">
        <v>28459</v>
      </c>
    </row>
    <row r="9533">
      <c r="A9533" s="7">
        <v>2.0056756E7</v>
      </c>
      <c r="B9533" s="8" t="s">
        <v>1988</v>
      </c>
      <c r="C9533" s="8" t="s">
        <v>28460</v>
      </c>
      <c r="D9533" s="8" t="s">
        <v>16</v>
      </c>
      <c r="E9533" s="8" t="s">
        <v>69</v>
      </c>
      <c r="F9533" s="9">
        <v>46179.0</v>
      </c>
      <c r="G9533" s="8" t="s">
        <v>763</v>
      </c>
      <c r="H9533" s="8" t="s">
        <v>764</v>
      </c>
      <c r="I9533" s="8" t="s">
        <v>28461</v>
      </c>
      <c r="J9533" s="8"/>
    </row>
    <row r="9534">
      <c r="A9534" s="7">
        <v>2.0054005E7</v>
      </c>
      <c r="B9534" s="8" t="s">
        <v>1988</v>
      </c>
      <c r="C9534" s="8" t="s">
        <v>28462</v>
      </c>
      <c r="D9534" s="8" t="s">
        <v>16</v>
      </c>
      <c r="E9534" s="8" t="s">
        <v>17</v>
      </c>
      <c r="F9534" s="9">
        <v>46152.0</v>
      </c>
      <c r="G9534" s="8" t="s">
        <v>2170</v>
      </c>
      <c r="H9534" s="8" t="s">
        <v>2171</v>
      </c>
      <c r="I9534" s="8" t="s">
        <v>28463</v>
      </c>
      <c r="J9534" s="8" t="s">
        <v>28464</v>
      </c>
    </row>
    <row r="9535">
      <c r="A9535" s="7">
        <v>2.0048881E7</v>
      </c>
      <c r="B9535" s="8" t="s">
        <v>1988</v>
      </c>
      <c r="C9535" s="8" t="s">
        <v>28465</v>
      </c>
      <c r="D9535" s="8" t="s">
        <v>16</v>
      </c>
      <c r="E9535" s="8" t="s">
        <v>17</v>
      </c>
      <c r="F9535" s="9">
        <v>46111.0</v>
      </c>
      <c r="G9535" s="8" t="s">
        <v>22142</v>
      </c>
      <c r="H9535" s="8" t="s">
        <v>22143</v>
      </c>
      <c r="I9535" s="8" t="s">
        <v>28466</v>
      </c>
      <c r="J9535" s="8" t="s">
        <v>28467</v>
      </c>
    </row>
    <row r="9536">
      <c r="A9536" s="7">
        <v>2.0043099E7</v>
      </c>
      <c r="B9536" s="8" t="s">
        <v>1988</v>
      </c>
      <c r="C9536" s="8" t="s">
        <v>28468</v>
      </c>
      <c r="D9536" s="8" t="s">
        <v>16</v>
      </c>
      <c r="E9536" s="8" t="s">
        <v>17</v>
      </c>
      <c r="F9536" s="9">
        <v>46092.0</v>
      </c>
      <c r="G9536" s="8" t="s">
        <v>28469</v>
      </c>
      <c r="H9536" s="8" t="s">
        <v>28470</v>
      </c>
      <c r="I9536" s="8" t="s">
        <v>28471</v>
      </c>
      <c r="J9536" s="8" t="s">
        <v>28472</v>
      </c>
    </row>
    <row r="9537">
      <c r="A9537" s="7">
        <v>2.0038058E7</v>
      </c>
      <c r="B9537" s="8" t="s">
        <v>1988</v>
      </c>
      <c r="C9537" s="8" t="s">
        <v>28473</v>
      </c>
      <c r="D9537" s="8" t="s">
        <v>16</v>
      </c>
      <c r="E9537" s="8" t="s">
        <v>17</v>
      </c>
      <c r="F9537" s="9">
        <v>46073.0</v>
      </c>
      <c r="G9537" s="8" t="s">
        <v>882</v>
      </c>
      <c r="H9537" s="8" t="s">
        <v>883</v>
      </c>
      <c r="I9537" s="8" t="s">
        <v>28474</v>
      </c>
      <c r="J9537" s="8" t="s">
        <v>28475</v>
      </c>
    </row>
    <row r="9538">
      <c r="A9538" s="7">
        <v>2.0057345E7</v>
      </c>
      <c r="B9538" s="8" t="s">
        <v>1988</v>
      </c>
      <c r="C9538" s="8" t="s">
        <v>28476</v>
      </c>
      <c r="D9538" s="8" t="s">
        <v>16</v>
      </c>
      <c r="E9538" s="8" t="s">
        <v>17</v>
      </c>
      <c r="F9538" s="9">
        <v>46192.0</v>
      </c>
      <c r="G9538" s="8" t="s">
        <v>390</v>
      </c>
      <c r="H9538" s="8" t="s">
        <v>391</v>
      </c>
      <c r="I9538" s="8" t="s">
        <v>28477</v>
      </c>
      <c r="J9538" s="8" t="s">
        <v>28478</v>
      </c>
    </row>
    <row r="9539">
      <c r="A9539" s="7">
        <v>2.0061674E7</v>
      </c>
      <c r="B9539" s="8" t="s">
        <v>1988</v>
      </c>
      <c r="C9539" s="8" t="s">
        <v>28479</v>
      </c>
      <c r="D9539" s="8" t="s">
        <v>16</v>
      </c>
      <c r="E9539" s="8" t="s">
        <v>17</v>
      </c>
      <c r="F9539" s="9">
        <v>46180.0</v>
      </c>
      <c r="G9539" s="8" t="s">
        <v>361</v>
      </c>
      <c r="H9539" s="8" t="s">
        <v>362</v>
      </c>
      <c r="I9539" s="8" t="s">
        <v>28480</v>
      </c>
      <c r="J9539" s="8" t="s">
        <v>28481</v>
      </c>
    </row>
    <row r="9540">
      <c r="A9540" s="7">
        <v>2.0049042E7</v>
      </c>
      <c r="B9540" s="8" t="s">
        <v>1988</v>
      </c>
      <c r="C9540" s="8" t="s">
        <v>28482</v>
      </c>
      <c r="D9540" s="8" t="s">
        <v>16</v>
      </c>
      <c r="E9540" s="8" t="s">
        <v>17</v>
      </c>
      <c r="F9540" s="9">
        <v>46117.0</v>
      </c>
      <c r="G9540" s="8" t="s">
        <v>365</v>
      </c>
      <c r="H9540" s="8" t="s">
        <v>366</v>
      </c>
      <c r="I9540" s="8" t="s">
        <v>28483</v>
      </c>
      <c r="J9540" s="8" t="s">
        <v>28484</v>
      </c>
    </row>
    <row r="9541">
      <c r="A9541" s="7">
        <v>2.0049485E7</v>
      </c>
      <c r="B9541" s="8" t="s">
        <v>1988</v>
      </c>
      <c r="C9541" s="8" t="s">
        <v>28485</v>
      </c>
      <c r="D9541" s="8" t="s">
        <v>16</v>
      </c>
      <c r="E9541" s="8" t="s">
        <v>17</v>
      </c>
      <c r="F9541" s="9">
        <v>46119.0</v>
      </c>
      <c r="G9541" s="8" t="s">
        <v>2479</v>
      </c>
      <c r="H9541" s="8" t="s">
        <v>2480</v>
      </c>
      <c r="I9541" s="8" t="s">
        <v>28486</v>
      </c>
      <c r="J9541" s="8" t="s">
        <v>28487</v>
      </c>
    </row>
    <row r="9542">
      <c r="A9542" s="7">
        <v>2.0043562E7</v>
      </c>
      <c r="B9542" s="8" t="s">
        <v>1988</v>
      </c>
      <c r="C9542" s="8" t="s">
        <v>28488</v>
      </c>
      <c r="D9542" s="8" t="s">
        <v>16</v>
      </c>
      <c r="E9542" s="8" t="s">
        <v>17</v>
      </c>
      <c r="F9542" s="9">
        <v>46082.0</v>
      </c>
      <c r="G9542" s="8" t="s">
        <v>1093</v>
      </c>
      <c r="H9542" s="8" t="s">
        <v>1094</v>
      </c>
      <c r="I9542" s="8" t="s">
        <v>28489</v>
      </c>
      <c r="J9542" s="8" t="s">
        <v>28490</v>
      </c>
    </row>
    <row r="9543">
      <c r="A9543" s="7">
        <v>2.0034222E7</v>
      </c>
      <c r="B9543" s="8" t="s">
        <v>1988</v>
      </c>
      <c r="C9543" s="8" t="s">
        <v>28491</v>
      </c>
      <c r="D9543" s="8" t="s">
        <v>16</v>
      </c>
      <c r="E9543" s="8" t="s">
        <v>17</v>
      </c>
      <c r="F9543" s="9">
        <v>46060.0</v>
      </c>
      <c r="G9543" s="8" t="s">
        <v>390</v>
      </c>
      <c r="H9543" s="8" t="s">
        <v>391</v>
      </c>
      <c r="I9543" s="8" t="s">
        <v>28492</v>
      </c>
      <c r="J9543" s="8" t="s">
        <v>28493</v>
      </c>
    </row>
    <row r="9544">
      <c r="A9544" s="7">
        <v>2.0029395E7</v>
      </c>
      <c r="B9544" s="8" t="s">
        <v>1988</v>
      </c>
      <c r="C9544" s="8" t="s">
        <v>28494</v>
      </c>
      <c r="D9544" s="8" t="s">
        <v>16</v>
      </c>
      <c r="E9544" s="8" t="s">
        <v>17</v>
      </c>
      <c r="F9544" s="9">
        <v>46061.0</v>
      </c>
      <c r="G9544" s="8" t="s">
        <v>390</v>
      </c>
      <c r="H9544" s="8" t="s">
        <v>391</v>
      </c>
      <c r="I9544" s="8" t="s">
        <v>28495</v>
      </c>
      <c r="J9544" s="8" t="s">
        <v>28496</v>
      </c>
    </row>
    <row r="9545">
      <c r="A9545" s="7">
        <v>2.0062025E7</v>
      </c>
      <c r="B9545" s="8" t="s">
        <v>1988</v>
      </c>
      <c r="C9545" s="8" t="s">
        <v>28497</v>
      </c>
      <c r="D9545" s="8" t="s">
        <v>16</v>
      </c>
      <c r="E9545" s="8" t="s">
        <v>17</v>
      </c>
      <c r="F9545" s="9">
        <v>46186.0</v>
      </c>
      <c r="G9545" s="8" t="s">
        <v>561</v>
      </c>
      <c r="H9545" s="8" t="s">
        <v>562</v>
      </c>
      <c r="I9545" s="8" t="s">
        <v>28498</v>
      </c>
      <c r="J9545" s="8" t="s">
        <v>28499</v>
      </c>
    </row>
    <row r="9546">
      <c r="A9546" s="7">
        <v>2.0053013E7</v>
      </c>
      <c r="B9546" s="8" t="s">
        <v>1988</v>
      </c>
      <c r="C9546" s="8" t="s">
        <v>28500</v>
      </c>
      <c r="D9546" s="8" t="s">
        <v>16</v>
      </c>
      <c r="E9546" s="8" t="s">
        <v>17</v>
      </c>
      <c r="F9546" s="9">
        <v>46136.0</v>
      </c>
      <c r="G9546" s="8" t="s">
        <v>361</v>
      </c>
      <c r="H9546" s="8" t="s">
        <v>362</v>
      </c>
      <c r="I9546" s="8" t="s">
        <v>28501</v>
      </c>
      <c r="J9546" s="8" t="s">
        <v>28502</v>
      </c>
    </row>
    <row r="9547">
      <c r="A9547" s="7">
        <v>2.0049566E7</v>
      </c>
      <c r="B9547" s="8" t="s">
        <v>1988</v>
      </c>
      <c r="C9547" s="8" t="s">
        <v>28503</v>
      </c>
      <c r="D9547" s="8" t="s">
        <v>16</v>
      </c>
      <c r="E9547" s="8" t="s">
        <v>700</v>
      </c>
      <c r="F9547" s="9">
        <v>46130.0</v>
      </c>
      <c r="G9547" s="8" t="s">
        <v>10160</v>
      </c>
      <c r="H9547" s="8" t="s">
        <v>10161</v>
      </c>
      <c r="I9547" s="8" t="s">
        <v>28504</v>
      </c>
      <c r="J9547" s="8" t="s">
        <v>28505</v>
      </c>
    </row>
    <row r="9548">
      <c r="A9548" s="7">
        <v>2.0045307E7</v>
      </c>
      <c r="B9548" s="8" t="s">
        <v>1988</v>
      </c>
      <c r="C9548" s="8" t="s">
        <v>28506</v>
      </c>
      <c r="D9548" s="8" t="s">
        <v>16</v>
      </c>
      <c r="E9548" s="8" t="s">
        <v>17</v>
      </c>
      <c r="F9548" s="9">
        <v>46117.0</v>
      </c>
      <c r="G9548" s="8" t="s">
        <v>1616</v>
      </c>
      <c r="H9548" s="8" t="s">
        <v>1617</v>
      </c>
      <c r="I9548" s="8" t="s">
        <v>28507</v>
      </c>
      <c r="J9548" s="8" t="s">
        <v>28508</v>
      </c>
    </row>
    <row r="9549">
      <c r="A9549" s="7">
        <v>2.0034323E7</v>
      </c>
      <c r="B9549" s="8" t="s">
        <v>1988</v>
      </c>
      <c r="C9549" s="8" t="s">
        <v>28509</v>
      </c>
      <c r="D9549" s="8" t="s">
        <v>16</v>
      </c>
      <c r="E9549" s="8" t="s">
        <v>17</v>
      </c>
      <c r="F9549" s="9">
        <v>46058.0</v>
      </c>
      <c r="G9549" s="8" t="s">
        <v>390</v>
      </c>
      <c r="H9549" s="8" t="s">
        <v>391</v>
      </c>
      <c r="I9549" s="8" t="s">
        <v>28510</v>
      </c>
      <c r="J9549" s="8" t="s">
        <v>28511</v>
      </c>
    </row>
    <row r="9550">
      <c r="A9550" s="7">
        <v>2.0051402E7</v>
      </c>
      <c r="B9550" s="8" t="s">
        <v>1988</v>
      </c>
      <c r="C9550" s="8" t="s">
        <v>28512</v>
      </c>
      <c r="D9550" s="8" t="s">
        <v>16</v>
      </c>
      <c r="E9550" s="8" t="s">
        <v>17</v>
      </c>
      <c r="F9550" s="9">
        <v>46134.0</v>
      </c>
      <c r="G9550" s="8" t="s">
        <v>12419</v>
      </c>
      <c r="H9550" s="8" t="s">
        <v>12420</v>
      </c>
      <c r="I9550" s="8" t="s">
        <v>28513</v>
      </c>
      <c r="J9550" s="8" t="s">
        <v>28514</v>
      </c>
    </row>
    <row r="9551">
      <c r="A9551" s="7">
        <v>2.0043729E7</v>
      </c>
      <c r="B9551" s="8" t="s">
        <v>1988</v>
      </c>
      <c r="C9551" s="8" t="s">
        <v>28515</v>
      </c>
      <c r="D9551" s="8" t="s">
        <v>16</v>
      </c>
      <c r="E9551" s="8" t="s">
        <v>17</v>
      </c>
      <c r="F9551" s="9">
        <v>46089.0</v>
      </c>
      <c r="G9551" s="8" t="s">
        <v>2511</v>
      </c>
      <c r="H9551" s="8" t="s">
        <v>2512</v>
      </c>
      <c r="I9551" s="8" t="s">
        <v>28516</v>
      </c>
      <c r="J9551" s="8" t="s">
        <v>28517</v>
      </c>
    </row>
    <row r="9552">
      <c r="A9552" s="7">
        <v>2.003095E7</v>
      </c>
      <c r="B9552" s="8" t="s">
        <v>1988</v>
      </c>
      <c r="C9552" s="8" t="s">
        <v>28518</v>
      </c>
      <c r="D9552" s="8" t="s">
        <v>16</v>
      </c>
      <c r="E9552" s="8" t="s">
        <v>17</v>
      </c>
      <c r="F9552" s="9">
        <v>46108.0</v>
      </c>
      <c r="G9552" s="8" t="s">
        <v>124</v>
      </c>
      <c r="H9552" s="8" t="s">
        <v>125</v>
      </c>
      <c r="I9552" s="8" t="s">
        <v>28519</v>
      </c>
      <c r="J9552" s="8" t="s">
        <v>28520</v>
      </c>
    </row>
    <row r="9553">
      <c r="A9553" s="7">
        <v>2.0042563E7</v>
      </c>
      <c r="B9553" s="8" t="s">
        <v>1988</v>
      </c>
      <c r="C9553" s="8" t="s">
        <v>28521</v>
      </c>
      <c r="D9553" s="8" t="s">
        <v>16</v>
      </c>
      <c r="E9553" s="8" t="s">
        <v>17</v>
      </c>
      <c r="F9553" s="9">
        <v>46095.0</v>
      </c>
      <c r="G9553" s="8" t="s">
        <v>171</v>
      </c>
      <c r="H9553" s="8" t="s">
        <v>172</v>
      </c>
      <c r="I9553" s="8" t="s">
        <v>28522</v>
      </c>
      <c r="J9553" s="8" t="s">
        <v>28523</v>
      </c>
    </row>
    <row r="9554">
      <c r="A9554" s="7">
        <v>2.003966E7</v>
      </c>
      <c r="B9554" s="8" t="s">
        <v>1988</v>
      </c>
      <c r="C9554" s="8" t="s">
        <v>28524</v>
      </c>
      <c r="D9554" s="8" t="s">
        <v>16</v>
      </c>
      <c r="E9554" s="8" t="s">
        <v>17</v>
      </c>
      <c r="F9554" s="9">
        <v>46077.0</v>
      </c>
      <c r="G9554" s="8" t="s">
        <v>1627</v>
      </c>
      <c r="H9554" s="8" t="s">
        <v>1628</v>
      </c>
      <c r="I9554" s="8" t="s">
        <v>28331</v>
      </c>
      <c r="J9554" s="8" t="s">
        <v>28525</v>
      </c>
    </row>
    <row r="9555">
      <c r="A9555" s="7">
        <v>2.0069468E7</v>
      </c>
      <c r="B9555" s="8" t="s">
        <v>1988</v>
      </c>
      <c r="C9555" s="8" t="s">
        <v>28526</v>
      </c>
      <c r="D9555" s="8" t="s">
        <v>16</v>
      </c>
      <c r="E9555" s="8" t="s">
        <v>17</v>
      </c>
      <c r="F9555" s="9">
        <v>46192.0</v>
      </c>
      <c r="G9555" s="8" t="s">
        <v>6235</v>
      </c>
      <c r="H9555" s="8" t="s">
        <v>6236</v>
      </c>
      <c r="I9555" s="8" t="s">
        <v>28527</v>
      </c>
      <c r="J9555" s="8" t="s">
        <v>28528</v>
      </c>
    </row>
    <row r="9556">
      <c r="A9556" s="7">
        <v>2.0060926E7</v>
      </c>
      <c r="B9556" s="8" t="s">
        <v>1988</v>
      </c>
      <c r="C9556" s="8" t="s">
        <v>28529</v>
      </c>
      <c r="D9556" s="8" t="s">
        <v>16</v>
      </c>
      <c r="E9556" s="8" t="s">
        <v>17</v>
      </c>
      <c r="F9556" s="9">
        <v>46185.0</v>
      </c>
      <c r="G9556" s="8" t="s">
        <v>390</v>
      </c>
      <c r="H9556" s="8" t="s">
        <v>391</v>
      </c>
      <c r="I9556" s="8" t="s">
        <v>28530</v>
      </c>
      <c r="J9556" s="8" t="s">
        <v>28531</v>
      </c>
    </row>
    <row r="9557">
      <c r="A9557" s="7">
        <v>2.0050413E7</v>
      </c>
      <c r="B9557" s="8" t="s">
        <v>1988</v>
      </c>
      <c r="C9557" s="8" t="s">
        <v>28532</v>
      </c>
      <c r="D9557" s="8" t="s">
        <v>16</v>
      </c>
      <c r="E9557" s="8" t="s">
        <v>17</v>
      </c>
      <c r="F9557" s="9">
        <v>46122.0</v>
      </c>
      <c r="G9557" s="8" t="s">
        <v>64</v>
      </c>
      <c r="H9557" s="8" t="s">
        <v>65</v>
      </c>
      <c r="I9557" s="8" t="s">
        <v>28533</v>
      </c>
      <c r="J9557" s="8" t="s">
        <v>28534</v>
      </c>
    </row>
    <row r="9558">
      <c r="A9558" s="7">
        <v>2.004317E7</v>
      </c>
      <c r="B9558" s="8" t="s">
        <v>1988</v>
      </c>
      <c r="C9558" s="8" t="s">
        <v>28535</v>
      </c>
      <c r="D9558" s="8" t="s">
        <v>16</v>
      </c>
      <c r="E9558" s="8" t="s">
        <v>17</v>
      </c>
      <c r="F9558" s="9">
        <v>46102.0</v>
      </c>
      <c r="G9558" s="8" t="s">
        <v>171</v>
      </c>
      <c r="H9558" s="8" t="s">
        <v>172</v>
      </c>
      <c r="I9558" s="8" t="s">
        <v>28536</v>
      </c>
      <c r="J9558" s="8" t="s">
        <v>28537</v>
      </c>
    </row>
    <row r="9559">
      <c r="A9559" s="7">
        <v>2.0056998E7</v>
      </c>
      <c r="B9559" s="8" t="s">
        <v>1988</v>
      </c>
      <c r="C9559" s="8" t="s">
        <v>28538</v>
      </c>
      <c r="D9559" s="8" t="s">
        <v>16</v>
      </c>
      <c r="E9559" s="8" t="s">
        <v>17</v>
      </c>
      <c r="F9559" s="9">
        <v>46155.0</v>
      </c>
      <c r="G9559" s="8" t="s">
        <v>171</v>
      </c>
      <c r="H9559" s="8" t="s">
        <v>172</v>
      </c>
      <c r="I9559" s="8" t="s">
        <v>28539</v>
      </c>
      <c r="J9559" s="8" t="s">
        <v>28540</v>
      </c>
    </row>
    <row r="9560">
      <c r="A9560" s="7">
        <v>2.0049812E7</v>
      </c>
      <c r="B9560" s="8" t="s">
        <v>1988</v>
      </c>
      <c r="C9560" s="8" t="s">
        <v>28541</v>
      </c>
      <c r="D9560" s="8" t="s">
        <v>16</v>
      </c>
      <c r="E9560" s="8" t="s">
        <v>17</v>
      </c>
      <c r="F9560" s="9">
        <v>46105.0</v>
      </c>
      <c r="G9560" s="8" t="s">
        <v>25166</v>
      </c>
      <c r="H9560" s="8" t="s">
        <v>25167</v>
      </c>
      <c r="I9560" s="8" t="s">
        <v>28542</v>
      </c>
      <c r="J9560" s="8" t="s">
        <v>28543</v>
      </c>
    </row>
    <row r="9561">
      <c r="A9561" s="7">
        <v>2.0043147E7</v>
      </c>
      <c r="B9561" s="8" t="s">
        <v>1988</v>
      </c>
      <c r="C9561" s="8" t="s">
        <v>28544</v>
      </c>
      <c r="D9561" s="8" t="s">
        <v>16</v>
      </c>
      <c r="E9561" s="8" t="s">
        <v>17</v>
      </c>
      <c r="F9561" s="9">
        <v>46081.0</v>
      </c>
      <c r="G9561" s="8" t="s">
        <v>882</v>
      </c>
      <c r="H9561" s="8" t="s">
        <v>883</v>
      </c>
      <c r="I9561" s="8" t="s">
        <v>28545</v>
      </c>
      <c r="J9561" s="8" t="s">
        <v>28546</v>
      </c>
    </row>
    <row r="9562">
      <c r="A9562" s="7">
        <v>2.0038838E7</v>
      </c>
      <c r="B9562" s="8" t="s">
        <v>1988</v>
      </c>
      <c r="C9562" s="8" t="s">
        <v>28547</v>
      </c>
      <c r="D9562" s="8" t="s">
        <v>16</v>
      </c>
      <c r="E9562" s="8" t="s">
        <v>17</v>
      </c>
      <c r="F9562" s="9">
        <v>46080.0</v>
      </c>
      <c r="G9562" s="8" t="s">
        <v>28548</v>
      </c>
      <c r="H9562" s="8" t="s">
        <v>28549</v>
      </c>
      <c r="I9562" s="8" t="s">
        <v>28550</v>
      </c>
      <c r="J9562" s="8" t="s">
        <v>28551</v>
      </c>
    </row>
    <row r="9563">
      <c r="A9563" s="7">
        <v>2.0033365E7</v>
      </c>
      <c r="B9563" s="8" t="s">
        <v>1988</v>
      </c>
      <c r="C9563" s="8" t="s">
        <v>28552</v>
      </c>
      <c r="D9563" s="8" t="s">
        <v>16</v>
      </c>
      <c r="E9563" s="8" t="s">
        <v>17</v>
      </c>
      <c r="F9563" s="9">
        <v>46070.0</v>
      </c>
      <c r="G9563" s="8" t="s">
        <v>171</v>
      </c>
      <c r="H9563" s="8" t="s">
        <v>172</v>
      </c>
      <c r="I9563" s="8" t="s">
        <v>28553</v>
      </c>
      <c r="J9563" s="8" t="s">
        <v>28554</v>
      </c>
    </row>
    <row r="9564">
      <c r="A9564" s="7">
        <v>2.0033418E7</v>
      </c>
      <c r="B9564" s="8" t="s">
        <v>1988</v>
      </c>
      <c r="C9564" s="8" t="s">
        <v>28555</v>
      </c>
      <c r="D9564" s="8" t="s">
        <v>16</v>
      </c>
      <c r="E9564" s="8" t="s">
        <v>17</v>
      </c>
      <c r="F9564" s="9">
        <v>46059.0</v>
      </c>
      <c r="G9564" s="8" t="s">
        <v>365</v>
      </c>
      <c r="H9564" s="8" t="s">
        <v>366</v>
      </c>
      <c r="I9564" s="8" t="s">
        <v>28556</v>
      </c>
      <c r="J9564" s="8" t="s">
        <v>28557</v>
      </c>
    </row>
    <row r="9565">
      <c r="A9565" s="7">
        <v>2.0053412E7</v>
      </c>
      <c r="B9565" s="8" t="s">
        <v>1988</v>
      </c>
      <c r="C9565" s="8" t="s">
        <v>28558</v>
      </c>
      <c r="D9565" s="8" t="s">
        <v>16</v>
      </c>
      <c r="E9565" s="8" t="s">
        <v>17</v>
      </c>
      <c r="F9565" s="9">
        <v>46143.0</v>
      </c>
      <c r="G9565" s="8" t="s">
        <v>1085</v>
      </c>
      <c r="H9565" s="8" t="s">
        <v>1086</v>
      </c>
      <c r="I9565" s="8" t="s">
        <v>28559</v>
      </c>
      <c r="J9565" s="8" t="s">
        <v>28560</v>
      </c>
    </row>
    <row r="9566">
      <c r="A9566" s="7">
        <v>2.0051667E7</v>
      </c>
      <c r="B9566" s="8" t="s">
        <v>1988</v>
      </c>
      <c r="C9566" s="8" t="s">
        <v>28561</v>
      </c>
      <c r="D9566" s="8" t="s">
        <v>16</v>
      </c>
      <c r="E9566" s="8" t="s">
        <v>17</v>
      </c>
      <c r="F9566" s="9">
        <v>46117.0</v>
      </c>
      <c r="G9566" s="8" t="s">
        <v>1045</v>
      </c>
      <c r="H9566" s="8" t="s">
        <v>909</v>
      </c>
      <c r="I9566" s="8" t="s">
        <v>28562</v>
      </c>
      <c r="J9566" s="8" t="s">
        <v>28563</v>
      </c>
    </row>
    <row r="9567">
      <c r="A9567" s="7">
        <v>2.0050964E7</v>
      </c>
      <c r="B9567" s="8" t="s">
        <v>1988</v>
      </c>
      <c r="C9567" s="8" t="s">
        <v>28564</v>
      </c>
      <c r="D9567" s="8" t="s">
        <v>16</v>
      </c>
      <c r="E9567" s="8" t="s">
        <v>17</v>
      </c>
      <c r="F9567" s="9">
        <v>46133.0</v>
      </c>
      <c r="G9567" s="8" t="s">
        <v>390</v>
      </c>
      <c r="H9567" s="8" t="s">
        <v>391</v>
      </c>
      <c r="I9567" s="8" t="s">
        <v>28565</v>
      </c>
      <c r="J9567" s="8" t="s">
        <v>28566</v>
      </c>
    </row>
    <row r="9568">
      <c r="A9568" s="7">
        <v>2.0049934E7</v>
      </c>
      <c r="B9568" s="8" t="s">
        <v>1988</v>
      </c>
      <c r="C9568" s="8" t="s">
        <v>28567</v>
      </c>
      <c r="D9568" s="8" t="s">
        <v>16</v>
      </c>
      <c r="E9568" s="8" t="s">
        <v>17</v>
      </c>
      <c r="F9568" s="9">
        <v>46116.0</v>
      </c>
      <c r="G9568" s="8" t="s">
        <v>59</v>
      </c>
      <c r="H9568" s="8" t="s">
        <v>60</v>
      </c>
      <c r="I9568" s="8" t="s">
        <v>28568</v>
      </c>
      <c r="J9568" s="8" t="s">
        <v>28569</v>
      </c>
    </row>
    <row r="9569">
      <c r="A9569" s="7">
        <v>2.0046943E7</v>
      </c>
      <c r="B9569" s="8" t="s">
        <v>1988</v>
      </c>
      <c r="C9569" s="8" t="s">
        <v>28570</v>
      </c>
      <c r="D9569" s="8" t="s">
        <v>16</v>
      </c>
      <c r="E9569" s="8" t="s">
        <v>17</v>
      </c>
      <c r="F9569" s="9">
        <v>46092.0</v>
      </c>
      <c r="G9569" s="8" t="s">
        <v>3812</v>
      </c>
      <c r="H9569" s="8" t="s">
        <v>3813</v>
      </c>
      <c r="I9569" s="8" t="s">
        <v>28571</v>
      </c>
      <c r="J9569" s="8" t="s">
        <v>28572</v>
      </c>
    </row>
    <row r="9570">
      <c r="A9570" s="7">
        <v>2.0046148E7</v>
      </c>
      <c r="B9570" s="8" t="s">
        <v>1988</v>
      </c>
      <c r="C9570" s="8" t="s">
        <v>28573</v>
      </c>
      <c r="D9570" s="8" t="s">
        <v>16</v>
      </c>
      <c r="E9570" s="8" t="s">
        <v>17</v>
      </c>
      <c r="F9570" s="9">
        <v>46094.0</v>
      </c>
      <c r="G9570" s="8" t="s">
        <v>365</v>
      </c>
      <c r="H9570" s="8" t="s">
        <v>366</v>
      </c>
      <c r="I9570" s="8" t="s">
        <v>28574</v>
      </c>
      <c r="J9570" s="8" t="s">
        <v>28575</v>
      </c>
    </row>
    <row r="9571">
      <c r="A9571" s="7">
        <v>2.0041735E7</v>
      </c>
      <c r="B9571" s="8" t="s">
        <v>1988</v>
      </c>
      <c r="C9571" s="8" t="s">
        <v>28576</v>
      </c>
      <c r="D9571" s="8" t="s">
        <v>16</v>
      </c>
      <c r="E9571" s="8" t="s">
        <v>17</v>
      </c>
      <c r="F9571" s="9">
        <v>46090.0</v>
      </c>
      <c r="G9571" s="8" t="s">
        <v>390</v>
      </c>
      <c r="H9571" s="8" t="s">
        <v>391</v>
      </c>
      <c r="I9571" s="8" t="s">
        <v>28577</v>
      </c>
      <c r="J9571" s="8" t="s">
        <v>28578</v>
      </c>
    </row>
    <row r="9572">
      <c r="A9572" s="7">
        <v>2.0038453E7</v>
      </c>
      <c r="B9572" s="8" t="s">
        <v>1988</v>
      </c>
      <c r="C9572" s="8" t="s">
        <v>28579</v>
      </c>
      <c r="D9572" s="8" t="s">
        <v>16</v>
      </c>
      <c r="E9572" s="8" t="s">
        <v>17</v>
      </c>
      <c r="F9572" s="9">
        <v>46059.0</v>
      </c>
      <c r="G9572" s="8" t="s">
        <v>365</v>
      </c>
      <c r="H9572" s="8" t="s">
        <v>366</v>
      </c>
      <c r="I9572" s="8" t="s">
        <v>28580</v>
      </c>
      <c r="J9572" s="8" t="s">
        <v>28581</v>
      </c>
    </row>
    <row r="9573">
      <c r="A9573" s="7">
        <v>2.0035231E7</v>
      </c>
      <c r="B9573" s="8" t="s">
        <v>1988</v>
      </c>
      <c r="C9573" s="8" t="s">
        <v>28582</v>
      </c>
      <c r="D9573" s="8" t="s">
        <v>16</v>
      </c>
      <c r="E9573" s="8" t="s">
        <v>17</v>
      </c>
      <c r="F9573" s="9">
        <v>46053.0</v>
      </c>
      <c r="G9573" s="8" t="s">
        <v>365</v>
      </c>
      <c r="H9573" s="8" t="s">
        <v>366</v>
      </c>
      <c r="I9573" s="8" t="s">
        <v>28583</v>
      </c>
      <c r="J9573" s="8" t="s">
        <v>28584</v>
      </c>
    </row>
    <row r="9574">
      <c r="A9574" s="7">
        <v>2.0057726E7</v>
      </c>
      <c r="B9574" s="8" t="s">
        <v>1988</v>
      </c>
      <c r="C9574" s="8" t="s">
        <v>28585</v>
      </c>
      <c r="D9574" s="8" t="s">
        <v>16</v>
      </c>
      <c r="E9574" s="8" t="s">
        <v>17</v>
      </c>
      <c r="F9574" s="9">
        <v>46159.0</v>
      </c>
      <c r="G9574" s="8" t="s">
        <v>91</v>
      </c>
      <c r="H9574" s="8" t="s">
        <v>92</v>
      </c>
      <c r="I9574" s="8" t="s">
        <v>28586</v>
      </c>
      <c r="J9574" s="8" t="s">
        <v>28587</v>
      </c>
    </row>
    <row r="9575">
      <c r="A9575" s="7">
        <v>2.0058973E7</v>
      </c>
      <c r="B9575" s="8" t="s">
        <v>1988</v>
      </c>
      <c r="C9575" s="8" t="s">
        <v>28588</v>
      </c>
      <c r="D9575" s="8" t="s">
        <v>16</v>
      </c>
      <c r="E9575" s="8" t="s">
        <v>17</v>
      </c>
      <c r="F9575" s="9">
        <v>46145.0</v>
      </c>
      <c r="G9575" s="8" t="s">
        <v>365</v>
      </c>
      <c r="H9575" s="8" t="s">
        <v>366</v>
      </c>
      <c r="I9575" s="8" t="s">
        <v>28589</v>
      </c>
      <c r="J9575" s="8" t="s">
        <v>28590</v>
      </c>
    </row>
    <row r="9576">
      <c r="A9576" s="7">
        <v>2.0054021E7</v>
      </c>
      <c r="B9576" s="8" t="s">
        <v>1988</v>
      </c>
      <c r="C9576" s="8" t="s">
        <v>28591</v>
      </c>
      <c r="D9576" s="8" t="s">
        <v>16</v>
      </c>
      <c r="E9576" s="8" t="s">
        <v>17</v>
      </c>
      <c r="F9576" s="9">
        <v>46137.0</v>
      </c>
      <c r="G9576" s="8" t="s">
        <v>390</v>
      </c>
      <c r="H9576" s="8" t="s">
        <v>391</v>
      </c>
      <c r="I9576" s="8" t="s">
        <v>28592</v>
      </c>
      <c r="J9576" s="8" t="s">
        <v>28593</v>
      </c>
    </row>
    <row r="9577">
      <c r="A9577" s="7">
        <v>2.0044171E7</v>
      </c>
      <c r="B9577" s="8" t="s">
        <v>1988</v>
      </c>
      <c r="C9577" s="8" t="s">
        <v>28594</v>
      </c>
      <c r="D9577" s="8" t="s">
        <v>16</v>
      </c>
      <c r="E9577" s="8" t="s">
        <v>17</v>
      </c>
      <c r="F9577" s="9">
        <v>46100.0</v>
      </c>
      <c r="G9577" s="8" t="s">
        <v>846</v>
      </c>
      <c r="H9577" s="8" t="s">
        <v>847</v>
      </c>
      <c r="I9577" s="8" t="s">
        <v>28595</v>
      </c>
      <c r="J9577" s="8" t="s">
        <v>28596</v>
      </c>
    </row>
    <row r="9578">
      <c r="A9578" s="7">
        <v>2.0040763E7</v>
      </c>
      <c r="B9578" s="8" t="s">
        <v>1988</v>
      </c>
      <c r="C9578" s="8" t="s">
        <v>28597</v>
      </c>
      <c r="D9578" s="8" t="s">
        <v>16</v>
      </c>
      <c r="E9578" s="8" t="s">
        <v>17</v>
      </c>
      <c r="F9578" s="9">
        <v>46067.0</v>
      </c>
      <c r="G9578" s="8" t="s">
        <v>1949</v>
      </c>
      <c r="H9578" s="8" t="s">
        <v>1950</v>
      </c>
      <c r="I9578" s="8" t="s">
        <v>28598</v>
      </c>
      <c r="J9578" s="8" t="s">
        <v>28599</v>
      </c>
    </row>
    <row r="9579">
      <c r="A9579" s="7">
        <v>2.0036761E7</v>
      </c>
      <c r="B9579" s="8" t="s">
        <v>1988</v>
      </c>
      <c r="C9579" s="8" t="s">
        <v>28600</v>
      </c>
      <c r="D9579" s="8" t="s">
        <v>16</v>
      </c>
      <c r="E9579" s="8" t="s">
        <v>17</v>
      </c>
      <c r="F9579" s="9">
        <v>46072.0</v>
      </c>
      <c r="G9579" s="8" t="s">
        <v>1627</v>
      </c>
      <c r="H9579" s="8" t="s">
        <v>1628</v>
      </c>
      <c r="I9579" s="8" t="s">
        <v>28601</v>
      </c>
      <c r="J9579" s="8" t="s">
        <v>3905</v>
      </c>
    </row>
    <row r="9580">
      <c r="A9580" s="7">
        <v>2.0035746E7</v>
      </c>
      <c r="B9580" s="8" t="s">
        <v>1988</v>
      </c>
      <c r="C9580" s="8" t="s">
        <v>28602</v>
      </c>
      <c r="D9580" s="8" t="s">
        <v>16</v>
      </c>
      <c r="E9580" s="8" t="s">
        <v>17</v>
      </c>
      <c r="F9580" s="9">
        <v>46060.0</v>
      </c>
      <c r="G9580" s="8" t="s">
        <v>64</v>
      </c>
      <c r="H9580" s="8" t="s">
        <v>65</v>
      </c>
      <c r="I9580" s="8" t="s">
        <v>28603</v>
      </c>
      <c r="J9580" s="8" t="s">
        <v>28604</v>
      </c>
    </row>
    <row r="9581">
      <c r="A9581" s="7">
        <v>2.0061978E7</v>
      </c>
      <c r="B9581" s="8" t="s">
        <v>1988</v>
      </c>
      <c r="C9581" s="8" t="s">
        <v>28605</v>
      </c>
      <c r="D9581" s="8" t="s">
        <v>16</v>
      </c>
      <c r="E9581" s="8" t="s">
        <v>17</v>
      </c>
      <c r="F9581" s="9">
        <v>46184.0</v>
      </c>
      <c r="G9581" s="8" t="s">
        <v>184</v>
      </c>
      <c r="H9581" s="8" t="s">
        <v>185</v>
      </c>
      <c r="I9581" s="8" t="s">
        <v>28606</v>
      </c>
      <c r="J9581" s="8" t="s">
        <v>28607</v>
      </c>
    </row>
    <row r="9582">
      <c r="A9582" s="7">
        <v>2.0056656E7</v>
      </c>
      <c r="B9582" s="8" t="s">
        <v>1988</v>
      </c>
      <c r="C9582" s="8" t="s">
        <v>28608</v>
      </c>
      <c r="D9582" s="8" t="s">
        <v>16</v>
      </c>
      <c r="E9582" s="8" t="s">
        <v>17</v>
      </c>
      <c r="F9582" s="9">
        <v>46149.0</v>
      </c>
      <c r="G9582" s="8" t="s">
        <v>378</v>
      </c>
      <c r="H9582" s="8" t="s">
        <v>379</v>
      </c>
      <c r="I9582" s="8" t="s">
        <v>28609</v>
      </c>
      <c r="J9582" s="8" t="s">
        <v>28610</v>
      </c>
    </row>
    <row r="9583">
      <c r="A9583" s="7">
        <v>2.0049153E7</v>
      </c>
      <c r="B9583" s="8" t="s">
        <v>1988</v>
      </c>
      <c r="C9583" s="8" t="s">
        <v>28611</v>
      </c>
      <c r="D9583" s="8" t="s">
        <v>16</v>
      </c>
      <c r="E9583" s="8" t="s">
        <v>17</v>
      </c>
      <c r="F9583" s="9">
        <v>46116.0</v>
      </c>
      <c r="G9583" s="8" t="s">
        <v>365</v>
      </c>
      <c r="H9583" s="8" t="s">
        <v>366</v>
      </c>
      <c r="I9583" s="8" t="s">
        <v>28612</v>
      </c>
      <c r="J9583" s="8" t="s">
        <v>28613</v>
      </c>
    </row>
    <row r="9584">
      <c r="A9584" s="7">
        <v>2.0047164E7</v>
      </c>
      <c r="B9584" s="8" t="s">
        <v>1988</v>
      </c>
      <c r="C9584" s="8" t="s">
        <v>28614</v>
      </c>
      <c r="D9584" s="8" t="s">
        <v>16</v>
      </c>
      <c r="E9584" s="8" t="s">
        <v>17</v>
      </c>
      <c r="F9584" s="9">
        <v>46113.0</v>
      </c>
      <c r="G9584" s="8" t="s">
        <v>436</v>
      </c>
      <c r="H9584" s="8" t="s">
        <v>437</v>
      </c>
      <c r="I9584" s="8" t="s">
        <v>28421</v>
      </c>
      <c r="J9584" s="8" t="s">
        <v>28615</v>
      </c>
    </row>
    <row r="9585">
      <c r="A9585" s="7">
        <v>2.0039924E7</v>
      </c>
      <c r="B9585" s="8" t="s">
        <v>1988</v>
      </c>
      <c r="C9585" s="8" t="s">
        <v>28616</v>
      </c>
      <c r="D9585" s="8" t="s">
        <v>16</v>
      </c>
      <c r="E9585" s="8" t="s">
        <v>17</v>
      </c>
      <c r="F9585" s="9">
        <v>46088.0</v>
      </c>
      <c r="G9585" s="8" t="s">
        <v>1754</v>
      </c>
      <c r="H9585" s="8" t="s">
        <v>1755</v>
      </c>
      <c r="I9585" s="8" t="s">
        <v>28617</v>
      </c>
      <c r="J9585" s="8" t="s">
        <v>28618</v>
      </c>
    </row>
    <row r="9586">
      <c r="A9586" s="7">
        <v>2.0037682E7</v>
      </c>
      <c r="B9586" s="8" t="s">
        <v>1988</v>
      </c>
      <c r="C9586" s="8" t="s">
        <v>28619</v>
      </c>
      <c r="D9586" s="8" t="s">
        <v>16</v>
      </c>
      <c r="E9586" s="8" t="s">
        <v>17</v>
      </c>
      <c r="F9586" s="9">
        <v>46072.0</v>
      </c>
      <c r="G9586" s="8" t="s">
        <v>2632</v>
      </c>
      <c r="H9586" s="8" t="s">
        <v>2633</v>
      </c>
      <c r="I9586" s="8" t="s">
        <v>28620</v>
      </c>
      <c r="J9586" s="8" t="s">
        <v>3848</v>
      </c>
    </row>
    <row r="9587">
      <c r="A9587" s="7">
        <v>2.0060507E7</v>
      </c>
      <c r="B9587" s="8" t="s">
        <v>1988</v>
      </c>
      <c r="C9587" s="8" t="s">
        <v>28621</v>
      </c>
      <c r="D9587" s="8" t="s">
        <v>16</v>
      </c>
      <c r="E9587" s="8" t="s">
        <v>17</v>
      </c>
      <c r="F9587" s="9">
        <v>46184.0</v>
      </c>
      <c r="G9587" s="8" t="s">
        <v>584</v>
      </c>
      <c r="H9587" s="8" t="s">
        <v>585</v>
      </c>
      <c r="I9587" s="8" t="s">
        <v>28622</v>
      </c>
      <c r="J9587" s="8" t="s">
        <v>28623</v>
      </c>
    </row>
    <row r="9588">
      <c r="A9588" s="7">
        <v>2.0052968E7</v>
      </c>
      <c r="B9588" s="8" t="s">
        <v>1988</v>
      </c>
      <c r="C9588" s="8" t="s">
        <v>28624</v>
      </c>
      <c r="D9588" s="8" t="s">
        <v>16</v>
      </c>
      <c r="E9588" s="8" t="s">
        <v>17</v>
      </c>
      <c r="F9588" s="9">
        <v>46120.0</v>
      </c>
      <c r="G9588" s="8" t="s">
        <v>220</v>
      </c>
      <c r="H9588" s="8" t="s">
        <v>221</v>
      </c>
      <c r="I9588" s="8" t="s">
        <v>28625</v>
      </c>
      <c r="J9588" s="8" t="s">
        <v>28626</v>
      </c>
    </row>
    <row r="9589">
      <c r="A9589" s="7">
        <v>2.0033646E7</v>
      </c>
      <c r="B9589" s="8" t="s">
        <v>1988</v>
      </c>
      <c r="C9589" s="8" t="s">
        <v>28627</v>
      </c>
      <c r="D9589" s="8" t="s">
        <v>16</v>
      </c>
      <c r="E9589" s="8" t="s">
        <v>48</v>
      </c>
      <c r="F9589" s="9">
        <v>46058.0</v>
      </c>
      <c r="G9589" s="8" t="s">
        <v>4170</v>
      </c>
      <c r="H9589" s="8" t="s">
        <v>1111</v>
      </c>
      <c r="I9589" s="8" t="s">
        <v>28628</v>
      </c>
      <c r="J9589" s="8" t="s">
        <v>28629</v>
      </c>
    </row>
    <row r="9590">
      <c r="A9590" s="7">
        <v>2.0063633E7</v>
      </c>
      <c r="B9590" s="8" t="s">
        <v>1988</v>
      </c>
      <c r="C9590" s="8" t="s">
        <v>28630</v>
      </c>
      <c r="D9590" s="8" t="s">
        <v>16</v>
      </c>
      <c r="E9590" s="8" t="s">
        <v>17</v>
      </c>
      <c r="F9590" s="9">
        <v>46170.0</v>
      </c>
      <c r="G9590" s="8" t="s">
        <v>59</v>
      </c>
      <c r="H9590" s="8" t="s">
        <v>60</v>
      </c>
      <c r="I9590" s="8" t="s">
        <v>28631</v>
      </c>
      <c r="J9590" s="8" t="s">
        <v>28632</v>
      </c>
    </row>
    <row r="9591">
      <c r="A9591" s="7">
        <v>2.0055223E7</v>
      </c>
      <c r="B9591" s="8" t="s">
        <v>1988</v>
      </c>
      <c r="C9591" s="8" t="s">
        <v>28633</v>
      </c>
      <c r="D9591" s="8" t="s">
        <v>16</v>
      </c>
      <c r="E9591" s="8" t="s">
        <v>17</v>
      </c>
      <c r="F9591" s="9">
        <v>46142.0</v>
      </c>
      <c r="G9591" s="8" t="s">
        <v>158</v>
      </c>
      <c r="H9591" s="8" t="s">
        <v>159</v>
      </c>
      <c r="I9591" s="8" t="s">
        <v>28634</v>
      </c>
      <c r="J9591" s="8" t="s">
        <v>28635</v>
      </c>
    </row>
    <row r="9592">
      <c r="A9592" s="7">
        <v>2.0051129E7</v>
      </c>
      <c r="B9592" s="8" t="s">
        <v>1988</v>
      </c>
      <c r="C9592" s="8" t="s">
        <v>28636</v>
      </c>
      <c r="D9592" s="8" t="s">
        <v>16</v>
      </c>
      <c r="E9592" s="8" t="s">
        <v>17</v>
      </c>
      <c r="F9592" s="9">
        <v>46109.0</v>
      </c>
      <c r="G9592" s="8" t="s">
        <v>365</v>
      </c>
      <c r="H9592" s="8" t="s">
        <v>366</v>
      </c>
      <c r="I9592" s="8" t="s">
        <v>28637</v>
      </c>
      <c r="J9592" s="8" t="s">
        <v>28638</v>
      </c>
    </row>
    <row r="9593">
      <c r="A9593" s="7">
        <v>2.0041027E7</v>
      </c>
      <c r="B9593" s="8" t="s">
        <v>1988</v>
      </c>
      <c r="C9593" s="8" t="s">
        <v>28639</v>
      </c>
      <c r="D9593" s="8" t="s">
        <v>16</v>
      </c>
      <c r="E9593" s="8" t="s">
        <v>17</v>
      </c>
      <c r="F9593" s="9">
        <v>46078.0</v>
      </c>
      <c r="G9593" s="8" t="s">
        <v>613</v>
      </c>
      <c r="H9593" s="8" t="s">
        <v>614</v>
      </c>
      <c r="I9593" s="8" t="s">
        <v>28640</v>
      </c>
      <c r="J9593" s="8" t="s">
        <v>28641</v>
      </c>
    </row>
    <row r="9594">
      <c r="A9594" s="7">
        <v>2.0036554E7</v>
      </c>
      <c r="B9594" s="8" t="s">
        <v>1988</v>
      </c>
      <c r="C9594" s="8" t="s">
        <v>28642</v>
      </c>
      <c r="D9594" s="8" t="s">
        <v>16</v>
      </c>
      <c r="E9594" s="8" t="s">
        <v>17</v>
      </c>
      <c r="F9594" s="9">
        <v>46057.0</v>
      </c>
      <c r="G9594" s="8" t="s">
        <v>59</v>
      </c>
      <c r="H9594" s="8" t="s">
        <v>60</v>
      </c>
      <c r="I9594" s="8" t="s">
        <v>28643</v>
      </c>
      <c r="J9594" s="8" t="s">
        <v>28644</v>
      </c>
    </row>
    <row r="9595">
      <c r="A9595" s="7">
        <v>2.0066521E7</v>
      </c>
      <c r="B9595" s="8" t="s">
        <v>1988</v>
      </c>
      <c r="C9595" s="8" t="s">
        <v>28645</v>
      </c>
      <c r="D9595" s="8" t="s">
        <v>16</v>
      </c>
      <c r="E9595" s="8" t="s">
        <v>17</v>
      </c>
      <c r="F9595" s="9">
        <v>46179.0</v>
      </c>
      <c r="G9595" s="8" t="s">
        <v>3572</v>
      </c>
      <c r="H9595" s="8" t="s">
        <v>3573</v>
      </c>
      <c r="I9595" s="8" t="s">
        <v>28646</v>
      </c>
      <c r="J9595" s="8" t="s">
        <v>28647</v>
      </c>
    </row>
    <row r="9596">
      <c r="A9596" s="7">
        <v>2.005909E7</v>
      </c>
      <c r="B9596" s="8" t="s">
        <v>1988</v>
      </c>
      <c r="C9596" s="8" t="s">
        <v>28648</v>
      </c>
      <c r="D9596" s="8" t="s">
        <v>16</v>
      </c>
      <c r="E9596" s="8" t="s">
        <v>17</v>
      </c>
      <c r="F9596" s="9">
        <v>46179.0</v>
      </c>
      <c r="G9596" s="8" t="s">
        <v>454</v>
      </c>
      <c r="H9596" s="8" t="s">
        <v>455</v>
      </c>
      <c r="I9596" s="8" t="s">
        <v>28649</v>
      </c>
      <c r="J9596" s="8" t="s">
        <v>28650</v>
      </c>
    </row>
    <row r="9597">
      <c r="A9597" s="7">
        <v>2.0052294E7</v>
      </c>
      <c r="B9597" s="8" t="s">
        <v>1988</v>
      </c>
      <c r="C9597" s="8" t="s">
        <v>28651</v>
      </c>
      <c r="D9597" s="8" t="s">
        <v>16</v>
      </c>
      <c r="E9597" s="8" t="s">
        <v>17</v>
      </c>
      <c r="F9597" s="9">
        <v>46150.0</v>
      </c>
      <c r="G9597" s="8" t="s">
        <v>594</v>
      </c>
      <c r="H9597" s="8" t="s">
        <v>595</v>
      </c>
      <c r="I9597" s="8" t="s">
        <v>28652</v>
      </c>
      <c r="J9597" s="8" t="s">
        <v>28653</v>
      </c>
    </row>
    <row r="9598">
      <c r="A9598" s="7">
        <v>2.0053504E7</v>
      </c>
      <c r="B9598" s="8" t="s">
        <v>1988</v>
      </c>
      <c r="C9598" s="8" t="s">
        <v>28654</v>
      </c>
      <c r="D9598" s="8" t="s">
        <v>16</v>
      </c>
      <c r="E9598" s="8" t="s">
        <v>17</v>
      </c>
      <c r="F9598" s="9">
        <v>46140.0</v>
      </c>
      <c r="G9598" s="8" t="s">
        <v>1085</v>
      </c>
      <c r="H9598" s="8" t="s">
        <v>1086</v>
      </c>
      <c r="I9598" s="8" t="s">
        <v>28655</v>
      </c>
      <c r="J9598" s="8" t="s">
        <v>28656</v>
      </c>
    </row>
    <row r="9599">
      <c r="A9599" s="7">
        <v>2.0031633E7</v>
      </c>
      <c r="B9599" s="8" t="s">
        <v>1988</v>
      </c>
      <c r="C9599" s="8" t="s">
        <v>28657</v>
      </c>
      <c r="D9599" s="8" t="s">
        <v>16</v>
      </c>
      <c r="E9599" s="8" t="s">
        <v>17</v>
      </c>
      <c r="F9599" s="9">
        <v>46065.0</v>
      </c>
      <c r="G9599" s="8" t="s">
        <v>137</v>
      </c>
      <c r="H9599" s="8" t="s">
        <v>138</v>
      </c>
      <c r="I9599" s="8" t="s">
        <v>28658</v>
      </c>
      <c r="J9599" s="8" t="s">
        <v>28659</v>
      </c>
    </row>
    <row r="9600">
      <c r="A9600" s="7">
        <v>2.0061997E7</v>
      </c>
      <c r="B9600" s="8" t="s">
        <v>1988</v>
      </c>
      <c r="C9600" s="8" t="s">
        <v>28660</v>
      </c>
      <c r="D9600" s="8" t="s">
        <v>16</v>
      </c>
      <c r="E9600" s="8" t="s">
        <v>17</v>
      </c>
      <c r="F9600" s="9">
        <v>46159.0</v>
      </c>
      <c r="G9600" s="8" t="s">
        <v>365</v>
      </c>
      <c r="H9600" s="8" t="s">
        <v>366</v>
      </c>
      <c r="I9600" s="8" t="s">
        <v>28661</v>
      </c>
      <c r="J9600" s="8" t="s">
        <v>28662</v>
      </c>
    </row>
    <row r="9601">
      <c r="A9601" s="7">
        <v>2.0060432E7</v>
      </c>
      <c r="B9601" s="8" t="s">
        <v>1988</v>
      </c>
      <c r="C9601" s="8" t="s">
        <v>28663</v>
      </c>
      <c r="D9601" s="8" t="s">
        <v>16</v>
      </c>
      <c r="E9601" s="8" t="s">
        <v>17</v>
      </c>
      <c r="F9601" s="9">
        <v>46152.0</v>
      </c>
      <c r="G9601" s="8" t="s">
        <v>59</v>
      </c>
      <c r="H9601" s="8" t="s">
        <v>60</v>
      </c>
      <c r="I9601" s="8" t="s">
        <v>28664</v>
      </c>
      <c r="J9601" s="8" t="s">
        <v>28665</v>
      </c>
    </row>
    <row r="9602">
      <c r="A9602" s="7">
        <v>2.0057983E7</v>
      </c>
      <c r="B9602" s="8" t="s">
        <v>1988</v>
      </c>
      <c r="C9602" s="8" t="s">
        <v>28666</v>
      </c>
      <c r="D9602" s="8" t="s">
        <v>16</v>
      </c>
      <c r="E9602" s="8" t="s">
        <v>17</v>
      </c>
      <c r="F9602" s="9">
        <v>46178.0</v>
      </c>
      <c r="G9602" s="8" t="s">
        <v>1427</v>
      </c>
      <c r="H9602" s="8" t="s">
        <v>1428</v>
      </c>
      <c r="I9602" s="8" t="s">
        <v>28667</v>
      </c>
      <c r="J9602" s="8" t="s">
        <v>28668</v>
      </c>
    </row>
    <row r="9603">
      <c r="A9603" s="7">
        <v>2.0055345E7</v>
      </c>
      <c r="B9603" s="8" t="s">
        <v>1988</v>
      </c>
      <c r="C9603" s="8" t="s">
        <v>28669</v>
      </c>
      <c r="D9603" s="8" t="s">
        <v>16</v>
      </c>
      <c r="E9603" s="8" t="s">
        <v>17</v>
      </c>
      <c r="F9603" s="9">
        <v>46143.0</v>
      </c>
      <c r="G9603" s="8" t="s">
        <v>158</v>
      </c>
      <c r="H9603" s="8" t="s">
        <v>159</v>
      </c>
      <c r="I9603" s="8" t="s">
        <v>28670</v>
      </c>
      <c r="J9603" s="8" t="s">
        <v>28671</v>
      </c>
    </row>
    <row r="9604">
      <c r="A9604" s="7">
        <v>2.0049482E7</v>
      </c>
      <c r="B9604" s="8" t="s">
        <v>1988</v>
      </c>
      <c r="C9604" s="8" t="s">
        <v>28672</v>
      </c>
      <c r="D9604" s="8" t="s">
        <v>16</v>
      </c>
      <c r="E9604" s="8" t="s">
        <v>17</v>
      </c>
      <c r="F9604" s="9">
        <v>46118.0</v>
      </c>
      <c r="G9604" s="8" t="s">
        <v>626</v>
      </c>
      <c r="H9604" s="8" t="s">
        <v>627</v>
      </c>
      <c r="I9604" s="8" t="s">
        <v>28673</v>
      </c>
      <c r="J9604" s="8" t="s">
        <v>28674</v>
      </c>
    </row>
    <row r="9605">
      <c r="A9605" s="7">
        <v>2.0038967E7</v>
      </c>
      <c r="B9605" s="8" t="s">
        <v>1988</v>
      </c>
      <c r="C9605" s="8" t="s">
        <v>28675</v>
      </c>
      <c r="D9605" s="8" t="s">
        <v>16</v>
      </c>
      <c r="E9605" s="8" t="s">
        <v>17</v>
      </c>
      <c r="F9605" s="9">
        <v>46081.0</v>
      </c>
      <c r="G9605" s="8" t="s">
        <v>1764</v>
      </c>
      <c r="H9605" s="8" t="s">
        <v>1765</v>
      </c>
      <c r="I9605" s="8" t="s">
        <v>28676</v>
      </c>
      <c r="J9605" s="8" t="s">
        <v>28677</v>
      </c>
    </row>
    <row r="9606">
      <c r="A9606" s="7">
        <v>2.0063128E7</v>
      </c>
      <c r="B9606" s="8" t="s">
        <v>1988</v>
      </c>
      <c r="C9606" s="8" t="s">
        <v>28678</v>
      </c>
      <c r="D9606" s="8" t="s">
        <v>16</v>
      </c>
      <c r="E9606" s="8" t="s">
        <v>17</v>
      </c>
      <c r="F9606" s="9">
        <v>46182.0</v>
      </c>
      <c r="G9606" s="8" t="s">
        <v>390</v>
      </c>
      <c r="H9606" s="8" t="s">
        <v>391</v>
      </c>
      <c r="I9606" s="8" t="s">
        <v>28679</v>
      </c>
      <c r="J9606" s="8" t="s">
        <v>28680</v>
      </c>
    </row>
    <row r="9607">
      <c r="A9607" s="7">
        <v>2.0047631E7</v>
      </c>
      <c r="B9607" s="8" t="s">
        <v>1988</v>
      </c>
      <c r="C9607" s="8" t="s">
        <v>28681</v>
      </c>
      <c r="D9607" s="8" t="s">
        <v>16</v>
      </c>
      <c r="E9607" s="8" t="s">
        <v>17</v>
      </c>
      <c r="F9607" s="9">
        <v>46109.0</v>
      </c>
      <c r="G9607" s="8" t="s">
        <v>390</v>
      </c>
      <c r="H9607" s="8" t="s">
        <v>391</v>
      </c>
      <c r="I9607" s="8" t="s">
        <v>28682</v>
      </c>
      <c r="J9607" s="8" t="s">
        <v>28683</v>
      </c>
    </row>
    <row r="9608">
      <c r="A9608" s="7">
        <v>2.0046429E7</v>
      </c>
      <c r="B9608" s="8" t="s">
        <v>1988</v>
      </c>
      <c r="C9608" s="8" t="s">
        <v>28684</v>
      </c>
      <c r="D9608" s="8" t="s">
        <v>16</v>
      </c>
      <c r="E9608" s="8" t="s">
        <v>17</v>
      </c>
      <c r="F9608" s="9">
        <v>46108.0</v>
      </c>
      <c r="G9608" s="8" t="s">
        <v>1085</v>
      </c>
      <c r="H9608" s="8" t="s">
        <v>1086</v>
      </c>
      <c r="I9608" s="8" t="s">
        <v>28685</v>
      </c>
      <c r="J9608" s="8" t="s">
        <v>28686</v>
      </c>
    </row>
    <row r="9609">
      <c r="A9609" s="7">
        <v>2.0046429E7</v>
      </c>
      <c r="B9609" s="8" t="s">
        <v>1988</v>
      </c>
      <c r="C9609" s="8" t="s">
        <v>28684</v>
      </c>
      <c r="D9609" s="8" t="s">
        <v>16</v>
      </c>
      <c r="E9609" s="8" t="s">
        <v>17</v>
      </c>
      <c r="F9609" s="9">
        <v>46108.0</v>
      </c>
      <c r="G9609" s="8" t="s">
        <v>11553</v>
      </c>
      <c r="H9609" s="8" t="s">
        <v>11554</v>
      </c>
      <c r="I9609" s="8" t="s">
        <v>28687</v>
      </c>
      <c r="J9609" s="8" t="s">
        <v>28688</v>
      </c>
    </row>
    <row r="9610">
      <c r="A9610" s="7">
        <v>2.0043091E7</v>
      </c>
      <c r="B9610" s="8" t="s">
        <v>1988</v>
      </c>
      <c r="C9610" s="8" t="s">
        <v>28689</v>
      </c>
      <c r="D9610" s="8" t="s">
        <v>16</v>
      </c>
      <c r="E9610" s="8" t="s">
        <v>17</v>
      </c>
      <c r="F9610" s="9">
        <v>46083.0</v>
      </c>
      <c r="G9610" s="8" t="s">
        <v>882</v>
      </c>
      <c r="H9610" s="8" t="s">
        <v>883</v>
      </c>
      <c r="I9610" s="8" t="s">
        <v>28690</v>
      </c>
      <c r="J9610" s="8" t="s">
        <v>28691</v>
      </c>
    </row>
    <row r="9611">
      <c r="A9611" s="7">
        <v>2.0041593E7</v>
      </c>
      <c r="B9611" s="8" t="s">
        <v>1988</v>
      </c>
      <c r="C9611" s="8" t="s">
        <v>28692</v>
      </c>
      <c r="D9611" s="8" t="s">
        <v>16</v>
      </c>
      <c r="E9611" s="8" t="s">
        <v>17</v>
      </c>
      <c r="F9611" s="9">
        <v>46096.0</v>
      </c>
      <c r="G9611" s="8" t="s">
        <v>16002</v>
      </c>
      <c r="H9611" s="8" t="s">
        <v>16003</v>
      </c>
      <c r="I9611" s="8" t="s">
        <v>28693</v>
      </c>
      <c r="J9611" s="8" t="s">
        <v>28694</v>
      </c>
    </row>
    <row r="9612">
      <c r="A9612" s="7">
        <v>2.0033371E7</v>
      </c>
      <c r="B9612" s="8" t="s">
        <v>1988</v>
      </c>
      <c r="C9612" s="8" t="s">
        <v>28695</v>
      </c>
      <c r="D9612" s="8" t="s">
        <v>16</v>
      </c>
      <c r="E9612" s="8" t="s">
        <v>17</v>
      </c>
      <c r="F9612" s="9">
        <v>46074.0</v>
      </c>
      <c r="G9612" s="8" t="s">
        <v>25072</v>
      </c>
      <c r="H9612" s="8" t="s">
        <v>25073</v>
      </c>
      <c r="I9612" s="8" t="s">
        <v>28696</v>
      </c>
      <c r="J9612" s="8" t="s">
        <v>28697</v>
      </c>
    </row>
    <row r="9613">
      <c r="A9613" s="7">
        <v>2.0057851E7</v>
      </c>
      <c r="B9613" s="8" t="s">
        <v>1988</v>
      </c>
      <c r="C9613" s="8" t="s">
        <v>28698</v>
      </c>
      <c r="D9613" s="8" t="s">
        <v>16</v>
      </c>
      <c r="E9613" s="8" t="s">
        <v>17</v>
      </c>
      <c r="F9613" s="9">
        <v>46175.0</v>
      </c>
      <c r="G9613" s="8" t="s">
        <v>75</v>
      </c>
      <c r="H9613" s="8" t="s">
        <v>76</v>
      </c>
      <c r="I9613" s="8" t="s">
        <v>28699</v>
      </c>
      <c r="J9613" s="8" t="s">
        <v>28700</v>
      </c>
    </row>
    <row r="9614">
      <c r="A9614" s="7">
        <v>2.0055959E7</v>
      </c>
      <c r="B9614" s="8" t="s">
        <v>1988</v>
      </c>
      <c r="C9614" s="8" t="s">
        <v>28701</v>
      </c>
      <c r="D9614" s="8" t="s">
        <v>16</v>
      </c>
      <c r="E9614" s="8" t="s">
        <v>17</v>
      </c>
      <c r="F9614" s="9">
        <v>46139.0</v>
      </c>
      <c r="G9614" s="8" t="s">
        <v>17041</v>
      </c>
      <c r="H9614" s="8" t="s">
        <v>17042</v>
      </c>
      <c r="I9614" s="8" t="s">
        <v>28702</v>
      </c>
      <c r="J9614" s="8"/>
    </row>
    <row r="9615">
      <c r="A9615" s="7">
        <v>2.0039648E7</v>
      </c>
      <c r="B9615" s="8" t="s">
        <v>1988</v>
      </c>
      <c r="C9615" s="8" t="s">
        <v>28703</v>
      </c>
      <c r="D9615" s="8" t="s">
        <v>16</v>
      </c>
      <c r="E9615" s="8" t="s">
        <v>17</v>
      </c>
      <c r="F9615" s="9">
        <v>46088.0</v>
      </c>
      <c r="G9615" s="8" t="s">
        <v>3140</v>
      </c>
      <c r="H9615" s="8" t="s">
        <v>3141</v>
      </c>
      <c r="I9615" s="8" t="s">
        <v>28704</v>
      </c>
      <c r="J9615" s="8" t="s">
        <v>28237</v>
      </c>
    </row>
    <row r="9616">
      <c r="A9616" s="7">
        <v>2.0037377E7</v>
      </c>
      <c r="B9616" s="8" t="s">
        <v>1988</v>
      </c>
      <c r="C9616" s="8" t="s">
        <v>28705</v>
      </c>
      <c r="D9616" s="8" t="s">
        <v>16</v>
      </c>
      <c r="E9616" s="8" t="s">
        <v>700</v>
      </c>
      <c r="F9616" s="9">
        <v>46081.0</v>
      </c>
      <c r="G9616" s="8" t="s">
        <v>486</v>
      </c>
      <c r="H9616" s="8" t="s">
        <v>487</v>
      </c>
      <c r="I9616" s="8" t="s">
        <v>28706</v>
      </c>
      <c r="J9616" s="8" t="s">
        <v>28707</v>
      </c>
    </row>
    <row r="9617">
      <c r="A9617" s="7">
        <v>2.0037377E7</v>
      </c>
      <c r="B9617" s="8" t="s">
        <v>1988</v>
      </c>
      <c r="C9617" s="8" t="s">
        <v>28705</v>
      </c>
      <c r="D9617" s="8" t="s">
        <v>16</v>
      </c>
      <c r="E9617" s="8" t="s">
        <v>700</v>
      </c>
      <c r="F9617" s="9">
        <v>46081.0</v>
      </c>
      <c r="G9617" s="8" t="s">
        <v>486</v>
      </c>
      <c r="H9617" s="8" t="s">
        <v>487</v>
      </c>
      <c r="I9617" s="8" t="s">
        <v>28708</v>
      </c>
      <c r="J9617" s="8" t="s">
        <v>28707</v>
      </c>
    </row>
    <row r="9618">
      <c r="A9618" s="7">
        <v>2.0028814E7</v>
      </c>
      <c r="B9618" s="8" t="s">
        <v>1988</v>
      </c>
      <c r="C9618" s="8" t="s">
        <v>28709</v>
      </c>
      <c r="D9618" s="8" t="s">
        <v>16</v>
      </c>
      <c r="E9618" s="8" t="s">
        <v>17</v>
      </c>
      <c r="F9618" s="9">
        <v>46061.0</v>
      </c>
      <c r="G9618" s="8" t="s">
        <v>2809</v>
      </c>
      <c r="H9618" s="8" t="s">
        <v>2810</v>
      </c>
      <c r="I9618" s="8" t="s">
        <v>28710</v>
      </c>
      <c r="J9618" s="8" t="s">
        <v>28711</v>
      </c>
    </row>
    <row r="9619">
      <c r="A9619" s="7">
        <v>2.0050837E7</v>
      </c>
      <c r="B9619" s="8" t="s">
        <v>1988</v>
      </c>
      <c r="C9619" s="8" t="s">
        <v>28712</v>
      </c>
      <c r="D9619" s="8" t="s">
        <v>16</v>
      </c>
      <c r="E9619" s="8" t="s">
        <v>17</v>
      </c>
      <c r="F9619" s="9">
        <v>46118.0</v>
      </c>
      <c r="G9619" s="8" t="s">
        <v>59</v>
      </c>
      <c r="H9619" s="8" t="s">
        <v>60</v>
      </c>
      <c r="I9619" s="8" t="s">
        <v>28713</v>
      </c>
      <c r="J9619" s="8" t="s">
        <v>28714</v>
      </c>
    </row>
    <row r="9620">
      <c r="A9620" s="7">
        <v>2.0046287E7</v>
      </c>
      <c r="B9620" s="8" t="s">
        <v>1988</v>
      </c>
      <c r="C9620" s="8" t="s">
        <v>28715</v>
      </c>
      <c r="D9620" s="8" t="s">
        <v>16</v>
      </c>
      <c r="E9620" s="8" t="s">
        <v>17</v>
      </c>
      <c r="F9620" s="9">
        <v>46096.0</v>
      </c>
      <c r="G9620" s="8" t="s">
        <v>365</v>
      </c>
      <c r="H9620" s="8" t="s">
        <v>366</v>
      </c>
      <c r="I9620" s="8" t="s">
        <v>28716</v>
      </c>
      <c r="J9620" s="8" t="s">
        <v>28717</v>
      </c>
    </row>
    <row r="9621">
      <c r="A9621" s="7">
        <v>2.0045302E7</v>
      </c>
      <c r="B9621" s="8" t="s">
        <v>1988</v>
      </c>
      <c r="C9621" s="8" t="s">
        <v>28718</v>
      </c>
      <c r="D9621" s="8" t="s">
        <v>16</v>
      </c>
      <c r="E9621" s="8" t="s">
        <v>17</v>
      </c>
      <c r="F9621" s="9">
        <v>46102.0</v>
      </c>
      <c r="G9621" s="8" t="s">
        <v>486</v>
      </c>
      <c r="H9621" s="8" t="s">
        <v>487</v>
      </c>
      <c r="I9621" s="8" t="s">
        <v>28719</v>
      </c>
      <c r="J9621" s="8" t="s">
        <v>28720</v>
      </c>
    </row>
    <row r="9622">
      <c r="A9622" s="7">
        <v>2.0044537E7</v>
      </c>
      <c r="B9622" s="8" t="s">
        <v>1988</v>
      </c>
      <c r="C9622" s="8" t="s">
        <v>28721</v>
      </c>
      <c r="D9622" s="8" t="s">
        <v>16</v>
      </c>
      <c r="E9622" s="8" t="s">
        <v>17</v>
      </c>
      <c r="F9622" s="9">
        <v>46101.0</v>
      </c>
      <c r="G9622" s="8" t="s">
        <v>158</v>
      </c>
      <c r="H9622" s="8" t="s">
        <v>159</v>
      </c>
      <c r="I9622" s="8" t="s">
        <v>28722</v>
      </c>
      <c r="J9622" s="8" t="s">
        <v>28723</v>
      </c>
    </row>
    <row r="9623">
      <c r="A9623" s="7">
        <v>2.0036548E7</v>
      </c>
      <c r="B9623" s="8" t="s">
        <v>1988</v>
      </c>
      <c r="C9623" s="8" t="s">
        <v>28724</v>
      </c>
      <c r="D9623" s="8" t="s">
        <v>16</v>
      </c>
      <c r="E9623" s="8" t="s">
        <v>17</v>
      </c>
      <c r="F9623" s="9">
        <v>46054.0</v>
      </c>
      <c r="G9623" s="8" t="s">
        <v>13940</v>
      </c>
      <c r="H9623" s="8" t="s">
        <v>13941</v>
      </c>
      <c r="I9623" s="8" t="s">
        <v>28725</v>
      </c>
      <c r="J9623" s="8" t="s">
        <v>28726</v>
      </c>
    </row>
    <row r="9624">
      <c r="A9624" s="7">
        <v>2.0056605E7</v>
      </c>
      <c r="B9624" s="8" t="s">
        <v>1988</v>
      </c>
      <c r="C9624" s="8" t="s">
        <v>28727</v>
      </c>
      <c r="D9624" s="8" t="s">
        <v>16</v>
      </c>
      <c r="E9624" s="8" t="s">
        <v>17</v>
      </c>
      <c r="F9624" s="9">
        <v>46153.0</v>
      </c>
      <c r="G9624" s="8" t="s">
        <v>109</v>
      </c>
      <c r="H9624" s="8" t="s">
        <v>110</v>
      </c>
      <c r="I9624" s="8" t="s">
        <v>28728</v>
      </c>
      <c r="J9624" s="8" t="s">
        <v>28729</v>
      </c>
    </row>
    <row r="9625">
      <c r="A9625" s="7">
        <v>2.0056814E7</v>
      </c>
      <c r="B9625" s="8" t="s">
        <v>1988</v>
      </c>
      <c r="C9625" s="8" t="s">
        <v>28730</v>
      </c>
      <c r="D9625" s="8" t="s">
        <v>16</v>
      </c>
      <c r="E9625" s="8" t="s">
        <v>17</v>
      </c>
      <c r="F9625" s="9">
        <v>46139.0</v>
      </c>
      <c r="G9625" s="8" t="s">
        <v>365</v>
      </c>
      <c r="H9625" s="8" t="s">
        <v>366</v>
      </c>
      <c r="I9625" s="8" t="s">
        <v>28731</v>
      </c>
      <c r="J9625" s="8" t="s">
        <v>28732</v>
      </c>
    </row>
    <row r="9626">
      <c r="A9626" s="7">
        <v>2.0049773E7</v>
      </c>
      <c r="B9626" s="8" t="s">
        <v>1988</v>
      </c>
      <c r="C9626" s="8" t="s">
        <v>28733</v>
      </c>
      <c r="D9626" s="8" t="s">
        <v>16</v>
      </c>
      <c r="E9626" s="8" t="s">
        <v>17</v>
      </c>
      <c r="F9626" s="9">
        <v>46115.0</v>
      </c>
      <c r="G9626" s="8" t="s">
        <v>365</v>
      </c>
      <c r="H9626" s="8" t="s">
        <v>366</v>
      </c>
      <c r="I9626" s="8" t="s">
        <v>28734</v>
      </c>
      <c r="J9626" s="8" t="s">
        <v>28735</v>
      </c>
    </row>
    <row r="9627">
      <c r="A9627" s="7">
        <v>2.0044173E7</v>
      </c>
      <c r="B9627" s="8" t="s">
        <v>1988</v>
      </c>
      <c r="C9627" s="8" t="s">
        <v>28736</v>
      </c>
      <c r="D9627" s="8" t="s">
        <v>16</v>
      </c>
      <c r="E9627" s="8" t="s">
        <v>17</v>
      </c>
      <c r="F9627" s="9">
        <v>46095.0</v>
      </c>
      <c r="G9627" s="8" t="s">
        <v>234</v>
      </c>
      <c r="H9627" s="8" t="s">
        <v>235</v>
      </c>
      <c r="I9627" s="8" t="s">
        <v>28737</v>
      </c>
      <c r="J9627" s="8" t="s">
        <v>28738</v>
      </c>
    </row>
    <row r="9628">
      <c r="A9628" s="7">
        <v>2.0069783E7</v>
      </c>
      <c r="B9628" s="8" t="s">
        <v>1988</v>
      </c>
      <c r="C9628" s="8" t="s">
        <v>28739</v>
      </c>
      <c r="D9628" s="8" t="s">
        <v>16</v>
      </c>
      <c r="E9628" s="8" t="s">
        <v>17</v>
      </c>
      <c r="F9628" s="9">
        <v>46191.0</v>
      </c>
      <c r="G9628" s="8" t="s">
        <v>59</v>
      </c>
      <c r="H9628" s="8" t="s">
        <v>60</v>
      </c>
      <c r="I9628" s="8" t="s">
        <v>28740</v>
      </c>
      <c r="J9628" s="8" t="s">
        <v>28741</v>
      </c>
    </row>
    <row r="9629">
      <c r="A9629" s="7">
        <v>2.005358E7</v>
      </c>
      <c r="B9629" s="8" t="s">
        <v>1988</v>
      </c>
      <c r="C9629" s="8" t="s">
        <v>28742</v>
      </c>
      <c r="D9629" s="8" t="s">
        <v>16</v>
      </c>
      <c r="E9629" s="8" t="s">
        <v>17</v>
      </c>
      <c r="F9629" s="9">
        <v>46120.0</v>
      </c>
      <c r="G9629" s="8" t="s">
        <v>365</v>
      </c>
      <c r="H9629" s="8" t="s">
        <v>366</v>
      </c>
      <c r="I9629" s="8" t="s">
        <v>28743</v>
      </c>
      <c r="J9629" s="8" t="s">
        <v>28744</v>
      </c>
    </row>
    <row r="9630">
      <c r="A9630" s="7">
        <v>2.0052624E7</v>
      </c>
      <c r="B9630" s="8" t="s">
        <v>1988</v>
      </c>
      <c r="C9630" s="8" t="s">
        <v>28745</v>
      </c>
      <c r="D9630" s="8" t="s">
        <v>16</v>
      </c>
      <c r="E9630" s="8" t="s">
        <v>17</v>
      </c>
      <c r="F9630" s="9">
        <v>46124.0</v>
      </c>
      <c r="G9630" s="8" t="s">
        <v>365</v>
      </c>
      <c r="H9630" s="8" t="s">
        <v>366</v>
      </c>
      <c r="I9630" s="8" t="s">
        <v>28746</v>
      </c>
      <c r="J9630" s="8" t="s">
        <v>28747</v>
      </c>
    </row>
    <row r="9631">
      <c r="A9631" s="7">
        <v>2.0040024E7</v>
      </c>
      <c r="B9631" s="8" t="s">
        <v>1988</v>
      </c>
      <c r="C9631" s="8" t="s">
        <v>28748</v>
      </c>
      <c r="D9631" s="8" t="s">
        <v>16</v>
      </c>
      <c r="E9631" s="8" t="s">
        <v>17</v>
      </c>
      <c r="F9631" s="9">
        <v>46097.0</v>
      </c>
      <c r="G9631" s="8" t="s">
        <v>436</v>
      </c>
      <c r="H9631" s="8" t="s">
        <v>437</v>
      </c>
      <c r="I9631" s="8" t="s">
        <v>28749</v>
      </c>
      <c r="J9631" s="8" t="s">
        <v>28750</v>
      </c>
    </row>
    <row r="9632">
      <c r="A9632" s="7">
        <v>2.0040946E7</v>
      </c>
      <c r="B9632" s="8" t="s">
        <v>1988</v>
      </c>
      <c r="C9632" s="8" t="s">
        <v>28751</v>
      </c>
      <c r="D9632" s="8" t="s">
        <v>16</v>
      </c>
      <c r="E9632" s="8" t="s">
        <v>17</v>
      </c>
      <c r="F9632" s="9">
        <v>46084.0</v>
      </c>
      <c r="G9632" s="8" t="s">
        <v>6072</v>
      </c>
      <c r="H9632" s="8" t="s">
        <v>6073</v>
      </c>
      <c r="I9632" s="8" t="s">
        <v>28752</v>
      </c>
      <c r="J9632" s="8" t="s">
        <v>28753</v>
      </c>
    </row>
    <row r="9633">
      <c r="A9633" s="7">
        <v>2.0059978E7</v>
      </c>
      <c r="B9633" s="8" t="s">
        <v>1988</v>
      </c>
      <c r="C9633" s="8" t="s">
        <v>28754</v>
      </c>
      <c r="D9633" s="8" t="s">
        <v>16</v>
      </c>
      <c r="E9633" s="8" t="s">
        <v>17</v>
      </c>
      <c r="F9633" s="9">
        <v>46186.0</v>
      </c>
      <c r="G9633" s="8" t="s">
        <v>3508</v>
      </c>
      <c r="H9633" s="8" t="s">
        <v>3509</v>
      </c>
      <c r="I9633" s="8" t="s">
        <v>28755</v>
      </c>
      <c r="J9633" s="8" t="s">
        <v>28756</v>
      </c>
    </row>
    <row r="9634">
      <c r="A9634" s="7">
        <v>2.0051136E7</v>
      </c>
      <c r="B9634" s="8" t="s">
        <v>1988</v>
      </c>
      <c r="C9634" s="8" t="s">
        <v>28757</v>
      </c>
      <c r="D9634" s="8" t="s">
        <v>16</v>
      </c>
      <c r="E9634" s="8" t="s">
        <v>17</v>
      </c>
      <c r="F9634" s="9">
        <v>46124.0</v>
      </c>
      <c r="G9634" s="8" t="s">
        <v>400</v>
      </c>
      <c r="H9634" s="8" t="s">
        <v>401</v>
      </c>
      <c r="I9634" s="8" t="s">
        <v>28758</v>
      </c>
      <c r="J9634" s="8" t="s">
        <v>28759</v>
      </c>
    </row>
    <row r="9635">
      <c r="A9635" s="7">
        <v>2.0052576E7</v>
      </c>
      <c r="B9635" s="8" t="s">
        <v>1988</v>
      </c>
      <c r="C9635" s="8" t="s">
        <v>28760</v>
      </c>
      <c r="D9635" s="8" t="s">
        <v>16</v>
      </c>
      <c r="E9635" s="8" t="s">
        <v>17</v>
      </c>
      <c r="F9635" s="9">
        <v>46139.0</v>
      </c>
      <c r="G9635" s="8" t="s">
        <v>5153</v>
      </c>
      <c r="H9635" s="8" t="s">
        <v>5154</v>
      </c>
      <c r="I9635" s="8" t="s">
        <v>28761</v>
      </c>
      <c r="J9635" s="8" t="s">
        <v>28762</v>
      </c>
    </row>
    <row r="9636">
      <c r="A9636" s="7">
        <v>2.0053228E7</v>
      </c>
      <c r="B9636" s="8" t="s">
        <v>1988</v>
      </c>
      <c r="C9636" s="8" t="s">
        <v>28763</v>
      </c>
      <c r="D9636" s="8" t="s">
        <v>16</v>
      </c>
      <c r="E9636" s="8" t="s">
        <v>17</v>
      </c>
      <c r="F9636" s="9">
        <v>46142.0</v>
      </c>
      <c r="G9636" s="8" t="s">
        <v>390</v>
      </c>
      <c r="H9636" s="8" t="s">
        <v>391</v>
      </c>
      <c r="I9636" s="8" t="s">
        <v>28764</v>
      </c>
      <c r="J9636" s="8" t="s">
        <v>28765</v>
      </c>
    </row>
    <row r="9637">
      <c r="A9637" s="7">
        <v>2.00505E7</v>
      </c>
      <c r="B9637" s="8" t="s">
        <v>1988</v>
      </c>
      <c r="C9637" s="8" t="s">
        <v>28766</v>
      </c>
      <c r="D9637" s="8" t="s">
        <v>16</v>
      </c>
      <c r="E9637" s="8" t="s">
        <v>17</v>
      </c>
      <c r="F9637" s="9">
        <v>46126.0</v>
      </c>
      <c r="G9637" s="8" t="s">
        <v>28767</v>
      </c>
      <c r="H9637" s="8" t="s">
        <v>28768</v>
      </c>
      <c r="I9637" s="8" t="s">
        <v>28769</v>
      </c>
      <c r="J9637" s="8" t="s">
        <v>28770</v>
      </c>
    </row>
    <row r="9638">
      <c r="A9638" s="7">
        <v>2.0047688E7</v>
      </c>
      <c r="B9638" s="8" t="s">
        <v>1988</v>
      </c>
      <c r="C9638" s="8" t="s">
        <v>28771</v>
      </c>
      <c r="D9638" s="8" t="s">
        <v>16</v>
      </c>
      <c r="E9638" s="8" t="s">
        <v>17</v>
      </c>
      <c r="F9638" s="9">
        <v>46109.0</v>
      </c>
      <c r="G9638" s="8" t="s">
        <v>6235</v>
      </c>
      <c r="H9638" s="8" t="s">
        <v>6236</v>
      </c>
      <c r="I9638" s="8" t="s">
        <v>28772</v>
      </c>
      <c r="J9638" s="8" t="s">
        <v>28773</v>
      </c>
    </row>
    <row r="9639">
      <c r="A9639" s="7">
        <v>2.0047682E7</v>
      </c>
      <c r="B9639" s="8" t="s">
        <v>1988</v>
      </c>
      <c r="C9639" s="8" t="s">
        <v>28774</v>
      </c>
      <c r="D9639" s="8" t="s">
        <v>16</v>
      </c>
      <c r="E9639" s="8" t="s">
        <v>17</v>
      </c>
      <c r="F9639" s="9">
        <v>46119.0</v>
      </c>
      <c r="G9639" s="8" t="s">
        <v>357</v>
      </c>
      <c r="H9639" s="8" t="s">
        <v>358</v>
      </c>
      <c r="I9639" s="8" t="s">
        <v>28775</v>
      </c>
      <c r="J9639" s="8" t="s">
        <v>28776</v>
      </c>
    </row>
    <row r="9640">
      <c r="A9640" s="7">
        <v>2.0045949E7</v>
      </c>
      <c r="B9640" s="8" t="s">
        <v>1988</v>
      </c>
      <c r="C9640" s="8" t="s">
        <v>28777</v>
      </c>
      <c r="D9640" s="8" t="s">
        <v>16</v>
      </c>
      <c r="E9640" s="8" t="s">
        <v>17</v>
      </c>
      <c r="F9640" s="9">
        <v>46117.0</v>
      </c>
      <c r="G9640" s="8" t="s">
        <v>721</v>
      </c>
      <c r="H9640" s="8" t="s">
        <v>722</v>
      </c>
      <c r="I9640" s="8" t="s">
        <v>28778</v>
      </c>
      <c r="J9640" s="8" t="s">
        <v>28779</v>
      </c>
    </row>
    <row r="9641">
      <c r="A9641" s="7">
        <v>2.0036969E7</v>
      </c>
      <c r="B9641" s="8" t="s">
        <v>1988</v>
      </c>
      <c r="C9641" s="8" t="s">
        <v>28780</v>
      </c>
      <c r="D9641" s="8" t="s">
        <v>16</v>
      </c>
      <c r="E9641" s="8" t="s">
        <v>17</v>
      </c>
      <c r="F9641" s="9">
        <v>46110.0</v>
      </c>
      <c r="G9641" s="8" t="s">
        <v>13352</v>
      </c>
      <c r="H9641" s="8" t="s">
        <v>13353</v>
      </c>
      <c r="I9641" s="8" t="s">
        <v>28781</v>
      </c>
      <c r="J9641" s="8" t="s">
        <v>28782</v>
      </c>
    </row>
    <row r="9642">
      <c r="A9642" s="7">
        <v>2.0036969E7</v>
      </c>
      <c r="B9642" s="8" t="s">
        <v>1988</v>
      </c>
      <c r="C9642" s="8" t="s">
        <v>28780</v>
      </c>
      <c r="D9642" s="8" t="s">
        <v>16</v>
      </c>
      <c r="E9642" s="8" t="s">
        <v>17</v>
      </c>
      <c r="F9642" s="9">
        <v>46110.0</v>
      </c>
      <c r="G9642" s="8" t="s">
        <v>13352</v>
      </c>
      <c r="H9642" s="8" t="s">
        <v>13353</v>
      </c>
      <c r="I9642" s="8" t="s">
        <v>28783</v>
      </c>
      <c r="J9642" s="8" t="s">
        <v>28782</v>
      </c>
    </row>
    <row r="9643">
      <c r="A9643" s="7">
        <v>2.0036969E7</v>
      </c>
      <c r="B9643" s="8" t="s">
        <v>1988</v>
      </c>
      <c r="C9643" s="8" t="s">
        <v>28780</v>
      </c>
      <c r="D9643" s="8" t="s">
        <v>16</v>
      </c>
      <c r="E9643" s="8" t="s">
        <v>17</v>
      </c>
      <c r="F9643" s="9">
        <v>46110.0</v>
      </c>
      <c r="G9643" s="8" t="s">
        <v>3172</v>
      </c>
      <c r="H9643" s="8" t="s">
        <v>120</v>
      </c>
      <c r="I9643" s="8" t="s">
        <v>28784</v>
      </c>
      <c r="J9643" s="8" t="s">
        <v>28785</v>
      </c>
    </row>
    <row r="9644">
      <c r="A9644" s="7">
        <v>2.003497E7</v>
      </c>
      <c r="B9644" s="8" t="s">
        <v>1988</v>
      </c>
      <c r="C9644" s="8" t="s">
        <v>28786</v>
      </c>
      <c r="D9644" s="8" t="s">
        <v>16</v>
      </c>
      <c r="E9644" s="8" t="s">
        <v>17</v>
      </c>
      <c r="F9644" s="9">
        <v>46063.0</v>
      </c>
      <c r="G9644" s="8" t="s">
        <v>436</v>
      </c>
      <c r="H9644" s="8" t="s">
        <v>437</v>
      </c>
      <c r="I9644" s="8" t="s">
        <v>28787</v>
      </c>
      <c r="J9644" s="8" t="s">
        <v>28788</v>
      </c>
    </row>
    <row r="9645">
      <c r="A9645" s="7">
        <v>2.0033055E7</v>
      </c>
      <c r="B9645" s="8" t="s">
        <v>1988</v>
      </c>
      <c r="C9645" s="8" t="s">
        <v>28789</v>
      </c>
      <c r="D9645" s="8" t="s">
        <v>16</v>
      </c>
      <c r="E9645" s="8" t="s">
        <v>17</v>
      </c>
      <c r="F9645" s="9">
        <v>46054.0</v>
      </c>
      <c r="G9645" s="8" t="s">
        <v>822</v>
      </c>
      <c r="H9645" s="8" t="s">
        <v>120</v>
      </c>
      <c r="I9645" s="8" t="s">
        <v>28790</v>
      </c>
      <c r="J9645" s="8" t="s">
        <v>28791</v>
      </c>
    </row>
  </sheetData>
  <mergeCells count="1">
    <mergeCell ref="A1:J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5.38"/>
    <col customWidth="1" min="3" max="3" width="38.0"/>
    <col customWidth="1" min="4" max="4" width="11.25"/>
    <col customWidth="1" min="5" max="5" width="59.13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3</v>
      </c>
      <c r="B2" s="6" t="s">
        <v>8</v>
      </c>
      <c r="C2" s="6" t="s">
        <v>13</v>
      </c>
      <c r="D2" s="6" t="s">
        <v>23</v>
      </c>
      <c r="E2" s="6" t="s">
        <v>24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" t="str">
        <f t="shared" ref="A3:A5856" si="1">TEXT(B3:B6356,"MMMM")</f>
        <v>April</v>
      </c>
      <c r="B3" s="10">
        <f>IFERROR(__xludf.DUMMYFUNCTION("IFERROR(CHOOSECOLS(FILTER(Masterlist!A3:J6356, ISNUMBER(SEARCH(""IPHONE"", Masterlist!H3:H6356))), 6, 2, 7, 8), ""No iPhones Found"")"),46123.0)</f>
        <v>46123</v>
      </c>
      <c r="C3" s="3" t="str">
        <f>IFERROR(__xludf.DUMMYFUNCTION("""COMPUTED_VALUE"""),"MOBILECARE - GLORIETTA 5")</f>
        <v>MOBILECARE - GLORIETTA 5</v>
      </c>
      <c r="D3" s="3" t="str">
        <f>IFERROR(__xludf.DUMMYFUNCTION("""COMPUTED_VALUE"""),"661-36918")</f>
        <v>661-36918</v>
      </c>
      <c r="E3" s="3" t="str">
        <f>IFERROR(__xludf.DUMMYFUNCTION("""COMPUTED_VALUE"""),"Battery, iPhone 15 Pro Max")</f>
        <v>Battery, iPhone 15 Pro Max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tr">
        <f t="shared" si="1"/>
        <v>April</v>
      </c>
      <c r="B4" s="11">
        <f>IFERROR(__xludf.DUMMYFUNCTION("""COMPUTED_VALUE"""),46117.0)</f>
        <v>46117</v>
      </c>
      <c r="C4" s="2" t="str">
        <f>IFERROR(__xludf.DUMMYFUNCTION("""COMPUTED_VALUE"""),"MOBILECARE - GLORIETTA 5")</f>
        <v>MOBILECARE - GLORIETTA 5</v>
      </c>
      <c r="D4" s="2" t="str">
        <f>IFERROR(__xludf.DUMMYFUNCTION("""COMPUTED_VALUE"""),"661-56050")</f>
        <v>661-56050</v>
      </c>
      <c r="E4" s="2" t="str">
        <f>IFERROR(__xludf.DUMMYFUNCTION("""COMPUTED_VALUE"""),"Display, iPhone 17 Pro Max")</f>
        <v>Display, iPhone 17 Pro Max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 t="str">
        <f t="shared" si="1"/>
        <v>February</v>
      </c>
      <c r="B5" s="11">
        <f>IFERROR(__xludf.DUMMYFUNCTION("""COMPUTED_VALUE"""),46058.0)</f>
        <v>46058</v>
      </c>
      <c r="C5" s="2" t="str">
        <f>IFERROR(__xludf.DUMMYFUNCTION("""COMPUTED_VALUE"""),"MOBILECARE - GLORIETTA 5")</f>
        <v>MOBILECARE - GLORIETTA 5</v>
      </c>
      <c r="D5" s="2" t="str">
        <f>IFERROR(__xludf.DUMMYFUNCTION("""COMPUTED_VALUE"""),"661-21991")</f>
        <v>661-21991</v>
      </c>
      <c r="E5" s="2" t="str">
        <f>IFERROR(__xludf.DUMMYFUNCTION("""COMPUTED_VALUE"""),"Battery, iPhone 13")</f>
        <v>Battery, iPhone 13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" t="str">
        <f t="shared" si="1"/>
        <v>January</v>
      </c>
      <c r="B6" s="11">
        <f>IFERROR(__xludf.DUMMYFUNCTION("""COMPUTED_VALUE"""),46033.0)</f>
        <v>46033</v>
      </c>
      <c r="C6" s="2" t="str">
        <f>IFERROR(__xludf.DUMMYFUNCTION("""COMPUTED_VALUE"""),"MOBILECARE - GLORIETTA 5")</f>
        <v>MOBILECARE - GLORIETTA 5</v>
      </c>
      <c r="D6" s="2" t="str">
        <f>IFERROR(__xludf.DUMMYFUNCTION("""COMPUTED_VALUE"""),"661-18428")</f>
        <v>661-18428</v>
      </c>
      <c r="E6" s="2" t="str">
        <f>IFERROR(__xludf.DUMMYFUNCTION("""COMPUTED_VALUE"""),"Battery, iPhone 12 Pro Max")</f>
        <v>Battery, iPhone 12 Pro Max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 t="str">
        <f t="shared" si="1"/>
        <v>January</v>
      </c>
      <c r="B7" s="11">
        <f>IFERROR(__xludf.DUMMYFUNCTION("""COMPUTED_VALUE"""),46038.0)</f>
        <v>46038</v>
      </c>
      <c r="C7" s="2" t="str">
        <f>IFERROR(__xludf.DUMMYFUNCTION("""COMPUTED_VALUE"""),"MOBILECARE - GLORIETTA 5")</f>
        <v>MOBILECARE - GLORIETTA 5</v>
      </c>
      <c r="D7" s="2" t="str">
        <f>IFERROR(__xludf.DUMMYFUNCTION("""COMPUTED_VALUE"""),"661-21991")</f>
        <v>661-21991</v>
      </c>
      <c r="E7" s="2" t="str">
        <f>IFERROR(__xludf.DUMMYFUNCTION("""COMPUTED_VALUE"""),"Battery, iPhone 13")</f>
        <v>Battery, iPhone 13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 t="str">
        <f t="shared" si="1"/>
        <v>January</v>
      </c>
      <c r="B8" s="11">
        <f>IFERROR(__xludf.DUMMYFUNCTION("""COMPUTED_VALUE"""),46049.0)</f>
        <v>46049</v>
      </c>
      <c r="C8" s="2" t="str">
        <f>IFERROR(__xludf.DUMMYFUNCTION("""COMPUTED_VALUE"""),"MOBILECARE - GLORIETTA 5")</f>
        <v>MOBILECARE - GLORIETTA 5</v>
      </c>
      <c r="D8" s="2" t="str">
        <f>IFERROR(__xludf.DUMMYFUNCTION("""COMPUTED_VALUE"""),"661-36918")</f>
        <v>661-36918</v>
      </c>
      <c r="E8" s="2" t="str">
        <f>IFERROR(__xludf.DUMMYFUNCTION("""COMPUTED_VALUE"""),"Battery, iPhone 15 Pro Max")</f>
        <v>Battery, iPhone 15 Pro Max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 t="str">
        <f t="shared" si="1"/>
        <v>January</v>
      </c>
      <c r="B9" s="11">
        <f>IFERROR(__xludf.DUMMYFUNCTION("""COMPUTED_VALUE"""),46049.0)</f>
        <v>46049</v>
      </c>
      <c r="C9" s="2" t="str">
        <f>IFERROR(__xludf.DUMMYFUNCTION("""COMPUTED_VALUE"""),"MOBILECARE - GLORIETTA 5")</f>
        <v>MOBILECARE - GLORIETTA 5</v>
      </c>
      <c r="D9" s="2" t="str">
        <f>IFERROR(__xludf.DUMMYFUNCTION("""COMPUTED_VALUE"""),"PP661-22985")</f>
        <v>PP661-22985</v>
      </c>
      <c r="E9" s="2" t="str">
        <f>IFERROR(__xludf.DUMMYFUNCTION("""COMPUTED_VALUE"""),"Midnight, 256 GB, iPhone 13, ROW, CI/AR, Philippines")</f>
        <v>Midnight, 256 GB, iPhone 13, ROW, CI/AR, Philippines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 t="str">
        <f t="shared" si="1"/>
        <v>January</v>
      </c>
      <c r="B10" s="11">
        <f>IFERROR(__xludf.DUMMYFUNCTION("""COMPUTED_VALUE"""),46036.0)</f>
        <v>46036</v>
      </c>
      <c r="C10" s="2" t="str">
        <f>IFERROR(__xludf.DUMMYFUNCTION("""COMPUTED_VALUE"""),"MOBILECARE - GLORIETTA 5")</f>
        <v>MOBILECARE - GLORIETTA 5</v>
      </c>
      <c r="D10" s="2" t="str">
        <f>IFERROR(__xludf.DUMMYFUNCTION("""COMPUTED_VALUE"""),"661-22309")</f>
        <v>661-22309</v>
      </c>
      <c r="E10" s="2" t="str">
        <f>IFERROR(__xludf.DUMMYFUNCTION("""COMPUTED_VALUE"""),"Display, iPhone 13 Pro Max")</f>
        <v>Display, iPhone 13 Pro Max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 t="str">
        <f t="shared" si="1"/>
        <v>January</v>
      </c>
      <c r="B11" s="11">
        <f>IFERROR(__xludf.DUMMYFUNCTION("""COMPUTED_VALUE"""),46038.0)</f>
        <v>46038</v>
      </c>
      <c r="C11" s="2" t="str">
        <f>IFERROR(__xludf.DUMMYFUNCTION("""COMPUTED_VALUE"""),"MOBILECARE - GLORIETTA 5")</f>
        <v>MOBILECARE - GLORIETTA 5</v>
      </c>
      <c r="D11" s="2" t="str">
        <f>IFERROR(__xludf.DUMMYFUNCTION("""COMPUTED_VALUE"""),"661-21991")</f>
        <v>661-21991</v>
      </c>
      <c r="E11" s="2" t="str">
        <f>IFERROR(__xludf.DUMMYFUNCTION("""COMPUTED_VALUE"""),"Battery, iPhone 13")</f>
        <v>Battery, iPhone 13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 t="str">
        <f t="shared" si="1"/>
        <v>January</v>
      </c>
      <c r="B12" s="11">
        <f>IFERROR(__xludf.DUMMYFUNCTION("""COMPUTED_VALUE"""),46041.0)</f>
        <v>46041</v>
      </c>
      <c r="C12" s="2" t="str">
        <f>IFERROR(__xludf.DUMMYFUNCTION("""COMPUTED_VALUE"""),"MOBILECARE - GLORIETTA 5")</f>
        <v>MOBILECARE - GLORIETTA 5</v>
      </c>
      <c r="D12" s="2" t="str">
        <f>IFERROR(__xludf.DUMMYFUNCTION("""COMPUTED_VALUE"""),"661-36913")</f>
        <v>661-36913</v>
      </c>
      <c r="E12" s="2" t="str">
        <f>IFERROR(__xludf.DUMMYFUNCTION("""COMPUTED_VALUE"""),"Natural Titanium, Millimeter Wave, Back Glass, iPhone 15 Pro Max")</f>
        <v>Natural Titanium, Millimeter Wave, Back Glass, iPhone 15 Pro Max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 t="str">
        <f t="shared" si="1"/>
        <v>January</v>
      </c>
      <c r="B13" s="11">
        <f>IFERROR(__xludf.DUMMYFUNCTION("""COMPUTED_VALUE"""),46031.0)</f>
        <v>46031</v>
      </c>
      <c r="C13" s="2" t="str">
        <f>IFERROR(__xludf.DUMMYFUNCTION("""COMPUTED_VALUE"""),"MOBILECARE - GLORIETTA 5")</f>
        <v>MOBILECARE - GLORIETTA 5</v>
      </c>
      <c r="D13" s="2" t="str">
        <f>IFERROR(__xludf.DUMMYFUNCTION("""COMPUTED_VALUE"""),"661-17920")</f>
        <v>661-17920</v>
      </c>
      <c r="E13" s="2" t="str">
        <f>IFERROR(__xludf.DUMMYFUNCTION("""COMPUTED_VALUE"""),"Battery, iPhone 12 and 12 Pro")</f>
        <v>Battery, iPhone 12 and 12 Pro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 t="str">
        <f t="shared" si="1"/>
        <v>January</v>
      </c>
      <c r="B14" s="11">
        <f>IFERROR(__xludf.DUMMYFUNCTION("""COMPUTED_VALUE"""),46048.0)</f>
        <v>46048</v>
      </c>
      <c r="C14" s="2" t="str">
        <f>IFERROR(__xludf.DUMMYFUNCTION("""COMPUTED_VALUE"""),"MOBILECARE - GLORIETTA 5")</f>
        <v>MOBILECARE - GLORIETTA 5</v>
      </c>
      <c r="D14" s="2" t="str">
        <f>IFERROR(__xludf.DUMMYFUNCTION("""COMPUTED_VALUE"""),"PP661-22980")</f>
        <v>PP661-22980</v>
      </c>
      <c r="E14" s="2" t="str">
        <f>IFERROR(__xludf.DUMMYFUNCTION("""COMPUTED_VALUE"""),"Midnight, 128 GB, iPhone 13, ROW, CI/AR, Philippines")</f>
        <v>Midnight, 128 GB, iPhone 13, ROW, CI/AR, Philippines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 t="str">
        <f t="shared" si="1"/>
        <v>January</v>
      </c>
      <c r="B15" s="11">
        <f>IFERROR(__xludf.DUMMYFUNCTION("""COMPUTED_VALUE"""),46035.0)</f>
        <v>46035</v>
      </c>
      <c r="C15" s="2" t="str">
        <f>IFERROR(__xludf.DUMMYFUNCTION("""COMPUTED_VALUE"""),"MOBILECARE - GLORIETTA 5")</f>
        <v>MOBILECARE - GLORIETTA 5</v>
      </c>
      <c r="D15" s="2" t="str">
        <f>IFERROR(__xludf.DUMMYFUNCTION("""COMPUTED_VALUE"""),"661-22309")</f>
        <v>661-22309</v>
      </c>
      <c r="E15" s="2" t="str">
        <f>IFERROR(__xludf.DUMMYFUNCTION("""COMPUTED_VALUE"""),"Display, iPhone 13 Pro Max")</f>
        <v>Display, iPhone 13 Pro Max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 t="str">
        <f t="shared" si="1"/>
        <v>January</v>
      </c>
      <c r="B16" s="11">
        <f>IFERROR(__xludf.DUMMYFUNCTION("""COMPUTED_VALUE"""),46043.0)</f>
        <v>46043</v>
      </c>
      <c r="C16" s="2" t="str">
        <f>IFERROR(__xludf.DUMMYFUNCTION("""COMPUTED_VALUE"""),"MOBILECARE - GLORIETTA 5")</f>
        <v>MOBILECARE - GLORIETTA 5</v>
      </c>
      <c r="D16" s="2" t="str">
        <f>IFERROR(__xludf.DUMMYFUNCTION("""COMPUTED_VALUE"""),"PP661-22981")</f>
        <v>PP661-22981</v>
      </c>
      <c r="E16" s="2" t="str">
        <f>IFERROR(__xludf.DUMMYFUNCTION("""COMPUTED_VALUE"""),"Starlight, 128 GB, iPhone 13, ROW, CI/AR, Philippines")</f>
        <v>Starlight, 128 GB, iPhone 13, ROW, CI/AR, Philippines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 t="str">
        <f t="shared" si="1"/>
        <v>January</v>
      </c>
      <c r="B17" s="11">
        <f>IFERROR(__xludf.DUMMYFUNCTION("""COMPUTED_VALUE"""),46028.0)</f>
        <v>46028</v>
      </c>
      <c r="C17" s="2" t="str">
        <f>IFERROR(__xludf.DUMMYFUNCTION("""COMPUTED_VALUE"""),"MOBILECARE - GLORIETTA 5")</f>
        <v>MOBILECARE - GLORIETTA 5</v>
      </c>
      <c r="D17" s="2" t="str">
        <f>IFERROR(__xludf.DUMMYFUNCTION("""COMPUTED_VALUE"""),"661-21991")</f>
        <v>661-21991</v>
      </c>
      <c r="E17" s="2" t="str">
        <f>IFERROR(__xludf.DUMMYFUNCTION("""COMPUTED_VALUE"""),"Battery, iPhone 13")</f>
        <v>Battery, iPhone 13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 t="str">
        <f t="shared" si="1"/>
        <v>January</v>
      </c>
      <c r="B18" s="11">
        <f>IFERROR(__xludf.DUMMYFUNCTION("""COMPUTED_VALUE"""),46035.0)</f>
        <v>46035</v>
      </c>
      <c r="C18" s="2" t="str">
        <f>IFERROR(__xludf.DUMMYFUNCTION("""COMPUTED_VALUE"""),"MOBILECARE - GLORIETTA 5")</f>
        <v>MOBILECARE - GLORIETTA 5</v>
      </c>
      <c r="D18" s="2" t="str">
        <f>IFERROR(__xludf.DUMMYFUNCTION("""COMPUTED_VALUE"""),"661-30373")</f>
        <v>661-30373</v>
      </c>
      <c r="E18" s="2" t="str">
        <f>IFERROR(__xludf.DUMMYFUNCTION("""COMPUTED_VALUE"""),"Battery, iPhone 14")</f>
        <v>Battery, iPhone 14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" t="str">
        <f t="shared" si="1"/>
        <v>January</v>
      </c>
      <c r="B19" s="11">
        <f>IFERROR(__xludf.DUMMYFUNCTION("""COMPUTED_VALUE"""),46042.0)</f>
        <v>46042</v>
      </c>
      <c r="C19" s="2" t="str">
        <f>IFERROR(__xludf.DUMMYFUNCTION("""COMPUTED_VALUE"""),"MOBILECARE - GLORIETTA 5")</f>
        <v>MOBILECARE - GLORIETTA 5</v>
      </c>
      <c r="D19" s="2" t="str">
        <f>IFERROR(__xludf.DUMMYFUNCTION("""COMPUTED_VALUE"""),"PP661-22986")</f>
        <v>PP661-22986</v>
      </c>
      <c r="E19" s="2" t="str">
        <f>IFERROR(__xludf.DUMMYFUNCTION("""COMPUTED_VALUE"""),"Starlight, 256 GB, iPhone 13, ROW, CI/AR, Philippines")</f>
        <v>Starlight, 256 GB, iPhone 13, ROW, CI/AR, Philippines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 t="str">
        <f t="shared" si="1"/>
        <v>January</v>
      </c>
      <c r="B20" s="11">
        <f>IFERROR(__xludf.DUMMYFUNCTION("""COMPUTED_VALUE"""),46031.0)</f>
        <v>46031</v>
      </c>
      <c r="C20" s="2" t="str">
        <f>IFERROR(__xludf.DUMMYFUNCTION("""COMPUTED_VALUE"""),"MOBILECARE - GLORIETTA 5")</f>
        <v>MOBILECARE - GLORIETTA 5</v>
      </c>
      <c r="D20" s="2" t="str">
        <f>IFERROR(__xludf.DUMMYFUNCTION("""COMPUTED_VALUE"""),"661-22309")</f>
        <v>661-22309</v>
      </c>
      <c r="E20" s="2" t="str">
        <f>IFERROR(__xludf.DUMMYFUNCTION("""COMPUTED_VALUE"""),"Display, iPhone 13 Pro Max")</f>
        <v>Display, iPhone 13 Pro Max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" t="str">
        <f t="shared" si="1"/>
        <v>January</v>
      </c>
      <c r="B21" s="11">
        <f>IFERROR(__xludf.DUMMYFUNCTION("""COMPUTED_VALUE"""),46030.0)</f>
        <v>46030</v>
      </c>
      <c r="C21" s="2" t="str">
        <f>IFERROR(__xludf.DUMMYFUNCTION("""COMPUTED_VALUE"""),"MOBILECARE - GLORIETTA 5")</f>
        <v>MOBILECARE - GLORIETTA 5</v>
      </c>
      <c r="D21" s="2" t="str">
        <f>IFERROR(__xludf.DUMMYFUNCTION("""COMPUTED_VALUE"""),"661-22309")</f>
        <v>661-22309</v>
      </c>
      <c r="E21" s="2" t="str">
        <f>IFERROR(__xludf.DUMMYFUNCTION("""COMPUTED_VALUE"""),"Display, iPhone 13 Pro Max")</f>
        <v>Display, iPhone 13 Pro Max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" t="str">
        <f t="shared" si="1"/>
        <v>January</v>
      </c>
      <c r="B22" s="11">
        <f>IFERROR(__xludf.DUMMYFUNCTION("""COMPUTED_VALUE"""),46026.0)</f>
        <v>46026</v>
      </c>
      <c r="C22" s="2" t="str">
        <f>IFERROR(__xludf.DUMMYFUNCTION("""COMPUTED_VALUE"""),"MOBILECARE - GLORIETTA 5")</f>
        <v>MOBILECARE - GLORIETTA 5</v>
      </c>
      <c r="D22" s="2" t="str">
        <f>IFERROR(__xludf.DUMMYFUNCTION("""COMPUTED_VALUE"""),"661-21991")</f>
        <v>661-21991</v>
      </c>
      <c r="E22" s="2" t="str">
        <f>IFERROR(__xludf.DUMMYFUNCTION("""COMPUTED_VALUE"""),"Battery, iPhone 13")</f>
        <v>Battery, iPhone 13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" t="str">
        <f t="shared" si="1"/>
        <v>January</v>
      </c>
      <c r="B23" s="11">
        <f>IFERROR(__xludf.DUMMYFUNCTION("""COMPUTED_VALUE"""),46028.0)</f>
        <v>46028</v>
      </c>
      <c r="C23" s="2" t="str">
        <f>IFERROR(__xludf.DUMMYFUNCTION("""COMPUTED_VALUE"""),"MOBILECARE - GLORIETTA 5")</f>
        <v>MOBILECARE - GLORIETTA 5</v>
      </c>
      <c r="D23" s="2" t="str">
        <f>IFERROR(__xludf.DUMMYFUNCTION("""COMPUTED_VALUE"""),"661-13574")</f>
        <v>661-13574</v>
      </c>
      <c r="E23" s="2" t="str">
        <f>IFERROR(__xludf.DUMMYFUNCTION("""COMPUTED_VALUE"""),"Battery, iPhone 11")</f>
        <v>Battery, iPhone 11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0" t="str">
        <f t="shared" si="1"/>
        <v>January</v>
      </c>
      <c r="B24" s="11">
        <f>IFERROR(__xludf.DUMMYFUNCTION("""COMPUTED_VALUE"""),46030.0)</f>
        <v>46030</v>
      </c>
      <c r="C24" s="2" t="str">
        <f>IFERROR(__xludf.DUMMYFUNCTION("""COMPUTED_VALUE"""),"MOBILECARE - GLORIETTA 5")</f>
        <v>MOBILECARE - GLORIETTA 5</v>
      </c>
      <c r="D24" s="2" t="str">
        <f>IFERROR(__xludf.DUMMYFUNCTION("""COMPUTED_VALUE"""),"661-17920")</f>
        <v>661-17920</v>
      </c>
      <c r="E24" s="2" t="str">
        <f>IFERROR(__xludf.DUMMYFUNCTION("""COMPUTED_VALUE"""),"Battery, iPhone 12 and 12 Pro")</f>
        <v>Battery, iPhone 12 and 12 Pro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" t="str">
        <f t="shared" si="1"/>
        <v>January</v>
      </c>
      <c r="B25" s="11">
        <f>IFERROR(__xludf.DUMMYFUNCTION("""COMPUTED_VALUE"""),46039.0)</f>
        <v>46039</v>
      </c>
      <c r="C25" s="2" t="str">
        <f>IFERROR(__xludf.DUMMYFUNCTION("""COMPUTED_VALUE"""),"MOBILECARE - GLORIETTA 5")</f>
        <v>MOBILECARE - GLORIETTA 5</v>
      </c>
      <c r="D25" s="2" t="str">
        <f>IFERROR(__xludf.DUMMYFUNCTION("""COMPUTED_VALUE"""),"PP661-22981")</f>
        <v>PP661-22981</v>
      </c>
      <c r="E25" s="2" t="str">
        <f>IFERROR(__xludf.DUMMYFUNCTION("""COMPUTED_VALUE"""),"Starlight, 128 GB, iPhone 13, ROW, CI/AR, Philippines")</f>
        <v>Starlight, 128 GB, iPhone 13, ROW, CI/AR, Philippines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" t="str">
        <f t="shared" si="1"/>
        <v>January</v>
      </c>
      <c r="B26" s="11">
        <f>IFERROR(__xludf.DUMMYFUNCTION("""COMPUTED_VALUE"""),46038.0)</f>
        <v>46038</v>
      </c>
      <c r="C26" s="2" t="str">
        <f>IFERROR(__xludf.DUMMYFUNCTION("""COMPUTED_VALUE"""),"MOBILECARE - GLORIETTA 5")</f>
        <v>MOBILECARE - GLORIETTA 5</v>
      </c>
      <c r="D26" s="2" t="str">
        <f>IFERROR(__xludf.DUMMYFUNCTION("""COMPUTED_VALUE"""),"PP661-22980")</f>
        <v>PP661-22980</v>
      </c>
      <c r="E26" s="2" t="str">
        <f>IFERROR(__xludf.DUMMYFUNCTION("""COMPUTED_VALUE"""),"Midnight, 128 GB, iPhone 13, ROW, CI/AR, Philippines")</f>
        <v>Midnight, 128 GB, iPhone 13, ROW, CI/AR, Philippines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" t="str">
        <f t="shared" si="1"/>
        <v>January</v>
      </c>
      <c r="B27" s="11">
        <f>IFERROR(__xludf.DUMMYFUNCTION("""COMPUTED_VALUE"""),46035.0)</f>
        <v>46035</v>
      </c>
      <c r="C27" s="2" t="str">
        <f>IFERROR(__xludf.DUMMYFUNCTION("""COMPUTED_VALUE"""),"MOBILECARE - GLORIETTA 5")</f>
        <v>MOBILECARE - GLORIETTA 5</v>
      </c>
      <c r="D27" s="2" t="str">
        <f>IFERROR(__xludf.DUMMYFUNCTION("""COMPUTED_VALUE"""),"661-21991")</f>
        <v>661-21991</v>
      </c>
      <c r="E27" s="2" t="str">
        <f>IFERROR(__xludf.DUMMYFUNCTION("""COMPUTED_VALUE"""),"Battery, iPhone 13")</f>
        <v>Battery, iPhone 13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" t="str">
        <f t="shared" si="1"/>
        <v>January</v>
      </c>
      <c r="B28" s="11">
        <f>IFERROR(__xludf.DUMMYFUNCTION("""COMPUTED_VALUE"""),46025.0)</f>
        <v>46025</v>
      </c>
      <c r="C28" s="2" t="str">
        <f>IFERROR(__xludf.DUMMYFUNCTION("""COMPUTED_VALUE"""),"MOBILECARE - GLORIETTA 5")</f>
        <v>MOBILECARE - GLORIETTA 5</v>
      </c>
      <c r="D28" s="2" t="str">
        <f>IFERROR(__xludf.DUMMYFUNCTION("""COMPUTED_VALUE"""),"661-42726")</f>
        <v>661-42726</v>
      </c>
      <c r="E28" s="2" t="str">
        <f>IFERROR(__xludf.DUMMYFUNCTION("""COMPUTED_VALUE"""),"Display, iPhone 16 Pro")</f>
        <v>Display, iPhone 16 Pro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0" t="str">
        <f t="shared" si="1"/>
        <v>January</v>
      </c>
      <c r="B29" s="11">
        <f>IFERROR(__xludf.DUMMYFUNCTION("""COMPUTED_VALUE"""),46030.0)</f>
        <v>46030</v>
      </c>
      <c r="C29" s="2" t="str">
        <f>IFERROR(__xludf.DUMMYFUNCTION("""COMPUTED_VALUE"""),"MOBILECARE - GLORIETTA 5")</f>
        <v>MOBILECARE - GLORIETTA 5</v>
      </c>
      <c r="D29" s="2" t="str">
        <f>IFERROR(__xludf.DUMMYFUNCTION("""COMPUTED_VALUE"""),"661-36906")</f>
        <v>661-36906</v>
      </c>
      <c r="E29" s="2" t="str">
        <f>IFERROR(__xludf.DUMMYFUNCTION("""COMPUTED_VALUE"""),"Camera , iPhone 15 Pro Max")</f>
        <v>Camera , iPhone 15 Pro Max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" t="str">
        <f t="shared" si="1"/>
        <v>January</v>
      </c>
      <c r="B30" s="11">
        <f>IFERROR(__xludf.DUMMYFUNCTION("""COMPUTED_VALUE"""),46030.0)</f>
        <v>46030</v>
      </c>
      <c r="C30" s="2" t="str">
        <f>IFERROR(__xludf.DUMMYFUNCTION("""COMPUTED_VALUE"""),"MOBILECARE - GLORIETTA 5")</f>
        <v>MOBILECARE - GLORIETTA 5</v>
      </c>
      <c r="D30" s="2" t="str">
        <f>IFERROR(__xludf.DUMMYFUNCTION("""COMPUTED_VALUE"""),"661-36916")</f>
        <v>661-36916</v>
      </c>
      <c r="E30" s="2" t="str">
        <f>IFERROR(__xludf.DUMMYFUNCTION("""COMPUTED_VALUE"""),"TrueDepth Camera, iPhone 15 Pro Max")</f>
        <v>TrueDepth Camera, iPhone 15 Pro Max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" t="str">
        <f t="shared" si="1"/>
        <v>January</v>
      </c>
      <c r="B31" s="11">
        <f>IFERROR(__xludf.DUMMYFUNCTION("""COMPUTED_VALUE"""),46028.0)</f>
        <v>46028</v>
      </c>
      <c r="C31" s="2" t="str">
        <f>IFERROR(__xludf.DUMMYFUNCTION("""COMPUTED_VALUE"""),"MOBILECARE - GLORIETTA 5")</f>
        <v>MOBILECARE - GLORIETTA 5</v>
      </c>
      <c r="D31" s="2" t="str">
        <f>IFERROR(__xludf.DUMMYFUNCTION("""COMPUTED_VALUE"""),"661-30397")</f>
        <v>661-30397</v>
      </c>
      <c r="E31" s="2" t="str">
        <f>IFERROR(__xludf.DUMMYFUNCTION("""COMPUTED_VALUE"""),"Battery, iPhone 14 Pro Max")</f>
        <v>Battery, iPhone 14 Pro Max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" t="str">
        <f t="shared" si="1"/>
        <v>January</v>
      </c>
      <c r="B32" s="11">
        <f>IFERROR(__xludf.DUMMYFUNCTION("""COMPUTED_VALUE"""),46027.0)</f>
        <v>46027</v>
      </c>
      <c r="C32" s="2" t="str">
        <f>IFERROR(__xludf.DUMMYFUNCTION("""COMPUTED_VALUE"""),"MOBILECARE - GLORIETTA 5")</f>
        <v>MOBILECARE - GLORIETTA 5</v>
      </c>
      <c r="D32" s="2" t="str">
        <f>IFERROR(__xludf.DUMMYFUNCTION("""COMPUTED_VALUE"""),"661-30382")</f>
        <v>661-30382</v>
      </c>
      <c r="E32" s="2" t="str">
        <f>IFERROR(__xludf.DUMMYFUNCTION("""COMPUTED_VALUE"""),"Battery, iPhone 14 Pro")</f>
        <v>Battery, iPhone 14 Pro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" t="str">
        <f t="shared" si="1"/>
        <v>January</v>
      </c>
      <c r="B33" s="11">
        <f>IFERROR(__xludf.DUMMYFUNCTION("""COMPUTED_VALUE"""),46032.0)</f>
        <v>46032</v>
      </c>
      <c r="C33" s="2" t="str">
        <f>IFERROR(__xludf.DUMMYFUNCTION("""COMPUTED_VALUE"""),"MOBILECARE - GLORIETTA 5")</f>
        <v>MOBILECARE - GLORIETTA 5</v>
      </c>
      <c r="D33" s="2" t="str">
        <f>IFERROR(__xludf.DUMMYFUNCTION("""COMPUTED_VALUE"""),"661-22309")</f>
        <v>661-22309</v>
      </c>
      <c r="E33" s="2" t="str">
        <f>IFERROR(__xludf.DUMMYFUNCTION("""COMPUTED_VALUE"""),"Display, iPhone 13 Pro Max")</f>
        <v>Display, iPhone 13 Pro Max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0" t="str">
        <f t="shared" si="1"/>
        <v>January</v>
      </c>
      <c r="B34" s="11">
        <f>IFERROR(__xludf.DUMMYFUNCTION("""COMPUTED_VALUE"""),46027.0)</f>
        <v>46027</v>
      </c>
      <c r="C34" s="2" t="str">
        <f>IFERROR(__xludf.DUMMYFUNCTION("""COMPUTED_VALUE"""),"MOBILECARE - GLORIETTA 5")</f>
        <v>MOBILECARE - GLORIETTA 5</v>
      </c>
      <c r="D34" s="2" t="str">
        <f>IFERROR(__xludf.DUMMYFUNCTION("""COMPUTED_VALUE"""),"661-42726")</f>
        <v>661-42726</v>
      </c>
      <c r="E34" s="2" t="str">
        <f>IFERROR(__xludf.DUMMYFUNCTION("""COMPUTED_VALUE"""),"Display, iPhone 16 Pro")</f>
        <v>Display, iPhone 16 Pro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" t="str">
        <f t="shared" si="1"/>
        <v>January</v>
      </c>
      <c r="B35" s="11">
        <f>IFERROR(__xludf.DUMMYFUNCTION("""COMPUTED_VALUE"""),46029.0)</f>
        <v>46029</v>
      </c>
      <c r="C35" s="2" t="str">
        <f>IFERROR(__xludf.DUMMYFUNCTION("""COMPUTED_VALUE"""),"MOBILECARE - GLORIETTA 5")</f>
        <v>MOBILECARE - GLORIETTA 5</v>
      </c>
      <c r="D35" s="2" t="str">
        <f>IFERROR(__xludf.DUMMYFUNCTION("""COMPUTED_VALUE"""),"661-30397")</f>
        <v>661-30397</v>
      </c>
      <c r="E35" s="2" t="str">
        <f>IFERROR(__xludf.DUMMYFUNCTION("""COMPUTED_VALUE"""),"Battery, iPhone 14 Pro Max")</f>
        <v>Battery, iPhone 14 Pro Max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" t="str">
        <f t="shared" si="1"/>
        <v>January</v>
      </c>
      <c r="B36" s="11">
        <f>IFERROR(__xludf.DUMMYFUNCTION("""COMPUTED_VALUE"""),46025.0)</f>
        <v>46025</v>
      </c>
      <c r="C36" s="2" t="str">
        <f>IFERROR(__xludf.DUMMYFUNCTION("""COMPUTED_VALUE"""),"MOBILECARE - GLORIETTA 5")</f>
        <v>MOBILECARE - GLORIETTA 5</v>
      </c>
      <c r="D36" s="2" t="str">
        <f>IFERROR(__xludf.DUMMYFUNCTION("""COMPUTED_VALUE"""),"661-42727")</f>
        <v>661-42727</v>
      </c>
      <c r="E36" s="2" t="str">
        <f>IFERROR(__xludf.DUMMYFUNCTION("""COMPUTED_VALUE"""),"TrueDepth Camera, iPhone 16 Pro")</f>
        <v>TrueDepth Camera, iPhone 16 Pro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" t="str">
        <f t="shared" si="1"/>
        <v>January</v>
      </c>
      <c r="B37" s="11">
        <f>IFERROR(__xludf.DUMMYFUNCTION("""COMPUTED_VALUE"""),46025.0)</f>
        <v>46025</v>
      </c>
      <c r="C37" s="2" t="str">
        <f>IFERROR(__xludf.DUMMYFUNCTION("""COMPUTED_VALUE"""),"MOBILECARE - GLORIETTA 5")</f>
        <v>MOBILECARE - GLORIETTA 5</v>
      </c>
      <c r="D37" s="2" t="str">
        <f>IFERROR(__xludf.DUMMYFUNCTION("""COMPUTED_VALUE"""),"661-42728")</f>
        <v>661-42728</v>
      </c>
      <c r="E37" s="2" t="str">
        <f>IFERROR(__xludf.DUMMYFUNCTION("""COMPUTED_VALUE"""),"Camera, iPhone 16 Pro")</f>
        <v>Camera, iPhone 16 Pro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0" t="str">
        <f t="shared" si="1"/>
        <v>January</v>
      </c>
      <c r="B38" s="11">
        <f>IFERROR(__xludf.DUMMYFUNCTION("""COMPUTED_VALUE"""),46036.0)</f>
        <v>46036</v>
      </c>
      <c r="C38" s="2" t="str">
        <f>IFERROR(__xludf.DUMMYFUNCTION("""COMPUTED_VALUE"""),"MOBILECARE - GLORIETTA 5")</f>
        <v>MOBILECARE - GLORIETTA 5</v>
      </c>
      <c r="D38" s="2" t="str">
        <f>IFERROR(__xludf.DUMMYFUNCTION("""COMPUTED_VALUE"""),"PP661-22986")</f>
        <v>PP661-22986</v>
      </c>
      <c r="E38" s="2" t="str">
        <f>IFERROR(__xludf.DUMMYFUNCTION("""COMPUTED_VALUE"""),"Starlight, 256 GB, iPhone 13, ROW, CI/AR, Philippines")</f>
        <v>Starlight, 256 GB, iPhone 13, ROW, CI/AR, Philippines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" t="str">
        <f t="shared" si="1"/>
        <v>March</v>
      </c>
      <c r="B39" s="11">
        <f>IFERROR(__xludf.DUMMYFUNCTION("""COMPUTED_VALUE"""),46098.0)</f>
        <v>46098</v>
      </c>
      <c r="C39" s="2" t="str">
        <f>IFERROR(__xludf.DUMMYFUNCTION("""COMPUTED_VALUE"""),"MOBILECARE - GLORIETTA 5")</f>
        <v>MOBILECARE - GLORIETTA 5</v>
      </c>
      <c r="D39" s="2" t="str">
        <f>IFERROR(__xludf.DUMMYFUNCTION("""COMPUTED_VALUE"""),"923-10996")</f>
        <v>923-10996</v>
      </c>
      <c r="E39" s="2" t="str">
        <f>IFERROR(__xludf.DUMMYFUNCTION("""COMPUTED_VALUE"""),"Top Speaker, iPhone 16 Plus, non MMwave")</f>
        <v>Top Speaker, iPhone 16 Plus, non MMwave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" t="str">
        <f t="shared" si="1"/>
        <v>June</v>
      </c>
      <c r="B40" s="11">
        <f>IFERROR(__xludf.DUMMYFUNCTION("""COMPUTED_VALUE"""),46187.0)</f>
        <v>46187</v>
      </c>
      <c r="C40" s="2" t="str">
        <f>IFERROR(__xludf.DUMMYFUNCTION("""COMPUTED_VALUE"""),"MOBILECARE - DAVAO")</f>
        <v>MOBILECARE - DAVAO</v>
      </c>
      <c r="D40" s="2" t="str">
        <f>IFERROR(__xludf.DUMMYFUNCTION("""COMPUTED_VALUE"""),"TA661-36896")</f>
        <v>TA661-36896</v>
      </c>
      <c r="E40" s="2" t="str">
        <f>IFERROR(__xludf.DUMMYFUNCTION("""COMPUTED_VALUE"""),"Natural, iPhone 15 Pro Max, 256GB, ROW, CI/AR, Taiwan")</f>
        <v>Natural, iPhone 15 Pro Max, 256GB, ROW, CI/AR, Taiwan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" t="str">
        <f t="shared" si="1"/>
        <v>April</v>
      </c>
      <c r="B41" s="11">
        <f>IFERROR(__xludf.DUMMYFUNCTION("""COMPUTED_VALUE"""),46141.0)</f>
        <v>46141</v>
      </c>
      <c r="C41" s="2" t="str">
        <f>IFERROR(__xludf.DUMMYFUNCTION("""COMPUTED_VALUE"""),"MOBILECARE - DAVAO")</f>
        <v>MOBILECARE - DAVAO</v>
      </c>
      <c r="D41" s="2" t="str">
        <f>IFERROR(__xludf.DUMMYFUNCTION("""COMPUTED_VALUE"""),"661-21996")</f>
        <v>661-21996</v>
      </c>
      <c r="E41" s="2" t="str">
        <f>IFERROR(__xludf.DUMMYFUNCTION("""COMPUTED_VALUE"""),"Battery, iPhone 13 Pro")</f>
        <v>Battery, iPhone 13 Pro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0" t="str">
        <f t="shared" si="1"/>
        <v>May</v>
      </c>
      <c r="B42" s="11">
        <f>IFERROR(__xludf.DUMMYFUNCTION("""COMPUTED_VALUE"""),46158.0)</f>
        <v>46158</v>
      </c>
      <c r="C42" s="2" t="str">
        <f>IFERROR(__xludf.DUMMYFUNCTION("""COMPUTED_VALUE"""),"MOBILECARE - DAVAO")</f>
        <v>MOBILECARE - DAVAO</v>
      </c>
      <c r="D42" s="2" t="str">
        <f>IFERROR(__xludf.DUMMYFUNCTION("""COMPUTED_VALUE"""),"TA661-36693")</f>
        <v>TA661-36693</v>
      </c>
      <c r="E42" s="2" t="str">
        <f>IFERROR(__xludf.DUMMYFUNCTION("""COMPUTED_VALUE"""),"iPhone 15, Yellow, 128GB, Logic Board Assy Mid System, ROW")</f>
        <v>iPhone 15, Yellow, 128GB, Logic Board Assy Mid System, ROW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" t="str">
        <f t="shared" si="1"/>
        <v>April</v>
      </c>
      <c r="B43" s="11">
        <f>IFERROR(__xludf.DUMMYFUNCTION("""COMPUTED_VALUE"""),46117.0)</f>
        <v>46117</v>
      </c>
      <c r="C43" s="2" t="str">
        <f>IFERROR(__xludf.DUMMYFUNCTION("""COMPUTED_VALUE"""),"MOBILECARE - DAVAO")</f>
        <v>MOBILECARE - DAVAO</v>
      </c>
      <c r="D43" s="2" t="str">
        <f>IFERROR(__xludf.DUMMYFUNCTION("""COMPUTED_VALUE"""),"661-44797")</f>
        <v>661-44797</v>
      </c>
      <c r="E43" s="2" t="str">
        <f>IFERROR(__xludf.DUMMYFUNCTION("""COMPUTED_VALUE"""),"Display, iPhone 16")</f>
        <v>Display, iPhone 16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" t="str">
        <f t="shared" si="1"/>
        <v>February</v>
      </c>
      <c r="B44" s="11">
        <f>IFERROR(__xludf.DUMMYFUNCTION("""COMPUTED_VALUE"""),46067.0)</f>
        <v>46067</v>
      </c>
      <c r="C44" s="2" t="str">
        <f>IFERROR(__xludf.DUMMYFUNCTION("""COMPUTED_VALUE"""),"MOBILECARE - DAVAO")</f>
        <v>MOBILECARE - DAVAO</v>
      </c>
      <c r="D44" s="2" t="str">
        <f>IFERROR(__xludf.DUMMYFUNCTION("""COMPUTED_VALUE"""),"661-21988")</f>
        <v>661-21988</v>
      </c>
      <c r="E44" s="2" t="str">
        <f>IFERROR(__xludf.DUMMYFUNCTION("""COMPUTED_VALUE"""),"Display, iPhone 13")</f>
        <v>Display, iPhone 13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" t="str">
        <f t="shared" si="1"/>
        <v>January</v>
      </c>
      <c r="B45" s="11">
        <f>IFERROR(__xludf.DUMMYFUNCTION("""COMPUTED_VALUE"""),46053.0)</f>
        <v>46053</v>
      </c>
      <c r="C45" s="2" t="str">
        <f>IFERROR(__xludf.DUMMYFUNCTION("""COMPUTED_VALUE"""),"MOBILECARE - DAVAO")</f>
        <v>MOBILECARE - DAVAO</v>
      </c>
      <c r="D45" s="2" t="str">
        <f>IFERROR(__xludf.DUMMYFUNCTION("""COMPUTED_VALUE"""),"TA661-43605")</f>
        <v>TA661-43605</v>
      </c>
      <c r="E45" s="2" t="str">
        <f>IFERROR(__xludf.DUMMYFUNCTION("""COMPUTED_VALUE"""),"128GB, Black, ROW, iPhone 16, Logic Board Assy Mid System")</f>
        <v>128GB, Black, ROW, iPhone 16, Logic Board Assy Mid System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0" t="str">
        <f t="shared" si="1"/>
        <v>January</v>
      </c>
      <c r="B46" s="11">
        <f>IFERROR(__xludf.DUMMYFUNCTION("""COMPUTED_VALUE"""),46042.0)</f>
        <v>46042</v>
      </c>
      <c r="C46" s="2" t="str">
        <f>IFERROR(__xludf.DUMMYFUNCTION("""COMPUTED_VALUE"""),"MOBILECARE - DAVAO")</f>
        <v>MOBILECARE - DAVAO</v>
      </c>
      <c r="D46" s="2" t="str">
        <f>IFERROR(__xludf.DUMMYFUNCTION("""COMPUTED_VALUE"""),"661-42726")</f>
        <v>661-42726</v>
      </c>
      <c r="E46" s="2" t="str">
        <f>IFERROR(__xludf.DUMMYFUNCTION("""COMPUTED_VALUE"""),"Display, iPhone 16 Pro")</f>
        <v>Display, iPhone 16 Pro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0" t="str">
        <f t="shared" si="1"/>
        <v>January</v>
      </c>
      <c r="B47" s="11">
        <f>IFERROR(__xludf.DUMMYFUNCTION("""COMPUTED_VALUE"""),46045.0)</f>
        <v>46045</v>
      </c>
      <c r="C47" s="2" t="str">
        <f>IFERROR(__xludf.DUMMYFUNCTION("""COMPUTED_VALUE"""),"MOBILECARE - DAVAO")</f>
        <v>MOBILECARE - DAVAO</v>
      </c>
      <c r="D47" s="2" t="str">
        <f>IFERROR(__xludf.DUMMYFUNCTION("""COMPUTED_VALUE"""),"661-44955")</f>
        <v>661-44955</v>
      </c>
      <c r="E47" s="2" t="str">
        <f>IFERROR(__xludf.DUMMYFUNCTION("""COMPUTED_VALUE"""),"Display, iPhone 16 Pro Max")</f>
        <v>Display, iPhone 16 Pro Max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0" t="str">
        <f t="shared" si="1"/>
        <v>February</v>
      </c>
      <c r="B48" s="11">
        <f>IFERROR(__xludf.DUMMYFUNCTION("""COMPUTED_VALUE"""),46056.0)</f>
        <v>46056</v>
      </c>
      <c r="C48" s="2" t="str">
        <f>IFERROR(__xludf.DUMMYFUNCTION("""COMPUTED_VALUE"""),"MOBILECARE - DAVAO")</f>
        <v>MOBILECARE - DAVAO</v>
      </c>
      <c r="D48" s="2" t="str">
        <f>IFERROR(__xludf.DUMMYFUNCTION("""COMPUTED_VALUE"""),"PP661-23455")</f>
        <v>PP661-23455</v>
      </c>
      <c r="E48" s="2" t="str">
        <f>IFERROR(__xludf.DUMMYFUNCTION("""COMPUTED_VALUE"""),"iPhone 13, Starlight, 128GB, Logic Board Assy Rear System, ROW")</f>
        <v>iPhone 13, Starlight, 128GB, Logic Board Assy Rear System, ROW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" t="str">
        <f t="shared" si="1"/>
        <v>January</v>
      </c>
      <c r="B49" s="11">
        <f>IFERROR(__xludf.DUMMYFUNCTION("""COMPUTED_VALUE"""),46043.0)</f>
        <v>46043</v>
      </c>
      <c r="C49" s="2" t="str">
        <f>IFERROR(__xludf.DUMMYFUNCTION("""COMPUTED_VALUE"""),"MOBILECARE - DAVAO")</f>
        <v>MOBILECARE - DAVAO</v>
      </c>
      <c r="D49" s="2" t="str">
        <f>IFERROR(__xludf.DUMMYFUNCTION("""COMPUTED_VALUE"""),"PP661-23455")</f>
        <v>PP661-23455</v>
      </c>
      <c r="E49" s="2" t="str">
        <f>IFERROR(__xludf.DUMMYFUNCTION("""COMPUTED_VALUE"""),"iPhone 13, Starlight, 128GB, Logic Board Assy Rear System, ROW")</f>
        <v>iPhone 13, Starlight, 128GB, Logic Board Assy Rear System, ROW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" t="str">
        <f t="shared" si="1"/>
        <v>January</v>
      </c>
      <c r="B50" s="11">
        <f>IFERROR(__xludf.DUMMYFUNCTION("""COMPUTED_VALUE"""),46035.0)</f>
        <v>46035</v>
      </c>
      <c r="C50" s="2" t="str">
        <f>IFERROR(__xludf.DUMMYFUNCTION("""COMPUTED_VALUE"""),"MOBILECARE - DAVAO")</f>
        <v>MOBILECARE - DAVAO</v>
      </c>
      <c r="D50" s="2" t="str">
        <f>IFERROR(__xludf.DUMMYFUNCTION("""COMPUTED_VALUE"""),"661-42726")</f>
        <v>661-42726</v>
      </c>
      <c r="E50" s="2" t="str">
        <f>IFERROR(__xludf.DUMMYFUNCTION("""COMPUTED_VALUE"""),"Display, iPhone 16 Pro")</f>
        <v>Display, iPhone 16 Pro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" t="str">
        <f t="shared" si="1"/>
        <v>January</v>
      </c>
      <c r="B51" s="11">
        <f>IFERROR(__xludf.DUMMYFUNCTION("""COMPUTED_VALUE"""),46048.0)</f>
        <v>46048</v>
      </c>
      <c r="C51" s="2" t="str">
        <f>IFERROR(__xludf.DUMMYFUNCTION("""COMPUTED_VALUE"""),"MOBILECARE - DAVAO")</f>
        <v>MOBILECARE - DAVAO</v>
      </c>
      <c r="D51" s="2" t="str">
        <f>IFERROR(__xludf.DUMMYFUNCTION("""COMPUTED_VALUE"""),"TA661-43610")</f>
        <v>TA661-43610</v>
      </c>
      <c r="E51" s="2" t="str">
        <f>IFERROR(__xludf.DUMMYFUNCTION("""COMPUTED_VALUE"""),"256GB, Black, ROW, iPhone 16, Logic Board Assy Mid System")</f>
        <v>256GB, Black, ROW, iPhone 16, Logic Board Assy Mid System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0" t="str">
        <f t="shared" si="1"/>
        <v>January</v>
      </c>
      <c r="B52" s="11">
        <f>IFERROR(__xludf.DUMMYFUNCTION("""COMPUTED_VALUE"""),46043.0)</f>
        <v>46043</v>
      </c>
      <c r="C52" s="2" t="str">
        <f>IFERROR(__xludf.DUMMYFUNCTION("""COMPUTED_VALUE"""),"MOBILECARE - DAVAO")</f>
        <v>MOBILECARE - DAVAO</v>
      </c>
      <c r="D52" s="2" t="str">
        <f>IFERROR(__xludf.DUMMYFUNCTION("""COMPUTED_VALUE"""),"661-56066")</f>
        <v>661-56066</v>
      </c>
      <c r="E52" s="2" t="str">
        <f>IFERROR(__xludf.DUMMYFUNCTION("""COMPUTED_VALUE"""),"Front Camera, iPhone 17")</f>
        <v>Front Camera, iPhone 17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" t="str">
        <f t="shared" si="1"/>
        <v>January</v>
      </c>
      <c r="B53" s="11">
        <f>IFERROR(__xludf.DUMMYFUNCTION("""COMPUTED_VALUE"""),46053.0)</f>
        <v>46053</v>
      </c>
      <c r="C53" s="2" t="str">
        <f>IFERROR(__xludf.DUMMYFUNCTION("""COMPUTED_VALUE"""),"MOBILECARE - DAVAO")</f>
        <v>MOBILECARE - DAVAO</v>
      </c>
      <c r="D53" s="2" t="str">
        <f>IFERROR(__xludf.DUMMYFUNCTION("""COMPUTED_VALUE"""),"PP661-23455")</f>
        <v>PP661-23455</v>
      </c>
      <c r="E53" s="2" t="str">
        <f>IFERROR(__xludf.DUMMYFUNCTION("""COMPUTED_VALUE"""),"iPhone 13, Starlight, 128GB, Logic Board Assy Rear System, ROW")</f>
        <v>iPhone 13, Starlight, 128GB, Logic Board Assy Rear System, ROW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" t="str">
        <f t="shared" si="1"/>
        <v>January</v>
      </c>
      <c r="B54" s="11">
        <f>IFERROR(__xludf.DUMMYFUNCTION("""COMPUTED_VALUE"""),46048.0)</f>
        <v>46048</v>
      </c>
      <c r="C54" s="2" t="str">
        <f>IFERROR(__xludf.DUMMYFUNCTION("""COMPUTED_VALUE"""),"MOBILECARE - DAVAO")</f>
        <v>MOBILECARE - DAVAO</v>
      </c>
      <c r="D54" s="2" t="str">
        <f>IFERROR(__xludf.DUMMYFUNCTION("""COMPUTED_VALUE"""),"PP661-23454")</f>
        <v>PP661-23454</v>
      </c>
      <c r="E54" s="2" t="str">
        <f>IFERROR(__xludf.DUMMYFUNCTION("""COMPUTED_VALUE"""),"iPhone 13, Midnight, 128GB, Logic Board Assy Rear System, ROW")</f>
        <v>iPhone 13, Midnight, 128GB, Logic Board Assy Rear System, ROW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0" t="str">
        <f t="shared" si="1"/>
        <v>January</v>
      </c>
      <c r="B55" s="11">
        <f>IFERROR(__xludf.DUMMYFUNCTION("""COMPUTED_VALUE"""),46045.0)</f>
        <v>46045</v>
      </c>
      <c r="C55" s="2" t="str">
        <f>IFERROR(__xludf.DUMMYFUNCTION("""COMPUTED_VALUE"""),"MOBILECARE - DAVAO")</f>
        <v>MOBILECARE - DAVAO</v>
      </c>
      <c r="D55" s="2" t="str">
        <f>IFERROR(__xludf.DUMMYFUNCTION("""COMPUTED_VALUE"""),"PP661-23455")</f>
        <v>PP661-23455</v>
      </c>
      <c r="E55" s="2" t="str">
        <f>IFERROR(__xludf.DUMMYFUNCTION("""COMPUTED_VALUE"""),"iPhone 13, Starlight, 128GB, Logic Board Assy Rear System, ROW")</f>
        <v>iPhone 13, Starlight, 128GB, Logic Board Assy Rear System, ROW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" t="str">
        <f t="shared" si="1"/>
        <v>January</v>
      </c>
      <c r="B56" s="11">
        <f>IFERROR(__xludf.DUMMYFUNCTION("""COMPUTED_VALUE"""),46044.0)</f>
        <v>46044</v>
      </c>
      <c r="C56" s="2" t="str">
        <f>IFERROR(__xludf.DUMMYFUNCTION("""COMPUTED_VALUE"""),"MOBILECARE - DAVAO")</f>
        <v>MOBILECARE - DAVAO</v>
      </c>
      <c r="D56" s="2" t="str">
        <f>IFERROR(__xludf.DUMMYFUNCTION("""COMPUTED_VALUE"""),"PP661-23455")</f>
        <v>PP661-23455</v>
      </c>
      <c r="E56" s="2" t="str">
        <f>IFERROR(__xludf.DUMMYFUNCTION("""COMPUTED_VALUE"""),"iPhone 13, Starlight, 128GB, Logic Board Assy Rear System, ROW")</f>
        <v>iPhone 13, Starlight, 128GB, Logic Board Assy Rear System, ROW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" t="str">
        <f t="shared" si="1"/>
        <v>January</v>
      </c>
      <c r="B57" s="11">
        <f>IFERROR(__xludf.DUMMYFUNCTION("""COMPUTED_VALUE"""),46034.0)</f>
        <v>46034</v>
      </c>
      <c r="C57" s="2" t="str">
        <f>IFERROR(__xludf.DUMMYFUNCTION("""COMPUTED_VALUE"""),"MOBILECARE - DAVAO")</f>
        <v>MOBILECARE - DAVAO</v>
      </c>
      <c r="D57" s="2" t="str">
        <f>IFERROR(__xludf.DUMMYFUNCTION("""COMPUTED_VALUE"""),"661-44955")</f>
        <v>661-44955</v>
      </c>
      <c r="E57" s="2" t="str">
        <f>IFERROR(__xludf.DUMMYFUNCTION("""COMPUTED_VALUE"""),"Display, iPhone 16 Pro Max")</f>
        <v>Display, iPhone 16 Pro Max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" t="str">
        <f t="shared" si="1"/>
        <v>January</v>
      </c>
      <c r="B58" s="11">
        <f>IFERROR(__xludf.DUMMYFUNCTION("""COMPUTED_VALUE"""),46046.0)</f>
        <v>46046</v>
      </c>
      <c r="C58" s="2" t="str">
        <f>IFERROR(__xludf.DUMMYFUNCTION("""COMPUTED_VALUE"""),"MOBILECARE - DAVAO")</f>
        <v>MOBILECARE - DAVAO</v>
      </c>
      <c r="D58" s="2" t="str">
        <f>IFERROR(__xludf.DUMMYFUNCTION("""COMPUTED_VALUE"""),"661-30397")</f>
        <v>661-30397</v>
      </c>
      <c r="E58" s="2" t="str">
        <f>IFERROR(__xludf.DUMMYFUNCTION("""COMPUTED_VALUE"""),"Battery, iPhone 14 Pro Max")</f>
        <v>Battery, iPhone 14 Pro Max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0" t="str">
        <f t="shared" si="1"/>
        <v>January</v>
      </c>
      <c r="B59" s="11">
        <f>IFERROR(__xludf.DUMMYFUNCTION("""COMPUTED_VALUE"""),46047.0)</f>
        <v>46047</v>
      </c>
      <c r="C59" s="2" t="str">
        <f>IFERROR(__xludf.DUMMYFUNCTION("""COMPUTED_VALUE"""),"MOBILECARE - DAVAO")</f>
        <v>MOBILECARE - DAVAO</v>
      </c>
      <c r="D59" s="2" t="str">
        <f>IFERROR(__xludf.DUMMYFUNCTION("""COMPUTED_VALUE"""),"661-30397")</f>
        <v>661-30397</v>
      </c>
      <c r="E59" s="2" t="str">
        <f>IFERROR(__xludf.DUMMYFUNCTION("""COMPUTED_VALUE"""),"Battery, iPhone 14 Pro Max")</f>
        <v>Battery, iPhone 14 Pro Max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" t="str">
        <f t="shared" si="1"/>
        <v>January</v>
      </c>
      <c r="B60" s="11">
        <f>IFERROR(__xludf.DUMMYFUNCTION("""COMPUTED_VALUE"""),46045.0)</f>
        <v>46045</v>
      </c>
      <c r="C60" s="2" t="str">
        <f>IFERROR(__xludf.DUMMYFUNCTION("""COMPUTED_VALUE"""),"MOBILECARE - DAVAO")</f>
        <v>MOBILECARE - DAVAO</v>
      </c>
      <c r="D60" s="2" t="str">
        <f>IFERROR(__xludf.DUMMYFUNCTION("""COMPUTED_VALUE"""),"TA661-55208")</f>
        <v>TA661-55208</v>
      </c>
      <c r="E60" s="2" t="str">
        <f>IFERROR(__xludf.DUMMYFUNCTION("""COMPUTED_VALUE"""),"Deep Blue, 256GB, iPhone 17 Pro Max, ROW, CI/AR, Taiwan")</f>
        <v>Deep Blue, 256GB, iPhone 17 Pro Max, ROW, CI/AR, Taiwan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" t="str">
        <f t="shared" si="1"/>
        <v>February</v>
      </c>
      <c r="B61" s="11">
        <f>IFERROR(__xludf.DUMMYFUNCTION("""COMPUTED_VALUE"""),46054.0)</f>
        <v>46054</v>
      </c>
      <c r="C61" s="2" t="str">
        <f>IFERROR(__xludf.DUMMYFUNCTION("""COMPUTED_VALUE"""),"MOBILECARE - DAVAO")</f>
        <v>MOBILECARE - DAVAO</v>
      </c>
      <c r="D61" s="2" t="str">
        <f>IFERROR(__xludf.DUMMYFUNCTION("""COMPUTED_VALUE"""),"PP661-23455")</f>
        <v>PP661-23455</v>
      </c>
      <c r="E61" s="2" t="str">
        <f>IFERROR(__xludf.DUMMYFUNCTION("""COMPUTED_VALUE"""),"iPhone 13, Starlight, 128GB, Logic Board Assy Rear System, ROW")</f>
        <v>iPhone 13, Starlight, 128GB, Logic Board Assy Rear System, ROW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" t="str">
        <f t="shared" si="1"/>
        <v>January</v>
      </c>
      <c r="B62" s="11">
        <f>IFERROR(__xludf.DUMMYFUNCTION("""COMPUTED_VALUE"""),46050.0)</f>
        <v>46050</v>
      </c>
      <c r="C62" s="2" t="str">
        <f>IFERROR(__xludf.DUMMYFUNCTION("""COMPUTED_VALUE"""),"MOBILECARE - DAVAO")</f>
        <v>MOBILECARE - DAVAO</v>
      </c>
      <c r="D62" s="2" t="str">
        <f>IFERROR(__xludf.DUMMYFUNCTION("""COMPUTED_VALUE"""),"PP661-23455")</f>
        <v>PP661-23455</v>
      </c>
      <c r="E62" s="2" t="str">
        <f>IFERROR(__xludf.DUMMYFUNCTION("""COMPUTED_VALUE"""),"iPhone 13, Starlight, 128GB, Logic Board Assy Rear System, ROW")</f>
        <v>iPhone 13, Starlight, 128GB, Logic Board Assy Rear System, ROW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0" t="str">
        <f t="shared" si="1"/>
        <v>January</v>
      </c>
      <c r="B63" s="11">
        <f>IFERROR(__xludf.DUMMYFUNCTION("""COMPUTED_VALUE"""),46029.0)</f>
        <v>46029</v>
      </c>
      <c r="C63" s="2" t="str">
        <f>IFERROR(__xludf.DUMMYFUNCTION("""COMPUTED_VALUE"""),"MOBILECARE - DAVAO")</f>
        <v>MOBILECARE - DAVAO</v>
      </c>
      <c r="D63" s="2" t="str">
        <f>IFERROR(__xludf.DUMMYFUNCTION("""COMPUTED_VALUE"""),"661-21991")</f>
        <v>661-21991</v>
      </c>
      <c r="E63" s="2" t="str">
        <f>IFERROR(__xludf.DUMMYFUNCTION("""COMPUTED_VALUE"""),"Battery, iPhone 13")</f>
        <v>Battery, iPhone 13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" t="str">
        <f t="shared" si="1"/>
        <v>January</v>
      </c>
      <c r="B64" s="11">
        <f>IFERROR(__xludf.DUMMYFUNCTION("""COMPUTED_VALUE"""),46052.0)</f>
        <v>46052</v>
      </c>
      <c r="C64" s="2" t="str">
        <f>IFERROR(__xludf.DUMMYFUNCTION("""COMPUTED_VALUE"""),"MOBILECARE - DAVAO")</f>
        <v>MOBILECARE - DAVAO</v>
      </c>
      <c r="D64" s="2" t="str">
        <f>IFERROR(__xludf.DUMMYFUNCTION("""COMPUTED_VALUE"""),"PP661-28868")</f>
        <v>PP661-28868</v>
      </c>
      <c r="E64" s="2" t="str">
        <f>IFERROR(__xludf.DUMMYFUNCTION("""COMPUTED_VALUE"""),"iPhone 14, Midnight, 128GB, Logic Board Assy Mid System, ROW")</f>
        <v>iPhone 14, Midnight, 128GB, Logic Board Assy Mid System, ROW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" t="str">
        <f t="shared" si="1"/>
        <v>January</v>
      </c>
      <c r="B65" s="11">
        <f>IFERROR(__xludf.DUMMYFUNCTION("""COMPUTED_VALUE"""),46049.0)</f>
        <v>46049</v>
      </c>
      <c r="C65" s="2" t="str">
        <f>IFERROR(__xludf.DUMMYFUNCTION("""COMPUTED_VALUE"""),"MOBILECARE - DAVAO")</f>
        <v>MOBILECARE - DAVAO</v>
      </c>
      <c r="D65" s="2" t="str">
        <f>IFERROR(__xludf.DUMMYFUNCTION("""COMPUTED_VALUE"""),"PP661-23454")</f>
        <v>PP661-23454</v>
      </c>
      <c r="E65" s="2" t="str">
        <f>IFERROR(__xludf.DUMMYFUNCTION("""COMPUTED_VALUE"""),"iPhone 13, Midnight, 128GB, Logic Board Assy Rear System, ROW")</f>
        <v>iPhone 13, Midnight, 128GB, Logic Board Assy Rear System, ROW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" t="str">
        <f t="shared" si="1"/>
        <v>January</v>
      </c>
      <c r="B66" s="11">
        <f>IFERROR(__xludf.DUMMYFUNCTION("""COMPUTED_VALUE"""),46046.0)</f>
        <v>46046</v>
      </c>
      <c r="C66" s="2" t="str">
        <f>IFERROR(__xludf.DUMMYFUNCTION("""COMPUTED_VALUE"""),"MOBILECARE - DAVAO")</f>
        <v>MOBILECARE - DAVAO</v>
      </c>
      <c r="D66" s="2" t="str">
        <f>IFERROR(__xludf.DUMMYFUNCTION("""COMPUTED_VALUE"""),"TA661-55149")</f>
        <v>TA661-55149</v>
      </c>
      <c r="E66" s="2" t="str">
        <f>IFERROR(__xludf.DUMMYFUNCTION("""COMPUTED_VALUE"""),"Silver, 256GB, iPhone 17 Pro, ROW, CI/AR, Taiwan")</f>
        <v>Silver, 256GB, iPhone 17 Pro, ROW, CI/AR, Taiwan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0" t="str">
        <f t="shared" si="1"/>
        <v>January</v>
      </c>
      <c r="B67" s="11">
        <f>IFERROR(__xludf.DUMMYFUNCTION("""COMPUTED_VALUE"""),46044.0)</f>
        <v>46044</v>
      </c>
      <c r="C67" s="2" t="str">
        <f>IFERROR(__xludf.DUMMYFUNCTION("""COMPUTED_VALUE"""),"MOBILECARE - DAVAO")</f>
        <v>MOBILECARE - DAVAO</v>
      </c>
      <c r="D67" s="2" t="str">
        <f>IFERROR(__xludf.DUMMYFUNCTION("""COMPUTED_VALUE"""),"PP661-23454")</f>
        <v>PP661-23454</v>
      </c>
      <c r="E67" s="2" t="str">
        <f>IFERROR(__xludf.DUMMYFUNCTION("""COMPUTED_VALUE"""),"iPhone 13, Midnight, 128GB, Logic Board Assy Rear System, ROW")</f>
        <v>iPhone 13, Midnight, 128GB, Logic Board Assy Rear System, ROW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" t="str">
        <f t="shared" si="1"/>
        <v>January</v>
      </c>
      <c r="B68" s="11">
        <f>IFERROR(__xludf.DUMMYFUNCTION("""COMPUTED_VALUE"""),46049.0)</f>
        <v>46049</v>
      </c>
      <c r="C68" s="2" t="str">
        <f>IFERROR(__xludf.DUMMYFUNCTION("""COMPUTED_VALUE"""),"MOBILECARE - DAVAO")</f>
        <v>MOBILECARE - DAVAO</v>
      </c>
      <c r="D68" s="2" t="str">
        <f>IFERROR(__xludf.DUMMYFUNCTION("""COMPUTED_VALUE"""),"TA661-55209")</f>
        <v>TA661-55209</v>
      </c>
      <c r="E68" s="2" t="str">
        <f>IFERROR(__xludf.DUMMYFUNCTION("""COMPUTED_VALUE"""),"Silver, 512GB, iPhone 17 Pro Max, ROW, CI/AR, Taiwan")</f>
        <v>Silver, 512GB, iPhone 17 Pro Max, ROW, CI/AR, Taiwan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" t="str">
        <f t="shared" si="1"/>
        <v>January</v>
      </c>
      <c r="B69" s="11">
        <f>IFERROR(__xludf.DUMMYFUNCTION("""COMPUTED_VALUE"""),46047.0)</f>
        <v>46047</v>
      </c>
      <c r="C69" s="2" t="str">
        <f>IFERROR(__xludf.DUMMYFUNCTION("""COMPUTED_VALUE"""),"MOBILECARE - DAVAO")</f>
        <v>MOBILECARE - DAVAO</v>
      </c>
      <c r="D69" s="2" t="str">
        <f>IFERROR(__xludf.DUMMYFUNCTION("""COMPUTED_VALUE"""),"PP661-23454")</f>
        <v>PP661-23454</v>
      </c>
      <c r="E69" s="2" t="str">
        <f>IFERROR(__xludf.DUMMYFUNCTION("""COMPUTED_VALUE"""),"iPhone 13, Midnight, 128GB, Logic Board Assy Rear System, ROW")</f>
        <v>iPhone 13, Midnight, 128GB, Logic Board Assy Rear System, ROW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" t="str">
        <f t="shared" si="1"/>
        <v>January</v>
      </c>
      <c r="B70" s="11">
        <f>IFERROR(__xludf.DUMMYFUNCTION("""COMPUTED_VALUE"""),46039.0)</f>
        <v>46039</v>
      </c>
      <c r="C70" s="2" t="str">
        <f>IFERROR(__xludf.DUMMYFUNCTION("""COMPUTED_VALUE"""),"MOBILECARE - DAVAO")</f>
        <v>MOBILECARE - DAVAO</v>
      </c>
      <c r="D70" s="2" t="str">
        <f>IFERROR(__xludf.DUMMYFUNCTION("""COMPUTED_VALUE"""),"661-44956")</f>
        <v>661-44956</v>
      </c>
      <c r="E70" s="2" t="str">
        <f>IFERROR(__xludf.DUMMYFUNCTION("""COMPUTED_VALUE"""),"TrueDepth Camera, iPhone 16 Pro Max")</f>
        <v>TrueDepth Camera, iPhone 16 Pro Max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0" t="str">
        <f t="shared" si="1"/>
        <v>February</v>
      </c>
      <c r="B71" s="11">
        <f>IFERROR(__xludf.DUMMYFUNCTION("""COMPUTED_VALUE"""),46054.0)</f>
        <v>46054</v>
      </c>
      <c r="C71" s="2" t="str">
        <f>IFERROR(__xludf.DUMMYFUNCTION("""COMPUTED_VALUE"""),"MOBILECARE - DAVAO")</f>
        <v>MOBILECARE - DAVAO</v>
      </c>
      <c r="D71" s="2" t="str">
        <f>IFERROR(__xludf.DUMMYFUNCTION("""COMPUTED_VALUE"""),"TA661-45321")</f>
        <v>TA661-45321</v>
      </c>
      <c r="E71" s="2" t="str">
        <f>IFERROR(__xludf.DUMMYFUNCTION("""COMPUTED_VALUE"""),"256GB, Black Titanium, ROW, iPhone 16 Pro Max, Logic Board Assy Mid Syst")</f>
        <v>256GB, Black Titanium, ROW, iPhone 16 Pro Max, Logic Board Assy Mid Syst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" t="str">
        <f t="shared" si="1"/>
        <v>January</v>
      </c>
      <c r="B72" s="11">
        <f>IFERROR(__xludf.DUMMYFUNCTION("""COMPUTED_VALUE"""),46038.0)</f>
        <v>46038</v>
      </c>
      <c r="C72" s="2" t="str">
        <f>IFERROR(__xludf.DUMMYFUNCTION("""COMPUTED_VALUE"""),"MOBILECARE - DAVAO")</f>
        <v>MOBILECARE - DAVAO</v>
      </c>
      <c r="D72" s="2" t="str">
        <f>IFERROR(__xludf.DUMMYFUNCTION("""COMPUTED_VALUE"""),"661-44956")</f>
        <v>661-44956</v>
      </c>
      <c r="E72" s="2" t="str">
        <f>IFERROR(__xludf.DUMMYFUNCTION("""COMPUTED_VALUE"""),"TrueDepth Camera, iPhone 16 Pro Max")</f>
        <v>TrueDepth Camera, iPhone 16 Pro Max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" t="str">
        <f t="shared" si="1"/>
        <v>January</v>
      </c>
      <c r="B73" s="11">
        <f>IFERROR(__xludf.DUMMYFUNCTION("""COMPUTED_VALUE"""),46038.0)</f>
        <v>46038</v>
      </c>
      <c r="C73" s="2" t="str">
        <f>IFERROR(__xludf.DUMMYFUNCTION("""COMPUTED_VALUE"""),"MOBILECARE - DAVAO")</f>
        <v>MOBILECARE - DAVAO</v>
      </c>
      <c r="D73" s="2" t="str">
        <f>IFERROR(__xludf.DUMMYFUNCTION("""COMPUTED_VALUE"""),"661-44957")</f>
        <v>661-44957</v>
      </c>
      <c r="E73" s="2" t="str">
        <f>IFERROR(__xludf.DUMMYFUNCTION("""COMPUTED_VALUE"""),"Camera, iPhone 16 Pro Max")</f>
        <v>Camera, iPhone 16 Pro Max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" t="str">
        <f t="shared" si="1"/>
        <v>January</v>
      </c>
      <c r="B74" s="11">
        <f>IFERROR(__xludf.DUMMYFUNCTION("""COMPUTED_VALUE"""),46046.0)</f>
        <v>46046</v>
      </c>
      <c r="C74" s="2" t="str">
        <f>IFERROR(__xludf.DUMMYFUNCTION("""COMPUTED_VALUE"""),"MOBILECARE - DAVAO")</f>
        <v>MOBILECARE - DAVAO</v>
      </c>
      <c r="D74" s="2" t="str">
        <f>IFERROR(__xludf.DUMMYFUNCTION("""COMPUTED_VALUE"""),"TA661-43609")</f>
        <v>TA661-43609</v>
      </c>
      <c r="E74" s="2" t="str">
        <f>IFERROR(__xludf.DUMMYFUNCTION("""COMPUTED_VALUE"""),"128GB, Teal, ROW, iPhone 16, Logic Board Assy Mid System")</f>
        <v>128GB, Teal, ROW, iPhone 16, Logic Board Assy Mid System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" t="str">
        <f t="shared" si="1"/>
        <v>January</v>
      </c>
      <c r="B75" s="11">
        <f>IFERROR(__xludf.DUMMYFUNCTION("""COMPUTED_VALUE"""),46045.0)</f>
        <v>46045</v>
      </c>
      <c r="C75" s="2" t="str">
        <f>IFERROR(__xludf.DUMMYFUNCTION("""COMPUTED_VALUE"""),"MOBILECARE - DAVAO")</f>
        <v>MOBILECARE - DAVAO</v>
      </c>
      <c r="D75" s="2" t="str">
        <f>IFERROR(__xludf.DUMMYFUNCTION("""COMPUTED_VALUE"""),"TA661-55153")</f>
        <v>TA661-55153</v>
      </c>
      <c r="E75" s="2" t="str">
        <f>IFERROR(__xludf.DUMMYFUNCTION("""COMPUTED_VALUE"""),"Cosmic Orange, 512GB, iPhone 17 Pro, ROW, CI/AR, Taiwan")</f>
        <v>Cosmic Orange, 512GB, iPhone 17 Pro, ROW, CI/AR, Taiwan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0" t="str">
        <f t="shared" si="1"/>
        <v>January</v>
      </c>
      <c r="B76" s="11">
        <f>IFERROR(__xludf.DUMMYFUNCTION("""COMPUTED_VALUE"""),46032.0)</f>
        <v>46032</v>
      </c>
      <c r="C76" s="2" t="str">
        <f>IFERROR(__xludf.DUMMYFUNCTION("""COMPUTED_VALUE"""),"MOBILECARE - DAVAO")</f>
        <v>MOBILECARE - DAVAO</v>
      </c>
      <c r="D76" s="2" t="str">
        <f>IFERROR(__xludf.DUMMYFUNCTION("""COMPUTED_VALUE"""),"661-44955")</f>
        <v>661-44955</v>
      </c>
      <c r="E76" s="2" t="str">
        <f>IFERROR(__xludf.DUMMYFUNCTION("""COMPUTED_VALUE"""),"Display, iPhone 16 Pro Max")</f>
        <v>Display, iPhone 16 Pro Max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" t="str">
        <f t="shared" si="1"/>
        <v>January</v>
      </c>
      <c r="B77" s="11">
        <f>IFERROR(__xludf.DUMMYFUNCTION("""COMPUTED_VALUE"""),46044.0)</f>
        <v>46044</v>
      </c>
      <c r="C77" s="2" t="str">
        <f>IFERROR(__xludf.DUMMYFUNCTION("""COMPUTED_VALUE"""),"MOBILECARE - DAVAO")</f>
        <v>MOBILECARE - DAVAO</v>
      </c>
      <c r="D77" s="2" t="str">
        <f>IFERROR(__xludf.DUMMYFUNCTION("""COMPUTED_VALUE"""),"TA661-55208")</f>
        <v>TA661-55208</v>
      </c>
      <c r="E77" s="2" t="str">
        <f>IFERROR(__xludf.DUMMYFUNCTION("""COMPUTED_VALUE"""),"Deep Blue, 256GB, iPhone 17 Pro Max, ROW, CI/AR, Taiwan")</f>
        <v>Deep Blue, 256GB, iPhone 17 Pro Max, ROW, CI/AR, Taiwan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" t="str">
        <f t="shared" si="1"/>
        <v>January</v>
      </c>
      <c r="B78" s="11">
        <f>IFERROR(__xludf.DUMMYFUNCTION("""COMPUTED_VALUE"""),46040.0)</f>
        <v>46040</v>
      </c>
      <c r="C78" s="2" t="str">
        <f>IFERROR(__xludf.DUMMYFUNCTION("""COMPUTED_VALUE"""),"MOBILECARE - DAVAO")</f>
        <v>MOBILECARE - DAVAO</v>
      </c>
      <c r="D78" s="2" t="str">
        <f>IFERROR(__xludf.DUMMYFUNCTION("""COMPUTED_VALUE"""),"TA661-36694")</f>
        <v>TA661-36694</v>
      </c>
      <c r="E78" s="2" t="str">
        <f>IFERROR(__xludf.DUMMYFUNCTION("""COMPUTED_VALUE"""),"iPhone 15, Blue, 128GB, Logic Board Assy Mid System, ROW")</f>
        <v>iPhone 15, Blue, 128GB, Logic Board Assy Mid System, ROW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" t="str">
        <f t="shared" si="1"/>
        <v>January</v>
      </c>
      <c r="B79" s="11">
        <f>IFERROR(__xludf.DUMMYFUNCTION("""COMPUTED_VALUE"""),46040.0)</f>
        <v>46040</v>
      </c>
      <c r="C79" s="2" t="str">
        <f>IFERROR(__xludf.DUMMYFUNCTION("""COMPUTED_VALUE"""),"MOBILECARE - DAVAO")</f>
        <v>MOBILECARE - DAVAO</v>
      </c>
      <c r="D79" s="2" t="str">
        <f>IFERROR(__xludf.DUMMYFUNCTION("""COMPUTED_VALUE"""),"661-36841")</f>
        <v>661-36841</v>
      </c>
      <c r="E79" s="2" t="str">
        <f>IFERROR(__xludf.DUMMYFUNCTION("""COMPUTED_VALUE"""),"Blue, Back Glass, iPhone 15")</f>
        <v>Blue, Back Glass, iPhone 15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" t="str">
        <f t="shared" si="1"/>
        <v>January</v>
      </c>
      <c r="B80" s="11">
        <f>IFERROR(__xludf.DUMMYFUNCTION("""COMPUTED_VALUE"""),46029.0)</f>
        <v>46029</v>
      </c>
      <c r="C80" s="2" t="str">
        <f>IFERROR(__xludf.DUMMYFUNCTION("""COMPUTED_VALUE"""),"MOBILECARE - DAVAO")</f>
        <v>MOBILECARE - DAVAO</v>
      </c>
      <c r="D80" s="2" t="str">
        <f>IFERROR(__xludf.DUMMYFUNCTION("""COMPUTED_VALUE"""),"661-21988")</f>
        <v>661-21988</v>
      </c>
      <c r="E80" s="2" t="str">
        <f>IFERROR(__xludf.DUMMYFUNCTION("""COMPUTED_VALUE"""),"Display, iPhone 13")</f>
        <v>Display, iPhone 13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0" t="str">
        <f t="shared" si="1"/>
        <v>January</v>
      </c>
      <c r="B81" s="11">
        <f>IFERROR(__xludf.DUMMYFUNCTION("""COMPUTED_VALUE"""),46045.0)</f>
        <v>46045</v>
      </c>
      <c r="C81" s="2" t="str">
        <f>IFERROR(__xludf.DUMMYFUNCTION("""COMPUTED_VALUE"""),"MOBILECARE - DAVAO")</f>
        <v>MOBILECARE - DAVAO</v>
      </c>
      <c r="D81" s="2" t="str">
        <f>IFERROR(__xludf.DUMMYFUNCTION("""COMPUTED_VALUE"""),"PP661-23454")</f>
        <v>PP661-23454</v>
      </c>
      <c r="E81" s="2" t="str">
        <f>IFERROR(__xludf.DUMMYFUNCTION("""COMPUTED_VALUE"""),"iPhone 13, Midnight, 128GB, Logic Board Assy Rear System, ROW")</f>
        <v>iPhone 13, Midnight, 128GB, Logic Board Assy Rear System, ROW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" t="str">
        <f t="shared" si="1"/>
        <v>January</v>
      </c>
      <c r="B82" s="11">
        <f>IFERROR(__xludf.DUMMYFUNCTION("""COMPUTED_VALUE"""),46044.0)</f>
        <v>46044</v>
      </c>
      <c r="C82" s="2" t="str">
        <f>IFERROR(__xludf.DUMMYFUNCTION("""COMPUTED_VALUE"""),"MOBILECARE - DAVAO")</f>
        <v>MOBILECARE - DAVAO</v>
      </c>
      <c r="D82" s="2" t="str">
        <f>IFERROR(__xludf.DUMMYFUNCTION("""COMPUTED_VALUE"""),"PP661-23455")</f>
        <v>PP661-23455</v>
      </c>
      <c r="E82" s="2" t="str">
        <f>IFERROR(__xludf.DUMMYFUNCTION("""COMPUTED_VALUE"""),"iPhone 13, Starlight, 128GB, Logic Board Assy Rear System, ROW")</f>
        <v>iPhone 13, Starlight, 128GB, Logic Board Assy Rear System, ROW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" t="str">
        <f t="shared" si="1"/>
        <v>January</v>
      </c>
      <c r="B83" s="11">
        <f>IFERROR(__xludf.DUMMYFUNCTION("""COMPUTED_VALUE"""),46030.0)</f>
        <v>46030</v>
      </c>
      <c r="C83" s="2" t="str">
        <f>IFERROR(__xludf.DUMMYFUNCTION("""COMPUTED_VALUE"""),"MOBILECARE - DAVAO")</f>
        <v>MOBILECARE - DAVAO</v>
      </c>
      <c r="D83" s="2" t="str">
        <f>IFERROR(__xludf.DUMMYFUNCTION("""COMPUTED_VALUE"""),"661-44956")</f>
        <v>661-44956</v>
      </c>
      <c r="E83" s="2" t="str">
        <f>IFERROR(__xludf.DUMMYFUNCTION("""COMPUTED_VALUE"""),"TrueDepth Camera, iPhone 16 Pro Max")</f>
        <v>TrueDepth Camera, iPhone 16 Pro Max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" t="str">
        <f t="shared" si="1"/>
        <v>January</v>
      </c>
      <c r="B84" s="11">
        <f>IFERROR(__xludf.DUMMYFUNCTION("""COMPUTED_VALUE"""),46027.0)</f>
        <v>46027</v>
      </c>
      <c r="C84" s="2" t="str">
        <f>IFERROR(__xludf.DUMMYFUNCTION("""COMPUTED_VALUE"""),"MOBILECARE - DAVAO")</f>
        <v>MOBILECARE - DAVAO</v>
      </c>
      <c r="D84" s="2" t="str">
        <f>IFERROR(__xludf.DUMMYFUNCTION("""COMPUTED_VALUE"""),"661-42726")</f>
        <v>661-42726</v>
      </c>
      <c r="E84" s="2" t="str">
        <f>IFERROR(__xludf.DUMMYFUNCTION("""COMPUTED_VALUE"""),"Display, iPhone 16 Pro")</f>
        <v>Display, iPhone 16 Pro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0" t="str">
        <f t="shared" si="1"/>
        <v>January</v>
      </c>
      <c r="B85" s="11">
        <f>IFERROR(__xludf.DUMMYFUNCTION("""COMPUTED_VALUE"""),46040.0)</f>
        <v>46040</v>
      </c>
      <c r="C85" s="2" t="str">
        <f>IFERROR(__xludf.DUMMYFUNCTION("""COMPUTED_VALUE"""),"MOBILECARE - DAVAO")</f>
        <v>MOBILECARE - DAVAO</v>
      </c>
      <c r="D85" s="2" t="str">
        <f>IFERROR(__xludf.DUMMYFUNCTION("""COMPUTED_VALUE"""),"TA661-55099")</f>
        <v>TA661-55099</v>
      </c>
      <c r="E85" s="2" t="str">
        <f>IFERROR(__xludf.DUMMYFUNCTION("""COMPUTED_VALUE"""),"Cloud White, 256GB, iPhone Air, ROW, Taiwan, CI/AR")</f>
        <v>Cloud White, 256GB, iPhone Air, ROW, Taiwan, CI/AR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" t="str">
        <f t="shared" si="1"/>
        <v>January</v>
      </c>
      <c r="B86" s="11">
        <f>IFERROR(__xludf.DUMMYFUNCTION("""COMPUTED_VALUE"""),46026.0)</f>
        <v>46026</v>
      </c>
      <c r="C86" s="2" t="str">
        <f>IFERROR(__xludf.DUMMYFUNCTION("""COMPUTED_VALUE"""),"MOBILECARE - DAVAO")</f>
        <v>MOBILECARE - DAVAO</v>
      </c>
      <c r="D86" s="2" t="str">
        <f>IFERROR(__xludf.DUMMYFUNCTION("""COMPUTED_VALUE"""),"661-44955")</f>
        <v>661-44955</v>
      </c>
      <c r="E86" s="2" t="str">
        <f>IFERROR(__xludf.DUMMYFUNCTION("""COMPUTED_VALUE"""),"Display, iPhone 16 Pro Max")</f>
        <v>Display, iPhone 16 Pro Max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" t="str">
        <f t="shared" si="1"/>
        <v>January</v>
      </c>
      <c r="B87" s="11">
        <f>IFERROR(__xludf.DUMMYFUNCTION("""COMPUTED_VALUE"""),46027.0)</f>
        <v>46027</v>
      </c>
      <c r="C87" s="2" t="str">
        <f>IFERROR(__xludf.DUMMYFUNCTION("""COMPUTED_VALUE"""),"MOBILECARE - DAVAO")</f>
        <v>MOBILECARE - DAVAO</v>
      </c>
      <c r="D87" s="2" t="str">
        <f>IFERROR(__xludf.DUMMYFUNCTION("""COMPUTED_VALUE"""),"661-21988")</f>
        <v>661-21988</v>
      </c>
      <c r="E87" s="2" t="str">
        <f>IFERROR(__xludf.DUMMYFUNCTION("""COMPUTED_VALUE"""),"Display, iPhone 13")</f>
        <v>Display, iPhone 13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" t="str">
        <f t="shared" si="1"/>
        <v>January</v>
      </c>
      <c r="B88" s="11">
        <f>IFERROR(__xludf.DUMMYFUNCTION("""COMPUTED_VALUE"""),46039.0)</f>
        <v>46039</v>
      </c>
      <c r="C88" s="2" t="str">
        <f>IFERROR(__xludf.DUMMYFUNCTION("""COMPUTED_VALUE"""),"MOBILECARE - DAVAO")</f>
        <v>MOBILECARE - DAVAO</v>
      </c>
      <c r="D88" s="2" t="str">
        <f>IFERROR(__xludf.DUMMYFUNCTION("""COMPUTED_VALUE"""),"PP661-23454")</f>
        <v>PP661-23454</v>
      </c>
      <c r="E88" s="2" t="str">
        <f>IFERROR(__xludf.DUMMYFUNCTION("""COMPUTED_VALUE"""),"iPhone 13, Midnight, 128GB, Logic Board Assy Rear System, ROW")</f>
        <v>iPhone 13, Midnight, 128GB, Logic Board Assy Rear System, ROW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0" t="str">
        <f t="shared" si="1"/>
        <v>January</v>
      </c>
      <c r="B89" s="11">
        <f>IFERROR(__xludf.DUMMYFUNCTION("""COMPUTED_VALUE"""),46040.0)</f>
        <v>46040</v>
      </c>
      <c r="C89" s="2" t="str">
        <f>IFERROR(__xludf.DUMMYFUNCTION("""COMPUTED_VALUE"""),"MOBILECARE - DAVAO")</f>
        <v>MOBILECARE - DAVAO</v>
      </c>
      <c r="D89" s="2" t="str">
        <f>IFERROR(__xludf.DUMMYFUNCTION("""COMPUTED_VALUE"""),"TA661-55210")</f>
        <v>TA661-55210</v>
      </c>
      <c r="E89" s="2" t="str">
        <f>IFERROR(__xludf.DUMMYFUNCTION("""COMPUTED_VALUE"""),"Cosmic Orange, 512GB, iPhone 17 Pro Max, ROW, CI/AR, Taiwan")</f>
        <v>Cosmic Orange, 512GB, iPhone 17 Pro Max, ROW, CI/AR, Taiwan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0" t="str">
        <f t="shared" si="1"/>
        <v>January</v>
      </c>
      <c r="B90" s="11">
        <f>IFERROR(__xludf.DUMMYFUNCTION("""COMPUTED_VALUE"""),46037.0)</f>
        <v>46037</v>
      </c>
      <c r="C90" s="2" t="str">
        <f>IFERROR(__xludf.DUMMYFUNCTION("""COMPUTED_VALUE"""),"MOBILECARE - DAVAO")</f>
        <v>MOBILECARE - DAVAO</v>
      </c>
      <c r="D90" s="2" t="str">
        <f>IFERROR(__xludf.DUMMYFUNCTION("""COMPUTED_VALUE"""),"PP661-23455")</f>
        <v>PP661-23455</v>
      </c>
      <c r="E90" s="2" t="str">
        <f>IFERROR(__xludf.DUMMYFUNCTION("""COMPUTED_VALUE"""),"iPhone 13, Starlight, 128GB, Logic Board Assy Rear System, ROW")</f>
        <v>iPhone 13, Starlight, 128GB, Logic Board Assy Rear System, ROW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" t="str">
        <f t="shared" si="1"/>
        <v>January</v>
      </c>
      <c r="B91" s="11">
        <f>IFERROR(__xludf.DUMMYFUNCTION("""COMPUTED_VALUE"""),46039.0)</f>
        <v>46039</v>
      </c>
      <c r="C91" s="2" t="str">
        <f>IFERROR(__xludf.DUMMYFUNCTION("""COMPUTED_VALUE"""),"MOBILECARE - DAVAO")</f>
        <v>MOBILECARE - DAVAO</v>
      </c>
      <c r="D91" s="2" t="str">
        <f>IFERROR(__xludf.DUMMYFUNCTION("""COMPUTED_VALUE"""),"TA661-36694")</f>
        <v>TA661-36694</v>
      </c>
      <c r="E91" s="2" t="str">
        <f>IFERROR(__xludf.DUMMYFUNCTION("""COMPUTED_VALUE"""),"iPhone 15, Blue, 128GB, Logic Board Assy Mid System, ROW")</f>
        <v>iPhone 15, Blue, 128GB, Logic Board Assy Mid System, ROW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" t="str">
        <f t="shared" si="1"/>
        <v>January</v>
      </c>
      <c r="B92" s="11">
        <f>IFERROR(__xludf.DUMMYFUNCTION("""COMPUTED_VALUE"""),46028.0)</f>
        <v>46028</v>
      </c>
      <c r="C92" s="2" t="str">
        <f>IFERROR(__xludf.DUMMYFUNCTION("""COMPUTED_VALUE"""),"MOBILECARE - DAVAO")</f>
        <v>MOBILECARE - DAVAO</v>
      </c>
      <c r="D92" s="2" t="str">
        <f>IFERROR(__xludf.DUMMYFUNCTION("""COMPUTED_VALUE"""),"PP661-23454")</f>
        <v>PP661-23454</v>
      </c>
      <c r="E92" s="2" t="str">
        <f>IFERROR(__xludf.DUMMYFUNCTION("""COMPUTED_VALUE"""),"iPhone 13, Midnight, 128GB, Logic Board Assy Rear System, ROW")</f>
        <v>iPhone 13, Midnight, 128GB, Logic Board Assy Rear System, ROW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0" t="str">
        <f t="shared" si="1"/>
        <v>January</v>
      </c>
      <c r="B93" s="11">
        <f>IFERROR(__xludf.DUMMYFUNCTION("""COMPUTED_VALUE"""),46026.0)</f>
        <v>46026</v>
      </c>
      <c r="C93" s="2" t="str">
        <f>IFERROR(__xludf.DUMMYFUNCTION("""COMPUTED_VALUE"""),"MOBILECARE - DAVAO")</f>
        <v>MOBILECARE - DAVAO</v>
      </c>
      <c r="D93" s="2" t="str">
        <f>IFERROR(__xludf.DUMMYFUNCTION("""COMPUTED_VALUE"""),"PP661-23454")</f>
        <v>PP661-23454</v>
      </c>
      <c r="E93" s="2" t="str">
        <f>IFERROR(__xludf.DUMMYFUNCTION("""COMPUTED_VALUE"""),"iPhone 13, Midnight, 128GB, Logic Board Assy Rear System, ROW")</f>
        <v>iPhone 13, Midnight, 128GB, Logic Board Assy Rear System, ROW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0" t="str">
        <f t="shared" si="1"/>
        <v>January</v>
      </c>
      <c r="B94" s="11">
        <f>IFERROR(__xludf.DUMMYFUNCTION("""COMPUTED_VALUE"""),46033.0)</f>
        <v>46033</v>
      </c>
      <c r="C94" s="2" t="str">
        <f>IFERROR(__xludf.DUMMYFUNCTION("""COMPUTED_VALUE"""),"MOBILECARE - DAVAO")</f>
        <v>MOBILECARE - DAVAO</v>
      </c>
      <c r="D94" s="2" t="str">
        <f>IFERROR(__xludf.DUMMYFUNCTION("""COMPUTED_VALUE"""),"TA661-45323")</f>
        <v>TA661-45323</v>
      </c>
      <c r="E94" s="2" t="str">
        <f>IFERROR(__xludf.DUMMYFUNCTION("""COMPUTED_VALUE"""),"256GB, Desert Titanium, ROW, iPhone 16 Pro Max, Logic Board Assy Mid Sys")</f>
        <v>256GB, Desert Titanium, ROW, iPhone 16 Pro Max, Logic Board Assy Mid Sys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0" t="str">
        <f t="shared" si="1"/>
        <v>January</v>
      </c>
      <c r="B95" s="11">
        <f>IFERROR(__xludf.DUMMYFUNCTION("""COMPUTED_VALUE"""),46040.0)</f>
        <v>46040</v>
      </c>
      <c r="C95" s="2" t="str">
        <f>IFERROR(__xludf.DUMMYFUNCTION("""COMPUTED_VALUE"""),"MOBILECARE - DAVAO")</f>
        <v>MOBILECARE - DAVAO</v>
      </c>
      <c r="D95" s="2" t="str">
        <f>IFERROR(__xludf.DUMMYFUNCTION("""COMPUTED_VALUE"""),"PP661-28879")</f>
        <v>PP661-28879</v>
      </c>
      <c r="E95" s="2" t="str">
        <f>IFERROR(__xludf.DUMMYFUNCTION("""COMPUTED_VALUE"""),"iPhone 14, Starlight, 512GB, Logic Board Assy Mid System, ROW")</f>
        <v>iPhone 14, Starlight, 512GB, Logic Board Assy Mid System, ROW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0" t="str">
        <f t="shared" si="1"/>
        <v>January</v>
      </c>
      <c r="B96" s="11">
        <f>IFERROR(__xludf.DUMMYFUNCTION("""COMPUTED_VALUE"""),46033.0)</f>
        <v>46033</v>
      </c>
      <c r="C96" s="2" t="str">
        <f>IFERROR(__xludf.DUMMYFUNCTION("""COMPUTED_VALUE"""),"MOBILECARE - DAVAO")</f>
        <v>MOBILECARE - DAVAO</v>
      </c>
      <c r="D96" s="2" t="str">
        <f>IFERROR(__xludf.DUMMYFUNCTION("""COMPUTED_VALUE"""),"TA661-45001")</f>
        <v>TA661-45001</v>
      </c>
      <c r="E96" s="2" t="str">
        <f>IFERROR(__xludf.DUMMYFUNCTION("""COMPUTED_VALUE"""),"256GB, Desert Titanium, ROW, iPhone 16 Pro, Logic Board Assy Mid System")</f>
        <v>256GB, Desert Titanium, ROW, iPhone 16 Pro, Logic Board Assy Mid System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0" t="str">
        <f t="shared" si="1"/>
        <v>January</v>
      </c>
      <c r="B97" s="11">
        <f>IFERROR(__xludf.DUMMYFUNCTION("""COMPUTED_VALUE"""),46033.0)</f>
        <v>46033</v>
      </c>
      <c r="C97" s="2" t="str">
        <f>IFERROR(__xludf.DUMMYFUNCTION("""COMPUTED_VALUE"""),"MOBILECARE - DAVAO")</f>
        <v>MOBILECARE - DAVAO</v>
      </c>
      <c r="D97" s="2" t="str">
        <f>IFERROR(__xludf.DUMMYFUNCTION("""COMPUTED_VALUE"""),"PP661-28868")</f>
        <v>PP661-28868</v>
      </c>
      <c r="E97" s="2" t="str">
        <f>IFERROR(__xludf.DUMMYFUNCTION("""COMPUTED_VALUE"""),"iPhone 14, Midnight, 128GB, Logic Board Assy Mid System, ROW")</f>
        <v>iPhone 14, Midnight, 128GB, Logic Board Assy Mid System, ROW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0" t="str">
        <f t="shared" si="1"/>
        <v>January</v>
      </c>
      <c r="B98" s="11">
        <f>IFERROR(__xludf.DUMMYFUNCTION("""COMPUTED_VALUE"""),46034.0)</f>
        <v>46034</v>
      </c>
      <c r="C98" s="2" t="str">
        <f>IFERROR(__xludf.DUMMYFUNCTION("""COMPUTED_VALUE"""),"MOBILECARE - DAVAO")</f>
        <v>MOBILECARE - DAVAO</v>
      </c>
      <c r="D98" s="2" t="str">
        <f>IFERROR(__xludf.DUMMYFUNCTION("""COMPUTED_VALUE"""),"PP661-23455")</f>
        <v>PP661-23455</v>
      </c>
      <c r="E98" s="2" t="str">
        <f>IFERROR(__xludf.DUMMYFUNCTION("""COMPUTED_VALUE"""),"iPhone 13, Starlight, 128GB, Logic Board Assy Rear System, ROW")</f>
        <v>iPhone 13, Starlight, 128GB, Logic Board Assy Rear System, ROW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0" t="str">
        <f t="shared" si="1"/>
        <v>January</v>
      </c>
      <c r="B99" s="11">
        <f>IFERROR(__xludf.DUMMYFUNCTION("""COMPUTED_VALUE"""),46032.0)</f>
        <v>46032</v>
      </c>
      <c r="C99" s="2" t="str">
        <f>IFERROR(__xludf.DUMMYFUNCTION("""COMPUTED_VALUE"""),"MOBILECARE - DAVAO")</f>
        <v>MOBILECARE - DAVAO</v>
      </c>
      <c r="D99" s="2" t="str">
        <f>IFERROR(__xludf.DUMMYFUNCTION("""COMPUTED_VALUE"""),"PP661-22980")</f>
        <v>PP661-22980</v>
      </c>
      <c r="E99" s="2" t="str">
        <f>IFERROR(__xludf.DUMMYFUNCTION("""COMPUTED_VALUE"""),"Midnight, 128 GB, iPhone 13, ROW, CI/AR, Philippines")</f>
        <v>Midnight, 128 GB, iPhone 13, ROW, CI/AR, Philippines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0" t="str">
        <f t="shared" si="1"/>
        <v>January</v>
      </c>
      <c r="B100" s="11">
        <f>IFERROR(__xludf.DUMMYFUNCTION("""COMPUTED_VALUE"""),46033.0)</f>
        <v>46033</v>
      </c>
      <c r="C100" s="2" t="str">
        <f>IFERROR(__xludf.DUMMYFUNCTION("""COMPUTED_VALUE"""),"MOBILECARE - DAVAO")</f>
        <v>MOBILECARE - DAVAO</v>
      </c>
      <c r="D100" s="2" t="str">
        <f>IFERROR(__xludf.DUMMYFUNCTION("""COMPUTED_VALUE"""),"PP661-22981")</f>
        <v>PP661-22981</v>
      </c>
      <c r="E100" s="2" t="str">
        <f>IFERROR(__xludf.DUMMYFUNCTION("""COMPUTED_VALUE"""),"Starlight, 128 GB, iPhone 13, ROW, CI/AR, Philippines")</f>
        <v>Starlight, 128 GB, iPhone 13, ROW, CI/AR, Philippines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0" t="str">
        <f t="shared" si="1"/>
        <v>January</v>
      </c>
      <c r="B101" s="11">
        <f>IFERROR(__xludf.DUMMYFUNCTION("""COMPUTED_VALUE"""),46037.0)</f>
        <v>46037</v>
      </c>
      <c r="C101" s="2" t="str">
        <f>IFERROR(__xludf.DUMMYFUNCTION("""COMPUTED_VALUE"""),"MOBILECARE - DAVAO")</f>
        <v>MOBILECARE - DAVAO</v>
      </c>
      <c r="D101" s="2" t="str">
        <f>IFERROR(__xludf.DUMMYFUNCTION("""COMPUTED_VALUE"""),"PP661-23455")</f>
        <v>PP661-23455</v>
      </c>
      <c r="E101" s="2" t="str">
        <f>IFERROR(__xludf.DUMMYFUNCTION("""COMPUTED_VALUE"""),"iPhone 13, Starlight, 128GB, Logic Board Assy Rear System, ROW")</f>
        <v>iPhone 13, Starlight, 128GB, Logic Board Assy Rear System, ROW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0" t="str">
        <f t="shared" si="1"/>
        <v>January</v>
      </c>
      <c r="B102" s="11">
        <f>IFERROR(__xludf.DUMMYFUNCTION("""COMPUTED_VALUE"""),46032.0)</f>
        <v>46032</v>
      </c>
      <c r="C102" s="2" t="str">
        <f>IFERROR(__xludf.DUMMYFUNCTION("""COMPUTED_VALUE"""),"MOBILECARE - DAVAO")</f>
        <v>MOBILECARE - DAVAO</v>
      </c>
      <c r="D102" s="2" t="str">
        <f>IFERROR(__xludf.DUMMYFUNCTION("""COMPUTED_VALUE"""),"PP661-23455")</f>
        <v>PP661-23455</v>
      </c>
      <c r="E102" s="2" t="str">
        <f>IFERROR(__xludf.DUMMYFUNCTION("""COMPUTED_VALUE"""),"iPhone 13, Starlight, 128GB, Logic Board Assy Rear System, ROW")</f>
        <v>iPhone 13, Starlight, 128GB, Logic Board Assy Rear System, ROW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0" t="str">
        <f t="shared" si="1"/>
        <v>January</v>
      </c>
      <c r="B103" s="11">
        <f>IFERROR(__xludf.DUMMYFUNCTION("""COMPUTED_VALUE"""),46031.0)</f>
        <v>46031</v>
      </c>
      <c r="C103" s="2" t="str">
        <f>IFERROR(__xludf.DUMMYFUNCTION("""COMPUTED_VALUE"""),"MOBILECARE - DAVAO")</f>
        <v>MOBILECARE - DAVAO</v>
      </c>
      <c r="D103" s="2" t="str">
        <f>IFERROR(__xludf.DUMMYFUNCTION("""COMPUTED_VALUE"""),"PP661-23454")</f>
        <v>PP661-23454</v>
      </c>
      <c r="E103" s="2" t="str">
        <f>IFERROR(__xludf.DUMMYFUNCTION("""COMPUTED_VALUE"""),"iPhone 13, Midnight, 128GB, Logic Board Assy Rear System, ROW")</f>
        <v>iPhone 13, Midnight, 128GB, Logic Board Assy Rear System, ROW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0" t="str">
        <f t="shared" si="1"/>
        <v>January</v>
      </c>
      <c r="B104" s="11">
        <f>IFERROR(__xludf.DUMMYFUNCTION("""COMPUTED_VALUE"""),46024.0)</f>
        <v>46024</v>
      </c>
      <c r="C104" s="2" t="str">
        <f>IFERROR(__xludf.DUMMYFUNCTION("""COMPUTED_VALUE"""),"MOBILECARE - DAVAO")</f>
        <v>MOBILECARE - DAVAO</v>
      </c>
      <c r="D104" s="2" t="str">
        <f>IFERROR(__xludf.DUMMYFUNCTION("""COMPUTED_VALUE"""),"TA661-36894")</f>
        <v>TA661-36894</v>
      </c>
      <c r="E104" s="2" t="str">
        <f>IFERROR(__xludf.DUMMYFUNCTION("""COMPUTED_VALUE"""),"Black, iPhone 15 Pro Max, 256GB, ROW, CI/AR, Taiwan")</f>
        <v>Black, iPhone 15 Pro Max, 256GB, ROW, CI/AR, Taiwan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0" t="str">
        <f t="shared" si="1"/>
        <v>January</v>
      </c>
      <c r="B105" s="11">
        <f>IFERROR(__xludf.DUMMYFUNCTION("""COMPUTED_VALUE"""),46033.0)</f>
        <v>46033</v>
      </c>
      <c r="C105" s="2" t="str">
        <f>IFERROR(__xludf.DUMMYFUNCTION("""COMPUTED_VALUE"""),"MOBILECARE - DAVAO")</f>
        <v>MOBILECARE - DAVAO</v>
      </c>
      <c r="D105" s="2" t="str">
        <f>IFERROR(__xludf.DUMMYFUNCTION("""COMPUTED_VALUE"""),"PP661-23455")</f>
        <v>PP661-23455</v>
      </c>
      <c r="E105" s="2" t="str">
        <f>IFERROR(__xludf.DUMMYFUNCTION("""COMPUTED_VALUE"""),"iPhone 13, Starlight, 128GB, Logic Board Assy Rear System, ROW")</f>
        <v>iPhone 13, Starlight, 128GB, Logic Board Assy Rear System, ROW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0" t="str">
        <f t="shared" si="1"/>
        <v>January</v>
      </c>
      <c r="B106" s="11">
        <f>IFERROR(__xludf.DUMMYFUNCTION("""COMPUTED_VALUE"""),46025.0)</f>
        <v>46025</v>
      </c>
      <c r="C106" s="2" t="str">
        <f>IFERROR(__xludf.DUMMYFUNCTION("""COMPUTED_VALUE"""),"MOBILECARE - DAVAO")</f>
        <v>MOBILECARE - DAVAO</v>
      </c>
      <c r="D106" s="2" t="str">
        <f>IFERROR(__xludf.DUMMYFUNCTION("""COMPUTED_VALUE"""),"TA661-43608")</f>
        <v>TA661-43608</v>
      </c>
      <c r="E106" s="2" t="str">
        <f>IFERROR(__xludf.DUMMYFUNCTION("""COMPUTED_VALUE"""),"128GB, Ultramarine, ROW, iPhone 16, Logic Board Assy Mid System")</f>
        <v>128GB, Ultramarine, ROW, iPhone 16, Logic Board Assy Mid System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0" t="str">
        <f t="shared" si="1"/>
        <v>January</v>
      </c>
      <c r="B107" s="11">
        <f>IFERROR(__xludf.DUMMYFUNCTION("""COMPUTED_VALUE"""),46026.0)</f>
        <v>46026</v>
      </c>
      <c r="C107" s="2" t="str">
        <f>IFERROR(__xludf.DUMMYFUNCTION("""COMPUTED_VALUE"""),"MOBILECARE - DAVAO")</f>
        <v>MOBILECARE - DAVAO</v>
      </c>
      <c r="D107" s="2" t="str">
        <f>IFERROR(__xludf.DUMMYFUNCTION("""COMPUTED_VALUE"""),"PP661-28871")</f>
        <v>PP661-28871</v>
      </c>
      <c r="E107" s="2" t="str">
        <f>IFERROR(__xludf.DUMMYFUNCTION("""COMPUTED_VALUE"""),"iPhone 14, Blue, 128GB, Logic Board Assy Mid System, ROW")</f>
        <v>iPhone 14, Blue, 128GB, Logic Board Assy Mid System, ROW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0" t="str">
        <f t="shared" si="1"/>
        <v>January</v>
      </c>
      <c r="B108" s="11">
        <f>IFERROR(__xludf.DUMMYFUNCTION("""COMPUTED_VALUE"""),46028.0)</f>
        <v>46028</v>
      </c>
      <c r="C108" s="2" t="str">
        <f>IFERROR(__xludf.DUMMYFUNCTION("""COMPUTED_VALUE"""),"MOBILECARE - DAVAO")</f>
        <v>MOBILECARE - DAVAO</v>
      </c>
      <c r="D108" s="2" t="str">
        <f>IFERROR(__xludf.DUMMYFUNCTION("""COMPUTED_VALUE"""),"TA661-36694")</f>
        <v>TA661-36694</v>
      </c>
      <c r="E108" s="2" t="str">
        <f>IFERROR(__xludf.DUMMYFUNCTION("""COMPUTED_VALUE"""),"iPhone 15, Blue, 128GB, Logic Board Assy Mid System, ROW")</f>
        <v>iPhone 15, Blue, 128GB, Logic Board Assy Mid System, ROW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0" t="str">
        <f t="shared" si="1"/>
        <v>January</v>
      </c>
      <c r="B109" s="11">
        <f>IFERROR(__xludf.DUMMYFUNCTION("""COMPUTED_VALUE"""),46053.0)</f>
        <v>46053</v>
      </c>
      <c r="C109" s="2" t="str">
        <f>IFERROR(__xludf.DUMMYFUNCTION("""COMPUTED_VALUE"""),"MOBILECARE - DAVAO")</f>
        <v>MOBILECARE - DAVAO</v>
      </c>
      <c r="D109" s="2" t="str">
        <f>IFERROR(__xludf.DUMMYFUNCTION("""COMPUTED_VALUE"""),"PP661-23454")</f>
        <v>PP661-23454</v>
      </c>
      <c r="E109" s="2" t="str">
        <f>IFERROR(__xludf.DUMMYFUNCTION("""COMPUTED_VALUE"""),"iPhone 13, Midnight, 128GB, Logic Board Assy Rear System, ROW")</f>
        <v>iPhone 13, Midnight, 128GB, Logic Board Assy Rear System, ROW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0" t="str">
        <f t="shared" si="1"/>
        <v>January</v>
      </c>
      <c r="B110" s="11">
        <f>IFERROR(__xludf.DUMMYFUNCTION("""COMPUTED_VALUE"""),46053.0)</f>
        <v>46053</v>
      </c>
      <c r="C110" s="2" t="str">
        <f>IFERROR(__xludf.DUMMYFUNCTION("""COMPUTED_VALUE"""),"MOBILECARE - DAVAO")</f>
        <v>MOBILECARE - DAVAO</v>
      </c>
      <c r="D110" s="2" t="str">
        <f>IFERROR(__xludf.DUMMYFUNCTION("""COMPUTED_VALUE"""),"PP661-23454")</f>
        <v>PP661-23454</v>
      </c>
      <c r="E110" s="2" t="str">
        <f>IFERROR(__xludf.DUMMYFUNCTION("""COMPUTED_VALUE"""),"iPhone 13, Midnight, 128GB, Logic Board Assy Rear System, ROW")</f>
        <v>iPhone 13, Midnight, 128GB, Logic Board Assy Rear System, ROW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0" t="str">
        <f t="shared" si="1"/>
        <v>January</v>
      </c>
      <c r="B111" s="11">
        <f>IFERROR(__xludf.DUMMYFUNCTION("""COMPUTED_VALUE"""),46025.0)</f>
        <v>46025</v>
      </c>
      <c r="C111" s="2" t="str">
        <f>IFERROR(__xludf.DUMMYFUNCTION("""COMPUTED_VALUE"""),"MOBILECARE - DAVAO")</f>
        <v>MOBILECARE - DAVAO</v>
      </c>
      <c r="D111" s="2" t="str">
        <f>IFERROR(__xludf.DUMMYFUNCTION("""COMPUTED_VALUE"""),"661-42845")</f>
        <v>661-42845</v>
      </c>
      <c r="E111" s="2" t="str">
        <f>IFERROR(__xludf.DUMMYFUNCTION("""COMPUTED_VALUE"""),"Camera, iPhone 16 Plus")</f>
        <v>Camera, iPhone 16 Plus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0" t="str">
        <f t="shared" si="1"/>
        <v>January</v>
      </c>
      <c r="B112" s="11">
        <f>IFERROR(__xludf.DUMMYFUNCTION("""COMPUTED_VALUE"""),46025.0)</f>
        <v>46025</v>
      </c>
      <c r="C112" s="2" t="str">
        <f>IFERROR(__xludf.DUMMYFUNCTION("""COMPUTED_VALUE"""),"MOBILECARE - DAVAO")</f>
        <v>MOBILECARE - DAVAO</v>
      </c>
      <c r="D112" s="2" t="str">
        <f>IFERROR(__xludf.DUMMYFUNCTION("""COMPUTED_VALUE"""),"TA661-45232")</f>
        <v>TA661-45232</v>
      </c>
      <c r="E112" s="2" t="str">
        <f>IFERROR(__xludf.DUMMYFUNCTION("""COMPUTED_VALUE"""),"128GB, White, ROW, iPhone 16 Plus, Logic Board Assy Mid System")</f>
        <v>128GB, White, ROW, iPhone 16 Plus, Logic Board Assy Mid System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0" t="str">
        <f t="shared" si="1"/>
        <v>January</v>
      </c>
      <c r="B113" s="11">
        <f>IFERROR(__xludf.DUMMYFUNCTION("""COMPUTED_VALUE"""),46025.0)</f>
        <v>46025</v>
      </c>
      <c r="C113" s="2" t="str">
        <f>IFERROR(__xludf.DUMMYFUNCTION("""COMPUTED_VALUE"""),"MOBILECARE - DAVAO")</f>
        <v>MOBILECARE - DAVAO</v>
      </c>
      <c r="D113" s="2" t="str">
        <f>IFERROR(__xludf.DUMMYFUNCTION("""COMPUTED_VALUE"""),"TA661-45232")</f>
        <v>TA661-45232</v>
      </c>
      <c r="E113" s="2" t="str">
        <f>IFERROR(__xludf.DUMMYFUNCTION("""COMPUTED_VALUE"""),"128GB, White, ROW, iPhone 16 Plus, Logic Board Assy Mid System")</f>
        <v>128GB, White, ROW, iPhone 16 Plus, Logic Board Assy Mid System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0" t="str">
        <f t="shared" si="1"/>
        <v>January</v>
      </c>
      <c r="B114" s="11">
        <f>IFERROR(__xludf.DUMMYFUNCTION("""COMPUTED_VALUE"""),46030.0)</f>
        <v>46030</v>
      </c>
      <c r="C114" s="2" t="str">
        <f>IFERROR(__xludf.DUMMYFUNCTION("""COMPUTED_VALUE"""),"MOBILECARE - DAVAO")</f>
        <v>MOBILECARE - DAVAO</v>
      </c>
      <c r="D114" s="2" t="str">
        <f>IFERROR(__xludf.DUMMYFUNCTION("""COMPUTED_VALUE"""),"PP661-23455")</f>
        <v>PP661-23455</v>
      </c>
      <c r="E114" s="2" t="str">
        <f>IFERROR(__xludf.DUMMYFUNCTION("""COMPUTED_VALUE"""),"iPhone 13, Starlight, 128GB, Logic Board Assy Rear System, ROW")</f>
        <v>iPhone 13, Starlight, 128GB, Logic Board Assy Rear System, ROW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0" t="str">
        <f t="shared" si="1"/>
        <v>January</v>
      </c>
      <c r="B115" s="11">
        <f>IFERROR(__xludf.DUMMYFUNCTION("""COMPUTED_VALUE"""),46030.0)</f>
        <v>46030</v>
      </c>
      <c r="C115" s="2" t="str">
        <f>IFERROR(__xludf.DUMMYFUNCTION("""COMPUTED_VALUE"""),"MOBILECARE - DAVAO")</f>
        <v>MOBILECARE - DAVAO</v>
      </c>
      <c r="D115" s="2" t="str">
        <f>IFERROR(__xludf.DUMMYFUNCTION("""COMPUTED_VALUE"""),"PP661-23455")</f>
        <v>PP661-23455</v>
      </c>
      <c r="E115" s="2" t="str">
        <f>IFERROR(__xludf.DUMMYFUNCTION("""COMPUTED_VALUE"""),"iPhone 13, Starlight, 128GB, Logic Board Assy Rear System, ROW")</f>
        <v>iPhone 13, Starlight, 128GB, Logic Board Assy Rear System, ROW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0" t="str">
        <f t="shared" si="1"/>
        <v>January</v>
      </c>
      <c r="B116" s="11">
        <f>IFERROR(__xludf.DUMMYFUNCTION("""COMPUTED_VALUE"""),46029.0)</f>
        <v>46029</v>
      </c>
      <c r="C116" s="2" t="str">
        <f>IFERROR(__xludf.DUMMYFUNCTION("""COMPUTED_VALUE"""),"MOBILECARE - DAVAO")</f>
        <v>MOBILECARE - DAVAO</v>
      </c>
      <c r="D116" s="2" t="str">
        <f>IFERROR(__xludf.DUMMYFUNCTION("""COMPUTED_VALUE"""),"PP661-23455")</f>
        <v>PP661-23455</v>
      </c>
      <c r="E116" s="2" t="str">
        <f>IFERROR(__xludf.DUMMYFUNCTION("""COMPUTED_VALUE"""),"iPhone 13, Starlight, 128GB, Logic Board Assy Rear System, ROW")</f>
        <v>iPhone 13, Starlight, 128GB, Logic Board Assy Rear System, ROW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0" t="str">
        <f t="shared" si="1"/>
        <v>January</v>
      </c>
      <c r="B117" s="11">
        <f>IFERROR(__xludf.DUMMYFUNCTION("""COMPUTED_VALUE"""),46029.0)</f>
        <v>46029</v>
      </c>
      <c r="C117" s="2" t="str">
        <f>IFERROR(__xludf.DUMMYFUNCTION("""COMPUTED_VALUE"""),"MOBILECARE - DAVAO")</f>
        <v>MOBILECARE - DAVAO</v>
      </c>
      <c r="D117" s="2" t="str">
        <f>IFERROR(__xludf.DUMMYFUNCTION("""COMPUTED_VALUE"""),"PP661-23455")</f>
        <v>PP661-23455</v>
      </c>
      <c r="E117" s="2" t="str">
        <f>IFERROR(__xludf.DUMMYFUNCTION("""COMPUTED_VALUE"""),"iPhone 13, Starlight, 128GB, Logic Board Assy Rear System, ROW")</f>
        <v>iPhone 13, Starlight, 128GB, Logic Board Assy Rear System, ROW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0" t="str">
        <f t="shared" si="1"/>
        <v>January</v>
      </c>
      <c r="B118" s="11">
        <f>IFERROR(__xludf.DUMMYFUNCTION("""COMPUTED_VALUE"""),46025.0)</f>
        <v>46025</v>
      </c>
      <c r="C118" s="2" t="str">
        <f>IFERROR(__xludf.DUMMYFUNCTION("""COMPUTED_VALUE"""),"MOBILECARE - DAVAO")</f>
        <v>MOBILECARE - DAVAO</v>
      </c>
      <c r="D118" s="2" t="str">
        <f>IFERROR(__xludf.DUMMYFUNCTION("""COMPUTED_VALUE"""),"PP661-23455")</f>
        <v>PP661-23455</v>
      </c>
      <c r="E118" s="2" t="str">
        <f>IFERROR(__xludf.DUMMYFUNCTION("""COMPUTED_VALUE"""),"iPhone 13, Starlight, 128GB, Logic Board Assy Rear System, ROW")</f>
        <v>iPhone 13, Starlight, 128GB, Logic Board Assy Rear System, ROW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0" t="str">
        <f t="shared" si="1"/>
        <v>January</v>
      </c>
      <c r="B119" s="11">
        <f>IFERROR(__xludf.DUMMYFUNCTION("""COMPUTED_VALUE"""),46025.0)</f>
        <v>46025</v>
      </c>
      <c r="C119" s="2" t="str">
        <f>IFERROR(__xludf.DUMMYFUNCTION("""COMPUTED_VALUE"""),"MOBILECARE - DAVAO")</f>
        <v>MOBILECARE - DAVAO</v>
      </c>
      <c r="D119" s="2" t="str">
        <f>IFERROR(__xludf.DUMMYFUNCTION("""COMPUTED_VALUE"""),"PP661-23455")</f>
        <v>PP661-23455</v>
      </c>
      <c r="E119" s="2" t="str">
        <f>IFERROR(__xludf.DUMMYFUNCTION("""COMPUTED_VALUE"""),"iPhone 13, Starlight, 128GB, Logic Board Assy Rear System, ROW")</f>
        <v>iPhone 13, Starlight, 128GB, Logic Board Assy Rear System, ROW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0" t="str">
        <f t="shared" si="1"/>
        <v>June</v>
      </c>
      <c r="B120" s="11">
        <f>IFERROR(__xludf.DUMMYFUNCTION("""COMPUTED_VALUE"""),46187.0)</f>
        <v>46187</v>
      </c>
      <c r="C120" s="2" t="str">
        <f>IFERROR(__xludf.DUMMYFUNCTION("""COMPUTED_VALUE"""),"MOBILECARE - SM MARIKINA")</f>
        <v>MOBILECARE - SM MARIKINA</v>
      </c>
      <c r="D120" s="2" t="str">
        <f>IFERROR(__xludf.DUMMYFUNCTION("""COMPUTED_VALUE"""),"661-21991")</f>
        <v>661-21991</v>
      </c>
      <c r="E120" s="2" t="str">
        <f>IFERROR(__xludf.DUMMYFUNCTION("""COMPUTED_VALUE"""),"Battery, iPhone 13")</f>
        <v>Battery, iPhone 13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0" t="str">
        <f t="shared" si="1"/>
        <v>May</v>
      </c>
      <c r="B121" s="11">
        <f>IFERROR(__xludf.DUMMYFUNCTION("""COMPUTED_VALUE"""),46148.0)</f>
        <v>46148</v>
      </c>
      <c r="C121" s="2" t="str">
        <f>IFERROR(__xludf.DUMMYFUNCTION("""COMPUTED_VALUE"""),"MOBILECARE - SM MARIKINA")</f>
        <v>MOBILECARE - SM MARIKINA</v>
      </c>
      <c r="D121" s="2" t="str">
        <f>IFERROR(__xludf.DUMMYFUNCTION("""COMPUTED_VALUE"""),"923-13285")</f>
        <v>923-13285</v>
      </c>
      <c r="E121" s="2" t="str">
        <f>IFERROR(__xludf.DUMMYFUNCTION("""COMPUTED_VALUE"""),"Green, Case, iPhone 17 Pro Max, Techwoven")</f>
        <v>Green, Case, iPhone 17 Pro Max, Techwoven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0" t="str">
        <f t="shared" si="1"/>
        <v>April</v>
      </c>
      <c r="B122" s="11">
        <f>IFERROR(__xludf.DUMMYFUNCTION("""COMPUTED_VALUE"""),46135.0)</f>
        <v>46135</v>
      </c>
      <c r="C122" s="2" t="str">
        <f>IFERROR(__xludf.DUMMYFUNCTION("""COMPUTED_VALUE"""),"MOBILECARE - SM MARIKINA")</f>
        <v>MOBILECARE - SM MARIKINA</v>
      </c>
      <c r="D122" s="2" t="str">
        <f>IFERROR(__xludf.DUMMYFUNCTION("""COMPUTED_VALUE"""),"661-30382")</f>
        <v>661-30382</v>
      </c>
      <c r="E122" s="2" t="str">
        <f>IFERROR(__xludf.DUMMYFUNCTION("""COMPUTED_VALUE"""),"Battery, iPhone 14 Pro")</f>
        <v>Battery, iPhone 14 Pro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0" t="str">
        <f t="shared" si="1"/>
        <v>April</v>
      </c>
      <c r="B123" s="11">
        <f>IFERROR(__xludf.DUMMYFUNCTION("""COMPUTED_VALUE"""),46123.0)</f>
        <v>46123</v>
      </c>
      <c r="C123" s="2" t="str">
        <f>IFERROR(__xludf.DUMMYFUNCTION("""COMPUTED_VALUE"""),"MOBILECARE - SM MARIKINA")</f>
        <v>MOBILECARE - SM MARIKINA</v>
      </c>
      <c r="D123" s="2" t="str">
        <f>IFERROR(__xludf.DUMMYFUNCTION("""COMPUTED_VALUE"""),"661-21991")</f>
        <v>661-21991</v>
      </c>
      <c r="E123" s="2" t="str">
        <f>IFERROR(__xludf.DUMMYFUNCTION("""COMPUTED_VALUE"""),"Battery, iPhone 13")</f>
        <v>Battery, iPhone 13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0" t="str">
        <f t="shared" si="1"/>
        <v>April</v>
      </c>
      <c r="B124" s="11">
        <f>IFERROR(__xludf.DUMMYFUNCTION("""COMPUTED_VALUE"""),46114.0)</f>
        <v>46114</v>
      </c>
      <c r="C124" s="2" t="str">
        <f>IFERROR(__xludf.DUMMYFUNCTION("""COMPUTED_VALUE"""),"MOBILECARE - SM MARIKINA")</f>
        <v>MOBILECARE - SM MARIKINA</v>
      </c>
      <c r="D124" s="2" t="str">
        <f>IFERROR(__xludf.DUMMYFUNCTION("""COMPUTED_VALUE"""),"661-44955")</f>
        <v>661-44955</v>
      </c>
      <c r="E124" s="2" t="str">
        <f>IFERROR(__xludf.DUMMYFUNCTION("""COMPUTED_VALUE"""),"Display, iPhone 16 Pro Max")</f>
        <v>Display, iPhone 16 Pro Max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0" t="str">
        <f t="shared" si="1"/>
        <v>March</v>
      </c>
      <c r="B125" s="11">
        <f>IFERROR(__xludf.DUMMYFUNCTION("""COMPUTED_VALUE"""),46100.0)</f>
        <v>46100</v>
      </c>
      <c r="C125" s="2" t="str">
        <f>IFERROR(__xludf.DUMMYFUNCTION("""COMPUTED_VALUE"""),"MOBILECARE - SM MARIKINA")</f>
        <v>MOBILECARE - SM MARIKINA</v>
      </c>
      <c r="D125" s="2" t="str">
        <f>IFERROR(__xludf.DUMMYFUNCTION("""COMPUTED_VALUE"""),"661-44798")</f>
        <v>661-44798</v>
      </c>
      <c r="E125" s="2" t="str">
        <f>IFERROR(__xludf.DUMMYFUNCTION("""COMPUTED_VALUE"""),"TrueDepth Camera, iPhone 16")</f>
        <v>TrueDepth Camera, iPhone 16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0" t="str">
        <f t="shared" si="1"/>
        <v>March</v>
      </c>
      <c r="B126" s="11">
        <f>IFERROR(__xludf.DUMMYFUNCTION("""COMPUTED_VALUE"""),46096.0)</f>
        <v>46096</v>
      </c>
      <c r="C126" s="2" t="str">
        <f>IFERROR(__xludf.DUMMYFUNCTION("""COMPUTED_VALUE"""),"MOBILECARE - SM MARIKINA")</f>
        <v>MOBILECARE - SM MARIKINA</v>
      </c>
      <c r="D126" s="2" t="str">
        <f>IFERROR(__xludf.DUMMYFUNCTION("""COMPUTED_VALUE"""),"661-35694")</f>
        <v>661-35694</v>
      </c>
      <c r="E126" s="2" t="str">
        <f>IFERROR(__xludf.DUMMYFUNCTION("""COMPUTED_VALUE"""),"Battery, iPhone 15 Pro")</f>
        <v>Battery, iPhone 15 Pro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0" t="str">
        <f t="shared" si="1"/>
        <v>March</v>
      </c>
      <c r="B127" s="11">
        <f>IFERROR(__xludf.DUMMYFUNCTION("""COMPUTED_VALUE"""),46085.0)</f>
        <v>46085</v>
      </c>
      <c r="C127" s="2" t="str">
        <f>IFERROR(__xludf.DUMMYFUNCTION("""COMPUTED_VALUE"""),"MOBILECARE - SM MARIKINA")</f>
        <v>MOBILECARE - SM MARIKINA</v>
      </c>
      <c r="D127" s="2" t="str">
        <f>IFERROR(__xludf.DUMMYFUNCTION("""COMPUTED_VALUE"""),"661-21991")</f>
        <v>661-21991</v>
      </c>
      <c r="E127" s="2" t="str">
        <f>IFERROR(__xludf.DUMMYFUNCTION("""COMPUTED_VALUE"""),"Battery, iPhone 13")</f>
        <v>Battery, iPhone 13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0" t="str">
        <f t="shared" si="1"/>
        <v>February</v>
      </c>
      <c r="B128" s="11">
        <f>IFERROR(__xludf.DUMMYFUNCTION("""COMPUTED_VALUE"""),46079.0)</f>
        <v>46079</v>
      </c>
      <c r="C128" s="2" t="str">
        <f>IFERROR(__xludf.DUMMYFUNCTION("""COMPUTED_VALUE"""),"MOBILECARE - SM MARIKINA")</f>
        <v>MOBILECARE - SM MARIKINA</v>
      </c>
      <c r="D128" s="2" t="str">
        <f>IFERROR(__xludf.DUMMYFUNCTION("""COMPUTED_VALUE"""),"661-30397")</f>
        <v>661-30397</v>
      </c>
      <c r="E128" s="2" t="str">
        <f>IFERROR(__xludf.DUMMYFUNCTION("""COMPUTED_VALUE"""),"Battery, iPhone 14 Pro Max")</f>
        <v>Battery, iPhone 14 Pro Max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0" t="str">
        <f t="shared" si="1"/>
        <v>February</v>
      </c>
      <c r="B129" s="11">
        <f>IFERROR(__xludf.DUMMYFUNCTION("""COMPUTED_VALUE"""),46065.0)</f>
        <v>46065</v>
      </c>
      <c r="C129" s="2" t="str">
        <f>IFERROR(__xludf.DUMMYFUNCTION("""COMPUTED_VALUE"""),"MOBILECARE - SM MARIKINA")</f>
        <v>MOBILECARE - SM MARIKINA</v>
      </c>
      <c r="D129" s="2" t="str">
        <f>IFERROR(__xludf.DUMMYFUNCTION("""COMPUTED_VALUE"""),"661-44955")</f>
        <v>661-44955</v>
      </c>
      <c r="E129" s="2" t="str">
        <f>IFERROR(__xludf.DUMMYFUNCTION("""COMPUTED_VALUE"""),"Display, iPhone 16 Pro Max")</f>
        <v>Display, iPhone 16 Pro Max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0" t="str">
        <f t="shared" si="1"/>
        <v>January</v>
      </c>
      <c r="B130" s="11">
        <f>IFERROR(__xludf.DUMMYFUNCTION("""COMPUTED_VALUE"""),46036.0)</f>
        <v>46036</v>
      </c>
      <c r="C130" s="2" t="str">
        <f>IFERROR(__xludf.DUMMYFUNCTION("""COMPUTED_VALUE"""),"MOBILECARE - SM MARIKINA")</f>
        <v>MOBILECARE - SM MARIKINA</v>
      </c>
      <c r="D130" s="2" t="str">
        <f>IFERROR(__xludf.DUMMYFUNCTION("""COMPUTED_VALUE"""),"661-42726")</f>
        <v>661-42726</v>
      </c>
      <c r="E130" s="2" t="str">
        <f>IFERROR(__xludf.DUMMYFUNCTION("""COMPUTED_VALUE"""),"Display, iPhone 16 Pro")</f>
        <v>Display, iPhone 16 Pro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0" t="str">
        <f t="shared" si="1"/>
        <v>January</v>
      </c>
      <c r="B131" s="11">
        <f>IFERROR(__xludf.DUMMYFUNCTION("""COMPUTED_VALUE"""),46032.0)</f>
        <v>46032</v>
      </c>
      <c r="C131" s="2" t="str">
        <f>IFERROR(__xludf.DUMMYFUNCTION("""COMPUTED_VALUE"""),"MOBILECARE - SM MARIKINA")</f>
        <v>MOBILECARE - SM MARIKINA</v>
      </c>
      <c r="D131" s="2" t="str">
        <f>IFERROR(__xludf.DUMMYFUNCTION("""COMPUTED_VALUE"""),"661-21991")</f>
        <v>661-21991</v>
      </c>
      <c r="E131" s="2" t="str">
        <f>IFERROR(__xludf.DUMMYFUNCTION("""COMPUTED_VALUE"""),"Battery, iPhone 13")</f>
        <v>Battery, iPhone 13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0" t="str">
        <f t="shared" si="1"/>
        <v>January</v>
      </c>
      <c r="B132" s="11">
        <f>IFERROR(__xludf.DUMMYFUNCTION("""COMPUTED_VALUE"""),46043.0)</f>
        <v>46043</v>
      </c>
      <c r="C132" s="2" t="str">
        <f>IFERROR(__xludf.DUMMYFUNCTION("""COMPUTED_VALUE"""),"MOBILECARE - SM MARIKINA")</f>
        <v>MOBILECARE - SM MARIKINA</v>
      </c>
      <c r="D132" s="2" t="str">
        <f>IFERROR(__xludf.DUMMYFUNCTION("""COMPUTED_VALUE"""),"661-17920")</f>
        <v>661-17920</v>
      </c>
      <c r="E132" s="2" t="str">
        <f>IFERROR(__xludf.DUMMYFUNCTION("""COMPUTED_VALUE"""),"Battery, iPhone 12 and 12 Pro")</f>
        <v>Battery, iPhone 12 and 12 Pro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0" t="str">
        <f t="shared" si="1"/>
        <v>April</v>
      </c>
      <c r="B133" s="11">
        <f>IFERROR(__xludf.DUMMYFUNCTION("""COMPUTED_VALUE"""),46129.0)</f>
        <v>46129</v>
      </c>
      <c r="C133" s="2" t="str">
        <f>IFERROR(__xludf.DUMMYFUNCTION("""COMPUTED_VALUE"""),"MOBILECARE - SM MARIKINA")</f>
        <v>MOBILECARE - SM MARIKINA</v>
      </c>
      <c r="D133" s="2" t="str">
        <f>IFERROR(__xludf.DUMMYFUNCTION("""COMPUTED_VALUE"""),"661-22294")</f>
        <v>661-22294</v>
      </c>
      <c r="E133" s="2" t="str">
        <f>IFERROR(__xludf.DUMMYFUNCTION("""COMPUTED_VALUE"""),"Battery, iPhone 13 Pro Max")</f>
        <v>Battery, iPhone 13 Pro Max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0" t="str">
        <f t="shared" si="1"/>
        <v>January</v>
      </c>
      <c r="B134" s="11">
        <f>IFERROR(__xludf.DUMMYFUNCTION("""COMPUTED_VALUE"""),46046.0)</f>
        <v>46046</v>
      </c>
      <c r="C134" s="2" t="str">
        <f>IFERROR(__xludf.DUMMYFUNCTION("""COMPUTED_VALUE"""),"MOBILECARE - SM MARIKINA")</f>
        <v>MOBILECARE - SM MARIKINA</v>
      </c>
      <c r="D134" s="2" t="str">
        <f>IFERROR(__xludf.DUMMYFUNCTION("""COMPUTED_VALUE"""),"661-18428")</f>
        <v>661-18428</v>
      </c>
      <c r="E134" s="2" t="str">
        <f>IFERROR(__xludf.DUMMYFUNCTION("""COMPUTED_VALUE"""),"Battery, iPhone 12 Pro Max")</f>
        <v>Battery, iPhone 12 Pro Max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0" t="str">
        <f t="shared" si="1"/>
        <v>January</v>
      </c>
      <c r="B135" s="11">
        <f>IFERROR(__xludf.DUMMYFUNCTION("""COMPUTED_VALUE"""),46046.0)</f>
        <v>46046</v>
      </c>
      <c r="C135" s="2" t="str">
        <f>IFERROR(__xludf.DUMMYFUNCTION("""COMPUTED_VALUE"""),"MOBILECARE - SM MARIKINA")</f>
        <v>MOBILECARE - SM MARIKINA</v>
      </c>
      <c r="D135" s="2" t="str">
        <f>IFERROR(__xludf.DUMMYFUNCTION("""COMPUTED_VALUE"""),"661-18466")</f>
        <v>661-18466</v>
      </c>
      <c r="E135" s="2" t="str">
        <f>IFERROR(__xludf.DUMMYFUNCTION("""COMPUTED_VALUE"""),"Display, iPhone 12 Pro Max")</f>
        <v>Display, iPhone 12 Pro Max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0" t="str">
        <f t="shared" si="1"/>
        <v>January</v>
      </c>
      <c r="B136" s="11">
        <f>IFERROR(__xludf.DUMMYFUNCTION("""COMPUTED_VALUE"""),46039.0)</f>
        <v>46039</v>
      </c>
      <c r="C136" s="2" t="str">
        <f>IFERROR(__xludf.DUMMYFUNCTION("""COMPUTED_VALUE"""),"MOBILECARE - SM MARIKINA")</f>
        <v>MOBILECARE - SM MARIKINA</v>
      </c>
      <c r="D136" s="2" t="str">
        <f>IFERROR(__xludf.DUMMYFUNCTION("""COMPUTED_VALUE"""),"661-22374")</f>
        <v>661-22374</v>
      </c>
      <c r="E136" s="2" t="str">
        <f>IFERROR(__xludf.DUMMYFUNCTION("""COMPUTED_VALUE"""),"Battery, iPhone 13 mini")</f>
        <v>Battery, iPhone 13 mini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0" t="str">
        <f t="shared" si="1"/>
        <v>January</v>
      </c>
      <c r="B137" s="11">
        <f>IFERROR(__xludf.DUMMYFUNCTION("""COMPUTED_VALUE"""),46042.0)</f>
        <v>46042</v>
      </c>
      <c r="C137" s="2" t="str">
        <f>IFERROR(__xludf.DUMMYFUNCTION("""COMPUTED_VALUE"""),"MOBILECARE - SM MARIKINA")</f>
        <v>MOBILECARE - SM MARIKINA</v>
      </c>
      <c r="D137" s="2" t="str">
        <f>IFERROR(__xludf.DUMMYFUNCTION("""COMPUTED_VALUE"""),"661-21993")</f>
        <v>661-21993</v>
      </c>
      <c r="E137" s="2" t="str">
        <f>IFERROR(__xludf.DUMMYFUNCTION("""COMPUTED_VALUE"""),"Display, iPhone 13 Pro")</f>
        <v>Display, iPhone 13 Pro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0" t="str">
        <f t="shared" si="1"/>
        <v>January</v>
      </c>
      <c r="B138" s="11">
        <f>IFERROR(__xludf.DUMMYFUNCTION("""COMPUTED_VALUE"""),46039.0)</f>
        <v>46039</v>
      </c>
      <c r="C138" s="2" t="str">
        <f>IFERROR(__xludf.DUMMYFUNCTION("""COMPUTED_VALUE"""),"MOBILECARE - SM MARIKINA")</f>
        <v>MOBILECARE - SM MARIKINA</v>
      </c>
      <c r="D138" s="2" t="str">
        <f>IFERROR(__xludf.DUMMYFUNCTION("""COMPUTED_VALUE"""),"661-30366")</f>
        <v>661-30366</v>
      </c>
      <c r="E138" s="2" t="str">
        <f>IFERROR(__xludf.DUMMYFUNCTION("""COMPUTED_VALUE"""),"Display, iPhone 14")</f>
        <v>Display, iPhone 14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0" t="str">
        <f t="shared" si="1"/>
        <v>January</v>
      </c>
      <c r="B139" s="11">
        <f>IFERROR(__xludf.DUMMYFUNCTION("""COMPUTED_VALUE"""),46033.0)</f>
        <v>46033</v>
      </c>
      <c r="C139" s="2" t="str">
        <f>IFERROR(__xludf.DUMMYFUNCTION("""COMPUTED_VALUE"""),"MOBILECARE - SM MARIKINA")</f>
        <v>MOBILECARE - SM MARIKINA</v>
      </c>
      <c r="D139" s="2" t="str">
        <f>IFERROR(__xludf.DUMMYFUNCTION("""COMPUTED_VALUE"""),"661-22309")</f>
        <v>661-22309</v>
      </c>
      <c r="E139" s="2" t="str">
        <f>IFERROR(__xludf.DUMMYFUNCTION("""COMPUTED_VALUE"""),"Display, iPhone 13 Pro Max")</f>
        <v>Display, iPhone 13 Pro Max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0" t="str">
        <f t="shared" si="1"/>
        <v>January</v>
      </c>
      <c r="B140" s="11">
        <f>IFERROR(__xludf.DUMMYFUNCTION("""COMPUTED_VALUE"""),46047.0)</f>
        <v>46047</v>
      </c>
      <c r="C140" s="2" t="str">
        <f>IFERROR(__xludf.DUMMYFUNCTION("""COMPUTED_VALUE"""),"MOBILECARE - SM MARIKINA")</f>
        <v>MOBILECARE - SM MARIKINA</v>
      </c>
      <c r="D140" s="2" t="str">
        <f>IFERROR(__xludf.DUMMYFUNCTION("""COMPUTED_VALUE"""),"PP661-22981")</f>
        <v>PP661-22981</v>
      </c>
      <c r="E140" s="2" t="str">
        <f>IFERROR(__xludf.DUMMYFUNCTION("""COMPUTED_VALUE"""),"Starlight, 128 GB, iPhone 13, ROW, CI/AR, Philippines")</f>
        <v>Starlight, 128 GB, iPhone 13, ROW, CI/AR, Philippines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0" t="str">
        <f t="shared" si="1"/>
        <v>January</v>
      </c>
      <c r="B141" s="11">
        <f>IFERROR(__xludf.DUMMYFUNCTION("""COMPUTED_VALUE"""),46035.0)</f>
        <v>46035</v>
      </c>
      <c r="C141" s="2" t="str">
        <f>IFERROR(__xludf.DUMMYFUNCTION("""COMPUTED_VALUE"""),"MOBILECARE - SM MARIKINA")</f>
        <v>MOBILECARE - SM MARIKINA</v>
      </c>
      <c r="D141" s="2" t="str">
        <f>IFERROR(__xludf.DUMMYFUNCTION("""COMPUTED_VALUE"""),"661-30366")</f>
        <v>661-30366</v>
      </c>
      <c r="E141" s="2" t="str">
        <f>IFERROR(__xludf.DUMMYFUNCTION("""COMPUTED_VALUE"""),"Display, iPhone 14")</f>
        <v>Display, iPhone 14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0" t="str">
        <f t="shared" si="1"/>
        <v>January</v>
      </c>
      <c r="B142" s="11">
        <f>IFERROR(__xludf.DUMMYFUNCTION("""COMPUTED_VALUE"""),46033.0)</f>
        <v>46033</v>
      </c>
      <c r="C142" s="2" t="str">
        <f>IFERROR(__xludf.DUMMYFUNCTION("""COMPUTED_VALUE"""),"MOBILECARE - SM MARIKINA")</f>
        <v>MOBILECARE - SM MARIKINA</v>
      </c>
      <c r="D142" s="2" t="str">
        <f>IFERROR(__xludf.DUMMYFUNCTION("""COMPUTED_VALUE"""),"661-22309")</f>
        <v>661-22309</v>
      </c>
      <c r="E142" s="2" t="str">
        <f>IFERROR(__xludf.DUMMYFUNCTION("""COMPUTED_VALUE"""),"Display, iPhone 13 Pro Max")</f>
        <v>Display, iPhone 13 Pro Max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0" t="str">
        <f t="shared" si="1"/>
        <v>January</v>
      </c>
      <c r="B143" s="11">
        <f>IFERROR(__xludf.DUMMYFUNCTION("""COMPUTED_VALUE"""),46039.0)</f>
        <v>46039</v>
      </c>
      <c r="C143" s="2" t="str">
        <f>IFERROR(__xludf.DUMMYFUNCTION("""COMPUTED_VALUE"""),"MOBILECARE - SM MARIKINA")</f>
        <v>MOBILECARE - SM MARIKINA</v>
      </c>
      <c r="D143" s="2" t="str">
        <f>IFERROR(__xludf.DUMMYFUNCTION("""COMPUTED_VALUE"""),"661-21991")</f>
        <v>661-21991</v>
      </c>
      <c r="E143" s="2" t="str">
        <f>IFERROR(__xludf.DUMMYFUNCTION("""COMPUTED_VALUE"""),"Battery, iPhone 13")</f>
        <v>Battery, iPhone 13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0" t="str">
        <f t="shared" si="1"/>
        <v>January</v>
      </c>
      <c r="B144" s="11">
        <f>IFERROR(__xludf.DUMMYFUNCTION("""COMPUTED_VALUE"""),46036.0)</f>
        <v>46036</v>
      </c>
      <c r="C144" s="2" t="str">
        <f>IFERROR(__xludf.DUMMYFUNCTION("""COMPUTED_VALUE"""),"MOBILECARE - SM MARIKINA")</f>
        <v>MOBILECARE - SM MARIKINA</v>
      </c>
      <c r="D144" s="2" t="str">
        <f>IFERROR(__xludf.DUMMYFUNCTION("""COMPUTED_VALUE"""),"661-21988")</f>
        <v>661-21988</v>
      </c>
      <c r="E144" s="2" t="str">
        <f>IFERROR(__xludf.DUMMYFUNCTION("""COMPUTED_VALUE"""),"Display, iPhone 13")</f>
        <v>Display, iPhone 13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0" t="str">
        <f t="shared" si="1"/>
        <v>January</v>
      </c>
      <c r="B145" s="11">
        <f>IFERROR(__xludf.DUMMYFUNCTION("""COMPUTED_VALUE"""),46039.0)</f>
        <v>46039</v>
      </c>
      <c r="C145" s="2" t="str">
        <f>IFERROR(__xludf.DUMMYFUNCTION("""COMPUTED_VALUE"""),"MOBILECARE - SM MARIKINA")</f>
        <v>MOBILECARE - SM MARIKINA</v>
      </c>
      <c r="D145" s="2" t="str">
        <f>IFERROR(__xludf.DUMMYFUNCTION("""COMPUTED_VALUE"""),"661-21991")</f>
        <v>661-21991</v>
      </c>
      <c r="E145" s="2" t="str">
        <f>IFERROR(__xludf.DUMMYFUNCTION("""COMPUTED_VALUE"""),"Battery, iPhone 13")</f>
        <v>Battery, iPhone 13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0" t="str">
        <f t="shared" si="1"/>
        <v>January</v>
      </c>
      <c r="B146" s="11">
        <f>IFERROR(__xludf.DUMMYFUNCTION("""COMPUTED_VALUE"""),46035.0)</f>
        <v>46035</v>
      </c>
      <c r="C146" s="2" t="str">
        <f>IFERROR(__xludf.DUMMYFUNCTION("""COMPUTED_VALUE"""),"MOBILECARE - SM MARIKINA")</f>
        <v>MOBILECARE - SM MARIKINA</v>
      </c>
      <c r="D146" s="2" t="str">
        <f>IFERROR(__xludf.DUMMYFUNCTION("""COMPUTED_VALUE"""),"661-30382")</f>
        <v>661-30382</v>
      </c>
      <c r="E146" s="2" t="str">
        <f>IFERROR(__xludf.DUMMYFUNCTION("""COMPUTED_VALUE"""),"Battery, iPhone 14 Pro")</f>
        <v>Battery, iPhone 14 Pro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0" t="str">
        <f t="shared" si="1"/>
        <v>January</v>
      </c>
      <c r="B147" s="11">
        <f>IFERROR(__xludf.DUMMYFUNCTION("""COMPUTED_VALUE"""),46031.0)</f>
        <v>46031</v>
      </c>
      <c r="C147" s="2" t="str">
        <f>IFERROR(__xludf.DUMMYFUNCTION("""COMPUTED_VALUE"""),"MOBILECARE - SM MARIKINA")</f>
        <v>MOBILECARE - SM MARIKINA</v>
      </c>
      <c r="D147" s="2" t="str">
        <f>IFERROR(__xludf.DUMMYFUNCTION("""COMPUTED_VALUE"""),"661-42726")</f>
        <v>661-42726</v>
      </c>
      <c r="E147" s="2" t="str">
        <f>IFERROR(__xludf.DUMMYFUNCTION("""COMPUTED_VALUE"""),"Display, iPhone 16 Pro")</f>
        <v>Display, iPhone 16 Pro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0" t="str">
        <f t="shared" si="1"/>
        <v>January</v>
      </c>
      <c r="B148" s="11">
        <f>IFERROR(__xludf.DUMMYFUNCTION("""COMPUTED_VALUE"""),46031.0)</f>
        <v>46031</v>
      </c>
      <c r="C148" s="2" t="str">
        <f>IFERROR(__xludf.DUMMYFUNCTION("""COMPUTED_VALUE"""),"MOBILECARE - SM MARIKINA")</f>
        <v>MOBILECARE - SM MARIKINA</v>
      </c>
      <c r="D148" s="2" t="str">
        <f>IFERROR(__xludf.DUMMYFUNCTION("""COMPUTED_VALUE"""),"661-22309")</f>
        <v>661-22309</v>
      </c>
      <c r="E148" s="2" t="str">
        <f>IFERROR(__xludf.DUMMYFUNCTION("""COMPUTED_VALUE"""),"Display, iPhone 13 Pro Max")</f>
        <v>Display, iPhone 13 Pro Max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0" t="str">
        <f t="shared" si="1"/>
        <v>January</v>
      </c>
      <c r="B149" s="11">
        <f>IFERROR(__xludf.DUMMYFUNCTION("""COMPUTED_VALUE"""),46031.0)</f>
        <v>46031</v>
      </c>
      <c r="C149" s="2" t="str">
        <f>IFERROR(__xludf.DUMMYFUNCTION("""COMPUTED_VALUE"""),"MOBILECARE - SM MARIKINA")</f>
        <v>MOBILECARE - SM MARIKINA</v>
      </c>
      <c r="D149" s="2" t="str">
        <f>IFERROR(__xludf.DUMMYFUNCTION("""COMPUTED_VALUE"""),"661-44955")</f>
        <v>661-44955</v>
      </c>
      <c r="E149" s="2" t="str">
        <f>IFERROR(__xludf.DUMMYFUNCTION("""COMPUTED_VALUE"""),"Display, iPhone 16 Pro Max")</f>
        <v>Display, iPhone 16 Pro Max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0" t="str">
        <f t="shared" si="1"/>
        <v>January</v>
      </c>
      <c r="B150" s="11">
        <f>IFERROR(__xludf.DUMMYFUNCTION("""COMPUTED_VALUE"""),46033.0)</f>
        <v>46033</v>
      </c>
      <c r="C150" s="2" t="str">
        <f>IFERROR(__xludf.DUMMYFUNCTION("""COMPUTED_VALUE"""),"MOBILECARE - SM MARIKINA")</f>
        <v>MOBILECARE - SM MARIKINA</v>
      </c>
      <c r="D150" s="2" t="str">
        <f>IFERROR(__xludf.DUMMYFUNCTION("""COMPUTED_VALUE"""),"661-30397")</f>
        <v>661-30397</v>
      </c>
      <c r="E150" s="2" t="str">
        <f>IFERROR(__xludf.DUMMYFUNCTION("""COMPUTED_VALUE"""),"Battery, iPhone 14 Pro Max")</f>
        <v>Battery, iPhone 14 Pro Max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0" t="str">
        <f t="shared" si="1"/>
        <v>January</v>
      </c>
      <c r="B151" s="11">
        <f>IFERROR(__xludf.DUMMYFUNCTION("""COMPUTED_VALUE"""),46043.0)</f>
        <v>46043</v>
      </c>
      <c r="C151" s="2" t="str">
        <f>IFERROR(__xludf.DUMMYFUNCTION("""COMPUTED_VALUE"""),"MOBILECARE - SM MARIKINA")</f>
        <v>MOBILECARE - SM MARIKINA</v>
      </c>
      <c r="D151" s="2" t="str">
        <f>IFERROR(__xludf.DUMMYFUNCTION("""COMPUTED_VALUE"""),"PP661-22981")</f>
        <v>PP661-22981</v>
      </c>
      <c r="E151" s="2" t="str">
        <f>IFERROR(__xludf.DUMMYFUNCTION("""COMPUTED_VALUE"""),"Starlight, 128 GB, iPhone 13, ROW, CI/AR, Philippines")</f>
        <v>Starlight, 128 GB, iPhone 13, ROW, CI/AR, Philippines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0" t="str">
        <f t="shared" si="1"/>
        <v>January</v>
      </c>
      <c r="B152" s="11">
        <f>IFERROR(__xludf.DUMMYFUNCTION("""COMPUTED_VALUE"""),46029.0)</f>
        <v>46029</v>
      </c>
      <c r="C152" s="2" t="str">
        <f>IFERROR(__xludf.DUMMYFUNCTION("""COMPUTED_VALUE"""),"MOBILECARE - SM MARIKINA")</f>
        <v>MOBILECARE - SM MARIKINA</v>
      </c>
      <c r="D152" s="2" t="str">
        <f>IFERROR(__xludf.DUMMYFUNCTION("""COMPUTED_VALUE"""),"661-22309")</f>
        <v>661-22309</v>
      </c>
      <c r="E152" s="2" t="str">
        <f>IFERROR(__xludf.DUMMYFUNCTION("""COMPUTED_VALUE"""),"Display, iPhone 13 Pro Max")</f>
        <v>Display, iPhone 13 Pro Max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0" t="str">
        <f t="shared" si="1"/>
        <v>January</v>
      </c>
      <c r="B153" s="11">
        <f>IFERROR(__xludf.DUMMYFUNCTION("""COMPUTED_VALUE"""),46033.0)</f>
        <v>46033</v>
      </c>
      <c r="C153" s="2" t="str">
        <f>IFERROR(__xludf.DUMMYFUNCTION("""COMPUTED_VALUE"""),"MOBILECARE - SM MARIKINA")</f>
        <v>MOBILECARE - SM MARIKINA</v>
      </c>
      <c r="D153" s="2" t="str">
        <f>IFERROR(__xludf.DUMMYFUNCTION("""COMPUTED_VALUE"""),"661-30397")</f>
        <v>661-30397</v>
      </c>
      <c r="E153" s="2" t="str">
        <f>IFERROR(__xludf.DUMMYFUNCTION("""COMPUTED_VALUE"""),"Battery, iPhone 14 Pro Max")</f>
        <v>Battery, iPhone 14 Pro Max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0" t="str">
        <f t="shared" si="1"/>
        <v>January</v>
      </c>
      <c r="B154" s="11">
        <f>IFERROR(__xludf.DUMMYFUNCTION("""COMPUTED_VALUE"""),46030.0)</f>
        <v>46030</v>
      </c>
      <c r="C154" s="2" t="str">
        <f>IFERROR(__xludf.DUMMYFUNCTION("""COMPUTED_VALUE"""),"MOBILECARE - SM MARIKINA")</f>
        <v>MOBILECARE - SM MARIKINA</v>
      </c>
      <c r="D154" s="2" t="str">
        <f>IFERROR(__xludf.DUMMYFUNCTION("""COMPUTED_VALUE"""),"661-22309")</f>
        <v>661-22309</v>
      </c>
      <c r="E154" s="2" t="str">
        <f>IFERROR(__xludf.DUMMYFUNCTION("""COMPUTED_VALUE"""),"Display, iPhone 13 Pro Max")</f>
        <v>Display, iPhone 13 Pro Max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0" t="str">
        <f t="shared" si="1"/>
        <v>January</v>
      </c>
      <c r="B155" s="11">
        <f>IFERROR(__xludf.DUMMYFUNCTION("""COMPUTED_VALUE"""),46038.0)</f>
        <v>46038</v>
      </c>
      <c r="C155" s="2" t="str">
        <f>IFERROR(__xludf.DUMMYFUNCTION("""COMPUTED_VALUE"""),"MOBILECARE - SM MARIKINA")</f>
        <v>MOBILECARE - SM MARIKINA</v>
      </c>
      <c r="D155" s="2" t="str">
        <f>IFERROR(__xludf.DUMMYFUNCTION("""COMPUTED_VALUE"""),"PP661-22985")</f>
        <v>PP661-22985</v>
      </c>
      <c r="E155" s="2" t="str">
        <f>IFERROR(__xludf.DUMMYFUNCTION("""COMPUTED_VALUE"""),"Midnight, 256 GB, iPhone 13, ROW, CI/AR, Philippines")</f>
        <v>Midnight, 256 GB, iPhone 13, ROW, CI/AR, Philippines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0" t="str">
        <f t="shared" si="1"/>
        <v>January</v>
      </c>
      <c r="B156" s="11">
        <f>IFERROR(__xludf.DUMMYFUNCTION("""COMPUTED_VALUE"""),46029.0)</f>
        <v>46029</v>
      </c>
      <c r="C156" s="2" t="str">
        <f>IFERROR(__xludf.DUMMYFUNCTION("""COMPUTED_VALUE"""),"MOBILECARE - SM MARIKINA")</f>
        <v>MOBILECARE - SM MARIKINA</v>
      </c>
      <c r="D156" s="2" t="str">
        <f>IFERROR(__xludf.DUMMYFUNCTION("""COMPUTED_VALUE"""),"661-44798")</f>
        <v>661-44798</v>
      </c>
      <c r="E156" s="2" t="str">
        <f>IFERROR(__xludf.DUMMYFUNCTION("""COMPUTED_VALUE"""),"TrueDepth Camera, iPhone 16")</f>
        <v>TrueDepth Camera, iPhone 16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0" t="str">
        <f t="shared" si="1"/>
        <v>January</v>
      </c>
      <c r="B157" s="11">
        <f>IFERROR(__xludf.DUMMYFUNCTION("""COMPUTED_VALUE"""),46032.0)</f>
        <v>46032</v>
      </c>
      <c r="C157" s="2" t="str">
        <f>IFERROR(__xludf.DUMMYFUNCTION("""COMPUTED_VALUE"""),"MOBILECARE - SM MARIKINA")</f>
        <v>MOBILECARE - SM MARIKINA</v>
      </c>
      <c r="D157" s="2" t="str">
        <f>IFERROR(__xludf.DUMMYFUNCTION("""COMPUTED_VALUE"""),"661-44799")</f>
        <v>661-44799</v>
      </c>
      <c r="E157" s="2" t="str">
        <f>IFERROR(__xludf.DUMMYFUNCTION("""COMPUTED_VALUE"""),"Camera, iPhone 16")</f>
        <v>Camera, iPhone 16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0" t="str">
        <f t="shared" si="1"/>
        <v>January</v>
      </c>
      <c r="B158" s="11">
        <f>IFERROR(__xludf.DUMMYFUNCTION("""COMPUTED_VALUE"""),46036.0)</f>
        <v>46036</v>
      </c>
      <c r="C158" s="2" t="str">
        <f>IFERROR(__xludf.DUMMYFUNCTION("""COMPUTED_VALUE"""),"MOBILECARE - SM MARIKINA")</f>
        <v>MOBILECARE - SM MARIKINA</v>
      </c>
      <c r="D158" s="2" t="str">
        <f>IFERROR(__xludf.DUMMYFUNCTION("""COMPUTED_VALUE"""),"661-36916")</f>
        <v>661-36916</v>
      </c>
      <c r="E158" s="2" t="str">
        <f>IFERROR(__xludf.DUMMYFUNCTION("""COMPUTED_VALUE"""),"TrueDepth Camera, iPhone 15 Pro Max")</f>
        <v>TrueDepth Camera, iPhone 15 Pro Max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0" t="str">
        <f t="shared" si="1"/>
        <v>January</v>
      </c>
      <c r="B159" s="11">
        <f>IFERROR(__xludf.DUMMYFUNCTION("""COMPUTED_VALUE"""),46036.0)</f>
        <v>46036</v>
      </c>
      <c r="C159" s="2" t="str">
        <f>IFERROR(__xludf.DUMMYFUNCTION("""COMPUTED_VALUE"""),"MOBILECARE - SM MARIKINA")</f>
        <v>MOBILECARE - SM MARIKINA</v>
      </c>
      <c r="D159" s="2" t="str">
        <f>IFERROR(__xludf.DUMMYFUNCTION("""COMPUTED_VALUE"""),"661-36915")</f>
        <v>661-36915</v>
      </c>
      <c r="E159" s="2" t="str">
        <f>IFERROR(__xludf.DUMMYFUNCTION("""COMPUTED_VALUE"""),"Display, iPhone 15 Pro Max")</f>
        <v>Display, iPhone 15 Pro Max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0" t="str">
        <f t="shared" si="1"/>
        <v>January</v>
      </c>
      <c r="B160" s="11">
        <f>IFERROR(__xludf.DUMMYFUNCTION("""COMPUTED_VALUE"""),46025.0)</f>
        <v>46025</v>
      </c>
      <c r="C160" s="2" t="str">
        <f>IFERROR(__xludf.DUMMYFUNCTION("""COMPUTED_VALUE"""),"MOBILECARE - SM MARIKINA")</f>
        <v>MOBILECARE - SM MARIKINA</v>
      </c>
      <c r="D160" s="2" t="str">
        <f>IFERROR(__xludf.DUMMYFUNCTION("""COMPUTED_VALUE"""),"661-21988")</f>
        <v>661-21988</v>
      </c>
      <c r="E160" s="2" t="str">
        <f>IFERROR(__xludf.DUMMYFUNCTION("""COMPUTED_VALUE"""),"Display, iPhone 13")</f>
        <v>Display, iPhone 13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0" t="str">
        <f t="shared" si="1"/>
        <v>January</v>
      </c>
      <c r="B161" s="11">
        <f>IFERROR(__xludf.DUMMYFUNCTION("""COMPUTED_VALUE"""),46026.0)</f>
        <v>46026</v>
      </c>
      <c r="C161" s="2" t="str">
        <f>IFERROR(__xludf.DUMMYFUNCTION("""COMPUTED_VALUE"""),"MOBILECARE - SM MARIKINA")</f>
        <v>MOBILECARE - SM MARIKINA</v>
      </c>
      <c r="D161" s="2" t="str">
        <f>IFERROR(__xludf.DUMMYFUNCTION("""COMPUTED_VALUE"""),"661-22309")</f>
        <v>661-22309</v>
      </c>
      <c r="E161" s="2" t="str">
        <f>IFERROR(__xludf.DUMMYFUNCTION("""COMPUTED_VALUE"""),"Display, iPhone 13 Pro Max")</f>
        <v>Display, iPhone 13 Pro Max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0" t="str">
        <f t="shared" si="1"/>
        <v>January</v>
      </c>
      <c r="B162" s="11">
        <f>IFERROR(__xludf.DUMMYFUNCTION("""COMPUTED_VALUE"""),46025.0)</f>
        <v>46025</v>
      </c>
      <c r="C162" s="2" t="str">
        <f>IFERROR(__xludf.DUMMYFUNCTION("""COMPUTED_VALUE"""),"MOBILECARE - SM MARIKINA")</f>
        <v>MOBILECARE - SM MARIKINA</v>
      </c>
      <c r="D162" s="2" t="str">
        <f>IFERROR(__xludf.DUMMYFUNCTION("""COMPUTED_VALUE"""),"661-21991")</f>
        <v>661-21991</v>
      </c>
      <c r="E162" s="2" t="str">
        <f>IFERROR(__xludf.DUMMYFUNCTION("""COMPUTED_VALUE"""),"Battery, iPhone 13")</f>
        <v>Battery, iPhone 13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0" t="str">
        <f t="shared" si="1"/>
        <v>January</v>
      </c>
      <c r="B163" s="11">
        <f>IFERROR(__xludf.DUMMYFUNCTION("""COMPUTED_VALUE"""),46039.0)</f>
        <v>46039</v>
      </c>
      <c r="C163" s="2" t="str">
        <f>IFERROR(__xludf.DUMMYFUNCTION("""COMPUTED_VALUE"""),"MOBILECARE - SM MARIKINA")</f>
        <v>MOBILECARE - SM MARIKINA</v>
      </c>
      <c r="D163" s="2" t="str">
        <f>IFERROR(__xludf.DUMMYFUNCTION("""COMPUTED_VALUE"""),"PP661-22980")</f>
        <v>PP661-22980</v>
      </c>
      <c r="E163" s="2" t="str">
        <f>IFERROR(__xludf.DUMMYFUNCTION("""COMPUTED_VALUE"""),"Midnight, 128 GB, iPhone 13, ROW, CI/AR, Philippines")</f>
        <v>Midnight, 128 GB, iPhone 13, ROW, CI/AR, Philippines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0" t="str">
        <f t="shared" si="1"/>
        <v>January</v>
      </c>
      <c r="B164" s="11">
        <f>IFERROR(__xludf.DUMMYFUNCTION("""COMPUTED_VALUE"""),46025.0)</f>
        <v>46025</v>
      </c>
      <c r="C164" s="2" t="str">
        <f>IFERROR(__xludf.DUMMYFUNCTION("""COMPUTED_VALUE"""),"MOBILECARE - SM MARIKINA")</f>
        <v>MOBILECARE - SM MARIKINA</v>
      </c>
      <c r="D164" s="2" t="str">
        <f>IFERROR(__xludf.DUMMYFUNCTION("""COMPUTED_VALUE"""),"661-35885")</f>
        <v>661-35885</v>
      </c>
      <c r="E164" s="2" t="str">
        <f>IFERROR(__xludf.DUMMYFUNCTION("""COMPUTED_VALUE"""),"Battery, iPhone 15")</f>
        <v>Battery, iPhone 15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0" t="str">
        <f t="shared" si="1"/>
        <v>January</v>
      </c>
      <c r="B165" s="11">
        <f>IFERROR(__xludf.DUMMYFUNCTION("""COMPUTED_VALUE"""),46032.0)</f>
        <v>46032</v>
      </c>
      <c r="C165" s="2" t="str">
        <f>IFERROR(__xludf.DUMMYFUNCTION("""COMPUTED_VALUE"""),"MOBILECARE - SM MARIKINA")</f>
        <v>MOBILECARE - SM MARIKINA</v>
      </c>
      <c r="D165" s="2" t="str">
        <f>IFERROR(__xludf.DUMMYFUNCTION("""COMPUTED_VALUE"""),"PP661-22980")</f>
        <v>PP661-22980</v>
      </c>
      <c r="E165" s="2" t="str">
        <f>IFERROR(__xludf.DUMMYFUNCTION("""COMPUTED_VALUE"""),"Midnight, 128 GB, iPhone 13, ROW, CI/AR, Philippines")</f>
        <v>Midnight, 128 GB, iPhone 13, ROW, CI/AR, Philippines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0" t="str">
        <f t="shared" si="1"/>
        <v>January</v>
      </c>
      <c r="B166" s="11">
        <f>IFERROR(__xludf.DUMMYFUNCTION("""COMPUTED_VALUE"""),46026.0)</f>
        <v>46026</v>
      </c>
      <c r="C166" s="2" t="str">
        <f>IFERROR(__xludf.DUMMYFUNCTION("""COMPUTED_VALUE"""),"MOBILECARE - SM MARIKINA")</f>
        <v>MOBILECARE - SM MARIKINA</v>
      </c>
      <c r="D166" s="2" t="str">
        <f>IFERROR(__xludf.DUMMYFUNCTION("""COMPUTED_VALUE"""),"PP661-22986")</f>
        <v>PP661-22986</v>
      </c>
      <c r="E166" s="2" t="str">
        <f>IFERROR(__xludf.DUMMYFUNCTION("""COMPUTED_VALUE"""),"Starlight, 256 GB, iPhone 13, ROW, CI/AR, Philippines")</f>
        <v>Starlight, 256 GB, iPhone 13, ROW, CI/AR, Philippines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0" t="str">
        <f t="shared" si="1"/>
        <v>January</v>
      </c>
      <c r="B167" s="11">
        <f>IFERROR(__xludf.DUMMYFUNCTION("""COMPUTED_VALUE"""),46027.0)</f>
        <v>46027</v>
      </c>
      <c r="C167" s="2" t="str">
        <f>IFERROR(__xludf.DUMMYFUNCTION("""COMPUTED_VALUE"""),"MOBILECARE - SM MARIKINA")</f>
        <v>MOBILECARE - SM MARIKINA</v>
      </c>
      <c r="D167" s="2" t="str">
        <f>IFERROR(__xludf.DUMMYFUNCTION("""COMPUTED_VALUE"""),"PP661-22982")</f>
        <v>PP661-22982</v>
      </c>
      <c r="E167" s="2" t="str">
        <f>IFERROR(__xludf.DUMMYFUNCTION("""COMPUTED_VALUE"""),"Pink, 128 GB, iPhone 13, ROW, CI/AR, Philippines")</f>
        <v>Pink, 128 GB, iPhone 13, ROW, CI/AR, Philippines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0" t="str">
        <f t="shared" si="1"/>
        <v>January</v>
      </c>
      <c r="B168" s="11">
        <f>IFERROR(__xludf.DUMMYFUNCTION("""COMPUTED_VALUE"""),46025.0)</f>
        <v>46025</v>
      </c>
      <c r="C168" s="2" t="str">
        <f>IFERROR(__xludf.DUMMYFUNCTION("""COMPUTED_VALUE"""),"MOBILECARE - SM MARIKINA")</f>
        <v>MOBILECARE - SM MARIKINA</v>
      </c>
      <c r="D168" s="2" t="str">
        <f>IFERROR(__xludf.DUMMYFUNCTION("""COMPUTED_VALUE"""),"661-36915")</f>
        <v>661-36915</v>
      </c>
      <c r="E168" s="2" t="str">
        <f>IFERROR(__xludf.DUMMYFUNCTION("""COMPUTED_VALUE"""),"Display, iPhone 15 Pro Max")</f>
        <v>Display, iPhone 15 Pro Max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0" t="str">
        <f t="shared" si="1"/>
        <v>January</v>
      </c>
      <c r="B169" s="11">
        <f>IFERROR(__xludf.DUMMYFUNCTION("""COMPUTED_VALUE"""),46025.0)</f>
        <v>46025</v>
      </c>
      <c r="C169" s="2" t="str">
        <f>IFERROR(__xludf.DUMMYFUNCTION("""COMPUTED_VALUE"""),"MOBILECARE - SM MARIKINA")</f>
        <v>MOBILECARE - SM MARIKINA</v>
      </c>
      <c r="D169" s="2" t="str">
        <f>IFERROR(__xludf.DUMMYFUNCTION("""COMPUTED_VALUE"""),"TA661-36896")</f>
        <v>TA661-36896</v>
      </c>
      <c r="E169" s="2" t="str">
        <f>IFERROR(__xludf.DUMMYFUNCTION("""COMPUTED_VALUE"""),"Natural, iPhone 15 Pro Max, 256GB, ROW, CI/AR, Taiwan")</f>
        <v>Natural, iPhone 15 Pro Max, 256GB, ROW, CI/AR, Taiwan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0" t="str">
        <f t="shared" si="1"/>
        <v>June</v>
      </c>
      <c r="B170" s="11">
        <f>IFERROR(__xludf.DUMMYFUNCTION("""COMPUTED_VALUE"""),46188.0)</f>
        <v>46188</v>
      </c>
      <c r="C170" s="2" t="str">
        <f>IFERROR(__xludf.DUMMYFUNCTION("""COMPUTED_VALUE"""),"MOBILECARE - NEWPOINT MALL")</f>
        <v>MOBILECARE - NEWPOINT MALL</v>
      </c>
      <c r="D170" s="2" t="str">
        <f>IFERROR(__xludf.DUMMYFUNCTION("""COMPUTED_VALUE"""),"661-21991")</f>
        <v>661-21991</v>
      </c>
      <c r="E170" s="2" t="str">
        <f>IFERROR(__xludf.DUMMYFUNCTION("""COMPUTED_VALUE"""),"Battery, iPhone 13")</f>
        <v>Battery, iPhone 13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0" t="str">
        <f t="shared" si="1"/>
        <v>June</v>
      </c>
      <c r="B171" s="11">
        <f>IFERROR(__xludf.DUMMYFUNCTION("""COMPUTED_VALUE"""),46186.0)</f>
        <v>46186</v>
      </c>
      <c r="C171" s="2" t="str">
        <f>IFERROR(__xludf.DUMMYFUNCTION("""COMPUTED_VALUE"""),"MOBILECARE - NEWPOINT MALL")</f>
        <v>MOBILECARE - NEWPOINT MALL</v>
      </c>
      <c r="D171" s="2" t="str">
        <f>IFERROR(__xludf.DUMMYFUNCTION("""COMPUTED_VALUE"""),"661-18428")</f>
        <v>661-18428</v>
      </c>
      <c r="E171" s="2" t="str">
        <f>IFERROR(__xludf.DUMMYFUNCTION("""COMPUTED_VALUE"""),"Battery, iPhone 12 Pro Max")</f>
        <v>Battery, iPhone 12 Pro Max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0" t="str">
        <f t="shared" si="1"/>
        <v>June</v>
      </c>
      <c r="B172" s="11">
        <f>IFERROR(__xludf.DUMMYFUNCTION("""COMPUTED_VALUE"""),46175.0)</f>
        <v>46175</v>
      </c>
      <c r="C172" s="2" t="str">
        <f>IFERROR(__xludf.DUMMYFUNCTION("""COMPUTED_VALUE"""),"MOBILECARE - NEWPOINT MALL")</f>
        <v>MOBILECARE - NEWPOINT MALL</v>
      </c>
      <c r="D172" s="2" t="str">
        <f>IFERROR(__xludf.DUMMYFUNCTION("""COMPUTED_VALUE"""),"661-21991")</f>
        <v>661-21991</v>
      </c>
      <c r="E172" s="2" t="str">
        <f>IFERROR(__xludf.DUMMYFUNCTION("""COMPUTED_VALUE"""),"Battery, iPhone 13")</f>
        <v>Battery, iPhone 13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0" t="str">
        <f t="shared" si="1"/>
        <v>June</v>
      </c>
      <c r="B173" s="11">
        <f>IFERROR(__xludf.DUMMYFUNCTION("""COMPUTED_VALUE"""),46185.0)</f>
        <v>46185</v>
      </c>
      <c r="C173" s="2" t="str">
        <f>IFERROR(__xludf.DUMMYFUNCTION("""COMPUTED_VALUE"""),"MOBILECARE - NEWPOINT MALL")</f>
        <v>MOBILECARE - NEWPOINT MALL</v>
      </c>
      <c r="D173" s="2" t="str">
        <f>IFERROR(__xludf.DUMMYFUNCTION("""COMPUTED_VALUE"""),"PP661-28869")</f>
        <v>PP661-28869</v>
      </c>
      <c r="E173" s="2" t="str">
        <f>IFERROR(__xludf.DUMMYFUNCTION("""COMPUTED_VALUE"""),"iPhone 14, Starlight, 128GB, Logic Board Assy Mid System, ROW")</f>
        <v>iPhone 14, Starlight, 128GB, Logic Board Assy Mid System, ROW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0" t="str">
        <f t="shared" si="1"/>
        <v>April</v>
      </c>
      <c r="B174" s="11">
        <f>IFERROR(__xludf.DUMMYFUNCTION("""COMPUTED_VALUE"""),46136.0)</f>
        <v>46136</v>
      </c>
      <c r="C174" s="2" t="str">
        <f>IFERROR(__xludf.DUMMYFUNCTION("""COMPUTED_VALUE"""),"MOBILECARE - NEWPOINT MALL")</f>
        <v>MOBILECARE - NEWPOINT MALL</v>
      </c>
      <c r="D174" s="2" t="str">
        <f>IFERROR(__xludf.DUMMYFUNCTION("""COMPUTED_VALUE"""),"661-44955")</f>
        <v>661-44955</v>
      </c>
      <c r="E174" s="2" t="str">
        <f>IFERROR(__xludf.DUMMYFUNCTION("""COMPUTED_VALUE"""),"Display, iPhone 16 Pro Max")</f>
        <v>Display, iPhone 16 Pro Max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0" t="str">
        <f t="shared" si="1"/>
        <v>June</v>
      </c>
      <c r="B175" s="11">
        <f>IFERROR(__xludf.DUMMYFUNCTION("""COMPUTED_VALUE"""),46180.0)</f>
        <v>46180</v>
      </c>
      <c r="C175" s="2" t="str">
        <f>IFERROR(__xludf.DUMMYFUNCTION("""COMPUTED_VALUE"""),"MOBILECARE - NEWPOINT MALL")</f>
        <v>MOBILECARE - NEWPOINT MALL</v>
      </c>
      <c r="D175" s="2" t="str">
        <f>IFERROR(__xludf.DUMMYFUNCTION("""COMPUTED_VALUE"""),"TA661-45263")</f>
        <v>TA661-45263</v>
      </c>
      <c r="E175" s="2" t="str">
        <f>IFERROR(__xludf.DUMMYFUNCTION("""COMPUTED_VALUE"""),"256GB, Desert Titanium, ROW, iPhone 16 Pro Max, CI/AR")</f>
        <v>256GB, Desert Titanium, ROW, iPhone 16 Pro Max, CI/AR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0" t="str">
        <f t="shared" si="1"/>
        <v>April</v>
      </c>
      <c r="B176" s="11">
        <f>IFERROR(__xludf.DUMMYFUNCTION("""COMPUTED_VALUE"""),46135.0)</f>
        <v>46135</v>
      </c>
      <c r="C176" s="2" t="str">
        <f>IFERROR(__xludf.DUMMYFUNCTION("""COMPUTED_VALUE"""),"MOBILECARE - NEWPOINT MALL")</f>
        <v>MOBILECARE - NEWPOINT MALL</v>
      </c>
      <c r="D176" s="2" t="str">
        <f>IFERROR(__xludf.DUMMYFUNCTION("""COMPUTED_VALUE"""),"661-36915")</f>
        <v>661-36915</v>
      </c>
      <c r="E176" s="2" t="str">
        <f>IFERROR(__xludf.DUMMYFUNCTION("""COMPUTED_VALUE"""),"Display, iPhone 15 Pro Max")</f>
        <v>Display, iPhone 15 Pro Max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0" t="str">
        <f t="shared" si="1"/>
        <v>March</v>
      </c>
      <c r="B177" s="11">
        <f>IFERROR(__xludf.DUMMYFUNCTION("""COMPUTED_VALUE"""),46110.0)</f>
        <v>46110</v>
      </c>
      <c r="C177" s="2" t="str">
        <f>IFERROR(__xludf.DUMMYFUNCTION("""COMPUTED_VALUE"""),"MOBILECARE - NEWPOINT MALL")</f>
        <v>MOBILECARE - NEWPOINT MALL</v>
      </c>
      <c r="D177" s="2" t="str">
        <f>IFERROR(__xludf.DUMMYFUNCTION("""COMPUTED_VALUE"""),"661-21988")</f>
        <v>661-21988</v>
      </c>
      <c r="E177" s="2" t="str">
        <f>IFERROR(__xludf.DUMMYFUNCTION("""COMPUTED_VALUE"""),"Display, iPhone 13")</f>
        <v>Display, iPhone 13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0" t="str">
        <f t="shared" si="1"/>
        <v>April</v>
      </c>
      <c r="B178" s="11">
        <f>IFERROR(__xludf.DUMMYFUNCTION("""COMPUTED_VALUE"""),46117.0)</f>
        <v>46117</v>
      </c>
      <c r="C178" s="2" t="str">
        <f>IFERROR(__xludf.DUMMYFUNCTION("""COMPUTED_VALUE"""),"MOBILECARE - NEWPOINT MALL")</f>
        <v>MOBILECARE - NEWPOINT MALL</v>
      </c>
      <c r="D178" s="2" t="str">
        <f>IFERROR(__xludf.DUMMYFUNCTION("""COMPUTED_VALUE"""),"661-44956")</f>
        <v>661-44956</v>
      </c>
      <c r="E178" s="2" t="str">
        <f>IFERROR(__xludf.DUMMYFUNCTION("""COMPUTED_VALUE"""),"TrueDepth Camera, iPhone 16 Pro Max")</f>
        <v>TrueDepth Camera, iPhone 16 Pro Max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0" t="str">
        <f t="shared" si="1"/>
        <v>April</v>
      </c>
      <c r="B179" s="11">
        <f>IFERROR(__xludf.DUMMYFUNCTION("""COMPUTED_VALUE"""),46135.0)</f>
        <v>46135</v>
      </c>
      <c r="C179" s="2" t="str">
        <f>IFERROR(__xludf.DUMMYFUNCTION("""COMPUTED_VALUE"""),"MOBILECARE - NEWPOINT MALL")</f>
        <v>MOBILECARE - NEWPOINT MALL</v>
      </c>
      <c r="D179" s="2" t="str">
        <f>IFERROR(__xludf.DUMMYFUNCTION("""COMPUTED_VALUE"""),"TA661-43608")</f>
        <v>TA661-43608</v>
      </c>
      <c r="E179" s="2" t="str">
        <f>IFERROR(__xludf.DUMMYFUNCTION("""COMPUTED_VALUE"""),"128GB, Ultramarine, ROW, iPhone 16, Logic Board Assy Mid System")</f>
        <v>128GB, Ultramarine, ROW, iPhone 16, Logic Board Assy Mid System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0" t="str">
        <f t="shared" si="1"/>
        <v>March</v>
      </c>
      <c r="B180" s="11">
        <f>IFERROR(__xludf.DUMMYFUNCTION("""COMPUTED_VALUE"""),46092.0)</f>
        <v>46092</v>
      </c>
      <c r="C180" s="2" t="str">
        <f>IFERROR(__xludf.DUMMYFUNCTION("""COMPUTED_VALUE"""),"MOBILECARE - NEWPOINT MALL")</f>
        <v>MOBILECARE - NEWPOINT MALL</v>
      </c>
      <c r="D180" s="2" t="str">
        <f>IFERROR(__xludf.DUMMYFUNCTION("""COMPUTED_VALUE"""),"661-22309")</f>
        <v>661-22309</v>
      </c>
      <c r="E180" s="2" t="str">
        <f>IFERROR(__xludf.DUMMYFUNCTION("""COMPUTED_VALUE"""),"Display, iPhone 13 Pro Max")</f>
        <v>Display, iPhone 13 Pro Max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0" t="str">
        <f t="shared" si="1"/>
        <v>March</v>
      </c>
      <c r="B181" s="11">
        <f>IFERROR(__xludf.DUMMYFUNCTION("""COMPUTED_VALUE"""),46087.0)</f>
        <v>46087</v>
      </c>
      <c r="C181" s="2" t="str">
        <f>IFERROR(__xludf.DUMMYFUNCTION("""COMPUTED_VALUE"""),"MOBILECARE - NEWPOINT MALL")</f>
        <v>MOBILECARE - NEWPOINT MALL</v>
      </c>
      <c r="D181" s="2" t="str">
        <f>IFERROR(__xludf.DUMMYFUNCTION("""COMPUTED_VALUE"""),"661-21988")</f>
        <v>661-21988</v>
      </c>
      <c r="E181" s="2" t="str">
        <f>IFERROR(__xludf.DUMMYFUNCTION("""COMPUTED_VALUE"""),"Display, iPhone 13")</f>
        <v>Display, iPhone 13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0" t="str">
        <f t="shared" si="1"/>
        <v>March</v>
      </c>
      <c r="B182" s="11">
        <f>IFERROR(__xludf.DUMMYFUNCTION("""COMPUTED_VALUE"""),46086.0)</f>
        <v>46086</v>
      </c>
      <c r="C182" s="2" t="str">
        <f>IFERROR(__xludf.DUMMYFUNCTION("""COMPUTED_VALUE"""),"MOBILECARE - NEWPOINT MALL")</f>
        <v>MOBILECARE - NEWPOINT MALL</v>
      </c>
      <c r="D182" s="2" t="str">
        <f>IFERROR(__xludf.DUMMYFUNCTION("""COMPUTED_VALUE"""),"Z661-55956")</f>
        <v>Z661-55956</v>
      </c>
      <c r="E182" s="2" t="str">
        <f>IFERROR(__xludf.DUMMYFUNCTION("""COMPUTED_VALUE"""),"Logic Board, 256GB, iPhone 17 Pro Max, ROW")</f>
        <v>Logic Board, 256GB, iPhone 17 Pro Max, ROW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0" t="str">
        <f t="shared" si="1"/>
        <v>February</v>
      </c>
      <c r="B183" s="11">
        <f>IFERROR(__xludf.DUMMYFUNCTION("""COMPUTED_VALUE"""),46075.0)</f>
        <v>46075</v>
      </c>
      <c r="C183" s="2" t="str">
        <f>IFERROR(__xludf.DUMMYFUNCTION("""COMPUTED_VALUE"""),"MOBILECARE - NEWPOINT MALL")</f>
        <v>MOBILECARE - NEWPOINT MALL</v>
      </c>
      <c r="D183" s="2" t="str">
        <f>IFERROR(__xludf.DUMMYFUNCTION("""COMPUTED_VALUE"""),"PP661-22981")</f>
        <v>PP661-22981</v>
      </c>
      <c r="E183" s="2" t="str">
        <f>IFERROR(__xludf.DUMMYFUNCTION("""COMPUTED_VALUE"""),"Starlight, 128 GB, iPhone 13, ROW, CI/AR, Philippines")</f>
        <v>Starlight, 128 GB, iPhone 13, ROW, CI/AR, Philippines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0" t="str">
        <f t="shared" si="1"/>
        <v>February</v>
      </c>
      <c r="B184" s="11">
        <f>IFERROR(__xludf.DUMMYFUNCTION("""COMPUTED_VALUE"""),46064.0)</f>
        <v>46064</v>
      </c>
      <c r="C184" s="2" t="str">
        <f>IFERROR(__xludf.DUMMYFUNCTION("""COMPUTED_VALUE"""),"MOBILECARE - NEWPOINT MALL")</f>
        <v>MOBILECARE - NEWPOINT MALL</v>
      </c>
      <c r="D184" s="2" t="str">
        <f>IFERROR(__xludf.DUMMYFUNCTION("""COMPUTED_VALUE"""),"661-23878")</f>
        <v>661-23878</v>
      </c>
      <c r="E184" s="2" t="str">
        <f>IFERROR(__xludf.DUMMYFUNCTION("""COMPUTED_VALUE"""),"TrueDepth Camera, iPhone 13")</f>
        <v>TrueDepth Camera, iPhone 13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0" t="str">
        <f t="shared" si="1"/>
        <v>February</v>
      </c>
      <c r="B185" s="11">
        <f>IFERROR(__xludf.DUMMYFUNCTION("""COMPUTED_VALUE"""),46063.0)</f>
        <v>46063</v>
      </c>
      <c r="C185" s="2" t="str">
        <f>IFERROR(__xludf.DUMMYFUNCTION("""COMPUTED_VALUE"""),"MOBILECARE - NEWPOINT MALL")</f>
        <v>MOBILECARE - NEWPOINT MALL</v>
      </c>
      <c r="D185" s="2" t="str">
        <f>IFERROR(__xludf.DUMMYFUNCTION("""COMPUTED_VALUE"""),"TA661-43608")</f>
        <v>TA661-43608</v>
      </c>
      <c r="E185" s="2" t="str">
        <f>IFERROR(__xludf.DUMMYFUNCTION("""COMPUTED_VALUE"""),"128GB, Ultramarine, ROW, iPhone 16, Logic Board Assy Mid System")</f>
        <v>128GB, Ultramarine, ROW, iPhone 16, Logic Board Assy Mid System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0" t="str">
        <f t="shared" si="1"/>
        <v>January</v>
      </c>
      <c r="B186" s="11">
        <f>IFERROR(__xludf.DUMMYFUNCTION("""COMPUTED_VALUE"""),46040.0)</f>
        <v>46040</v>
      </c>
      <c r="C186" s="2" t="str">
        <f>IFERROR(__xludf.DUMMYFUNCTION("""COMPUTED_VALUE"""),"MOBILECARE - NEWPOINT MALL")</f>
        <v>MOBILECARE - NEWPOINT MALL</v>
      </c>
      <c r="D186" s="2" t="str">
        <f>IFERROR(__xludf.DUMMYFUNCTION("""COMPUTED_VALUE"""),"661-21991")</f>
        <v>661-21991</v>
      </c>
      <c r="E186" s="2" t="str">
        <f>IFERROR(__xludf.DUMMYFUNCTION("""COMPUTED_VALUE"""),"Battery, iPhone 13")</f>
        <v>Battery, iPhone 13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0" t="str">
        <f t="shared" si="1"/>
        <v>January</v>
      </c>
      <c r="B187" s="11">
        <f>IFERROR(__xludf.DUMMYFUNCTION("""COMPUTED_VALUE"""),46043.0)</f>
        <v>46043</v>
      </c>
      <c r="C187" s="2" t="str">
        <f>IFERROR(__xludf.DUMMYFUNCTION("""COMPUTED_VALUE"""),"MOBILECARE - NEWPOINT MALL")</f>
        <v>MOBILECARE - NEWPOINT MALL</v>
      </c>
      <c r="D187" s="2" t="str">
        <f>IFERROR(__xludf.DUMMYFUNCTION("""COMPUTED_VALUE"""),"661-44799")</f>
        <v>661-44799</v>
      </c>
      <c r="E187" s="2" t="str">
        <f>IFERROR(__xludf.DUMMYFUNCTION("""COMPUTED_VALUE"""),"Camera, iPhone 16")</f>
        <v>Camera, iPhone 16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0" t="str">
        <f t="shared" si="1"/>
        <v>February</v>
      </c>
      <c r="B188" s="11">
        <f>IFERROR(__xludf.DUMMYFUNCTION("""COMPUTED_VALUE"""),46054.0)</f>
        <v>46054</v>
      </c>
      <c r="C188" s="2" t="str">
        <f>IFERROR(__xludf.DUMMYFUNCTION("""COMPUTED_VALUE"""),"MOBILECARE - NEWPOINT MALL")</f>
        <v>MOBILECARE - NEWPOINT MALL</v>
      </c>
      <c r="D188" s="2" t="str">
        <f>IFERROR(__xludf.DUMMYFUNCTION("""COMPUTED_VALUE"""),"PP661-23454")</f>
        <v>PP661-23454</v>
      </c>
      <c r="E188" s="2" t="str">
        <f>IFERROR(__xludf.DUMMYFUNCTION("""COMPUTED_VALUE"""),"iPhone 13, Midnight, 128GB, Logic Board Assy Rear System, ROW")</f>
        <v>iPhone 13, Midnight, 128GB, Logic Board Assy Rear System, ROW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0" t="str">
        <f t="shared" si="1"/>
        <v>January</v>
      </c>
      <c r="B189" s="11">
        <f>IFERROR(__xludf.DUMMYFUNCTION("""COMPUTED_VALUE"""),46041.0)</f>
        <v>46041</v>
      </c>
      <c r="C189" s="2" t="str">
        <f>IFERROR(__xludf.DUMMYFUNCTION("""COMPUTED_VALUE"""),"MOBILECARE - NEWPOINT MALL")</f>
        <v>MOBILECARE - NEWPOINT MALL</v>
      </c>
      <c r="D189" s="2" t="str">
        <f>IFERROR(__xludf.DUMMYFUNCTION("""COMPUTED_VALUE"""),"661-42726")</f>
        <v>661-42726</v>
      </c>
      <c r="E189" s="2" t="str">
        <f>IFERROR(__xludf.DUMMYFUNCTION("""COMPUTED_VALUE"""),"Display, iPhone 16 Pro")</f>
        <v>Display, iPhone 16 Pro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0" t="str">
        <f t="shared" si="1"/>
        <v>January</v>
      </c>
      <c r="B190" s="11">
        <f>IFERROR(__xludf.DUMMYFUNCTION("""COMPUTED_VALUE"""),46032.0)</f>
        <v>46032</v>
      </c>
      <c r="C190" s="2" t="str">
        <f>IFERROR(__xludf.DUMMYFUNCTION("""COMPUTED_VALUE"""),"MOBILECARE - NEWPOINT MALL")</f>
        <v>MOBILECARE - NEWPOINT MALL</v>
      </c>
      <c r="D190" s="2" t="str">
        <f>IFERROR(__xludf.DUMMYFUNCTION("""COMPUTED_VALUE"""),"661-21996")</f>
        <v>661-21996</v>
      </c>
      <c r="E190" s="2" t="str">
        <f>IFERROR(__xludf.DUMMYFUNCTION("""COMPUTED_VALUE"""),"Battery, iPhone 13 Pro")</f>
        <v>Battery, iPhone 13 Pro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0" t="str">
        <f t="shared" si="1"/>
        <v>January</v>
      </c>
      <c r="B191" s="11">
        <f>IFERROR(__xludf.DUMMYFUNCTION("""COMPUTED_VALUE"""),46041.0)</f>
        <v>46041</v>
      </c>
      <c r="C191" s="2" t="str">
        <f>IFERROR(__xludf.DUMMYFUNCTION("""COMPUTED_VALUE"""),"MOBILECARE - NEWPOINT MALL")</f>
        <v>MOBILECARE - NEWPOINT MALL</v>
      </c>
      <c r="D191" s="2" t="str">
        <f>IFERROR(__xludf.DUMMYFUNCTION("""COMPUTED_VALUE"""),"661-22309")</f>
        <v>661-22309</v>
      </c>
      <c r="E191" s="2" t="str">
        <f>IFERROR(__xludf.DUMMYFUNCTION("""COMPUTED_VALUE"""),"Display, iPhone 13 Pro Max")</f>
        <v>Display, iPhone 13 Pro Max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0" t="str">
        <f t="shared" si="1"/>
        <v>January</v>
      </c>
      <c r="B192" s="11">
        <f>IFERROR(__xludf.DUMMYFUNCTION("""COMPUTED_VALUE"""),46040.0)</f>
        <v>46040</v>
      </c>
      <c r="C192" s="2" t="str">
        <f>IFERROR(__xludf.DUMMYFUNCTION("""COMPUTED_VALUE"""),"MOBILECARE - NEWPOINT MALL")</f>
        <v>MOBILECARE - NEWPOINT MALL</v>
      </c>
      <c r="D192" s="2" t="str">
        <f>IFERROR(__xludf.DUMMYFUNCTION("""COMPUTED_VALUE"""),"661-30393")</f>
        <v>661-30393</v>
      </c>
      <c r="E192" s="2" t="str">
        <f>IFERROR(__xludf.DUMMYFUNCTION("""COMPUTED_VALUE"""),"Camera, iPhone 14 Plus")</f>
        <v>Camera, iPhone 14 Plus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0" t="str">
        <f t="shared" si="1"/>
        <v>January</v>
      </c>
      <c r="B193" s="11">
        <f>IFERROR(__xludf.DUMMYFUNCTION("""COMPUTED_VALUE"""),46040.0)</f>
        <v>46040</v>
      </c>
      <c r="C193" s="2" t="str">
        <f>IFERROR(__xludf.DUMMYFUNCTION("""COMPUTED_VALUE"""),"MOBILECARE - NEWPOINT MALL")</f>
        <v>MOBILECARE - NEWPOINT MALL</v>
      </c>
      <c r="D193" s="2" t="str">
        <f>IFERROR(__xludf.DUMMYFUNCTION("""COMPUTED_VALUE"""),"661-30393")</f>
        <v>661-30393</v>
      </c>
      <c r="E193" s="2" t="str">
        <f>IFERROR(__xludf.DUMMYFUNCTION("""COMPUTED_VALUE"""),"Camera, iPhone 14 Plus")</f>
        <v>Camera, iPhone 14 Plus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0" t="str">
        <f t="shared" si="1"/>
        <v>January</v>
      </c>
      <c r="B194" s="11">
        <f>IFERROR(__xludf.DUMMYFUNCTION("""COMPUTED_VALUE"""),46042.0)</f>
        <v>46042</v>
      </c>
      <c r="C194" s="2" t="str">
        <f>IFERROR(__xludf.DUMMYFUNCTION("""COMPUTED_VALUE"""),"MOBILECARE - NEWPOINT MALL")</f>
        <v>MOBILECARE - NEWPOINT MALL</v>
      </c>
      <c r="D194" s="2" t="str">
        <f>IFERROR(__xludf.DUMMYFUNCTION("""COMPUTED_VALUE"""),"661-56050")</f>
        <v>661-56050</v>
      </c>
      <c r="E194" s="2" t="str">
        <f>IFERROR(__xludf.DUMMYFUNCTION("""COMPUTED_VALUE"""),"Display, iPhone 17 Pro Max")</f>
        <v>Display, iPhone 17 Pro Max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0" t="str">
        <f t="shared" si="1"/>
        <v>January</v>
      </c>
      <c r="B195" s="11">
        <f>IFERROR(__xludf.DUMMYFUNCTION("""COMPUTED_VALUE"""),46038.0)</f>
        <v>46038</v>
      </c>
      <c r="C195" s="2" t="str">
        <f>IFERROR(__xludf.DUMMYFUNCTION("""COMPUTED_VALUE"""),"MOBILECARE - NEWPOINT MALL")</f>
        <v>MOBILECARE - NEWPOINT MALL</v>
      </c>
      <c r="D195" s="2" t="str">
        <f>IFERROR(__xludf.DUMMYFUNCTION("""COMPUTED_VALUE"""),"661-44956")</f>
        <v>661-44956</v>
      </c>
      <c r="E195" s="2" t="str">
        <f>IFERROR(__xludf.DUMMYFUNCTION("""COMPUTED_VALUE"""),"TrueDepth Camera, iPhone 16 Pro Max")</f>
        <v>TrueDepth Camera, iPhone 16 Pro Max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0" t="str">
        <f t="shared" si="1"/>
        <v>January</v>
      </c>
      <c r="B196" s="11">
        <f>IFERROR(__xludf.DUMMYFUNCTION("""COMPUTED_VALUE"""),46037.0)</f>
        <v>46037</v>
      </c>
      <c r="C196" s="2" t="str">
        <f>IFERROR(__xludf.DUMMYFUNCTION("""COMPUTED_VALUE"""),"MOBILECARE - NEWPOINT MALL")</f>
        <v>MOBILECARE - NEWPOINT MALL</v>
      </c>
      <c r="D196" s="2" t="str">
        <f>IFERROR(__xludf.DUMMYFUNCTION("""COMPUTED_VALUE"""),"661-42726")</f>
        <v>661-42726</v>
      </c>
      <c r="E196" s="2" t="str">
        <f>IFERROR(__xludf.DUMMYFUNCTION("""COMPUTED_VALUE"""),"Display, iPhone 16 Pro")</f>
        <v>Display, iPhone 16 Pro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0" t="str">
        <f t="shared" si="1"/>
        <v>January</v>
      </c>
      <c r="B197" s="11">
        <f>IFERROR(__xludf.DUMMYFUNCTION("""COMPUTED_VALUE"""),46049.0)</f>
        <v>46049</v>
      </c>
      <c r="C197" s="2" t="str">
        <f>IFERROR(__xludf.DUMMYFUNCTION("""COMPUTED_VALUE"""),"MOBILECARE - NEWPOINT MALL")</f>
        <v>MOBILECARE - NEWPOINT MALL</v>
      </c>
      <c r="D197" s="2" t="str">
        <f>IFERROR(__xludf.DUMMYFUNCTION("""COMPUTED_VALUE"""),"PP661-28614")</f>
        <v>PP661-28614</v>
      </c>
      <c r="E197" s="2" t="str">
        <f>IFERROR(__xludf.DUMMYFUNCTION("""COMPUTED_VALUE"""),"Starlight, iPhone 14, 128GB, ROW, CI/AR, Philippines")</f>
        <v>Starlight, iPhone 14, 128GB, ROW, CI/AR, Philippines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0" t="str">
        <f t="shared" si="1"/>
        <v>March</v>
      </c>
      <c r="B198" s="11">
        <f>IFERROR(__xludf.DUMMYFUNCTION("""COMPUTED_VALUE"""),46083.0)</f>
        <v>46083</v>
      </c>
      <c r="C198" s="2" t="str">
        <f>IFERROR(__xludf.DUMMYFUNCTION("""COMPUTED_VALUE"""),"MOBILECARE - NEWPOINT MALL")</f>
        <v>MOBILECARE - NEWPOINT MALL</v>
      </c>
      <c r="D198" s="2" t="str">
        <f>IFERROR(__xludf.DUMMYFUNCTION("""COMPUTED_VALUE"""),"PP661-23454")</f>
        <v>PP661-23454</v>
      </c>
      <c r="E198" s="2" t="str">
        <f>IFERROR(__xludf.DUMMYFUNCTION("""COMPUTED_VALUE"""),"iPhone 13, Midnight, 128GB, Logic Board Assy Rear System, ROW")</f>
        <v>iPhone 13, Midnight, 128GB, Logic Board Assy Rear System, ROW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0" t="str">
        <f t="shared" si="1"/>
        <v>March</v>
      </c>
      <c r="B199" s="11">
        <f>IFERROR(__xludf.DUMMYFUNCTION("""COMPUTED_VALUE"""),46083.0)</f>
        <v>46083</v>
      </c>
      <c r="C199" s="2" t="str">
        <f>IFERROR(__xludf.DUMMYFUNCTION("""COMPUTED_VALUE"""),"MOBILECARE - NEWPOINT MALL")</f>
        <v>MOBILECARE - NEWPOINT MALL</v>
      </c>
      <c r="D199" s="2" t="str">
        <f>IFERROR(__xludf.DUMMYFUNCTION("""COMPUTED_VALUE"""),"PP661-23454")</f>
        <v>PP661-23454</v>
      </c>
      <c r="E199" s="2" t="str">
        <f>IFERROR(__xludf.DUMMYFUNCTION("""COMPUTED_VALUE"""),"iPhone 13, Midnight, 128GB, Logic Board Assy Rear System, ROW")</f>
        <v>iPhone 13, Midnight, 128GB, Logic Board Assy Rear System, ROW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0" t="str">
        <f t="shared" si="1"/>
        <v>March</v>
      </c>
      <c r="B200" s="11">
        <f>IFERROR(__xludf.DUMMYFUNCTION("""COMPUTED_VALUE"""),46083.0)</f>
        <v>46083</v>
      </c>
      <c r="C200" s="2" t="str">
        <f>IFERROR(__xludf.DUMMYFUNCTION("""COMPUTED_VALUE"""),"MOBILECARE - NEWPOINT MALL")</f>
        <v>MOBILECARE - NEWPOINT MALL</v>
      </c>
      <c r="D200" s="2" t="str">
        <f>IFERROR(__xludf.DUMMYFUNCTION("""COMPUTED_VALUE"""),"661-32232")</f>
        <v>661-32232</v>
      </c>
      <c r="E200" s="2" t="str">
        <f>IFERROR(__xludf.DUMMYFUNCTION("""COMPUTED_VALUE"""),"Rear Camera, iPhone 13/mini, MICN")</f>
        <v>Rear Camera, iPhone 13/mini, MICN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0" t="str">
        <f t="shared" si="1"/>
        <v>January</v>
      </c>
      <c r="B201" s="11">
        <f>IFERROR(__xludf.DUMMYFUNCTION("""COMPUTED_VALUE"""),46052.0)</f>
        <v>46052</v>
      </c>
      <c r="C201" s="2" t="str">
        <f>IFERROR(__xludf.DUMMYFUNCTION("""COMPUTED_VALUE"""),"MOBILECARE - NEWPOINT MALL")</f>
        <v>MOBILECARE - NEWPOINT MALL</v>
      </c>
      <c r="D201" s="2" t="str">
        <f>IFERROR(__xludf.DUMMYFUNCTION("""COMPUTED_VALUE"""),"PP661-23455")</f>
        <v>PP661-23455</v>
      </c>
      <c r="E201" s="2" t="str">
        <f>IFERROR(__xludf.DUMMYFUNCTION("""COMPUTED_VALUE"""),"iPhone 13, Starlight, 128GB, Logic Board Assy Rear System, ROW")</f>
        <v>iPhone 13, Starlight, 128GB, Logic Board Assy Rear System, ROW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0" t="str">
        <f t="shared" si="1"/>
        <v>January</v>
      </c>
      <c r="B202" s="11">
        <f>IFERROR(__xludf.DUMMYFUNCTION("""COMPUTED_VALUE"""),46029.0)</f>
        <v>46029</v>
      </c>
      <c r="C202" s="2" t="str">
        <f>IFERROR(__xludf.DUMMYFUNCTION("""COMPUTED_VALUE"""),"MOBILECARE - NEWPOINT MALL")</f>
        <v>MOBILECARE - NEWPOINT MALL</v>
      </c>
      <c r="D202" s="2" t="str">
        <f>IFERROR(__xludf.DUMMYFUNCTION("""COMPUTED_VALUE"""),"661-22294")</f>
        <v>661-22294</v>
      </c>
      <c r="E202" s="2" t="str">
        <f>IFERROR(__xludf.DUMMYFUNCTION("""COMPUTED_VALUE"""),"Battery, iPhone 13 Pro Max")</f>
        <v>Battery, iPhone 13 Pro Max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0" t="str">
        <f t="shared" si="1"/>
        <v>January</v>
      </c>
      <c r="B203" s="11">
        <f>IFERROR(__xludf.DUMMYFUNCTION("""COMPUTED_VALUE"""),46029.0)</f>
        <v>46029</v>
      </c>
      <c r="C203" s="2" t="str">
        <f>IFERROR(__xludf.DUMMYFUNCTION("""COMPUTED_VALUE"""),"MOBILECARE - NEWPOINT MALL")</f>
        <v>MOBILECARE - NEWPOINT MALL</v>
      </c>
      <c r="D203" s="2" t="str">
        <f>IFERROR(__xludf.DUMMYFUNCTION("""COMPUTED_VALUE"""),"661-22294")</f>
        <v>661-22294</v>
      </c>
      <c r="E203" s="2" t="str">
        <f>IFERROR(__xludf.DUMMYFUNCTION("""COMPUTED_VALUE"""),"Battery, iPhone 13 Pro Max")</f>
        <v>Battery, iPhone 13 Pro Max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0" t="str">
        <f t="shared" si="1"/>
        <v>January</v>
      </c>
      <c r="B204" s="11">
        <f>IFERROR(__xludf.DUMMYFUNCTION("""COMPUTED_VALUE"""),46033.0)</f>
        <v>46033</v>
      </c>
      <c r="C204" s="2" t="str">
        <f>IFERROR(__xludf.DUMMYFUNCTION("""COMPUTED_VALUE"""),"MOBILECARE - NEWPOINT MALL")</f>
        <v>MOBILECARE - NEWPOINT MALL</v>
      </c>
      <c r="D204" s="2" t="str">
        <f>IFERROR(__xludf.DUMMYFUNCTION("""COMPUTED_VALUE"""),"661-21988")</f>
        <v>661-21988</v>
      </c>
      <c r="E204" s="2" t="str">
        <f>IFERROR(__xludf.DUMMYFUNCTION("""COMPUTED_VALUE"""),"Display, iPhone 13")</f>
        <v>Display, iPhone 13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0" t="str">
        <f t="shared" si="1"/>
        <v>January</v>
      </c>
      <c r="B205" s="11">
        <f>IFERROR(__xludf.DUMMYFUNCTION("""COMPUTED_VALUE"""),46047.0)</f>
        <v>46047</v>
      </c>
      <c r="C205" s="2" t="str">
        <f>IFERROR(__xludf.DUMMYFUNCTION("""COMPUTED_VALUE"""),"MOBILECARE - NEWPOINT MALL")</f>
        <v>MOBILECARE - NEWPOINT MALL</v>
      </c>
      <c r="D205" s="2" t="str">
        <f>IFERROR(__xludf.DUMMYFUNCTION("""COMPUTED_VALUE"""),"PP661-23455")</f>
        <v>PP661-23455</v>
      </c>
      <c r="E205" s="2" t="str">
        <f>IFERROR(__xludf.DUMMYFUNCTION("""COMPUTED_VALUE"""),"iPhone 13, Starlight, 128GB, Logic Board Assy Rear System, ROW")</f>
        <v>iPhone 13, Starlight, 128GB, Logic Board Assy Rear System, ROW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0" t="str">
        <f t="shared" si="1"/>
        <v>January</v>
      </c>
      <c r="B206" s="11">
        <f>IFERROR(__xludf.DUMMYFUNCTION("""COMPUTED_VALUE"""),46032.0)</f>
        <v>46032</v>
      </c>
      <c r="C206" s="2" t="str">
        <f>IFERROR(__xludf.DUMMYFUNCTION("""COMPUTED_VALUE"""),"MOBILECARE - NEWPOINT MALL")</f>
        <v>MOBILECARE - NEWPOINT MALL</v>
      </c>
      <c r="D206" s="2" t="str">
        <f>IFERROR(__xludf.DUMMYFUNCTION("""COMPUTED_VALUE"""),"661-21993")</f>
        <v>661-21993</v>
      </c>
      <c r="E206" s="2" t="str">
        <f>IFERROR(__xludf.DUMMYFUNCTION("""COMPUTED_VALUE"""),"Display, iPhone 13 Pro")</f>
        <v>Display, iPhone 13 Pro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0" t="str">
        <f t="shared" si="1"/>
        <v>January</v>
      </c>
      <c r="B207" s="11">
        <f>IFERROR(__xludf.DUMMYFUNCTION("""COMPUTED_VALUE"""),46034.0)</f>
        <v>46034</v>
      </c>
      <c r="C207" s="2" t="str">
        <f>IFERROR(__xludf.DUMMYFUNCTION("""COMPUTED_VALUE"""),"MOBILECARE - NEWPOINT MALL")</f>
        <v>MOBILECARE - NEWPOINT MALL</v>
      </c>
      <c r="D207" s="2" t="str">
        <f>IFERROR(__xludf.DUMMYFUNCTION("""COMPUTED_VALUE"""),"661-22309")</f>
        <v>661-22309</v>
      </c>
      <c r="E207" s="2" t="str">
        <f>IFERROR(__xludf.DUMMYFUNCTION("""COMPUTED_VALUE"""),"Display, iPhone 13 Pro Max")</f>
        <v>Display, iPhone 13 Pro Max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0" t="str">
        <f t="shared" si="1"/>
        <v>January</v>
      </c>
      <c r="B208" s="11">
        <f>IFERROR(__xludf.DUMMYFUNCTION("""COMPUTED_VALUE"""),46048.0)</f>
        <v>46048</v>
      </c>
      <c r="C208" s="2" t="str">
        <f>IFERROR(__xludf.DUMMYFUNCTION("""COMPUTED_VALUE"""),"MOBILECARE - NEWPOINT MALL")</f>
        <v>MOBILECARE - NEWPOINT MALL</v>
      </c>
      <c r="D208" s="2" t="str">
        <f>IFERROR(__xludf.DUMMYFUNCTION("""COMPUTED_VALUE"""),"PP661-23454")</f>
        <v>PP661-23454</v>
      </c>
      <c r="E208" s="2" t="str">
        <f>IFERROR(__xludf.DUMMYFUNCTION("""COMPUTED_VALUE"""),"iPhone 13, Midnight, 128GB, Logic Board Assy Rear System, ROW")</f>
        <v>iPhone 13, Midnight, 128GB, Logic Board Assy Rear System, ROW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0" t="str">
        <f t="shared" si="1"/>
        <v>January</v>
      </c>
      <c r="B209" s="11">
        <f>IFERROR(__xludf.DUMMYFUNCTION("""COMPUTED_VALUE"""),46035.0)</f>
        <v>46035</v>
      </c>
      <c r="C209" s="2" t="str">
        <f>IFERROR(__xludf.DUMMYFUNCTION("""COMPUTED_VALUE"""),"MOBILECARE - NEWPOINT MALL")</f>
        <v>MOBILECARE - NEWPOINT MALL</v>
      </c>
      <c r="D209" s="2" t="str">
        <f>IFERROR(__xludf.DUMMYFUNCTION("""COMPUTED_VALUE"""),"661-44955")</f>
        <v>661-44955</v>
      </c>
      <c r="E209" s="2" t="str">
        <f>IFERROR(__xludf.DUMMYFUNCTION("""COMPUTED_VALUE"""),"Display, iPhone 16 Pro Max")</f>
        <v>Display, iPhone 16 Pro Max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0" t="str">
        <f t="shared" si="1"/>
        <v>January</v>
      </c>
      <c r="B210" s="11">
        <f>IFERROR(__xludf.DUMMYFUNCTION("""COMPUTED_VALUE"""),46048.0)</f>
        <v>46048</v>
      </c>
      <c r="C210" s="2" t="str">
        <f>IFERROR(__xludf.DUMMYFUNCTION("""COMPUTED_VALUE"""),"MOBILECARE - NEWPOINT MALL")</f>
        <v>MOBILECARE - NEWPOINT MALL</v>
      </c>
      <c r="D210" s="2" t="str">
        <f>IFERROR(__xludf.DUMMYFUNCTION("""COMPUTED_VALUE"""),"PP661-23454")</f>
        <v>PP661-23454</v>
      </c>
      <c r="E210" s="2" t="str">
        <f>IFERROR(__xludf.DUMMYFUNCTION("""COMPUTED_VALUE"""),"iPhone 13, Midnight, 128GB, Logic Board Assy Rear System, ROW")</f>
        <v>iPhone 13, Midnight, 128GB, Logic Board Assy Rear System, ROW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0" t="str">
        <f t="shared" si="1"/>
        <v>January</v>
      </c>
      <c r="B211" s="11">
        <f>IFERROR(__xludf.DUMMYFUNCTION("""COMPUTED_VALUE"""),46034.0)</f>
        <v>46034</v>
      </c>
      <c r="C211" s="2" t="str">
        <f>IFERROR(__xludf.DUMMYFUNCTION("""COMPUTED_VALUE"""),"MOBILECARE - NEWPOINT MALL")</f>
        <v>MOBILECARE - NEWPOINT MALL</v>
      </c>
      <c r="D211" s="2" t="str">
        <f>IFERROR(__xludf.DUMMYFUNCTION("""COMPUTED_VALUE"""),"661-30366")</f>
        <v>661-30366</v>
      </c>
      <c r="E211" s="2" t="str">
        <f>IFERROR(__xludf.DUMMYFUNCTION("""COMPUTED_VALUE"""),"Display, iPhone 14")</f>
        <v>Display, iPhone 14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0" t="str">
        <f t="shared" si="1"/>
        <v>January</v>
      </c>
      <c r="B212" s="11">
        <f>IFERROR(__xludf.DUMMYFUNCTION("""COMPUTED_VALUE"""),46034.0)</f>
        <v>46034</v>
      </c>
      <c r="C212" s="2" t="str">
        <f>IFERROR(__xludf.DUMMYFUNCTION("""COMPUTED_VALUE"""),"MOBILECARE - NEWPOINT MALL")</f>
        <v>MOBILECARE - NEWPOINT MALL</v>
      </c>
      <c r="D212" s="2" t="str">
        <f>IFERROR(__xludf.DUMMYFUNCTION("""COMPUTED_VALUE"""),"661-30393")</f>
        <v>661-30393</v>
      </c>
      <c r="E212" s="2" t="str">
        <f>IFERROR(__xludf.DUMMYFUNCTION("""COMPUTED_VALUE"""),"Camera, iPhone 14 Plus")</f>
        <v>Camera, iPhone 14 Plus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0" t="str">
        <f t="shared" si="1"/>
        <v>January</v>
      </c>
      <c r="B213" s="11">
        <f>IFERROR(__xludf.DUMMYFUNCTION("""COMPUTED_VALUE"""),46048.0)</f>
        <v>46048</v>
      </c>
      <c r="C213" s="2" t="str">
        <f>IFERROR(__xludf.DUMMYFUNCTION("""COMPUTED_VALUE"""),"MOBILECARE - NEWPOINT MALL")</f>
        <v>MOBILECARE - NEWPOINT MALL</v>
      </c>
      <c r="D213" s="2" t="str">
        <f>IFERROR(__xludf.DUMMYFUNCTION("""COMPUTED_VALUE"""),"PP661-23454")</f>
        <v>PP661-23454</v>
      </c>
      <c r="E213" s="2" t="str">
        <f>IFERROR(__xludf.DUMMYFUNCTION("""COMPUTED_VALUE"""),"iPhone 13, Midnight, 128GB, Logic Board Assy Rear System, ROW")</f>
        <v>iPhone 13, Midnight, 128GB, Logic Board Assy Rear System, ROW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0" t="str">
        <f t="shared" si="1"/>
        <v>January</v>
      </c>
      <c r="B214" s="11">
        <f>IFERROR(__xludf.DUMMYFUNCTION("""COMPUTED_VALUE"""),46048.0)</f>
        <v>46048</v>
      </c>
      <c r="C214" s="2" t="str">
        <f>IFERROR(__xludf.DUMMYFUNCTION("""COMPUTED_VALUE"""),"MOBILECARE - NEWPOINT MALL")</f>
        <v>MOBILECARE - NEWPOINT MALL</v>
      </c>
      <c r="D214" s="2" t="str">
        <f>IFERROR(__xludf.DUMMYFUNCTION("""COMPUTED_VALUE"""),"TA661-36695")</f>
        <v>TA661-36695</v>
      </c>
      <c r="E214" s="2" t="str">
        <f>IFERROR(__xludf.DUMMYFUNCTION("""COMPUTED_VALUE"""),"iPhone 15, Green, 128GB, Logic Board Assy Mid System, ROW")</f>
        <v>iPhone 15, Green, 128GB, Logic Board Assy Mid System, ROW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0" t="str">
        <f t="shared" si="1"/>
        <v>January</v>
      </c>
      <c r="B215" s="11">
        <f>IFERROR(__xludf.DUMMYFUNCTION("""COMPUTED_VALUE"""),46050.0)</f>
        <v>46050</v>
      </c>
      <c r="C215" s="2" t="str">
        <f>IFERROR(__xludf.DUMMYFUNCTION("""COMPUTED_VALUE"""),"MOBILECARE - NEWPOINT MALL")</f>
        <v>MOBILECARE - NEWPOINT MALL</v>
      </c>
      <c r="D215" s="2" t="str">
        <f>IFERROR(__xludf.DUMMYFUNCTION("""COMPUTED_VALUE"""),"PP661-23455")</f>
        <v>PP661-23455</v>
      </c>
      <c r="E215" s="2" t="str">
        <f>IFERROR(__xludf.DUMMYFUNCTION("""COMPUTED_VALUE"""),"iPhone 13, Starlight, 128GB, Logic Board Assy Rear System, ROW")</f>
        <v>iPhone 13, Starlight, 128GB, Logic Board Assy Rear System, ROW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0" t="str">
        <f t="shared" si="1"/>
        <v>January</v>
      </c>
      <c r="B216" s="11">
        <f>IFERROR(__xludf.DUMMYFUNCTION("""COMPUTED_VALUE"""),46046.0)</f>
        <v>46046</v>
      </c>
      <c r="C216" s="2" t="str">
        <f>IFERROR(__xludf.DUMMYFUNCTION("""COMPUTED_VALUE"""),"MOBILECARE - NEWPOINT MALL")</f>
        <v>MOBILECARE - NEWPOINT MALL</v>
      </c>
      <c r="D216" s="2" t="str">
        <f>IFERROR(__xludf.DUMMYFUNCTION("""COMPUTED_VALUE"""),"PP661-22980")</f>
        <v>PP661-22980</v>
      </c>
      <c r="E216" s="2" t="str">
        <f>IFERROR(__xludf.DUMMYFUNCTION("""COMPUTED_VALUE"""),"Midnight, 128 GB, iPhone 13, ROW, CI/AR, Philippines")</f>
        <v>Midnight, 128 GB, iPhone 13, ROW, CI/AR, Philippines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0" t="str">
        <f t="shared" si="1"/>
        <v>January</v>
      </c>
      <c r="B217" s="11">
        <f>IFERROR(__xludf.DUMMYFUNCTION("""COMPUTED_VALUE"""),46052.0)</f>
        <v>46052</v>
      </c>
      <c r="C217" s="2" t="str">
        <f>IFERROR(__xludf.DUMMYFUNCTION("""COMPUTED_VALUE"""),"MOBILECARE - NEWPOINT MALL")</f>
        <v>MOBILECARE - NEWPOINT MALL</v>
      </c>
      <c r="D217" s="2" t="str">
        <f>IFERROR(__xludf.DUMMYFUNCTION("""COMPUTED_VALUE"""),"TA661-43500")</f>
        <v>TA661-43500</v>
      </c>
      <c r="E217" s="2" t="str">
        <f>IFERROR(__xludf.DUMMYFUNCTION("""COMPUTED_VALUE"""),"128GB, Pink, ROW, iPhone 16, CI/AR")</f>
        <v>128GB, Pink, ROW, iPhone 16, CI/AR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0" t="str">
        <f t="shared" si="1"/>
        <v>January</v>
      </c>
      <c r="B218" s="11">
        <f>IFERROR(__xludf.DUMMYFUNCTION("""COMPUTED_VALUE"""),46053.0)</f>
        <v>46053</v>
      </c>
      <c r="C218" s="2" t="str">
        <f>IFERROR(__xludf.DUMMYFUNCTION("""COMPUTED_VALUE"""),"MOBILECARE - NEWPOINT MALL")</f>
        <v>MOBILECARE - NEWPOINT MALL</v>
      </c>
      <c r="D218" s="2" t="str">
        <f>IFERROR(__xludf.DUMMYFUNCTION("""COMPUTED_VALUE"""),"TA661-43504")</f>
        <v>TA661-43504</v>
      </c>
      <c r="E218" s="2" t="str">
        <f>IFERROR(__xludf.DUMMYFUNCTION("""COMPUTED_VALUE"""),"256GB, White, ROW, iPhone 16, CI/AR")</f>
        <v>256GB, White, ROW, iPhone 16, CI/AR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0" t="str">
        <f t="shared" si="1"/>
        <v>January</v>
      </c>
      <c r="B219" s="11">
        <f>IFERROR(__xludf.DUMMYFUNCTION("""COMPUTED_VALUE"""),46049.0)</f>
        <v>46049</v>
      </c>
      <c r="C219" s="2" t="str">
        <f>IFERROR(__xludf.DUMMYFUNCTION("""COMPUTED_VALUE"""),"MOBILECARE - NEWPOINT MALL")</f>
        <v>MOBILECARE - NEWPOINT MALL</v>
      </c>
      <c r="D219" s="2" t="str">
        <f>IFERROR(__xludf.DUMMYFUNCTION("""COMPUTED_VALUE"""),"PP661-23455")</f>
        <v>PP661-23455</v>
      </c>
      <c r="E219" s="2" t="str">
        <f>IFERROR(__xludf.DUMMYFUNCTION("""COMPUTED_VALUE"""),"iPhone 13, Starlight, 128GB, Logic Board Assy Rear System, ROW")</f>
        <v>iPhone 13, Starlight, 128GB, Logic Board Assy Rear System, ROW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0" t="str">
        <f t="shared" si="1"/>
        <v>January</v>
      </c>
      <c r="B220" s="11">
        <f>IFERROR(__xludf.DUMMYFUNCTION("""COMPUTED_VALUE"""),46034.0)</f>
        <v>46034</v>
      </c>
      <c r="C220" s="2" t="str">
        <f>IFERROR(__xludf.DUMMYFUNCTION("""COMPUTED_VALUE"""),"MOBILECARE - NEWPOINT MALL")</f>
        <v>MOBILECARE - NEWPOINT MALL</v>
      </c>
      <c r="D220" s="2" t="str">
        <f>IFERROR(__xludf.DUMMYFUNCTION("""COMPUTED_VALUE"""),"661-21988")</f>
        <v>661-21988</v>
      </c>
      <c r="E220" s="2" t="str">
        <f>IFERROR(__xludf.DUMMYFUNCTION("""COMPUTED_VALUE"""),"Display, iPhone 13")</f>
        <v>Display, iPhone 13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0" t="str">
        <f t="shared" si="1"/>
        <v>January</v>
      </c>
      <c r="B221" s="11">
        <f>IFERROR(__xludf.DUMMYFUNCTION("""COMPUTED_VALUE"""),46036.0)</f>
        <v>46036</v>
      </c>
      <c r="C221" s="2" t="str">
        <f>IFERROR(__xludf.DUMMYFUNCTION("""COMPUTED_VALUE"""),"MOBILECARE - NEWPOINT MALL")</f>
        <v>MOBILECARE - NEWPOINT MALL</v>
      </c>
      <c r="D221" s="2" t="str">
        <f>IFERROR(__xludf.DUMMYFUNCTION("""COMPUTED_VALUE"""),"661-21993")</f>
        <v>661-21993</v>
      </c>
      <c r="E221" s="2" t="str">
        <f>IFERROR(__xludf.DUMMYFUNCTION("""COMPUTED_VALUE"""),"Display, iPhone 13 Pro")</f>
        <v>Display, iPhone 13 Pro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0" t="str">
        <f t="shared" si="1"/>
        <v>January</v>
      </c>
      <c r="B222" s="11">
        <f>IFERROR(__xludf.DUMMYFUNCTION("""COMPUTED_VALUE"""),46048.0)</f>
        <v>46048</v>
      </c>
      <c r="C222" s="2" t="str">
        <f>IFERROR(__xludf.DUMMYFUNCTION("""COMPUTED_VALUE"""),"MOBILECARE - NEWPOINT MALL")</f>
        <v>MOBILECARE - NEWPOINT MALL</v>
      </c>
      <c r="D222" s="2" t="str">
        <f>IFERROR(__xludf.DUMMYFUNCTION("""COMPUTED_VALUE"""),"TA661-36694")</f>
        <v>TA661-36694</v>
      </c>
      <c r="E222" s="2" t="str">
        <f>IFERROR(__xludf.DUMMYFUNCTION("""COMPUTED_VALUE"""),"iPhone 15, Blue, 128GB, Logic Board Assy Mid System, ROW")</f>
        <v>iPhone 15, Blue, 128GB, Logic Board Assy Mid System, ROW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0" t="str">
        <f t="shared" si="1"/>
        <v>January</v>
      </c>
      <c r="B223" s="11">
        <f>IFERROR(__xludf.DUMMYFUNCTION("""COMPUTED_VALUE"""),46047.0)</f>
        <v>46047</v>
      </c>
      <c r="C223" s="2" t="str">
        <f>IFERROR(__xludf.DUMMYFUNCTION("""COMPUTED_VALUE"""),"MOBILECARE - NEWPOINT MALL")</f>
        <v>MOBILECARE - NEWPOINT MALL</v>
      </c>
      <c r="D223" s="2" t="str">
        <f>IFERROR(__xludf.DUMMYFUNCTION("""COMPUTED_VALUE"""),"TA661-36692")</f>
        <v>TA661-36692</v>
      </c>
      <c r="E223" s="2" t="str">
        <f>IFERROR(__xludf.DUMMYFUNCTION("""COMPUTED_VALUE"""),"iPhone 15, Pink, 128GB, Logic Board Assy Mid System, ROW")</f>
        <v>iPhone 15, Pink, 128GB, Logic Board Assy Mid System, ROW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0" t="str">
        <f t="shared" si="1"/>
        <v>January</v>
      </c>
      <c r="B224" s="11">
        <f>IFERROR(__xludf.DUMMYFUNCTION("""COMPUTED_VALUE"""),46039.0)</f>
        <v>46039</v>
      </c>
      <c r="C224" s="2" t="str">
        <f>IFERROR(__xludf.DUMMYFUNCTION("""COMPUTED_VALUE"""),"MOBILECARE - NEWPOINT MALL")</f>
        <v>MOBILECARE - NEWPOINT MALL</v>
      </c>
      <c r="D224" s="2" t="str">
        <f>IFERROR(__xludf.DUMMYFUNCTION("""COMPUTED_VALUE"""),"661-21996")</f>
        <v>661-21996</v>
      </c>
      <c r="E224" s="2" t="str">
        <f>IFERROR(__xludf.DUMMYFUNCTION("""COMPUTED_VALUE"""),"Battery, iPhone 13 Pro")</f>
        <v>Battery, iPhone 13 Pro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0" t="str">
        <f t="shared" si="1"/>
        <v>January</v>
      </c>
      <c r="B225" s="11">
        <f>IFERROR(__xludf.DUMMYFUNCTION("""COMPUTED_VALUE"""),46027.0)</f>
        <v>46027</v>
      </c>
      <c r="C225" s="2" t="str">
        <f>IFERROR(__xludf.DUMMYFUNCTION("""COMPUTED_VALUE"""),"MOBILECARE - NEWPOINT MALL")</f>
        <v>MOBILECARE - NEWPOINT MALL</v>
      </c>
      <c r="D225" s="2" t="str">
        <f>IFERROR(__xludf.DUMMYFUNCTION("""COMPUTED_VALUE"""),"661-21991")</f>
        <v>661-21991</v>
      </c>
      <c r="E225" s="2" t="str">
        <f>IFERROR(__xludf.DUMMYFUNCTION("""COMPUTED_VALUE"""),"Battery, iPhone 13")</f>
        <v>Battery, iPhone 13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0" t="str">
        <f t="shared" si="1"/>
        <v>January</v>
      </c>
      <c r="B226" s="11">
        <f>IFERROR(__xludf.DUMMYFUNCTION("""COMPUTED_VALUE"""),46033.0)</f>
        <v>46033</v>
      </c>
      <c r="C226" s="2" t="str">
        <f>IFERROR(__xludf.DUMMYFUNCTION("""COMPUTED_VALUE"""),"MOBILECARE - NEWPOINT MALL")</f>
        <v>MOBILECARE - NEWPOINT MALL</v>
      </c>
      <c r="D226" s="2" t="str">
        <f>IFERROR(__xludf.DUMMYFUNCTION("""COMPUTED_VALUE"""),"661-42843")</f>
        <v>661-42843</v>
      </c>
      <c r="E226" s="2" t="str">
        <f>IFERROR(__xludf.DUMMYFUNCTION("""COMPUTED_VALUE"""),"Display, iPhone 16 Plus")</f>
        <v>Display, iPhone 16 Plus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0" t="str">
        <f t="shared" si="1"/>
        <v>January</v>
      </c>
      <c r="B227" s="11">
        <f>IFERROR(__xludf.DUMMYFUNCTION("""COMPUTED_VALUE"""),46034.0)</f>
        <v>46034</v>
      </c>
      <c r="C227" s="2" t="str">
        <f>IFERROR(__xludf.DUMMYFUNCTION("""COMPUTED_VALUE"""),"MOBILECARE - NEWPOINT MALL")</f>
        <v>MOBILECARE - NEWPOINT MALL</v>
      </c>
      <c r="D227" s="2" t="str">
        <f>IFERROR(__xludf.DUMMYFUNCTION("""COMPUTED_VALUE"""),"661-36915")</f>
        <v>661-36915</v>
      </c>
      <c r="E227" s="2" t="str">
        <f>IFERROR(__xludf.DUMMYFUNCTION("""COMPUTED_VALUE"""),"Display, iPhone 15 Pro Max")</f>
        <v>Display, iPhone 15 Pro Max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0" t="str">
        <f t="shared" si="1"/>
        <v>January</v>
      </c>
      <c r="B228" s="11">
        <f>IFERROR(__xludf.DUMMYFUNCTION("""COMPUTED_VALUE"""),46033.0)</f>
        <v>46033</v>
      </c>
      <c r="C228" s="2" t="str">
        <f>IFERROR(__xludf.DUMMYFUNCTION("""COMPUTED_VALUE"""),"MOBILECARE - NEWPOINT MALL")</f>
        <v>MOBILECARE - NEWPOINT MALL</v>
      </c>
      <c r="D228" s="2" t="str">
        <f>IFERROR(__xludf.DUMMYFUNCTION("""COMPUTED_VALUE"""),"661-56050")</f>
        <v>661-56050</v>
      </c>
      <c r="E228" s="2" t="str">
        <f>IFERROR(__xludf.DUMMYFUNCTION("""COMPUTED_VALUE"""),"Display, iPhone 17 Pro Max")</f>
        <v>Display, iPhone 17 Pro Max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0" t="str">
        <f t="shared" si="1"/>
        <v>January</v>
      </c>
      <c r="B229" s="11">
        <f>IFERROR(__xludf.DUMMYFUNCTION("""COMPUTED_VALUE"""),46034.0)</f>
        <v>46034</v>
      </c>
      <c r="C229" s="2" t="str">
        <f>IFERROR(__xludf.DUMMYFUNCTION("""COMPUTED_VALUE"""),"MOBILECARE - NEWPOINT MALL")</f>
        <v>MOBILECARE - NEWPOINT MALL</v>
      </c>
      <c r="D229" s="2" t="str">
        <f>IFERROR(__xludf.DUMMYFUNCTION("""COMPUTED_VALUE"""),"661-44955")</f>
        <v>661-44955</v>
      </c>
      <c r="E229" s="2" t="str">
        <f>IFERROR(__xludf.DUMMYFUNCTION("""COMPUTED_VALUE"""),"Display, iPhone 16 Pro Max")</f>
        <v>Display, iPhone 16 Pro Max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0" t="str">
        <f t="shared" si="1"/>
        <v>January</v>
      </c>
      <c r="B230" s="11">
        <f>IFERROR(__xludf.DUMMYFUNCTION("""COMPUTED_VALUE"""),46052.0)</f>
        <v>46052</v>
      </c>
      <c r="C230" s="2" t="str">
        <f>IFERROR(__xludf.DUMMYFUNCTION("""COMPUTED_VALUE"""),"MOBILECARE - NEWPOINT MALL")</f>
        <v>MOBILECARE - NEWPOINT MALL</v>
      </c>
      <c r="D230" s="2" t="str">
        <f>IFERROR(__xludf.DUMMYFUNCTION("""COMPUTED_VALUE"""),"TA661-44999")</f>
        <v>TA661-44999</v>
      </c>
      <c r="E230" s="2" t="str">
        <f>IFERROR(__xludf.DUMMYFUNCTION("""COMPUTED_VALUE"""),"256GB, Black Titanium, ROW, iPhone 16 Pro, Logic Board Assy Mid System")</f>
        <v>256GB, Black Titanium, ROW, iPhone 16 Pro, Logic Board Assy Mid System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0" t="str">
        <f t="shared" si="1"/>
        <v>January</v>
      </c>
      <c r="B231" s="11">
        <f>IFERROR(__xludf.DUMMYFUNCTION("""COMPUTED_VALUE"""),46041.0)</f>
        <v>46041</v>
      </c>
      <c r="C231" s="2" t="str">
        <f>IFERROR(__xludf.DUMMYFUNCTION("""COMPUTED_VALUE"""),"MOBILECARE - NEWPOINT MALL")</f>
        <v>MOBILECARE - NEWPOINT MALL</v>
      </c>
      <c r="D231" s="2" t="str">
        <f>IFERROR(__xludf.DUMMYFUNCTION("""COMPUTED_VALUE"""),"Z661-55956")</f>
        <v>Z661-55956</v>
      </c>
      <c r="E231" s="2" t="str">
        <f>IFERROR(__xludf.DUMMYFUNCTION("""COMPUTED_VALUE"""),"Logic Board, 256GB, iPhone 17 Pro Max, ROW")</f>
        <v>Logic Board, 256GB, iPhone 17 Pro Max, ROW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0" t="str">
        <f t="shared" si="1"/>
        <v>February</v>
      </c>
      <c r="B232" s="11">
        <f>IFERROR(__xludf.DUMMYFUNCTION("""COMPUTED_VALUE"""),46061.0)</f>
        <v>46061</v>
      </c>
      <c r="C232" s="2" t="str">
        <f>IFERROR(__xludf.DUMMYFUNCTION("""COMPUTED_VALUE"""),"MOBILECARE - NEWPOINT MALL")</f>
        <v>MOBILECARE - NEWPOINT MALL</v>
      </c>
      <c r="D232" s="2" t="str">
        <f>IFERROR(__xludf.DUMMYFUNCTION("""COMPUTED_VALUE"""),"PP661-28868")</f>
        <v>PP661-28868</v>
      </c>
      <c r="E232" s="2" t="str">
        <f>IFERROR(__xludf.DUMMYFUNCTION("""COMPUTED_VALUE"""),"iPhone 14, Midnight, 128GB, Logic Board Assy Mid System, ROW")</f>
        <v>iPhone 14, Midnight, 128GB, Logic Board Assy Mid System, ROW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0" t="str">
        <f t="shared" si="1"/>
        <v>January</v>
      </c>
      <c r="B233" s="11">
        <f>IFERROR(__xludf.DUMMYFUNCTION("""COMPUTED_VALUE"""),46040.0)</f>
        <v>46040</v>
      </c>
      <c r="C233" s="2" t="str">
        <f>IFERROR(__xludf.DUMMYFUNCTION("""COMPUTED_VALUE"""),"MOBILECARE - NEWPOINT MALL")</f>
        <v>MOBILECARE - NEWPOINT MALL</v>
      </c>
      <c r="D233" s="2" t="str">
        <f>IFERROR(__xludf.DUMMYFUNCTION("""COMPUTED_VALUE"""),"661-21991")</f>
        <v>661-21991</v>
      </c>
      <c r="E233" s="2" t="str">
        <f>IFERROR(__xludf.DUMMYFUNCTION("""COMPUTED_VALUE"""),"Battery, iPhone 13")</f>
        <v>Battery, iPhone 13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0" t="str">
        <f t="shared" si="1"/>
        <v>February</v>
      </c>
      <c r="B234" s="11">
        <f>IFERROR(__xludf.DUMMYFUNCTION("""COMPUTED_VALUE"""),46054.0)</f>
        <v>46054</v>
      </c>
      <c r="C234" s="2" t="str">
        <f>IFERROR(__xludf.DUMMYFUNCTION("""COMPUTED_VALUE"""),"MOBILECARE - NEWPOINT MALL")</f>
        <v>MOBILECARE - NEWPOINT MALL</v>
      </c>
      <c r="D234" s="2" t="str">
        <f>IFERROR(__xludf.DUMMYFUNCTION("""COMPUTED_VALUE"""),"TA661-43611")</f>
        <v>TA661-43611</v>
      </c>
      <c r="E234" s="2" t="str">
        <f>IFERROR(__xludf.DUMMYFUNCTION("""COMPUTED_VALUE"""),"256GB, White, ROW, iPhone 16, Logic Board Assy Mid System")</f>
        <v>256GB, White, ROW, iPhone 16, Logic Board Assy Mid System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0" t="str">
        <f t="shared" si="1"/>
        <v>January</v>
      </c>
      <c r="B235" s="11">
        <f>IFERROR(__xludf.DUMMYFUNCTION("""COMPUTED_VALUE"""),46052.0)</f>
        <v>46052</v>
      </c>
      <c r="C235" s="2" t="str">
        <f>IFERROR(__xludf.DUMMYFUNCTION("""COMPUTED_VALUE"""),"MOBILECARE - NEWPOINT MALL")</f>
        <v>MOBILECARE - NEWPOINT MALL</v>
      </c>
      <c r="D235" s="2" t="str">
        <f>IFERROR(__xludf.DUMMYFUNCTION("""COMPUTED_VALUE"""),"PP661-23454")</f>
        <v>PP661-23454</v>
      </c>
      <c r="E235" s="2" t="str">
        <f>IFERROR(__xludf.DUMMYFUNCTION("""COMPUTED_VALUE"""),"iPhone 13, Midnight, 128GB, Logic Board Assy Rear System, ROW")</f>
        <v>iPhone 13, Midnight, 128GB, Logic Board Assy Rear System, ROW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0" t="str">
        <f t="shared" si="1"/>
        <v>January</v>
      </c>
      <c r="B236" s="11">
        <f>IFERROR(__xludf.DUMMYFUNCTION("""COMPUTED_VALUE"""),46053.0)</f>
        <v>46053</v>
      </c>
      <c r="C236" s="2" t="str">
        <f>IFERROR(__xludf.DUMMYFUNCTION("""COMPUTED_VALUE"""),"MOBILECARE - NEWPOINT MALL")</f>
        <v>MOBILECARE - NEWPOINT MALL</v>
      </c>
      <c r="D236" s="2" t="str">
        <f>IFERROR(__xludf.DUMMYFUNCTION("""COMPUTED_VALUE"""),"PP661-28869")</f>
        <v>PP661-28869</v>
      </c>
      <c r="E236" s="2" t="str">
        <f>IFERROR(__xludf.DUMMYFUNCTION("""COMPUTED_VALUE"""),"iPhone 14, Starlight, 128GB, Logic Board Assy Mid System, ROW")</f>
        <v>iPhone 14, Starlight, 128GB, Logic Board Assy Mid System, ROW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0" t="str">
        <f t="shared" si="1"/>
        <v>February</v>
      </c>
      <c r="B237" s="11">
        <f>IFERROR(__xludf.DUMMYFUNCTION("""COMPUTED_VALUE"""),46060.0)</f>
        <v>46060</v>
      </c>
      <c r="C237" s="2" t="str">
        <f>IFERROR(__xludf.DUMMYFUNCTION("""COMPUTED_VALUE"""),"MOBILECARE - NEWPOINT MALL")</f>
        <v>MOBILECARE - NEWPOINT MALL</v>
      </c>
      <c r="D237" s="2" t="str">
        <f>IFERROR(__xludf.DUMMYFUNCTION("""COMPUTED_VALUE"""),"PP661-23455")</f>
        <v>PP661-23455</v>
      </c>
      <c r="E237" s="2" t="str">
        <f>IFERROR(__xludf.DUMMYFUNCTION("""COMPUTED_VALUE"""),"iPhone 13, Starlight, 128GB, Logic Board Assy Rear System, ROW")</f>
        <v>iPhone 13, Starlight, 128GB, Logic Board Assy Rear System, ROW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0" t="str">
        <f t="shared" si="1"/>
        <v>January</v>
      </c>
      <c r="B238" s="11">
        <f>IFERROR(__xludf.DUMMYFUNCTION("""COMPUTED_VALUE"""),46034.0)</f>
        <v>46034</v>
      </c>
      <c r="C238" s="2" t="str">
        <f>IFERROR(__xludf.DUMMYFUNCTION("""COMPUTED_VALUE"""),"MOBILECARE - NEWPOINT MALL")</f>
        <v>MOBILECARE - NEWPOINT MALL</v>
      </c>
      <c r="D238" s="2" t="str">
        <f>IFERROR(__xludf.DUMMYFUNCTION("""COMPUTED_VALUE"""),"661-21991")</f>
        <v>661-21991</v>
      </c>
      <c r="E238" s="2" t="str">
        <f>IFERROR(__xludf.DUMMYFUNCTION("""COMPUTED_VALUE"""),"Battery, iPhone 13")</f>
        <v>Battery, iPhone 13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0" t="str">
        <f t="shared" si="1"/>
        <v>January</v>
      </c>
      <c r="B239" s="11">
        <f>IFERROR(__xludf.DUMMYFUNCTION("""COMPUTED_VALUE"""),46034.0)</f>
        <v>46034</v>
      </c>
      <c r="C239" s="2" t="str">
        <f>IFERROR(__xludf.DUMMYFUNCTION("""COMPUTED_VALUE"""),"MOBILECARE - NEWPOINT MALL")</f>
        <v>MOBILECARE - NEWPOINT MALL</v>
      </c>
      <c r="D239" s="2" t="str">
        <f>IFERROR(__xludf.DUMMYFUNCTION("""COMPUTED_VALUE"""),"661-21988")</f>
        <v>661-21988</v>
      </c>
      <c r="E239" s="2" t="str">
        <f>IFERROR(__xludf.DUMMYFUNCTION("""COMPUTED_VALUE"""),"Display, iPhone 13")</f>
        <v>Display, iPhone 13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0" t="str">
        <f t="shared" si="1"/>
        <v>January</v>
      </c>
      <c r="B240" s="11">
        <f>IFERROR(__xludf.DUMMYFUNCTION("""COMPUTED_VALUE"""),46034.0)</f>
        <v>46034</v>
      </c>
      <c r="C240" s="2" t="str">
        <f>IFERROR(__xludf.DUMMYFUNCTION("""COMPUTED_VALUE"""),"MOBILECARE - NEWPOINT MALL")</f>
        <v>MOBILECARE - NEWPOINT MALL</v>
      </c>
      <c r="D240" s="2" t="str">
        <f>IFERROR(__xludf.DUMMYFUNCTION("""COMPUTED_VALUE"""),"661-44955")</f>
        <v>661-44955</v>
      </c>
      <c r="E240" s="2" t="str">
        <f>IFERROR(__xludf.DUMMYFUNCTION("""COMPUTED_VALUE"""),"Display, iPhone 16 Pro Max")</f>
        <v>Display, iPhone 16 Pro Max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0" t="str">
        <f t="shared" si="1"/>
        <v>January</v>
      </c>
      <c r="B241" s="11">
        <f>IFERROR(__xludf.DUMMYFUNCTION("""COMPUTED_VALUE"""),46025.0)</f>
        <v>46025</v>
      </c>
      <c r="C241" s="2" t="str">
        <f>IFERROR(__xludf.DUMMYFUNCTION("""COMPUTED_VALUE"""),"MOBILECARE - NEWPOINT MALL")</f>
        <v>MOBILECARE - NEWPOINT MALL</v>
      </c>
      <c r="D241" s="2" t="str">
        <f>IFERROR(__xludf.DUMMYFUNCTION("""COMPUTED_VALUE"""),"661-22374")</f>
        <v>661-22374</v>
      </c>
      <c r="E241" s="2" t="str">
        <f>IFERROR(__xludf.DUMMYFUNCTION("""COMPUTED_VALUE"""),"Battery, iPhone 13 mini")</f>
        <v>Battery, iPhone 13 mini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0" t="str">
        <f t="shared" si="1"/>
        <v>January</v>
      </c>
      <c r="B242" s="11">
        <f>IFERROR(__xludf.DUMMYFUNCTION("""COMPUTED_VALUE"""),46025.0)</f>
        <v>46025</v>
      </c>
      <c r="C242" s="2" t="str">
        <f>IFERROR(__xludf.DUMMYFUNCTION("""COMPUTED_VALUE"""),"MOBILECARE - NEWPOINT MALL")</f>
        <v>MOBILECARE - NEWPOINT MALL</v>
      </c>
      <c r="D242" s="2" t="str">
        <f>IFERROR(__xludf.DUMMYFUNCTION("""COMPUTED_VALUE"""),"661-22311")</f>
        <v>661-22311</v>
      </c>
      <c r="E242" s="2" t="str">
        <f>IFERROR(__xludf.DUMMYFUNCTION("""COMPUTED_VALUE"""),"Display, iPhone 13 mini")</f>
        <v>Display, iPhone 13 mini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0" t="str">
        <f t="shared" si="1"/>
        <v>January</v>
      </c>
      <c r="B243" s="11">
        <f>IFERROR(__xludf.DUMMYFUNCTION("""COMPUTED_VALUE"""),46040.0)</f>
        <v>46040</v>
      </c>
      <c r="C243" s="2" t="str">
        <f>IFERROR(__xludf.DUMMYFUNCTION("""COMPUTED_VALUE"""),"MOBILECARE - NEWPOINT MALL")</f>
        <v>MOBILECARE - NEWPOINT MALL</v>
      </c>
      <c r="D243" s="2" t="str">
        <f>IFERROR(__xludf.DUMMYFUNCTION("""COMPUTED_VALUE"""),"661-21991")</f>
        <v>661-21991</v>
      </c>
      <c r="E243" s="2" t="str">
        <f>IFERROR(__xludf.DUMMYFUNCTION("""COMPUTED_VALUE"""),"Battery, iPhone 13")</f>
        <v>Battery, iPhone 13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0" t="str">
        <f t="shared" si="1"/>
        <v>January</v>
      </c>
      <c r="B244" s="11">
        <f>IFERROR(__xludf.DUMMYFUNCTION("""COMPUTED_VALUE"""),46024.0)</f>
        <v>46024</v>
      </c>
      <c r="C244" s="2" t="str">
        <f>IFERROR(__xludf.DUMMYFUNCTION("""COMPUTED_VALUE"""),"MOBILECARE - NEWPOINT MALL")</f>
        <v>MOBILECARE - NEWPOINT MALL</v>
      </c>
      <c r="D244" s="2" t="str">
        <f>IFERROR(__xludf.DUMMYFUNCTION("""COMPUTED_VALUE"""),"661-21996")</f>
        <v>661-21996</v>
      </c>
      <c r="E244" s="2" t="str">
        <f>IFERROR(__xludf.DUMMYFUNCTION("""COMPUTED_VALUE"""),"Battery, iPhone 13 Pro")</f>
        <v>Battery, iPhone 13 Pro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0" t="str">
        <f t="shared" si="1"/>
        <v>January</v>
      </c>
      <c r="B245" s="11">
        <f>IFERROR(__xludf.DUMMYFUNCTION("""COMPUTED_VALUE"""),46024.0)</f>
        <v>46024</v>
      </c>
      <c r="C245" s="2" t="str">
        <f>IFERROR(__xludf.DUMMYFUNCTION("""COMPUTED_VALUE"""),"MOBILECARE - NEWPOINT MALL")</f>
        <v>MOBILECARE - NEWPOINT MALL</v>
      </c>
      <c r="D245" s="2" t="str">
        <f>IFERROR(__xludf.DUMMYFUNCTION("""COMPUTED_VALUE"""),"661-18428")</f>
        <v>661-18428</v>
      </c>
      <c r="E245" s="2" t="str">
        <f>IFERROR(__xludf.DUMMYFUNCTION("""COMPUTED_VALUE"""),"Battery, iPhone 12 Pro Max")</f>
        <v>Battery, iPhone 12 Pro Max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0" t="str">
        <f t="shared" si="1"/>
        <v>January</v>
      </c>
      <c r="B246" s="11">
        <f>IFERROR(__xludf.DUMMYFUNCTION("""COMPUTED_VALUE"""),46031.0)</f>
        <v>46031</v>
      </c>
      <c r="C246" s="2" t="str">
        <f>IFERROR(__xludf.DUMMYFUNCTION("""COMPUTED_VALUE"""),"MOBILECARE - NEWPOINT MALL")</f>
        <v>MOBILECARE - NEWPOINT MALL</v>
      </c>
      <c r="D246" s="2" t="str">
        <f>IFERROR(__xludf.DUMMYFUNCTION("""COMPUTED_VALUE"""),"661-44955")</f>
        <v>661-44955</v>
      </c>
      <c r="E246" s="2" t="str">
        <f>IFERROR(__xludf.DUMMYFUNCTION("""COMPUTED_VALUE"""),"Display, iPhone 16 Pro Max")</f>
        <v>Display, iPhone 16 Pro Max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0" t="str">
        <f t="shared" si="1"/>
        <v>January</v>
      </c>
      <c r="B247" s="11">
        <f>IFERROR(__xludf.DUMMYFUNCTION("""COMPUTED_VALUE"""),46045.0)</f>
        <v>46045</v>
      </c>
      <c r="C247" s="2" t="str">
        <f>IFERROR(__xludf.DUMMYFUNCTION("""COMPUTED_VALUE"""),"MOBILECARE - NEWPOINT MALL")</f>
        <v>MOBILECARE - NEWPOINT MALL</v>
      </c>
      <c r="D247" s="2" t="str">
        <f>IFERROR(__xludf.DUMMYFUNCTION("""COMPUTED_VALUE"""),"TA661-43607")</f>
        <v>TA661-43607</v>
      </c>
      <c r="E247" s="2" t="str">
        <f>IFERROR(__xludf.DUMMYFUNCTION("""COMPUTED_VALUE"""),"128GB, Pink, ROW, iPhone 16, Logic Board Assy Mid System")</f>
        <v>128GB, Pink, ROW, iPhone 16, Logic Board Assy Mid System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0" t="str">
        <f t="shared" si="1"/>
        <v>January</v>
      </c>
      <c r="B248" s="11">
        <f>IFERROR(__xludf.DUMMYFUNCTION("""COMPUTED_VALUE"""),46039.0)</f>
        <v>46039</v>
      </c>
      <c r="C248" s="2" t="str">
        <f>IFERROR(__xludf.DUMMYFUNCTION("""COMPUTED_VALUE"""),"MOBILECARE - NEWPOINT MALL")</f>
        <v>MOBILECARE - NEWPOINT MALL</v>
      </c>
      <c r="D248" s="2" t="str">
        <f>IFERROR(__xludf.DUMMYFUNCTION("""COMPUTED_VALUE"""),"661-21991")</f>
        <v>661-21991</v>
      </c>
      <c r="E248" s="2" t="str">
        <f>IFERROR(__xludf.DUMMYFUNCTION("""COMPUTED_VALUE"""),"Battery, iPhone 13")</f>
        <v>Battery, iPhone 13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0" t="str">
        <f t="shared" si="1"/>
        <v>January</v>
      </c>
      <c r="B249" s="11">
        <f>IFERROR(__xludf.DUMMYFUNCTION("""COMPUTED_VALUE"""),46027.0)</f>
        <v>46027</v>
      </c>
      <c r="C249" s="2" t="str">
        <f>IFERROR(__xludf.DUMMYFUNCTION("""COMPUTED_VALUE"""),"MOBILECARE - NEWPOINT MALL")</f>
        <v>MOBILECARE - NEWPOINT MALL</v>
      </c>
      <c r="D249" s="2" t="str">
        <f>IFERROR(__xludf.DUMMYFUNCTION("""COMPUTED_VALUE"""),"661-30366")</f>
        <v>661-30366</v>
      </c>
      <c r="E249" s="2" t="str">
        <f>IFERROR(__xludf.DUMMYFUNCTION("""COMPUTED_VALUE"""),"Display, iPhone 14")</f>
        <v>Display, iPhone 14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0" t="str">
        <f t="shared" si="1"/>
        <v>January</v>
      </c>
      <c r="B250" s="11">
        <f>IFERROR(__xludf.DUMMYFUNCTION("""COMPUTED_VALUE"""),46042.0)</f>
        <v>46042</v>
      </c>
      <c r="C250" s="2" t="str">
        <f>IFERROR(__xludf.DUMMYFUNCTION("""COMPUTED_VALUE"""),"MOBILECARE - NEWPOINT MALL")</f>
        <v>MOBILECARE - NEWPOINT MALL</v>
      </c>
      <c r="D250" s="2" t="str">
        <f>IFERROR(__xludf.DUMMYFUNCTION("""COMPUTED_VALUE"""),"Z661-56015")</f>
        <v>Z661-56015</v>
      </c>
      <c r="E250" s="2" t="str">
        <f>IFERROR(__xludf.DUMMYFUNCTION("""COMPUTED_VALUE"""),"Logic Board, 256GB, iPhone 17, ROW")</f>
        <v>Logic Board, 256GB, iPhone 17, ROW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0" t="str">
        <f t="shared" si="1"/>
        <v>January</v>
      </c>
      <c r="B251" s="11">
        <f>IFERROR(__xludf.DUMMYFUNCTION("""COMPUTED_VALUE"""),46042.0)</f>
        <v>46042</v>
      </c>
      <c r="C251" s="2" t="str">
        <f>IFERROR(__xludf.DUMMYFUNCTION("""COMPUTED_VALUE"""),"MOBILECARE - NEWPOINT MALL")</f>
        <v>MOBILECARE - NEWPOINT MALL</v>
      </c>
      <c r="D251" s="2" t="str">
        <f>IFERROR(__xludf.DUMMYFUNCTION("""COMPUTED_VALUE"""),"661-56067")</f>
        <v>661-56067</v>
      </c>
      <c r="E251" s="2" t="str">
        <f>IFERROR(__xludf.DUMMYFUNCTION("""COMPUTED_VALUE"""),"Camera, iPhone 17")</f>
        <v>Camera, iPhone 17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0" t="str">
        <f t="shared" si="1"/>
        <v>January</v>
      </c>
      <c r="B252" s="11">
        <f>IFERROR(__xludf.DUMMYFUNCTION("""COMPUTED_VALUE"""),46050.0)</f>
        <v>46050</v>
      </c>
      <c r="C252" s="2" t="str">
        <f>IFERROR(__xludf.DUMMYFUNCTION("""COMPUTED_VALUE"""),"MOBILECARE - NEWPOINT MALL")</f>
        <v>MOBILECARE - NEWPOINT MALL</v>
      </c>
      <c r="D252" s="2" t="str">
        <f>IFERROR(__xludf.DUMMYFUNCTION("""COMPUTED_VALUE"""),"PP661-23454")</f>
        <v>PP661-23454</v>
      </c>
      <c r="E252" s="2" t="str">
        <f>IFERROR(__xludf.DUMMYFUNCTION("""COMPUTED_VALUE"""),"iPhone 13, Midnight, 128GB, Logic Board Assy Rear System, ROW")</f>
        <v>iPhone 13, Midnight, 128GB, Logic Board Assy Rear System, ROW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0" t="str">
        <f t="shared" si="1"/>
        <v>January</v>
      </c>
      <c r="B253" s="11">
        <f>IFERROR(__xludf.DUMMYFUNCTION("""COMPUTED_VALUE"""),46029.0)</f>
        <v>46029</v>
      </c>
      <c r="C253" s="2" t="str">
        <f>IFERROR(__xludf.DUMMYFUNCTION("""COMPUTED_VALUE"""),"MOBILECARE - NEWPOINT MALL")</f>
        <v>MOBILECARE - NEWPOINT MALL</v>
      </c>
      <c r="D253" s="2" t="str">
        <f>IFERROR(__xludf.DUMMYFUNCTION("""COMPUTED_VALUE"""),"661-44957")</f>
        <v>661-44957</v>
      </c>
      <c r="E253" s="2" t="str">
        <f>IFERROR(__xludf.DUMMYFUNCTION("""COMPUTED_VALUE"""),"Camera, iPhone 16 Pro Max")</f>
        <v>Camera, iPhone 16 Pro Max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0" t="str">
        <f t="shared" si="1"/>
        <v>January</v>
      </c>
      <c r="B254" s="11">
        <f>IFERROR(__xludf.DUMMYFUNCTION("""COMPUTED_VALUE"""),46030.0)</f>
        <v>46030</v>
      </c>
      <c r="C254" s="2" t="str">
        <f>IFERROR(__xludf.DUMMYFUNCTION("""COMPUTED_VALUE"""),"MOBILECARE - NEWPOINT MALL")</f>
        <v>MOBILECARE - NEWPOINT MALL</v>
      </c>
      <c r="D254" s="2" t="str">
        <f>IFERROR(__xludf.DUMMYFUNCTION("""COMPUTED_VALUE"""),"661-44955")</f>
        <v>661-44955</v>
      </c>
      <c r="E254" s="2" t="str">
        <f>IFERROR(__xludf.DUMMYFUNCTION("""COMPUTED_VALUE"""),"Display, iPhone 16 Pro Max")</f>
        <v>Display, iPhone 16 Pro Max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0" t="str">
        <f t="shared" si="1"/>
        <v>January</v>
      </c>
      <c r="B255" s="11">
        <f>IFERROR(__xludf.DUMMYFUNCTION("""COMPUTED_VALUE"""),46040.0)</f>
        <v>46040</v>
      </c>
      <c r="C255" s="2" t="str">
        <f>IFERROR(__xludf.DUMMYFUNCTION("""COMPUTED_VALUE"""),"MOBILECARE - NEWPOINT MALL")</f>
        <v>MOBILECARE - NEWPOINT MALL</v>
      </c>
      <c r="D255" s="2" t="str">
        <f>IFERROR(__xludf.DUMMYFUNCTION("""COMPUTED_VALUE"""),"TA661-45235")</f>
        <v>TA661-45235</v>
      </c>
      <c r="E255" s="2" t="str">
        <f>IFERROR(__xludf.DUMMYFUNCTION("""COMPUTED_VALUE"""),"128GB, Teal, ROW, iPhone 16 Plus, Logic Board Assy Mid System")</f>
        <v>128GB, Teal, ROW, iPhone 16 Plus, Logic Board Assy Mid System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0" t="str">
        <f t="shared" si="1"/>
        <v>January</v>
      </c>
      <c r="B256" s="11">
        <f>IFERROR(__xludf.DUMMYFUNCTION("""COMPUTED_VALUE"""),46044.0)</f>
        <v>46044</v>
      </c>
      <c r="C256" s="2" t="str">
        <f>IFERROR(__xludf.DUMMYFUNCTION("""COMPUTED_VALUE"""),"MOBILECARE - NEWPOINT MALL")</f>
        <v>MOBILECARE - NEWPOINT MALL</v>
      </c>
      <c r="D256" s="2" t="str">
        <f>IFERROR(__xludf.DUMMYFUNCTION("""COMPUTED_VALUE"""),"661-37213")</f>
        <v>661-37213</v>
      </c>
      <c r="E256" s="2" t="str">
        <f>IFERROR(__xludf.DUMMYFUNCTION("""COMPUTED_VALUE"""),"Display, iPhone 15 Plus")</f>
        <v>Display, iPhone 15 Plus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0" t="str">
        <f t="shared" si="1"/>
        <v>January</v>
      </c>
      <c r="B257" s="11">
        <f>IFERROR(__xludf.DUMMYFUNCTION("""COMPUTED_VALUE"""),46028.0)</f>
        <v>46028</v>
      </c>
      <c r="C257" s="2" t="str">
        <f>IFERROR(__xludf.DUMMYFUNCTION("""COMPUTED_VALUE"""),"MOBILECARE - NEWPOINT MALL")</f>
        <v>MOBILECARE - NEWPOINT MALL</v>
      </c>
      <c r="D257" s="2" t="str">
        <f>IFERROR(__xludf.DUMMYFUNCTION("""COMPUTED_VALUE"""),"661-22309")</f>
        <v>661-22309</v>
      </c>
      <c r="E257" s="2" t="str">
        <f>IFERROR(__xludf.DUMMYFUNCTION("""COMPUTED_VALUE"""),"Display, iPhone 13 Pro Max")</f>
        <v>Display, iPhone 13 Pro Max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0" t="str">
        <f t="shared" si="1"/>
        <v>January</v>
      </c>
      <c r="B258" s="11">
        <f>IFERROR(__xludf.DUMMYFUNCTION("""COMPUTED_VALUE"""),46031.0)</f>
        <v>46031</v>
      </c>
      <c r="C258" s="2" t="str">
        <f>IFERROR(__xludf.DUMMYFUNCTION("""COMPUTED_VALUE"""),"MOBILECARE - NEWPOINT MALL")</f>
        <v>MOBILECARE - NEWPOINT MALL</v>
      </c>
      <c r="D258" s="2" t="str">
        <f>IFERROR(__xludf.DUMMYFUNCTION("""COMPUTED_VALUE"""),"661-21993")</f>
        <v>661-21993</v>
      </c>
      <c r="E258" s="2" t="str">
        <f>IFERROR(__xludf.DUMMYFUNCTION("""COMPUTED_VALUE"""),"Display, iPhone 13 Pro")</f>
        <v>Display, iPhone 13 Pro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0" t="str">
        <f t="shared" si="1"/>
        <v>January</v>
      </c>
      <c r="B259" s="11">
        <f>IFERROR(__xludf.DUMMYFUNCTION("""COMPUTED_VALUE"""),46042.0)</f>
        <v>46042</v>
      </c>
      <c r="C259" s="2" t="str">
        <f>IFERROR(__xludf.DUMMYFUNCTION("""COMPUTED_VALUE"""),"MOBILECARE - NEWPOINT MALL")</f>
        <v>MOBILECARE - NEWPOINT MALL</v>
      </c>
      <c r="D259" s="2" t="str">
        <f>IFERROR(__xludf.DUMMYFUNCTION("""COMPUTED_VALUE"""),"TA661-44059")</f>
        <v>TA661-44059</v>
      </c>
      <c r="E259" s="2" t="str">
        <f>IFERROR(__xludf.DUMMYFUNCTION("""COMPUTED_VALUE"""),"256GB, Teal, ROW, iPhone 16 Plus, CI/AR")</f>
        <v>256GB, Teal, ROW, iPhone 16 Plus, CI/AR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0" t="str">
        <f t="shared" si="1"/>
        <v>January</v>
      </c>
      <c r="B260" s="11">
        <f>IFERROR(__xludf.DUMMYFUNCTION("""COMPUTED_VALUE"""),46030.0)</f>
        <v>46030</v>
      </c>
      <c r="C260" s="2" t="str">
        <f>IFERROR(__xludf.DUMMYFUNCTION("""COMPUTED_VALUE"""),"MOBILECARE - NEWPOINT MALL")</f>
        <v>MOBILECARE - NEWPOINT MALL</v>
      </c>
      <c r="D260" s="2" t="str">
        <f>IFERROR(__xludf.DUMMYFUNCTION("""COMPUTED_VALUE"""),"661-21991")</f>
        <v>661-21991</v>
      </c>
      <c r="E260" s="2" t="str">
        <f>IFERROR(__xludf.DUMMYFUNCTION("""COMPUTED_VALUE"""),"Battery, iPhone 13")</f>
        <v>Battery, iPhone 13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0" t="str">
        <f t="shared" si="1"/>
        <v>January</v>
      </c>
      <c r="B261" s="11">
        <f>IFERROR(__xludf.DUMMYFUNCTION("""COMPUTED_VALUE"""),46036.0)</f>
        <v>46036</v>
      </c>
      <c r="C261" s="2" t="str">
        <f>IFERROR(__xludf.DUMMYFUNCTION("""COMPUTED_VALUE"""),"MOBILECARE - NEWPOINT MALL")</f>
        <v>MOBILECARE - NEWPOINT MALL</v>
      </c>
      <c r="D261" s="2" t="str">
        <f>IFERROR(__xludf.DUMMYFUNCTION("""COMPUTED_VALUE"""),"TA661-45233")</f>
        <v>TA661-45233</v>
      </c>
      <c r="E261" s="2" t="str">
        <f>IFERROR(__xludf.DUMMYFUNCTION("""COMPUTED_VALUE"""),"128GB, Pink, ROW, iPhone 16 Plus, Logic Board Assy Mid System")</f>
        <v>128GB, Pink, ROW, iPhone 16 Plus, Logic Board Assy Mid System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0" t="str">
        <f t="shared" si="1"/>
        <v>January</v>
      </c>
      <c r="B262" s="11">
        <f>IFERROR(__xludf.DUMMYFUNCTION("""COMPUTED_VALUE"""),46040.0)</f>
        <v>46040</v>
      </c>
      <c r="C262" s="2" t="str">
        <f>IFERROR(__xludf.DUMMYFUNCTION("""COMPUTED_VALUE"""),"MOBILECARE - NEWPOINT MALL")</f>
        <v>MOBILECARE - NEWPOINT MALL</v>
      </c>
      <c r="D262" s="2" t="str">
        <f>IFERROR(__xludf.DUMMYFUNCTION("""COMPUTED_VALUE"""),"TA661-45267")</f>
        <v>TA661-45267</v>
      </c>
      <c r="E262" s="2" t="str">
        <f>IFERROR(__xludf.DUMMYFUNCTION("""COMPUTED_VALUE"""),"512GB, Desert Titanium, ROW, iPhone 16 Pro Max, CI/AR")</f>
        <v>512GB, Desert Titanium, ROW, iPhone 16 Pro Max, CI/AR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0" t="str">
        <f t="shared" si="1"/>
        <v>January</v>
      </c>
      <c r="B263" s="11">
        <f>IFERROR(__xludf.DUMMYFUNCTION("""COMPUTED_VALUE"""),46028.0)</f>
        <v>46028</v>
      </c>
      <c r="C263" s="2" t="str">
        <f>IFERROR(__xludf.DUMMYFUNCTION("""COMPUTED_VALUE"""),"MOBILECARE - NEWPOINT MALL")</f>
        <v>MOBILECARE - NEWPOINT MALL</v>
      </c>
      <c r="D263" s="2" t="str">
        <f>IFERROR(__xludf.DUMMYFUNCTION("""COMPUTED_VALUE"""),"661-56050")</f>
        <v>661-56050</v>
      </c>
      <c r="E263" s="2" t="str">
        <f>IFERROR(__xludf.DUMMYFUNCTION("""COMPUTED_VALUE"""),"Display, iPhone 17 Pro Max")</f>
        <v>Display, iPhone 17 Pro Max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0" t="str">
        <f t="shared" si="1"/>
        <v>January</v>
      </c>
      <c r="B264" s="11">
        <f>IFERROR(__xludf.DUMMYFUNCTION("""COMPUTED_VALUE"""),46027.0)</f>
        <v>46027</v>
      </c>
      <c r="C264" s="2" t="str">
        <f>IFERROR(__xludf.DUMMYFUNCTION("""COMPUTED_VALUE"""),"MOBILECARE - NEWPOINT MALL")</f>
        <v>MOBILECARE - NEWPOINT MALL</v>
      </c>
      <c r="D264" s="2" t="str">
        <f>IFERROR(__xludf.DUMMYFUNCTION("""COMPUTED_VALUE"""),"661-30390")</f>
        <v>661-30390</v>
      </c>
      <c r="E264" s="2" t="str">
        <f>IFERROR(__xludf.DUMMYFUNCTION("""COMPUTED_VALUE"""),"Display, iPhone 14 Plus")</f>
        <v>Display, iPhone 14 Plus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0" t="str">
        <f t="shared" si="1"/>
        <v>January</v>
      </c>
      <c r="B265" s="11">
        <f>IFERROR(__xludf.DUMMYFUNCTION("""COMPUTED_VALUE"""),46029.0)</f>
        <v>46029</v>
      </c>
      <c r="C265" s="2" t="str">
        <f>IFERROR(__xludf.DUMMYFUNCTION("""COMPUTED_VALUE"""),"MOBILECARE - NEWPOINT MALL")</f>
        <v>MOBILECARE - NEWPOINT MALL</v>
      </c>
      <c r="D265" s="2" t="str">
        <f>IFERROR(__xludf.DUMMYFUNCTION("""COMPUTED_VALUE"""),"661-22309")</f>
        <v>661-22309</v>
      </c>
      <c r="E265" s="2" t="str">
        <f>IFERROR(__xludf.DUMMYFUNCTION("""COMPUTED_VALUE"""),"Display, iPhone 13 Pro Max")</f>
        <v>Display, iPhone 13 Pro Max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0" t="str">
        <f t="shared" si="1"/>
        <v>January</v>
      </c>
      <c r="B266" s="11">
        <f>IFERROR(__xludf.DUMMYFUNCTION("""COMPUTED_VALUE"""),46028.0)</f>
        <v>46028</v>
      </c>
      <c r="C266" s="2" t="str">
        <f>IFERROR(__xludf.DUMMYFUNCTION("""COMPUTED_VALUE"""),"MOBILECARE - NEWPOINT MALL")</f>
        <v>MOBILECARE - NEWPOINT MALL</v>
      </c>
      <c r="D266" s="2" t="str">
        <f>IFERROR(__xludf.DUMMYFUNCTION("""COMPUTED_VALUE"""),"661-44955")</f>
        <v>661-44955</v>
      </c>
      <c r="E266" s="2" t="str">
        <f>IFERROR(__xludf.DUMMYFUNCTION("""COMPUTED_VALUE"""),"Display, iPhone 16 Pro Max")</f>
        <v>Display, iPhone 16 Pro Max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0" t="str">
        <f t="shared" si="1"/>
        <v>January</v>
      </c>
      <c r="B267" s="11">
        <f>IFERROR(__xludf.DUMMYFUNCTION("""COMPUTED_VALUE"""),46028.0)</f>
        <v>46028</v>
      </c>
      <c r="C267" s="2" t="str">
        <f>IFERROR(__xludf.DUMMYFUNCTION("""COMPUTED_VALUE"""),"MOBILECARE - NEWPOINT MALL")</f>
        <v>MOBILECARE - NEWPOINT MALL</v>
      </c>
      <c r="D267" s="2" t="str">
        <f>IFERROR(__xludf.DUMMYFUNCTION("""COMPUTED_VALUE"""),"661-35699")</f>
        <v>661-35699</v>
      </c>
      <c r="E267" s="2" t="str">
        <f>IFERROR(__xludf.DUMMYFUNCTION("""COMPUTED_VALUE"""),"Display, iPhone 15 Pro")</f>
        <v>Display, iPhone 15 Pro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0" t="str">
        <f t="shared" si="1"/>
        <v>January</v>
      </c>
      <c r="B268" s="11">
        <f>IFERROR(__xludf.DUMMYFUNCTION("""COMPUTED_VALUE"""),46026.0)</f>
        <v>46026</v>
      </c>
      <c r="C268" s="2" t="str">
        <f>IFERROR(__xludf.DUMMYFUNCTION("""COMPUTED_VALUE"""),"MOBILECARE - NEWPOINT MALL")</f>
        <v>MOBILECARE - NEWPOINT MALL</v>
      </c>
      <c r="D268" s="2" t="str">
        <f>IFERROR(__xludf.DUMMYFUNCTION("""COMPUTED_VALUE"""),"661-30382")</f>
        <v>661-30382</v>
      </c>
      <c r="E268" s="2" t="str">
        <f>IFERROR(__xludf.DUMMYFUNCTION("""COMPUTED_VALUE"""),"Battery, iPhone 14 Pro")</f>
        <v>Battery, iPhone 14 Pro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0" t="str">
        <f t="shared" si="1"/>
        <v>January</v>
      </c>
      <c r="B269" s="11">
        <f>IFERROR(__xludf.DUMMYFUNCTION("""COMPUTED_VALUE"""),46029.0)</f>
        <v>46029</v>
      </c>
      <c r="C269" s="2" t="str">
        <f>IFERROR(__xludf.DUMMYFUNCTION("""COMPUTED_VALUE"""),"MOBILECARE - NEWPOINT MALL")</f>
        <v>MOBILECARE - NEWPOINT MALL</v>
      </c>
      <c r="D269" s="2" t="str">
        <f>IFERROR(__xludf.DUMMYFUNCTION("""COMPUTED_VALUE"""),"661-21991")</f>
        <v>661-21991</v>
      </c>
      <c r="E269" s="2" t="str">
        <f>IFERROR(__xludf.DUMMYFUNCTION("""COMPUTED_VALUE"""),"Battery, iPhone 13")</f>
        <v>Battery, iPhone 13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0" t="str">
        <f t="shared" si="1"/>
        <v>January</v>
      </c>
      <c r="B270" s="11">
        <f>IFERROR(__xludf.DUMMYFUNCTION("""COMPUTED_VALUE"""),46038.0)</f>
        <v>46038</v>
      </c>
      <c r="C270" s="2" t="str">
        <f>IFERROR(__xludf.DUMMYFUNCTION("""COMPUTED_VALUE"""),"MOBILECARE - NEWPOINT MALL")</f>
        <v>MOBILECARE - NEWPOINT MALL</v>
      </c>
      <c r="D270" s="2" t="str">
        <f>IFERROR(__xludf.DUMMYFUNCTION("""COMPUTED_VALUE"""),"PP661-22980")</f>
        <v>PP661-22980</v>
      </c>
      <c r="E270" s="2" t="str">
        <f>IFERROR(__xludf.DUMMYFUNCTION("""COMPUTED_VALUE"""),"Midnight, 128 GB, iPhone 13, ROW, CI/AR, Philippines")</f>
        <v>Midnight, 128 GB, iPhone 13, ROW, CI/AR, Philippines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0" t="str">
        <f t="shared" si="1"/>
        <v>January</v>
      </c>
      <c r="B271" s="11">
        <f>IFERROR(__xludf.DUMMYFUNCTION("""COMPUTED_VALUE"""),46025.0)</f>
        <v>46025</v>
      </c>
      <c r="C271" s="2" t="str">
        <f>IFERROR(__xludf.DUMMYFUNCTION("""COMPUTED_VALUE"""),"MOBILECARE - NEWPOINT MALL")</f>
        <v>MOBILECARE - NEWPOINT MALL</v>
      </c>
      <c r="D271" s="2" t="str">
        <f>IFERROR(__xludf.DUMMYFUNCTION("""COMPUTED_VALUE"""),"661-21991")</f>
        <v>661-21991</v>
      </c>
      <c r="E271" s="2" t="str">
        <f>IFERROR(__xludf.DUMMYFUNCTION("""COMPUTED_VALUE"""),"Battery, iPhone 13")</f>
        <v>Battery, iPhone 13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0" t="str">
        <f t="shared" si="1"/>
        <v>January</v>
      </c>
      <c r="B272" s="11">
        <f>IFERROR(__xludf.DUMMYFUNCTION("""COMPUTED_VALUE"""),46025.0)</f>
        <v>46025</v>
      </c>
      <c r="C272" s="2" t="str">
        <f>IFERROR(__xludf.DUMMYFUNCTION("""COMPUTED_VALUE"""),"MOBILECARE - NEWPOINT MALL")</f>
        <v>MOBILECARE - NEWPOINT MALL</v>
      </c>
      <c r="D272" s="2" t="str">
        <f>IFERROR(__xludf.DUMMYFUNCTION("""COMPUTED_VALUE"""),"661-21991")</f>
        <v>661-21991</v>
      </c>
      <c r="E272" s="2" t="str">
        <f>IFERROR(__xludf.DUMMYFUNCTION("""COMPUTED_VALUE"""),"Battery, iPhone 13")</f>
        <v>Battery, iPhone 13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0" t="str">
        <f t="shared" si="1"/>
        <v>January</v>
      </c>
      <c r="B273" s="11">
        <f>IFERROR(__xludf.DUMMYFUNCTION("""COMPUTED_VALUE"""),46037.0)</f>
        <v>46037</v>
      </c>
      <c r="C273" s="2" t="str">
        <f>IFERROR(__xludf.DUMMYFUNCTION("""COMPUTED_VALUE"""),"MOBILECARE - NEWPOINT MALL")</f>
        <v>MOBILECARE - NEWPOINT MALL</v>
      </c>
      <c r="D273" s="2" t="str">
        <f>IFERROR(__xludf.DUMMYFUNCTION("""COMPUTED_VALUE"""),"PP661-22981")</f>
        <v>PP661-22981</v>
      </c>
      <c r="E273" s="2" t="str">
        <f>IFERROR(__xludf.DUMMYFUNCTION("""COMPUTED_VALUE"""),"Starlight, 128 GB, iPhone 13, ROW, CI/AR, Philippines")</f>
        <v>Starlight, 128 GB, iPhone 13, ROW, CI/AR, Philippines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0" t="str">
        <f t="shared" si="1"/>
        <v>January</v>
      </c>
      <c r="B274" s="11">
        <f>IFERROR(__xludf.DUMMYFUNCTION("""COMPUTED_VALUE"""),46043.0)</f>
        <v>46043</v>
      </c>
      <c r="C274" s="2" t="str">
        <f>IFERROR(__xludf.DUMMYFUNCTION("""COMPUTED_VALUE"""),"MOBILECARE - NEWPOINT MALL")</f>
        <v>MOBILECARE - NEWPOINT MALL</v>
      </c>
      <c r="D274" s="2" t="str">
        <f>IFERROR(__xludf.DUMMYFUNCTION("""COMPUTED_VALUE"""),"PP661-23455")</f>
        <v>PP661-23455</v>
      </c>
      <c r="E274" s="2" t="str">
        <f>IFERROR(__xludf.DUMMYFUNCTION("""COMPUTED_VALUE"""),"iPhone 13, Starlight, 128GB, Logic Board Assy Rear System, ROW")</f>
        <v>iPhone 13, Starlight, 128GB, Logic Board Assy Rear System, ROW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0" t="str">
        <f t="shared" si="1"/>
        <v>January</v>
      </c>
      <c r="B275" s="11">
        <f>IFERROR(__xludf.DUMMYFUNCTION("""COMPUTED_VALUE"""),46037.0)</f>
        <v>46037</v>
      </c>
      <c r="C275" s="2" t="str">
        <f>IFERROR(__xludf.DUMMYFUNCTION("""COMPUTED_VALUE"""),"MOBILECARE - NEWPOINT MALL")</f>
        <v>MOBILECARE - NEWPOINT MALL</v>
      </c>
      <c r="D275" s="2" t="str">
        <f>IFERROR(__xludf.DUMMYFUNCTION("""COMPUTED_VALUE"""),"PP661-23454")</f>
        <v>PP661-23454</v>
      </c>
      <c r="E275" s="2" t="str">
        <f>IFERROR(__xludf.DUMMYFUNCTION("""COMPUTED_VALUE"""),"iPhone 13, Midnight, 128GB, Logic Board Assy Rear System, ROW")</f>
        <v>iPhone 13, Midnight, 128GB, Logic Board Assy Rear System, ROW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0" t="str">
        <f t="shared" si="1"/>
        <v>January</v>
      </c>
      <c r="B276" s="11">
        <f>IFERROR(__xludf.DUMMYFUNCTION("""COMPUTED_VALUE"""),46036.0)</f>
        <v>46036</v>
      </c>
      <c r="C276" s="2" t="str">
        <f>IFERROR(__xludf.DUMMYFUNCTION("""COMPUTED_VALUE"""),"MOBILECARE - NEWPOINT MALL")</f>
        <v>MOBILECARE - NEWPOINT MALL</v>
      </c>
      <c r="D276" s="2" t="str">
        <f>IFERROR(__xludf.DUMMYFUNCTION("""COMPUTED_VALUE"""),"TA661-43607")</f>
        <v>TA661-43607</v>
      </c>
      <c r="E276" s="2" t="str">
        <f>IFERROR(__xludf.DUMMYFUNCTION("""COMPUTED_VALUE"""),"128GB, Pink, ROW, iPhone 16, Logic Board Assy Mid System")</f>
        <v>128GB, Pink, ROW, iPhone 16, Logic Board Assy Mid System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0" t="str">
        <f t="shared" si="1"/>
        <v>January</v>
      </c>
      <c r="B277" s="11">
        <f>IFERROR(__xludf.DUMMYFUNCTION("""COMPUTED_VALUE"""),46030.0)</f>
        <v>46030</v>
      </c>
      <c r="C277" s="2" t="str">
        <f>IFERROR(__xludf.DUMMYFUNCTION("""COMPUTED_VALUE"""),"MOBILECARE - NEWPOINT MALL")</f>
        <v>MOBILECARE - NEWPOINT MALL</v>
      </c>
      <c r="D277" s="2" t="str">
        <f>IFERROR(__xludf.DUMMYFUNCTION("""COMPUTED_VALUE"""),"TA661-43606")</f>
        <v>TA661-43606</v>
      </c>
      <c r="E277" s="2" t="str">
        <f>IFERROR(__xludf.DUMMYFUNCTION("""COMPUTED_VALUE"""),"128GB, White, ROW, iPhone 16, Logic Board Assy Mid System")</f>
        <v>128GB, White, ROW, iPhone 16, Logic Board Assy Mid System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0" t="str">
        <f t="shared" si="1"/>
        <v>January</v>
      </c>
      <c r="B278" s="11">
        <f>IFERROR(__xludf.DUMMYFUNCTION("""COMPUTED_VALUE"""),46033.0)</f>
        <v>46033</v>
      </c>
      <c r="C278" s="2" t="str">
        <f>IFERROR(__xludf.DUMMYFUNCTION("""COMPUTED_VALUE"""),"MOBILECARE - NEWPOINT MALL")</f>
        <v>MOBILECARE - NEWPOINT MALL</v>
      </c>
      <c r="D278" s="2" t="str">
        <f>IFERROR(__xludf.DUMMYFUNCTION("""COMPUTED_VALUE"""),"PP661-22981")</f>
        <v>PP661-22981</v>
      </c>
      <c r="E278" s="2" t="str">
        <f>IFERROR(__xludf.DUMMYFUNCTION("""COMPUTED_VALUE"""),"Starlight, 128 GB, iPhone 13, ROW, CI/AR, Philippines")</f>
        <v>Starlight, 128 GB, iPhone 13, ROW, CI/AR, Philippines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0" t="str">
        <f t="shared" si="1"/>
        <v>January</v>
      </c>
      <c r="B279" s="11">
        <f>IFERROR(__xludf.DUMMYFUNCTION("""COMPUTED_VALUE"""),46037.0)</f>
        <v>46037</v>
      </c>
      <c r="C279" s="2" t="str">
        <f>IFERROR(__xludf.DUMMYFUNCTION("""COMPUTED_VALUE"""),"MOBILECARE - NEWPOINT MALL")</f>
        <v>MOBILECARE - NEWPOINT MALL</v>
      </c>
      <c r="D279" s="2" t="str">
        <f>IFERROR(__xludf.DUMMYFUNCTION("""COMPUTED_VALUE"""),"PP661-23455")</f>
        <v>PP661-23455</v>
      </c>
      <c r="E279" s="2" t="str">
        <f>IFERROR(__xludf.DUMMYFUNCTION("""COMPUTED_VALUE"""),"iPhone 13, Starlight, 128GB, Logic Board Assy Rear System, ROW")</f>
        <v>iPhone 13, Starlight, 128GB, Logic Board Assy Rear System, ROW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0" t="str">
        <f t="shared" si="1"/>
        <v>January</v>
      </c>
      <c r="B280" s="11">
        <f>IFERROR(__xludf.DUMMYFUNCTION("""COMPUTED_VALUE"""),46034.0)</f>
        <v>46034</v>
      </c>
      <c r="C280" s="2" t="str">
        <f>IFERROR(__xludf.DUMMYFUNCTION("""COMPUTED_VALUE"""),"MOBILECARE - NEWPOINT MALL")</f>
        <v>MOBILECARE - NEWPOINT MALL</v>
      </c>
      <c r="D280" s="2" t="str">
        <f>IFERROR(__xludf.DUMMYFUNCTION("""COMPUTED_VALUE"""),"TA661-36691")</f>
        <v>TA661-36691</v>
      </c>
      <c r="E280" s="2" t="str">
        <f>IFERROR(__xludf.DUMMYFUNCTION("""COMPUTED_VALUE"""),"iPhone 15, Black, 128GB, Logic Board Assy Mid System, ROW")</f>
        <v>iPhone 15, Black, 128GB, Logic Board Assy Mid System, ROW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0" t="str">
        <f t="shared" si="1"/>
        <v>January</v>
      </c>
      <c r="B281" s="11">
        <f>IFERROR(__xludf.DUMMYFUNCTION("""COMPUTED_VALUE"""),46030.0)</f>
        <v>46030</v>
      </c>
      <c r="C281" s="2" t="str">
        <f>IFERROR(__xludf.DUMMYFUNCTION("""COMPUTED_VALUE"""),"MOBILECARE - NEWPOINT MALL")</f>
        <v>MOBILECARE - NEWPOINT MALL</v>
      </c>
      <c r="D281" s="2" t="str">
        <f>IFERROR(__xludf.DUMMYFUNCTION("""COMPUTED_VALUE"""),"TA661-45323")</f>
        <v>TA661-45323</v>
      </c>
      <c r="E281" s="2" t="str">
        <f>IFERROR(__xludf.DUMMYFUNCTION("""COMPUTED_VALUE"""),"256GB, Desert Titanium, ROW, iPhone 16 Pro Max, Logic Board Assy Mid Sys")</f>
        <v>256GB, Desert Titanium, ROW, iPhone 16 Pro Max, Logic Board Assy Mid Sys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0" t="str">
        <f t="shared" si="1"/>
        <v>January</v>
      </c>
      <c r="B282" s="11">
        <f>IFERROR(__xludf.DUMMYFUNCTION("""COMPUTED_VALUE"""),46027.0)</f>
        <v>46027</v>
      </c>
      <c r="C282" s="2" t="str">
        <f>IFERROR(__xludf.DUMMYFUNCTION("""COMPUTED_VALUE"""),"MOBILECARE - NEWPOINT MALL")</f>
        <v>MOBILECARE - NEWPOINT MALL</v>
      </c>
      <c r="D282" s="2" t="str">
        <f>IFERROR(__xludf.DUMMYFUNCTION("""COMPUTED_VALUE"""),"PP661-23455")</f>
        <v>PP661-23455</v>
      </c>
      <c r="E282" s="2" t="str">
        <f>IFERROR(__xludf.DUMMYFUNCTION("""COMPUTED_VALUE"""),"iPhone 13, Starlight, 128GB, Logic Board Assy Rear System, ROW")</f>
        <v>iPhone 13, Starlight, 128GB, Logic Board Assy Rear System, ROW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0" t="str">
        <f t="shared" si="1"/>
        <v>January</v>
      </c>
      <c r="B283" s="11">
        <f>IFERROR(__xludf.DUMMYFUNCTION("""COMPUTED_VALUE"""),46026.0)</f>
        <v>46026</v>
      </c>
      <c r="C283" s="2" t="str">
        <f>IFERROR(__xludf.DUMMYFUNCTION("""COMPUTED_VALUE"""),"MOBILECARE - NEWPOINT MALL")</f>
        <v>MOBILECARE - NEWPOINT MALL</v>
      </c>
      <c r="D283" s="2" t="str">
        <f>IFERROR(__xludf.DUMMYFUNCTION("""COMPUTED_VALUE"""),"PP661-25570")</f>
        <v>PP661-25570</v>
      </c>
      <c r="E283" s="2" t="str">
        <f>IFERROR(__xludf.DUMMYFUNCTION("""COMPUTED_VALUE"""),"Green, 256 GB, iPhone 13, ROW, CI/AR, Philippines")</f>
        <v>Green, 256 GB, iPhone 13, ROW, CI/AR, Philippines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0" t="str">
        <f t="shared" si="1"/>
        <v>January</v>
      </c>
      <c r="B284" s="11">
        <f>IFERROR(__xludf.DUMMYFUNCTION("""COMPUTED_VALUE"""),46026.0)</f>
        <v>46026</v>
      </c>
      <c r="C284" s="2" t="str">
        <f>IFERROR(__xludf.DUMMYFUNCTION("""COMPUTED_VALUE"""),"MOBILECARE - NEWPOINT MALL")</f>
        <v>MOBILECARE - NEWPOINT MALL</v>
      </c>
      <c r="D284" s="2" t="str">
        <f>IFERROR(__xludf.DUMMYFUNCTION("""COMPUTED_VALUE"""),"PP661-23455")</f>
        <v>PP661-23455</v>
      </c>
      <c r="E284" s="2" t="str">
        <f>IFERROR(__xludf.DUMMYFUNCTION("""COMPUTED_VALUE"""),"iPhone 13, Starlight, 128GB, Logic Board Assy Rear System, ROW")</f>
        <v>iPhone 13, Starlight, 128GB, Logic Board Assy Rear System, ROW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0" t="str">
        <f t="shared" si="1"/>
        <v>January</v>
      </c>
      <c r="B285" s="11">
        <f>IFERROR(__xludf.DUMMYFUNCTION("""COMPUTED_VALUE"""),46046.0)</f>
        <v>46046</v>
      </c>
      <c r="C285" s="2" t="str">
        <f>IFERROR(__xludf.DUMMYFUNCTION("""COMPUTED_VALUE"""),"MOBILECARE - NEWPOINT MALL")</f>
        <v>MOBILECARE - NEWPOINT MALL</v>
      </c>
      <c r="D285" s="2" t="str">
        <f>IFERROR(__xludf.DUMMYFUNCTION("""COMPUTED_VALUE"""),"PP661-22981")</f>
        <v>PP661-22981</v>
      </c>
      <c r="E285" s="2" t="str">
        <f>IFERROR(__xludf.DUMMYFUNCTION("""COMPUTED_VALUE"""),"Starlight, 128 GB, iPhone 13, ROW, CI/AR, Philippines")</f>
        <v>Starlight, 128 GB, iPhone 13, ROW, CI/AR, Philippines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0" t="str">
        <f t="shared" si="1"/>
        <v>January</v>
      </c>
      <c r="B286" s="11">
        <f>IFERROR(__xludf.DUMMYFUNCTION("""COMPUTED_VALUE"""),46026.0)</f>
        <v>46026</v>
      </c>
      <c r="C286" s="2" t="str">
        <f>IFERROR(__xludf.DUMMYFUNCTION("""COMPUTED_VALUE"""),"MOBILECARE - NEWPOINT MALL")</f>
        <v>MOBILECARE - NEWPOINT MALL</v>
      </c>
      <c r="D286" s="2" t="str">
        <f>IFERROR(__xludf.DUMMYFUNCTION("""COMPUTED_VALUE"""),"PP661-22983")</f>
        <v>PP661-22983</v>
      </c>
      <c r="E286" s="2" t="str">
        <f>IFERROR(__xludf.DUMMYFUNCTION("""COMPUTED_VALUE"""),"Red, 128 GB, iPhone 13, ROW, CI/AR, Philippines")</f>
        <v>Red, 128 GB, iPhone 13, ROW, CI/AR, Philippines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0" t="str">
        <f t="shared" si="1"/>
        <v>January</v>
      </c>
      <c r="B287" s="11">
        <f>IFERROR(__xludf.DUMMYFUNCTION("""COMPUTED_VALUE"""),46028.0)</f>
        <v>46028</v>
      </c>
      <c r="C287" s="2" t="str">
        <f>IFERROR(__xludf.DUMMYFUNCTION("""COMPUTED_VALUE"""),"MOBILECARE - NEWPOINT MALL")</f>
        <v>MOBILECARE - NEWPOINT MALL</v>
      </c>
      <c r="D287" s="2" t="str">
        <f>IFERROR(__xludf.DUMMYFUNCTION("""COMPUTED_VALUE"""),"PP661-28871")</f>
        <v>PP661-28871</v>
      </c>
      <c r="E287" s="2" t="str">
        <f>IFERROR(__xludf.DUMMYFUNCTION("""COMPUTED_VALUE"""),"iPhone 14, Blue, 128GB, Logic Board Assy Mid System, ROW")</f>
        <v>iPhone 14, Blue, 128GB, Logic Board Assy Mid System, ROW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0" t="str">
        <f t="shared" si="1"/>
        <v>January</v>
      </c>
      <c r="B288" s="11">
        <f>IFERROR(__xludf.DUMMYFUNCTION("""COMPUTED_VALUE"""),46027.0)</f>
        <v>46027</v>
      </c>
      <c r="C288" s="2" t="str">
        <f>IFERROR(__xludf.DUMMYFUNCTION("""COMPUTED_VALUE"""),"MOBILECARE - NEWPOINT MALL")</f>
        <v>MOBILECARE - NEWPOINT MALL</v>
      </c>
      <c r="D288" s="2" t="str">
        <f>IFERROR(__xludf.DUMMYFUNCTION("""COMPUTED_VALUE"""),"PP661-28871")</f>
        <v>PP661-28871</v>
      </c>
      <c r="E288" s="2" t="str">
        <f>IFERROR(__xludf.DUMMYFUNCTION("""COMPUTED_VALUE"""),"iPhone 14, Blue, 128GB, Logic Board Assy Mid System, ROW")</f>
        <v>iPhone 14, Blue, 128GB, Logic Board Assy Mid System, ROW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0" t="str">
        <f t="shared" si="1"/>
        <v>January</v>
      </c>
      <c r="B289" s="11">
        <f>IFERROR(__xludf.DUMMYFUNCTION("""COMPUTED_VALUE"""),46025.0)</f>
        <v>46025</v>
      </c>
      <c r="C289" s="2" t="str">
        <f>IFERROR(__xludf.DUMMYFUNCTION("""COMPUTED_VALUE"""),"MOBILECARE - NEWPOINT MALL")</f>
        <v>MOBILECARE - NEWPOINT MALL</v>
      </c>
      <c r="D289" s="2" t="str">
        <f>IFERROR(__xludf.DUMMYFUNCTION("""COMPUTED_VALUE"""),"TA661-49947")</f>
        <v>TA661-49947</v>
      </c>
      <c r="E289" s="2" t="str">
        <f>IFERROR(__xludf.DUMMYFUNCTION("""COMPUTED_VALUE"""),"White, 128GB, iPhone 16e, ROW, CI/AR")</f>
        <v>White, 128GB, iPhone 16e, ROW, CI/AR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0" t="str">
        <f t="shared" si="1"/>
        <v>January</v>
      </c>
      <c r="B290" s="11">
        <f>IFERROR(__xludf.DUMMYFUNCTION("""COMPUTED_VALUE"""),46025.0)</f>
        <v>46025</v>
      </c>
      <c r="C290" s="2" t="str">
        <f>IFERROR(__xludf.DUMMYFUNCTION("""COMPUTED_VALUE"""),"MOBILECARE - NEWPOINT MALL")</f>
        <v>MOBILECARE - NEWPOINT MALL</v>
      </c>
      <c r="D290" s="2" t="str">
        <f>IFERROR(__xludf.DUMMYFUNCTION("""COMPUTED_VALUE"""),"TA661-43607")</f>
        <v>TA661-43607</v>
      </c>
      <c r="E290" s="2" t="str">
        <f>IFERROR(__xludf.DUMMYFUNCTION("""COMPUTED_VALUE"""),"128GB, Pink, ROW, iPhone 16, Logic Board Assy Mid System")</f>
        <v>128GB, Pink, ROW, iPhone 16, Logic Board Assy Mid System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0" t="str">
        <f t="shared" si="1"/>
        <v>January</v>
      </c>
      <c r="B291" s="11">
        <f>IFERROR(__xludf.DUMMYFUNCTION("""COMPUTED_VALUE"""),46027.0)</f>
        <v>46027</v>
      </c>
      <c r="C291" s="2" t="str">
        <f>IFERROR(__xludf.DUMMYFUNCTION("""COMPUTED_VALUE"""),"MOBILECARE - NEWPOINT MALL")</f>
        <v>MOBILECARE - NEWPOINT MALL</v>
      </c>
      <c r="D291" s="2" t="str">
        <f>IFERROR(__xludf.DUMMYFUNCTION("""COMPUTED_VALUE"""),"PP661-22980")</f>
        <v>PP661-22980</v>
      </c>
      <c r="E291" s="2" t="str">
        <f>IFERROR(__xludf.DUMMYFUNCTION("""COMPUTED_VALUE"""),"Midnight, 128 GB, iPhone 13, ROW, CI/AR, Philippines")</f>
        <v>Midnight, 128 GB, iPhone 13, ROW, CI/AR, Philippines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0" t="str">
        <f t="shared" si="1"/>
        <v>June</v>
      </c>
      <c r="B292" s="11">
        <f>IFERROR(__xludf.DUMMYFUNCTION("""COMPUTED_VALUE"""),46176.0)</f>
        <v>46176</v>
      </c>
      <c r="C292" s="2" t="str">
        <f>IFERROR(__xludf.DUMMYFUNCTION("""COMPUTED_VALUE"""),"MOBILECARE - APP THE ANNEX")</f>
        <v>MOBILECARE - APP THE ANNEX</v>
      </c>
      <c r="D292" s="2" t="str">
        <f>IFERROR(__xludf.DUMMYFUNCTION("""COMPUTED_VALUE"""),"661-22374")</f>
        <v>661-22374</v>
      </c>
      <c r="E292" s="2" t="str">
        <f>IFERROR(__xludf.DUMMYFUNCTION("""COMPUTED_VALUE"""),"Battery, iPhone 13 mini")</f>
        <v>Battery, iPhone 13 mini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0" t="str">
        <f t="shared" si="1"/>
        <v>April</v>
      </c>
      <c r="B293" s="11">
        <f>IFERROR(__xludf.DUMMYFUNCTION("""COMPUTED_VALUE"""),46142.0)</f>
        <v>46142</v>
      </c>
      <c r="C293" s="2" t="str">
        <f>IFERROR(__xludf.DUMMYFUNCTION("""COMPUTED_VALUE"""),"MOBILECARE - APP THE ANNEX")</f>
        <v>MOBILECARE - APP THE ANNEX</v>
      </c>
      <c r="D293" s="2" t="str">
        <f>IFERROR(__xludf.DUMMYFUNCTION("""COMPUTED_VALUE"""),"661-49426")</f>
        <v>661-49426</v>
      </c>
      <c r="E293" s="2" t="str">
        <f>IFERROR(__xludf.DUMMYFUNCTION("""COMPUTED_VALUE"""),"TrueDepth Camera, iPhone 16e")</f>
        <v>TrueDepth Camera, iPhone 16e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0" t="str">
        <f t="shared" si="1"/>
        <v>April</v>
      </c>
      <c r="B294" s="11">
        <f>IFERROR(__xludf.DUMMYFUNCTION("""COMPUTED_VALUE"""),46127.0)</f>
        <v>46127</v>
      </c>
      <c r="C294" s="2" t="str">
        <f>IFERROR(__xludf.DUMMYFUNCTION("""COMPUTED_VALUE"""),"MOBILECARE - APP THE ANNEX")</f>
        <v>MOBILECARE - APP THE ANNEX</v>
      </c>
      <c r="D294" s="2" t="str">
        <f>IFERROR(__xludf.DUMMYFUNCTION("""COMPUTED_VALUE"""),"661-18428")</f>
        <v>661-18428</v>
      </c>
      <c r="E294" s="2" t="str">
        <f>IFERROR(__xludf.DUMMYFUNCTION("""COMPUTED_VALUE"""),"Battery, iPhone 12 Pro Max")</f>
        <v>Battery, iPhone 12 Pro Max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0" t="str">
        <f t="shared" si="1"/>
        <v>April</v>
      </c>
      <c r="B295" s="11">
        <f>IFERROR(__xludf.DUMMYFUNCTION("""COMPUTED_VALUE"""),46126.0)</f>
        <v>46126</v>
      </c>
      <c r="C295" s="2" t="str">
        <f>IFERROR(__xludf.DUMMYFUNCTION("""COMPUTED_VALUE"""),"MOBILECARE - APP THE ANNEX")</f>
        <v>MOBILECARE - APP THE ANNEX</v>
      </c>
      <c r="D295" s="2" t="str">
        <f>IFERROR(__xludf.DUMMYFUNCTION("""COMPUTED_VALUE"""),"Z661-55957")</f>
        <v>Z661-55957</v>
      </c>
      <c r="E295" s="2" t="str">
        <f>IFERROR(__xludf.DUMMYFUNCTION("""COMPUTED_VALUE"""),"Logic Board, 512GB, iPhone 17 Pro Max, ROW")</f>
        <v>Logic Board, 512GB, iPhone 17 Pro Max, ROW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0" t="str">
        <f t="shared" si="1"/>
        <v>February</v>
      </c>
      <c r="B296" s="11">
        <f>IFERROR(__xludf.DUMMYFUNCTION("""COMPUTED_VALUE"""),46074.0)</f>
        <v>46074</v>
      </c>
      <c r="C296" s="2" t="str">
        <f>IFERROR(__xludf.DUMMYFUNCTION("""COMPUTED_VALUE"""),"MOBILECARE - APP THE ANNEX")</f>
        <v>MOBILECARE - APP THE ANNEX</v>
      </c>
      <c r="D296" s="2" t="str">
        <f>IFERROR(__xludf.DUMMYFUNCTION("""COMPUTED_VALUE"""),"661-22309")</f>
        <v>661-22309</v>
      </c>
      <c r="E296" s="2" t="str">
        <f>IFERROR(__xludf.DUMMYFUNCTION("""COMPUTED_VALUE"""),"Display, iPhone 13 Pro Max")</f>
        <v>Display, iPhone 13 Pro Max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0" t="str">
        <f t="shared" si="1"/>
        <v>January</v>
      </c>
      <c r="B297" s="11">
        <f>IFERROR(__xludf.DUMMYFUNCTION("""COMPUTED_VALUE"""),46039.0)</f>
        <v>46039</v>
      </c>
      <c r="C297" s="2" t="str">
        <f>IFERROR(__xludf.DUMMYFUNCTION("""COMPUTED_VALUE"""),"MOBILECARE - APP THE ANNEX")</f>
        <v>MOBILECARE - APP THE ANNEX</v>
      </c>
      <c r="D297" s="2" t="str">
        <f>IFERROR(__xludf.DUMMYFUNCTION("""COMPUTED_VALUE"""),"661-21991")</f>
        <v>661-21991</v>
      </c>
      <c r="E297" s="2" t="str">
        <f>IFERROR(__xludf.DUMMYFUNCTION("""COMPUTED_VALUE"""),"Battery, iPhone 13")</f>
        <v>Battery, iPhone 13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0" t="str">
        <f t="shared" si="1"/>
        <v>January</v>
      </c>
      <c r="B298" s="11">
        <f>IFERROR(__xludf.DUMMYFUNCTION("""COMPUTED_VALUE"""),46037.0)</f>
        <v>46037</v>
      </c>
      <c r="C298" s="2" t="str">
        <f>IFERROR(__xludf.DUMMYFUNCTION("""COMPUTED_VALUE"""),"MOBILECARE - APP THE ANNEX")</f>
        <v>MOBILECARE - APP THE ANNEX</v>
      </c>
      <c r="D298" s="2" t="str">
        <f>IFERROR(__xludf.DUMMYFUNCTION("""COMPUTED_VALUE"""),"661-30366")</f>
        <v>661-30366</v>
      </c>
      <c r="E298" s="2" t="str">
        <f>IFERROR(__xludf.DUMMYFUNCTION("""COMPUTED_VALUE"""),"Display, iPhone 14")</f>
        <v>Display, iPhone 14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0" t="str">
        <f t="shared" si="1"/>
        <v>January</v>
      </c>
      <c r="B299" s="11">
        <f>IFERROR(__xludf.DUMMYFUNCTION("""COMPUTED_VALUE"""),46039.0)</f>
        <v>46039</v>
      </c>
      <c r="C299" s="2" t="str">
        <f>IFERROR(__xludf.DUMMYFUNCTION("""COMPUTED_VALUE"""),"MOBILECARE - APP THE ANNEX")</f>
        <v>MOBILECARE - APP THE ANNEX</v>
      </c>
      <c r="D299" s="2" t="str">
        <f>IFERROR(__xludf.DUMMYFUNCTION("""COMPUTED_VALUE"""),"661-18428")</f>
        <v>661-18428</v>
      </c>
      <c r="E299" s="2" t="str">
        <f>IFERROR(__xludf.DUMMYFUNCTION("""COMPUTED_VALUE"""),"Battery, iPhone 12 Pro Max")</f>
        <v>Battery, iPhone 12 Pro Max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0" t="str">
        <f t="shared" si="1"/>
        <v>January</v>
      </c>
      <c r="B300" s="11">
        <f>IFERROR(__xludf.DUMMYFUNCTION("""COMPUTED_VALUE"""),46036.0)</f>
        <v>46036</v>
      </c>
      <c r="C300" s="2" t="str">
        <f>IFERROR(__xludf.DUMMYFUNCTION("""COMPUTED_VALUE"""),"MOBILECARE - APP THE ANNEX")</f>
        <v>MOBILECARE - APP THE ANNEX</v>
      </c>
      <c r="D300" s="2" t="str">
        <f>IFERROR(__xludf.DUMMYFUNCTION("""COMPUTED_VALUE"""),"661-21991")</f>
        <v>661-21991</v>
      </c>
      <c r="E300" s="2" t="str">
        <f>IFERROR(__xludf.DUMMYFUNCTION("""COMPUTED_VALUE"""),"Battery, iPhone 13")</f>
        <v>Battery, iPhone 13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0" t="str">
        <f t="shared" si="1"/>
        <v>January</v>
      </c>
      <c r="B301" s="11">
        <f>IFERROR(__xludf.DUMMYFUNCTION("""COMPUTED_VALUE"""),46030.0)</f>
        <v>46030</v>
      </c>
      <c r="C301" s="2" t="str">
        <f>IFERROR(__xludf.DUMMYFUNCTION("""COMPUTED_VALUE"""),"MOBILECARE - APP THE ANNEX")</f>
        <v>MOBILECARE - APP THE ANNEX</v>
      </c>
      <c r="D301" s="2" t="str">
        <f>IFERROR(__xludf.DUMMYFUNCTION("""COMPUTED_VALUE"""),"661-44955")</f>
        <v>661-44955</v>
      </c>
      <c r="E301" s="2" t="str">
        <f>IFERROR(__xludf.DUMMYFUNCTION("""COMPUTED_VALUE"""),"Display, iPhone 16 Pro Max")</f>
        <v>Display, iPhone 16 Pro Max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0" t="str">
        <f t="shared" si="1"/>
        <v>January</v>
      </c>
      <c r="B302" s="11">
        <f>IFERROR(__xludf.DUMMYFUNCTION("""COMPUTED_VALUE"""),46030.0)</f>
        <v>46030</v>
      </c>
      <c r="C302" s="2" t="str">
        <f>IFERROR(__xludf.DUMMYFUNCTION("""COMPUTED_VALUE"""),"MOBILECARE - APP THE ANNEX")</f>
        <v>MOBILECARE - APP THE ANNEX</v>
      </c>
      <c r="D302" s="2" t="str">
        <f>IFERROR(__xludf.DUMMYFUNCTION("""COMPUTED_VALUE"""),"661-30382")</f>
        <v>661-30382</v>
      </c>
      <c r="E302" s="2" t="str">
        <f>IFERROR(__xludf.DUMMYFUNCTION("""COMPUTED_VALUE"""),"Battery, iPhone 14 Pro")</f>
        <v>Battery, iPhone 14 Pro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0" t="str">
        <f t="shared" si="1"/>
        <v>May</v>
      </c>
      <c r="B303" s="11">
        <f>IFERROR(__xludf.DUMMYFUNCTION("""COMPUTED_VALUE"""),46165.0)</f>
        <v>46165</v>
      </c>
      <c r="C303" s="2" t="str">
        <f>IFERROR(__xludf.DUMMYFUNCTION("""COMPUTED_VALUE"""),"MOBILECARE - THE PODIUM")</f>
        <v>MOBILECARE - THE PODIUM</v>
      </c>
      <c r="D303" s="2" t="str">
        <f>IFERROR(__xludf.DUMMYFUNCTION("""COMPUTED_VALUE"""),"661-22309")</f>
        <v>661-22309</v>
      </c>
      <c r="E303" s="2" t="str">
        <f>IFERROR(__xludf.DUMMYFUNCTION("""COMPUTED_VALUE"""),"Display, iPhone 13 Pro Max")</f>
        <v>Display, iPhone 13 Pro Max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0" t="str">
        <f t="shared" si="1"/>
        <v>April</v>
      </c>
      <c r="B304" s="11">
        <f>IFERROR(__xludf.DUMMYFUNCTION("""COMPUTED_VALUE"""),46134.0)</f>
        <v>46134</v>
      </c>
      <c r="C304" s="2" t="str">
        <f>IFERROR(__xludf.DUMMYFUNCTION("""COMPUTED_VALUE"""),"MOBILECARE - THE PODIUM")</f>
        <v>MOBILECARE - THE PODIUM</v>
      </c>
      <c r="D304" s="2" t="str">
        <f>IFERROR(__xludf.DUMMYFUNCTION("""COMPUTED_VALUE"""),"661-30397")</f>
        <v>661-30397</v>
      </c>
      <c r="E304" s="2" t="str">
        <f>IFERROR(__xludf.DUMMYFUNCTION("""COMPUTED_VALUE"""),"Battery, iPhone 14 Pro Max")</f>
        <v>Battery, iPhone 14 Pro Max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0" t="str">
        <f t="shared" si="1"/>
        <v>March</v>
      </c>
      <c r="B305" s="11">
        <f>IFERROR(__xludf.DUMMYFUNCTION("""COMPUTED_VALUE"""),46103.0)</f>
        <v>46103</v>
      </c>
      <c r="C305" s="2" t="str">
        <f>IFERROR(__xludf.DUMMYFUNCTION("""COMPUTED_VALUE"""),"MOBILECARE - THE PODIUM")</f>
        <v>MOBILECARE - THE PODIUM</v>
      </c>
      <c r="D305" s="2" t="str">
        <f>IFERROR(__xludf.DUMMYFUNCTION("""COMPUTED_VALUE"""),"661-30382")</f>
        <v>661-30382</v>
      </c>
      <c r="E305" s="2" t="str">
        <f>IFERROR(__xludf.DUMMYFUNCTION("""COMPUTED_VALUE"""),"Battery, iPhone 14 Pro")</f>
        <v>Battery, iPhone 14 Pro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0" t="str">
        <f t="shared" si="1"/>
        <v>February</v>
      </c>
      <c r="B306" s="11">
        <f>IFERROR(__xludf.DUMMYFUNCTION("""COMPUTED_VALUE"""),46075.0)</f>
        <v>46075</v>
      </c>
      <c r="C306" s="2" t="str">
        <f>IFERROR(__xludf.DUMMYFUNCTION("""COMPUTED_VALUE"""),"MOBILECARE - THE PODIUM")</f>
        <v>MOBILECARE - THE PODIUM</v>
      </c>
      <c r="D306" s="2" t="str">
        <f>IFERROR(__xludf.DUMMYFUNCTION("""COMPUTED_VALUE"""),"PP661-22989")</f>
        <v>PP661-22989</v>
      </c>
      <c r="E306" s="2" t="str">
        <f>IFERROR(__xludf.DUMMYFUNCTION("""COMPUTED_VALUE"""),"Blue, 256 GB, iPhone 13, ROW, CI/AR, Philippines")</f>
        <v>Blue, 256 GB, iPhone 13, ROW, CI/AR, Philippines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0" t="str">
        <f t="shared" si="1"/>
        <v>January</v>
      </c>
      <c r="B307" s="11">
        <f>IFERROR(__xludf.DUMMYFUNCTION("""COMPUTED_VALUE"""),46033.0)</f>
        <v>46033</v>
      </c>
      <c r="C307" s="2" t="str">
        <f>IFERROR(__xludf.DUMMYFUNCTION("""COMPUTED_VALUE"""),"MOBILECARE - THE PODIUM")</f>
        <v>MOBILECARE - THE PODIUM</v>
      </c>
      <c r="D307" s="2" t="str">
        <f>IFERROR(__xludf.DUMMYFUNCTION("""COMPUTED_VALUE"""),"661-21991")</f>
        <v>661-21991</v>
      </c>
      <c r="E307" s="2" t="str">
        <f>IFERROR(__xludf.DUMMYFUNCTION("""COMPUTED_VALUE"""),"Battery, iPhone 13")</f>
        <v>Battery, iPhone 13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0" t="str">
        <f t="shared" si="1"/>
        <v>January</v>
      </c>
      <c r="B308" s="11">
        <f>IFERROR(__xludf.DUMMYFUNCTION("""COMPUTED_VALUE"""),46032.0)</f>
        <v>46032</v>
      </c>
      <c r="C308" s="2" t="str">
        <f>IFERROR(__xludf.DUMMYFUNCTION("""COMPUTED_VALUE"""),"MOBILECARE - THE PODIUM")</f>
        <v>MOBILECARE - THE PODIUM</v>
      </c>
      <c r="D308" s="2" t="str">
        <f>IFERROR(__xludf.DUMMYFUNCTION("""COMPUTED_VALUE"""),"661-17920")</f>
        <v>661-17920</v>
      </c>
      <c r="E308" s="2" t="str">
        <f>IFERROR(__xludf.DUMMYFUNCTION("""COMPUTED_VALUE"""),"Battery, iPhone 12 and 12 Pro")</f>
        <v>Battery, iPhone 12 and 12 Pro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0" t="str">
        <f t="shared" si="1"/>
        <v>January</v>
      </c>
      <c r="B309" s="11">
        <f>IFERROR(__xludf.DUMMYFUNCTION("""COMPUTED_VALUE"""),46032.0)</f>
        <v>46032</v>
      </c>
      <c r="C309" s="2" t="str">
        <f>IFERROR(__xludf.DUMMYFUNCTION("""COMPUTED_VALUE"""),"MOBILECARE - THE PODIUM")</f>
        <v>MOBILECARE - THE PODIUM</v>
      </c>
      <c r="D309" s="2" t="str">
        <f>IFERROR(__xludf.DUMMYFUNCTION("""COMPUTED_VALUE"""),"661-13574")</f>
        <v>661-13574</v>
      </c>
      <c r="E309" s="2" t="str">
        <f>IFERROR(__xludf.DUMMYFUNCTION("""COMPUTED_VALUE"""),"Battery, iPhone 11")</f>
        <v>Battery, iPhone 11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0" t="str">
        <f t="shared" si="1"/>
        <v>January</v>
      </c>
      <c r="B310" s="11">
        <f>IFERROR(__xludf.DUMMYFUNCTION("""COMPUTED_VALUE"""),46039.0)</f>
        <v>46039</v>
      </c>
      <c r="C310" s="2" t="str">
        <f>IFERROR(__xludf.DUMMYFUNCTION("""COMPUTED_VALUE"""),"MOBILECARE - THE PODIUM")</f>
        <v>MOBILECARE - THE PODIUM</v>
      </c>
      <c r="D310" s="2" t="str">
        <f>IFERROR(__xludf.DUMMYFUNCTION("""COMPUTED_VALUE"""),"661-13574")</f>
        <v>661-13574</v>
      </c>
      <c r="E310" s="2" t="str">
        <f>IFERROR(__xludf.DUMMYFUNCTION("""COMPUTED_VALUE"""),"Battery, iPhone 11")</f>
        <v>Battery, iPhone 11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0" t="str">
        <f t="shared" si="1"/>
        <v>January</v>
      </c>
      <c r="B311" s="11">
        <f>IFERROR(__xludf.DUMMYFUNCTION("""COMPUTED_VALUE"""),46040.0)</f>
        <v>46040</v>
      </c>
      <c r="C311" s="2" t="str">
        <f>IFERROR(__xludf.DUMMYFUNCTION("""COMPUTED_VALUE"""),"MOBILECARE - THE PODIUM")</f>
        <v>MOBILECARE - THE PODIUM</v>
      </c>
      <c r="D311" s="2" t="str">
        <f>IFERROR(__xludf.DUMMYFUNCTION("""COMPUTED_VALUE"""),"661-22309")</f>
        <v>661-22309</v>
      </c>
      <c r="E311" s="2" t="str">
        <f>IFERROR(__xludf.DUMMYFUNCTION("""COMPUTED_VALUE"""),"Display, iPhone 13 Pro Max")</f>
        <v>Display, iPhone 13 Pro Max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0" t="str">
        <f t="shared" si="1"/>
        <v>January</v>
      </c>
      <c r="B312" s="11">
        <f>IFERROR(__xludf.DUMMYFUNCTION("""COMPUTED_VALUE"""),46040.0)</f>
        <v>46040</v>
      </c>
      <c r="C312" s="2" t="str">
        <f>IFERROR(__xludf.DUMMYFUNCTION("""COMPUTED_VALUE"""),"MOBILECARE - THE PODIUM")</f>
        <v>MOBILECARE - THE PODIUM</v>
      </c>
      <c r="D312" s="2" t="str">
        <f>IFERROR(__xludf.DUMMYFUNCTION("""COMPUTED_VALUE"""),"661-22293")</f>
        <v>661-22293</v>
      </c>
      <c r="E312" s="2" t="str">
        <f>IFERROR(__xludf.DUMMYFUNCTION("""COMPUTED_VALUE"""),"Camera, iPhone 13 Pro and 13 Pro Max")</f>
        <v>Camera, iPhone 13 Pro and 13 Pro Max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0" t="str">
        <f t="shared" si="1"/>
        <v>January</v>
      </c>
      <c r="B313" s="11">
        <f>IFERROR(__xludf.DUMMYFUNCTION("""COMPUTED_VALUE"""),46040.0)</f>
        <v>46040</v>
      </c>
      <c r="C313" s="2" t="str">
        <f>IFERROR(__xludf.DUMMYFUNCTION("""COMPUTED_VALUE"""),"MOBILECARE - THE PODIUM")</f>
        <v>MOBILECARE - THE PODIUM</v>
      </c>
      <c r="D313" s="2" t="str">
        <f>IFERROR(__xludf.DUMMYFUNCTION("""COMPUTED_VALUE"""),"661-22309")</f>
        <v>661-22309</v>
      </c>
      <c r="E313" s="2" t="str">
        <f>IFERROR(__xludf.DUMMYFUNCTION("""COMPUTED_VALUE"""),"Display, iPhone 13 Pro Max")</f>
        <v>Display, iPhone 13 Pro Max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0" t="str">
        <f t="shared" si="1"/>
        <v>January</v>
      </c>
      <c r="B314" s="11">
        <f>IFERROR(__xludf.DUMMYFUNCTION("""COMPUTED_VALUE"""),46037.0)</f>
        <v>46037</v>
      </c>
      <c r="C314" s="2" t="str">
        <f>IFERROR(__xludf.DUMMYFUNCTION("""COMPUTED_VALUE"""),"MOBILECARE - THE PODIUM")</f>
        <v>MOBILECARE - THE PODIUM</v>
      </c>
      <c r="D314" s="2" t="str">
        <f>IFERROR(__xludf.DUMMYFUNCTION("""COMPUTED_VALUE"""),"661-42726")</f>
        <v>661-42726</v>
      </c>
      <c r="E314" s="2" t="str">
        <f>IFERROR(__xludf.DUMMYFUNCTION("""COMPUTED_VALUE"""),"Display, iPhone 16 Pro")</f>
        <v>Display, iPhone 16 Pro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0" t="str">
        <f t="shared" si="1"/>
        <v>January</v>
      </c>
      <c r="B315" s="11">
        <f>IFERROR(__xludf.DUMMYFUNCTION("""COMPUTED_VALUE"""),46037.0)</f>
        <v>46037</v>
      </c>
      <c r="C315" s="2" t="str">
        <f>IFERROR(__xludf.DUMMYFUNCTION("""COMPUTED_VALUE"""),"MOBILECARE - THE PODIUM")</f>
        <v>MOBILECARE - THE PODIUM</v>
      </c>
      <c r="D315" s="2" t="str">
        <f>IFERROR(__xludf.DUMMYFUNCTION("""COMPUTED_VALUE"""),"661-42727")</f>
        <v>661-42727</v>
      </c>
      <c r="E315" s="2" t="str">
        <f>IFERROR(__xludf.DUMMYFUNCTION("""COMPUTED_VALUE"""),"TrueDepth Camera, iPhone 16 Pro")</f>
        <v>TrueDepth Camera, iPhone 16 Pro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0" t="str">
        <f t="shared" si="1"/>
        <v>January</v>
      </c>
      <c r="B316" s="11">
        <f>IFERROR(__xludf.DUMMYFUNCTION("""COMPUTED_VALUE"""),46035.0)</f>
        <v>46035</v>
      </c>
      <c r="C316" s="2" t="str">
        <f>IFERROR(__xludf.DUMMYFUNCTION("""COMPUTED_VALUE"""),"MOBILECARE - THE PODIUM")</f>
        <v>MOBILECARE - THE PODIUM</v>
      </c>
      <c r="D316" s="2" t="str">
        <f>IFERROR(__xludf.DUMMYFUNCTION("""COMPUTED_VALUE"""),"661-30397")</f>
        <v>661-30397</v>
      </c>
      <c r="E316" s="2" t="str">
        <f>IFERROR(__xludf.DUMMYFUNCTION("""COMPUTED_VALUE"""),"Battery, iPhone 14 Pro Max")</f>
        <v>Battery, iPhone 14 Pro Max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0" t="str">
        <f t="shared" si="1"/>
        <v>January</v>
      </c>
      <c r="B317" s="11">
        <f>IFERROR(__xludf.DUMMYFUNCTION("""COMPUTED_VALUE"""),46031.0)</f>
        <v>46031</v>
      </c>
      <c r="C317" s="2" t="str">
        <f>IFERROR(__xludf.DUMMYFUNCTION("""COMPUTED_VALUE"""),"MOBILECARE - THE PODIUM")</f>
        <v>MOBILECARE - THE PODIUM</v>
      </c>
      <c r="D317" s="2" t="str">
        <f>IFERROR(__xludf.DUMMYFUNCTION("""COMPUTED_VALUE"""),"661-42845")</f>
        <v>661-42845</v>
      </c>
      <c r="E317" s="2" t="str">
        <f>IFERROR(__xludf.DUMMYFUNCTION("""COMPUTED_VALUE"""),"Camera, iPhone 16 Plus")</f>
        <v>Camera, iPhone 16 Plus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0" t="str">
        <f t="shared" si="1"/>
        <v>January</v>
      </c>
      <c r="B318" s="11">
        <f>IFERROR(__xludf.DUMMYFUNCTION("""COMPUTED_VALUE"""),46043.0)</f>
        <v>46043</v>
      </c>
      <c r="C318" s="2" t="str">
        <f>IFERROR(__xludf.DUMMYFUNCTION("""COMPUTED_VALUE"""),"MOBILECARE - THE PODIUM")</f>
        <v>MOBILECARE - THE PODIUM</v>
      </c>
      <c r="D318" s="2" t="str">
        <f>IFERROR(__xludf.DUMMYFUNCTION("""COMPUTED_VALUE"""),"661-36918")</f>
        <v>661-36918</v>
      </c>
      <c r="E318" s="2" t="str">
        <f>IFERROR(__xludf.DUMMYFUNCTION("""COMPUTED_VALUE"""),"Battery, iPhone 15 Pro Max")</f>
        <v>Battery, iPhone 15 Pro Max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0" t="str">
        <f t="shared" si="1"/>
        <v>January</v>
      </c>
      <c r="B319" s="11">
        <f>IFERROR(__xludf.DUMMYFUNCTION("""COMPUTED_VALUE"""),46035.0)</f>
        <v>46035</v>
      </c>
      <c r="C319" s="2" t="str">
        <f>IFERROR(__xludf.DUMMYFUNCTION("""COMPUTED_VALUE"""),"MOBILECARE - THE PODIUM")</f>
        <v>MOBILECARE - THE PODIUM</v>
      </c>
      <c r="D319" s="2" t="str">
        <f>IFERROR(__xludf.DUMMYFUNCTION("""COMPUTED_VALUE"""),"661-21993")</f>
        <v>661-21993</v>
      </c>
      <c r="E319" s="2" t="str">
        <f>IFERROR(__xludf.DUMMYFUNCTION("""COMPUTED_VALUE"""),"Display, iPhone 13 Pro")</f>
        <v>Display, iPhone 13 Pro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0" t="str">
        <f t="shared" si="1"/>
        <v>January</v>
      </c>
      <c r="B320" s="11">
        <f>IFERROR(__xludf.DUMMYFUNCTION("""COMPUTED_VALUE"""),46043.0)</f>
        <v>46043</v>
      </c>
      <c r="C320" s="2" t="str">
        <f>IFERROR(__xludf.DUMMYFUNCTION("""COMPUTED_VALUE"""),"MOBILECARE - THE PODIUM")</f>
        <v>MOBILECARE - THE PODIUM</v>
      </c>
      <c r="D320" s="2" t="str">
        <f>IFERROR(__xludf.DUMMYFUNCTION("""COMPUTED_VALUE"""),"PP661-22982")</f>
        <v>PP661-22982</v>
      </c>
      <c r="E320" s="2" t="str">
        <f>IFERROR(__xludf.DUMMYFUNCTION("""COMPUTED_VALUE"""),"Pink, 128 GB, iPhone 13, ROW, CI/AR, Philippines")</f>
        <v>Pink, 128 GB, iPhone 13, ROW, CI/AR, Philippines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0" t="str">
        <f t="shared" si="1"/>
        <v>January</v>
      </c>
      <c r="B321" s="11">
        <f>IFERROR(__xludf.DUMMYFUNCTION("""COMPUTED_VALUE"""),46035.0)</f>
        <v>46035</v>
      </c>
      <c r="C321" s="2" t="str">
        <f>IFERROR(__xludf.DUMMYFUNCTION("""COMPUTED_VALUE"""),"MOBILECARE - THE PODIUM")</f>
        <v>MOBILECARE - THE PODIUM</v>
      </c>
      <c r="D321" s="2" t="str">
        <f>IFERROR(__xludf.DUMMYFUNCTION("""COMPUTED_VALUE"""),"661-21991")</f>
        <v>661-21991</v>
      </c>
      <c r="E321" s="2" t="str">
        <f>IFERROR(__xludf.DUMMYFUNCTION("""COMPUTED_VALUE"""),"Battery, iPhone 13")</f>
        <v>Battery, iPhone 13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0" t="str">
        <f t="shared" si="1"/>
        <v>January</v>
      </c>
      <c r="B322" s="11">
        <f>IFERROR(__xludf.DUMMYFUNCTION("""COMPUTED_VALUE"""),46031.0)</f>
        <v>46031</v>
      </c>
      <c r="C322" s="2" t="str">
        <f>IFERROR(__xludf.DUMMYFUNCTION("""COMPUTED_VALUE"""),"MOBILECARE - THE PODIUM")</f>
        <v>MOBILECARE - THE PODIUM</v>
      </c>
      <c r="D322" s="2" t="str">
        <f>IFERROR(__xludf.DUMMYFUNCTION("""COMPUTED_VALUE"""),"661-21996")</f>
        <v>661-21996</v>
      </c>
      <c r="E322" s="2" t="str">
        <f>IFERROR(__xludf.DUMMYFUNCTION("""COMPUTED_VALUE"""),"Battery, iPhone 13 Pro")</f>
        <v>Battery, iPhone 13 Pro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0" t="str">
        <f t="shared" si="1"/>
        <v>January</v>
      </c>
      <c r="B323" s="11">
        <f>IFERROR(__xludf.DUMMYFUNCTION("""COMPUTED_VALUE"""),46038.0)</f>
        <v>46038</v>
      </c>
      <c r="C323" s="2" t="str">
        <f>IFERROR(__xludf.DUMMYFUNCTION("""COMPUTED_VALUE"""),"MOBILECARE - THE PODIUM")</f>
        <v>MOBILECARE - THE PODIUM</v>
      </c>
      <c r="D323" s="2" t="str">
        <f>IFERROR(__xludf.DUMMYFUNCTION("""COMPUTED_VALUE"""),"661-56050")</f>
        <v>661-56050</v>
      </c>
      <c r="E323" s="2" t="str">
        <f>IFERROR(__xludf.DUMMYFUNCTION("""COMPUTED_VALUE"""),"Display, iPhone 17 Pro Max")</f>
        <v>Display, iPhone 17 Pro Max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0" t="str">
        <f t="shared" si="1"/>
        <v>January</v>
      </c>
      <c r="B324" s="11">
        <f>IFERROR(__xludf.DUMMYFUNCTION("""COMPUTED_VALUE"""),46038.0)</f>
        <v>46038</v>
      </c>
      <c r="C324" s="2" t="str">
        <f>IFERROR(__xludf.DUMMYFUNCTION("""COMPUTED_VALUE"""),"MOBILECARE - THE PODIUM")</f>
        <v>MOBILECARE - THE PODIUM</v>
      </c>
      <c r="D324" s="2" t="str">
        <f>IFERROR(__xludf.DUMMYFUNCTION("""COMPUTED_VALUE"""),"661-56050")</f>
        <v>661-56050</v>
      </c>
      <c r="E324" s="2" t="str">
        <f>IFERROR(__xludf.DUMMYFUNCTION("""COMPUTED_VALUE"""),"Display, iPhone 17 Pro Max")</f>
        <v>Display, iPhone 17 Pro Max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0" t="str">
        <f t="shared" si="1"/>
        <v>January</v>
      </c>
      <c r="B325" s="11">
        <f>IFERROR(__xludf.DUMMYFUNCTION("""COMPUTED_VALUE"""),46038.0)</f>
        <v>46038</v>
      </c>
      <c r="C325" s="2" t="str">
        <f>IFERROR(__xludf.DUMMYFUNCTION("""COMPUTED_VALUE"""),"MOBILECARE - THE PODIUM")</f>
        <v>MOBILECARE - THE PODIUM</v>
      </c>
      <c r="D325" s="2" t="str">
        <f>IFERROR(__xludf.DUMMYFUNCTION("""COMPUTED_VALUE"""),"661-56050")</f>
        <v>661-56050</v>
      </c>
      <c r="E325" s="2" t="str">
        <f>IFERROR(__xludf.DUMMYFUNCTION("""COMPUTED_VALUE"""),"Display, iPhone 17 Pro Max")</f>
        <v>Display, iPhone 17 Pro Max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0" t="str">
        <f t="shared" si="1"/>
        <v>January</v>
      </c>
      <c r="B326" s="11">
        <f>IFERROR(__xludf.DUMMYFUNCTION("""COMPUTED_VALUE"""),46043.0)</f>
        <v>46043</v>
      </c>
      <c r="C326" s="2" t="str">
        <f>IFERROR(__xludf.DUMMYFUNCTION("""COMPUTED_VALUE"""),"MOBILECARE - THE PODIUM")</f>
        <v>MOBILECARE - THE PODIUM</v>
      </c>
      <c r="D326" s="2" t="str">
        <f>IFERROR(__xludf.DUMMYFUNCTION("""COMPUTED_VALUE"""),"PP661-22987")</f>
        <v>PP661-22987</v>
      </c>
      <c r="E326" s="2" t="str">
        <f>IFERROR(__xludf.DUMMYFUNCTION("""COMPUTED_VALUE"""),"Pink, 256 GB, iPhone 13, ROW, CI/AR, Philippines")</f>
        <v>Pink, 256 GB, iPhone 13, ROW, CI/AR, Philippines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0" t="str">
        <f t="shared" si="1"/>
        <v>January</v>
      </c>
      <c r="B327" s="11">
        <f>IFERROR(__xludf.DUMMYFUNCTION("""COMPUTED_VALUE"""),46031.0)</f>
        <v>46031</v>
      </c>
      <c r="C327" s="2" t="str">
        <f>IFERROR(__xludf.DUMMYFUNCTION("""COMPUTED_VALUE"""),"MOBILECARE - THE PODIUM")</f>
        <v>MOBILECARE - THE PODIUM</v>
      </c>
      <c r="D327" s="2" t="str">
        <f>IFERROR(__xludf.DUMMYFUNCTION("""COMPUTED_VALUE"""),"661-21991")</f>
        <v>661-21991</v>
      </c>
      <c r="E327" s="2" t="str">
        <f>IFERROR(__xludf.DUMMYFUNCTION("""COMPUTED_VALUE"""),"Battery, iPhone 13")</f>
        <v>Battery, iPhone 13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0" t="str">
        <f t="shared" si="1"/>
        <v>January</v>
      </c>
      <c r="B328" s="11">
        <f>IFERROR(__xludf.DUMMYFUNCTION("""COMPUTED_VALUE"""),46029.0)</f>
        <v>46029</v>
      </c>
      <c r="C328" s="2" t="str">
        <f>IFERROR(__xludf.DUMMYFUNCTION("""COMPUTED_VALUE"""),"MOBILECARE - THE PODIUM")</f>
        <v>MOBILECARE - THE PODIUM</v>
      </c>
      <c r="D328" s="2" t="str">
        <f>IFERROR(__xludf.DUMMYFUNCTION("""COMPUTED_VALUE"""),"661-36706")</f>
        <v>661-36706</v>
      </c>
      <c r="E328" s="2" t="str">
        <f>IFERROR(__xludf.DUMMYFUNCTION("""COMPUTED_VALUE"""),"Display, iPhone 15")</f>
        <v>Display, iPhone 15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0" t="str">
        <f t="shared" si="1"/>
        <v>January</v>
      </c>
      <c r="B329" s="11">
        <f>IFERROR(__xludf.DUMMYFUNCTION("""COMPUTED_VALUE"""),46031.0)</f>
        <v>46031</v>
      </c>
      <c r="C329" s="2" t="str">
        <f>IFERROR(__xludf.DUMMYFUNCTION("""COMPUTED_VALUE"""),"MOBILECARE - THE PODIUM")</f>
        <v>MOBILECARE - THE PODIUM</v>
      </c>
      <c r="D329" s="2" t="str">
        <f>IFERROR(__xludf.DUMMYFUNCTION("""COMPUTED_VALUE"""),"661-22374")</f>
        <v>661-22374</v>
      </c>
      <c r="E329" s="2" t="str">
        <f>IFERROR(__xludf.DUMMYFUNCTION("""COMPUTED_VALUE"""),"Battery, iPhone 13 mini")</f>
        <v>Battery, iPhone 13 mini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0" t="str">
        <f t="shared" si="1"/>
        <v>January</v>
      </c>
      <c r="B330" s="11">
        <f>IFERROR(__xludf.DUMMYFUNCTION("""COMPUTED_VALUE"""),46037.0)</f>
        <v>46037</v>
      </c>
      <c r="C330" s="2" t="str">
        <f>IFERROR(__xludf.DUMMYFUNCTION("""COMPUTED_VALUE"""),"MOBILECARE - THE PODIUM")</f>
        <v>MOBILECARE - THE PODIUM</v>
      </c>
      <c r="D330" s="2" t="str">
        <f>IFERROR(__xludf.DUMMYFUNCTION("""COMPUTED_VALUE"""),"661-21993")</f>
        <v>661-21993</v>
      </c>
      <c r="E330" s="2" t="str">
        <f>IFERROR(__xludf.DUMMYFUNCTION("""COMPUTED_VALUE"""),"Display, iPhone 13 Pro")</f>
        <v>Display, iPhone 13 Pro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0" t="str">
        <f t="shared" si="1"/>
        <v>January</v>
      </c>
      <c r="B331" s="11">
        <f>IFERROR(__xludf.DUMMYFUNCTION("""COMPUTED_VALUE"""),46026.0)</f>
        <v>46026</v>
      </c>
      <c r="C331" s="2" t="str">
        <f>IFERROR(__xludf.DUMMYFUNCTION("""COMPUTED_VALUE"""),"MOBILECARE - THE PODIUM")</f>
        <v>MOBILECARE - THE PODIUM</v>
      </c>
      <c r="D331" s="2" t="str">
        <f>IFERROR(__xludf.DUMMYFUNCTION("""COMPUTED_VALUE"""),"661-13574")</f>
        <v>661-13574</v>
      </c>
      <c r="E331" s="2" t="str">
        <f>IFERROR(__xludf.DUMMYFUNCTION("""COMPUTED_VALUE"""),"Battery, iPhone 11")</f>
        <v>Battery, iPhone 11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0" t="str">
        <f t="shared" si="1"/>
        <v>January</v>
      </c>
      <c r="B332" s="11">
        <f>IFERROR(__xludf.DUMMYFUNCTION("""COMPUTED_VALUE"""),46026.0)</f>
        <v>46026</v>
      </c>
      <c r="C332" s="2" t="str">
        <f>IFERROR(__xludf.DUMMYFUNCTION("""COMPUTED_VALUE"""),"MOBILECARE - THE PODIUM")</f>
        <v>MOBILECARE - THE PODIUM</v>
      </c>
      <c r="D332" s="2" t="str">
        <f>IFERROR(__xludf.DUMMYFUNCTION("""COMPUTED_VALUE"""),"661-13574")</f>
        <v>661-13574</v>
      </c>
      <c r="E332" s="2" t="str">
        <f>IFERROR(__xludf.DUMMYFUNCTION("""COMPUTED_VALUE"""),"Battery, iPhone 11")</f>
        <v>Battery, iPhone 11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0" t="str">
        <f t="shared" si="1"/>
        <v>January</v>
      </c>
      <c r="B333" s="11">
        <f>IFERROR(__xludf.DUMMYFUNCTION("""COMPUTED_VALUE"""),46033.0)</f>
        <v>46033</v>
      </c>
      <c r="C333" s="2" t="str">
        <f>IFERROR(__xludf.DUMMYFUNCTION("""COMPUTED_VALUE"""),"MOBILECARE - THE PODIUM")</f>
        <v>MOBILECARE - THE PODIUM</v>
      </c>
      <c r="D333" s="2" t="str">
        <f>IFERROR(__xludf.DUMMYFUNCTION("""COMPUTED_VALUE"""),"661-21991")</f>
        <v>661-21991</v>
      </c>
      <c r="E333" s="2" t="str">
        <f>IFERROR(__xludf.DUMMYFUNCTION("""COMPUTED_VALUE"""),"Battery, iPhone 13")</f>
        <v>Battery, iPhone 13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0" t="str">
        <f t="shared" si="1"/>
        <v>January</v>
      </c>
      <c r="B334" s="11">
        <f>IFERROR(__xludf.DUMMYFUNCTION("""COMPUTED_VALUE"""),46036.0)</f>
        <v>46036</v>
      </c>
      <c r="C334" s="2" t="str">
        <f>IFERROR(__xludf.DUMMYFUNCTION("""COMPUTED_VALUE"""),"MOBILECARE - THE PODIUM")</f>
        <v>MOBILECARE - THE PODIUM</v>
      </c>
      <c r="D334" s="2" t="str">
        <f>IFERROR(__xludf.DUMMYFUNCTION("""COMPUTED_VALUE"""),"661-30394")</f>
        <v>661-30394</v>
      </c>
      <c r="E334" s="2" t="str">
        <f>IFERROR(__xludf.DUMMYFUNCTION("""COMPUTED_VALUE"""),"Battery, iPhone 14 Plus")</f>
        <v>Battery, iPhone 14 Plus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0" t="str">
        <f t="shared" si="1"/>
        <v>January</v>
      </c>
      <c r="B335" s="11">
        <f>IFERROR(__xludf.DUMMYFUNCTION("""COMPUTED_VALUE"""),46031.0)</f>
        <v>46031</v>
      </c>
      <c r="C335" s="2" t="str">
        <f>IFERROR(__xludf.DUMMYFUNCTION("""COMPUTED_VALUE"""),"MOBILECARE - THE PODIUM")</f>
        <v>MOBILECARE - THE PODIUM</v>
      </c>
      <c r="D335" s="2" t="str">
        <f>IFERROR(__xludf.DUMMYFUNCTION("""COMPUTED_VALUE"""),"661-21991")</f>
        <v>661-21991</v>
      </c>
      <c r="E335" s="2" t="str">
        <f>IFERROR(__xludf.DUMMYFUNCTION("""COMPUTED_VALUE"""),"Battery, iPhone 13")</f>
        <v>Battery, iPhone 13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0" t="str">
        <f t="shared" si="1"/>
        <v>January</v>
      </c>
      <c r="B336" s="11">
        <f>IFERROR(__xludf.DUMMYFUNCTION("""COMPUTED_VALUE"""),46031.0)</f>
        <v>46031</v>
      </c>
      <c r="C336" s="2" t="str">
        <f>IFERROR(__xludf.DUMMYFUNCTION("""COMPUTED_VALUE"""),"MOBILECARE - THE PODIUM")</f>
        <v>MOBILECARE - THE PODIUM</v>
      </c>
      <c r="D336" s="2" t="str">
        <f>IFERROR(__xludf.DUMMYFUNCTION("""COMPUTED_VALUE"""),"661-30397")</f>
        <v>661-30397</v>
      </c>
      <c r="E336" s="2" t="str">
        <f>IFERROR(__xludf.DUMMYFUNCTION("""COMPUTED_VALUE"""),"Battery, iPhone 14 Pro Max")</f>
        <v>Battery, iPhone 14 Pro Max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0" t="str">
        <f t="shared" si="1"/>
        <v>January</v>
      </c>
      <c r="B337" s="11">
        <f>IFERROR(__xludf.DUMMYFUNCTION("""COMPUTED_VALUE"""),46027.0)</f>
        <v>46027</v>
      </c>
      <c r="C337" s="2" t="str">
        <f>IFERROR(__xludf.DUMMYFUNCTION("""COMPUTED_VALUE"""),"MOBILECARE - THE PODIUM")</f>
        <v>MOBILECARE - THE PODIUM</v>
      </c>
      <c r="D337" s="2" t="str">
        <f>IFERROR(__xludf.DUMMYFUNCTION("""COMPUTED_VALUE"""),"661-21993")</f>
        <v>661-21993</v>
      </c>
      <c r="E337" s="2" t="str">
        <f>IFERROR(__xludf.DUMMYFUNCTION("""COMPUTED_VALUE"""),"Display, iPhone 13 Pro")</f>
        <v>Display, iPhone 13 Pro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0" t="str">
        <f t="shared" si="1"/>
        <v>January</v>
      </c>
      <c r="B338" s="11">
        <f>IFERROR(__xludf.DUMMYFUNCTION("""COMPUTED_VALUE"""),46027.0)</f>
        <v>46027</v>
      </c>
      <c r="C338" s="2" t="str">
        <f>IFERROR(__xludf.DUMMYFUNCTION("""COMPUTED_VALUE"""),"MOBILECARE - THE PODIUM")</f>
        <v>MOBILECARE - THE PODIUM</v>
      </c>
      <c r="D338" s="2" t="str">
        <f>IFERROR(__xludf.DUMMYFUNCTION("""COMPUTED_VALUE"""),"661-21996")</f>
        <v>661-21996</v>
      </c>
      <c r="E338" s="2" t="str">
        <f>IFERROR(__xludf.DUMMYFUNCTION("""COMPUTED_VALUE"""),"Battery, iPhone 13 Pro")</f>
        <v>Battery, iPhone 13 Pro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0" t="str">
        <f t="shared" si="1"/>
        <v>January</v>
      </c>
      <c r="B339" s="11">
        <f>IFERROR(__xludf.DUMMYFUNCTION("""COMPUTED_VALUE"""),46029.0)</f>
        <v>46029</v>
      </c>
      <c r="C339" s="2" t="str">
        <f>IFERROR(__xludf.DUMMYFUNCTION("""COMPUTED_VALUE"""),"MOBILECARE - THE PODIUM")</f>
        <v>MOBILECARE - THE PODIUM</v>
      </c>
      <c r="D339" s="2" t="str">
        <f>IFERROR(__xludf.DUMMYFUNCTION("""COMPUTED_VALUE"""),"661-22309")</f>
        <v>661-22309</v>
      </c>
      <c r="E339" s="2" t="str">
        <f>IFERROR(__xludf.DUMMYFUNCTION("""COMPUTED_VALUE"""),"Display, iPhone 13 Pro Max")</f>
        <v>Display, iPhone 13 Pro Max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0" t="str">
        <f t="shared" si="1"/>
        <v>January</v>
      </c>
      <c r="B340" s="11">
        <f>IFERROR(__xludf.DUMMYFUNCTION("""COMPUTED_VALUE"""),46034.0)</f>
        <v>46034</v>
      </c>
      <c r="C340" s="2" t="str">
        <f>IFERROR(__xludf.DUMMYFUNCTION("""COMPUTED_VALUE"""),"MOBILECARE - THE PODIUM")</f>
        <v>MOBILECARE - THE PODIUM</v>
      </c>
      <c r="D340" s="2" t="str">
        <f>IFERROR(__xludf.DUMMYFUNCTION("""COMPUTED_VALUE"""),"661-36915")</f>
        <v>661-36915</v>
      </c>
      <c r="E340" s="2" t="str">
        <f>IFERROR(__xludf.DUMMYFUNCTION("""COMPUTED_VALUE"""),"Display, iPhone 15 Pro Max")</f>
        <v>Display, iPhone 15 Pro Max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0" t="str">
        <f t="shared" si="1"/>
        <v>January</v>
      </c>
      <c r="B341" s="11">
        <f>IFERROR(__xludf.DUMMYFUNCTION("""COMPUTED_VALUE"""),46036.0)</f>
        <v>46036</v>
      </c>
      <c r="C341" s="2" t="str">
        <f>IFERROR(__xludf.DUMMYFUNCTION("""COMPUTED_VALUE"""),"MOBILECARE - THE PODIUM")</f>
        <v>MOBILECARE - THE PODIUM</v>
      </c>
      <c r="D341" s="2" t="str">
        <f>IFERROR(__xludf.DUMMYFUNCTION("""COMPUTED_VALUE"""),"661-36918")</f>
        <v>661-36918</v>
      </c>
      <c r="E341" s="2" t="str">
        <f>IFERROR(__xludf.DUMMYFUNCTION("""COMPUTED_VALUE"""),"Battery, iPhone 15 Pro Max")</f>
        <v>Battery, iPhone 15 Pro Max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0" t="str">
        <f t="shared" si="1"/>
        <v>January</v>
      </c>
      <c r="B342" s="11">
        <f>IFERROR(__xludf.DUMMYFUNCTION("""COMPUTED_VALUE"""),46037.0)</f>
        <v>46037</v>
      </c>
      <c r="C342" s="2" t="str">
        <f>IFERROR(__xludf.DUMMYFUNCTION("""COMPUTED_VALUE"""),"MOBILECARE - THE PODIUM")</f>
        <v>MOBILECARE - THE PODIUM</v>
      </c>
      <c r="D342" s="2" t="str">
        <f>IFERROR(__xludf.DUMMYFUNCTION("""COMPUTED_VALUE"""),"661-22309")</f>
        <v>661-22309</v>
      </c>
      <c r="E342" s="2" t="str">
        <f>IFERROR(__xludf.DUMMYFUNCTION("""COMPUTED_VALUE"""),"Display, iPhone 13 Pro Max")</f>
        <v>Display, iPhone 13 Pro Max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0" t="str">
        <f t="shared" si="1"/>
        <v>January</v>
      </c>
      <c r="B343" s="11">
        <f>IFERROR(__xludf.DUMMYFUNCTION("""COMPUTED_VALUE"""),46037.0)</f>
        <v>46037</v>
      </c>
      <c r="C343" s="2" t="str">
        <f>IFERROR(__xludf.DUMMYFUNCTION("""COMPUTED_VALUE"""),"MOBILECARE - THE PODIUM")</f>
        <v>MOBILECARE - THE PODIUM</v>
      </c>
      <c r="D343" s="2" t="str">
        <f>IFERROR(__xludf.DUMMYFUNCTION("""COMPUTED_VALUE"""),"661-22294")</f>
        <v>661-22294</v>
      </c>
      <c r="E343" s="2" t="str">
        <f>IFERROR(__xludf.DUMMYFUNCTION("""COMPUTED_VALUE"""),"Battery, iPhone 13 Pro Max")</f>
        <v>Battery, iPhone 13 Pro Max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0" t="str">
        <f t="shared" si="1"/>
        <v>January</v>
      </c>
      <c r="B344" s="11">
        <f>IFERROR(__xludf.DUMMYFUNCTION("""COMPUTED_VALUE"""),46037.0)</f>
        <v>46037</v>
      </c>
      <c r="C344" s="2" t="str">
        <f>IFERROR(__xludf.DUMMYFUNCTION("""COMPUTED_VALUE"""),"MOBILECARE - THE PODIUM")</f>
        <v>MOBILECARE - THE PODIUM</v>
      </c>
      <c r="D344" s="2" t="str">
        <f>IFERROR(__xludf.DUMMYFUNCTION("""COMPUTED_VALUE"""),"661-22309")</f>
        <v>661-22309</v>
      </c>
      <c r="E344" s="2" t="str">
        <f>IFERROR(__xludf.DUMMYFUNCTION("""COMPUTED_VALUE"""),"Display, iPhone 13 Pro Max")</f>
        <v>Display, iPhone 13 Pro Max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0" t="str">
        <f t="shared" si="1"/>
        <v>January</v>
      </c>
      <c r="B345" s="11">
        <f>IFERROR(__xludf.DUMMYFUNCTION("""COMPUTED_VALUE"""),46037.0)</f>
        <v>46037</v>
      </c>
      <c r="C345" s="2" t="str">
        <f>IFERROR(__xludf.DUMMYFUNCTION("""COMPUTED_VALUE"""),"MOBILECARE - THE PODIUM")</f>
        <v>MOBILECARE - THE PODIUM</v>
      </c>
      <c r="D345" s="2" t="str">
        <f>IFERROR(__xludf.DUMMYFUNCTION("""COMPUTED_VALUE"""),"661-22309")</f>
        <v>661-22309</v>
      </c>
      <c r="E345" s="2" t="str">
        <f>IFERROR(__xludf.DUMMYFUNCTION("""COMPUTED_VALUE"""),"Display, iPhone 13 Pro Max")</f>
        <v>Display, iPhone 13 Pro Max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0" t="str">
        <f t="shared" si="1"/>
        <v>January</v>
      </c>
      <c r="B346" s="11">
        <f>IFERROR(__xludf.DUMMYFUNCTION("""COMPUTED_VALUE"""),46028.0)</f>
        <v>46028</v>
      </c>
      <c r="C346" s="2" t="str">
        <f>IFERROR(__xludf.DUMMYFUNCTION("""COMPUTED_VALUE"""),"MOBILECARE - THE PODIUM")</f>
        <v>MOBILECARE - THE PODIUM</v>
      </c>
      <c r="D346" s="2" t="str">
        <f>IFERROR(__xludf.DUMMYFUNCTION("""COMPUTED_VALUE"""),"661-42726")</f>
        <v>661-42726</v>
      </c>
      <c r="E346" s="2" t="str">
        <f>IFERROR(__xludf.DUMMYFUNCTION("""COMPUTED_VALUE"""),"Display, iPhone 16 Pro")</f>
        <v>Display, iPhone 16 Pro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0" t="str">
        <f t="shared" si="1"/>
        <v>January</v>
      </c>
      <c r="B347" s="11">
        <f>IFERROR(__xludf.DUMMYFUNCTION("""COMPUTED_VALUE"""),46033.0)</f>
        <v>46033</v>
      </c>
      <c r="C347" s="2" t="str">
        <f>IFERROR(__xludf.DUMMYFUNCTION("""COMPUTED_VALUE"""),"MOBILECARE - THE PODIUM")</f>
        <v>MOBILECARE - THE PODIUM</v>
      </c>
      <c r="D347" s="2" t="str">
        <f>IFERROR(__xludf.DUMMYFUNCTION("""COMPUTED_VALUE"""),"661-22309")</f>
        <v>661-22309</v>
      </c>
      <c r="E347" s="2" t="str">
        <f>IFERROR(__xludf.DUMMYFUNCTION("""COMPUTED_VALUE"""),"Display, iPhone 13 Pro Max")</f>
        <v>Display, iPhone 13 Pro Max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0" t="str">
        <f t="shared" si="1"/>
        <v>January</v>
      </c>
      <c r="B348" s="11">
        <f>IFERROR(__xludf.DUMMYFUNCTION("""COMPUTED_VALUE"""),46033.0)</f>
        <v>46033</v>
      </c>
      <c r="C348" s="2" t="str">
        <f>IFERROR(__xludf.DUMMYFUNCTION("""COMPUTED_VALUE"""),"MOBILECARE - THE PODIUM")</f>
        <v>MOBILECARE - THE PODIUM</v>
      </c>
      <c r="D348" s="2" t="str">
        <f>IFERROR(__xludf.DUMMYFUNCTION("""COMPUTED_VALUE"""),"661-22293")</f>
        <v>661-22293</v>
      </c>
      <c r="E348" s="2" t="str">
        <f>IFERROR(__xludf.DUMMYFUNCTION("""COMPUTED_VALUE"""),"Camera, iPhone 13 Pro and 13 Pro Max")</f>
        <v>Camera, iPhone 13 Pro and 13 Pro Max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0" t="str">
        <f t="shared" si="1"/>
        <v>January</v>
      </c>
      <c r="B349" s="11">
        <f>IFERROR(__xludf.DUMMYFUNCTION("""COMPUTED_VALUE"""),46033.0)</f>
        <v>46033</v>
      </c>
      <c r="C349" s="2" t="str">
        <f>IFERROR(__xludf.DUMMYFUNCTION("""COMPUTED_VALUE"""),"MOBILECARE - THE PODIUM")</f>
        <v>MOBILECARE - THE PODIUM</v>
      </c>
      <c r="D349" s="2" t="str">
        <f>IFERROR(__xludf.DUMMYFUNCTION("""COMPUTED_VALUE"""),"661-22309")</f>
        <v>661-22309</v>
      </c>
      <c r="E349" s="2" t="str">
        <f>IFERROR(__xludf.DUMMYFUNCTION("""COMPUTED_VALUE"""),"Display, iPhone 13 Pro Max")</f>
        <v>Display, iPhone 13 Pro Max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0" t="str">
        <f t="shared" si="1"/>
        <v>January</v>
      </c>
      <c r="B350" s="11">
        <f>IFERROR(__xludf.DUMMYFUNCTION("""COMPUTED_VALUE"""),46024.0)</f>
        <v>46024</v>
      </c>
      <c r="C350" s="2" t="str">
        <f>IFERROR(__xludf.DUMMYFUNCTION("""COMPUTED_VALUE"""),"MOBILECARE - THE PODIUM")</f>
        <v>MOBILECARE - THE PODIUM</v>
      </c>
      <c r="D350" s="2" t="str">
        <f>IFERROR(__xludf.DUMMYFUNCTION("""COMPUTED_VALUE"""),"661-21996")</f>
        <v>661-21996</v>
      </c>
      <c r="E350" s="2" t="str">
        <f>IFERROR(__xludf.DUMMYFUNCTION("""COMPUTED_VALUE"""),"Battery, iPhone 13 Pro")</f>
        <v>Battery, iPhone 13 Pro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0" t="str">
        <f t="shared" si="1"/>
        <v>January</v>
      </c>
      <c r="B351" s="11">
        <f>IFERROR(__xludf.DUMMYFUNCTION("""COMPUTED_VALUE"""),46028.0)</f>
        <v>46028</v>
      </c>
      <c r="C351" s="2" t="str">
        <f>IFERROR(__xludf.DUMMYFUNCTION("""COMPUTED_VALUE"""),"MOBILECARE - THE PODIUM")</f>
        <v>MOBILECARE - THE PODIUM</v>
      </c>
      <c r="D351" s="2" t="str">
        <f>IFERROR(__xludf.DUMMYFUNCTION("""COMPUTED_VALUE"""),"661-22309")</f>
        <v>661-22309</v>
      </c>
      <c r="E351" s="2" t="str">
        <f>IFERROR(__xludf.DUMMYFUNCTION("""COMPUTED_VALUE"""),"Display, iPhone 13 Pro Max")</f>
        <v>Display, iPhone 13 Pro Max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0" t="str">
        <f t="shared" si="1"/>
        <v>January</v>
      </c>
      <c r="B352" s="11">
        <f>IFERROR(__xludf.DUMMYFUNCTION("""COMPUTED_VALUE"""),46033.0)</f>
        <v>46033</v>
      </c>
      <c r="C352" s="2" t="str">
        <f>IFERROR(__xludf.DUMMYFUNCTION("""COMPUTED_VALUE"""),"MOBILECARE - THE PODIUM")</f>
        <v>MOBILECARE - THE PODIUM</v>
      </c>
      <c r="D352" s="2" t="str">
        <f>IFERROR(__xludf.DUMMYFUNCTION("""COMPUTED_VALUE"""),"661-35885")</f>
        <v>661-35885</v>
      </c>
      <c r="E352" s="2" t="str">
        <f>IFERROR(__xludf.DUMMYFUNCTION("""COMPUTED_VALUE"""),"Battery, iPhone 15")</f>
        <v>Battery, iPhone 15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0" t="str">
        <f t="shared" si="1"/>
        <v>January</v>
      </c>
      <c r="B353" s="11">
        <f>IFERROR(__xludf.DUMMYFUNCTION("""COMPUTED_VALUE"""),46030.0)</f>
        <v>46030</v>
      </c>
      <c r="C353" s="2" t="str">
        <f>IFERROR(__xludf.DUMMYFUNCTION("""COMPUTED_VALUE"""),"MOBILECARE - THE PODIUM")</f>
        <v>MOBILECARE - THE PODIUM</v>
      </c>
      <c r="D353" s="2" t="str">
        <f>IFERROR(__xludf.DUMMYFUNCTION("""COMPUTED_VALUE"""),"661-42726")</f>
        <v>661-42726</v>
      </c>
      <c r="E353" s="2" t="str">
        <f>IFERROR(__xludf.DUMMYFUNCTION("""COMPUTED_VALUE"""),"Display, iPhone 16 Pro")</f>
        <v>Display, iPhone 16 Pro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0" t="str">
        <f t="shared" si="1"/>
        <v>January</v>
      </c>
      <c r="B354" s="11">
        <f>IFERROR(__xludf.DUMMYFUNCTION("""COMPUTED_VALUE"""),46024.0)</f>
        <v>46024</v>
      </c>
      <c r="C354" s="2" t="str">
        <f>IFERROR(__xludf.DUMMYFUNCTION("""COMPUTED_VALUE"""),"MOBILECARE - THE PODIUM")</f>
        <v>MOBILECARE - THE PODIUM</v>
      </c>
      <c r="D354" s="2" t="str">
        <f>IFERROR(__xludf.DUMMYFUNCTION("""COMPUTED_VALUE"""),"661-21991")</f>
        <v>661-21991</v>
      </c>
      <c r="E354" s="2" t="str">
        <f>IFERROR(__xludf.DUMMYFUNCTION("""COMPUTED_VALUE"""),"Battery, iPhone 13")</f>
        <v>Battery, iPhone 13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0" t="str">
        <f t="shared" si="1"/>
        <v>January</v>
      </c>
      <c r="B355" s="11">
        <f>IFERROR(__xludf.DUMMYFUNCTION("""COMPUTED_VALUE"""),46024.0)</f>
        <v>46024</v>
      </c>
      <c r="C355" s="2" t="str">
        <f>IFERROR(__xludf.DUMMYFUNCTION("""COMPUTED_VALUE"""),"MOBILECARE - THE PODIUM")</f>
        <v>MOBILECARE - THE PODIUM</v>
      </c>
      <c r="D355" s="2" t="str">
        <f>IFERROR(__xludf.DUMMYFUNCTION("""COMPUTED_VALUE"""),"661-42843")</f>
        <v>661-42843</v>
      </c>
      <c r="E355" s="2" t="str">
        <f>IFERROR(__xludf.DUMMYFUNCTION("""COMPUTED_VALUE"""),"Display, iPhone 16 Plus")</f>
        <v>Display, iPhone 16 Plus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0" t="str">
        <f t="shared" si="1"/>
        <v>January</v>
      </c>
      <c r="B356" s="11">
        <f>IFERROR(__xludf.DUMMYFUNCTION("""COMPUTED_VALUE"""),46043.0)</f>
        <v>46043</v>
      </c>
      <c r="C356" s="2" t="str">
        <f>IFERROR(__xludf.DUMMYFUNCTION("""COMPUTED_VALUE"""),"MOBILECARE - THE PODIUM")</f>
        <v>MOBILECARE - THE PODIUM</v>
      </c>
      <c r="D356" s="2" t="str">
        <f>IFERROR(__xludf.DUMMYFUNCTION("""COMPUTED_VALUE"""),"661-36918")</f>
        <v>661-36918</v>
      </c>
      <c r="E356" s="2" t="str">
        <f>IFERROR(__xludf.DUMMYFUNCTION("""COMPUTED_VALUE"""),"Battery, iPhone 15 Pro Max")</f>
        <v>Battery, iPhone 15 Pro Max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0" t="str">
        <f t="shared" si="1"/>
        <v>January</v>
      </c>
      <c r="B357" s="11">
        <f>IFERROR(__xludf.DUMMYFUNCTION("""COMPUTED_VALUE"""),46034.0)</f>
        <v>46034</v>
      </c>
      <c r="C357" s="2" t="str">
        <f>IFERROR(__xludf.DUMMYFUNCTION("""COMPUTED_VALUE"""),"MOBILECARE - THE PODIUM")</f>
        <v>MOBILECARE - THE PODIUM</v>
      </c>
      <c r="D357" s="2" t="str">
        <f>IFERROR(__xludf.DUMMYFUNCTION("""COMPUTED_VALUE"""),"PP661-22984")</f>
        <v>PP661-22984</v>
      </c>
      <c r="E357" s="2" t="str">
        <f>IFERROR(__xludf.DUMMYFUNCTION("""COMPUTED_VALUE"""),"Blue, 128 GB, iPhone 13, ROW, CI/AR, Philippines")</f>
        <v>Blue, 128 GB, iPhone 13, ROW, CI/AR, Philippines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0" t="str">
        <f t="shared" si="1"/>
        <v>January</v>
      </c>
      <c r="B358" s="11">
        <f>IFERROR(__xludf.DUMMYFUNCTION("""COMPUTED_VALUE"""),46035.0)</f>
        <v>46035</v>
      </c>
      <c r="C358" s="2" t="str">
        <f>IFERROR(__xludf.DUMMYFUNCTION("""COMPUTED_VALUE"""),"MOBILECARE - THE PODIUM")</f>
        <v>MOBILECARE - THE PODIUM</v>
      </c>
      <c r="D358" s="2" t="str">
        <f>IFERROR(__xludf.DUMMYFUNCTION("""COMPUTED_VALUE"""),"661-14098")</f>
        <v>661-14098</v>
      </c>
      <c r="E358" s="2" t="str">
        <f>IFERROR(__xludf.DUMMYFUNCTION("""COMPUTED_VALUE"""),"Display, iPhone 11")</f>
        <v>Display, iPhone 11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0" t="str">
        <f t="shared" si="1"/>
        <v>January</v>
      </c>
      <c r="B359" s="11">
        <f>IFERROR(__xludf.DUMMYFUNCTION("""COMPUTED_VALUE"""),46035.0)</f>
        <v>46035</v>
      </c>
      <c r="C359" s="2" t="str">
        <f>IFERROR(__xludf.DUMMYFUNCTION("""COMPUTED_VALUE"""),"MOBILECARE - THE PODIUM")</f>
        <v>MOBILECARE - THE PODIUM</v>
      </c>
      <c r="D359" s="2" t="str">
        <f>IFERROR(__xludf.DUMMYFUNCTION("""COMPUTED_VALUE"""),"661-14098")</f>
        <v>661-14098</v>
      </c>
      <c r="E359" s="2" t="str">
        <f>IFERROR(__xludf.DUMMYFUNCTION("""COMPUTED_VALUE"""),"Display, iPhone 11")</f>
        <v>Display, iPhone 11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0" t="str">
        <f t="shared" si="1"/>
        <v>January</v>
      </c>
      <c r="B360" s="11">
        <f>IFERROR(__xludf.DUMMYFUNCTION("""COMPUTED_VALUE"""),46035.0)</f>
        <v>46035</v>
      </c>
      <c r="C360" s="2" t="str">
        <f>IFERROR(__xludf.DUMMYFUNCTION("""COMPUTED_VALUE"""),"MOBILECARE - THE PODIUM")</f>
        <v>MOBILECARE - THE PODIUM</v>
      </c>
      <c r="D360" s="2" t="str">
        <f>IFERROR(__xludf.DUMMYFUNCTION("""COMPUTED_VALUE"""),"PP661-13326")</f>
        <v>PP661-13326</v>
      </c>
      <c r="E360" s="2" t="str">
        <f>IFERROR(__xludf.DUMMYFUNCTION("""COMPUTED_VALUE"""),"128GB, Green, ROW, iPhone 11, CI/AR-PPN")</f>
        <v>128GB, Green, ROW, iPhone 11, CI/AR-PPN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0" t="str">
        <f t="shared" si="1"/>
        <v>January</v>
      </c>
      <c r="B361" s="11">
        <f>IFERROR(__xludf.DUMMYFUNCTION("""COMPUTED_VALUE"""),46028.0)</f>
        <v>46028</v>
      </c>
      <c r="C361" s="2" t="str">
        <f>IFERROR(__xludf.DUMMYFUNCTION("""COMPUTED_VALUE"""),"MOBILECARE - THE PODIUM")</f>
        <v>MOBILECARE - THE PODIUM</v>
      </c>
      <c r="D361" s="2" t="str">
        <f>IFERROR(__xludf.DUMMYFUNCTION("""COMPUTED_VALUE"""),"PP661-22982")</f>
        <v>PP661-22982</v>
      </c>
      <c r="E361" s="2" t="str">
        <f>IFERROR(__xludf.DUMMYFUNCTION("""COMPUTED_VALUE"""),"Pink, 128 GB, iPhone 13, ROW, CI/AR, Philippines")</f>
        <v>Pink, 128 GB, iPhone 13, ROW, CI/AR, Philippines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0" t="str">
        <f t="shared" si="1"/>
        <v>June</v>
      </c>
      <c r="B362" s="11">
        <f>IFERROR(__xludf.DUMMYFUNCTION("""COMPUTED_VALUE"""),46178.0)</f>
        <v>46178</v>
      </c>
      <c r="C362" s="2" t="str">
        <f>IFERROR(__xludf.DUMMYFUNCTION("""COMPUTED_VALUE"""),"MOBILECARE - FESTIVE WALK ILOILO")</f>
        <v>MOBILECARE - FESTIVE WALK ILOILO</v>
      </c>
      <c r="D362" s="2" t="str">
        <f>IFERROR(__xludf.DUMMYFUNCTION("""COMPUTED_VALUE"""),"661-18428")</f>
        <v>661-18428</v>
      </c>
      <c r="E362" s="2" t="str">
        <f>IFERROR(__xludf.DUMMYFUNCTION("""COMPUTED_VALUE"""),"Battery, iPhone 12 Pro Max")</f>
        <v>Battery, iPhone 12 Pro Max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0" t="str">
        <f t="shared" si="1"/>
        <v>May</v>
      </c>
      <c r="B363" s="11">
        <f>IFERROR(__xludf.DUMMYFUNCTION("""COMPUTED_VALUE"""),46167.0)</f>
        <v>46167</v>
      </c>
      <c r="C363" s="2" t="str">
        <f>IFERROR(__xludf.DUMMYFUNCTION("""COMPUTED_VALUE"""),"MOBILECARE - FESTIVE WALK ILOILO")</f>
        <v>MOBILECARE - FESTIVE WALK ILOILO</v>
      </c>
      <c r="D363" s="2" t="str">
        <f>IFERROR(__xludf.DUMMYFUNCTION("""COMPUTED_VALUE"""),"661-21988")</f>
        <v>661-21988</v>
      </c>
      <c r="E363" s="2" t="str">
        <f>IFERROR(__xludf.DUMMYFUNCTION("""COMPUTED_VALUE"""),"Display, iPhone 13")</f>
        <v>Display, iPhone 13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0" t="str">
        <f t="shared" si="1"/>
        <v>May</v>
      </c>
      <c r="B364" s="11">
        <f>IFERROR(__xludf.DUMMYFUNCTION("""COMPUTED_VALUE"""),46167.0)</f>
        <v>46167</v>
      </c>
      <c r="C364" s="2" t="str">
        <f>IFERROR(__xludf.DUMMYFUNCTION("""COMPUTED_VALUE"""),"MOBILECARE - FESTIVE WALK ILOILO")</f>
        <v>MOBILECARE - FESTIVE WALK ILOILO</v>
      </c>
      <c r="D364" s="2" t="str">
        <f>IFERROR(__xludf.DUMMYFUNCTION("""COMPUTED_VALUE"""),"661-21988")</f>
        <v>661-21988</v>
      </c>
      <c r="E364" s="2" t="str">
        <f>IFERROR(__xludf.DUMMYFUNCTION("""COMPUTED_VALUE"""),"Display, iPhone 13")</f>
        <v>Display, iPhone 13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0" t="str">
        <f t="shared" si="1"/>
        <v>June</v>
      </c>
      <c r="B365" s="11">
        <f>IFERROR(__xludf.DUMMYFUNCTION("""COMPUTED_VALUE"""),46181.0)</f>
        <v>46181</v>
      </c>
      <c r="C365" s="2" t="str">
        <f>IFERROR(__xludf.DUMMYFUNCTION("""COMPUTED_VALUE"""),"MOBILECARE - FESTIVE WALK ILOILO")</f>
        <v>MOBILECARE - FESTIVE WALK ILOILO</v>
      </c>
      <c r="D365" s="2" t="str">
        <f>IFERROR(__xludf.DUMMYFUNCTION("""COMPUTED_VALUE"""),"TA661-45235")</f>
        <v>TA661-45235</v>
      </c>
      <c r="E365" s="2" t="str">
        <f>IFERROR(__xludf.DUMMYFUNCTION("""COMPUTED_VALUE"""),"128GB, Teal, ROW, iPhone 16 Plus, Logic Board Assy Mid System")</f>
        <v>128GB, Teal, ROW, iPhone 16 Plus, Logic Board Assy Mid System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0" t="str">
        <f t="shared" si="1"/>
        <v>March</v>
      </c>
      <c r="B366" s="11">
        <f>IFERROR(__xludf.DUMMYFUNCTION("""COMPUTED_VALUE"""),46111.0)</f>
        <v>46111</v>
      </c>
      <c r="C366" s="2" t="str">
        <f>IFERROR(__xludf.DUMMYFUNCTION("""COMPUTED_VALUE"""),"MOBILECARE - FESTIVE WALK ILOILO")</f>
        <v>MOBILECARE - FESTIVE WALK ILOILO</v>
      </c>
      <c r="D366" s="2" t="str">
        <f>IFERROR(__xludf.DUMMYFUNCTION("""COMPUTED_VALUE"""),"TA661-42901")</f>
        <v>TA661-42901</v>
      </c>
      <c r="E366" s="2" t="str">
        <f>IFERROR(__xludf.DUMMYFUNCTION("""COMPUTED_VALUE"""),"256GB, Black Titanium, ROW, iPhone 16 Pro, CI/AR")</f>
        <v>256GB, Black Titanium, ROW, iPhone 16 Pro, CI/AR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0" t="str">
        <f t="shared" si="1"/>
        <v>March</v>
      </c>
      <c r="B367" s="11">
        <f>IFERROR(__xludf.DUMMYFUNCTION("""COMPUTED_VALUE"""),46082.0)</f>
        <v>46082</v>
      </c>
      <c r="C367" s="2" t="str">
        <f>IFERROR(__xludf.DUMMYFUNCTION("""COMPUTED_VALUE"""),"MOBILECARE - FESTIVE WALK ILOILO")</f>
        <v>MOBILECARE - FESTIVE WALK ILOILO</v>
      </c>
      <c r="D367" s="2" t="str">
        <f>IFERROR(__xludf.DUMMYFUNCTION("""COMPUTED_VALUE"""),"661-21991")</f>
        <v>661-21991</v>
      </c>
      <c r="E367" s="2" t="str">
        <f>IFERROR(__xludf.DUMMYFUNCTION("""COMPUTED_VALUE"""),"Battery, iPhone 13")</f>
        <v>Battery, iPhone 13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0" t="str">
        <f t="shared" si="1"/>
        <v>February</v>
      </c>
      <c r="B368" s="11">
        <f>IFERROR(__xludf.DUMMYFUNCTION("""COMPUTED_VALUE"""),46057.0)</f>
        <v>46057</v>
      </c>
      <c r="C368" s="2" t="str">
        <f>IFERROR(__xludf.DUMMYFUNCTION("""COMPUTED_VALUE"""),"MOBILECARE - FESTIVE WALK ILOILO")</f>
        <v>MOBILECARE - FESTIVE WALK ILOILO</v>
      </c>
      <c r="D368" s="2" t="str">
        <f>IFERROR(__xludf.DUMMYFUNCTION("""COMPUTED_VALUE"""),"PP661-23455")</f>
        <v>PP661-23455</v>
      </c>
      <c r="E368" s="2" t="str">
        <f>IFERROR(__xludf.DUMMYFUNCTION("""COMPUTED_VALUE"""),"iPhone 13, Starlight, 128GB, Logic Board Assy Rear System, ROW")</f>
        <v>iPhone 13, Starlight, 128GB, Logic Board Assy Rear System, ROW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0" t="str">
        <f t="shared" si="1"/>
        <v>January</v>
      </c>
      <c r="B369" s="11">
        <f>IFERROR(__xludf.DUMMYFUNCTION("""COMPUTED_VALUE"""),46049.0)</f>
        <v>46049</v>
      </c>
      <c r="C369" s="2" t="str">
        <f>IFERROR(__xludf.DUMMYFUNCTION("""COMPUTED_VALUE"""),"MOBILECARE - FESTIVE WALK ILOILO")</f>
        <v>MOBILECARE - FESTIVE WALK ILOILO</v>
      </c>
      <c r="D369" s="2" t="str">
        <f>IFERROR(__xludf.DUMMYFUNCTION("""COMPUTED_VALUE"""),"TA661-55210")</f>
        <v>TA661-55210</v>
      </c>
      <c r="E369" s="2" t="str">
        <f>IFERROR(__xludf.DUMMYFUNCTION("""COMPUTED_VALUE"""),"Cosmic Orange, 512GB, iPhone 17 Pro Max, ROW, CI/AR, Taiwan")</f>
        <v>Cosmic Orange, 512GB, iPhone 17 Pro Max, ROW, CI/AR, Taiwan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0" t="str">
        <f t="shared" si="1"/>
        <v>January</v>
      </c>
      <c r="B370" s="11">
        <f>IFERROR(__xludf.DUMMYFUNCTION("""COMPUTED_VALUE"""),46053.0)</f>
        <v>46053</v>
      </c>
      <c r="C370" s="2" t="str">
        <f>IFERROR(__xludf.DUMMYFUNCTION("""COMPUTED_VALUE"""),"MOBILECARE - FESTIVE WALK ILOILO")</f>
        <v>MOBILECARE - FESTIVE WALK ILOILO</v>
      </c>
      <c r="D370" s="2" t="str">
        <f>IFERROR(__xludf.DUMMYFUNCTION("""COMPUTED_VALUE"""),"PP661-23454")</f>
        <v>PP661-23454</v>
      </c>
      <c r="E370" s="2" t="str">
        <f>IFERROR(__xludf.DUMMYFUNCTION("""COMPUTED_VALUE"""),"iPhone 13, Midnight, 128GB, Logic Board Assy Rear System, ROW")</f>
        <v>iPhone 13, Midnight, 128GB, Logic Board Assy Rear System, ROW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0" t="str">
        <f t="shared" si="1"/>
        <v>January</v>
      </c>
      <c r="B371" s="11">
        <f>IFERROR(__xludf.DUMMYFUNCTION("""COMPUTED_VALUE"""),46049.0)</f>
        <v>46049</v>
      </c>
      <c r="C371" s="2" t="str">
        <f>IFERROR(__xludf.DUMMYFUNCTION("""COMPUTED_VALUE"""),"MOBILECARE - FESTIVE WALK ILOILO")</f>
        <v>MOBILECARE - FESTIVE WALK ILOILO</v>
      </c>
      <c r="D371" s="2" t="str">
        <f>IFERROR(__xludf.DUMMYFUNCTION("""COMPUTED_VALUE"""),"PP661-22980")</f>
        <v>PP661-22980</v>
      </c>
      <c r="E371" s="2" t="str">
        <f>IFERROR(__xludf.DUMMYFUNCTION("""COMPUTED_VALUE"""),"Midnight, 128 GB, iPhone 13, ROW, CI/AR, Philippines")</f>
        <v>Midnight, 128 GB, iPhone 13, ROW, CI/AR, Philippines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0" t="str">
        <f t="shared" si="1"/>
        <v>January</v>
      </c>
      <c r="B372" s="11">
        <f>IFERROR(__xludf.DUMMYFUNCTION("""COMPUTED_VALUE"""),46043.0)</f>
        <v>46043</v>
      </c>
      <c r="C372" s="2" t="str">
        <f>IFERROR(__xludf.DUMMYFUNCTION("""COMPUTED_VALUE"""),"MOBILECARE - FESTIVE WALK ILOILO")</f>
        <v>MOBILECARE - FESTIVE WALK ILOILO</v>
      </c>
      <c r="D372" s="2" t="str">
        <f>IFERROR(__xludf.DUMMYFUNCTION("""COMPUTED_VALUE"""),"PP661-23455")</f>
        <v>PP661-23455</v>
      </c>
      <c r="E372" s="2" t="str">
        <f>IFERROR(__xludf.DUMMYFUNCTION("""COMPUTED_VALUE"""),"iPhone 13, Starlight, 128GB, Logic Board Assy Rear System, ROW")</f>
        <v>iPhone 13, Starlight, 128GB, Logic Board Assy Rear System, ROW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0" t="str">
        <f t="shared" si="1"/>
        <v>January</v>
      </c>
      <c r="B373" s="11">
        <f>IFERROR(__xludf.DUMMYFUNCTION("""COMPUTED_VALUE"""),46033.0)</f>
        <v>46033</v>
      </c>
      <c r="C373" s="2" t="str">
        <f>IFERROR(__xludf.DUMMYFUNCTION("""COMPUTED_VALUE"""),"MOBILECARE - FESTIVE WALK ILOILO")</f>
        <v>MOBILECARE - FESTIVE WALK ILOILO</v>
      </c>
      <c r="D373" s="2" t="str">
        <f>IFERROR(__xludf.DUMMYFUNCTION("""COMPUTED_VALUE"""),"661-56050")</f>
        <v>661-56050</v>
      </c>
      <c r="E373" s="2" t="str">
        <f>IFERROR(__xludf.DUMMYFUNCTION("""COMPUTED_VALUE"""),"Display, iPhone 17 Pro Max")</f>
        <v>Display, iPhone 17 Pro Max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0" t="str">
        <f t="shared" si="1"/>
        <v>January</v>
      </c>
      <c r="B374" s="11">
        <f>IFERROR(__xludf.DUMMYFUNCTION("""COMPUTED_VALUE"""),46037.0)</f>
        <v>46037</v>
      </c>
      <c r="C374" s="2" t="str">
        <f>IFERROR(__xludf.DUMMYFUNCTION("""COMPUTED_VALUE"""),"MOBILECARE - FESTIVE WALK ILOILO")</f>
        <v>MOBILECARE - FESTIVE WALK ILOILO</v>
      </c>
      <c r="D374" s="2" t="str">
        <f>IFERROR(__xludf.DUMMYFUNCTION("""COMPUTED_VALUE"""),"661-21988")</f>
        <v>661-21988</v>
      </c>
      <c r="E374" s="2" t="str">
        <f>IFERROR(__xludf.DUMMYFUNCTION("""COMPUTED_VALUE"""),"Display, iPhone 13")</f>
        <v>Display, iPhone 13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0" t="str">
        <f t="shared" si="1"/>
        <v>January</v>
      </c>
      <c r="B375" s="11">
        <f>IFERROR(__xludf.DUMMYFUNCTION("""COMPUTED_VALUE"""),46043.0)</f>
        <v>46043</v>
      </c>
      <c r="C375" s="2" t="str">
        <f>IFERROR(__xludf.DUMMYFUNCTION("""COMPUTED_VALUE"""),"MOBILECARE - FESTIVE WALK ILOILO")</f>
        <v>MOBILECARE - FESTIVE WALK ILOILO</v>
      </c>
      <c r="D375" s="2" t="str">
        <f>IFERROR(__xludf.DUMMYFUNCTION("""COMPUTED_VALUE"""),"PP661-28868")</f>
        <v>PP661-28868</v>
      </c>
      <c r="E375" s="2" t="str">
        <f>IFERROR(__xludf.DUMMYFUNCTION("""COMPUTED_VALUE"""),"iPhone 14, Midnight, 128GB, Logic Board Assy Mid System, ROW")</f>
        <v>iPhone 14, Midnight, 128GB, Logic Board Assy Mid System, ROW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0" t="str">
        <f t="shared" si="1"/>
        <v>January</v>
      </c>
      <c r="B376" s="11">
        <f>IFERROR(__xludf.DUMMYFUNCTION("""COMPUTED_VALUE"""),46034.0)</f>
        <v>46034</v>
      </c>
      <c r="C376" s="2" t="str">
        <f>IFERROR(__xludf.DUMMYFUNCTION("""COMPUTED_VALUE"""),"MOBILECARE - FESTIVE WALK ILOILO")</f>
        <v>MOBILECARE - FESTIVE WALK ILOILO</v>
      </c>
      <c r="D376" s="2" t="str">
        <f>IFERROR(__xludf.DUMMYFUNCTION("""COMPUTED_VALUE"""),"661-30370")</f>
        <v>661-30370</v>
      </c>
      <c r="E376" s="2" t="str">
        <f>IFERROR(__xludf.DUMMYFUNCTION("""COMPUTED_VALUE"""),"Camera, iPhone 14")</f>
        <v>Camera, iPhone 14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0" t="str">
        <f t="shared" si="1"/>
        <v>January</v>
      </c>
      <c r="B377" s="11">
        <f>IFERROR(__xludf.DUMMYFUNCTION("""COMPUTED_VALUE"""),46028.0)</f>
        <v>46028</v>
      </c>
      <c r="C377" s="2" t="str">
        <f>IFERROR(__xludf.DUMMYFUNCTION("""COMPUTED_VALUE"""),"MOBILECARE - FESTIVE WALK ILOILO")</f>
        <v>MOBILECARE - FESTIVE WALK ILOILO</v>
      </c>
      <c r="D377" s="2" t="str">
        <f>IFERROR(__xludf.DUMMYFUNCTION("""COMPUTED_VALUE"""),"661-22309")</f>
        <v>661-22309</v>
      </c>
      <c r="E377" s="2" t="str">
        <f>IFERROR(__xludf.DUMMYFUNCTION("""COMPUTED_VALUE"""),"Display, iPhone 13 Pro Max")</f>
        <v>Display, iPhone 13 Pro Max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0" t="str">
        <f t="shared" si="1"/>
        <v>January</v>
      </c>
      <c r="B378" s="11">
        <f>IFERROR(__xludf.DUMMYFUNCTION("""COMPUTED_VALUE"""),46032.0)</f>
        <v>46032</v>
      </c>
      <c r="C378" s="2" t="str">
        <f>IFERROR(__xludf.DUMMYFUNCTION("""COMPUTED_VALUE"""),"MOBILECARE - FESTIVE WALK ILOILO")</f>
        <v>MOBILECARE - FESTIVE WALK ILOILO</v>
      </c>
      <c r="D378" s="2" t="str">
        <f>IFERROR(__xludf.DUMMYFUNCTION("""COMPUTED_VALUE"""),"661-21988")</f>
        <v>661-21988</v>
      </c>
      <c r="E378" s="2" t="str">
        <f>IFERROR(__xludf.DUMMYFUNCTION("""COMPUTED_VALUE"""),"Display, iPhone 13")</f>
        <v>Display, iPhone 13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0" t="str">
        <f t="shared" si="1"/>
        <v>January</v>
      </c>
      <c r="B379" s="11">
        <f>IFERROR(__xludf.DUMMYFUNCTION("""COMPUTED_VALUE"""),46042.0)</f>
        <v>46042</v>
      </c>
      <c r="C379" s="2" t="str">
        <f>IFERROR(__xludf.DUMMYFUNCTION("""COMPUTED_VALUE"""),"MOBILECARE - FESTIVE WALK ILOILO")</f>
        <v>MOBILECARE - FESTIVE WALK ILOILO</v>
      </c>
      <c r="D379" s="2" t="str">
        <f>IFERROR(__xludf.DUMMYFUNCTION("""COMPUTED_VALUE"""),"661-21991")</f>
        <v>661-21991</v>
      </c>
      <c r="E379" s="2" t="str">
        <f>IFERROR(__xludf.DUMMYFUNCTION("""COMPUTED_VALUE"""),"Battery, iPhone 13")</f>
        <v>Battery, iPhone 13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0" t="str">
        <f t="shared" si="1"/>
        <v>January</v>
      </c>
      <c r="B380" s="11">
        <f>IFERROR(__xludf.DUMMYFUNCTION("""COMPUTED_VALUE"""),46050.0)</f>
        <v>46050</v>
      </c>
      <c r="C380" s="2" t="str">
        <f>IFERROR(__xludf.DUMMYFUNCTION("""COMPUTED_VALUE"""),"MOBILECARE - FESTIVE WALK ILOILO")</f>
        <v>MOBILECARE - FESTIVE WALK ILOILO</v>
      </c>
      <c r="D380" s="2" t="str">
        <f>IFERROR(__xludf.DUMMYFUNCTION("""COMPUTED_VALUE"""),"PP661-23454")</f>
        <v>PP661-23454</v>
      </c>
      <c r="E380" s="2" t="str">
        <f>IFERROR(__xludf.DUMMYFUNCTION("""COMPUTED_VALUE"""),"iPhone 13, Midnight, 128GB, Logic Board Assy Rear System, ROW")</f>
        <v>iPhone 13, Midnight, 128GB, Logic Board Assy Rear System, ROW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0" t="str">
        <f t="shared" si="1"/>
        <v>January</v>
      </c>
      <c r="B381" s="11">
        <f>IFERROR(__xludf.DUMMYFUNCTION("""COMPUTED_VALUE"""),46031.0)</f>
        <v>46031</v>
      </c>
      <c r="C381" s="2" t="str">
        <f>IFERROR(__xludf.DUMMYFUNCTION("""COMPUTED_VALUE"""),"MOBILECARE - FESTIVE WALK ILOILO")</f>
        <v>MOBILECARE - FESTIVE WALK ILOILO</v>
      </c>
      <c r="D381" s="2" t="str">
        <f>IFERROR(__xludf.DUMMYFUNCTION("""COMPUTED_VALUE"""),"661-21988")</f>
        <v>661-21988</v>
      </c>
      <c r="E381" s="2" t="str">
        <f>IFERROR(__xludf.DUMMYFUNCTION("""COMPUTED_VALUE"""),"Display, iPhone 13")</f>
        <v>Display, iPhone 13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0" t="str">
        <f t="shared" si="1"/>
        <v>January</v>
      </c>
      <c r="B382" s="11">
        <f>IFERROR(__xludf.DUMMYFUNCTION("""COMPUTED_VALUE"""),46027.0)</f>
        <v>46027</v>
      </c>
      <c r="C382" s="2" t="str">
        <f>IFERROR(__xludf.DUMMYFUNCTION("""COMPUTED_VALUE"""),"MOBILECARE - FESTIVE WALK ILOILO")</f>
        <v>MOBILECARE - FESTIVE WALK ILOILO</v>
      </c>
      <c r="D382" s="2" t="str">
        <f>IFERROR(__xludf.DUMMYFUNCTION("""COMPUTED_VALUE"""),"661-17920")</f>
        <v>661-17920</v>
      </c>
      <c r="E382" s="2" t="str">
        <f>IFERROR(__xludf.DUMMYFUNCTION("""COMPUTED_VALUE"""),"Battery, iPhone 12 and 12 Pro")</f>
        <v>Battery, iPhone 12 and 12 Pro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0" t="str">
        <f t="shared" si="1"/>
        <v>January</v>
      </c>
      <c r="B383" s="11">
        <f>IFERROR(__xludf.DUMMYFUNCTION("""COMPUTED_VALUE"""),46044.0)</f>
        <v>46044</v>
      </c>
      <c r="C383" s="2" t="str">
        <f>IFERROR(__xludf.DUMMYFUNCTION("""COMPUTED_VALUE"""),"MOBILECARE - FESTIVE WALK ILOILO")</f>
        <v>MOBILECARE - FESTIVE WALK ILOILO</v>
      </c>
      <c r="D383" s="2" t="str">
        <f>IFERROR(__xludf.DUMMYFUNCTION("""COMPUTED_VALUE"""),"TA661-45323")</f>
        <v>TA661-45323</v>
      </c>
      <c r="E383" s="2" t="str">
        <f>IFERROR(__xludf.DUMMYFUNCTION("""COMPUTED_VALUE"""),"256GB, Desert Titanium, ROW, iPhone 16 Pro Max, Logic Board Assy Mid Sys")</f>
        <v>256GB, Desert Titanium, ROW, iPhone 16 Pro Max, Logic Board Assy Mid Sys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0" t="str">
        <f t="shared" si="1"/>
        <v>January</v>
      </c>
      <c r="B384" s="11">
        <f>IFERROR(__xludf.DUMMYFUNCTION("""COMPUTED_VALUE"""),46033.0)</f>
        <v>46033</v>
      </c>
      <c r="C384" s="2" t="str">
        <f>IFERROR(__xludf.DUMMYFUNCTION("""COMPUTED_VALUE"""),"MOBILECARE - FESTIVE WALK ILOILO")</f>
        <v>MOBILECARE - FESTIVE WALK ILOILO</v>
      </c>
      <c r="D384" s="2" t="str">
        <f>IFERROR(__xludf.DUMMYFUNCTION("""COMPUTED_VALUE"""),"661-21988")</f>
        <v>661-21988</v>
      </c>
      <c r="E384" s="2" t="str">
        <f>IFERROR(__xludf.DUMMYFUNCTION("""COMPUTED_VALUE"""),"Display, iPhone 13")</f>
        <v>Display, iPhone 13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0" t="str">
        <f t="shared" si="1"/>
        <v>January</v>
      </c>
      <c r="B385" s="11">
        <f>IFERROR(__xludf.DUMMYFUNCTION("""COMPUTED_VALUE"""),46046.0)</f>
        <v>46046</v>
      </c>
      <c r="C385" s="2" t="str">
        <f>IFERROR(__xludf.DUMMYFUNCTION("""COMPUTED_VALUE"""),"MOBILECARE - FESTIVE WALK ILOILO")</f>
        <v>MOBILECARE - FESTIVE WALK ILOILO</v>
      </c>
      <c r="D385" s="2" t="str">
        <f>IFERROR(__xludf.DUMMYFUNCTION("""COMPUTED_VALUE"""),"PP661-23455")</f>
        <v>PP661-23455</v>
      </c>
      <c r="E385" s="2" t="str">
        <f>IFERROR(__xludf.DUMMYFUNCTION("""COMPUTED_VALUE"""),"iPhone 13, Starlight, 128GB, Logic Board Assy Rear System, ROW")</f>
        <v>iPhone 13, Starlight, 128GB, Logic Board Assy Rear System, ROW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0" t="str">
        <f t="shared" si="1"/>
        <v>January</v>
      </c>
      <c r="B386" s="11">
        <f>IFERROR(__xludf.DUMMYFUNCTION("""COMPUTED_VALUE"""),46036.0)</f>
        <v>46036</v>
      </c>
      <c r="C386" s="2" t="str">
        <f>IFERROR(__xludf.DUMMYFUNCTION("""COMPUTED_VALUE"""),"MOBILECARE - FESTIVE WALK ILOILO")</f>
        <v>MOBILECARE - FESTIVE WALK ILOILO</v>
      </c>
      <c r="D386" s="2" t="str">
        <f>IFERROR(__xludf.DUMMYFUNCTION("""COMPUTED_VALUE"""),"661-44797")</f>
        <v>661-44797</v>
      </c>
      <c r="E386" s="2" t="str">
        <f>IFERROR(__xludf.DUMMYFUNCTION("""COMPUTED_VALUE"""),"Display, iPhone 16")</f>
        <v>Display, iPhone 16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0" t="str">
        <f t="shared" si="1"/>
        <v>January</v>
      </c>
      <c r="B387" s="11">
        <f>IFERROR(__xludf.DUMMYFUNCTION("""COMPUTED_VALUE"""),46043.0)</f>
        <v>46043</v>
      </c>
      <c r="C387" s="2" t="str">
        <f>IFERROR(__xludf.DUMMYFUNCTION("""COMPUTED_VALUE"""),"MOBILECARE - FESTIVE WALK ILOILO")</f>
        <v>MOBILECARE - FESTIVE WALK ILOILO</v>
      </c>
      <c r="D387" s="2" t="str">
        <f>IFERROR(__xludf.DUMMYFUNCTION("""COMPUTED_VALUE"""),"PP661-23455")</f>
        <v>PP661-23455</v>
      </c>
      <c r="E387" s="2" t="str">
        <f>IFERROR(__xludf.DUMMYFUNCTION("""COMPUTED_VALUE"""),"iPhone 13, Starlight, 128GB, Logic Board Assy Rear System, ROW")</f>
        <v>iPhone 13, Starlight, 128GB, Logic Board Assy Rear System, ROW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0" t="str">
        <f t="shared" si="1"/>
        <v>January</v>
      </c>
      <c r="B388" s="11">
        <f>IFERROR(__xludf.DUMMYFUNCTION("""COMPUTED_VALUE"""),46045.0)</f>
        <v>46045</v>
      </c>
      <c r="C388" s="2" t="str">
        <f>IFERROR(__xludf.DUMMYFUNCTION("""COMPUTED_VALUE"""),"MOBILECARE - FESTIVE WALK ILOILO")</f>
        <v>MOBILECARE - FESTIVE WALK ILOILO</v>
      </c>
      <c r="D388" s="2" t="str">
        <f>IFERROR(__xludf.DUMMYFUNCTION("""COMPUTED_VALUE"""),"PP661-22981")</f>
        <v>PP661-22981</v>
      </c>
      <c r="E388" s="2" t="str">
        <f>IFERROR(__xludf.DUMMYFUNCTION("""COMPUTED_VALUE"""),"Starlight, 128 GB, iPhone 13, ROW, CI/AR, Philippines")</f>
        <v>Starlight, 128 GB, iPhone 13, ROW, CI/AR, Philippines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0" t="str">
        <f t="shared" si="1"/>
        <v>January</v>
      </c>
      <c r="B389" s="11">
        <f>IFERROR(__xludf.DUMMYFUNCTION("""COMPUTED_VALUE"""),46042.0)</f>
        <v>46042</v>
      </c>
      <c r="C389" s="2" t="str">
        <f>IFERROR(__xludf.DUMMYFUNCTION("""COMPUTED_VALUE"""),"MOBILECARE - FESTIVE WALK ILOILO")</f>
        <v>MOBILECARE - FESTIVE WALK ILOILO</v>
      </c>
      <c r="D389" s="2" t="str">
        <f>IFERROR(__xludf.DUMMYFUNCTION("""COMPUTED_VALUE"""),"PP661-28868")</f>
        <v>PP661-28868</v>
      </c>
      <c r="E389" s="2" t="str">
        <f>IFERROR(__xludf.DUMMYFUNCTION("""COMPUTED_VALUE"""),"iPhone 14, Midnight, 128GB, Logic Board Assy Mid System, ROW")</f>
        <v>iPhone 14, Midnight, 128GB, Logic Board Assy Mid System, ROW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0" t="str">
        <f t="shared" si="1"/>
        <v>January</v>
      </c>
      <c r="B390" s="11">
        <f>IFERROR(__xludf.DUMMYFUNCTION("""COMPUTED_VALUE"""),46041.0)</f>
        <v>46041</v>
      </c>
      <c r="C390" s="2" t="str">
        <f>IFERROR(__xludf.DUMMYFUNCTION("""COMPUTED_VALUE"""),"MOBILECARE - FESTIVE WALK ILOILO")</f>
        <v>MOBILECARE - FESTIVE WALK ILOILO</v>
      </c>
      <c r="D390" s="2" t="str">
        <f>IFERROR(__xludf.DUMMYFUNCTION("""COMPUTED_VALUE"""),"Z661-55956")</f>
        <v>Z661-55956</v>
      </c>
      <c r="E390" s="2" t="str">
        <f>IFERROR(__xludf.DUMMYFUNCTION("""COMPUTED_VALUE"""),"Logic Board, 256GB, iPhone 17 Pro Max, ROW")</f>
        <v>Logic Board, 256GB, iPhone 17 Pro Max, ROW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0" t="str">
        <f t="shared" si="1"/>
        <v>January</v>
      </c>
      <c r="B391" s="11">
        <f>IFERROR(__xludf.DUMMYFUNCTION("""COMPUTED_VALUE"""),46035.0)</f>
        <v>46035</v>
      </c>
      <c r="C391" s="2" t="str">
        <f>IFERROR(__xludf.DUMMYFUNCTION("""COMPUTED_VALUE"""),"MOBILECARE - FESTIVE WALK ILOILO")</f>
        <v>MOBILECARE - FESTIVE WALK ILOILO</v>
      </c>
      <c r="D391" s="2" t="str">
        <f>IFERROR(__xludf.DUMMYFUNCTION("""COMPUTED_VALUE"""),"661-21988")</f>
        <v>661-21988</v>
      </c>
      <c r="E391" s="2" t="str">
        <f>IFERROR(__xludf.DUMMYFUNCTION("""COMPUTED_VALUE"""),"Display, iPhone 13")</f>
        <v>Display, iPhone 13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0" t="str">
        <f t="shared" si="1"/>
        <v>January</v>
      </c>
      <c r="B392" s="11">
        <f>IFERROR(__xludf.DUMMYFUNCTION("""COMPUTED_VALUE"""),46026.0)</f>
        <v>46026</v>
      </c>
      <c r="C392" s="2" t="str">
        <f>IFERROR(__xludf.DUMMYFUNCTION("""COMPUTED_VALUE"""),"MOBILECARE - FESTIVE WALK ILOILO")</f>
        <v>MOBILECARE - FESTIVE WALK ILOILO</v>
      </c>
      <c r="D392" s="2" t="str">
        <f>IFERROR(__xludf.DUMMYFUNCTION("""COMPUTED_VALUE"""),"661-13624")</f>
        <v>661-13624</v>
      </c>
      <c r="E392" s="2" t="str">
        <f>IFERROR(__xludf.DUMMYFUNCTION("""COMPUTED_VALUE"""),"Battery, iPhone 11 Pro Max")</f>
        <v>Battery, iPhone 11 Pro Max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0" t="str">
        <f t="shared" si="1"/>
        <v>January</v>
      </c>
      <c r="B393" s="11">
        <f>IFERROR(__xludf.DUMMYFUNCTION("""COMPUTED_VALUE"""),46046.0)</f>
        <v>46046</v>
      </c>
      <c r="C393" s="2" t="str">
        <f>IFERROR(__xludf.DUMMYFUNCTION("""COMPUTED_VALUE"""),"MOBILECARE - FESTIVE WALK ILOILO")</f>
        <v>MOBILECARE - FESTIVE WALK ILOILO</v>
      </c>
      <c r="D393" s="2" t="str">
        <f>IFERROR(__xludf.DUMMYFUNCTION("""COMPUTED_VALUE"""),"PP661-23454")</f>
        <v>PP661-23454</v>
      </c>
      <c r="E393" s="2" t="str">
        <f>IFERROR(__xludf.DUMMYFUNCTION("""COMPUTED_VALUE"""),"iPhone 13, Midnight, 128GB, Logic Board Assy Rear System, ROW")</f>
        <v>iPhone 13, Midnight, 128GB, Logic Board Assy Rear System, ROW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0" t="str">
        <f t="shared" si="1"/>
        <v>January</v>
      </c>
      <c r="B394" s="11">
        <f>IFERROR(__xludf.DUMMYFUNCTION("""COMPUTED_VALUE"""),46030.0)</f>
        <v>46030</v>
      </c>
      <c r="C394" s="2" t="str">
        <f>IFERROR(__xludf.DUMMYFUNCTION("""COMPUTED_VALUE"""),"MOBILECARE - FESTIVE WALK ILOILO")</f>
        <v>MOBILECARE - FESTIVE WALK ILOILO</v>
      </c>
      <c r="D394" s="2" t="str">
        <f>IFERROR(__xludf.DUMMYFUNCTION("""COMPUTED_VALUE"""),"661-36915")</f>
        <v>661-36915</v>
      </c>
      <c r="E394" s="2" t="str">
        <f>IFERROR(__xludf.DUMMYFUNCTION("""COMPUTED_VALUE"""),"Display, iPhone 15 Pro Max")</f>
        <v>Display, iPhone 15 Pro Max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0" t="str">
        <f t="shared" si="1"/>
        <v>January</v>
      </c>
      <c r="B395" s="11">
        <f>IFERROR(__xludf.DUMMYFUNCTION("""COMPUTED_VALUE"""),46026.0)</f>
        <v>46026</v>
      </c>
      <c r="C395" s="2" t="str">
        <f>IFERROR(__xludf.DUMMYFUNCTION("""COMPUTED_VALUE"""),"MOBILECARE - FESTIVE WALK ILOILO")</f>
        <v>MOBILECARE - FESTIVE WALK ILOILO</v>
      </c>
      <c r="D395" s="2" t="str">
        <f>IFERROR(__xludf.DUMMYFUNCTION("""COMPUTED_VALUE"""),"661-30366")</f>
        <v>661-30366</v>
      </c>
      <c r="E395" s="2" t="str">
        <f>IFERROR(__xludf.DUMMYFUNCTION("""COMPUTED_VALUE"""),"Display, iPhone 14")</f>
        <v>Display, iPhone 14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0" t="str">
        <f t="shared" si="1"/>
        <v>January</v>
      </c>
      <c r="B396" s="11">
        <f>IFERROR(__xludf.DUMMYFUNCTION("""COMPUTED_VALUE"""),46026.0)</f>
        <v>46026</v>
      </c>
      <c r="C396" s="2" t="str">
        <f>IFERROR(__xludf.DUMMYFUNCTION("""COMPUTED_VALUE"""),"MOBILECARE - FESTIVE WALK ILOILO")</f>
        <v>MOBILECARE - FESTIVE WALK ILOILO</v>
      </c>
      <c r="D396" s="2" t="str">
        <f>IFERROR(__xludf.DUMMYFUNCTION("""COMPUTED_VALUE"""),"661-32232")</f>
        <v>661-32232</v>
      </c>
      <c r="E396" s="2" t="str">
        <f>IFERROR(__xludf.DUMMYFUNCTION("""COMPUTED_VALUE"""),"Rear Camera, iPhone 13/mini, MICN")</f>
        <v>Rear Camera, iPhone 13/mini, MICN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0" t="str">
        <f t="shared" si="1"/>
        <v>January</v>
      </c>
      <c r="B397" s="11">
        <f>IFERROR(__xludf.DUMMYFUNCTION("""COMPUTED_VALUE"""),46049.0)</f>
        <v>46049</v>
      </c>
      <c r="C397" s="2" t="str">
        <f>IFERROR(__xludf.DUMMYFUNCTION("""COMPUTED_VALUE"""),"MOBILECARE - FESTIVE WALK ILOILO")</f>
        <v>MOBILECARE - FESTIVE WALK ILOILO</v>
      </c>
      <c r="D397" s="2" t="str">
        <f>IFERROR(__xludf.DUMMYFUNCTION("""COMPUTED_VALUE"""),"PP661-28869")</f>
        <v>PP661-28869</v>
      </c>
      <c r="E397" s="2" t="str">
        <f>IFERROR(__xludf.DUMMYFUNCTION("""COMPUTED_VALUE"""),"iPhone 14, Starlight, 128GB, Logic Board Assy Mid System, ROW")</f>
        <v>iPhone 14, Starlight, 128GB, Logic Board Assy Mid System, ROW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0" t="str">
        <f t="shared" si="1"/>
        <v>January</v>
      </c>
      <c r="B398" s="11">
        <f>IFERROR(__xludf.DUMMYFUNCTION("""COMPUTED_VALUE"""),46040.0)</f>
        <v>46040</v>
      </c>
      <c r="C398" s="2" t="str">
        <f>IFERROR(__xludf.DUMMYFUNCTION("""COMPUTED_VALUE"""),"MOBILECARE - FESTIVE WALK ILOILO")</f>
        <v>MOBILECARE - FESTIVE WALK ILOILO</v>
      </c>
      <c r="D398" s="2" t="str">
        <f>IFERROR(__xludf.DUMMYFUNCTION("""COMPUTED_VALUE"""),"TA661-36700")</f>
        <v>TA661-36700</v>
      </c>
      <c r="E398" s="2" t="str">
        <f>IFERROR(__xludf.DUMMYFUNCTION("""COMPUTED_VALUE"""),"iPhone 15, Green, 256GB, Logic Board Assy Mid System, ROW")</f>
        <v>iPhone 15, Green, 256GB, Logic Board Assy Mid System, ROW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0" t="str">
        <f t="shared" si="1"/>
        <v>January</v>
      </c>
      <c r="B399" s="11">
        <f>IFERROR(__xludf.DUMMYFUNCTION("""COMPUTED_VALUE"""),46026.0)</f>
        <v>46026</v>
      </c>
      <c r="C399" s="2" t="str">
        <f>IFERROR(__xludf.DUMMYFUNCTION("""COMPUTED_VALUE"""),"MOBILECARE - FESTIVE WALK ILOILO")</f>
        <v>MOBILECARE - FESTIVE WALK ILOILO</v>
      </c>
      <c r="D399" s="2" t="str">
        <f>IFERROR(__xludf.DUMMYFUNCTION("""COMPUTED_VALUE"""),"661-21991")</f>
        <v>661-21991</v>
      </c>
      <c r="E399" s="2" t="str">
        <f>IFERROR(__xludf.DUMMYFUNCTION("""COMPUTED_VALUE"""),"Battery, iPhone 13")</f>
        <v>Battery, iPhone 13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0" t="str">
        <f t="shared" si="1"/>
        <v>January</v>
      </c>
      <c r="B400" s="11">
        <f>IFERROR(__xludf.DUMMYFUNCTION("""COMPUTED_VALUE"""),46026.0)</f>
        <v>46026</v>
      </c>
      <c r="C400" s="2" t="str">
        <f>IFERROR(__xludf.DUMMYFUNCTION("""COMPUTED_VALUE"""),"MOBILECARE - FESTIVE WALK ILOILO")</f>
        <v>MOBILECARE - FESTIVE WALK ILOILO</v>
      </c>
      <c r="D400" s="2" t="str">
        <f>IFERROR(__xludf.DUMMYFUNCTION("""COMPUTED_VALUE"""),"661-21988")</f>
        <v>661-21988</v>
      </c>
      <c r="E400" s="2" t="str">
        <f>IFERROR(__xludf.DUMMYFUNCTION("""COMPUTED_VALUE"""),"Display, iPhone 13")</f>
        <v>Display, iPhone 13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0" t="str">
        <f t="shared" si="1"/>
        <v>January</v>
      </c>
      <c r="B401" s="11">
        <f>IFERROR(__xludf.DUMMYFUNCTION("""COMPUTED_VALUE"""),46039.0)</f>
        <v>46039</v>
      </c>
      <c r="C401" s="2" t="str">
        <f>IFERROR(__xludf.DUMMYFUNCTION("""COMPUTED_VALUE"""),"MOBILECARE - FESTIVE WALK ILOILO")</f>
        <v>MOBILECARE - FESTIVE WALK ILOILO</v>
      </c>
      <c r="D401" s="2" t="str">
        <f>IFERROR(__xludf.DUMMYFUNCTION("""COMPUTED_VALUE"""),"PP661-23454")</f>
        <v>PP661-23454</v>
      </c>
      <c r="E401" s="2" t="str">
        <f>IFERROR(__xludf.DUMMYFUNCTION("""COMPUTED_VALUE"""),"iPhone 13, Midnight, 128GB, Logic Board Assy Rear System, ROW")</f>
        <v>iPhone 13, Midnight, 128GB, Logic Board Assy Rear System, ROW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0" t="str">
        <f t="shared" si="1"/>
        <v>January</v>
      </c>
      <c r="B402" s="11">
        <f>IFERROR(__xludf.DUMMYFUNCTION("""COMPUTED_VALUE"""),46042.0)</f>
        <v>46042</v>
      </c>
      <c r="C402" s="2" t="str">
        <f>IFERROR(__xludf.DUMMYFUNCTION("""COMPUTED_VALUE"""),"MOBILECARE - FESTIVE WALK ILOILO")</f>
        <v>MOBILECARE - FESTIVE WALK ILOILO</v>
      </c>
      <c r="D402" s="2" t="str">
        <f>IFERROR(__xludf.DUMMYFUNCTION("""COMPUTED_VALUE"""),"PP661-23455")</f>
        <v>PP661-23455</v>
      </c>
      <c r="E402" s="2" t="str">
        <f>IFERROR(__xludf.DUMMYFUNCTION("""COMPUTED_VALUE"""),"iPhone 13, Starlight, 128GB, Logic Board Assy Rear System, ROW")</f>
        <v>iPhone 13, Starlight, 128GB, Logic Board Assy Rear System, ROW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0" t="str">
        <f t="shared" si="1"/>
        <v>January</v>
      </c>
      <c r="B403" s="11">
        <f>IFERROR(__xludf.DUMMYFUNCTION("""COMPUTED_VALUE"""),46043.0)</f>
        <v>46043</v>
      </c>
      <c r="C403" s="2" t="str">
        <f>IFERROR(__xludf.DUMMYFUNCTION("""COMPUTED_VALUE"""),"MOBILECARE - FESTIVE WALK ILOILO")</f>
        <v>MOBILECARE - FESTIVE WALK ILOILO</v>
      </c>
      <c r="D403" s="2" t="str">
        <f>IFERROR(__xludf.DUMMYFUNCTION("""COMPUTED_VALUE"""),"PP661-23455")</f>
        <v>PP661-23455</v>
      </c>
      <c r="E403" s="2" t="str">
        <f>IFERROR(__xludf.DUMMYFUNCTION("""COMPUTED_VALUE"""),"iPhone 13, Starlight, 128GB, Logic Board Assy Rear System, ROW")</f>
        <v>iPhone 13, Starlight, 128GB, Logic Board Assy Rear System, ROW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0" t="str">
        <f t="shared" si="1"/>
        <v>January</v>
      </c>
      <c r="B404" s="11">
        <f>IFERROR(__xludf.DUMMYFUNCTION("""COMPUTED_VALUE"""),46039.0)</f>
        <v>46039</v>
      </c>
      <c r="C404" s="2" t="str">
        <f>IFERROR(__xludf.DUMMYFUNCTION("""COMPUTED_VALUE"""),"MOBILECARE - FESTIVE WALK ILOILO")</f>
        <v>MOBILECARE - FESTIVE WALK ILOILO</v>
      </c>
      <c r="D404" s="2" t="str">
        <f>IFERROR(__xludf.DUMMYFUNCTION("""COMPUTED_VALUE"""),"PP661-23454")</f>
        <v>PP661-23454</v>
      </c>
      <c r="E404" s="2" t="str">
        <f>IFERROR(__xludf.DUMMYFUNCTION("""COMPUTED_VALUE"""),"iPhone 13, Midnight, 128GB, Logic Board Assy Rear System, ROW")</f>
        <v>iPhone 13, Midnight, 128GB, Logic Board Assy Rear System, ROW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0" t="str">
        <f t="shared" si="1"/>
        <v>January</v>
      </c>
      <c r="B405" s="11">
        <f>IFERROR(__xludf.DUMMYFUNCTION("""COMPUTED_VALUE"""),46042.0)</f>
        <v>46042</v>
      </c>
      <c r="C405" s="2" t="str">
        <f>IFERROR(__xludf.DUMMYFUNCTION("""COMPUTED_VALUE"""),"MOBILECARE - FESTIVE WALK ILOILO")</f>
        <v>MOBILECARE - FESTIVE WALK ILOILO</v>
      </c>
      <c r="D405" s="2" t="str">
        <f>IFERROR(__xludf.DUMMYFUNCTION("""COMPUTED_VALUE"""),"PP661-22980")</f>
        <v>PP661-22980</v>
      </c>
      <c r="E405" s="2" t="str">
        <f>IFERROR(__xludf.DUMMYFUNCTION("""COMPUTED_VALUE"""),"Midnight, 128 GB, iPhone 13, ROW, CI/AR, Philippines")</f>
        <v>Midnight, 128 GB, iPhone 13, ROW, CI/AR, Philippines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0" t="str">
        <f t="shared" si="1"/>
        <v>January</v>
      </c>
      <c r="B406" s="11">
        <f>IFERROR(__xludf.DUMMYFUNCTION("""COMPUTED_VALUE"""),46035.0)</f>
        <v>46035</v>
      </c>
      <c r="C406" s="2" t="str">
        <f>IFERROR(__xludf.DUMMYFUNCTION("""COMPUTED_VALUE"""),"MOBILECARE - FESTIVE WALK ILOILO")</f>
        <v>MOBILECARE - FESTIVE WALK ILOILO</v>
      </c>
      <c r="D406" s="2" t="str">
        <f>IFERROR(__xludf.DUMMYFUNCTION("""COMPUTED_VALUE"""),"PP661-22981")</f>
        <v>PP661-22981</v>
      </c>
      <c r="E406" s="2" t="str">
        <f>IFERROR(__xludf.DUMMYFUNCTION("""COMPUTED_VALUE"""),"Starlight, 128 GB, iPhone 13, ROW, CI/AR, Philippines")</f>
        <v>Starlight, 128 GB, iPhone 13, ROW, CI/AR, Philippines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0" t="str">
        <f t="shared" si="1"/>
        <v>January</v>
      </c>
      <c r="B407" s="11">
        <f>IFERROR(__xludf.DUMMYFUNCTION("""COMPUTED_VALUE"""),46036.0)</f>
        <v>46036</v>
      </c>
      <c r="C407" s="2" t="str">
        <f>IFERROR(__xludf.DUMMYFUNCTION("""COMPUTED_VALUE"""),"MOBILECARE - FESTIVE WALK ILOILO")</f>
        <v>MOBILECARE - FESTIVE WALK ILOILO</v>
      </c>
      <c r="D407" s="2" t="str">
        <f>IFERROR(__xludf.DUMMYFUNCTION("""COMPUTED_VALUE"""),"PP661-23454")</f>
        <v>PP661-23454</v>
      </c>
      <c r="E407" s="2" t="str">
        <f>IFERROR(__xludf.DUMMYFUNCTION("""COMPUTED_VALUE"""),"iPhone 13, Midnight, 128GB, Logic Board Assy Rear System, ROW")</f>
        <v>iPhone 13, Midnight, 128GB, Logic Board Assy Rear System, ROW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0" t="str">
        <f t="shared" si="1"/>
        <v>January</v>
      </c>
      <c r="B408" s="11">
        <f>IFERROR(__xludf.DUMMYFUNCTION("""COMPUTED_VALUE"""),46036.0)</f>
        <v>46036</v>
      </c>
      <c r="C408" s="2" t="str">
        <f>IFERROR(__xludf.DUMMYFUNCTION("""COMPUTED_VALUE"""),"MOBILECARE - FESTIVE WALK ILOILO")</f>
        <v>MOBILECARE - FESTIVE WALK ILOILO</v>
      </c>
      <c r="D408" s="2" t="str">
        <f>IFERROR(__xludf.DUMMYFUNCTION("""COMPUTED_VALUE"""),"TA661-36291")</f>
        <v>TA661-36291</v>
      </c>
      <c r="E408" s="2" t="str">
        <f>IFERROR(__xludf.DUMMYFUNCTION("""COMPUTED_VALUE"""),"Black, iPhone 15, 256GB, ROW, CI/AR, Taiwan")</f>
        <v>Black, iPhone 15, 256GB, ROW, CI/AR, Taiwan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0" t="str">
        <f t="shared" si="1"/>
        <v>January</v>
      </c>
      <c r="B409" s="11">
        <f>IFERROR(__xludf.DUMMYFUNCTION("""COMPUTED_VALUE"""),46042.0)</f>
        <v>46042</v>
      </c>
      <c r="C409" s="2" t="str">
        <f>IFERROR(__xludf.DUMMYFUNCTION("""COMPUTED_VALUE"""),"MOBILECARE - FESTIVE WALK ILOILO")</f>
        <v>MOBILECARE - FESTIVE WALK ILOILO</v>
      </c>
      <c r="D409" s="2" t="str">
        <f>IFERROR(__xludf.DUMMYFUNCTION("""COMPUTED_VALUE"""),"PP661-23455")</f>
        <v>PP661-23455</v>
      </c>
      <c r="E409" s="2" t="str">
        <f>IFERROR(__xludf.DUMMYFUNCTION("""COMPUTED_VALUE"""),"iPhone 13, Starlight, 128GB, Logic Board Assy Rear System, ROW")</f>
        <v>iPhone 13, Starlight, 128GB, Logic Board Assy Rear System, ROW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0" t="str">
        <f t="shared" si="1"/>
        <v>January</v>
      </c>
      <c r="B410" s="11">
        <f>IFERROR(__xludf.DUMMYFUNCTION("""COMPUTED_VALUE"""),46038.0)</f>
        <v>46038</v>
      </c>
      <c r="C410" s="2" t="str">
        <f>IFERROR(__xludf.DUMMYFUNCTION("""COMPUTED_VALUE"""),"MOBILECARE - FESTIVE WALK ILOILO")</f>
        <v>MOBILECARE - FESTIVE WALK ILOILO</v>
      </c>
      <c r="D410" s="2" t="str">
        <f>IFERROR(__xludf.DUMMYFUNCTION("""COMPUTED_VALUE"""),"PP661-23455")</f>
        <v>PP661-23455</v>
      </c>
      <c r="E410" s="2" t="str">
        <f>IFERROR(__xludf.DUMMYFUNCTION("""COMPUTED_VALUE"""),"iPhone 13, Starlight, 128GB, Logic Board Assy Rear System, ROW")</f>
        <v>iPhone 13, Starlight, 128GB, Logic Board Assy Rear System, ROW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0" t="str">
        <f t="shared" si="1"/>
        <v>January</v>
      </c>
      <c r="B411" s="11">
        <f>IFERROR(__xludf.DUMMYFUNCTION("""COMPUTED_VALUE"""),46037.0)</f>
        <v>46037</v>
      </c>
      <c r="C411" s="2" t="str">
        <f>IFERROR(__xludf.DUMMYFUNCTION("""COMPUTED_VALUE"""),"MOBILECARE - FESTIVE WALK ILOILO")</f>
        <v>MOBILECARE - FESTIVE WALK ILOILO</v>
      </c>
      <c r="D411" s="2" t="str">
        <f>IFERROR(__xludf.DUMMYFUNCTION("""COMPUTED_VALUE"""),"PP661-23455")</f>
        <v>PP661-23455</v>
      </c>
      <c r="E411" s="2" t="str">
        <f>IFERROR(__xludf.DUMMYFUNCTION("""COMPUTED_VALUE"""),"iPhone 13, Starlight, 128GB, Logic Board Assy Rear System, ROW")</f>
        <v>iPhone 13, Starlight, 128GB, Logic Board Assy Rear System, ROW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0" t="str">
        <f t="shared" si="1"/>
        <v>January</v>
      </c>
      <c r="B412" s="11">
        <f>IFERROR(__xludf.DUMMYFUNCTION("""COMPUTED_VALUE"""),46038.0)</f>
        <v>46038</v>
      </c>
      <c r="C412" s="2" t="str">
        <f>IFERROR(__xludf.DUMMYFUNCTION("""COMPUTED_VALUE"""),"MOBILECARE - FESTIVE WALK ILOILO")</f>
        <v>MOBILECARE - FESTIVE WALK ILOILO</v>
      </c>
      <c r="D412" s="2" t="str">
        <f>IFERROR(__xludf.DUMMYFUNCTION("""COMPUTED_VALUE"""),"TA661-36696")</f>
        <v>TA661-36696</v>
      </c>
      <c r="E412" s="2" t="str">
        <f>IFERROR(__xludf.DUMMYFUNCTION("""COMPUTED_VALUE"""),"iPhone 15, Black, 256GB, Logic Board Assy Mid System, ROW")</f>
        <v>iPhone 15, Black, 256GB, Logic Board Assy Mid System, ROW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0" t="str">
        <f t="shared" si="1"/>
        <v>January</v>
      </c>
      <c r="B413" s="11">
        <f>IFERROR(__xludf.DUMMYFUNCTION("""COMPUTED_VALUE"""),46033.0)</f>
        <v>46033</v>
      </c>
      <c r="C413" s="2" t="str">
        <f>IFERROR(__xludf.DUMMYFUNCTION("""COMPUTED_VALUE"""),"MOBILECARE - FESTIVE WALK ILOILO")</f>
        <v>MOBILECARE - FESTIVE WALK ILOILO</v>
      </c>
      <c r="D413" s="2" t="str">
        <f>IFERROR(__xludf.DUMMYFUNCTION("""COMPUTED_VALUE"""),"PP661-28868")</f>
        <v>PP661-28868</v>
      </c>
      <c r="E413" s="2" t="str">
        <f>IFERROR(__xludf.DUMMYFUNCTION("""COMPUTED_VALUE"""),"iPhone 14, Midnight, 128GB, Logic Board Assy Mid System, ROW")</f>
        <v>iPhone 14, Midnight, 128GB, Logic Board Assy Mid System, ROW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0" t="str">
        <f t="shared" si="1"/>
        <v>January</v>
      </c>
      <c r="B414" s="11">
        <f>IFERROR(__xludf.DUMMYFUNCTION("""COMPUTED_VALUE"""),46031.0)</f>
        <v>46031</v>
      </c>
      <c r="C414" s="2" t="str">
        <f>IFERROR(__xludf.DUMMYFUNCTION("""COMPUTED_VALUE"""),"MOBILECARE - FESTIVE WALK ILOILO")</f>
        <v>MOBILECARE - FESTIVE WALK ILOILO</v>
      </c>
      <c r="D414" s="2" t="str">
        <f>IFERROR(__xludf.DUMMYFUNCTION("""COMPUTED_VALUE"""),"PP661-23455")</f>
        <v>PP661-23455</v>
      </c>
      <c r="E414" s="2" t="str">
        <f>IFERROR(__xludf.DUMMYFUNCTION("""COMPUTED_VALUE"""),"iPhone 13, Starlight, 128GB, Logic Board Assy Rear System, ROW")</f>
        <v>iPhone 13, Starlight, 128GB, Logic Board Assy Rear System, ROW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0" t="str">
        <f t="shared" si="1"/>
        <v>January</v>
      </c>
      <c r="B415" s="11">
        <f>IFERROR(__xludf.DUMMYFUNCTION("""COMPUTED_VALUE"""),46025.0)</f>
        <v>46025</v>
      </c>
      <c r="C415" s="2" t="str">
        <f>IFERROR(__xludf.DUMMYFUNCTION("""COMPUTED_VALUE"""),"MOBILECARE - FESTIVE WALK ILOILO")</f>
        <v>MOBILECARE - FESTIVE WALK ILOILO</v>
      </c>
      <c r="D415" s="2" t="str">
        <f>IFERROR(__xludf.DUMMYFUNCTION("""COMPUTED_VALUE"""),"PP661-23454")</f>
        <v>PP661-23454</v>
      </c>
      <c r="E415" s="2" t="str">
        <f>IFERROR(__xludf.DUMMYFUNCTION("""COMPUTED_VALUE"""),"iPhone 13, Midnight, 128GB, Logic Board Assy Rear System, ROW")</f>
        <v>iPhone 13, Midnight, 128GB, Logic Board Assy Rear System, ROW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0" t="str">
        <f t="shared" si="1"/>
        <v>January</v>
      </c>
      <c r="B416" s="11">
        <f>IFERROR(__xludf.DUMMYFUNCTION("""COMPUTED_VALUE"""),46039.0)</f>
        <v>46039</v>
      </c>
      <c r="C416" s="2" t="str">
        <f>IFERROR(__xludf.DUMMYFUNCTION("""COMPUTED_VALUE"""),"MOBILECARE - FESTIVE WALK ILOILO")</f>
        <v>MOBILECARE - FESTIVE WALK ILOILO</v>
      </c>
      <c r="D416" s="2" t="str">
        <f>IFERROR(__xludf.DUMMYFUNCTION("""COMPUTED_VALUE"""),"661-21991")</f>
        <v>661-21991</v>
      </c>
      <c r="E416" s="2" t="str">
        <f>IFERROR(__xludf.DUMMYFUNCTION("""COMPUTED_VALUE"""),"Battery, iPhone 13")</f>
        <v>Battery, iPhone 13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0" t="str">
        <f t="shared" si="1"/>
        <v>January</v>
      </c>
      <c r="B417" s="11">
        <f>IFERROR(__xludf.DUMMYFUNCTION("""COMPUTED_VALUE"""),46027.0)</f>
        <v>46027</v>
      </c>
      <c r="C417" s="2" t="str">
        <f>IFERROR(__xludf.DUMMYFUNCTION("""COMPUTED_VALUE"""),"MOBILECARE - FESTIVE WALK ILOILO")</f>
        <v>MOBILECARE - FESTIVE WALK ILOILO</v>
      </c>
      <c r="D417" s="2" t="str">
        <f>IFERROR(__xludf.DUMMYFUNCTION("""COMPUTED_VALUE"""),"PP661-23454")</f>
        <v>PP661-23454</v>
      </c>
      <c r="E417" s="2" t="str">
        <f>IFERROR(__xludf.DUMMYFUNCTION("""COMPUTED_VALUE"""),"iPhone 13, Midnight, 128GB, Logic Board Assy Rear System, ROW")</f>
        <v>iPhone 13, Midnight, 128GB, Logic Board Assy Rear System, ROW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0" t="str">
        <f t="shared" si="1"/>
        <v>January</v>
      </c>
      <c r="B418" s="11">
        <f>IFERROR(__xludf.DUMMYFUNCTION("""COMPUTED_VALUE"""),46027.0)</f>
        <v>46027</v>
      </c>
      <c r="C418" s="2" t="str">
        <f>IFERROR(__xludf.DUMMYFUNCTION("""COMPUTED_VALUE"""),"MOBILECARE - FESTIVE WALK ILOILO")</f>
        <v>MOBILECARE - FESTIVE WALK ILOILO</v>
      </c>
      <c r="D418" s="2" t="str">
        <f>IFERROR(__xludf.DUMMYFUNCTION("""COMPUTED_VALUE"""),"661-21988")</f>
        <v>661-21988</v>
      </c>
      <c r="E418" s="2" t="str">
        <f>IFERROR(__xludf.DUMMYFUNCTION("""COMPUTED_VALUE"""),"Display, iPhone 13")</f>
        <v>Display, iPhone 13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0" t="str">
        <f t="shared" si="1"/>
        <v>January</v>
      </c>
      <c r="B419" s="11">
        <f>IFERROR(__xludf.DUMMYFUNCTION("""COMPUTED_VALUE"""),46025.0)</f>
        <v>46025</v>
      </c>
      <c r="C419" s="2" t="str">
        <f>IFERROR(__xludf.DUMMYFUNCTION("""COMPUTED_VALUE"""),"MOBILECARE - FESTIVE WALK ILOILO")</f>
        <v>MOBILECARE - FESTIVE WALK ILOILO</v>
      </c>
      <c r="D419" s="2" t="str">
        <f>IFERROR(__xludf.DUMMYFUNCTION("""COMPUTED_VALUE"""),"PP661-23455")</f>
        <v>PP661-23455</v>
      </c>
      <c r="E419" s="2" t="str">
        <f>IFERROR(__xludf.DUMMYFUNCTION("""COMPUTED_VALUE"""),"iPhone 13, Starlight, 128GB, Logic Board Assy Rear System, ROW")</f>
        <v>iPhone 13, Starlight, 128GB, Logic Board Assy Rear System, ROW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0" t="str">
        <f t="shared" si="1"/>
        <v>January</v>
      </c>
      <c r="B420" s="11">
        <f>IFERROR(__xludf.DUMMYFUNCTION("""COMPUTED_VALUE"""),46028.0)</f>
        <v>46028</v>
      </c>
      <c r="C420" s="2" t="str">
        <f>IFERROR(__xludf.DUMMYFUNCTION("""COMPUTED_VALUE"""),"MOBILECARE - FESTIVE WALK ILOILO")</f>
        <v>MOBILECARE - FESTIVE WALK ILOILO</v>
      </c>
      <c r="D420" s="2" t="str">
        <f>IFERROR(__xludf.DUMMYFUNCTION("""COMPUTED_VALUE"""),"PP661-23455")</f>
        <v>PP661-23455</v>
      </c>
      <c r="E420" s="2" t="str">
        <f>IFERROR(__xludf.DUMMYFUNCTION("""COMPUTED_VALUE"""),"iPhone 13, Starlight, 128GB, Logic Board Assy Rear System, ROW")</f>
        <v>iPhone 13, Starlight, 128GB, Logic Board Assy Rear System, ROW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0" t="str">
        <f t="shared" si="1"/>
        <v>January</v>
      </c>
      <c r="B421" s="11">
        <f>IFERROR(__xludf.DUMMYFUNCTION("""COMPUTED_VALUE"""),46028.0)</f>
        <v>46028</v>
      </c>
      <c r="C421" s="2" t="str">
        <f>IFERROR(__xludf.DUMMYFUNCTION("""COMPUTED_VALUE"""),"MOBILECARE - FESTIVE WALK ILOILO")</f>
        <v>MOBILECARE - FESTIVE WALK ILOILO</v>
      </c>
      <c r="D421" s="2" t="str">
        <f>IFERROR(__xludf.DUMMYFUNCTION("""COMPUTED_VALUE"""),"PP661-23455")</f>
        <v>PP661-23455</v>
      </c>
      <c r="E421" s="2" t="str">
        <f>IFERROR(__xludf.DUMMYFUNCTION("""COMPUTED_VALUE"""),"iPhone 13, Starlight, 128GB, Logic Board Assy Rear System, ROW")</f>
        <v>iPhone 13, Starlight, 128GB, Logic Board Assy Rear System, ROW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0" t="str">
        <f t="shared" si="1"/>
        <v>January</v>
      </c>
      <c r="B422" s="11">
        <f>IFERROR(__xludf.DUMMYFUNCTION("""COMPUTED_VALUE"""),46028.0)</f>
        <v>46028</v>
      </c>
      <c r="C422" s="2" t="str">
        <f>IFERROR(__xludf.DUMMYFUNCTION("""COMPUTED_VALUE"""),"MOBILECARE - FESTIVE WALK ILOILO")</f>
        <v>MOBILECARE - FESTIVE WALK ILOILO</v>
      </c>
      <c r="D422" s="2" t="str">
        <f>IFERROR(__xludf.DUMMYFUNCTION("""COMPUTED_VALUE"""),"TA661-36697")</f>
        <v>TA661-36697</v>
      </c>
      <c r="E422" s="2" t="str">
        <f>IFERROR(__xludf.DUMMYFUNCTION("""COMPUTED_VALUE"""),"iPhone 15, Pink, 256GB, Logic Board Assy Mid System, ROW")</f>
        <v>iPhone 15, Pink, 256GB, Logic Board Assy Mid System, ROW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0" t="str">
        <f t="shared" si="1"/>
        <v>January</v>
      </c>
      <c r="B423" s="11">
        <f>IFERROR(__xludf.DUMMYFUNCTION("""COMPUTED_VALUE"""),46028.0)</f>
        <v>46028</v>
      </c>
      <c r="C423" s="2" t="str">
        <f>IFERROR(__xludf.DUMMYFUNCTION("""COMPUTED_VALUE"""),"MOBILECARE - FESTIVE WALK ILOILO")</f>
        <v>MOBILECARE - FESTIVE WALK ILOILO</v>
      </c>
      <c r="D423" s="2" t="str">
        <f>IFERROR(__xludf.DUMMYFUNCTION("""COMPUTED_VALUE"""),"TA661-36697")</f>
        <v>TA661-36697</v>
      </c>
      <c r="E423" s="2" t="str">
        <f>IFERROR(__xludf.DUMMYFUNCTION("""COMPUTED_VALUE"""),"iPhone 15, Pink, 256GB, Logic Board Assy Mid System, ROW")</f>
        <v>iPhone 15, Pink, 256GB, Logic Board Assy Mid System, ROW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0" t="str">
        <f t="shared" si="1"/>
        <v>May</v>
      </c>
      <c r="B424" s="11">
        <f>IFERROR(__xludf.DUMMYFUNCTION("""COMPUTED_VALUE"""),46163.0)</f>
        <v>46163</v>
      </c>
      <c r="C424" s="2" t="str">
        <f>IFERROR(__xludf.DUMMYFUNCTION("""COMPUTED_VALUE"""),"MOBILECARE - APP MALL OF ASIA")</f>
        <v>MOBILECARE - APP MALL OF ASIA</v>
      </c>
      <c r="D424" s="2" t="str">
        <f>IFERROR(__xludf.DUMMYFUNCTION("""COMPUTED_VALUE"""),"661-13574")</f>
        <v>661-13574</v>
      </c>
      <c r="E424" s="2" t="str">
        <f>IFERROR(__xludf.DUMMYFUNCTION("""COMPUTED_VALUE"""),"Battery, iPhone 11")</f>
        <v>Battery, iPhone 11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0" t="str">
        <f t="shared" si="1"/>
        <v>May</v>
      </c>
      <c r="B425" s="11">
        <f>IFERROR(__xludf.DUMMYFUNCTION("""COMPUTED_VALUE"""),46150.0)</f>
        <v>46150</v>
      </c>
      <c r="C425" s="2" t="str">
        <f>IFERROR(__xludf.DUMMYFUNCTION("""COMPUTED_VALUE"""),"MOBILECARE - APP MALL OF ASIA")</f>
        <v>MOBILECARE - APP MALL OF ASIA</v>
      </c>
      <c r="D425" s="2" t="str">
        <f>IFERROR(__xludf.DUMMYFUNCTION("""COMPUTED_VALUE"""),"661-21991")</f>
        <v>661-21991</v>
      </c>
      <c r="E425" s="2" t="str">
        <f>IFERROR(__xludf.DUMMYFUNCTION("""COMPUTED_VALUE"""),"Battery, iPhone 13")</f>
        <v>Battery, iPhone 13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0" t="str">
        <f t="shared" si="1"/>
        <v>May</v>
      </c>
      <c r="B426" s="11">
        <f>IFERROR(__xludf.DUMMYFUNCTION("""COMPUTED_VALUE"""),46144.0)</f>
        <v>46144</v>
      </c>
      <c r="C426" s="2" t="str">
        <f>IFERROR(__xludf.DUMMYFUNCTION("""COMPUTED_VALUE"""),"MOBILECARE - APP MALL OF ASIA")</f>
        <v>MOBILECARE - APP MALL OF ASIA</v>
      </c>
      <c r="D426" s="2" t="str">
        <f>IFERROR(__xludf.DUMMYFUNCTION("""COMPUTED_VALUE"""),"661-44954")</f>
        <v>661-44954</v>
      </c>
      <c r="E426" s="2" t="str">
        <f>IFERROR(__xludf.DUMMYFUNCTION("""COMPUTED_VALUE"""),"Battery, iPhone 16 Pro Max")</f>
        <v>Battery, iPhone 16 Pro Max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0" t="str">
        <f t="shared" si="1"/>
        <v>May</v>
      </c>
      <c r="B427" s="11">
        <f>IFERROR(__xludf.DUMMYFUNCTION("""COMPUTED_VALUE"""),46143.0)</f>
        <v>46143</v>
      </c>
      <c r="C427" s="2" t="str">
        <f>IFERROR(__xludf.DUMMYFUNCTION("""COMPUTED_VALUE"""),"MOBILECARE - APP MALL OF ASIA")</f>
        <v>MOBILECARE - APP MALL OF ASIA</v>
      </c>
      <c r="D427" s="2" t="str">
        <f>IFERROR(__xludf.DUMMYFUNCTION("""COMPUTED_VALUE"""),"661-21988")</f>
        <v>661-21988</v>
      </c>
      <c r="E427" s="2" t="str">
        <f>IFERROR(__xludf.DUMMYFUNCTION("""COMPUTED_VALUE"""),"Display, iPhone 13")</f>
        <v>Display, iPhone 13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0" t="str">
        <f t="shared" si="1"/>
        <v>January</v>
      </c>
      <c r="B428" s="11">
        <f>IFERROR(__xludf.DUMMYFUNCTION("""COMPUTED_VALUE"""),46039.0)</f>
        <v>46039</v>
      </c>
      <c r="C428" s="2" t="str">
        <f>IFERROR(__xludf.DUMMYFUNCTION("""COMPUTED_VALUE"""),"MOBILECARE - APP MALL OF ASIA")</f>
        <v>MOBILECARE - APP MALL OF ASIA</v>
      </c>
      <c r="D428" s="2" t="str">
        <f>IFERROR(__xludf.DUMMYFUNCTION("""COMPUTED_VALUE"""),"661-56052")</f>
        <v>661-56052</v>
      </c>
      <c r="E428" s="2" t="str">
        <f>IFERROR(__xludf.DUMMYFUNCTION("""COMPUTED_VALUE"""),"Camera, iPhone 17 Pro Max")</f>
        <v>Camera, iPhone 17 Pro Max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0" t="str">
        <f t="shared" si="1"/>
        <v>January</v>
      </c>
      <c r="B429" s="11">
        <f>IFERROR(__xludf.DUMMYFUNCTION("""COMPUTED_VALUE"""),46038.0)</f>
        <v>46038</v>
      </c>
      <c r="C429" s="2" t="str">
        <f>IFERROR(__xludf.DUMMYFUNCTION("""COMPUTED_VALUE"""),"MOBILECARE - APP MALL OF ASIA")</f>
        <v>MOBILECARE - APP MALL OF ASIA</v>
      </c>
      <c r="D429" s="2" t="str">
        <f>IFERROR(__xludf.DUMMYFUNCTION("""COMPUTED_VALUE"""),"661-22309")</f>
        <v>661-22309</v>
      </c>
      <c r="E429" s="2" t="str">
        <f>IFERROR(__xludf.DUMMYFUNCTION("""COMPUTED_VALUE"""),"Display, iPhone 13 Pro Max")</f>
        <v>Display, iPhone 13 Pro Max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0" t="str">
        <f t="shared" si="1"/>
        <v>January</v>
      </c>
      <c r="B430" s="11">
        <f>IFERROR(__xludf.DUMMYFUNCTION("""COMPUTED_VALUE"""),46035.0)</f>
        <v>46035</v>
      </c>
      <c r="C430" s="2" t="str">
        <f>IFERROR(__xludf.DUMMYFUNCTION("""COMPUTED_VALUE"""),"MOBILECARE - APP MALL OF ASIA")</f>
        <v>MOBILECARE - APP MALL OF ASIA</v>
      </c>
      <c r="D430" s="2" t="str">
        <f>IFERROR(__xludf.DUMMYFUNCTION("""COMPUTED_VALUE"""),"661-17920")</f>
        <v>661-17920</v>
      </c>
      <c r="E430" s="2" t="str">
        <f>IFERROR(__xludf.DUMMYFUNCTION("""COMPUTED_VALUE"""),"Battery, iPhone 12 and 12 Pro")</f>
        <v>Battery, iPhone 12 and 12 Pro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0" t="str">
        <f t="shared" si="1"/>
        <v>January</v>
      </c>
      <c r="B431" s="11">
        <f>IFERROR(__xludf.DUMMYFUNCTION("""COMPUTED_VALUE"""),46035.0)</f>
        <v>46035</v>
      </c>
      <c r="C431" s="2" t="str">
        <f>IFERROR(__xludf.DUMMYFUNCTION("""COMPUTED_VALUE"""),"MOBILECARE - APP MALL OF ASIA")</f>
        <v>MOBILECARE - APP MALL OF ASIA</v>
      </c>
      <c r="D431" s="2" t="str">
        <f>IFERROR(__xludf.DUMMYFUNCTION("""COMPUTED_VALUE"""),"661-35885")</f>
        <v>661-35885</v>
      </c>
      <c r="E431" s="2" t="str">
        <f>IFERROR(__xludf.DUMMYFUNCTION("""COMPUTED_VALUE"""),"Battery, iPhone 15")</f>
        <v>Battery, iPhone 15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0" t="str">
        <f t="shared" si="1"/>
        <v>January</v>
      </c>
      <c r="B432" s="11">
        <f>IFERROR(__xludf.DUMMYFUNCTION("""COMPUTED_VALUE"""),46031.0)</f>
        <v>46031</v>
      </c>
      <c r="C432" s="2" t="str">
        <f>IFERROR(__xludf.DUMMYFUNCTION("""COMPUTED_VALUE"""),"MOBILECARE - APP MALL OF ASIA")</f>
        <v>MOBILECARE - APP MALL OF ASIA</v>
      </c>
      <c r="D432" s="2" t="str">
        <f>IFERROR(__xludf.DUMMYFUNCTION("""COMPUTED_VALUE"""),"661-22309")</f>
        <v>661-22309</v>
      </c>
      <c r="E432" s="2" t="str">
        <f>IFERROR(__xludf.DUMMYFUNCTION("""COMPUTED_VALUE"""),"Display, iPhone 13 Pro Max")</f>
        <v>Display, iPhone 13 Pro Max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0" t="str">
        <f t="shared" si="1"/>
        <v>January</v>
      </c>
      <c r="B433" s="11">
        <f>IFERROR(__xludf.DUMMYFUNCTION("""COMPUTED_VALUE"""),46042.0)</f>
        <v>46042</v>
      </c>
      <c r="C433" s="2" t="str">
        <f>IFERROR(__xludf.DUMMYFUNCTION("""COMPUTED_VALUE"""),"MOBILECARE - APP MALL OF ASIA")</f>
        <v>MOBILECARE - APP MALL OF ASIA</v>
      </c>
      <c r="D433" s="2" t="str">
        <f>IFERROR(__xludf.DUMMYFUNCTION("""COMPUTED_VALUE"""),"661-22309")</f>
        <v>661-22309</v>
      </c>
      <c r="E433" s="2" t="str">
        <f>IFERROR(__xludf.DUMMYFUNCTION("""COMPUTED_VALUE"""),"Display, iPhone 13 Pro Max")</f>
        <v>Display, iPhone 13 Pro Max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0" t="str">
        <f t="shared" si="1"/>
        <v>January</v>
      </c>
      <c r="B434" s="11">
        <f>IFERROR(__xludf.DUMMYFUNCTION("""COMPUTED_VALUE"""),46042.0)</f>
        <v>46042</v>
      </c>
      <c r="C434" s="2" t="str">
        <f>IFERROR(__xludf.DUMMYFUNCTION("""COMPUTED_VALUE"""),"MOBILECARE - APP MALL OF ASIA")</f>
        <v>MOBILECARE - APP MALL OF ASIA</v>
      </c>
      <c r="D434" s="2" t="str">
        <f>IFERROR(__xludf.DUMMYFUNCTION("""COMPUTED_VALUE"""),"661-22294")</f>
        <v>661-22294</v>
      </c>
      <c r="E434" s="2" t="str">
        <f>IFERROR(__xludf.DUMMYFUNCTION("""COMPUTED_VALUE"""),"Battery, iPhone 13 Pro Max")</f>
        <v>Battery, iPhone 13 Pro Max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0" t="str">
        <f t="shared" si="1"/>
        <v>January</v>
      </c>
      <c r="B435" s="11">
        <f>IFERROR(__xludf.DUMMYFUNCTION("""COMPUTED_VALUE"""),46028.0)</f>
        <v>46028</v>
      </c>
      <c r="C435" s="2" t="str">
        <f>IFERROR(__xludf.DUMMYFUNCTION("""COMPUTED_VALUE"""),"MOBILECARE - APP MALL OF ASIA")</f>
        <v>MOBILECARE - APP MALL OF ASIA</v>
      </c>
      <c r="D435" s="2" t="str">
        <f>IFERROR(__xludf.DUMMYFUNCTION("""COMPUTED_VALUE"""),"661-44955")</f>
        <v>661-44955</v>
      </c>
      <c r="E435" s="2" t="str">
        <f>IFERROR(__xludf.DUMMYFUNCTION("""COMPUTED_VALUE"""),"Display, iPhone 16 Pro Max")</f>
        <v>Display, iPhone 16 Pro Max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0" t="str">
        <f t="shared" si="1"/>
        <v>January</v>
      </c>
      <c r="B436" s="11">
        <f>IFERROR(__xludf.DUMMYFUNCTION("""COMPUTED_VALUE"""),46028.0)</f>
        <v>46028</v>
      </c>
      <c r="C436" s="2" t="str">
        <f>IFERROR(__xludf.DUMMYFUNCTION("""COMPUTED_VALUE"""),"MOBILECARE - APP MALL OF ASIA")</f>
        <v>MOBILECARE - APP MALL OF ASIA</v>
      </c>
      <c r="D436" s="2" t="str">
        <f>IFERROR(__xludf.DUMMYFUNCTION("""COMPUTED_VALUE"""),"661-22294")</f>
        <v>661-22294</v>
      </c>
      <c r="E436" s="2" t="str">
        <f>IFERROR(__xludf.DUMMYFUNCTION("""COMPUTED_VALUE"""),"Battery, iPhone 13 Pro Max")</f>
        <v>Battery, iPhone 13 Pro Max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0" t="str">
        <f t="shared" si="1"/>
        <v>January</v>
      </c>
      <c r="B437" s="11">
        <f>IFERROR(__xludf.DUMMYFUNCTION("""COMPUTED_VALUE"""),46025.0)</f>
        <v>46025</v>
      </c>
      <c r="C437" s="2" t="str">
        <f>IFERROR(__xludf.DUMMYFUNCTION("""COMPUTED_VALUE"""),"MOBILECARE - APP MALL OF ASIA")</f>
        <v>MOBILECARE - APP MALL OF ASIA</v>
      </c>
      <c r="D437" s="2" t="str">
        <f>IFERROR(__xludf.DUMMYFUNCTION("""COMPUTED_VALUE"""),"661-30393")</f>
        <v>661-30393</v>
      </c>
      <c r="E437" s="2" t="str">
        <f>IFERROR(__xludf.DUMMYFUNCTION("""COMPUTED_VALUE"""),"Camera, iPhone 14 Plus")</f>
        <v>Camera, iPhone 14 Plus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0" t="str">
        <f t="shared" si="1"/>
        <v>January</v>
      </c>
      <c r="B438" s="11">
        <f>IFERROR(__xludf.DUMMYFUNCTION("""COMPUTED_VALUE"""),46025.0)</f>
        <v>46025</v>
      </c>
      <c r="C438" s="2" t="str">
        <f>IFERROR(__xludf.DUMMYFUNCTION("""COMPUTED_VALUE"""),"MOBILECARE - APP MALL OF ASIA")</f>
        <v>MOBILECARE - APP MALL OF ASIA</v>
      </c>
      <c r="D438" s="2" t="str">
        <f>IFERROR(__xludf.DUMMYFUNCTION("""COMPUTED_VALUE"""),"661-21991")</f>
        <v>661-21991</v>
      </c>
      <c r="E438" s="2" t="str">
        <f>IFERROR(__xludf.DUMMYFUNCTION("""COMPUTED_VALUE"""),"Battery, iPhone 13")</f>
        <v>Battery, iPhone 13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0" t="str">
        <f t="shared" si="1"/>
        <v>January</v>
      </c>
      <c r="B439" s="11">
        <f>IFERROR(__xludf.DUMMYFUNCTION("""COMPUTED_VALUE"""),46033.0)</f>
        <v>46033</v>
      </c>
      <c r="C439" s="2" t="str">
        <f>IFERROR(__xludf.DUMMYFUNCTION("""COMPUTED_VALUE"""),"MOBILECARE - APP MALL OF ASIA")</f>
        <v>MOBILECARE - APP MALL OF ASIA</v>
      </c>
      <c r="D439" s="2" t="str">
        <f>IFERROR(__xludf.DUMMYFUNCTION("""COMPUTED_VALUE"""),"661-35702")</f>
        <v>661-35702</v>
      </c>
      <c r="E439" s="2" t="str">
        <f>IFERROR(__xludf.DUMMYFUNCTION("""COMPUTED_VALUE"""),"Natural Titanium, Back Glass, iPhone 15 Pro")</f>
        <v>Natural Titanium, Back Glass, iPhone 15 Pro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0" t="str">
        <f t="shared" si="1"/>
        <v>January</v>
      </c>
      <c r="B440" s="11">
        <f>IFERROR(__xludf.DUMMYFUNCTION("""COMPUTED_VALUE"""),46025.0)</f>
        <v>46025</v>
      </c>
      <c r="C440" s="2" t="str">
        <f>IFERROR(__xludf.DUMMYFUNCTION("""COMPUTED_VALUE"""),"MOBILECARE - APP MALL OF ASIA")</f>
        <v>MOBILECARE - APP MALL OF ASIA</v>
      </c>
      <c r="D440" s="2" t="str">
        <f>IFERROR(__xludf.DUMMYFUNCTION("""COMPUTED_VALUE"""),"PP661-22983")</f>
        <v>PP661-22983</v>
      </c>
      <c r="E440" s="2" t="str">
        <f>IFERROR(__xludf.DUMMYFUNCTION("""COMPUTED_VALUE"""),"Red, 128 GB, iPhone 13, ROW, CI/AR, Philippines")</f>
        <v>Red, 128 GB, iPhone 13, ROW, CI/AR, Philippines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0" t="str">
        <f t="shared" si="1"/>
        <v>May</v>
      </c>
      <c r="B441" s="11">
        <f>IFERROR(__xludf.DUMMYFUNCTION("""COMPUTED_VALUE"""),46169.0)</f>
        <v>46169</v>
      </c>
      <c r="C441" s="2" t="str">
        <f>IFERROR(__xludf.DUMMYFUNCTION("""COMPUTED_VALUE"""),"MOBILECARE - CEBU")</f>
        <v>MOBILECARE - CEBU</v>
      </c>
      <c r="D441" s="2" t="str">
        <f>IFERROR(__xludf.DUMMYFUNCTION("""COMPUTED_VALUE"""),"661-42726")</f>
        <v>661-42726</v>
      </c>
      <c r="E441" s="2" t="str">
        <f>IFERROR(__xludf.DUMMYFUNCTION("""COMPUTED_VALUE"""),"Display, iPhone 16 Pro")</f>
        <v>Display, iPhone 16 Pro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0" t="str">
        <f t="shared" si="1"/>
        <v>June</v>
      </c>
      <c r="B442" s="11">
        <f>IFERROR(__xludf.DUMMYFUNCTION("""COMPUTED_VALUE"""),46182.0)</f>
        <v>46182</v>
      </c>
      <c r="C442" s="2" t="str">
        <f>IFERROR(__xludf.DUMMYFUNCTION("""COMPUTED_VALUE"""),"MOBILECARE - CEBU")</f>
        <v>MOBILECARE - CEBU</v>
      </c>
      <c r="D442" s="2" t="str">
        <f>IFERROR(__xludf.DUMMYFUNCTION("""COMPUTED_VALUE"""),"PP661-28873")</f>
        <v>PP661-28873</v>
      </c>
      <c r="E442" s="2" t="str">
        <f>IFERROR(__xludf.DUMMYFUNCTION("""COMPUTED_VALUE"""),"iPhone 14, Midnight, 256GB, Logic Board Assy Mid System, ROW")</f>
        <v>iPhone 14, Midnight, 256GB, Logic Board Assy Mid System, ROW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0" t="str">
        <f t="shared" si="1"/>
        <v>April</v>
      </c>
      <c r="B443" s="11">
        <f>IFERROR(__xludf.DUMMYFUNCTION("""COMPUTED_VALUE"""),46142.0)</f>
        <v>46142</v>
      </c>
      <c r="C443" s="2" t="str">
        <f>IFERROR(__xludf.DUMMYFUNCTION("""COMPUTED_VALUE"""),"MOBILECARE - CEBU")</f>
        <v>MOBILECARE - CEBU</v>
      </c>
      <c r="D443" s="2" t="str">
        <f>IFERROR(__xludf.DUMMYFUNCTION("""COMPUTED_VALUE"""),"661-14098")</f>
        <v>661-14098</v>
      </c>
      <c r="E443" s="2" t="str">
        <f>IFERROR(__xludf.DUMMYFUNCTION("""COMPUTED_VALUE"""),"Display, iPhone 11")</f>
        <v>Display, iPhone 11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0" t="str">
        <f t="shared" si="1"/>
        <v>April</v>
      </c>
      <c r="B444" s="11">
        <f>IFERROR(__xludf.DUMMYFUNCTION("""COMPUTED_VALUE"""),46142.0)</f>
        <v>46142</v>
      </c>
      <c r="C444" s="2" t="str">
        <f>IFERROR(__xludf.DUMMYFUNCTION("""COMPUTED_VALUE"""),"MOBILECARE - CEBU")</f>
        <v>MOBILECARE - CEBU</v>
      </c>
      <c r="D444" s="2" t="str">
        <f>IFERROR(__xludf.DUMMYFUNCTION("""COMPUTED_VALUE"""),"661-14098")</f>
        <v>661-14098</v>
      </c>
      <c r="E444" s="2" t="str">
        <f>IFERROR(__xludf.DUMMYFUNCTION("""COMPUTED_VALUE"""),"Display, iPhone 11")</f>
        <v>Display, iPhone 11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0" t="str">
        <f t="shared" si="1"/>
        <v>April</v>
      </c>
      <c r="B445" s="11">
        <f>IFERROR(__xludf.DUMMYFUNCTION("""COMPUTED_VALUE"""),46142.0)</f>
        <v>46142</v>
      </c>
      <c r="C445" s="2" t="str">
        <f>IFERROR(__xludf.DUMMYFUNCTION("""COMPUTED_VALUE"""),"MOBILECARE - CEBU")</f>
        <v>MOBILECARE - CEBU</v>
      </c>
      <c r="D445" s="2" t="str">
        <f>IFERROR(__xludf.DUMMYFUNCTION("""COMPUTED_VALUE"""),"PP661-13316")</f>
        <v>PP661-13316</v>
      </c>
      <c r="E445" s="2" t="str">
        <f>IFERROR(__xludf.DUMMYFUNCTION("""COMPUTED_VALUE"""),"64GB, White, ROW, iPhone 11, CI/AR-PPN")</f>
        <v>64GB, White, ROW, iPhone 11, CI/AR-PPN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0" t="str">
        <f t="shared" si="1"/>
        <v>March</v>
      </c>
      <c r="B446" s="11">
        <f>IFERROR(__xludf.DUMMYFUNCTION("""COMPUTED_VALUE"""),46090.0)</f>
        <v>46090</v>
      </c>
      <c r="C446" s="2" t="str">
        <f>IFERROR(__xludf.DUMMYFUNCTION("""COMPUTED_VALUE"""),"MOBILECARE - CEBU")</f>
        <v>MOBILECARE - CEBU</v>
      </c>
      <c r="D446" s="2" t="str">
        <f>IFERROR(__xludf.DUMMYFUNCTION("""COMPUTED_VALUE"""),"661-44954")</f>
        <v>661-44954</v>
      </c>
      <c r="E446" s="2" t="str">
        <f>IFERROR(__xludf.DUMMYFUNCTION("""COMPUTED_VALUE"""),"Battery, iPhone 16 Pro Max")</f>
        <v>Battery, iPhone 16 Pro Max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0" t="str">
        <f t="shared" si="1"/>
        <v>March</v>
      </c>
      <c r="B447" s="11">
        <f>IFERROR(__xludf.DUMMYFUNCTION("""COMPUTED_VALUE"""),46096.0)</f>
        <v>46096</v>
      </c>
      <c r="C447" s="2" t="str">
        <f>IFERROR(__xludf.DUMMYFUNCTION("""COMPUTED_VALUE"""),"MOBILECARE - CEBU")</f>
        <v>MOBILECARE - CEBU</v>
      </c>
      <c r="D447" s="2" t="str">
        <f>IFERROR(__xludf.DUMMYFUNCTION("""COMPUTED_VALUE"""),"TA661-45263")</f>
        <v>TA661-45263</v>
      </c>
      <c r="E447" s="2" t="str">
        <f>IFERROR(__xludf.DUMMYFUNCTION("""COMPUTED_VALUE"""),"256GB, Desert Titanium, ROW, iPhone 16 Pro Max, CI/AR")</f>
        <v>256GB, Desert Titanium, ROW, iPhone 16 Pro Max, CI/AR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0" t="str">
        <f t="shared" si="1"/>
        <v>March</v>
      </c>
      <c r="B448" s="11">
        <f>IFERROR(__xludf.DUMMYFUNCTION("""COMPUTED_VALUE"""),46083.0)</f>
        <v>46083</v>
      </c>
      <c r="C448" s="2" t="str">
        <f>IFERROR(__xludf.DUMMYFUNCTION("""COMPUTED_VALUE"""),"MOBILECARE - CEBU")</f>
        <v>MOBILECARE - CEBU</v>
      </c>
      <c r="D448" s="2" t="str">
        <f>IFERROR(__xludf.DUMMYFUNCTION("""COMPUTED_VALUE"""),"PP661-23454")</f>
        <v>PP661-23454</v>
      </c>
      <c r="E448" s="2" t="str">
        <f>IFERROR(__xludf.DUMMYFUNCTION("""COMPUTED_VALUE"""),"iPhone 13, Midnight, 128GB, Logic Board Assy Rear System, ROW")</f>
        <v>iPhone 13, Midnight, 128GB, Logic Board Assy Rear System, ROW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0" t="str">
        <f t="shared" si="1"/>
        <v>February</v>
      </c>
      <c r="B449" s="11">
        <f>IFERROR(__xludf.DUMMYFUNCTION("""COMPUTED_VALUE"""),46068.0)</f>
        <v>46068</v>
      </c>
      <c r="C449" s="2" t="str">
        <f>IFERROR(__xludf.DUMMYFUNCTION("""COMPUTED_VALUE"""),"MOBILECARE - CEBU")</f>
        <v>MOBILECARE - CEBU</v>
      </c>
      <c r="D449" s="2" t="str">
        <f>IFERROR(__xludf.DUMMYFUNCTION("""COMPUTED_VALUE"""),"Z661-55942")</f>
        <v>Z661-55942</v>
      </c>
      <c r="E449" s="2" t="str">
        <f>IFERROR(__xludf.DUMMYFUNCTION("""COMPUTED_VALUE"""),"Logic Board, 256GB, A3523, ROW, iPhone 17 Pro")</f>
        <v>Logic Board, 256GB, A3523, ROW, iPhone 17 Pro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0" t="str">
        <f t="shared" si="1"/>
        <v>January</v>
      </c>
      <c r="B450" s="11">
        <f>IFERROR(__xludf.DUMMYFUNCTION("""COMPUTED_VALUE"""),46039.0)</f>
        <v>46039</v>
      </c>
      <c r="C450" s="2" t="str">
        <f>IFERROR(__xludf.DUMMYFUNCTION("""COMPUTED_VALUE"""),"MOBILECARE - CEBU")</f>
        <v>MOBILECARE - CEBU</v>
      </c>
      <c r="D450" s="2" t="str">
        <f>IFERROR(__xludf.DUMMYFUNCTION("""COMPUTED_VALUE"""),"661-21993")</f>
        <v>661-21993</v>
      </c>
      <c r="E450" s="2" t="str">
        <f>IFERROR(__xludf.DUMMYFUNCTION("""COMPUTED_VALUE"""),"Display, iPhone 13 Pro")</f>
        <v>Display, iPhone 13 Pro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0" t="str">
        <f t="shared" si="1"/>
        <v>January</v>
      </c>
      <c r="B451" s="11">
        <f>IFERROR(__xludf.DUMMYFUNCTION("""COMPUTED_VALUE"""),46039.0)</f>
        <v>46039</v>
      </c>
      <c r="C451" s="2" t="str">
        <f>IFERROR(__xludf.DUMMYFUNCTION("""COMPUTED_VALUE"""),"MOBILECARE - CEBU")</f>
        <v>MOBILECARE - CEBU</v>
      </c>
      <c r="D451" s="2" t="str">
        <f>IFERROR(__xludf.DUMMYFUNCTION("""COMPUTED_VALUE"""),"661-56050")</f>
        <v>661-56050</v>
      </c>
      <c r="E451" s="2" t="str">
        <f>IFERROR(__xludf.DUMMYFUNCTION("""COMPUTED_VALUE"""),"Display, iPhone 17 Pro Max")</f>
        <v>Display, iPhone 17 Pro Max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0" t="str">
        <f t="shared" si="1"/>
        <v>January</v>
      </c>
      <c r="B452" s="11">
        <f>IFERROR(__xludf.DUMMYFUNCTION("""COMPUTED_VALUE"""),46050.0)</f>
        <v>46050</v>
      </c>
      <c r="C452" s="2" t="str">
        <f>IFERROR(__xludf.DUMMYFUNCTION("""COMPUTED_VALUE"""),"MOBILECARE - CEBU")</f>
        <v>MOBILECARE - CEBU</v>
      </c>
      <c r="D452" s="2" t="str">
        <f>IFERROR(__xludf.DUMMYFUNCTION("""COMPUTED_VALUE"""),"PP661-22981")</f>
        <v>PP661-22981</v>
      </c>
      <c r="E452" s="2" t="str">
        <f>IFERROR(__xludf.DUMMYFUNCTION("""COMPUTED_VALUE"""),"Starlight, 128 GB, iPhone 13, ROW, CI/AR, Philippines")</f>
        <v>Starlight, 128 GB, iPhone 13, ROW, CI/AR, Philippines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0" t="str">
        <f t="shared" si="1"/>
        <v>January</v>
      </c>
      <c r="B453" s="11">
        <f>IFERROR(__xludf.DUMMYFUNCTION("""COMPUTED_VALUE"""),46033.0)</f>
        <v>46033</v>
      </c>
      <c r="C453" s="2" t="str">
        <f>IFERROR(__xludf.DUMMYFUNCTION("""COMPUTED_VALUE"""),"MOBILECARE - CEBU")</f>
        <v>MOBILECARE - CEBU</v>
      </c>
      <c r="D453" s="2" t="str">
        <f>IFERROR(__xludf.DUMMYFUNCTION("""COMPUTED_VALUE"""),"661-21991")</f>
        <v>661-21991</v>
      </c>
      <c r="E453" s="2" t="str">
        <f>IFERROR(__xludf.DUMMYFUNCTION("""COMPUTED_VALUE"""),"Battery, iPhone 13")</f>
        <v>Battery, iPhone 13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0" t="str">
        <f t="shared" si="1"/>
        <v>February</v>
      </c>
      <c r="B454" s="11">
        <f>IFERROR(__xludf.DUMMYFUNCTION("""COMPUTED_VALUE"""),46054.0)</f>
        <v>46054</v>
      </c>
      <c r="C454" s="2" t="str">
        <f>IFERROR(__xludf.DUMMYFUNCTION("""COMPUTED_VALUE"""),"MOBILECARE - CEBU")</f>
        <v>MOBILECARE - CEBU</v>
      </c>
      <c r="D454" s="2" t="str">
        <f>IFERROR(__xludf.DUMMYFUNCTION("""COMPUTED_VALUE"""),"TA661-44055")</f>
        <v>TA661-44055</v>
      </c>
      <c r="E454" s="2" t="str">
        <f>IFERROR(__xludf.DUMMYFUNCTION("""COMPUTED_VALUE"""),"256GB, Black, ROW, iPhone 16 Plus, CI/AR")</f>
        <v>256GB, Black, ROW, iPhone 16 Plus, CI/AR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0" t="str">
        <f t="shared" si="1"/>
        <v>January</v>
      </c>
      <c r="B455" s="11">
        <f>IFERROR(__xludf.DUMMYFUNCTION("""COMPUTED_VALUE"""),46051.0)</f>
        <v>46051</v>
      </c>
      <c r="C455" s="2" t="str">
        <f>IFERROR(__xludf.DUMMYFUNCTION("""COMPUTED_VALUE"""),"MOBILECARE - CEBU")</f>
        <v>MOBILECARE - CEBU</v>
      </c>
      <c r="D455" s="2" t="str">
        <f>IFERROR(__xludf.DUMMYFUNCTION("""COMPUTED_VALUE"""),"TA661-42899")</f>
        <v>TA661-42899</v>
      </c>
      <c r="E455" s="2" t="str">
        <f>IFERROR(__xludf.DUMMYFUNCTION("""COMPUTED_VALUE"""),"128GB, Desert Titanium, ROW, iPhone 16 Pro, CI/AR")</f>
        <v>128GB, Desert Titanium, ROW, iPhone 16 Pro, CI/AR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0" t="str">
        <f t="shared" si="1"/>
        <v>January</v>
      </c>
      <c r="B456" s="11">
        <f>IFERROR(__xludf.DUMMYFUNCTION("""COMPUTED_VALUE"""),46050.0)</f>
        <v>46050</v>
      </c>
      <c r="C456" s="2" t="str">
        <f>IFERROR(__xludf.DUMMYFUNCTION("""COMPUTED_VALUE"""),"MOBILECARE - CEBU")</f>
        <v>MOBILECARE - CEBU</v>
      </c>
      <c r="D456" s="2" t="str">
        <f>IFERROR(__xludf.DUMMYFUNCTION("""COMPUTED_VALUE"""),"TA661-43498")</f>
        <v>TA661-43498</v>
      </c>
      <c r="E456" s="2" t="str">
        <f>IFERROR(__xludf.DUMMYFUNCTION("""COMPUTED_VALUE"""),"128GB, Black, ROW, iPhone 16, CI/AR")</f>
        <v>128GB, Black, ROW, iPhone 16, CI/AR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0" t="str">
        <f t="shared" si="1"/>
        <v>January</v>
      </c>
      <c r="B457" s="11">
        <f>IFERROR(__xludf.DUMMYFUNCTION("""COMPUTED_VALUE"""),46039.0)</f>
        <v>46039</v>
      </c>
      <c r="C457" s="2" t="str">
        <f>IFERROR(__xludf.DUMMYFUNCTION("""COMPUTED_VALUE"""),"MOBILECARE - CEBU")</f>
        <v>MOBILECARE - CEBU</v>
      </c>
      <c r="D457" s="2" t="str">
        <f>IFERROR(__xludf.DUMMYFUNCTION("""COMPUTED_VALUE"""),"661-15741")</f>
        <v>661-15741</v>
      </c>
      <c r="E457" s="2" t="str">
        <f>IFERROR(__xludf.DUMMYFUNCTION("""COMPUTED_VALUE"""),"Battery, iPhone SE 2nd gen")</f>
        <v>Battery, iPhone SE 2nd gen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0" t="str">
        <f t="shared" si="1"/>
        <v>January</v>
      </c>
      <c r="B458" s="11">
        <f>IFERROR(__xludf.DUMMYFUNCTION("""COMPUTED_VALUE"""),46051.0)</f>
        <v>46051</v>
      </c>
      <c r="C458" s="2" t="str">
        <f>IFERROR(__xludf.DUMMYFUNCTION("""COMPUTED_VALUE"""),"MOBILECARE - CEBU")</f>
        <v>MOBILECARE - CEBU</v>
      </c>
      <c r="D458" s="2" t="str">
        <f>IFERROR(__xludf.DUMMYFUNCTION("""COMPUTED_VALUE"""),"TA661-42908")</f>
        <v>TA661-42908</v>
      </c>
      <c r="E458" s="2" t="str">
        <f>IFERROR(__xludf.DUMMYFUNCTION("""COMPUTED_VALUE"""),"512GB, Natural Titanium, ROW, iPhone 16 Pro, CI/AR")</f>
        <v>512GB, Natural Titanium, ROW, iPhone 16 Pro, CI/AR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0" t="str">
        <f t="shared" si="1"/>
        <v>January</v>
      </c>
      <c r="B459" s="11">
        <f>IFERROR(__xludf.DUMMYFUNCTION("""COMPUTED_VALUE"""),46046.0)</f>
        <v>46046</v>
      </c>
      <c r="C459" s="2" t="str">
        <f>IFERROR(__xludf.DUMMYFUNCTION("""COMPUTED_VALUE"""),"MOBILECARE - CEBU")</f>
        <v>MOBILECARE - CEBU</v>
      </c>
      <c r="D459" s="2" t="str">
        <f>IFERROR(__xludf.DUMMYFUNCTION("""COMPUTED_VALUE"""),"661-44955")</f>
        <v>661-44955</v>
      </c>
      <c r="E459" s="2" t="str">
        <f>IFERROR(__xludf.DUMMYFUNCTION("""COMPUTED_VALUE"""),"Display, iPhone 16 Pro Max")</f>
        <v>Display, iPhone 16 Pro Max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0" t="str">
        <f t="shared" si="1"/>
        <v>January</v>
      </c>
      <c r="B460" s="11">
        <f>IFERROR(__xludf.DUMMYFUNCTION("""COMPUTED_VALUE"""),46039.0)</f>
        <v>46039</v>
      </c>
      <c r="C460" s="2" t="str">
        <f>IFERROR(__xludf.DUMMYFUNCTION("""COMPUTED_VALUE"""),"MOBILECARE - CEBU")</f>
        <v>MOBILECARE - CEBU</v>
      </c>
      <c r="D460" s="2" t="str">
        <f>IFERROR(__xludf.DUMMYFUNCTION("""COMPUTED_VALUE"""),"661-36706")</f>
        <v>661-36706</v>
      </c>
      <c r="E460" s="2" t="str">
        <f>IFERROR(__xludf.DUMMYFUNCTION("""COMPUTED_VALUE"""),"Display, iPhone 15")</f>
        <v>Display, iPhone 15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0" t="str">
        <f t="shared" si="1"/>
        <v>January</v>
      </c>
      <c r="B461" s="11">
        <f>IFERROR(__xludf.DUMMYFUNCTION("""COMPUTED_VALUE"""),46044.0)</f>
        <v>46044</v>
      </c>
      <c r="C461" s="2" t="str">
        <f>IFERROR(__xludf.DUMMYFUNCTION("""COMPUTED_VALUE"""),"MOBILECARE - CEBU")</f>
        <v>MOBILECARE - CEBU</v>
      </c>
      <c r="D461" s="2" t="str">
        <f>IFERROR(__xludf.DUMMYFUNCTION("""COMPUTED_VALUE"""),"PP661-22980")</f>
        <v>PP661-22980</v>
      </c>
      <c r="E461" s="2" t="str">
        <f>IFERROR(__xludf.DUMMYFUNCTION("""COMPUTED_VALUE"""),"Midnight, 128 GB, iPhone 13, ROW, CI/AR, Philippines")</f>
        <v>Midnight, 128 GB, iPhone 13, ROW, CI/AR, Philippines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0" t="str">
        <f t="shared" si="1"/>
        <v>January</v>
      </c>
      <c r="B462" s="11">
        <f>IFERROR(__xludf.DUMMYFUNCTION("""COMPUTED_VALUE"""),46036.0)</f>
        <v>46036</v>
      </c>
      <c r="C462" s="2" t="str">
        <f>IFERROR(__xludf.DUMMYFUNCTION("""COMPUTED_VALUE"""),"MOBILECARE - CEBU")</f>
        <v>MOBILECARE - CEBU</v>
      </c>
      <c r="D462" s="2" t="str">
        <f>IFERROR(__xludf.DUMMYFUNCTION("""COMPUTED_VALUE"""),"661-56050")</f>
        <v>661-56050</v>
      </c>
      <c r="E462" s="2" t="str">
        <f>IFERROR(__xludf.DUMMYFUNCTION("""COMPUTED_VALUE"""),"Display, iPhone 17 Pro Max")</f>
        <v>Display, iPhone 17 Pro Max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0" t="str">
        <f t="shared" si="1"/>
        <v>January</v>
      </c>
      <c r="B463" s="11">
        <f>IFERROR(__xludf.DUMMYFUNCTION("""COMPUTED_VALUE"""),46027.0)</f>
        <v>46027</v>
      </c>
      <c r="C463" s="2" t="str">
        <f>IFERROR(__xludf.DUMMYFUNCTION("""COMPUTED_VALUE"""),"MOBILECARE - CEBU")</f>
        <v>MOBILECARE - CEBU</v>
      </c>
      <c r="D463" s="2" t="str">
        <f>IFERROR(__xludf.DUMMYFUNCTION("""COMPUTED_VALUE"""),"661-21996")</f>
        <v>661-21996</v>
      </c>
      <c r="E463" s="2" t="str">
        <f>IFERROR(__xludf.DUMMYFUNCTION("""COMPUTED_VALUE"""),"Battery, iPhone 13 Pro")</f>
        <v>Battery, iPhone 13 Pro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0" t="str">
        <f t="shared" si="1"/>
        <v>January</v>
      </c>
      <c r="B464" s="11">
        <f>IFERROR(__xludf.DUMMYFUNCTION("""COMPUTED_VALUE"""),46039.0)</f>
        <v>46039</v>
      </c>
      <c r="C464" s="2" t="str">
        <f>IFERROR(__xludf.DUMMYFUNCTION("""COMPUTED_VALUE"""),"MOBILECARE - CEBU")</f>
        <v>MOBILECARE - CEBU</v>
      </c>
      <c r="D464" s="2" t="str">
        <f>IFERROR(__xludf.DUMMYFUNCTION("""COMPUTED_VALUE"""),"661-35694")</f>
        <v>661-35694</v>
      </c>
      <c r="E464" s="2" t="str">
        <f>IFERROR(__xludf.DUMMYFUNCTION("""COMPUTED_VALUE"""),"Battery, iPhone 15 Pro")</f>
        <v>Battery, iPhone 15 Pro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0" t="str">
        <f t="shared" si="1"/>
        <v>January</v>
      </c>
      <c r="B465" s="11">
        <f>IFERROR(__xludf.DUMMYFUNCTION("""COMPUTED_VALUE"""),46051.0)</f>
        <v>46051</v>
      </c>
      <c r="C465" s="2" t="str">
        <f>IFERROR(__xludf.DUMMYFUNCTION("""COMPUTED_VALUE"""),"MOBILECARE - CEBU")</f>
        <v>MOBILECARE - CEBU</v>
      </c>
      <c r="D465" s="2" t="str">
        <f>IFERROR(__xludf.DUMMYFUNCTION("""COMPUTED_VALUE"""),"PP661-22981")</f>
        <v>PP661-22981</v>
      </c>
      <c r="E465" s="2" t="str">
        <f>IFERROR(__xludf.DUMMYFUNCTION("""COMPUTED_VALUE"""),"Starlight, 128 GB, iPhone 13, ROW, CI/AR, Philippines")</f>
        <v>Starlight, 128 GB, iPhone 13, ROW, CI/AR, Philippines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0" t="str">
        <f t="shared" si="1"/>
        <v>January</v>
      </c>
      <c r="B466" s="11">
        <f>IFERROR(__xludf.DUMMYFUNCTION("""COMPUTED_VALUE"""),46026.0)</f>
        <v>46026</v>
      </c>
      <c r="C466" s="2" t="str">
        <f>IFERROR(__xludf.DUMMYFUNCTION("""COMPUTED_VALUE"""),"MOBILECARE - CEBU")</f>
        <v>MOBILECARE - CEBU</v>
      </c>
      <c r="D466" s="2" t="str">
        <f>IFERROR(__xludf.DUMMYFUNCTION("""COMPUTED_VALUE"""),"661-22309")</f>
        <v>661-22309</v>
      </c>
      <c r="E466" s="2" t="str">
        <f>IFERROR(__xludf.DUMMYFUNCTION("""COMPUTED_VALUE"""),"Display, iPhone 13 Pro Max")</f>
        <v>Display, iPhone 13 Pro Max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0" t="str">
        <f t="shared" si="1"/>
        <v>January</v>
      </c>
      <c r="B467" s="11">
        <f>IFERROR(__xludf.DUMMYFUNCTION("""COMPUTED_VALUE"""),46026.0)</f>
        <v>46026</v>
      </c>
      <c r="C467" s="2" t="str">
        <f>IFERROR(__xludf.DUMMYFUNCTION("""COMPUTED_VALUE"""),"MOBILECARE - CEBU")</f>
        <v>MOBILECARE - CEBU</v>
      </c>
      <c r="D467" s="2" t="str">
        <f>IFERROR(__xludf.DUMMYFUNCTION("""COMPUTED_VALUE"""),"661-22294")</f>
        <v>661-22294</v>
      </c>
      <c r="E467" s="2" t="str">
        <f>IFERROR(__xludf.DUMMYFUNCTION("""COMPUTED_VALUE"""),"Battery, iPhone 13 Pro Max")</f>
        <v>Battery, iPhone 13 Pro Max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0" t="str">
        <f t="shared" si="1"/>
        <v>January</v>
      </c>
      <c r="B468" s="11">
        <f>IFERROR(__xludf.DUMMYFUNCTION("""COMPUTED_VALUE"""),46044.0)</f>
        <v>46044</v>
      </c>
      <c r="C468" s="2" t="str">
        <f>IFERROR(__xludf.DUMMYFUNCTION("""COMPUTED_VALUE"""),"MOBILECARE - CEBU")</f>
        <v>MOBILECARE - CEBU</v>
      </c>
      <c r="D468" s="2" t="str">
        <f>IFERROR(__xludf.DUMMYFUNCTION("""COMPUTED_VALUE"""),"TA661-45261")</f>
        <v>TA661-45261</v>
      </c>
      <c r="E468" s="2" t="str">
        <f>IFERROR(__xludf.DUMMYFUNCTION("""COMPUTED_VALUE"""),"256GB, Black Titanium, ROW, iPhone 16 Pro Max, CI/AR")</f>
        <v>256GB, Black Titanium, ROW, iPhone 16 Pro Max, CI/AR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0" t="str">
        <f t="shared" si="1"/>
        <v>January</v>
      </c>
      <c r="B469" s="11">
        <f>IFERROR(__xludf.DUMMYFUNCTION("""COMPUTED_VALUE"""),46030.0)</f>
        <v>46030</v>
      </c>
      <c r="C469" s="2" t="str">
        <f>IFERROR(__xludf.DUMMYFUNCTION("""COMPUTED_VALUE"""),"MOBILECARE - CEBU")</f>
        <v>MOBILECARE - CEBU</v>
      </c>
      <c r="D469" s="2" t="str">
        <f>IFERROR(__xludf.DUMMYFUNCTION("""COMPUTED_VALUE"""),"661-18428")</f>
        <v>661-18428</v>
      </c>
      <c r="E469" s="2" t="str">
        <f>IFERROR(__xludf.DUMMYFUNCTION("""COMPUTED_VALUE"""),"Battery, iPhone 12 Pro Max")</f>
        <v>Battery, iPhone 12 Pro Max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0" t="str">
        <f t="shared" si="1"/>
        <v>January</v>
      </c>
      <c r="B470" s="11">
        <f>IFERROR(__xludf.DUMMYFUNCTION("""COMPUTED_VALUE"""),46031.0)</f>
        <v>46031</v>
      </c>
      <c r="C470" s="2" t="str">
        <f>IFERROR(__xludf.DUMMYFUNCTION("""COMPUTED_VALUE"""),"MOBILECARE - CEBU")</f>
        <v>MOBILECARE - CEBU</v>
      </c>
      <c r="D470" s="2" t="str">
        <f>IFERROR(__xludf.DUMMYFUNCTION("""COMPUTED_VALUE"""),"661-17920")</f>
        <v>661-17920</v>
      </c>
      <c r="E470" s="2" t="str">
        <f>IFERROR(__xludf.DUMMYFUNCTION("""COMPUTED_VALUE"""),"Battery, iPhone 12 and 12 Pro")</f>
        <v>Battery, iPhone 12 and 12 Pro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0" t="str">
        <f t="shared" si="1"/>
        <v>January</v>
      </c>
      <c r="B471" s="11">
        <f>IFERROR(__xludf.DUMMYFUNCTION("""COMPUTED_VALUE"""),46028.0)</f>
        <v>46028</v>
      </c>
      <c r="C471" s="2" t="str">
        <f>IFERROR(__xludf.DUMMYFUNCTION("""COMPUTED_VALUE"""),"MOBILECARE - CEBU")</f>
        <v>MOBILECARE - CEBU</v>
      </c>
      <c r="D471" s="2" t="str">
        <f>IFERROR(__xludf.DUMMYFUNCTION("""COMPUTED_VALUE"""),"661-13574")</f>
        <v>661-13574</v>
      </c>
      <c r="E471" s="2" t="str">
        <f>IFERROR(__xludf.DUMMYFUNCTION("""COMPUTED_VALUE"""),"Battery, iPhone 11")</f>
        <v>Battery, iPhone 11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0" t="str">
        <f t="shared" si="1"/>
        <v>January</v>
      </c>
      <c r="B472" s="11">
        <f>IFERROR(__xludf.DUMMYFUNCTION("""COMPUTED_VALUE"""),46044.0)</f>
        <v>46044</v>
      </c>
      <c r="C472" s="2" t="str">
        <f>IFERROR(__xludf.DUMMYFUNCTION("""COMPUTED_VALUE"""),"MOBILECARE - CEBU")</f>
        <v>MOBILECARE - CEBU</v>
      </c>
      <c r="D472" s="2" t="str">
        <f>IFERROR(__xludf.DUMMYFUNCTION("""COMPUTED_VALUE"""),"TA661-55153")</f>
        <v>TA661-55153</v>
      </c>
      <c r="E472" s="2" t="str">
        <f>IFERROR(__xludf.DUMMYFUNCTION("""COMPUTED_VALUE"""),"Cosmic Orange, 512GB, iPhone 17 Pro, ROW, CI/AR, Taiwan")</f>
        <v>Cosmic Orange, 512GB, iPhone 17 Pro, ROW, CI/AR, Taiwan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0" t="str">
        <f t="shared" si="1"/>
        <v>January</v>
      </c>
      <c r="B473" s="11">
        <f>IFERROR(__xludf.DUMMYFUNCTION("""COMPUTED_VALUE"""),46035.0)</f>
        <v>46035</v>
      </c>
      <c r="C473" s="2" t="str">
        <f>IFERROR(__xludf.DUMMYFUNCTION("""COMPUTED_VALUE"""),"MOBILECARE - CEBU")</f>
        <v>MOBILECARE - CEBU</v>
      </c>
      <c r="D473" s="2" t="str">
        <f>IFERROR(__xludf.DUMMYFUNCTION("""COMPUTED_VALUE"""),"661-21988")</f>
        <v>661-21988</v>
      </c>
      <c r="E473" s="2" t="str">
        <f>IFERROR(__xludf.DUMMYFUNCTION("""COMPUTED_VALUE"""),"Display, iPhone 13")</f>
        <v>Display, iPhone 13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0" t="str">
        <f t="shared" si="1"/>
        <v>January</v>
      </c>
      <c r="B474" s="11">
        <f>IFERROR(__xludf.DUMMYFUNCTION("""COMPUTED_VALUE"""),46045.0)</f>
        <v>46045</v>
      </c>
      <c r="C474" s="2" t="str">
        <f>IFERROR(__xludf.DUMMYFUNCTION("""COMPUTED_VALUE"""),"MOBILECARE - CEBU")</f>
        <v>MOBILECARE - CEBU</v>
      </c>
      <c r="D474" s="2" t="str">
        <f>IFERROR(__xludf.DUMMYFUNCTION("""COMPUTED_VALUE"""),"PP661-22981")</f>
        <v>PP661-22981</v>
      </c>
      <c r="E474" s="2" t="str">
        <f>IFERROR(__xludf.DUMMYFUNCTION("""COMPUTED_VALUE"""),"Starlight, 128 GB, iPhone 13, ROW, CI/AR, Philippines")</f>
        <v>Starlight, 128 GB, iPhone 13, ROW, CI/AR, Philippines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0" t="str">
        <f t="shared" si="1"/>
        <v>January</v>
      </c>
      <c r="B475" s="11">
        <f>IFERROR(__xludf.DUMMYFUNCTION("""COMPUTED_VALUE"""),46047.0)</f>
        <v>46047</v>
      </c>
      <c r="C475" s="2" t="str">
        <f>IFERROR(__xludf.DUMMYFUNCTION("""COMPUTED_VALUE"""),"MOBILECARE - CEBU")</f>
        <v>MOBILECARE - CEBU</v>
      </c>
      <c r="D475" s="2" t="str">
        <f>IFERROR(__xludf.DUMMYFUNCTION("""COMPUTED_VALUE"""),"PP661-22981")</f>
        <v>PP661-22981</v>
      </c>
      <c r="E475" s="2" t="str">
        <f>IFERROR(__xludf.DUMMYFUNCTION("""COMPUTED_VALUE"""),"Starlight, 128 GB, iPhone 13, ROW, CI/AR, Philippines")</f>
        <v>Starlight, 128 GB, iPhone 13, ROW, CI/AR, Philippines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0" t="str">
        <f t="shared" si="1"/>
        <v>January</v>
      </c>
      <c r="B476" s="11">
        <f>IFERROR(__xludf.DUMMYFUNCTION("""COMPUTED_VALUE"""),46045.0)</f>
        <v>46045</v>
      </c>
      <c r="C476" s="2" t="str">
        <f>IFERROR(__xludf.DUMMYFUNCTION("""COMPUTED_VALUE"""),"MOBILECARE - CEBU")</f>
        <v>MOBILECARE - CEBU</v>
      </c>
      <c r="D476" s="2" t="str">
        <f>IFERROR(__xludf.DUMMYFUNCTION("""COMPUTED_VALUE"""),"PP661-22981")</f>
        <v>PP661-22981</v>
      </c>
      <c r="E476" s="2" t="str">
        <f>IFERROR(__xludf.DUMMYFUNCTION("""COMPUTED_VALUE"""),"Starlight, 128 GB, iPhone 13, ROW, CI/AR, Philippines")</f>
        <v>Starlight, 128 GB, iPhone 13, ROW, CI/AR, Philippines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0" t="str">
        <f t="shared" si="1"/>
        <v>January</v>
      </c>
      <c r="B477" s="11">
        <f>IFERROR(__xludf.DUMMYFUNCTION("""COMPUTED_VALUE"""),46048.0)</f>
        <v>46048</v>
      </c>
      <c r="C477" s="2" t="str">
        <f>IFERROR(__xludf.DUMMYFUNCTION("""COMPUTED_VALUE"""),"MOBILECARE - CEBU")</f>
        <v>MOBILECARE - CEBU</v>
      </c>
      <c r="D477" s="2" t="str">
        <f>IFERROR(__xludf.DUMMYFUNCTION("""COMPUTED_VALUE"""),"TA661-36289")</f>
        <v>TA661-36289</v>
      </c>
      <c r="E477" s="2" t="str">
        <f>IFERROR(__xludf.DUMMYFUNCTION("""COMPUTED_VALUE"""),"Blue, iPhone 15, 128GB, ROW, CI/AR, Taiwan")</f>
        <v>Blue, iPhone 15, 128GB, ROW, CI/AR, Taiwan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0" t="str">
        <f t="shared" si="1"/>
        <v>January</v>
      </c>
      <c r="B478" s="11">
        <f>IFERROR(__xludf.DUMMYFUNCTION("""COMPUTED_VALUE"""),46034.0)</f>
        <v>46034</v>
      </c>
      <c r="C478" s="2" t="str">
        <f>IFERROR(__xludf.DUMMYFUNCTION("""COMPUTED_VALUE"""),"MOBILECARE - CEBU")</f>
        <v>MOBILECARE - CEBU</v>
      </c>
      <c r="D478" s="2" t="str">
        <f>IFERROR(__xludf.DUMMYFUNCTION("""COMPUTED_VALUE"""),"661-22294")</f>
        <v>661-22294</v>
      </c>
      <c r="E478" s="2" t="str">
        <f>IFERROR(__xludf.DUMMYFUNCTION("""COMPUTED_VALUE"""),"Battery, iPhone 13 Pro Max")</f>
        <v>Battery, iPhone 13 Pro Max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0" t="str">
        <f t="shared" si="1"/>
        <v>January</v>
      </c>
      <c r="B479" s="11">
        <f>IFERROR(__xludf.DUMMYFUNCTION("""COMPUTED_VALUE"""),46037.0)</f>
        <v>46037</v>
      </c>
      <c r="C479" s="2" t="str">
        <f>IFERROR(__xludf.DUMMYFUNCTION("""COMPUTED_VALUE"""),"MOBILECARE - CEBU")</f>
        <v>MOBILECARE - CEBU</v>
      </c>
      <c r="D479" s="2" t="str">
        <f>IFERROR(__xludf.DUMMYFUNCTION("""COMPUTED_VALUE"""),"661-21988")</f>
        <v>661-21988</v>
      </c>
      <c r="E479" s="2" t="str">
        <f>IFERROR(__xludf.DUMMYFUNCTION("""COMPUTED_VALUE"""),"Display, iPhone 13")</f>
        <v>Display, iPhone 13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0" t="str">
        <f t="shared" si="1"/>
        <v>January</v>
      </c>
      <c r="B480" s="11">
        <f>IFERROR(__xludf.DUMMYFUNCTION("""COMPUTED_VALUE"""),46032.0)</f>
        <v>46032</v>
      </c>
      <c r="C480" s="2" t="str">
        <f>IFERROR(__xludf.DUMMYFUNCTION("""COMPUTED_VALUE"""),"MOBILECARE - CEBU")</f>
        <v>MOBILECARE - CEBU</v>
      </c>
      <c r="D480" s="2" t="str">
        <f>IFERROR(__xludf.DUMMYFUNCTION("""COMPUTED_VALUE"""),"661-21991")</f>
        <v>661-21991</v>
      </c>
      <c r="E480" s="2" t="str">
        <f>IFERROR(__xludf.DUMMYFUNCTION("""COMPUTED_VALUE"""),"Battery, iPhone 13")</f>
        <v>Battery, iPhone 13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0" t="str">
        <f t="shared" si="1"/>
        <v>January</v>
      </c>
      <c r="B481" s="11">
        <f>IFERROR(__xludf.DUMMYFUNCTION("""COMPUTED_VALUE"""),46045.0)</f>
        <v>46045</v>
      </c>
      <c r="C481" s="2" t="str">
        <f>IFERROR(__xludf.DUMMYFUNCTION("""COMPUTED_VALUE"""),"MOBILECARE - CEBU")</f>
        <v>MOBILECARE - CEBU</v>
      </c>
      <c r="D481" s="2" t="str">
        <f>IFERROR(__xludf.DUMMYFUNCTION("""COMPUTED_VALUE"""),"TA661-36291")</f>
        <v>TA661-36291</v>
      </c>
      <c r="E481" s="2" t="str">
        <f>IFERROR(__xludf.DUMMYFUNCTION("""COMPUTED_VALUE"""),"Black, iPhone 15, 256GB, ROW, CI/AR, Taiwan")</f>
        <v>Black, iPhone 15, 256GB, ROW, CI/AR, Taiwan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0" t="str">
        <f t="shared" si="1"/>
        <v>January</v>
      </c>
      <c r="B482" s="11">
        <f>IFERROR(__xludf.DUMMYFUNCTION("""COMPUTED_VALUE"""),46032.0)</f>
        <v>46032</v>
      </c>
      <c r="C482" s="2" t="str">
        <f>IFERROR(__xludf.DUMMYFUNCTION("""COMPUTED_VALUE"""),"MOBILECARE - CEBU")</f>
        <v>MOBILECARE - CEBU</v>
      </c>
      <c r="D482" s="2" t="str">
        <f>IFERROR(__xludf.DUMMYFUNCTION("""COMPUTED_VALUE"""),"661-30382")</f>
        <v>661-30382</v>
      </c>
      <c r="E482" s="2" t="str">
        <f>IFERROR(__xludf.DUMMYFUNCTION("""COMPUTED_VALUE"""),"Battery, iPhone 14 Pro")</f>
        <v>Battery, iPhone 14 Pro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0" t="str">
        <f t="shared" si="1"/>
        <v>January</v>
      </c>
      <c r="B483" s="11">
        <f>IFERROR(__xludf.DUMMYFUNCTION("""COMPUTED_VALUE"""),46039.0)</f>
        <v>46039</v>
      </c>
      <c r="C483" s="2" t="str">
        <f>IFERROR(__xludf.DUMMYFUNCTION("""COMPUTED_VALUE"""),"MOBILECARE - CEBU")</f>
        <v>MOBILECARE - CEBU</v>
      </c>
      <c r="D483" s="2" t="str">
        <f>IFERROR(__xludf.DUMMYFUNCTION("""COMPUTED_VALUE"""),"PP661-22980")</f>
        <v>PP661-22980</v>
      </c>
      <c r="E483" s="2" t="str">
        <f>IFERROR(__xludf.DUMMYFUNCTION("""COMPUTED_VALUE"""),"Midnight, 128 GB, iPhone 13, ROW, CI/AR, Philippines")</f>
        <v>Midnight, 128 GB, iPhone 13, ROW, CI/AR, Philippines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0" t="str">
        <f t="shared" si="1"/>
        <v>January</v>
      </c>
      <c r="B484" s="11">
        <f>IFERROR(__xludf.DUMMYFUNCTION("""COMPUTED_VALUE"""),46032.0)</f>
        <v>46032</v>
      </c>
      <c r="C484" s="2" t="str">
        <f>IFERROR(__xludf.DUMMYFUNCTION("""COMPUTED_VALUE"""),"MOBILECARE - CEBU")</f>
        <v>MOBILECARE - CEBU</v>
      </c>
      <c r="D484" s="2" t="str">
        <f>IFERROR(__xludf.DUMMYFUNCTION("""COMPUTED_VALUE"""),"661-44955")</f>
        <v>661-44955</v>
      </c>
      <c r="E484" s="2" t="str">
        <f>IFERROR(__xludf.DUMMYFUNCTION("""COMPUTED_VALUE"""),"Display, iPhone 16 Pro Max")</f>
        <v>Display, iPhone 16 Pro Max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0" t="str">
        <f t="shared" si="1"/>
        <v>January</v>
      </c>
      <c r="B485" s="11">
        <f>IFERROR(__xludf.DUMMYFUNCTION("""COMPUTED_VALUE"""),46027.0)</f>
        <v>46027</v>
      </c>
      <c r="C485" s="2" t="str">
        <f>IFERROR(__xludf.DUMMYFUNCTION("""COMPUTED_VALUE"""),"MOBILECARE - CEBU")</f>
        <v>MOBILECARE - CEBU</v>
      </c>
      <c r="D485" s="2" t="str">
        <f>IFERROR(__xludf.DUMMYFUNCTION("""COMPUTED_VALUE"""),"661-21988")</f>
        <v>661-21988</v>
      </c>
      <c r="E485" s="2" t="str">
        <f>IFERROR(__xludf.DUMMYFUNCTION("""COMPUTED_VALUE"""),"Display, iPhone 13")</f>
        <v>Display, iPhone 13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0" t="str">
        <f t="shared" si="1"/>
        <v>January</v>
      </c>
      <c r="B486" s="11">
        <f>IFERROR(__xludf.DUMMYFUNCTION("""COMPUTED_VALUE"""),46038.0)</f>
        <v>46038</v>
      </c>
      <c r="C486" s="2" t="str">
        <f>IFERROR(__xludf.DUMMYFUNCTION("""COMPUTED_VALUE"""),"MOBILECARE - CEBU")</f>
        <v>MOBILECARE - CEBU</v>
      </c>
      <c r="D486" s="2" t="str">
        <f>IFERROR(__xludf.DUMMYFUNCTION("""COMPUTED_VALUE"""),"PP661-13315")</f>
        <v>PP661-13315</v>
      </c>
      <c r="E486" s="2" t="str">
        <f>IFERROR(__xludf.DUMMYFUNCTION("""COMPUTED_VALUE"""),"64GB, Black, ROW, iPhone 11, CI/AR-PPN")</f>
        <v>64GB, Black, ROW, iPhone 11, CI/AR-PPN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0" t="str">
        <f t="shared" si="1"/>
        <v>January</v>
      </c>
      <c r="B487" s="11">
        <f>IFERROR(__xludf.DUMMYFUNCTION("""COMPUTED_VALUE"""),46030.0)</f>
        <v>46030</v>
      </c>
      <c r="C487" s="2" t="str">
        <f>IFERROR(__xludf.DUMMYFUNCTION("""COMPUTED_VALUE"""),"MOBILECARE - CEBU")</f>
        <v>MOBILECARE - CEBU</v>
      </c>
      <c r="D487" s="2" t="str">
        <f>IFERROR(__xludf.DUMMYFUNCTION("""COMPUTED_VALUE"""),"661-30366")</f>
        <v>661-30366</v>
      </c>
      <c r="E487" s="2" t="str">
        <f>IFERROR(__xludf.DUMMYFUNCTION("""COMPUTED_VALUE"""),"Display, iPhone 14")</f>
        <v>Display, iPhone 14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0" t="str">
        <f t="shared" si="1"/>
        <v>January</v>
      </c>
      <c r="B488" s="11">
        <f>IFERROR(__xludf.DUMMYFUNCTION("""COMPUTED_VALUE"""),46041.0)</f>
        <v>46041</v>
      </c>
      <c r="C488" s="2" t="str">
        <f>IFERROR(__xludf.DUMMYFUNCTION("""COMPUTED_VALUE"""),"MOBILECARE - CEBU")</f>
        <v>MOBILECARE - CEBU</v>
      </c>
      <c r="D488" s="2" t="str">
        <f>IFERROR(__xludf.DUMMYFUNCTION("""COMPUTED_VALUE"""),"TA661-36903")</f>
        <v>TA661-36903</v>
      </c>
      <c r="E488" s="2" t="str">
        <f>IFERROR(__xludf.DUMMYFUNCTION("""COMPUTED_VALUE"""),"White, iPhone 15 Pro Max, 1TB, ROW, CI/AR, Taiwan")</f>
        <v>White, iPhone 15 Pro Max, 1TB, ROW, CI/AR, Taiwan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0" t="str">
        <f t="shared" si="1"/>
        <v>January</v>
      </c>
      <c r="B489" s="11">
        <f>IFERROR(__xludf.DUMMYFUNCTION("""COMPUTED_VALUE"""),46051.0)</f>
        <v>46051</v>
      </c>
      <c r="C489" s="2" t="str">
        <f>IFERROR(__xludf.DUMMYFUNCTION("""COMPUTED_VALUE"""),"MOBILECARE - CEBU")</f>
        <v>MOBILECARE - CEBU</v>
      </c>
      <c r="D489" s="2" t="str">
        <f>IFERROR(__xludf.DUMMYFUNCTION("""COMPUTED_VALUE"""),"PP661-13223")</f>
        <v>PP661-13223</v>
      </c>
      <c r="E489" s="2" t="str">
        <f>IFERROR(__xludf.DUMMYFUNCTION("""COMPUTED_VALUE"""),"512GB, Gold, ROW, iPhone 11 Pro, CI/AR-PP")</f>
        <v>512GB, Gold, ROW, iPhone 11 Pro, CI/AR-PP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0" t="str">
        <f t="shared" si="1"/>
        <v>January</v>
      </c>
      <c r="B490" s="11">
        <f>IFERROR(__xludf.DUMMYFUNCTION("""COMPUTED_VALUE"""),46039.0)</f>
        <v>46039</v>
      </c>
      <c r="C490" s="2" t="str">
        <f>IFERROR(__xludf.DUMMYFUNCTION("""COMPUTED_VALUE"""),"MOBILECARE - CEBU")</f>
        <v>MOBILECARE - CEBU</v>
      </c>
      <c r="D490" s="2" t="str">
        <f>IFERROR(__xludf.DUMMYFUNCTION("""COMPUTED_VALUE"""),"PP661-22980")</f>
        <v>PP661-22980</v>
      </c>
      <c r="E490" s="2" t="str">
        <f>IFERROR(__xludf.DUMMYFUNCTION("""COMPUTED_VALUE"""),"Midnight, 128 GB, iPhone 13, ROW, CI/AR, Philippines")</f>
        <v>Midnight, 128 GB, iPhone 13, ROW, CI/AR, Philippines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0" t="str">
        <f t="shared" si="1"/>
        <v>January</v>
      </c>
      <c r="B491" s="11">
        <f>IFERROR(__xludf.DUMMYFUNCTION("""COMPUTED_VALUE"""),46038.0)</f>
        <v>46038</v>
      </c>
      <c r="C491" s="2" t="str">
        <f>IFERROR(__xludf.DUMMYFUNCTION("""COMPUTED_VALUE"""),"MOBILECARE - CEBU")</f>
        <v>MOBILECARE - CEBU</v>
      </c>
      <c r="D491" s="2" t="str">
        <f>IFERROR(__xludf.DUMMYFUNCTION("""COMPUTED_VALUE"""),"PP661-22980")</f>
        <v>PP661-22980</v>
      </c>
      <c r="E491" s="2" t="str">
        <f>IFERROR(__xludf.DUMMYFUNCTION("""COMPUTED_VALUE"""),"Midnight, 128 GB, iPhone 13, ROW, CI/AR, Philippines")</f>
        <v>Midnight, 128 GB, iPhone 13, ROW, CI/AR, Philippines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0" t="str">
        <f t="shared" si="1"/>
        <v>January</v>
      </c>
      <c r="B492" s="11">
        <f>IFERROR(__xludf.DUMMYFUNCTION("""COMPUTED_VALUE"""),46030.0)</f>
        <v>46030</v>
      </c>
      <c r="C492" s="2" t="str">
        <f>IFERROR(__xludf.DUMMYFUNCTION("""COMPUTED_VALUE"""),"MOBILECARE - CEBU")</f>
        <v>MOBILECARE - CEBU</v>
      </c>
      <c r="D492" s="2" t="str">
        <f>IFERROR(__xludf.DUMMYFUNCTION("""COMPUTED_VALUE"""),"PP661-10913")</f>
        <v>PP661-10913</v>
      </c>
      <c r="E492" s="2" t="str">
        <f>IFERROR(__xludf.DUMMYFUNCTION("""COMPUTED_VALUE"""),"128GB, White, ROW, iPhone XR, CI/AR-PPN")</f>
        <v>128GB, White, ROW, iPhone XR, CI/AR-PPN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0" t="str">
        <f t="shared" si="1"/>
        <v>January</v>
      </c>
      <c r="B493" s="11">
        <f>IFERROR(__xludf.DUMMYFUNCTION("""COMPUTED_VALUE"""),46045.0)</f>
        <v>46045</v>
      </c>
      <c r="C493" s="2" t="str">
        <f>IFERROR(__xludf.DUMMYFUNCTION("""COMPUTED_VALUE"""),"MOBILECARE - CEBU")</f>
        <v>MOBILECARE - CEBU</v>
      </c>
      <c r="D493" s="2" t="str">
        <f>IFERROR(__xludf.DUMMYFUNCTION("""COMPUTED_VALUE"""),"TA661-43507")</f>
        <v>TA661-43507</v>
      </c>
      <c r="E493" s="2" t="str">
        <f>IFERROR(__xludf.DUMMYFUNCTION("""COMPUTED_VALUE"""),"256GB, Teal, ROW, iPhone 16, CI/AR")</f>
        <v>256GB, Teal, ROW, iPhone 16, CI/AR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0" t="str">
        <f t="shared" si="1"/>
        <v>January</v>
      </c>
      <c r="B494" s="11">
        <f>IFERROR(__xludf.DUMMYFUNCTION("""COMPUTED_VALUE"""),46042.0)</f>
        <v>46042</v>
      </c>
      <c r="C494" s="2" t="str">
        <f>IFERROR(__xludf.DUMMYFUNCTION("""COMPUTED_VALUE"""),"MOBILECARE - CEBU")</f>
        <v>MOBILECARE - CEBU</v>
      </c>
      <c r="D494" s="2" t="str">
        <f>IFERROR(__xludf.DUMMYFUNCTION("""COMPUTED_VALUE"""),"TA661-36287")</f>
        <v>TA661-36287</v>
      </c>
      <c r="E494" s="2" t="str">
        <f>IFERROR(__xludf.DUMMYFUNCTION("""COMPUTED_VALUE"""),"Pink, iPhone 15, 128GB, ROW, CI/AR, Taiwan")</f>
        <v>Pink, iPhone 15, 128GB, ROW, CI/AR, Taiwan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0" t="str">
        <f t="shared" si="1"/>
        <v>January</v>
      </c>
      <c r="B495" s="11">
        <f>IFERROR(__xludf.DUMMYFUNCTION("""COMPUTED_VALUE"""),46044.0)</f>
        <v>46044</v>
      </c>
      <c r="C495" s="2" t="str">
        <f>IFERROR(__xludf.DUMMYFUNCTION("""COMPUTED_VALUE"""),"MOBILECARE - CEBU")</f>
        <v>MOBILECARE - CEBU</v>
      </c>
      <c r="D495" s="2" t="str">
        <f>IFERROR(__xludf.DUMMYFUNCTION("""COMPUTED_VALUE"""),"PP661-22981")</f>
        <v>PP661-22981</v>
      </c>
      <c r="E495" s="2" t="str">
        <f>IFERROR(__xludf.DUMMYFUNCTION("""COMPUTED_VALUE"""),"Starlight, 128 GB, iPhone 13, ROW, CI/AR, Philippines")</f>
        <v>Starlight, 128 GB, iPhone 13, ROW, CI/AR, Philippines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0" t="str">
        <f t="shared" si="1"/>
        <v>January</v>
      </c>
      <c r="B496" s="11">
        <f>IFERROR(__xludf.DUMMYFUNCTION("""COMPUTED_VALUE"""),46037.0)</f>
        <v>46037</v>
      </c>
      <c r="C496" s="2" t="str">
        <f>IFERROR(__xludf.DUMMYFUNCTION("""COMPUTED_VALUE"""),"MOBILECARE - CEBU")</f>
        <v>MOBILECARE - CEBU</v>
      </c>
      <c r="D496" s="2" t="str">
        <f>IFERROR(__xludf.DUMMYFUNCTION("""COMPUTED_VALUE"""),"TA661-35558")</f>
        <v>TA661-35558</v>
      </c>
      <c r="E496" s="2" t="str">
        <f>IFERROR(__xludf.DUMMYFUNCTION("""COMPUTED_VALUE"""),"Natural, iPhone 15 Pro, 256GB, ROW, CI/AR, Taiwan")</f>
        <v>Natural, iPhone 15 Pro, 256GB, ROW, CI/AR, Taiwan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0" t="str">
        <f t="shared" si="1"/>
        <v>January</v>
      </c>
      <c r="B497" s="11">
        <f>IFERROR(__xludf.DUMMYFUNCTION("""COMPUTED_VALUE"""),46030.0)</f>
        <v>46030</v>
      </c>
      <c r="C497" s="2" t="str">
        <f>IFERROR(__xludf.DUMMYFUNCTION("""COMPUTED_VALUE"""),"MOBILECARE - CEBU")</f>
        <v>MOBILECARE - CEBU</v>
      </c>
      <c r="D497" s="2" t="str">
        <f>IFERROR(__xludf.DUMMYFUNCTION("""COMPUTED_VALUE"""),"661-22309")</f>
        <v>661-22309</v>
      </c>
      <c r="E497" s="2" t="str">
        <f>IFERROR(__xludf.DUMMYFUNCTION("""COMPUTED_VALUE"""),"Display, iPhone 13 Pro Max")</f>
        <v>Display, iPhone 13 Pro Max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0" t="str">
        <f t="shared" si="1"/>
        <v>January</v>
      </c>
      <c r="B498" s="11">
        <f>IFERROR(__xludf.DUMMYFUNCTION("""COMPUTED_VALUE"""),46030.0)</f>
        <v>46030</v>
      </c>
      <c r="C498" s="2" t="str">
        <f>IFERROR(__xludf.DUMMYFUNCTION("""COMPUTED_VALUE"""),"MOBILECARE - CEBU")</f>
        <v>MOBILECARE - CEBU</v>
      </c>
      <c r="D498" s="2" t="str">
        <f>IFERROR(__xludf.DUMMYFUNCTION("""COMPUTED_VALUE"""),"661-22294")</f>
        <v>661-22294</v>
      </c>
      <c r="E498" s="2" t="str">
        <f>IFERROR(__xludf.DUMMYFUNCTION("""COMPUTED_VALUE"""),"Battery, iPhone 13 Pro Max")</f>
        <v>Battery, iPhone 13 Pro Max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0" t="str">
        <f t="shared" si="1"/>
        <v>January</v>
      </c>
      <c r="B499" s="11">
        <f>IFERROR(__xludf.DUMMYFUNCTION("""COMPUTED_VALUE"""),46041.0)</f>
        <v>46041</v>
      </c>
      <c r="C499" s="2" t="str">
        <f>IFERROR(__xludf.DUMMYFUNCTION("""COMPUTED_VALUE"""),"MOBILECARE - CEBU")</f>
        <v>MOBILECARE - CEBU</v>
      </c>
      <c r="D499" s="2" t="str">
        <f>IFERROR(__xludf.DUMMYFUNCTION("""COMPUTED_VALUE"""),"TA661-35491")</f>
        <v>TA661-35491</v>
      </c>
      <c r="E499" s="2" t="str">
        <f>IFERROR(__xludf.DUMMYFUNCTION("""COMPUTED_VALUE"""),"Pink, iPhone 15 Plus, 128GB, ROW, CI/AR, Taiwan")</f>
        <v>Pink, iPhone 15 Plus, 128GB, ROW, CI/AR, Taiwan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0" t="str">
        <f t="shared" si="1"/>
        <v>January</v>
      </c>
      <c r="B500" s="11">
        <f>IFERROR(__xludf.DUMMYFUNCTION("""COMPUTED_VALUE"""),46045.0)</f>
        <v>46045</v>
      </c>
      <c r="C500" s="2" t="str">
        <f>IFERROR(__xludf.DUMMYFUNCTION("""COMPUTED_VALUE"""),"MOBILECARE - CEBU")</f>
        <v>MOBILECARE - CEBU</v>
      </c>
      <c r="D500" s="2" t="str">
        <f>IFERROR(__xludf.DUMMYFUNCTION("""COMPUTED_VALUE"""),"PP661-22981")</f>
        <v>PP661-22981</v>
      </c>
      <c r="E500" s="2" t="str">
        <f>IFERROR(__xludf.DUMMYFUNCTION("""COMPUTED_VALUE"""),"Starlight, 128 GB, iPhone 13, ROW, CI/AR, Philippines")</f>
        <v>Starlight, 128 GB, iPhone 13, ROW, CI/AR, Philippines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0" t="str">
        <f t="shared" si="1"/>
        <v>January</v>
      </c>
      <c r="B501" s="11">
        <f>IFERROR(__xludf.DUMMYFUNCTION("""COMPUTED_VALUE"""),46032.0)</f>
        <v>46032</v>
      </c>
      <c r="C501" s="2" t="str">
        <f>IFERROR(__xludf.DUMMYFUNCTION("""COMPUTED_VALUE"""),"MOBILECARE - CEBU")</f>
        <v>MOBILECARE - CEBU</v>
      </c>
      <c r="D501" s="2" t="str">
        <f>IFERROR(__xludf.DUMMYFUNCTION("""COMPUTED_VALUE"""),"PP661-22980")</f>
        <v>PP661-22980</v>
      </c>
      <c r="E501" s="2" t="str">
        <f>IFERROR(__xludf.DUMMYFUNCTION("""COMPUTED_VALUE"""),"Midnight, 128 GB, iPhone 13, ROW, CI/AR, Philippines")</f>
        <v>Midnight, 128 GB, iPhone 13, ROW, CI/AR, Philippines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0" t="str">
        <f t="shared" si="1"/>
        <v>January</v>
      </c>
      <c r="B502" s="11">
        <f>IFERROR(__xludf.DUMMYFUNCTION("""COMPUTED_VALUE"""),46034.0)</f>
        <v>46034</v>
      </c>
      <c r="C502" s="2" t="str">
        <f>IFERROR(__xludf.DUMMYFUNCTION("""COMPUTED_VALUE"""),"MOBILECARE - CEBU")</f>
        <v>MOBILECARE - CEBU</v>
      </c>
      <c r="D502" s="2" t="str">
        <f>IFERROR(__xludf.DUMMYFUNCTION("""COMPUTED_VALUE"""),"PP661-22985")</f>
        <v>PP661-22985</v>
      </c>
      <c r="E502" s="2" t="str">
        <f>IFERROR(__xludf.DUMMYFUNCTION("""COMPUTED_VALUE"""),"Midnight, 256 GB, iPhone 13, ROW, CI/AR, Philippines")</f>
        <v>Midnight, 256 GB, iPhone 13, ROW, CI/AR, Philippines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0" t="str">
        <f t="shared" si="1"/>
        <v>January</v>
      </c>
      <c r="B503" s="11">
        <f>IFERROR(__xludf.DUMMYFUNCTION("""COMPUTED_VALUE"""),46027.0)</f>
        <v>46027</v>
      </c>
      <c r="C503" s="2" t="str">
        <f>IFERROR(__xludf.DUMMYFUNCTION("""COMPUTED_VALUE"""),"MOBILECARE - CEBU")</f>
        <v>MOBILECARE - CEBU</v>
      </c>
      <c r="D503" s="2" t="str">
        <f>IFERROR(__xludf.DUMMYFUNCTION("""COMPUTED_VALUE"""),"PP661-22981")</f>
        <v>PP661-22981</v>
      </c>
      <c r="E503" s="2" t="str">
        <f>IFERROR(__xludf.DUMMYFUNCTION("""COMPUTED_VALUE"""),"Starlight, 128 GB, iPhone 13, ROW, CI/AR, Philippines")</f>
        <v>Starlight, 128 GB, iPhone 13, ROW, CI/AR, Philippines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0" t="str">
        <f t="shared" si="1"/>
        <v>January</v>
      </c>
      <c r="B504" s="11">
        <f>IFERROR(__xludf.DUMMYFUNCTION("""COMPUTED_VALUE"""),46051.0)</f>
        <v>46051</v>
      </c>
      <c r="C504" s="2" t="str">
        <f>IFERROR(__xludf.DUMMYFUNCTION("""COMPUTED_VALUE"""),"MOBILECARE - CEBU")</f>
        <v>MOBILECARE - CEBU</v>
      </c>
      <c r="D504" s="2" t="str">
        <f>IFERROR(__xludf.DUMMYFUNCTION("""COMPUTED_VALUE"""),"PP661-22980")</f>
        <v>PP661-22980</v>
      </c>
      <c r="E504" s="2" t="str">
        <f>IFERROR(__xludf.DUMMYFUNCTION("""COMPUTED_VALUE"""),"Midnight, 128 GB, iPhone 13, ROW, CI/AR, Philippines")</f>
        <v>Midnight, 128 GB, iPhone 13, ROW, CI/AR, Philippines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0" t="str">
        <f t="shared" si="1"/>
        <v>January</v>
      </c>
      <c r="B505" s="11">
        <f>IFERROR(__xludf.DUMMYFUNCTION("""COMPUTED_VALUE"""),46051.0)</f>
        <v>46051</v>
      </c>
      <c r="C505" s="2" t="str">
        <f>IFERROR(__xludf.DUMMYFUNCTION("""COMPUTED_VALUE"""),"MOBILECARE - CEBU")</f>
        <v>MOBILECARE - CEBU</v>
      </c>
      <c r="D505" s="2" t="str">
        <f>IFERROR(__xludf.DUMMYFUNCTION("""COMPUTED_VALUE"""),"PP661-22980")</f>
        <v>PP661-22980</v>
      </c>
      <c r="E505" s="2" t="str">
        <f>IFERROR(__xludf.DUMMYFUNCTION("""COMPUTED_VALUE"""),"Midnight, 128 GB, iPhone 13, ROW, CI/AR, Philippines")</f>
        <v>Midnight, 128 GB, iPhone 13, ROW, CI/AR, Philippines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0" t="str">
        <f t="shared" si="1"/>
        <v>May</v>
      </c>
      <c r="B506" s="11">
        <f>IFERROR(__xludf.DUMMYFUNCTION("""COMPUTED_VALUE"""),46170.0)</f>
        <v>46170</v>
      </c>
      <c r="C506" s="2" t="str">
        <f>IFERROR(__xludf.DUMMYFUNCTION("""COMPUTED_VALUE"""),"MOBILECARE - APP FESTIVAL MALL")</f>
        <v>MOBILECARE - APP FESTIVAL MALL</v>
      </c>
      <c r="D506" s="2" t="str">
        <f>IFERROR(__xludf.DUMMYFUNCTION("""COMPUTED_VALUE"""),"661-22374")</f>
        <v>661-22374</v>
      </c>
      <c r="E506" s="2" t="str">
        <f>IFERROR(__xludf.DUMMYFUNCTION("""COMPUTED_VALUE"""),"Battery, iPhone 13 mini")</f>
        <v>Battery, iPhone 13 mini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0" t="str">
        <f t="shared" si="1"/>
        <v>May</v>
      </c>
      <c r="B507" s="11">
        <f>IFERROR(__xludf.DUMMYFUNCTION("""COMPUTED_VALUE"""),46163.0)</f>
        <v>46163</v>
      </c>
      <c r="C507" s="2" t="str">
        <f>IFERROR(__xludf.DUMMYFUNCTION("""COMPUTED_VALUE"""),"MOBILECARE - APP FESTIVAL MALL")</f>
        <v>MOBILECARE - APP FESTIVAL MALL</v>
      </c>
      <c r="D507" s="2" t="str">
        <f>IFERROR(__xludf.DUMMYFUNCTION("""COMPUTED_VALUE"""),"661-21991")</f>
        <v>661-21991</v>
      </c>
      <c r="E507" s="2" t="str">
        <f>IFERROR(__xludf.DUMMYFUNCTION("""COMPUTED_VALUE"""),"Battery, iPhone 13")</f>
        <v>Battery, iPhone 13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0" t="str">
        <f t="shared" si="1"/>
        <v>May</v>
      </c>
      <c r="B508" s="11">
        <f>IFERROR(__xludf.DUMMYFUNCTION("""COMPUTED_VALUE"""),46153.0)</f>
        <v>46153</v>
      </c>
      <c r="C508" s="2" t="str">
        <f>IFERROR(__xludf.DUMMYFUNCTION("""COMPUTED_VALUE"""),"MOBILECARE - APP FESTIVAL MALL")</f>
        <v>MOBILECARE - APP FESTIVAL MALL</v>
      </c>
      <c r="D508" s="2" t="str">
        <f>IFERROR(__xludf.DUMMYFUNCTION("""COMPUTED_VALUE"""),"661-21991")</f>
        <v>661-21991</v>
      </c>
      <c r="E508" s="2" t="str">
        <f>IFERROR(__xludf.DUMMYFUNCTION("""COMPUTED_VALUE"""),"Battery, iPhone 13")</f>
        <v>Battery, iPhone 13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0" t="str">
        <f t="shared" si="1"/>
        <v>April</v>
      </c>
      <c r="B509" s="11">
        <f>IFERROR(__xludf.DUMMYFUNCTION("""COMPUTED_VALUE"""),46131.0)</f>
        <v>46131</v>
      </c>
      <c r="C509" s="2" t="str">
        <f>IFERROR(__xludf.DUMMYFUNCTION("""COMPUTED_VALUE"""),"MOBILECARE - APP FESTIVAL MALL")</f>
        <v>MOBILECARE - APP FESTIVAL MALL</v>
      </c>
      <c r="D509" s="2" t="str">
        <f>IFERROR(__xludf.DUMMYFUNCTION("""COMPUTED_VALUE"""),"661-56125")</f>
        <v>661-56125</v>
      </c>
      <c r="E509" s="2" t="str">
        <f>IFERROR(__xludf.DUMMYFUNCTION("""COMPUTED_VALUE"""),"Display, iPhone 17 Pro")</f>
        <v>Display, iPhone 17 Pro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0" t="str">
        <f t="shared" si="1"/>
        <v>April</v>
      </c>
      <c r="B510" s="11">
        <f>IFERROR(__xludf.DUMMYFUNCTION("""COMPUTED_VALUE"""),46128.0)</f>
        <v>46128</v>
      </c>
      <c r="C510" s="2" t="str">
        <f>IFERROR(__xludf.DUMMYFUNCTION("""COMPUTED_VALUE"""),"MOBILECARE - APP FESTIVAL MALL")</f>
        <v>MOBILECARE - APP FESTIVAL MALL</v>
      </c>
      <c r="D510" s="2" t="str">
        <f>IFERROR(__xludf.DUMMYFUNCTION("""COMPUTED_VALUE"""),"661-13574")</f>
        <v>661-13574</v>
      </c>
      <c r="E510" s="2" t="str">
        <f>IFERROR(__xludf.DUMMYFUNCTION("""COMPUTED_VALUE"""),"Battery, iPhone 11")</f>
        <v>Battery, iPhone 11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0" t="str">
        <f t="shared" si="1"/>
        <v>March</v>
      </c>
      <c r="B511" s="11">
        <f>IFERROR(__xludf.DUMMYFUNCTION("""COMPUTED_VALUE"""),46107.0)</f>
        <v>46107</v>
      </c>
      <c r="C511" s="2" t="str">
        <f>IFERROR(__xludf.DUMMYFUNCTION("""COMPUTED_VALUE"""),"MOBILECARE - APP FESTIVAL MALL")</f>
        <v>MOBILECARE - APP FESTIVAL MALL</v>
      </c>
      <c r="D511" s="2" t="str">
        <f>IFERROR(__xludf.DUMMYFUNCTION("""COMPUTED_VALUE"""),"661-21991")</f>
        <v>661-21991</v>
      </c>
      <c r="E511" s="2" t="str">
        <f>IFERROR(__xludf.DUMMYFUNCTION("""COMPUTED_VALUE"""),"Battery, iPhone 13")</f>
        <v>Battery, iPhone 13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0" t="str">
        <f t="shared" si="1"/>
        <v>March</v>
      </c>
      <c r="B512" s="11">
        <f>IFERROR(__xludf.DUMMYFUNCTION("""COMPUTED_VALUE"""),46091.0)</f>
        <v>46091</v>
      </c>
      <c r="C512" s="2" t="str">
        <f>IFERROR(__xludf.DUMMYFUNCTION("""COMPUTED_VALUE"""),"MOBILECARE - APP FESTIVAL MALL")</f>
        <v>MOBILECARE - APP FESTIVAL MALL</v>
      </c>
      <c r="D512" s="2" t="str">
        <f>IFERROR(__xludf.DUMMYFUNCTION("""COMPUTED_VALUE"""),"661-22294")</f>
        <v>661-22294</v>
      </c>
      <c r="E512" s="2" t="str">
        <f>IFERROR(__xludf.DUMMYFUNCTION("""COMPUTED_VALUE"""),"Battery, iPhone 13 Pro Max")</f>
        <v>Battery, iPhone 13 Pro Max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0" t="str">
        <f t="shared" si="1"/>
        <v>February</v>
      </c>
      <c r="B513" s="11">
        <f>IFERROR(__xludf.DUMMYFUNCTION("""COMPUTED_VALUE"""),46075.0)</f>
        <v>46075</v>
      </c>
      <c r="C513" s="2" t="str">
        <f>IFERROR(__xludf.DUMMYFUNCTION("""COMPUTED_VALUE"""),"MOBILECARE - APP FESTIVAL MALL")</f>
        <v>MOBILECARE - APP FESTIVAL MALL</v>
      </c>
      <c r="D513" s="2" t="str">
        <f>IFERROR(__xludf.DUMMYFUNCTION("""COMPUTED_VALUE"""),"661-21988")</f>
        <v>661-21988</v>
      </c>
      <c r="E513" s="2" t="str">
        <f>IFERROR(__xludf.DUMMYFUNCTION("""COMPUTED_VALUE"""),"Display, iPhone 13")</f>
        <v>Display, iPhone 13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0" t="str">
        <f t="shared" si="1"/>
        <v>February</v>
      </c>
      <c r="B514" s="11">
        <f>IFERROR(__xludf.DUMMYFUNCTION("""COMPUTED_VALUE"""),46068.0)</f>
        <v>46068</v>
      </c>
      <c r="C514" s="2" t="str">
        <f>IFERROR(__xludf.DUMMYFUNCTION("""COMPUTED_VALUE"""),"MOBILECARE - APP FESTIVAL MALL")</f>
        <v>MOBILECARE - APP FESTIVAL MALL</v>
      </c>
      <c r="D514" s="2" t="str">
        <f>IFERROR(__xludf.DUMMYFUNCTION("""COMPUTED_VALUE"""),"661-21991")</f>
        <v>661-21991</v>
      </c>
      <c r="E514" s="2" t="str">
        <f>IFERROR(__xludf.DUMMYFUNCTION("""COMPUTED_VALUE"""),"Battery, iPhone 13")</f>
        <v>Battery, iPhone 13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0" t="str">
        <f t="shared" si="1"/>
        <v>February</v>
      </c>
      <c r="B515" s="11">
        <f>IFERROR(__xludf.DUMMYFUNCTION("""COMPUTED_VALUE"""),46058.0)</f>
        <v>46058</v>
      </c>
      <c r="C515" s="2" t="str">
        <f>IFERROR(__xludf.DUMMYFUNCTION("""COMPUTED_VALUE"""),"MOBILECARE - APP FESTIVAL MALL")</f>
        <v>MOBILECARE - APP FESTIVAL MALL</v>
      </c>
      <c r="D515" s="2" t="str">
        <f>IFERROR(__xludf.DUMMYFUNCTION("""COMPUTED_VALUE"""),"661-56050")</f>
        <v>661-56050</v>
      </c>
      <c r="E515" s="2" t="str">
        <f>IFERROR(__xludf.DUMMYFUNCTION("""COMPUTED_VALUE"""),"Display, iPhone 17 Pro Max")</f>
        <v>Display, iPhone 17 Pro Max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0" t="str">
        <f t="shared" si="1"/>
        <v>February</v>
      </c>
      <c r="B516" s="11">
        <f>IFERROR(__xludf.DUMMYFUNCTION("""COMPUTED_VALUE"""),46054.0)</f>
        <v>46054</v>
      </c>
      <c r="C516" s="2" t="str">
        <f>IFERROR(__xludf.DUMMYFUNCTION("""COMPUTED_VALUE"""),"MOBILECARE - APP FESTIVAL MALL")</f>
        <v>MOBILECARE - APP FESTIVAL MALL</v>
      </c>
      <c r="D516" s="2" t="str">
        <f>IFERROR(__xludf.DUMMYFUNCTION("""COMPUTED_VALUE"""),"661-18428")</f>
        <v>661-18428</v>
      </c>
      <c r="E516" s="2" t="str">
        <f>IFERROR(__xludf.DUMMYFUNCTION("""COMPUTED_VALUE"""),"Battery, iPhone 12 Pro Max")</f>
        <v>Battery, iPhone 12 Pro Max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0" t="str">
        <f t="shared" si="1"/>
        <v>January</v>
      </c>
      <c r="B517" s="11">
        <f>IFERROR(__xludf.DUMMYFUNCTION("""COMPUTED_VALUE"""),46047.0)</f>
        <v>46047</v>
      </c>
      <c r="C517" s="2" t="str">
        <f>IFERROR(__xludf.DUMMYFUNCTION("""COMPUTED_VALUE"""),"MOBILECARE - APP FESTIVAL MALL")</f>
        <v>MOBILECARE - APP FESTIVAL MALL</v>
      </c>
      <c r="D517" s="2" t="str">
        <f>IFERROR(__xludf.DUMMYFUNCTION("""COMPUTED_VALUE"""),"661-30366")</f>
        <v>661-30366</v>
      </c>
      <c r="E517" s="2" t="str">
        <f>IFERROR(__xludf.DUMMYFUNCTION("""COMPUTED_VALUE"""),"Display, iPhone 14")</f>
        <v>Display, iPhone 14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0" t="str">
        <f t="shared" si="1"/>
        <v>January</v>
      </c>
      <c r="B518" s="11">
        <f>IFERROR(__xludf.DUMMYFUNCTION("""COMPUTED_VALUE"""),46041.0)</f>
        <v>46041</v>
      </c>
      <c r="C518" s="2" t="str">
        <f>IFERROR(__xludf.DUMMYFUNCTION("""COMPUTED_VALUE"""),"MOBILECARE - APP FESTIVAL MALL")</f>
        <v>MOBILECARE - APP FESTIVAL MALL</v>
      </c>
      <c r="D518" s="2" t="str">
        <f>IFERROR(__xludf.DUMMYFUNCTION("""COMPUTED_VALUE"""),"661-56125")</f>
        <v>661-56125</v>
      </c>
      <c r="E518" s="2" t="str">
        <f>IFERROR(__xludf.DUMMYFUNCTION("""COMPUTED_VALUE"""),"Display, iPhone 17 Pro")</f>
        <v>Display, iPhone 17 Pro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0" t="str">
        <f t="shared" si="1"/>
        <v>January</v>
      </c>
      <c r="B519" s="11">
        <f>IFERROR(__xludf.DUMMYFUNCTION("""COMPUTED_VALUE"""),46046.0)</f>
        <v>46046</v>
      </c>
      <c r="C519" s="2" t="str">
        <f>IFERROR(__xludf.DUMMYFUNCTION("""COMPUTED_VALUE"""),"MOBILECARE - APP FESTIVAL MALL")</f>
        <v>MOBILECARE - APP FESTIVAL MALL</v>
      </c>
      <c r="D519" s="2" t="str">
        <f>IFERROR(__xludf.DUMMYFUNCTION("""COMPUTED_VALUE"""),"661-22309")</f>
        <v>661-22309</v>
      </c>
      <c r="E519" s="2" t="str">
        <f>IFERROR(__xludf.DUMMYFUNCTION("""COMPUTED_VALUE"""),"Display, iPhone 13 Pro Max")</f>
        <v>Display, iPhone 13 Pro Max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0" t="str">
        <f t="shared" si="1"/>
        <v>March</v>
      </c>
      <c r="B520" s="11">
        <f>IFERROR(__xludf.DUMMYFUNCTION("""COMPUTED_VALUE"""),46108.0)</f>
        <v>46108</v>
      </c>
      <c r="C520" s="2" t="str">
        <f>IFERROR(__xludf.DUMMYFUNCTION("""COMPUTED_VALUE"""),"MOBILECARE - APP FESTIVAL MALL")</f>
        <v>MOBILECARE - APP FESTIVAL MALL</v>
      </c>
      <c r="D520" s="2" t="str">
        <f>IFERROR(__xludf.DUMMYFUNCTION("""COMPUTED_VALUE"""),"661-22294")</f>
        <v>661-22294</v>
      </c>
      <c r="E520" s="2" t="str">
        <f>IFERROR(__xludf.DUMMYFUNCTION("""COMPUTED_VALUE"""),"Battery, iPhone 13 Pro Max")</f>
        <v>Battery, iPhone 13 Pro Max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0" t="str">
        <f t="shared" si="1"/>
        <v>January</v>
      </c>
      <c r="B521" s="11">
        <f>IFERROR(__xludf.DUMMYFUNCTION("""COMPUTED_VALUE"""),46038.0)</f>
        <v>46038</v>
      </c>
      <c r="C521" s="2" t="str">
        <f>IFERROR(__xludf.DUMMYFUNCTION("""COMPUTED_VALUE"""),"MOBILECARE - APP FESTIVAL MALL")</f>
        <v>MOBILECARE - APP FESTIVAL MALL</v>
      </c>
      <c r="D521" s="2" t="str">
        <f>IFERROR(__xludf.DUMMYFUNCTION("""COMPUTED_VALUE"""),"661-42844")</f>
        <v>661-42844</v>
      </c>
      <c r="E521" s="2" t="str">
        <f>IFERROR(__xludf.DUMMYFUNCTION("""COMPUTED_VALUE"""),"TrueDepth Camera, iPhone 16 Plus")</f>
        <v>TrueDepth Camera, iPhone 16 Plus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0" t="str">
        <f t="shared" si="1"/>
        <v>January</v>
      </c>
      <c r="B522" s="11">
        <f>IFERROR(__xludf.DUMMYFUNCTION("""COMPUTED_VALUE"""),46051.0)</f>
        <v>46051</v>
      </c>
      <c r="C522" s="2" t="str">
        <f>IFERROR(__xludf.DUMMYFUNCTION("""COMPUTED_VALUE"""),"MOBILECARE - APP FESTIVAL MALL")</f>
        <v>MOBILECARE - APP FESTIVAL MALL</v>
      </c>
      <c r="D522" s="2" t="str">
        <f>IFERROR(__xludf.DUMMYFUNCTION("""COMPUTED_VALUE"""),"661-18428")</f>
        <v>661-18428</v>
      </c>
      <c r="E522" s="2" t="str">
        <f>IFERROR(__xludf.DUMMYFUNCTION("""COMPUTED_VALUE"""),"Battery, iPhone 12 Pro Max")</f>
        <v>Battery, iPhone 12 Pro Max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0" t="str">
        <f t="shared" si="1"/>
        <v>January</v>
      </c>
      <c r="B523" s="11">
        <f>IFERROR(__xludf.DUMMYFUNCTION("""COMPUTED_VALUE"""),46051.0)</f>
        <v>46051</v>
      </c>
      <c r="C523" s="2" t="str">
        <f>IFERROR(__xludf.DUMMYFUNCTION("""COMPUTED_VALUE"""),"MOBILECARE - APP FESTIVAL MALL")</f>
        <v>MOBILECARE - APP FESTIVAL MALL</v>
      </c>
      <c r="D523" s="2" t="str">
        <f>IFERROR(__xludf.DUMMYFUNCTION("""COMPUTED_VALUE"""),"661-23799")</f>
        <v>661-23799</v>
      </c>
      <c r="E523" s="2" t="str">
        <f>IFERROR(__xludf.DUMMYFUNCTION("""COMPUTED_VALUE"""),"TrueDepth Camera, iPhone 12 Pro Max")</f>
        <v>TrueDepth Camera, iPhone 12 Pro Max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0" t="str">
        <f t="shared" si="1"/>
        <v>January</v>
      </c>
      <c r="B524" s="11">
        <f>IFERROR(__xludf.DUMMYFUNCTION("""COMPUTED_VALUE"""),46036.0)</f>
        <v>46036</v>
      </c>
      <c r="C524" s="2" t="str">
        <f>IFERROR(__xludf.DUMMYFUNCTION("""COMPUTED_VALUE"""),"MOBILECARE - APP FESTIVAL MALL")</f>
        <v>MOBILECARE - APP FESTIVAL MALL</v>
      </c>
      <c r="D524" s="2" t="str">
        <f>IFERROR(__xludf.DUMMYFUNCTION("""COMPUTED_VALUE"""),"661-30382")</f>
        <v>661-30382</v>
      </c>
      <c r="E524" s="2" t="str">
        <f>IFERROR(__xludf.DUMMYFUNCTION("""COMPUTED_VALUE"""),"Battery, iPhone 14 Pro")</f>
        <v>Battery, iPhone 14 Pro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0" t="str">
        <f t="shared" si="1"/>
        <v>January</v>
      </c>
      <c r="B525" s="11">
        <f>IFERROR(__xludf.DUMMYFUNCTION("""COMPUTED_VALUE"""),46045.0)</f>
        <v>46045</v>
      </c>
      <c r="C525" s="2" t="str">
        <f>IFERROR(__xludf.DUMMYFUNCTION("""COMPUTED_VALUE"""),"MOBILECARE - APP FESTIVAL MALL")</f>
        <v>MOBILECARE - APP FESTIVAL MALL</v>
      </c>
      <c r="D525" s="2" t="str">
        <f>IFERROR(__xludf.DUMMYFUNCTION("""COMPUTED_VALUE"""),"TA661-35559")</f>
        <v>TA661-35559</v>
      </c>
      <c r="E525" s="2" t="str">
        <f>IFERROR(__xludf.DUMMYFUNCTION("""COMPUTED_VALUE"""),"Blue, iPhone 15 Pro, 256GB, ROW, CI/AR, Taiwan")</f>
        <v>Blue, iPhone 15 Pro, 256GB, ROW, CI/AR, Taiwan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0" t="str">
        <f t="shared" si="1"/>
        <v>January</v>
      </c>
      <c r="B526" s="11">
        <f>IFERROR(__xludf.DUMMYFUNCTION("""COMPUTED_VALUE"""),46033.0)</f>
        <v>46033</v>
      </c>
      <c r="C526" s="2" t="str">
        <f>IFERROR(__xludf.DUMMYFUNCTION("""COMPUTED_VALUE"""),"MOBILECARE - APP FESTIVAL MALL")</f>
        <v>MOBILECARE - APP FESTIVAL MALL</v>
      </c>
      <c r="D526" s="2" t="str">
        <f>IFERROR(__xludf.DUMMYFUNCTION("""COMPUTED_VALUE"""),"661-22309")</f>
        <v>661-22309</v>
      </c>
      <c r="E526" s="2" t="str">
        <f>IFERROR(__xludf.DUMMYFUNCTION("""COMPUTED_VALUE"""),"Display, iPhone 13 Pro Max")</f>
        <v>Display, iPhone 13 Pro Max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0" t="str">
        <f t="shared" si="1"/>
        <v>January</v>
      </c>
      <c r="B527" s="11">
        <f>IFERROR(__xludf.DUMMYFUNCTION("""COMPUTED_VALUE"""),46038.0)</f>
        <v>46038</v>
      </c>
      <c r="C527" s="2" t="str">
        <f>IFERROR(__xludf.DUMMYFUNCTION("""COMPUTED_VALUE"""),"MOBILECARE - APP FESTIVAL MALL")</f>
        <v>MOBILECARE - APP FESTIVAL MALL</v>
      </c>
      <c r="D527" s="2" t="str">
        <f>IFERROR(__xludf.DUMMYFUNCTION("""COMPUTED_VALUE"""),"661-22309")</f>
        <v>661-22309</v>
      </c>
      <c r="E527" s="2" t="str">
        <f>IFERROR(__xludf.DUMMYFUNCTION("""COMPUTED_VALUE"""),"Display, iPhone 13 Pro Max")</f>
        <v>Display, iPhone 13 Pro Max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0" t="str">
        <f t="shared" si="1"/>
        <v>January</v>
      </c>
      <c r="B528" s="11">
        <f>IFERROR(__xludf.DUMMYFUNCTION("""COMPUTED_VALUE"""),46032.0)</f>
        <v>46032</v>
      </c>
      <c r="C528" s="2" t="str">
        <f>IFERROR(__xludf.DUMMYFUNCTION("""COMPUTED_VALUE"""),"MOBILECARE - APP FESTIVAL MALL")</f>
        <v>MOBILECARE - APP FESTIVAL MALL</v>
      </c>
      <c r="D528" s="2" t="str">
        <f>IFERROR(__xludf.DUMMYFUNCTION("""COMPUTED_VALUE"""),"661-21988")</f>
        <v>661-21988</v>
      </c>
      <c r="E528" s="2" t="str">
        <f>IFERROR(__xludf.DUMMYFUNCTION("""COMPUTED_VALUE"""),"Display, iPhone 13")</f>
        <v>Display, iPhone 13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0" t="str">
        <f t="shared" si="1"/>
        <v>January</v>
      </c>
      <c r="B529" s="11">
        <f>IFERROR(__xludf.DUMMYFUNCTION("""COMPUTED_VALUE"""),46045.0)</f>
        <v>46045</v>
      </c>
      <c r="C529" s="2" t="str">
        <f>IFERROR(__xludf.DUMMYFUNCTION("""COMPUTED_VALUE"""),"MOBILECARE - APP FESTIVAL MALL")</f>
        <v>MOBILECARE - APP FESTIVAL MALL</v>
      </c>
      <c r="D529" s="2" t="str">
        <f>IFERROR(__xludf.DUMMYFUNCTION("""COMPUTED_VALUE"""),"661-22374")</f>
        <v>661-22374</v>
      </c>
      <c r="E529" s="2" t="str">
        <f>IFERROR(__xludf.DUMMYFUNCTION("""COMPUTED_VALUE"""),"Battery, iPhone 13 mini")</f>
        <v>Battery, iPhone 13 mini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0" t="str">
        <f t="shared" si="1"/>
        <v>January</v>
      </c>
      <c r="B530" s="11">
        <f>IFERROR(__xludf.DUMMYFUNCTION("""COMPUTED_VALUE"""),46031.0)</f>
        <v>46031</v>
      </c>
      <c r="C530" s="2" t="str">
        <f>IFERROR(__xludf.DUMMYFUNCTION("""COMPUTED_VALUE"""),"MOBILECARE - APP FESTIVAL MALL")</f>
        <v>MOBILECARE - APP FESTIVAL MALL</v>
      </c>
      <c r="D530" s="2" t="str">
        <f>IFERROR(__xludf.DUMMYFUNCTION("""COMPUTED_VALUE"""),"661-22309")</f>
        <v>661-22309</v>
      </c>
      <c r="E530" s="2" t="str">
        <f>IFERROR(__xludf.DUMMYFUNCTION("""COMPUTED_VALUE"""),"Display, iPhone 13 Pro Max")</f>
        <v>Display, iPhone 13 Pro Max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0" t="str">
        <f t="shared" si="1"/>
        <v>January</v>
      </c>
      <c r="B531" s="11">
        <f>IFERROR(__xludf.DUMMYFUNCTION("""COMPUTED_VALUE"""),46034.0)</f>
        <v>46034</v>
      </c>
      <c r="C531" s="2" t="str">
        <f>IFERROR(__xludf.DUMMYFUNCTION("""COMPUTED_VALUE"""),"MOBILECARE - APP FESTIVAL MALL")</f>
        <v>MOBILECARE - APP FESTIVAL MALL</v>
      </c>
      <c r="D531" s="2" t="str">
        <f>IFERROR(__xludf.DUMMYFUNCTION("""COMPUTED_VALUE"""),"661-17939")</f>
        <v>661-17939</v>
      </c>
      <c r="E531" s="2" t="str">
        <f>IFERROR(__xludf.DUMMYFUNCTION("""COMPUTED_VALUE"""),"Battery, iPhone 12 mini")</f>
        <v>Battery, iPhone 12 mini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0" t="str">
        <f t="shared" si="1"/>
        <v>January</v>
      </c>
      <c r="B532" s="11">
        <f>IFERROR(__xludf.DUMMYFUNCTION("""COMPUTED_VALUE"""),46034.0)</f>
        <v>46034</v>
      </c>
      <c r="C532" s="2" t="str">
        <f>IFERROR(__xludf.DUMMYFUNCTION("""COMPUTED_VALUE"""),"MOBILECARE - APP FESTIVAL MALL")</f>
        <v>MOBILECARE - APP FESTIVAL MALL</v>
      </c>
      <c r="D532" s="2" t="str">
        <f>IFERROR(__xludf.DUMMYFUNCTION("""COMPUTED_VALUE"""),"661-18428")</f>
        <v>661-18428</v>
      </c>
      <c r="E532" s="2" t="str">
        <f>IFERROR(__xludf.DUMMYFUNCTION("""COMPUTED_VALUE"""),"Battery, iPhone 12 Pro Max")</f>
        <v>Battery, iPhone 12 Pro Max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0" t="str">
        <f t="shared" si="1"/>
        <v>January</v>
      </c>
      <c r="B533" s="11">
        <f>IFERROR(__xludf.DUMMYFUNCTION("""COMPUTED_VALUE"""),46034.0)</f>
        <v>46034</v>
      </c>
      <c r="C533" s="2" t="str">
        <f>IFERROR(__xludf.DUMMYFUNCTION("""COMPUTED_VALUE"""),"MOBILECARE - APP FESTIVAL MALL")</f>
        <v>MOBILECARE - APP FESTIVAL MALL</v>
      </c>
      <c r="D533" s="2" t="str">
        <f>IFERROR(__xludf.DUMMYFUNCTION("""COMPUTED_VALUE"""),"661-21991")</f>
        <v>661-21991</v>
      </c>
      <c r="E533" s="2" t="str">
        <f>IFERROR(__xludf.DUMMYFUNCTION("""COMPUTED_VALUE"""),"Battery, iPhone 13")</f>
        <v>Battery, iPhone 13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0" t="str">
        <f t="shared" si="1"/>
        <v>January</v>
      </c>
      <c r="B534" s="11">
        <f>IFERROR(__xludf.DUMMYFUNCTION("""COMPUTED_VALUE"""),46036.0)</f>
        <v>46036</v>
      </c>
      <c r="C534" s="2" t="str">
        <f>IFERROR(__xludf.DUMMYFUNCTION("""COMPUTED_VALUE"""),"MOBILECARE - APP FESTIVAL MALL")</f>
        <v>MOBILECARE - APP FESTIVAL MALL</v>
      </c>
      <c r="D534" s="2" t="str">
        <f>IFERROR(__xludf.DUMMYFUNCTION("""COMPUTED_VALUE"""),"661-42844")</f>
        <v>661-42844</v>
      </c>
      <c r="E534" s="2" t="str">
        <f>IFERROR(__xludf.DUMMYFUNCTION("""COMPUTED_VALUE"""),"TrueDepth Camera, iPhone 16 Plus")</f>
        <v>TrueDepth Camera, iPhone 16 Plus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0" t="str">
        <f t="shared" si="1"/>
        <v>January</v>
      </c>
      <c r="B535" s="11">
        <f>IFERROR(__xludf.DUMMYFUNCTION("""COMPUTED_VALUE"""),46041.0)</f>
        <v>46041</v>
      </c>
      <c r="C535" s="2" t="str">
        <f>IFERROR(__xludf.DUMMYFUNCTION("""COMPUTED_VALUE"""),"MOBILECARE - APP FESTIVAL MALL")</f>
        <v>MOBILECARE - APP FESTIVAL MALL</v>
      </c>
      <c r="D535" s="2" t="str">
        <f>IFERROR(__xludf.DUMMYFUNCTION("""COMPUTED_VALUE"""),"661-44956")</f>
        <v>661-44956</v>
      </c>
      <c r="E535" s="2" t="str">
        <f>IFERROR(__xludf.DUMMYFUNCTION("""COMPUTED_VALUE"""),"TrueDepth Camera, iPhone 16 Pro Max")</f>
        <v>TrueDepth Camera, iPhone 16 Pro Max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0" t="str">
        <f t="shared" si="1"/>
        <v>January</v>
      </c>
      <c r="B536" s="11">
        <f>IFERROR(__xludf.DUMMYFUNCTION("""COMPUTED_VALUE"""),46048.0)</f>
        <v>46048</v>
      </c>
      <c r="C536" s="2" t="str">
        <f>IFERROR(__xludf.DUMMYFUNCTION("""COMPUTED_VALUE"""),"MOBILECARE - APP FESTIVAL MALL")</f>
        <v>MOBILECARE - APP FESTIVAL MALL</v>
      </c>
      <c r="D536" s="2" t="str">
        <f>IFERROR(__xludf.DUMMYFUNCTION("""COMPUTED_VALUE"""),"661-22309")</f>
        <v>661-22309</v>
      </c>
      <c r="E536" s="2" t="str">
        <f>IFERROR(__xludf.DUMMYFUNCTION("""COMPUTED_VALUE"""),"Display, iPhone 13 Pro Max")</f>
        <v>Display, iPhone 13 Pro Max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0" t="str">
        <f t="shared" si="1"/>
        <v>January</v>
      </c>
      <c r="B537" s="11">
        <f>IFERROR(__xludf.DUMMYFUNCTION("""COMPUTED_VALUE"""),46028.0)</f>
        <v>46028</v>
      </c>
      <c r="C537" s="2" t="str">
        <f>IFERROR(__xludf.DUMMYFUNCTION("""COMPUTED_VALUE"""),"MOBILECARE - APP FESTIVAL MALL")</f>
        <v>MOBILECARE - APP FESTIVAL MALL</v>
      </c>
      <c r="D537" s="2" t="str">
        <f>IFERROR(__xludf.DUMMYFUNCTION("""COMPUTED_VALUE"""),"661-21988")</f>
        <v>661-21988</v>
      </c>
      <c r="E537" s="2" t="str">
        <f>IFERROR(__xludf.DUMMYFUNCTION("""COMPUTED_VALUE"""),"Display, iPhone 13")</f>
        <v>Display, iPhone 13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0" t="str">
        <f t="shared" si="1"/>
        <v>January</v>
      </c>
      <c r="B538" s="11">
        <f>IFERROR(__xludf.DUMMYFUNCTION("""COMPUTED_VALUE"""),46031.0)</f>
        <v>46031</v>
      </c>
      <c r="C538" s="2" t="str">
        <f>IFERROR(__xludf.DUMMYFUNCTION("""COMPUTED_VALUE"""),"MOBILECARE - APP FESTIVAL MALL")</f>
        <v>MOBILECARE - APP FESTIVAL MALL</v>
      </c>
      <c r="D538" s="2" t="str">
        <f>IFERROR(__xludf.DUMMYFUNCTION("""COMPUTED_VALUE"""),"661-21991")</f>
        <v>661-21991</v>
      </c>
      <c r="E538" s="2" t="str">
        <f>IFERROR(__xludf.DUMMYFUNCTION("""COMPUTED_VALUE"""),"Battery, iPhone 13")</f>
        <v>Battery, iPhone 13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0" t="str">
        <f t="shared" si="1"/>
        <v>January</v>
      </c>
      <c r="B539" s="11">
        <f>IFERROR(__xludf.DUMMYFUNCTION("""COMPUTED_VALUE"""),46026.0)</f>
        <v>46026</v>
      </c>
      <c r="C539" s="2" t="str">
        <f>IFERROR(__xludf.DUMMYFUNCTION("""COMPUTED_VALUE"""),"MOBILECARE - APP FESTIVAL MALL")</f>
        <v>MOBILECARE - APP FESTIVAL MALL</v>
      </c>
      <c r="D539" s="2" t="str">
        <f>IFERROR(__xludf.DUMMYFUNCTION("""COMPUTED_VALUE"""),"661-35699")</f>
        <v>661-35699</v>
      </c>
      <c r="E539" s="2" t="str">
        <f>IFERROR(__xludf.DUMMYFUNCTION("""COMPUTED_VALUE"""),"Display, iPhone 15 Pro")</f>
        <v>Display, iPhone 15 Pro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0" t="str">
        <f t="shared" si="1"/>
        <v>January</v>
      </c>
      <c r="B540" s="11">
        <f>IFERROR(__xludf.DUMMYFUNCTION("""COMPUTED_VALUE"""),46027.0)</f>
        <v>46027</v>
      </c>
      <c r="C540" s="2" t="str">
        <f>IFERROR(__xludf.DUMMYFUNCTION("""COMPUTED_VALUE"""),"MOBILECARE - APP FESTIVAL MALL")</f>
        <v>MOBILECARE - APP FESTIVAL MALL</v>
      </c>
      <c r="D540" s="2" t="str">
        <f>IFERROR(__xludf.DUMMYFUNCTION("""COMPUTED_VALUE"""),"661-30401")</f>
        <v>661-30401</v>
      </c>
      <c r="E540" s="2" t="str">
        <f>IFERROR(__xludf.DUMMYFUNCTION("""COMPUTED_VALUE"""),"Display, iPhone 14 Pro Max")</f>
        <v>Display, iPhone 14 Pro Max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0" t="str">
        <f t="shared" si="1"/>
        <v>January</v>
      </c>
      <c r="B541" s="11">
        <f>IFERROR(__xludf.DUMMYFUNCTION("""COMPUTED_VALUE"""),46025.0)</f>
        <v>46025</v>
      </c>
      <c r="C541" s="2" t="str">
        <f>IFERROR(__xludf.DUMMYFUNCTION("""COMPUTED_VALUE"""),"MOBILECARE - APP FESTIVAL MALL")</f>
        <v>MOBILECARE - APP FESTIVAL MALL</v>
      </c>
      <c r="D541" s="2" t="str">
        <f>IFERROR(__xludf.DUMMYFUNCTION("""COMPUTED_VALUE"""),"661-21991")</f>
        <v>661-21991</v>
      </c>
      <c r="E541" s="2" t="str">
        <f>IFERROR(__xludf.DUMMYFUNCTION("""COMPUTED_VALUE"""),"Battery, iPhone 13")</f>
        <v>Battery, iPhone 13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0" t="str">
        <f t="shared" si="1"/>
        <v>January</v>
      </c>
      <c r="B542" s="11">
        <f>IFERROR(__xludf.DUMMYFUNCTION("""COMPUTED_VALUE"""),46029.0)</f>
        <v>46029</v>
      </c>
      <c r="C542" s="2" t="str">
        <f>IFERROR(__xludf.DUMMYFUNCTION("""COMPUTED_VALUE"""),"MOBILECARE - APP FESTIVAL MALL")</f>
        <v>MOBILECARE - APP FESTIVAL MALL</v>
      </c>
      <c r="D542" s="2" t="str">
        <f>IFERROR(__xludf.DUMMYFUNCTION("""COMPUTED_VALUE"""),"661-18428")</f>
        <v>661-18428</v>
      </c>
      <c r="E542" s="2" t="str">
        <f>IFERROR(__xludf.DUMMYFUNCTION("""COMPUTED_VALUE"""),"Battery, iPhone 12 Pro Max")</f>
        <v>Battery, iPhone 12 Pro Max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0" t="str">
        <f t="shared" si="1"/>
        <v>January</v>
      </c>
      <c r="B543" s="11">
        <f>IFERROR(__xludf.DUMMYFUNCTION("""COMPUTED_VALUE"""),46033.0)</f>
        <v>46033</v>
      </c>
      <c r="C543" s="2" t="str">
        <f>IFERROR(__xludf.DUMMYFUNCTION("""COMPUTED_VALUE"""),"MOBILECARE - APP FESTIVAL MALL")</f>
        <v>MOBILECARE - APP FESTIVAL MALL</v>
      </c>
      <c r="D543" s="2" t="str">
        <f>IFERROR(__xludf.DUMMYFUNCTION("""COMPUTED_VALUE"""),"661-17920")</f>
        <v>661-17920</v>
      </c>
      <c r="E543" s="2" t="str">
        <f>IFERROR(__xludf.DUMMYFUNCTION("""COMPUTED_VALUE"""),"Battery, iPhone 12 and 12 Pro")</f>
        <v>Battery, iPhone 12 and 12 Pro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0" t="str">
        <f t="shared" si="1"/>
        <v>January</v>
      </c>
      <c r="B544" s="11">
        <f>IFERROR(__xludf.DUMMYFUNCTION("""COMPUTED_VALUE"""),46028.0)</f>
        <v>46028</v>
      </c>
      <c r="C544" s="2" t="str">
        <f>IFERROR(__xludf.DUMMYFUNCTION("""COMPUTED_VALUE"""),"MOBILECARE - APP FESTIVAL MALL")</f>
        <v>MOBILECARE - APP FESTIVAL MALL</v>
      </c>
      <c r="D544" s="2" t="str">
        <f>IFERROR(__xludf.DUMMYFUNCTION("""COMPUTED_VALUE"""),"661-17920")</f>
        <v>661-17920</v>
      </c>
      <c r="E544" s="2" t="str">
        <f>IFERROR(__xludf.DUMMYFUNCTION("""COMPUTED_VALUE"""),"Battery, iPhone 12 and 12 Pro")</f>
        <v>Battery, iPhone 12 and 12 Pro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0" t="str">
        <f t="shared" si="1"/>
        <v>January</v>
      </c>
      <c r="B545" s="11">
        <f>IFERROR(__xludf.DUMMYFUNCTION("""COMPUTED_VALUE"""),46024.0)</f>
        <v>46024</v>
      </c>
      <c r="C545" s="2" t="str">
        <f>IFERROR(__xludf.DUMMYFUNCTION("""COMPUTED_VALUE"""),"MOBILECARE - APP FESTIVAL MALL")</f>
        <v>MOBILECARE - APP FESTIVAL MALL</v>
      </c>
      <c r="D545" s="2" t="str">
        <f>IFERROR(__xludf.DUMMYFUNCTION("""COMPUTED_VALUE"""),"661-32232")</f>
        <v>661-32232</v>
      </c>
      <c r="E545" s="2" t="str">
        <f>IFERROR(__xludf.DUMMYFUNCTION("""COMPUTED_VALUE"""),"Rear Camera, iPhone 13/mini, MICN")</f>
        <v>Rear Camera, iPhone 13/mini, MICN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0" t="str">
        <f t="shared" si="1"/>
        <v>February</v>
      </c>
      <c r="B546" s="11">
        <f>IFERROR(__xludf.DUMMYFUNCTION("""COMPUTED_VALUE"""),46058.0)</f>
        <v>46058</v>
      </c>
      <c r="C546" s="2" t="str">
        <f>IFERROR(__xludf.DUMMYFUNCTION("""COMPUTED_VALUE"""),"MOBILECARE - APP FESTIVAL MALL")</f>
        <v>MOBILECARE - APP FESTIVAL MALL</v>
      </c>
      <c r="D546" s="2" t="str">
        <f>IFERROR(__xludf.DUMMYFUNCTION("""COMPUTED_VALUE"""),"661-21991")</f>
        <v>661-21991</v>
      </c>
      <c r="E546" s="2" t="str">
        <f>IFERROR(__xludf.DUMMYFUNCTION("""COMPUTED_VALUE"""),"Battery, iPhone 13")</f>
        <v>Battery, iPhone 13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0" t="str">
        <f t="shared" si="1"/>
        <v>June</v>
      </c>
      <c r="B547" s="11">
        <f>IFERROR(__xludf.DUMMYFUNCTION("""COMPUTED_VALUE"""),46182.0)</f>
        <v>46182</v>
      </c>
      <c r="C547" s="2" t="str">
        <f>IFERROR(__xludf.DUMMYFUNCTION("""COMPUTED_VALUE"""),"MOBILECARE - S'MAISON")</f>
        <v>MOBILECARE - S'MAISON</v>
      </c>
      <c r="D547" s="2" t="str">
        <f>IFERROR(__xludf.DUMMYFUNCTION("""COMPUTED_VALUE"""),"661-17920")</f>
        <v>661-17920</v>
      </c>
      <c r="E547" s="2" t="str">
        <f>IFERROR(__xludf.DUMMYFUNCTION("""COMPUTED_VALUE"""),"Battery, iPhone 12 and 12 Pro")</f>
        <v>Battery, iPhone 12 and 12 Pro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0" t="str">
        <f t="shared" si="1"/>
        <v>June</v>
      </c>
      <c r="B548" s="11">
        <f>IFERROR(__xludf.DUMMYFUNCTION("""COMPUTED_VALUE"""),46187.0)</f>
        <v>46187</v>
      </c>
      <c r="C548" s="2" t="str">
        <f>IFERROR(__xludf.DUMMYFUNCTION("""COMPUTED_VALUE"""),"MOBILECARE - S'MAISON")</f>
        <v>MOBILECARE - S'MAISON</v>
      </c>
      <c r="D548" s="2" t="str">
        <f>IFERROR(__xludf.DUMMYFUNCTION("""COMPUTED_VALUE"""),"661-36918")</f>
        <v>661-36918</v>
      </c>
      <c r="E548" s="2" t="str">
        <f>IFERROR(__xludf.DUMMYFUNCTION("""COMPUTED_VALUE"""),"Battery, iPhone 15 Pro Max")</f>
        <v>Battery, iPhone 15 Pro Max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0" t="str">
        <f t="shared" si="1"/>
        <v>May</v>
      </c>
      <c r="B549" s="11">
        <f>IFERROR(__xludf.DUMMYFUNCTION("""COMPUTED_VALUE"""),46171.0)</f>
        <v>46171</v>
      </c>
      <c r="C549" s="2" t="str">
        <f>IFERROR(__xludf.DUMMYFUNCTION("""COMPUTED_VALUE"""),"MOBILECARE - S'MAISON")</f>
        <v>MOBILECARE - S'MAISON</v>
      </c>
      <c r="D549" s="2" t="str">
        <f>IFERROR(__xludf.DUMMYFUNCTION("""COMPUTED_VALUE"""),"661-30401")</f>
        <v>661-30401</v>
      </c>
      <c r="E549" s="2" t="str">
        <f>IFERROR(__xludf.DUMMYFUNCTION("""COMPUTED_VALUE"""),"Display, iPhone 14 Pro Max")</f>
        <v>Display, iPhone 14 Pro Max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0" t="str">
        <f t="shared" si="1"/>
        <v>April</v>
      </c>
      <c r="B550" s="11">
        <f>IFERROR(__xludf.DUMMYFUNCTION("""COMPUTED_VALUE"""),46136.0)</f>
        <v>46136</v>
      </c>
      <c r="C550" s="2" t="str">
        <f>IFERROR(__xludf.DUMMYFUNCTION("""COMPUTED_VALUE"""),"MOBILECARE - S'MAISON")</f>
        <v>MOBILECARE - S'MAISON</v>
      </c>
      <c r="D550" s="2" t="str">
        <f>IFERROR(__xludf.DUMMYFUNCTION("""COMPUTED_VALUE"""),"661-56050")</f>
        <v>661-56050</v>
      </c>
      <c r="E550" s="2" t="str">
        <f>IFERROR(__xludf.DUMMYFUNCTION("""COMPUTED_VALUE"""),"Display, iPhone 17 Pro Max")</f>
        <v>Display, iPhone 17 Pro Max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0" t="str">
        <f t="shared" si="1"/>
        <v>March</v>
      </c>
      <c r="B551" s="11">
        <f>IFERROR(__xludf.DUMMYFUNCTION("""COMPUTED_VALUE"""),46112.0)</f>
        <v>46112</v>
      </c>
      <c r="C551" s="2" t="str">
        <f>IFERROR(__xludf.DUMMYFUNCTION("""COMPUTED_VALUE"""),"MOBILECARE - S'MAISON")</f>
        <v>MOBILECARE - S'MAISON</v>
      </c>
      <c r="D551" s="2" t="str">
        <f>IFERROR(__xludf.DUMMYFUNCTION("""COMPUTED_VALUE"""),"661-17920")</f>
        <v>661-17920</v>
      </c>
      <c r="E551" s="2" t="str">
        <f>IFERROR(__xludf.DUMMYFUNCTION("""COMPUTED_VALUE"""),"Battery, iPhone 12 and 12 Pro")</f>
        <v>Battery, iPhone 12 and 12 Pro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0" t="str">
        <f t="shared" si="1"/>
        <v>March</v>
      </c>
      <c r="B552" s="11">
        <f>IFERROR(__xludf.DUMMYFUNCTION("""COMPUTED_VALUE"""),46094.0)</f>
        <v>46094</v>
      </c>
      <c r="C552" s="2" t="str">
        <f>IFERROR(__xludf.DUMMYFUNCTION("""COMPUTED_VALUE"""),"MOBILECARE - S'MAISON")</f>
        <v>MOBILECARE - S'MAISON</v>
      </c>
      <c r="D552" s="2" t="str">
        <f>IFERROR(__xludf.DUMMYFUNCTION("""COMPUTED_VALUE"""),"661-17939")</f>
        <v>661-17939</v>
      </c>
      <c r="E552" s="2" t="str">
        <f>IFERROR(__xludf.DUMMYFUNCTION("""COMPUTED_VALUE"""),"Battery, iPhone 12 mini")</f>
        <v>Battery, iPhone 12 mini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0" t="str">
        <f t="shared" si="1"/>
        <v>March</v>
      </c>
      <c r="B553" s="11">
        <f>IFERROR(__xludf.DUMMYFUNCTION("""COMPUTED_VALUE"""),46083.0)</f>
        <v>46083</v>
      </c>
      <c r="C553" s="2" t="str">
        <f>IFERROR(__xludf.DUMMYFUNCTION("""COMPUTED_VALUE"""),"MOBILECARE - S'MAISON")</f>
        <v>MOBILECARE - S'MAISON</v>
      </c>
      <c r="D553" s="2" t="str">
        <f>IFERROR(__xludf.DUMMYFUNCTION("""COMPUTED_VALUE"""),"661-21993")</f>
        <v>661-21993</v>
      </c>
      <c r="E553" s="2" t="str">
        <f>IFERROR(__xludf.DUMMYFUNCTION("""COMPUTED_VALUE"""),"Display, iPhone 13 Pro")</f>
        <v>Display, iPhone 13 Pro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0" t="str">
        <f t="shared" si="1"/>
        <v>February</v>
      </c>
      <c r="B554" s="11">
        <f>IFERROR(__xludf.DUMMYFUNCTION("""COMPUTED_VALUE"""),46067.0)</f>
        <v>46067</v>
      </c>
      <c r="C554" s="2" t="str">
        <f>IFERROR(__xludf.DUMMYFUNCTION("""COMPUTED_VALUE"""),"MOBILECARE - S'MAISON")</f>
        <v>MOBILECARE - S'MAISON</v>
      </c>
      <c r="D554" s="2" t="str">
        <f>IFERROR(__xludf.DUMMYFUNCTION("""COMPUTED_VALUE"""),"661-21991")</f>
        <v>661-21991</v>
      </c>
      <c r="E554" s="2" t="str">
        <f>IFERROR(__xludf.DUMMYFUNCTION("""COMPUTED_VALUE"""),"Battery, iPhone 13")</f>
        <v>Battery, iPhone 13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0" t="str">
        <f t="shared" si="1"/>
        <v>February</v>
      </c>
      <c r="B555" s="11">
        <f>IFERROR(__xludf.DUMMYFUNCTION("""COMPUTED_VALUE"""),46068.0)</f>
        <v>46068</v>
      </c>
      <c r="C555" s="2" t="str">
        <f>IFERROR(__xludf.DUMMYFUNCTION("""COMPUTED_VALUE"""),"MOBILECARE - S'MAISON")</f>
        <v>MOBILECARE - S'MAISON</v>
      </c>
      <c r="D555" s="2" t="str">
        <f>IFERROR(__xludf.DUMMYFUNCTION("""COMPUTED_VALUE"""),"661-17920")</f>
        <v>661-17920</v>
      </c>
      <c r="E555" s="2" t="str">
        <f>IFERROR(__xludf.DUMMYFUNCTION("""COMPUTED_VALUE"""),"Battery, iPhone 12 and 12 Pro")</f>
        <v>Battery, iPhone 12 and 12 Pro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0" t="str">
        <f t="shared" si="1"/>
        <v>January</v>
      </c>
      <c r="B556" s="11">
        <f>IFERROR(__xludf.DUMMYFUNCTION("""COMPUTED_VALUE"""),46042.0)</f>
        <v>46042</v>
      </c>
      <c r="C556" s="2" t="str">
        <f>IFERROR(__xludf.DUMMYFUNCTION("""COMPUTED_VALUE"""),"MOBILECARE - S'MAISON")</f>
        <v>MOBILECARE - S'MAISON</v>
      </c>
      <c r="D556" s="2" t="str">
        <f>IFERROR(__xludf.DUMMYFUNCTION("""COMPUTED_VALUE"""),"661-44955")</f>
        <v>661-44955</v>
      </c>
      <c r="E556" s="2" t="str">
        <f>IFERROR(__xludf.DUMMYFUNCTION("""COMPUTED_VALUE"""),"Display, iPhone 16 Pro Max")</f>
        <v>Display, iPhone 16 Pro Max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0" t="str">
        <f t="shared" si="1"/>
        <v>January</v>
      </c>
      <c r="B557" s="11">
        <f>IFERROR(__xludf.DUMMYFUNCTION("""COMPUTED_VALUE"""),46040.0)</f>
        <v>46040</v>
      </c>
      <c r="C557" s="2" t="str">
        <f>IFERROR(__xludf.DUMMYFUNCTION("""COMPUTED_VALUE"""),"MOBILECARE - S'MAISON")</f>
        <v>MOBILECARE - S'MAISON</v>
      </c>
      <c r="D557" s="2" t="str">
        <f>IFERROR(__xludf.DUMMYFUNCTION("""COMPUTED_VALUE"""),"661-17920")</f>
        <v>661-17920</v>
      </c>
      <c r="E557" s="2" t="str">
        <f>IFERROR(__xludf.DUMMYFUNCTION("""COMPUTED_VALUE"""),"Battery, iPhone 12 and 12 Pro")</f>
        <v>Battery, iPhone 12 and 12 Pro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0" t="str">
        <f t="shared" si="1"/>
        <v>January</v>
      </c>
      <c r="B558" s="11">
        <f>IFERROR(__xludf.DUMMYFUNCTION("""COMPUTED_VALUE"""),46040.0)</f>
        <v>46040</v>
      </c>
      <c r="C558" s="2" t="str">
        <f>IFERROR(__xludf.DUMMYFUNCTION("""COMPUTED_VALUE"""),"MOBILECARE - S'MAISON")</f>
        <v>MOBILECARE - S'MAISON</v>
      </c>
      <c r="D558" s="2" t="str">
        <f>IFERROR(__xludf.DUMMYFUNCTION("""COMPUTED_VALUE"""),"661-17920")</f>
        <v>661-17920</v>
      </c>
      <c r="E558" s="2" t="str">
        <f>IFERROR(__xludf.DUMMYFUNCTION("""COMPUTED_VALUE"""),"Battery, iPhone 12 and 12 Pro")</f>
        <v>Battery, iPhone 12 and 12 Pro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0" t="str">
        <f t="shared" si="1"/>
        <v>January</v>
      </c>
      <c r="B559" s="11">
        <f>IFERROR(__xludf.DUMMYFUNCTION("""COMPUTED_VALUE"""),46041.0)</f>
        <v>46041</v>
      </c>
      <c r="C559" s="2" t="str">
        <f>IFERROR(__xludf.DUMMYFUNCTION("""COMPUTED_VALUE"""),"MOBILECARE - S'MAISON")</f>
        <v>MOBILECARE - S'MAISON</v>
      </c>
      <c r="D559" s="2" t="str">
        <f>IFERROR(__xludf.DUMMYFUNCTION("""COMPUTED_VALUE"""),"661-22309")</f>
        <v>661-22309</v>
      </c>
      <c r="E559" s="2" t="str">
        <f>IFERROR(__xludf.DUMMYFUNCTION("""COMPUTED_VALUE"""),"Display, iPhone 13 Pro Max")</f>
        <v>Display, iPhone 13 Pro Max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0" t="str">
        <f t="shared" si="1"/>
        <v>January</v>
      </c>
      <c r="B560" s="11">
        <f>IFERROR(__xludf.DUMMYFUNCTION("""COMPUTED_VALUE"""),46040.0)</f>
        <v>46040</v>
      </c>
      <c r="C560" s="2" t="str">
        <f>IFERROR(__xludf.DUMMYFUNCTION("""COMPUTED_VALUE"""),"MOBILECARE - S'MAISON")</f>
        <v>MOBILECARE - S'MAISON</v>
      </c>
      <c r="D560" s="2" t="str">
        <f>IFERROR(__xludf.DUMMYFUNCTION("""COMPUTED_VALUE"""),"661-30401")</f>
        <v>661-30401</v>
      </c>
      <c r="E560" s="2" t="str">
        <f>IFERROR(__xludf.DUMMYFUNCTION("""COMPUTED_VALUE"""),"Display, iPhone 14 Pro Max")</f>
        <v>Display, iPhone 14 Pro Max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0" t="str">
        <f t="shared" si="1"/>
        <v>February</v>
      </c>
      <c r="B561" s="11">
        <f>IFERROR(__xludf.DUMMYFUNCTION("""COMPUTED_VALUE"""),46056.0)</f>
        <v>46056</v>
      </c>
      <c r="C561" s="2" t="str">
        <f>IFERROR(__xludf.DUMMYFUNCTION("""COMPUTED_VALUE"""),"MOBILECARE - S'MAISON")</f>
        <v>MOBILECARE - S'MAISON</v>
      </c>
      <c r="D561" s="2" t="str">
        <f>IFERROR(__xludf.DUMMYFUNCTION("""COMPUTED_VALUE"""),"TA661-55206")</f>
        <v>TA661-55206</v>
      </c>
      <c r="E561" s="2" t="str">
        <f>IFERROR(__xludf.DUMMYFUNCTION("""COMPUTED_VALUE"""),"Silver, 256GB, iPhone 17 Pro Max, ROW, CI/AR, Taiwan")</f>
        <v>Silver, 256GB, iPhone 17 Pro Max, ROW, CI/AR, Taiwan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0" t="str">
        <f t="shared" si="1"/>
        <v>January</v>
      </c>
      <c r="B562" s="11">
        <f>IFERROR(__xludf.DUMMYFUNCTION("""COMPUTED_VALUE"""),46046.0)</f>
        <v>46046</v>
      </c>
      <c r="C562" s="2" t="str">
        <f>IFERROR(__xludf.DUMMYFUNCTION("""COMPUTED_VALUE"""),"MOBILECARE - S'MAISON")</f>
        <v>MOBILECARE - S'MAISON</v>
      </c>
      <c r="D562" s="2" t="str">
        <f>IFERROR(__xludf.DUMMYFUNCTION("""COMPUTED_VALUE"""),"661-22309")</f>
        <v>661-22309</v>
      </c>
      <c r="E562" s="2" t="str">
        <f>IFERROR(__xludf.DUMMYFUNCTION("""COMPUTED_VALUE"""),"Display, iPhone 13 Pro Max")</f>
        <v>Display, iPhone 13 Pro Max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0" t="str">
        <f t="shared" si="1"/>
        <v>January</v>
      </c>
      <c r="B563" s="11">
        <f>IFERROR(__xludf.DUMMYFUNCTION("""COMPUTED_VALUE"""),46047.0)</f>
        <v>46047</v>
      </c>
      <c r="C563" s="2" t="str">
        <f>IFERROR(__xludf.DUMMYFUNCTION("""COMPUTED_VALUE"""),"MOBILECARE - S'MAISON")</f>
        <v>MOBILECARE - S'MAISON</v>
      </c>
      <c r="D563" s="2" t="str">
        <f>IFERROR(__xludf.DUMMYFUNCTION("""COMPUTED_VALUE"""),"661-21991")</f>
        <v>661-21991</v>
      </c>
      <c r="E563" s="2" t="str">
        <f>IFERROR(__xludf.DUMMYFUNCTION("""COMPUTED_VALUE"""),"Battery, iPhone 13")</f>
        <v>Battery, iPhone 13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0" t="str">
        <f t="shared" si="1"/>
        <v>January</v>
      </c>
      <c r="B564" s="11">
        <f>IFERROR(__xludf.DUMMYFUNCTION("""COMPUTED_VALUE"""),46041.0)</f>
        <v>46041</v>
      </c>
      <c r="C564" s="2" t="str">
        <f>IFERROR(__xludf.DUMMYFUNCTION("""COMPUTED_VALUE"""),"MOBILECARE - S'MAISON")</f>
        <v>MOBILECARE - S'MAISON</v>
      </c>
      <c r="D564" s="2" t="str">
        <f>IFERROR(__xludf.DUMMYFUNCTION("""COMPUTED_VALUE"""),"661-44954")</f>
        <v>661-44954</v>
      </c>
      <c r="E564" s="2" t="str">
        <f>IFERROR(__xludf.DUMMYFUNCTION("""COMPUTED_VALUE"""),"Battery, iPhone 16 Pro Max")</f>
        <v>Battery, iPhone 16 Pro Max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0" t="str">
        <f t="shared" si="1"/>
        <v>January</v>
      </c>
      <c r="B565" s="11">
        <f>IFERROR(__xludf.DUMMYFUNCTION("""COMPUTED_VALUE"""),46028.0)</f>
        <v>46028</v>
      </c>
      <c r="C565" s="2" t="str">
        <f>IFERROR(__xludf.DUMMYFUNCTION("""COMPUTED_VALUE"""),"MOBILECARE - S'MAISON")</f>
        <v>MOBILECARE - S'MAISON</v>
      </c>
      <c r="D565" s="2" t="str">
        <f>IFERROR(__xludf.DUMMYFUNCTION("""COMPUTED_VALUE"""),"661-13574")</f>
        <v>661-13574</v>
      </c>
      <c r="E565" s="2" t="str">
        <f>IFERROR(__xludf.DUMMYFUNCTION("""COMPUTED_VALUE"""),"Battery, iPhone 11")</f>
        <v>Battery, iPhone 11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0" t="str">
        <f t="shared" si="1"/>
        <v>January</v>
      </c>
      <c r="B566" s="11">
        <f>IFERROR(__xludf.DUMMYFUNCTION("""COMPUTED_VALUE"""),46030.0)</f>
        <v>46030</v>
      </c>
      <c r="C566" s="2" t="str">
        <f>IFERROR(__xludf.DUMMYFUNCTION("""COMPUTED_VALUE"""),"MOBILECARE - S'MAISON")</f>
        <v>MOBILECARE - S'MAISON</v>
      </c>
      <c r="D566" s="2" t="str">
        <f>IFERROR(__xludf.DUMMYFUNCTION("""COMPUTED_VALUE"""),"661-35828")</f>
        <v>661-35828</v>
      </c>
      <c r="E566" s="2" t="str">
        <f>IFERROR(__xludf.DUMMYFUNCTION("""COMPUTED_VALUE"""),"Camera, iPhone 15")</f>
        <v>Camera, iPhone 15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0" t="str">
        <f t="shared" si="1"/>
        <v>January</v>
      </c>
      <c r="B567" s="11">
        <f>IFERROR(__xludf.DUMMYFUNCTION("""COMPUTED_VALUE"""),46040.0)</f>
        <v>46040</v>
      </c>
      <c r="C567" s="2" t="str">
        <f>IFERROR(__xludf.DUMMYFUNCTION("""COMPUTED_VALUE"""),"MOBILECARE - S'MAISON")</f>
        <v>MOBILECARE - S'MAISON</v>
      </c>
      <c r="D567" s="2" t="str">
        <f>IFERROR(__xludf.DUMMYFUNCTION("""COMPUTED_VALUE"""),"661-22294")</f>
        <v>661-22294</v>
      </c>
      <c r="E567" s="2" t="str">
        <f>IFERROR(__xludf.DUMMYFUNCTION("""COMPUTED_VALUE"""),"Battery, iPhone 13 Pro Max")</f>
        <v>Battery, iPhone 13 Pro Max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0" t="str">
        <f t="shared" si="1"/>
        <v>January</v>
      </c>
      <c r="B568" s="11">
        <f>IFERROR(__xludf.DUMMYFUNCTION("""COMPUTED_VALUE"""),46039.0)</f>
        <v>46039</v>
      </c>
      <c r="C568" s="2" t="str">
        <f>IFERROR(__xludf.DUMMYFUNCTION("""COMPUTED_VALUE"""),"MOBILECARE - S'MAISON")</f>
        <v>MOBILECARE - S'MAISON</v>
      </c>
      <c r="D568" s="2" t="str">
        <f>IFERROR(__xludf.DUMMYFUNCTION("""COMPUTED_VALUE"""),"661-42727")</f>
        <v>661-42727</v>
      </c>
      <c r="E568" s="2" t="str">
        <f>IFERROR(__xludf.DUMMYFUNCTION("""COMPUTED_VALUE"""),"TrueDepth Camera, iPhone 16 Pro")</f>
        <v>TrueDepth Camera, iPhone 16 Pro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0" t="str">
        <f t="shared" si="1"/>
        <v>January</v>
      </c>
      <c r="B569" s="11">
        <f>IFERROR(__xludf.DUMMYFUNCTION("""COMPUTED_VALUE"""),46031.0)</f>
        <v>46031</v>
      </c>
      <c r="C569" s="2" t="str">
        <f>IFERROR(__xludf.DUMMYFUNCTION("""COMPUTED_VALUE"""),"MOBILECARE - S'MAISON")</f>
        <v>MOBILECARE - S'MAISON</v>
      </c>
      <c r="D569" s="2" t="str">
        <f>IFERROR(__xludf.DUMMYFUNCTION("""COMPUTED_VALUE"""),"661-56065")</f>
        <v>661-56065</v>
      </c>
      <c r="E569" s="2" t="str">
        <f>IFERROR(__xludf.DUMMYFUNCTION("""COMPUTED_VALUE"""),"Display, iPhone 17")</f>
        <v>Display, iPhone 17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0" t="str">
        <f t="shared" si="1"/>
        <v>January</v>
      </c>
      <c r="B570" s="11">
        <f>IFERROR(__xludf.DUMMYFUNCTION("""COMPUTED_VALUE"""),46031.0)</f>
        <v>46031</v>
      </c>
      <c r="C570" s="2" t="str">
        <f>IFERROR(__xludf.DUMMYFUNCTION("""COMPUTED_VALUE"""),"MOBILECARE - S'MAISON")</f>
        <v>MOBILECARE - S'MAISON</v>
      </c>
      <c r="D570" s="2" t="str">
        <f>IFERROR(__xludf.DUMMYFUNCTION("""COMPUTED_VALUE"""),"661-30397")</f>
        <v>661-30397</v>
      </c>
      <c r="E570" s="2" t="str">
        <f>IFERROR(__xludf.DUMMYFUNCTION("""COMPUTED_VALUE"""),"Battery, iPhone 14 Pro Max")</f>
        <v>Battery, iPhone 14 Pro Max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0" t="str">
        <f t="shared" si="1"/>
        <v>January</v>
      </c>
      <c r="B571" s="11">
        <f>IFERROR(__xludf.DUMMYFUNCTION("""COMPUTED_VALUE"""),46031.0)</f>
        <v>46031</v>
      </c>
      <c r="C571" s="2" t="str">
        <f>IFERROR(__xludf.DUMMYFUNCTION("""COMPUTED_VALUE"""),"MOBILECARE - S'MAISON")</f>
        <v>MOBILECARE - S'MAISON</v>
      </c>
      <c r="D571" s="2" t="str">
        <f>IFERROR(__xludf.DUMMYFUNCTION("""COMPUTED_VALUE"""),"661-21996")</f>
        <v>661-21996</v>
      </c>
      <c r="E571" s="2" t="str">
        <f>IFERROR(__xludf.DUMMYFUNCTION("""COMPUTED_VALUE"""),"Battery, iPhone 13 Pro")</f>
        <v>Battery, iPhone 13 Pro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0" t="str">
        <f t="shared" si="1"/>
        <v>January</v>
      </c>
      <c r="B572" s="11">
        <f>IFERROR(__xludf.DUMMYFUNCTION("""COMPUTED_VALUE"""),46039.0)</f>
        <v>46039</v>
      </c>
      <c r="C572" s="2" t="str">
        <f>IFERROR(__xludf.DUMMYFUNCTION("""COMPUTED_VALUE"""),"MOBILECARE - S'MAISON")</f>
        <v>MOBILECARE - S'MAISON</v>
      </c>
      <c r="D572" s="2" t="str">
        <f>IFERROR(__xludf.DUMMYFUNCTION("""COMPUTED_VALUE"""),"661-21991")</f>
        <v>661-21991</v>
      </c>
      <c r="E572" s="2" t="str">
        <f>IFERROR(__xludf.DUMMYFUNCTION("""COMPUTED_VALUE"""),"Battery, iPhone 13")</f>
        <v>Battery, iPhone 13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0" t="str">
        <f t="shared" si="1"/>
        <v>January</v>
      </c>
      <c r="B573" s="11">
        <f>IFERROR(__xludf.DUMMYFUNCTION("""COMPUTED_VALUE"""),46032.0)</f>
        <v>46032</v>
      </c>
      <c r="C573" s="2" t="str">
        <f>IFERROR(__xludf.DUMMYFUNCTION("""COMPUTED_VALUE"""),"MOBILECARE - S'MAISON")</f>
        <v>MOBILECARE - S'MAISON</v>
      </c>
      <c r="D573" s="2" t="str">
        <f>IFERROR(__xludf.DUMMYFUNCTION("""COMPUTED_VALUE"""),"661-21991")</f>
        <v>661-21991</v>
      </c>
      <c r="E573" s="2" t="str">
        <f>IFERROR(__xludf.DUMMYFUNCTION("""COMPUTED_VALUE"""),"Battery, iPhone 13")</f>
        <v>Battery, iPhone 13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0" t="str">
        <f t="shared" si="1"/>
        <v>January</v>
      </c>
      <c r="B574" s="11">
        <f>IFERROR(__xludf.DUMMYFUNCTION("""COMPUTED_VALUE"""),46031.0)</f>
        <v>46031</v>
      </c>
      <c r="C574" s="2" t="str">
        <f>IFERROR(__xludf.DUMMYFUNCTION("""COMPUTED_VALUE"""),"MOBILECARE - S'MAISON")</f>
        <v>MOBILECARE - S'MAISON</v>
      </c>
      <c r="D574" s="2" t="str">
        <f>IFERROR(__xludf.DUMMYFUNCTION("""COMPUTED_VALUE"""),"661-18428")</f>
        <v>661-18428</v>
      </c>
      <c r="E574" s="2" t="str">
        <f>IFERROR(__xludf.DUMMYFUNCTION("""COMPUTED_VALUE"""),"Battery, iPhone 12 Pro Max")</f>
        <v>Battery, iPhone 12 Pro Max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0" t="str">
        <f t="shared" si="1"/>
        <v>January</v>
      </c>
      <c r="B575" s="11">
        <f>IFERROR(__xludf.DUMMYFUNCTION("""COMPUTED_VALUE"""),46031.0)</f>
        <v>46031</v>
      </c>
      <c r="C575" s="2" t="str">
        <f>IFERROR(__xludf.DUMMYFUNCTION("""COMPUTED_VALUE"""),"MOBILECARE - S'MAISON")</f>
        <v>MOBILECARE - S'MAISON</v>
      </c>
      <c r="D575" s="2" t="str">
        <f>IFERROR(__xludf.DUMMYFUNCTION("""COMPUTED_VALUE"""),"661-21993")</f>
        <v>661-21993</v>
      </c>
      <c r="E575" s="2" t="str">
        <f>IFERROR(__xludf.DUMMYFUNCTION("""COMPUTED_VALUE"""),"Display, iPhone 13 Pro")</f>
        <v>Display, iPhone 13 Pro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0" t="str">
        <f t="shared" si="1"/>
        <v>January</v>
      </c>
      <c r="B576" s="11">
        <f>IFERROR(__xludf.DUMMYFUNCTION("""COMPUTED_VALUE"""),46036.0)</f>
        <v>46036</v>
      </c>
      <c r="C576" s="2" t="str">
        <f>IFERROR(__xludf.DUMMYFUNCTION("""COMPUTED_VALUE"""),"MOBILECARE - S'MAISON")</f>
        <v>MOBILECARE - S'MAISON</v>
      </c>
      <c r="D576" s="2" t="str">
        <f>IFERROR(__xludf.DUMMYFUNCTION("""COMPUTED_VALUE"""),"661-21991")</f>
        <v>661-21991</v>
      </c>
      <c r="E576" s="2" t="str">
        <f>IFERROR(__xludf.DUMMYFUNCTION("""COMPUTED_VALUE"""),"Battery, iPhone 13")</f>
        <v>Battery, iPhone 13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0" t="str">
        <f t="shared" si="1"/>
        <v>January</v>
      </c>
      <c r="B577" s="11">
        <f>IFERROR(__xludf.DUMMYFUNCTION("""COMPUTED_VALUE"""),46038.0)</f>
        <v>46038</v>
      </c>
      <c r="C577" s="2" t="str">
        <f>IFERROR(__xludf.DUMMYFUNCTION("""COMPUTED_VALUE"""),"MOBILECARE - S'MAISON")</f>
        <v>MOBILECARE - S'MAISON</v>
      </c>
      <c r="D577" s="2" t="str">
        <f>IFERROR(__xludf.DUMMYFUNCTION("""COMPUTED_VALUE"""),"661-35694")</f>
        <v>661-35694</v>
      </c>
      <c r="E577" s="2" t="str">
        <f>IFERROR(__xludf.DUMMYFUNCTION("""COMPUTED_VALUE"""),"Battery, iPhone 15 Pro")</f>
        <v>Battery, iPhone 15 Pro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0" t="str">
        <f t="shared" si="1"/>
        <v>January</v>
      </c>
      <c r="B578" s="11">
        <f>IFERROR(__xludf.DUMMYFUNCTION("""COMPUTED_VALUE"""),46026.0)</f>
        <v>46026</v>
      </c>
      <c r="C578" s="2" t="str">
        <f>IFERROR(__xludf.DUMMYFUNCTION("""COMPUTED_VALUE"""),"MOBILECARE - S'MAISON")</f>
        <v>MOBILECARE - S'MAISON</v>
      </c>
      <c r="D578" s="2" t="str">
        <f>IFERROR(__xludf.DUMMYFUNCTION("""COMPUTED_VALUE"""),"661-22309")</f>
        <v>661-22309</v>
      </c>
      <c r="E578" s="2" t="str">
        <f>IFERROR(__xludf.DUMMYFUNCTION("""COMPUTED_VALUE"""),"Display, iPhone 13 Pro Max")</f>
        <v>Display, iPhone 13 Pro Max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0" t="str">
        <f t="shared" si="1"/>
        <v>January</v>
      </c>
      <c r="B579" s="11">
        <f>IFERROR(__xludf.DUMMYFUNCTION("""COMPUTED_VALUE"""),46030.0)</f>
        <v>46030</v>
      </c>
      <c r="C579" s="2" t="str">
        <f>IFERROR(__xludf.DUMMYFUNCTION("""COMPUTED_VALUE"""),"MOBILECARE - S'MAISON")</f>
        <v>MOBILECARE - S'MAISON</v>
      </c>
      <c r="D579" s="2" t="str">
        <f>IFERROR(__xludf.DUMMYFUNCTION("""COMPUTED_VALUE"""),"661-22309")</f>
        <v>661-22309</v>
      </c>
      <c r="E579" s="2" t="str">
        <f>IFERROR(__xludf.DUMMYFUNCTION("""COMPUTED_VALUE"""),"Display, iPhone 13 Pro Max")</f>
        <v>Display, iPhone 13 Pro Max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0" t="str">
        <f t="shared" si="1"/>
        <v>January</v>
      </c>
      <c r="B580" s="11">
        <f>IFERROR(__xludf.DUMMYFUNCTION("""COMPUTED_VALUE"""),46031.0)</f>
        <v>46031</v>
      </c>
      <c r="C580" s="2" t="str">
        <f>IFERROR(__xludf.DUMMYFUNCTION("""COMPUTED_VALUE"""),"MOBILECARE - S'MAISON")</f>
        <v>MOBILECARE - S'MAISON</v>
      </c>
      <c r="D580" s="2" t="str">
        <f>IFERROR(__xludf.DUMMYFUNCTION("""COMPUTED_VALUE"""),"661-42726")</f>
        <v>661-42726</v>
      </c>
      <c r="E580" s="2" t="str">
        <f>IFERROR(__xludf.DUMMYFUNCTION("""COMPUTED_VALUE"""),"Display, iPhone 16 Pro")</f>
        <v>Display, iPhone 16 Pro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0" t="str">
        <f t="shared" si="1"/>
        <v>January</v>
      </c>
      <c r="B581" s="11">
        <f>IFERROR(__xludf.DUMMYFUNCTION("""COMPUTED_VALUE"""),46027.0)</f>
        <v>46027</v>
      </c>
      <c r="C581" s="2" t="str">
        <f>IFERROR(__xludf.DUMMYFUNCTION("""COMPUTED_VALUE"""),"MOBILECARE - S'MAISON")</f>
        <v>MOBILECARE - S'MAISON</v>
      </c>
      <c r="D581" s="2" t="str">
        <f>IFERROR(__xludf.DUMMYFUNCTION("""COMPUTED_VALUE"""),"661-18428")</f>
        <v>661-18428</v>
      </c>
      <c r="E581" s="2" t="str">
        <f>IFERROR(__xludf.DUMMYFUNCTION("""COMPUTED_VALUE"""),"Battery, iPhone 12 Pro Max")</f>
        <v>Battery, iPhone 12 Pro Max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0" t="str">
        <f t="shared" si="1"/>
        <v>January</v>
      </c>
      <c r="B582" s="11">
        <f>IFERROR(__xludf.DUMMYFUNCTION("""COMPUTED_VALUE"""),46030.0)</f>
        <v>46030</v>
      </c>
      <c r="C582" s="2" t="str">
        <f>IFERROR(__xludf.DUMMYFUNCTION("""COMPUTED_VALUE"""),"MOBILECARE - S'MAISON")</f>
        <v>MOBILECARE - S'MAISON</v>
      </c>
      <c r="D582" s="2" t="str">
        <f>IFERROR(__xludf.DUMMYFUNCTION("""COMPUTED_VALUE"""),"661-30401")</f>
        <v>661-30401</v>
      </c>
      <c r="E582" s="2" t="str">
        <f>IFERROR(__xludf.DUMMYFUNCTION("""COMPUTED_VALUE"""),"Display, iPhone 14 Pro Max")</f>
        <v>Display, iPhone 14 Pro Max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0" t="str">
        <f t="shared" si="1"/>
        <v>January</v>
      </c>
      <c r="B583" s="11">
        <f>IFERROR(__xludf.DUMMYFUNCTION("""COMPUTED_VALUE"""),46029.0)</f>
        <v>46029</v>
      </c>
      <c r="C583" s="2" t="str">
        <f>IFERROR(__xludf.DUMMYFUNCTION("""COMPUTED_VALUE"""),"MOBILECARE - S'MAISON")</f>
        <v>MOBILECARE - S'MAISON</v>
      </c>
      <c r="D583" s="2" t="str">
        <f>IFERROR(__xludf.DUMMYFUNCTION("""COMPUTED_VALUE"""),"661-22309")</f>
        <v>661-22309</v>
      </c>
      <c r="E583" s="2" t="str">
        <f>IFERROR(__xludf.DUMMYFUNCTION("""COMPUTED_VALUE"""),"Display, iPhone 13 Pro Max")</f>
        <v>Display, iPhone 13 Pro Max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0" t="str">
        <f t="shared" si="1"/>
        <v>January</v>
      </c>
      <c r="B584" s="11">
        <f>IFERROR(__xludf.DUMMYFUNCTION("""COMPUTED_VALUE"""),46034.0)</f>
        <v>46034</v>
      </c>
      <c r="C584" s="2" t="str">
        <f>IFERROR(__xludf.DUMMYFUNCTION("""COMPUTED_VALUE"""),"MOBILECARE - S'MAISON")</f>
        <v>MOBILECARE - S'MAISON</v>
      </c>
      <c r="D584" s="2" t="str">
        <f>IFERROR(__xludf.DUMMYFUNCTION("""COMPUTED_VALUE"""),"661-21991")</f>
        <v>661-21991</v>
      </c>
      <c r="E584" s="2" t="str">
        <f>IFERROR(__xludf.DUMMYFUNCTION("""COMPUTED_VALUE"""),"Battery, iPhone 13")</f>
        <v>Battery, iPhone 13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0" t="str">
        <f t="shared" si="1"/>
        <v>January</v>
      </c>
      <c r="B585" s="11">
        <f>IFERROR(__xludf.DUMMYFUNCTION("""COMPUTED_VALUE"""),46036.0)</f>
        <v>46036</v>
      </c>
      <c r="C585" s="2" t="str">
        <f>IFERROR(__xludf.DUMMYFUNCTION("""COMPUTED_VALUE"""),"MOBILECARE - S'MAISON")</f>
        <v>MOBILECARE - S'MAISON</v>
      </c>
      <c r="D585" s="2" t="str">
        <f>IFERROR(__xludf.DUMMYFUNCTION("""COMPUTED_VALUE"""),"661-42726")</f>
        <v>661-42726</v>
      </c>
      <c r="E585" s="2" t="str">
        <f>IFERROR(__xludf.DUMMYFUNCTION("""COMPUTED_VALUE"""),"Display, iPhone 16 Pro")</f>
        <v>Display, iPhone 16 Pro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0" t="str">
        <f t="shared" si="1"/>
        <v>January</v>
      </c>
      <c r="B586" s="11">
        <f>IFERROR(__xludf.DUMMYFUNCTION("""COMPUTED_VALUE"""),46033.0)</f>
        <v>46033</v>
      </c>
      <c r="C586" s="2" t="str">
        <f>IFERROR(__xludf.DUMMYFUNCTION("""COMPUTED_VALUE"""),"MOBILECARE - S'MAISON")</f>
        <v>MOBILECARE - S'MAISON</v>
      </c>
      <c r="D586" s="2" t="str">
        <f>IFERROR(__xludf.DUMMYFUNCTION("""COMPUTED_VALUE"""),"661-30393")</f>
        <v>661-30393</v>
      </c>
      <c r="E586" s="2" t="str">
        <f>IFERROR(__xludf.DUMMYFUNCTION("""COMPUTED_VALUE"""),"Camera, iPhone 14 Plus")</f>
        <v>Camera, iPhone 14 Plus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0" t="str">
        <f t="shared" si="1"/>
        <v>January</v>
      </c>
      <c r="B587" s="11">
        <f>IFERROR(__xludf.DUMMYFUNCTION("""COMPUTED_VALUE"""),46033.0)</f>
        <v>46033</v>
      </c>
      <c r="C587" s="2" t="str">
        <f>IFERROR(__xludf.DUMMYFUNCTION("""COMPUTED_VALUE"""),"MOBILECARE - S'MAISON")</f>
        <v>MOBILECARE - S'MAISON</v>
      </c>
      <c r="D587" s="2" t="str">
        <f>IFERROR(__xludf.DUMMYFUNCTION("""COMPUTED_VALUE"""),"661-30391")</f>
        <v>661-30391</v>
      </c>
      <c r="E587" s="2" t="str">
        <f>IFERROR(__xludf.DUMMYFUNCTION("""COMPUTED_VALUE"""),"TrueDepth Camera, iPhone 14 Plus")</f>
        <v>TrueDepth Camera, iPhone 14 Plus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0" t="str">
        <f t="shared" si="1"/>
        <v>January</v>
      </c>
      <c r="B588" s="11">
        <f>IFERROR(__xludf.DUMMYFUNCTION("""COMPUTED_VALUE"""),46033.0)</f>
        <v>46033</v>
      </c>
      <c r="C588" s="2" t="str">
        <f>IFERROR(__xludf.DUMMYFUNCTION("""COMPUTED_VALUE"""),"MOBILECARE - S'MAISON")</f>
        <v>MOBILECARE - S'MAISON</v>
      </c>
      <c r="D588" s="2" t="str">
        <f>IFERROR(__xludf.DUMMYFUNCTION("""COMPUTED_VALUE"""),"661-21996")</f>
        <v>661-21996</v>
      </c>
      <c r="E588" s="2" t="str">
        <f>IFERROR(__xludf.DUMMYFUNCTION("""COMPUTED_VALUE"""),"Battery, iPhone 13 Pro")</f>
        <v>Battery, iPhone 13 Pro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0" t="str">
        <f t="shared" si="1"/>
        <v>January</v>
      </c>
      <c r="B589" s="11">
        <f>IFERROR(__xludf.DUMMYFUNCTION("""COMPUTED_VALUE"""),46028.0)</f>
        <v>46028</v>
      </c>
      <c r="C589" s="2" t="str">
        <f>IFERROR(__xludf.DUMMYFUNCTION("""COMPUTED_VALUE"""),"MOBILECARE - S'MAISON")</f>
        <v>MOBILECARE - S'MAISON</v>
      </c>
      <c r="D589" s="2" t="str">
        <f>IFERROR(__xludf.DUMMYFUNCTION("""COMPUTED_VALUE"""),"661-42845")</f>
        <v>661-42845</v>
      </c>
      <c r="E589" s="2" t="str">
        <f>IFERROR(__xludf.DUMMYFUNCTION("""COMPUTED_VALUE"""),"Camera, iPhone 16 Plus")</f>
        <v>Camera, iPhone 16 Plus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0" t="str">
        <f t="shared" si="1"/>
        <v>January</v>
      </c>
      <c r="B590" s="11">
        <f>IFERROR(__xludf.DUMMYFUNCTION("""COMPUTED_VALUE"""),46039.0)</f>
        <v>46039</v>
      </c>
      <c r="C590" s="2" t="str">
        <f>IFERROR(__xludf.DUMMYFUNCTION("""COMPUTED_VALUE"""),"MOBILECARE - S'MAISON")</f>
        <v>MOBILECARE - S'MAISON</v>
      </c>
      <c r="D590" s="2" t="str">
        <f>IFERROR(__xludf.DUMMYFUNCTION("""COMPUTED_VALUE"""),"TA661-43504")</f>
        <v>TA661-43504</v>
      </c>
      <c r="E590" s="2" t="str">
        <f>IFERROR(__xludf.DUMMYFUNCTION("""COMPUTED_VALUE"""),"256GB, White, ROW, iPhone 16, CI/AR")</f>
        <v>256GB, White, ROW, iPhone 16, CI/AR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0" t="str">
        <f t="shared" si="1"/>
        <v>January</v>
      </c>
      <c r="B591" s="11">
        <f>IFERROR(__xludf.DUMMYFUNCTION("""COMPUTED_VALUE"""),46035.0)</f>
        <v>46035</v>
      </c>
      <c r="C591" s="2" t="str">
        <f>IFERROR(__xludf.DUMMYFUNCTION("""COMPUTED_VALUE"""),"MOBILECARE - S'MAISON")</f>
        <v>MOBILECARE - S'MAISON</v>
      </c>
      <c r="D591" s="2" t="str">
        <f>IFERROR(__xludf.DUMMYFUNCTION("""COMPUTED_VALUE"""),"661-36918")</f>
        <v>661-36918</v>
      </c>
      <c r="E591" s="2" t="str">
        <f>IFERROR(__xludf.DUMMYFUNCTION("""COMPUTED_VALUE"""),"Battery, iPhone 15 Pro Max")</f>
        <v>Battery, iPhone 15 Pro Max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0" t="str">
        <f t="shared" si="1"/>
        <v>January</v>
      </c>
      <c r="B592" s="11">
        <f>IFERROR(__xludf.DUMMYFUNCTION("""COMPUTED_VALUE"""),46026.0)</f>
        <v>46026</v>
      </c>
      <c r="C592" s="2" t="str">
        <f>IFERROR(__xludf.DUMMYFUNCTION("""COMPUTED_VALUE"""),"MOBILECARE - S'MAISON")</f>
        <v>MOBILECARE - S'MAISON</v>
      </c>
      <c r="D592" s="2" t="str">
        <f>IFERROR(__xludf.DUMMYFUNCTION("""COMPUTED_VALUE"""),"661-30393")</f>
        <v>661-30393</v>
      </c>
      <c r="E592" s="2" t="str">
        <f>IFERROR(__xludf.DUMMYFUNCTION("""COMPUTED_VALUE"""),"Camera, iPhone 14 Plus")</f>
        <v>Camera, iPhone 14 Plus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0" t="str">
        <f t="shared" si="1"/>
        <v>January</v>
      </c>
      <c r="B593" s="11">
        <f>IFERROR(__xludf.DUMMYFUNCTION("""COMPUTED_VALUE"""),46025.0)</f>
        <v>46025</v>
      </c>
      <c r="C593" s="2" t="str">
        <f>IFERROR(__xludf.DUMMYFUNCTION("""COMPUTED_VALUE"""),"MOBILECARE - S'MAISON")</f>
        <v>MOBILECARE - S'MAISON</v>
      </c>
      <c r="D593" s="2" t="str">
        <f>IFERROR(__xludf.DUMMYFUNCTION("""COMPUTED_VALUE"""),"661-22309")</f>
        <v>661-22309</v>
      </c>
      <c r="E593" s="2" t="str">
        <f>IFERROR(__xludf.DUMMYFUNCTION("""COMPUTED_VALUE"""),"Display, iPhone 13 Pro Max")</f>
        <v>Display, iPhone 13 Pro Max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0" t="str">
        <f t="shared" si="1"/>
        <v>January</v>
      </c>
      <c r="B594" s="11">
        <f>IFERROR(__xludf.DUMMYFUNCTION("""COMPUTED_VALUE"""),46026.0)</f>
        <v>46026</v>
      </c>
      <c r="C594" s="2" t="str">
        <f>IFERROR(__xludf.DUMMYFUNCTION("""COMPUTED_VALUE"""),"MOBILECARE - S'MAISON")</f>
        <v>MOBILECARE - S'MAISON</v>
      </c>
      <c r="D594" s="2" t="str">
        <f>IFERROR(__xludf.DUMMYFUNCTION("""COMPUTED_VALUE"""),"661-21991")</f>
        <v>661-21991</v>
      </c>
      <c r="E594" s="2" t="str">
        <f>IFERROR(__xludf.DUMMYFUNCTION("""COMPUTED_VALUE"""),"Battery, iPhone 13")</f>
        <v>Battery, iPhone 13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0" t="str">
        <f t="shared" si="1"/>
        <v>January</v>
      </c>
      <c r="B595" s="11">
        <f>IFERROR(__xludf.DUMMYFUNCTION("""COMPUTED_VALUE"""),46025.0)</f>
        <v>46025</v>
      </c>
      <c r="C595" s="2" t="str">
        <f>IFERROR(__xludf.DUMMYFUNCTION("""COMPUTED_VALUE"""),"MOBILECARE - S'MAISON")</f>
        <v>MOBILECARE - S'MAISON</v>
      </c>
      <c r="D595" s="2" t="str">
        <f>IFERROR(__xludf.DUMMYFUNCTION("""COMPUTED_VALUE"""),"661-30397")</f>
        <v>661-30397</v>
      </c>
      <c r="E595" s="2" t="str">
        <f>IFERROR(__xludf.DUMMYFUNCTION("""COMPUTED_VALUE"""),"Battery, iPhone 14 Pro Max")</f>
        <v>Battery, iPhone 14 Pro Max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0" t="str">
        <f t="shared" si="1"/>
        <v>January</v>
      </c>
      <c r="B596" s="11">
        <f>IFERROR(__xludf.DUMMYFUNCTION("""COMPUTED_VALUE"""),46037.0)</f>
        <v>46037</v>
      </c>
      <c r="C596" s="2" t="str">
        <f>IFERROR(__xludf.DUMMYFUNCTION("""COMPUTED_VALUE"""),"MOBILECARE - S'MAISON")</f>
        <v>MOBILECARE - S'MAISON</v>
      </c>
      <c r="D596" s="2" t="str">
        <f>IFERROR(__xludf.DUMMYFUNCTION("""COMPUTED_VALUE"""),"661-36918")</f>
        <v>661-36918</v>
      </c>
      <c r="E596" s="2" t="str">
        <f>IFERROR(__xludf.DUMMYFUNCTION("""COMPUTED_VALUE"""),"Battery, iPhone 15 Pro Max")</f>
        <v>Battery, iPhone 15 Pro Max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0" t="str">
        <f t="shared" si="1"/>
        <v>January</v>
      </c>
      <c r="B597" s="11">
        <f>IFERROR(__xludf.DUMMYFUNCTION("""COMPUTED_VALUE"""),46025.0)</f>
        <v>46025</v>
      </c>
      <c r="C597" s="2" t="str">
        <f>IFERROR(__xludf.DUMMYFUNCTION("""COMPUTED_VALUE"""),"MOBILECARE - S'MAISON")</f>
        <v>MOBILECARE - S'MAISON</v>
      </c>
      <c r="D597" s="2" t="str">
        <f>IFERROR(__xludf.DUMMYFUNCTION("""COMPUTED_VALUE"""),"661-21991")</f>
        <v>661-21991</v>
      </c>
      <c r="E597" s="2" t="str">
        <f>IFERROR(__xludf.DUMMYFUNCTION("""COMPUTED_VALUE"""),"Battery, iPhone 13")</f>
        <v>Battery, iPhone 13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0" t="str">
        <f t="shared" si="1"/>
        <v>January</v>
      </c>
      <c r="B598" s="11">
        <f>IFERROR(__xludf.DUMMYFUNCTION("""COMPUTED_VALUE"""),46032.0)</f>
        <v>46032</v>
      </c>
      <c r="C598" s="2" t="str">
        <f>IFERROR(__xludf.DUMMYFUNCTION("""COMPUTED_VALUE"""),"MOBILECARE - S'MAISON")</f>
        <v>MOBILECARE - S'MAISON</v>
      </c>
      <c r="D598" s="2" t="str">
        <f>IFERROR(__xludf.DUMMYFUNCTION("""COMPUTED_VALUE"""),"PP661-28217")</f>
        <v>PP661-28217</v>
      </c>
      <c r="E598" s="2" t="str">
        <f>IFERROR(__xludf.DUMMYFUNCTION("""COMPUTED_VALUE"""),"Space Black, iPhone 14 Pro, 512GB, ROW, CI/AR, Philippines")</f>
        <v>Space Black, iPhone 14 Pro, 512GB, ROW, CI/AR, Philippines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0" t="str">
        <f t="shared" si="1"/>
        <v>March</v>
      </c>
      <c r="B599" s="11">
        <f>IFERROR(__xludf.DUMMYFUNCTION("""COMPUTED_VALUE"""),46100.0)</f>
        <v>46100</v>
      </c>
      <c r="C599" s="2" t="str">
        <f>IFERROR(__xludf.DUMMYFUNCTION("""COMPUTED_VALUE"""),"MOBILECARE - NAGA")</f>
        <v>MOBILECARE - NAGA</v>
      </c>
      <c r="D599" s="2" t="str">
        <f>IFERROR(__xludf.DUMMYFUNCTION("""COMPUTED_VALUE"""),"661-35694")</f>
        <v>661-35694</v>
      </c>
      <c r="E599" s="2" t="str">
        <f>IFERROR(__xludf.DUMMYFUNCTION("""COMPUTED_VALUE"""),"Battery, iPhone 15 Pro")</f>
        <v>Battery, iPhone 15 Pro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0" t="str">
        <f t="shared" si="1"/>
        <v>March</v>
      </c>
      <c r="B600" s="11">
        <f>IFERROR(__xludf.DUMMYFUNCTION("""COMPUTED_VALUE"""),46102.0)</f>
        <v>46102</v>
      </c>
      <c r="C600" s="2" t="str">
        <f>IFERROR(__xludf.DUMMYFUNCTION("""COMPUTED_VALUE"""),"MOBILECARE - NAGA")</f>
        <v>MOBILECARE - NAGA</v>
      </c>
      <c r="D600" s="2" t="str">
        <f>IFERROR(__xludf.DUMMYFUNCTION("""COMPUTED_VALUE"""),"PP661-23455")</f>
        <v>PP661-23455</v>
      </c>
      <c r="E600" s="2" t="str">
        <f>IFERROR(__xludf.DUMMYFUNCTION("""COMPUTED_VALUE"""),"iPhone 13, Starlight, 128GB, Logic Board Assy Rear System, ROW")</f>
        <v>iPhone 13, Starlight, 128GB, Logic Board Assy Rear System, ROW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0" t="str">
        <f t="shared" si="1"/>
        <v>February</v>
      </c>
      <c r="B601" s="11">
        <f>IFERROR(__xludf.DUMMYFUNCTION("""COMPUTED_VALUE"""),46078.0)</f>
        <v>46078</v>
      </c>
      <c r="C601" s="2" t="str">
        <f>IFERROR(__xludf.DUMMYFUNCTION("""COMPUTED_VALUE"""),"MOBILECARE - NAGA")</f>
        <v>MOBILECARE - NAGA</v>
      </c>
      <c r="D601" s="2" t="str">
        <f>IFERROR(__xludf.DUMMYFUNCTION("""COMPUTED_VALUE"""),"661-36829")</f>
        <v>661-36829</v>
      </c>
      <c r="E601" s="2" t="str">
        <f>IFERROR(__xludf.DUMMYFUNCTION("""COMPUTED_VALUE"""),"TrueDepth Camera, iPhone 15")</f>
        <v>TrueDepth Camera, iPhone 15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0" t="str">
        <f t="shared" si="1"/>
        <v>February</v>
      </c>
      <c r="B602" s="11">
        <f>IFERROR(__xludf.DUMMYFUNCTION("""COMPUTED_VALUE"""),46078.0)</f>
        <v>46078</v>
      </c>
      <c r="C602" s="2" t="str">
        <f>IFERROR(__xludf.DUMMYFUNCTION("""COMPUTED_VALUE"""),"MOBILECARE - NAGA")</f>
        <v>MOBILECARE - NAGA</v>
      </c>
      <c r="D602" s="2" t="str">
        <f>IFERROR(__xludf.DUMMYFUNCTION("""COMPUTED_VALUE"""),"661-36829")</f>
        <v>661-36829</v>
      </c>
      <c r="E602" s="2" t="str">
        <f>IFERROR(__xludf.DUMMYFUNCTION("""COMPUTED_VALUE"""),"TrueDepth Camera, iPhone 15")</f>
        <v>TrueDepth Camera, iPhone 15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0" t="str">
        <f t="shared" si="1"/>
        <v>February</v>
      </c>
      <c r="B603" s="11">
        <f>IFERROR(__xludf.DUMMYFUNCTION("""COMPUTED_VALUE"""),46054.0)</f>
        <v>46054</v>
      </c>
      <c r="C603" s="2" t="str">
        <f>IFERROR(__xludf.DUMMYFUNCTION("""COMPUTED_VALUE"""),"MOBILECARE - NAGA")</f>
        <v>MOBILECARE - NAGA</v>
      </c>
      <c r="D603" s="2" t="str">
        <f>IFERROR(__xludf.DUMMYFUNCTION("""COMPUTED_VALUE"""),"TA661-36692")</f>
        <v>TA661-36692</v>
      </c>
      <c r="E603" s="2" t="str">
        <f>IFERROR(__xludf.DUMMYFUNCTION("""COMPUTED_VALUE"""),"iPhone 15, Pink, 128GB, Logic Board Assy Mid System, ROW")</f>
        <v>iPhone 15, Pink, 128GB, Logic Board Assy Mid System, ROW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0" t="str">
        <f t="shared" si="1"/>
        <v>January</v>
      </c>
      <c r="B604" s="11">
        <f>IFERROR(__xludf.DUMMYFUNCTION("""COMPUTED_VALUE"""),46049.0)</f>
        <v>46049</v>
      </c>
      <c r="C604" s="2" t="str">
        <f>IFERROR(__xludf.DUMMYFUNCTION("""COMPUTED_VALUE"""),"MOBILECARE - NAGA")</f>
        <v>MOBILECARE - NAGA</v>
      </c>
      <c r="D604" s="2" t="str">
        <f>IFERROR(__xludf.DUMMYFUNCTION("""COMPUTED_VALUE"""),"PP661-23454")</f>
        <v>PP661-23454</v>
      </c>
      <c r="E604" s="2" t="str">
        <f>IFERROR(__xludf.DUMMYFUNCTION("""COMPUTED_VALUE"""),"iPhone 13, Midnight, 128GB, Logic Board Assy Rear System, ROW")</f>
        <v>iPhone 13, Midnight, 128GB, Logic Board Assy Rear System, ROW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0" t="str">
        <f t="shared" si="1"/>
        <v>January</v>
      </c>
      <c r="B605" s="11">
        <f>IFERROR(__xludf.DUMMYFUNCTION("""COMPUTED_VALUE"""),46041.0)</f>
        <v>46041</v>
      </c>
      <c r="C605" s="2" t="str">
        <f>IFERROR(__xludf.DUMMYFUNCTION("""COMPUTED_VALUE"""),"MOBILECARE - NAGA")</f>
        <v>MOBILECARE - NAGA</v>
      </c>
      <c r="D605" s="2" t="str">
        <f>IFERROR(__xludf.DUMMYFUNCTION("""COMPUTED_VALUE"""),"661-30397")</f>
        <v>661-30397</v>
      </c>
      <c r="E605" s="2" t="str">
        <f>IFERROR(__xludf.DUMMYFUNCTION("""COMPUTED_VALUE"""),"Battery, iPhone 14 Pro Max")</f>
        <v>Battery, iPhone 14 Pro Max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0" t="str">
        <f t="shared" si="1"/>
        <v>January</v>
      </c>
      <c r="B606" s="11">
        <f>IFERROR(__xludf.DUMMYFUNCTION("""COMPUTED_VALUE"""),46033.0)</f>
        <v>46033</v>
      </c>
      <c r="C606" s="2" t="str">
        <f>IFERROR(__xludf.DUMMYFUNCTION("""COMPUTED_VALUE"""),"MOBILECARE - NAGA")</f>
        <v>MOBILECARE - NAGA</v>
      </c>
      <c r="D606" s="2" t="str">
        <f>IFERROR(__xludf.DUMMYFUNCTION("""COMPUTED_VALUE"""),"661-55240")</f>
        <v>661-55240</v>
      </c>
      <c r="E606" s="2" t="str">
        <f>IFERROR(__xludf.DUMMYFUNCTION("""COMPUTED_VALUE"""),"Display, iPhone Air")</f>
        <v>Display, iPhone Air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0" t="str">
        <f t="shared" si="1"/>
        <v>February</v>
      </c>
      <c r="B607" s="11">
        <f>IFERROR(__xludf.DUMMYFUNCTION("""COMPUTED_VALUE"""),46056.0)</f>
        <v>46056</v>
      </c>
      <c r="C607" s="2" t="str">
        <f>IFERROR(__xludf.DUMMYFUNCTION("""COMPUTED_VALUE"""),"MOBILECARE - NAGA")</f>
        <v>MOBILECARE - NAGA</v>
      </c>
      <c r="D607" s="2" t="str">
        <f>IFERROR(__xludf.DUMMYFUNCTION("""COMPUTED_VALUE"""),"TA661-36691")</f>
        <v>TA661-36691</v>
      </c>
      <c r="E607" s="2" t="str">
        <f>IFERROR(__xludf.DUMMYFUNCTION("""COMPUTED_VALUE"""),"iPhone 15, Black, 128GB, Logic Board Assy Mid System, ROW")</f>
        <v>iPhone 15, Black, 128GB, Logic Board Assy Mid System, ROW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0" t="str">
        <f t="shared" si="1"/>
        <v>January</v>
      </c>
      <c r="B608" s="11">
        <f>IFERROR(__xludf.DUMMYFUNCTION("""COMPUTED_VALUE"""),46047.0)</f>
        <v>46047</v>
      </c>
      <c r="C608" s="2" t="str">
        <f>IFERROR(__xludf.DUMMYFUNCTION("""COMPUTED_VALUE"""),"MOBILECARE - NAGA")</f>
        <v>MOBILECARE - NAGA</v>
      </c>
      <c r="D608" s="2" t="str">
        <f>IFERROR(__xludf.DUMMYFUNCTION("""COMPUTED_VALUE"""),"PP661-23455")</f>
        <v>PP661-23455</v>
      </c>
      <c r="E608" s="2" t="str">
        <f>IFERROR(__xludf.DUMMYFUNCTION("""COMPUTED_VALUE"""),"iPhone 13, Starlight, 128GB, Logic Board Assy Rear System, ROW")</f>
        <v>iPhone 13, Starlight, 128GB, Logic Board Assy Rear System, ROW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0" t="str">
        <f t="shared" si="1"/>
        <v>January</v>
      </c>
      <c r="B609" s="11">
        <f>IFERROR(__xludf.DUMMYFUNCTION("""COMPUTED_VALUE"""),46046.0)</f>
        <v>46046</v>
      </c>
      <c r="C609" s="2" t="str">
        <f>IFERROR(__xludf.DUMMYFUNCTION("""COMPUTED_VALUE"""),"MOBILECARE - NAGA")</f>
        <v>MOBILECARE - NAGA</v>
      </c>
      <c r="D609" s="2" t="str">
        <f>IFERROR(__xludf.DUMMYFUNCTION("""COMPUTED_VALUE"""),"PP661-28873")</f>
        <v>PP661-28873</v>
      </c>
      <c r="E609" s="2" t="str">
        <f>IFERROR(__xludf.DUMMYFUNCTION("""COMPUTED_VALUE"""),"iPhone 14, Midnight, 256GB, Logic Board Assy Mid System, ROW")</f>
        <v>iPhone 14, Midnight, 256GB, Logic Board Assy Mid System, ROW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0" t="str">
        <f t="shared" si="1"/>
        <v>February</v>
      </c>
      <c r="B610" s="11">
        <f>IFERROR(__xludf.DUMMYFUNCTION("""COMPUTED_VALUE"""),46054.0)</f>
        <v>46054</v>
      </c>
      <c r="C610" s="2" t="str">
        <f>IFERROR(__xludf.DUMMYFUNCTION("""COMPUTED_VALUE"""),"MOBILECARE - NAGA")</f>
        <v>MOBILECARE - NAGA</v>
      </c>
      <c r="D610" s="2" t="str">
        <f>IFERROR(__xludf.DUMMYFUNCTION("""COMPUTED_VALUE"""),"PP661-23454")</f>
        <v>PP661-23454</v>
      </c>
      <c r="E610" s="2" t="str">
        <f>IFERROR(__xludf.DUMMYFUNCTION("""COMPUTED_VALUE"""),"iPhone 13, Midnight, 128GB, Logic Board Assy Rear System, ROW")</f>
        <v>iPhone 13, Midnight, 128GB, Logic Board Assy Rear System, ROW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0" t="str">
        <f t="shared" si="1"/>
        <v>January</v>
      </c>
      <c r="B611" s="11">
        <f>IFERROR(__xludf.DUMMYFUNCTION("""COMPUTED_VALUE"""),46044.0)</f>
        <v>46044</v>
      </c>
      <c r="C611" s="2" t="str">
        <f>IFERROR(__xludf.DUMMYFUNCTION("""COMPUTED_VALUE"""),"MOBILECARE - NAGA")</f>
        <v>MOBILECARE - NAGA</v>
      </c>
      <c r="D611" s="2" t="str">
        <f>IFERROR(__xludf.DUMMYFUNCTION("""COMPUTED_VALUE"""),"661-22309")</f>
        <v>661-22309</v>
      </c>
      <c r="E611" s="2" t="str">
        <f>IFERROR(__xludf.DUMMYFUNCTION("""COMPUTED_VALUE"""),"Display, iPhone 13 Pro Max")</f>
        <v>Display, iPhone 13 Pro Max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0" t="str">
        <f t="shared" si="1"/>
        <v>January</v>
      </c>
      <c r="B612" s="11">
        <f>IFERROR(__xludf.DUMMYFUNCTION("""COMPUTED_VALUE"""),46044.0)</f>
        <v>46044</v>
      </c>
      <c r="C612" s="2" t="str">
        <f>IFERROR(__xludf.DUMMYFUNCTION("""COMPUTED_VALUE"""),"MOBILECARE - NAGA")</f>
        <v>MOBILECARE - NAGA</v>
      </c>
      <c r="D612" s="2" t="str">
        <f>IFERROR(__xludf.DUMMYFUNCTION("""COMPUTED_VALUE"""),"661-22309")</f>
        <v>661-22309</v>
      </c>
      <c r="E612" s="2" t="str">
        <f>IFERROR(__xludf.DUMMYFUNCTION("""COMPUTED_VALUE"""),"Display, iPhone 13 Pro Max")</f>
        <v>Display, iPhone 13 Pro Max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0" t="str">
        <f t="shared" si="1"/>
        <v>January</v>
      </c>
      <c r="B613" s="11">
        <f>IFERROR(__xludf.DUMMYFUNCTION("""COMPUTED_VALUE"""),46044.0)</f>
        <v>46044</v>
      </c>
      <c r="C613" s="2" t="str">
        <f>IFERROR(__xludf.DUMMYFUNCTION("""COMPUTED_VALUE"""),"MOBILECARE - NAGA")</f>
        <v>MOBILECARE - NAGA</v>
      </c>
      <c r="D613" s="2" t="str">
        <f>IFERROR(__xludf.DUMMYFUNCTION("""COMPUTED_VALUE"""),"661-22309")</f>
        <v>661-22309</v>
      </c>
      <c r="E613" s="2" t="str">
        <f>IFERROR(__xludf.DUMMYFUNCTION("""COMPUTED_VALUE"""),"Display, iPhone 13 Pro Max")</f>
        <v>Display, iPhone 13 Pro Max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0" t="str">
        <f t="shared" si="1"/>
        <v>January</v>
      </c>
      <c r="B614" s="11">
        <f>IFERROR(__xludf.DUMMYFUNCTION("""COMPUTED_VALUE"""),46046.0)</f>
        <v>46046</v>
      </c>
      <c r="C614" s="2" t="str">
        <f>IFERROR(__xludf.DUMMYFUNCTION("""COMPUTED_VALUE"""),"MOBILECARE - NAGA")</f>
        <v>MOBILECARE - NAGA</v>
      </c>
      <c r="D614" s="2" t="str">
        <f>IFERROR(__xludf.DUMMYFUNCTION("""COMPUTED_VALUE"""),"TA661-36694")</f>
        <v>TA661-36694</v>
      </c>
      <c r="E614" s="2" t="str">
        <f>IFERROR(__xludf.DUMMYFUNCTION("""COMPUTED_VALUE"""),"iPhone 15, Blue, 128GB, Logic Board Assy Mid System, ROW")</f>
        <v>iPhone 15, Blue, 128GB, Logic Board Assy Mid System, ROW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0" t="str">
        <f t="shared" si="1"/>
        <v>January</v>
      </c>
      <c r="B615" s="11">
        <f>IFERROR(__xludf.DUMMYFUNCTION("""COMPUTED_VALUE"""),46037.0)</f>
        <v>46037</v>
      </c>
      <c r="C615" s="2" t="str">
        <f>IFERROR(__xludf.DUMMYFUNCTION("""COMPUTED_VALUE"""),"MOBILECARE - NAGA")</f>
        <v>MOBILECARE - NAGA</v>
      </c>
      <c r="D615" s="2" t="str">
        <f>IFERROR(__xludf.DUMMYFUNCTION("""COMPUTED_VALUE"""),"661-36842")</f>
        <v>661-36842</v>
      </c>
      <c r="E615" s="2" t="str">
        <f>IFERROR(__xludf.DUMMYFUNCTION("""COMPUTED_VALUE"""),"Green, Back Glass, iPhone 15")</f>
        <v>Green, Back Glass, iPhone 15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0" t="str">
        <f t="shared" si="1"/>
        <v>January</v>
      </c>
      <c r="B616" s="11">
        <f>IFERROR(__xludf.DUMMYFUNCTION("""COMPUTED_VALUE"""),46041.0)</f>
        <v>46041</v>
      </c>
      <c r="C616" s="2" t="str">
        <f>IFERROR(__xludf.DUMMYFUNCTION("""COMPUTED_VALUE"""),"MOBILECARE - NAGA")</f>
        <v>MOBILECARE - NAGA</v>
      </c>
      <c r="D616" s="2" t="str">
        <f>IFERROR(__xludf.DUMMYFUNCTION("""COMPUTED_VALUE"""),"661-35694")</f>
        <v>661-35694</v>
      </c>
      <c r="E616" s="2" t="str">
        <f>IFERROR(__xludf.DUMMYFUNCTION("""COMPUTED_VALUE"""),"Battery, iPhone 15 Pro")</f>
        <v>Battery, iPhone 15 Pro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0" t="str">
        <f t="shared" si="1"/>
        <v>January</v>
      </c>
      <c r="B617" s="11">
        <f>IFERROR(__xludf.DUMMYFUNCTION("""COMPUTED_VALUE"""),46033.0)</f>
        <v>46033</v>
      </c>
      <c r="C617" s="2" t="str">
        <f>IFERROR(__xludf.DUMMYFUNCTION("""COMPUTED_VALUE"""),"MOBILECARE - NAGA")</f>
        <v>MOBILECARE - NAGA</v>
      </c>
      <c r="D617" s="2" t="str">
        <f>IFERROR(__xludf.DUMMYFUNCTION("""COMPUTED_VALUE"""),"661-18428")</f>
        <v>661-18428</v>
      </c>
      <c r="E617" s="2" t="str">
        <f>IFERROR(__xludf.DUMMYFUNCTION("""COMPUTED_VALUE"""),"Battery, iPhone 12 Pro Max")</f>
        <v>Battery, iPhone 12 Pro Max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0" t="str">
        <f t="shared" si="1"/>
        <v>January</v>
      </c>
      <c r="B618" s="11">
        <f>IFERROR(__xludf.DUMMYFUNCTION("""COMPUTED_VALUE"""),46046.0)</f>
        <v>46046</v>
      </c>
      <c r="C618" s="2" t="str">
        <f>IFERROR(__xludf.DUMMYFUNCTION("""COMPUTED_VALUE"""),"MOBILECARE - NAGA")</f>
        <v>MOBILECARE - NAGA</v>
      </c>
      <c r="D618" s="2" t="str">
        <f>IFERROR(__xludf.DUMMYFUNCTION("""COMPUTED_VALUE"""),"PP661-28869")</f>
        <v>PP661-28869</v>
      </c>
      <c r="E618" s="2" t="str">
        <f>IFERROR(__xludf.DUMMYFUNCTION("""COMPUTED_VALUE"""),"iPhone 14, Starlight, 128GB, Logic Board Assy Mid System, ROW")</f>
        <v>iPhone 14, Starlight, 128GB, Logic Board Assy Mid System, ROW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0" t="str">
        <f t="shared" si="1"/>
        <v>January</v>
      </c>
      <c r="B619" s="11">
        <f>IFERROR(__xludf.DUMMYFUNCTION("""COMPUTED_VALUE"""),46049.0)</f>
        <v>46049</v>
      </c>
      <c r="C619" s="2" t="str">
        <f>IFERROR(__xludf.DUMMYFUNCTION("""COMPUTED_VALUE"""),"MOBILECARE - NAGA")</f>
        <v>MOBILECARE - NAGA</v>
      </c>
      <c r="D619" s="2" t="str">
        <f>IFERROR(__xludf.DUMMYFUNCTION("""COMPUTED_VALUE"""),"PP661-23454")</f>
        <v>PP661-23454</v>
      </c>
      <c r="E619" s="2" t="str">
        <f>IFERROR(__xludf.DUMMYFUNCTION("""COMPUTED_VALUE"""),"iPhone 13, Midnight, 128GB, Logic Board Assy Rear System, ROW")</f>
        <v>iPhone 13, Midnight, 128GB, Logic Board Assy Rear System, ROW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0" t="str">
        <f t="shared" si="1"/>
        <v>January</v>
      </c>
      <c r="B620" s="11">
        <f>IFERROR(__xludf.DUMMYFUNCTION("""COMPUTED_VALUE"""),46038.0)</f>
        <v>46038</v>
      </c>
      <c r="C620" s="2" t="str">
        <f>IFERROR(__xludf.DUMMYFUNCTION("""COMPUTED_VALUE"""),"MOBILECARE - NAGA")</f>
        <v>MOBILECARE - NAGA</v>
      </c>
      <c r="D620" s="2" t="str">
        <f>IFERROR(__xludf.DUMMYFUNCTION("""COMPUTED_VALUE"""),"661-56050")</f>
        <v>661-56050</v>
      </c>
      <c r="E620" s="2" t="str">
        <f>IFERROR(__xludf.DUMMYFUNCTION("""COMPUTED_VALUE"""),"Display, iPhone 17 Pro Max")</f>
        <v>Display, iPhone 17 Pro Max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0" t="str">
        <f t="shared" si="1"/>
        <v>January</v>
      </c>
      <c r="B621" s="11">
        <f>IFERROR(__xludf.DUMMYFUNCTION("""COMPUTED_VALUE"""),46038.0)</f>
        <v>46038</v>
      </c>
      <c r="C621" s="2" t="str">
        <f>IFERROR(__xludf.DUMMYFUNCTION("""COMPUTED_VALUE"""),"MOBILECARE - NAGA")</f>
        <v>MOBILECARE - NAGA</v>
      </c>
      <c r="D621" s="2" t="str">
        <f>IFERROR(__xludf.DUMMYFUNCTION("""COMPUTED_VALUE"""),"661-21988")</f>
        <v>661-21988</v>
      </c>
      <c r="E621" s="2" t="str">
        <f>IFERROR(__xludf.DUMMYFUNCTION("""COMPUTED_VALUE"""),"Display, iPhone 13")</f>
        <v>Display, iPhone 13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0" t="str">
        <f t="shared" si="1"/>
        <v>January</v>
      </c>
      <c r="B622" s="11">
        <f>IFERROR(__xludf.DUMMYFUNCTION("""COMPUTED_VALUE"""),46044.0)</f>
        <v>46044</v>
      </c>
      <c r="C622" s="2" t="str">
        <f>IFERROR(__xludf.DUMMYFUNCTION("""COMPUTED_VALUE"""),"MOBILECARE - NAGA")</f>
        <v>MOBILECARE - NAGA</v>
      </c>
      <c r="D622" s="2" t="str">
        <f>IFERROR(__xludf.DUMMYFUNCTION("""COMPUTED_VALUE"""),"TA661-36691")</f>
        <v>TA661-36691</v>
      </c>
      <c r="E622" s="2" t="str">
        <f>IFERROR(__xludf.DUMMYFUNCTION("""COMPUTED_VALUE"""),"iPhone 15, Black, 128GB, Logic Board Assy Mid System, ROW")</f>
        <v>iPhone 15, Black, 128GB, Logic Board Assy Mid System, ROW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0" t="str">
        <f t="shared" si="1"/>
        <v>January</v>
      </c>
      <c r="B623" s="11">
        <f>IFERROR(__xludf.DUMMYFUNCTION("""COMPUTED_VALUE"""),46042.0)</f>
        <v>46042</v>
      </c>
      <c r="C623" s="2" t="str">
        <f>IFERROR(__xludf.DUMMYFUNCTION("""COMPUTED_VALUE"""),"MOBILECARE - NAGA")</f>
        <v>MOBILECARE - NAGA</v>
      </c>
      <c r="D623" s="2" t="str">
        <f>IFERROR(__xludf.DUMMYFUNCTION("""COMPUTED_VALUE"""),"TA661-43607")</f>
        <v>TA661-43607</v>
      </c>
      <c r="E623" s="2" t="str">
        <f>IFERROR(__xludf.DUMMYFUNCTION("""COMPUTED_VALUE"""),"128GB, Pink, ROW, iPhone 16, Logic Board Assy Mid System")</f>
        <v>128GB, Pink, ROW, iPhone 16, Logic Board Assy Mid System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0" t="str">
        <f t="shared" si="1"/>
        <v>January</v>
      </c>
      <c r="B624" s="11">
        <f>IFERROR(__xludf.DUMMYFUNCTION("""COMPUTED_VALUE"""),46040.0)</f>
        <v>46040</v>
      </c>
      <c r="C624" s="2" t="str">
        <f>IFERROR(__xludf.DUMMYFUNCTION("""COMPUTED_VALUE"""),"MOBILECARE - NAGA")</f>
        <v>MOBILECARE - NAGA</v>
      </c>
      <c r="D624" s="2" t="str">
        <f>IFERROR(__xludf.DUMMYFUNCTION("""COMPUTED_VALUE"""),"TA661-36691")</f>
        <v>TA661-36691</v>
      </c>
      <c r="E624" s="2" t="str">
        <f>IFERROR(__xludf.DUMMYFUNCTION("""COMPUTED_VALUE"""),"iPhone 15, Black, 128GB, Logic Board Assy Mid System, ROW")</f>
        <v>iPhone 15, Black, 128GB, Logic Board Assy Mid System, ROW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0" t="str">
        <f t="shared" si="1"/>
        <v>January</v>
      </c>
      <c r="B625" s="11">
        <f>IFERROR(__xludf.DUMMYFUNCTION("""COMPUTED_VALUE"""),46040.0)</f>
        <v>46040</v>
      </c>
      <c r="C625" s="2" t="str">
        <f>IFERROR(__xludf.DUMMYFUNCTION("""COMPUTED_VALUE"""),"MOBILECARE - NAGA")</f>
        <v>MOBILECARE - NAGA</v>
      </c>
      <c r="D625" s="2" t="str">
        <f>IFERROR(__xludf.DUMMYFUNCTION("""COMPUTED_VALUE"""),"PP661-23455")</f>
        <v>PP661-23455</v>
      </c>
      <c r="E625" s="2" t="str">
        <f>IFERROR(__xludf.DUMMYFUNCTION("""COMPUTED_VALUE"""),"iPhone 13, Starlight, 128GB, Logic Board Assy Rear System, ROW")</f>
        <v>iPhone 13, Starlight, 128GB, Logic Board Assy Rear System, ROW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0" t="str">
        <f t="shared" si="1"/>
        <v>January</v>
      </c>
      <c r="B626" s="11">
        <f>IFERROR(__xludf.DUMMYFUNCTION("""COMPUTED_VALUE"""),46024.0)</f>
        <v>46024</v>
      </c>
      <c r="C626" s="2" t="str">
        <f>IFERROR(__xludf.DUMMYFUNCTION("""COMPUTED_VALUE"""),"MOBILECARE - NAGA")</f>
        <v>MOBILECARE - NAGA</v>
      </c>
      <c r="D626" s="2" t="str">
        <f>IFERROR(__xludf.DUMMYFUNCTION("""COMPUTED_VALUE"""),"661-21988")</f>
        <v>661-21988</v>
      </c>
      <c r="E626" s="2" t="str">
        <f>IFERROR(__xludf.DUMMYFUNCTION("""COMPUTED_VALUE"""),"Display, iPhone 13")</f>
        <v>Display, iPhone 13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0" t="str">
        <f t="shared" si="1"/>
        <v>January</v>
      </c>
      <c r="B627" s="11">
        <f>IFERROR(__xludf.DUMMYFUNCTION("""COMPUTED_VALUE"""),46041.0)</f>
        <v>46041</v>
      </c>
      <c r="C627" s="2" t="str">
        <f>IFERROR(__xludf.DUMMYFUNCTION("""COMPUTED_VALUE"""),"MOBILECARE - NAGA")</f>
        <v>MOBILECARE - NAGA</v>
      </c>
      <c r="D627" s="2" t="str">
        <f>IFERROR(__xludf.DUMMYFUNCTION("""COMPUTED_VALUE"""),"TA661-45002")</f>
        <v>TA661-45002</v>
      </c>
      <c r="E627" s="2" t="str">
        <f>IFERROR(__xludf.DUMMYFUNCTION("""COMPUTED_VALUE"""),"256GB, Natural Titanium, ROW, iPhone 16 Pro, Logic Board Assy Mid System")</f>
        <v>256GB, Natural Titanium, ROW, iPhone 16 Pro, Logic Board Assy Mid System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0" t="str">
        <f t="shared" si="1"/>
        <v>January</v>
      </c>
      <c r="B628" s="11">
        <f>IFERROR(__xludf.DUMMYFUNCTION("""COMPUTED_VALUE"""),46025.0)</f>
        <v>46025</v>
      </c>
      <c r="C628" s="2" t="str">
        <f>IFERROR(__xludf.DUMMYFUNCTION("""COMPUTED_VALUE"""),"MOBILECARE - NAGA")</f>
        <v>MOBILECARE - NAGA</v>
      </c>
      <c r="D628" s="2" t="str">
        <f>IFERROR(__xludf.DUMMYFUNCTION("""COMPUTED_VALUE"""),"661-21988")</f>
        <v>661-21988</v>
      </c>
      <c r="E628" s="2" t="str">
        <f>IFERROR(__xludf.DUMMYFUNCTION("""COMPUTED_VALUE"""),"Display, iPhone 13")</f>
        <v>Display, iPhone 13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0" t="str">
        <f t="shared" si="1"/>
        <v>January</v>
      </c>
      <c r="B629" s="11">
        <f>IFERROR(__xludf.DUMMYFUNCTION("""COMPUTED_VALUE"""),46027.0)</f>
        <v>46027</v>
      </c>
      <c r="C629" s="2" t="str">
        <f>IFERROR(__xludf.DUMMYFUNCTION("""COMPUTED_VALUE"""),"MOBILECARE - NAGA")</f>
        <v>MOBILECARE - NAGA</v>
      </c>
      <c r="D629" s="2" t="str">
        <f>IFERROR(__xludf.DUMMYFUNCTION("""COMPUTED_VALUE"""),"661-36915")</f>
        <v>661-36915</v>
      </c>
      <c r="E629" s="2" t="str">
        <f>IFERROR(__xludf.DUMMYFUNCTION("""COMPUTED_VALUE"""),"Display, iPhone 15 Pro Max")</f>
        <v>Display, iPhone 15 Pro Max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0" t="str">
        <f t="shared" si="1"/>
        <v>January</v>
      </c>
      <c r="B630" s="11">
        <f>IFERROR(__xludf.DUMMYFUNCTION("""COMPUTED_VALUE"""),46028.0)</f>
        <v>46028</v>
      </c>
      <c r="C630" s="2" t="str">
        <f>IFERROR(__xludf.DUMMYFUNCTION("""COMPUTED_VALUE"""),"MOBILECARE - NAGA")</f>
        <v>MOBILECARE - NAGA</v>
      </c>
      <c r="D630" s="2" t="str">
        <f>IFERROR(__xludf.DUMMYFUNCTION("""COMPUTED_VALUE"""),"PP661-23467")</f>
        <v>PP661-23467</v>
      </c>
      <c r="E630" s="2" t="str">
        <f>IFERROR(__xludf.DUMMYFUNCTION("""COMPUTED_VALUE"""),"iPhone 13, Red, 512GB, Logic Board Assy Rear System, ROW")</f>
        <v>iPhone 13, Red, 512GB, Logic Board Assy Rear System, ROW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0" t="str">
        <f t="shared" si="1"/>
        <v>January</v>
      </c>
      <c r="B631" s="11">
        <f>IFERROR(__xludf.DUMMYFUNCTION("""COMPUTED_VALUE"""),46025.0)</f>
        <v>46025</v>
      </c>
      <c r="C631" s="2" t="str">
        <f>IFERROR(__xludf.DUMMYFUNCTION("""COMPUTED_VALUE"""),"MOBILECARE - NAGA")</f>
        <v>MOBILECARE - NAGA</v>
      </c>
      <c r="D631" s="2" t="str">
        <f>IFERROR(__xludf.DUMMYFUNCTION("""COMPUTED_VALUE"""),"PP661-28869")</f>
        <v>PP661-28869</v>
      </c>
      <c r="E631" s="2" t="str">
        <f>IFERROR(__xludf.DUMMYFUNCTION("""COMPUTED_VALUE"""),"iPhone 14, Starlight, 128GB, Logic Board Assy Mid System, ROW")</f>
        <v>iPhone 14, Starlight, 128GB, Logic Board Assy Mid System, ROW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0" t="str">
        <f t="shared" si="1"/>
        <v>January</v>
      </c>
      <c r="B632" s="11">
        <f>IFERROR(__xludf.DUMMYFUNCTION("""COMPUTED_VALUE"""),46042.0)</f>
        <v>46042</v>
      </c>
      <c r="C632" s="2" t="str">
        <f>IFERROR(__xludf.DUMMYFUNCTION("""COMPUTED_VALUE"""),"MOBILECARE - NAGA")</f>
        <v>MOBILECARE - NAGA</v>
      </c>
      <c r="D632" s="2" t="str">
        <f>IFERROR(__xludf.DUMMYFUNCTION("""COMPUTED_VALUE"""),"PP661-23454")</f>
        <v>PP661-23454</v>
      </c>
      <c r="E632" s="2" t="str">
        <f>IFERROR(__xludf.DUMMYFUNCTION("""COMPUTED_VALUE"""),"iPhone 13, Midnight, 128GB, Logic Board Assy Rear System, ROW")</f>
        <v>iPhone 13, Midnight, 128GB, Logic Board Assy Rear System, ROW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0" t="str">
        <f t="shared" si="1"/>
        <v>January</v>
      </c>
      <c r="B633" s="11">
        <f>IFERROR(__xludf.DUMMYFUNCTION("""COMPUTED_VALUE"""),46042.0)</f>
        <v>46042</v>
      </c>
      <c r="C633" s="2" t="str">
        <f>IFERROR(__xludf.DUMMYFUNCTION("""COMPUTED_VALUE"""),"MOBILECARE - NAGA")</f>
        <v>MOBILECARE - NAGA</v>
      </c>
      <c r="D633" s="2" t="str">
        <f>IFERROR(__xludf.DUMMYFUNCTION("""COMPUTED_VALUE"""),"PP661-23454")</f>
        <v>PP661-23454</v>
      </c>
      <c r="E633" s="2" t="str">
        <f>IFERROR(__xludf.DUMMYFUNCTION("""COMPUTED_VALUE"""),"iPhone 13, Midnight, 128GB, Logic Board Assy Rear System, ROW")</f>
        <v>iPhone 13, Midnight, 128GB, Logic Board Assy Rear System, ROW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0" t="str">
        <f t="shared" si="1"/>
        <v>January</v>
      </c>
      <c r="B634" s="11">
        <f>IFERROR(__xludf.DUMMYFUNCTION("""COMPUTED_VALUE"""),46030.0)</f>
        <v>46030</v>
      </c>
      <c r="C634" s="2" t="str">
        <f>IFERROR(__xludf.DUMMYFUNCTION("""COMPUTED_VALUE"""),"MOBILECARE - NAGA")</f>
        <v>MOBILECARE - NAGA</v>
      </c>
      <c r="D634" s="2" t="str">
        <f>IFERROR(__xludf.DUMMYFUNCTION("""COMPUTED_VALUE"""),"PP661-23455")</f>
        <v>PP661-23455</v>
      </c>
      <c r="E634" s="2" t="str">
        <f>IFERROR(__xludf.DUMMYFUNCTION("""COMPUTED_VALUE"""),"iPhone 13, Starlight, 128GB, Logic Board Assy Rear System, ROW")</f>
        <v>iPhone 13, Starlight, 128GB, Logic Board Assy Rear System, ROW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0" t="str">
        <f t="shared" si="1"/>
        <v>January</v>
      </c>
      <c r="B635" s="11">
        <f>IFERROR(__xludf.DUMMYFUNCTION("""COMPUTED_VALUE"""),46024.0)</f>
        <v>46024</v>
      </c>
      <c r="C635" s="2" t="str">
        <f>IFERROR(__xludf.DUMMYFUNCTION("""COMPUTED_VALUE"""),"MOBILECARE - NAGA")</f>
        <v>MOBILECARE - NAGA</v>
      </c>
      <c r="D635" s="2" t="str">
        <f>IFERROR(__xludf.DUMMYFUNCTION("""COMPUTED_VALUE"""),"PP661-23454")</f>
        <v>PP661-23454</v>
      </c>
      <c r="E635" s="2" t="str">
        <f>IFERROR(__xludf.DUMMYFUNCTION("""COMPUTED_VALUE"""),"iPhone 13, Midnight, 128GB, Logic Board Assy Rear System, ROW")</f>
        <v>iPhone 13, Midnight, 128GB, Logic Board Assy Rear System, ROW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0" t="str">
        <f t="shared" si="1"/>
        <v>January</v>
      </c>
      <c r="B636" s="11">
        <f>IFERROR(__xludf.DUMMYFUNCTION("""COMPUTED_VALUE"""),46024.0)</f>
        <v>46024</v>
      </c>
      <c r="C636" s="2" t="str">
        <f>IFERROR(__xludf.DUMMYFUNCTION("""COMPUTED_VALUE"""),"MOBILECARE - NAGA")</f>
        <v>MOBILECARE - NAGA</v>
      </c>
      <c r="D636" s="2" t="str">
        <f>IFERROR(__xludf.DUMMYFUNCTION("""COMPUTED_VALUE"""),"TA661-43611")</f>
        <v>TA661-43611</v>
      </c>
      <c r="E636" s="2" t="str">
        <f>IFERROR(__xludf.DUMMYFUNCTION("""COMPUTED_VALUE"""),"256GB, White, ROW, iPhone 16, Logic Board Assy Mid System")</f>
        <v>256GB, White, ROW, iPhone 16, Logic Board Assy Mid System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0" t="str">
        <f t="shared" si="1"/>
        <v>January</v>
      </c>
      <c r="B637" s="11">
        <f>IFERROR(__xludf.DUMMYFUNCTION("""COMPUTED_VALUE"""),46025.0)</f>
        <v>46025</v>
      </c>
      <c r="C637" s="2" t="str">
        <f>IFERROR(__xludf.DUMMYFUNCTION("""COMPUTED_VALUE"""),"MOBILECARE - NAGA")</f>
        <v>MOBILECARE - NAGA</v>
      </c>
      <c r="D637" s="2" t="str">
        <f>IFERROR(__xludf.DUMMYFUNCTION("""COMPUTED_VALUE"""),"PP661-23455")</f>
        <v>PP661-23455</v>
      </c>
      <c r="E637" s="2" t="str">
        <f>IFERROR(__xludf.DUMMYFUNCTION("""COMPUTED_VALUE"""),"iPhone 13, Starlight, 128GB, Logic Board Assy Rear System, ROW")</f>
        <v>iPhone 13, Starlight, 128GB, Logic Board Assy Rear System, ROW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0" t="str">
        <f t="shared" si="1"/>
        <v>April</v>
      </c>
      <c r="B638" s="11">
        <f>IFERROR(__xludf.DUMMYFUNCTION("""COMPUTED_VALUE"""),46137.0)</f>
        <v>46137</v>
      </c>
      <c r="C638" s="2" t="str">
        <f>IFERROR(__xludf.DUMMYFUNCTION("""COMPUTED_VALUE"""),"MOBILECARE - APP GREENBELT 3")</f>
        <v>MOBILECARE - APP GREENBELT 3</v>
      </c>
      <c r="D638" s="2" t="str">
        <f>IFERROR(__xludf.DUMMYFUNCTION("""COMPUTED_VALUE"""),"661-22294")</f>
        <v>661-22294</v>
      </c>
      <c r="E638" s="2" t="str">
        <f>IFERROR(__xludf.DUMMYFUNCTION("""COMPUTED_VALUE"""),"Battery, iPhone 13 Pro Max")</f>
        <v>Battery, iPhone 13 Pro Max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0" t="str">
        <f t="shared" si="1"/>
        <v>April</v>
      </c>
      <c r="B639" s="11">
        <f>IFERROR(__xludf.DUMMYFUNCTION("""COMPUTED_VALUE"""),46122.0)</f>
        <v>46122</v>
      </c>
      <c r="C639" s="2" t="str">
        <f>IFERROR(__xludf.DUMMYFUNCTION("""COMPUTED_VALUE"""),"MOBILECARE - APP GREENBELT 3")</f>
        <v>MOBILECARE - APP GREENBELT 3</v>
      </c>
      <c r="D639" s="2" t="str">
        <f>IFERROR(__xludf.DUMMYFUNCTION("""COMPUTED_VALUE"""),"661-44955")</f>
        <v>661-44955</v>
      </c>
      <c r="E639" s="2" t="str">
        <f>IFERROR(__xludf.DUMMYFUNCTION("""COMPUTED_VALUE"""),"Display, iPhone 16 Pro Max")</f>
        <v>Display, iPhone 16 Pro Max</v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0" t="str">
        <f t="shared" si="1"/>
        <v>March</v>
      </c>
      <c r="B640" s="11">
        <f>IFERROR(__xludf.DUMMYFUNCTION("""COMPUTED_VALUE"""),46084.0)</f>
        <v>46084</v>
      </c>
      <c r="C640" s="2" t="str">
        <f>IFERROR(__xludf.DUMMYFUNCTION("""COMPUTED_VALUE"""),"MOBILECARE - APP GREENBELT 3")</f>
        <v>MOBILECARE - APP GREENBELT 3</v>
      </c>
      <c r="D640" s="2" t="str">
        <f>IFERROR(__xludf.DUMMYFUNCTION("""COMPUTED_VALUE"""),"661-37207")</f>
        <v>661-37207</v>
      </c>
      <c r="E640" s="2" t="str">
        <f>IFERROR(__xludf.DUMMYFUNCTION("""COMPUTED_VALUE"""),"Battery, iPhone 15 Plus")</f>
        <v>Battery, iPhone 15 Plus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0" t="str">
        <f t="shared" si="1"/>
        <v>January</v>
      </c>
      <c r="B641" s="11">
        <f>IFERROR(__xludf.DUMMYFUNCTION("""COMPUTED_VALUE"""),46036.0)</f>
        <v>46036</v>
      </c>
      <c r="C641" s="2" t="str">
        <f>IFERROR(__xludf.DUMMYFUNCTION("""COMPUTED_VALUE"""),"MOBILECARE - APP GREENBELT 3")</f>
        <v>MOBILECARE - APP GREENBELT 3</v>
      </c>
      <c r="D641" s="2" t="str">
        <f>IFERROR(__xludf.DUMMYFUNCTION("""COMPUTED_VALUE"""),"661-56050")</f>
        <v>661-56050</v>
      </c>
      <c r="E641" s="2" t="str">
        <f>IFERROR(__xludf.DUMMYFUNCTION("""COMPUTED_VALUE"""),"Display, iPhone 17 Pro Max")</f>
        <v>Display, iPhone 17 Pro Max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0" t="str">
        <f t="shared" si="1"/>
        <v>January</v>
      </c>
      <c r="B642" s="11">
        <f>IFERROR(__xludf.DUMMYFUNCTION("""COMPUTED_VALUE"""),46033.0)</f>
        <v>46033</v>
      </c>
      <c r="C642" s="2" t="str">
        <f>IFERROR(__xludf.DUMMYFUNCTION("""COMPUTED_VALUE"""),"MOBILECARE - APP GREENBELT 3")</f>
        <v>MOBILECARE - APP GREENBELT 3</v>
      </c>
      <c r="D642" s="2" t="str">
        <f>IFERROR(__xludf.DUMMYFUNCTION("""COMPUTED_VALUE"""),"661-21991")</f>
        <v>661-21991</v>
      </c>
      <c r="E642" s="2" t="str">
        <f>IFERROR(__xludf.DUMMYFUNCTION("""COMPUTED_VALUE"""),"Battery, iPhone 13")</f>
        <v>Battery, iPhone 13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0" t="str">
        <f t="shared" si="1"/>
        <v>February</v>
      </c>
      <c r="B643" s="11">
        <f>IFERROR(__xludf.DUMMYFUNCTION("""COMPUTED_VALUE"""),46058.0)</f>
        <v>46058</v>
      </c>
      <c r="C643" s="2" t="str">
        <f>IFERROR(__xludf.DUMMYFUNCTION("""COMPUTED_VALUE"""),"MOBILECARE - APP GREENBELT 3")</f>
        <v>MOBILECARE - APP GREENBELT 3</v>
      </c>
      <c r="D643" s="2" t="str">
        <f>IFERROR(__xludf.DUMMYFUNCTION("""COMPUTED_VALUE"""),"661-30394")</f>
        <v>661-30394</v>
      </c>
      <c r="E643" s="2" t="str">
        <f>IFERROR(__xludf.DUMMYFUNCTION("""COMPUTED_VALUE"""),"Battery, iPhone 14 Plus")</f>
        <v>Battery, iPhone 14 Plus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0" t="str">
        <f t="shared" si="1"/>
        <v>February</v>
      </c>
      <c r="B644" s="11">
        <f>IFERROR(__xludf.DUMMYFUNCTION("""COMPUTED_VALUE"""),46058.0)</f>
        <v>46058</v>
      </c>
      <c r="C644" s="2" t="str">
        <f>IFERROR(__xludf.DUMMYFUNCTION("""COMPUTED_VALUE"""),"MOBILECARE - APP GREENBELT 3")</f>
        <v>MOBILECARE - APP GREENBELT 3</v>
      </c>
      <c r="D644" s="2" t="str">
        <f>IFERROR(__xludf.DUMMYFUNCTION("""COMPUTED_VALUE"""),"661-30394")</f>
        <v>661-30394</v>
      </c>
      <c r="E644" s="2" t="str">
        <f>IFERROR(__xludf.DUMMYFUNCTION("""COMPUTED_VALUE"""),"Battery, iPhone 14 Plus")</f>
        <v>Battery, iPhone 14 Plus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0" t="str">
        <f t="shared" si="1"/>
        <v>January</v>
      </c>
      <c r="B645" s="11">
        <f>IFERROR(__xludf.DUMMYFUNCTION("""COMPUTED_VALUE"""),46027.0)</f>
        <v>46027</v>
      </c>
      <c r="C645" s="2" t="str">
        <f>IFERROR(__xludf.DUMMYFUNCTION("""COMPUTED_VALUE"""),"MOBILECARE - APP GREENBELT 3")</f>
        <v>MOBILECARE - APP GREENBELT 3</v>
      </c>
      <c r="D645" s="2" t="str">
        <f>IFERROR(__xludf.DUMMYFUNCTION("""COMPUTED_VALUE"""),"661-56050")</f>
        <v>661-56050</v>
      </c>
      <c r="E645" s="2" t="str">
        <f>IFERROR(__xludf.DUMMYFUNCTION("""COMPUTED_VALUE"""),"Display, iPhone 17 Pro Max")</f>
        <v>Display, iPhone 17 Pro Max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0" t="str">
        <f t="shared" si="1"/>
        <v>January</v>
      </c>
      <c r="B646" s="11">
        <f>IFERROR(__xludf.DUMMYFUNCTION("""COMPUTED_VALUE"""),46028.0)</f>
        <v>46028</v>
      </c>
      <c r="C646" s="2" t="str">
        <f>IFERROR(__xludf.DUMMYFUNCTION("""COMPUTED_VALUE"""),"MOBILECARE - APP GREENBELT 3")</f>
        <v>MOBILECARE - APP GREENBELT 3</v>
      </c>
      <c r="D646" s="2" t="str">
        <f>IFERROR(__xludf.DUMMYFUNCTION("""COMPUTED_VALUE"""),"661-30397")</f>
        <v>661-30397</v>
      </c>
      <c r="E646" s="2" t="str">
        <f>IFERROR(__xludf.DUMMYFUNCTION("""COMPUTED_VALUE"""),"Battery, iPhone 14 Pro Max")</f>
        <v>Battery, iPhone 14 Pro Max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0" t="str">
        <f t="shared" si="1"/>
        <v>May</v>
      </c>
      <c r="B647" s="11">
        <f>IFERROR(__xludf.DUMMYFUNCTION("""COMPUTED_VALUE"""),46169.0)</f>
        <v>46169</v>
      </c>
      <c r="C647" s="2" t="str">
        <f>IFERROR(__xludf.DUMMYFUNCTION("""COMPUTED_VALUE"""),"MOBILECARE - LIMA ESTATE")</f>
        <v>MOBILECARE - LIMA ESTATE</v>
      </c>
      <c r="D647" s="2" t="str">
        <f>IFERROR(__xludf.DUMMYFUNCTION("""COMPUTED_VALUE"""),"661-35694")</f>
        <v>661-35694</v>
      </c>
      <c r="E647" s="2" t="str">
        <f>IFERROR(__xludf.DUMMYFUNCTION("""COMPUTED_VALUE"""),"Battery, iPhone 15 Pro")</f>
        <v>Battery, iPhone 15 Pro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0" t="str">
        <f t="shared" si="1"/>
        <v>May</v>
      </c>
      <c r="B648" s="11">
        <f>IFERROR(__xludf.DUMMYFUNCTION("""COMPUTED_VALUE"""),46169.0)</f>
        <v>46169</v>
      </c>
      <c r="C648" s="2" t="str">
        <f>IFERROR(__xludf.DUMMYFUNCTION("""COMPUTED_VALUE"""),"MOBILECARE - LIMA ESTATE")</f>
        <v>MOBILECARE - LIMA ESTATE</v>
      </c>
      <c r="D648" s="2" t="str">
        <f>IFERROR(__xludf.DUMMYFUNCTION("""COMPUTED_VALUE"""),"661-35699")</f>
        <v>661-35699</v>
      </c>
      <c r="E648" s="2" t="str">
        <f>IFERROR(__xludf.DUMMYFUNCTION("""COMPUTED_VALUE"""),"Display, iPhone 15 Pro")</f>
        <v>Display, iPhone 15 Pro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0" t="str">
        <f t="shared" si="1"/>
        <v>May</v>
      </c>
      <c r="B649" s="11">
        <f>IFERROR(__xludf.DUMMYFUNCTION("""COMPUTED_VALUE"""),46163.0)</f>
        <v>46163</v>
      </c>
      <c r="C649" s="2" t="str">
        <f>IFERROR(__xludf.DUMMYFUNCTION("""COMPUTED_VALUE"""),"MOBILECARE - LIMA ESTATE")</f>
        <v>MOBILECARE - LIMA ESTATE</v>
      </c>
      <c r="D649" s="2" t="str">
        <f>IFERROR(__xludf.DUMMYFUNCTION("""COMPUTED_VALUE"""),"661-35694")</f>
        <v>661-35694</v>
      </c>
      <c r="E649" s="2" t="str">
        <f>IFERROR(__xludf.DUMMYFUNCTION("""COMPUTED_VALUE"""),"Battery, iPhone 15 Pro")</f>
        <v>Battery, iPhone 15 Pro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0" t="str">
        <f t="shared" si="1"/>
        <v>May</v>
      </c>
      <c r="B650" s="11">
        <f>IFERROR(__xludf.DUMMYFUNCTION("""COMPUTED_VALUE"""),46162.0)</f>
        <v>46162</v>
      </c>
      <c r="C650" s="2" t="str">
        <f>IFERROR(__xludf.DUMMYFUNCTION("""COMPUTED_VALUE"""),"MOBILECARE - LIMA ESTATE")</f>
        <v>MOBILECARE - LIMA ESTATE</v>
      </c>
      <c r="D650" s="2" t="str">
        <f>IFERROR(__xludf.DUMMYFUNCTION("""COMPUTED_VALUE"""),"661-30397")</f>
        <v>661-30397</v>
      </c>
      <c r="E650" s="2" t="str">
        <f>IFERROR(__xludf.DUMMYFUNCTION("""COMPUTED_VALUE"""),"Battery, iPhone 14 Pro Max")</f>
        <v>Battery, iPhone 14 Pro Max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0" t="str">
        <f t="shared" si="1"/>
        <v>March</v>
      </c>
      <c r="B651" s="11">
        <f>IFERROR(__xludf.DUMMYFUNCTION("""COMPUTED_VALUE"""),46101.0)</f>
        <v>46101</v>
      </c>
      <c r="C651" s="2" t="str">
        <f>IFERROR(__xludf.DUMMYFUNCTION("""COMPUTED_VALUE"""),"MOBILECARE - LIMA ESTATE")</f>
        <v>MOBILECARE - LIMA ESTATE</v>
      </c>
      <c r="D651" s="2" t="str">
        <f>IFERROR(__xludf.DUMMYFUNCTION("""COMPUTED_VALUE"""),"TA661-45323")</f>
        <v>TA661-45323</v>
      </c>
      <c r="E651" s="2" t="str">
        <f>IFERROR(__xludf.DUMMYFUNCTION("""COMPUTED_VALUE"""),"256GB, Desert Titanium, ROW, iPhone 16 Pro Max, Logic Board Assy Mid Sys")</f>
        <v>256GB, Desert Titanium, ROW, iPhone 16 Pro Max, Logic Board Assy Mid Sys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0" t="str">
        <f t="shared" si="1"/>
        <v>February</v>
      </c>
      <c r="B652" s="11">
        <f>IFERROR(__xludf.DUMMYFUNCTION("""COMPUTED_VALUE"""),46075.0)</f>
        <v>46075</v>
      </c>
      <c r="C652" s="2" t="str">
        <f>IFERROR(__xludf.DUMMYFUNCTION("""COMPUTED_VALUE"""),"MOBILECARE - LIMA ESTATE")</f>
        <v>MOBILECARE - LIMA ESTATE</v>
      </c>
      <c r="D652" s="2" t="str">
        <f>IFERROR(__xludf.DUMMYFUNCTION("""COMPUTED_VALUE"""),"661-21988")</f>
        <v>661-21988</v>
      </c>
      <c r="E652" s="2" t="str">
        <f>IFERROR(__xludf.DUMMYFUNCTION("""COMPUTED_VALUE"""),"Display, iPhone 13")</f>
        <v>Display, iPhone 13</v>
      </c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0" t="str">
        <f t="shared" si="1"/>
        <v>February</v>
      </c>
      <c r="B653" s="11">
        <f>IFERROR(__xludf.DUMMYFUNCTION("""COMPUTED_VALUE"""),46078.0)</f>
        <v>46078</v>
      </c>
      <c r="C653" s="2" t="str">
        <f>IFERROR(__xludf.DUMMYFUNCTION("""COMPUTED_VALUE"""),"MOBILECARE - LIMA ESTATE")</f>
        <v>MOBILECARE - LIMA ESTATE</v>
      </c>
      <c r="D653" s="2" t="str">
        <f>IFERROR(__xludf.DUMMYFUNCTION("""COMPUTED_VALUE"""),"PP661-23454")</f>
        <v>PP661-23454</v>
      </c>
      <c r="E653" s="2" t="str">
        <f>IFERROR(__xludf.DUMMYFUNCTION("""COMPUTED_VALUE"""),"iPhone 13, Midnight, 128GB, Logic Board Assy Rear System, ROW")</f>
        <v>iPhone 13, Midnight, 128GB, Logic Board Assy Rear System, ROW</v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0" t="str">
        <f t="shared" si="1"/>
        <v>February</v>
      </c>
      <c r="B654" s="11">
        <f>IFERROR(__xludf.DUMMYFUNCTION("""COMPUTED_VALUE"""),46075.0)</f>
        <v>46075</v>
      </c>
      <c r="C654" s="2" t="str">
        <f>IFERROR(__xludf.DUMMYFUNCTION("""COMPUTED_VALUE"""),"MOBILECARE - LIMA ESTATE")</f>
        <v>MOBILECARE - LIMA ESTATE</v>
      </c>
      <c r="D654" s="2" t="str">
        <f>IFERROR(__xludf.DUMMYFUNCTION("""COMPUTED_VALUE"""),"661-42844")</f>
        <v>661-42844</v>
      </c>
      <c r="E654" s="2" t="str">
        <f>IFERROR(__xludf.DUMMYFUNCTION("""COMPUTED_VALUE"""),"TrueDepth Camera, iPhone 16 Plus")</f>
        <v>TrueDepth Camera, iPhone 16 Plus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0" t="str">
        <f t="shared" si="1"/>
        <v>February</v>
      </c>
      <c r="B655" s="11">
        <f>IFERROR(__xludf.DUMMYFUNCTION("""COMPUTED_VALUE"""),46066.0)</f>
        <v>46066</v>
      </c>
      <c r="C655" s="2" t="str">
        <f>IFERROR(__xludf.DUMMYFUNCTION("""COMPUTED_VALUE"""),"MOBILECARE - LIMA ESTATE")</f>
        <v>MOBILECARE - LIMA ESTATE</v>
      </c>
      <c r="D655" s="2" t="str">
        <f>IFERROR(__xludf.DUMMYFUNCTION("""COMPUTED_VALUE"""),"661-22309")</f>
        <v>661-22309</v>
      </c>
      <c r="E655" s="2" t="str">
        <f>IFERROR(__xludf.DUMMYFUNCTION("""COMPUTED_VALUE"""),"Display, iPhone 13 Pro Max")</f>
        <v>Display, iPhone 13 Pro Max</v>
      </c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0" t="str">
        <f t="shared" si="1"/>
        <v>February</v>
      </c>
      <c r="B656" s="11">
        <f>IFERROR(__xludf.DUMMYFUNCTION("""COMPUTED_VALUE"""),46069.0)</f>
        <v>46069</v>
      </c>
      <c r="C656" s="2" t="str">
        <f>IFERROR(__xludf.DUMMYFUNCTION("""COMPUTED_VALUE"""),"MOBILECARE - LIMA ESTATE")</f>
        <v>MOBILECARE - LIMA ESTATE</v>
      </c>
      <c r="D656" s="2" t="str">
        <f>IFERROR(__xludf.DUMMYFUNCTION("""COMPUTED_VALUE"""),"661-42843")</f>
        <v>661-42843</v>
      </c>
      <c r="E656" s="2" t="str">
        <f>IFERROR(__xludf.DUMMYFUNCTION("""COMPUTED_VALUE"""),"Display, iPhone 16 Plus")</f>
        <v>Display, iPhone 16 Plus</v>
      </c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0" t="str">
        <f t="shared" si="1"/>
        <v>February</v>
      </c>
      <c r="B657" s="11">
        <f>IFERROR(__xludf.DUMMYFUNCTION("""COMPUTED_VALUE"""),46069.0)</f>
        <v>46069</v>
      </c>
      <c r="C657" s="2" t="str">
        <f>IFERROR(__xludf.DUMMYFUNCTION("""COMPUTED_VALUE"""),"MOBILECARE - LIMA ESTATE")</f>
        <v>MOBILECARE - LIMA ESTATE</v>
      </c>
      <c r="D657" s="2" t="str">
        <f>IFERROR(__xludf.DUMMYFUNCTION("""COMPUTED_VALUE"""),"661-42844")</f>
        <v>661-42844</v>
      </c>
      <c r="E657" s="2" t="str">
        <f>IFERROR(__xludf.DUMMYFUNCTION("""COMPUTED_VALUE"""),"TrueDepth Camera, iPhone 16 Plus")</f>
        <v>TrueDepth Camera, iPhone 16 Plus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0" t="str">
        <f t="shared" si="1"/>
        <v>January</v>
      </c>
      <c r="B658" s="11">
        <f>IFERROR(__xludf.DUMMYFUNCTION("""COMPUTED_VALUE"""),46038.0)</f>
        <v>46038</v>
      </c>
      <c r="C658" s="2" t="str">
        <f>IFERROR(__xludf.DUMMYFUNCTION("""COMPUTED_VALUE"""),"MOBILECARE - LIMA ESTATE")</f>
        <v>MOBILECARE - LIMA ESTATE</v>
      </c>
      <c r="D658" s="2" t="str">
        <f>IFERROR(__xludf.DUMMYFUNCTION("""COMPUTED_VALUE"""),"661-21991")</f>
        <v>661-21991</v>
      </c>
      <c r="E658" s="2" t="str">
        <f>IFERROR(__xludf.DUMMYFUNCTION("""COMPUTED_VALUE"""),"Battery, iPhone 13")</f>
        <v>Battery, iPhone 13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0" t="str">
        <f t="shared" si="1"/>
        <v>January</v>
      </c>
      <c r="B659" s="11">
        <f>IFERROR(__xludf.DUMMYFUNCTION("""COMPUTED_VALUE"""),46040.0)</f>
        <v>46040</v>
      </c>
      <c r="C659" s="2" t="str">
        <f>IFERROR(__xludf.DUMMYFUNCTION("""COMPUTED_VALUE"""),"MOBILECARE - LIMA ESTATE")</f>
        <v>MOBILECARE - LIMA ESTATE</v>
      </c>
      <c r="D659" s="2" t="str">
        <f>IFERROR(__xludf.DUMMYFUNCTION("""COMPUTED_VALUE"""),"661-21991")</f>
        <v>661-21991</v>
      </c>
      <c r="E659" s="2" t="str">
        <f>IFERROR(__xludf.DUMMYFUNCTION("""COMPUTED_VALUE"""),"Battery, iPhone 13")</f>
        <v>Battery, iPhone 13</v>
      </c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0" t="str">
        <f t="shared" si="1"/>
        <v>January</v>
      </c>
      <c r="B660" s="11">
        <f>IFERROR(__xludf.DUMMYFUNCTION("""COMPUTED_VALUE"""),46053.0)</f>
        <v>46053</v>
      </c>
      <c r="C660" s="2" t="str">
        <f>IFERROR(__xludf.DUMMYFUNCTION("""COMPUTED_VALUE"""),"MOBILECARE - LIMA ESTATE")</f>
        <v>MOBILECARE - LIMA ESTATE</v>
      </c>
      <c r="D660" s="2" t="str">
        <f>IFERROR(__xludf.DUMMYFUNCTION("""COMPUTED_VALUE"""),"PP661-23454")</f>
        <v>PP661-23454</v>
      </c>
      <c r="E660" s="2" t="str">
        <f>IFERROR(__xludf.DUMMYFUNCTION("""COMPUTED_VALUE"""),"iPhone 13, Midnight, 128GB, Logic Board Assy Rear System, ROW")</f>
        <v>iPhone 13, Midnight, 128GB, Logic Board Assy Rear System, ROW</v>
      </c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0" t="str">
        <f t="shared" si="1"/>
        <v>January</v>
      </c>
      <c r="B661" s="11">
        <f>IFERROR(__xludf.DUMMYFUNCTION("""COMPUTED_VALUE"""),46040.0)</f>
        <v>46040</v>
      </c>
      <c r="C661" s="2" t="str">
        <f>IFERROR(__xludf.DUMMYFUNCTION("""COMPUTED_VALUE"""),"MOBILECARE - LIMA ESTATE")</f>
        <v>MOBILECARE - LIMA ESTATE</v>
      </c>
      <c r="D661" s="2" t="str">
        <f>IFERROR(__xludf.DUMMYFUNCTION("""COMPUTED_VALUE"""),"661-42723")</f>
        <v>661-42723</v>
      </c>
      <c r="E661" s="2" t="str">
        <f>IFERROR(__xludf.DUMMYFUNCTION("""COMPUTED_VALUE"""),"White Titanium, Back Glass, iPhone 16 Pro")</f>
        <v>White Titanium, Back Glass, iPhone 16 Pro</v>
      </c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0" t="str">
        <f t="shared" si="1"/>
        <v>January</v>
      </c>
      <c r="B662" s="11">
        <f>IFERROR(__xludf.DUMMYFUNCTION("""COMPUTED_VALUE"""),46047.0)</f>
        <v>46047</v>
      </c>
      <c r="C662" s="2" t="str">
        <f>IFERROR(__xludf.DUMMYFUNCTION("""COMPUTED_VALUE"""),"MOBILECARE - LIMA ESTATE")</f>
        <v>MOBILECARE - LIMA ESTATE</v>
      </c>
      <c r="D662" s="2" t="str">
        <f>IFERROR(__xludf.DUMMYFUNCTION("""COMPUTED_VALUE"""),"PP661-28614")</f>
        <v>PP661-28614</v>
      </c>
      <c r="E662" s="2" t="str">
        <f>IFERROR(__xludf.DUMMYFUNCTION("""COMPUTED_VALUE"""),"Starlight, iPhone 14, 128GB, ROW, CI/AR, Philippines")</f>
        <v>Starlight, iPhone 14, 128GB, ROW, CI/AR, Philippines</v>
      </c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0" t="str">
        <f t="shared" si="1"/>
        <v>January</v>
      </c>
      <c r="B663" s="11">
        <f>IFERROR(__xludf.DUMMYFUNCTION("""COMPUTED_VALUE"""),46047.0)</f>
        <v>46047</v>
      </c>
      <c r="C663" s="2" t="str">
        <f>IFERROR(__xludf.DUMMYFUNCTION("""COMPUTED_VALUE"""),"MOBILECARE - LIMA ESTATE")</f>
        <v>MOBILECARE - LIMA ESTATE</v>
      </c>
      <c r="D663" s="2" t="str">
        <f>IFERROR(__xludf.DUMMYFUNCTION("""COMPUTED_VALUE"""),"PP661-28616")</f>
        <v>PP661-28616</v>
      </c>
      <c r="E663" s="2" t="str">
        <f>IFERROR(__xludf.DUMMYFUNCTION("""COMPUTED_VALUE"""),"Blue, iPhone 14, 128GB, ROW, CI/AR, Philippines")</f>
        <v>Blue, iPhone 14, 128GB, ROW, CI/AR, Philippines</v>
      </c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0" t="str">
        <f t="shared" si="1"/>
        <v>January</v>
      </c>
      <c r="B664" s="11">
        <f>IFERROR(__xludf.DUMMYFUNCTION("""COMPUTED_VALUE"""),46047.0)</f>
        <v>46047</v>
      </c>
      <c r="C664" s="2" t="str">
        <f>IFERROR(__xludf.DUMMYFUNCTION("""COMPUTED_VALUE"""),"MOBILECARE - LIMA ESTATE")</f>
        <v>MOBILECARE - LIMA ESTATE</v>
      </c>
      <c r="D664" s="2" t="str">
        <f>IFERROR(__xludf.DUMMYFUNCTION("""COMPUTED_VALUE"""),"PP661-28614")</f>
        <v>PP661-28614</v>
      </c>
      <c r="E664" s="2" t="str">
        <f>IFERROR(__xludf.DUMMYFUNCTION("""COMPUTED_VALUE"""),"Starlight, iPhone 14, 128GB, ROW, CI/AR, Philippines")</f>
        <v>Starlight, iPhone 14, 128GB, ROW, CI/AR, Philippines</v>
      </c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0" t="str">
        <f t="shared" si="1"/>
        <v>January</v>
      </c>
      <c r="B665" s="11">
        <f>IFERROR(__xludf.DUMMYFUNCTION("""COMPUTED_VALUE"""),46048.0)</f>
        <v>46048</v>
      </c>
      <c r="C665" s="2" t="str">
        <f>IFERROR(__xludf.DUMMYFUNCTION("""COMPUTED_VALUE"""),"MOBILECARE - LIMA ESTATE")</f>
        <v>MOBILECARE - LIMA ESTATE</v>
      </c>
      <c r="D665" s="2" t="str">
        <f>IFERROR(__xludf.DUMMYFUNCTION("""COMPUTED_VALUE"""),"PP661-28614")</f>
        <v>PP661-28614</v>
      </c>
      <c r="E665" s="2" t="str">
        <f>IFERROR(__xludf.DUMMYFUNCTION("""COMPUTED_VALUE"""),"Starlight, iPhone 14, 128GB, ROW, CI/AR, Philippines")</f>
        <v>Starlight, iPhone 14, 128GB, ROW, CI/AR, Philippines</v>
      </c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0" t="str">
        <f t="shared" si="1"/>
        <v>January</v>
      </c>
      <c r="B666" s="11">
        <f>IFERROR(__xludf.DUMMYFUNCTION("""COMPUTED_VALUE"""),46042.0)</f>
        <v>46042</v>
      </c>
      <c r="C666" s="2" t="str">
        <f>IFERROR(__xludf.DUMMYFUNCTION("""COMPUTED_VALUE"""),"MOBILECARE - LIMA ESTATE")</f>
        <v>MOBILECARE - LIMA ESTATE</v>
      </c>
      <c r="D666" s="2" t="str">
        <f>IFERROR(__xludf.DUMMYFUNCTION("""COMPUTED_VALUE"""),"TA661-44055")</f>
        <v>TA661-44055</v>
      </c>
      <c r="E666" s="2" t="str">
        <f>IFERROR(__xludf.DUMMYFUNCTION("""COMPUTED_VALUE"""),"256GB, Black, ROW, iPhone 16 Plus, CI/AR")</f>
        <v>256GB, Black, ROW, iPhone 16 Plus, CI/AR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0" t="str">
        <f t="shared" si="1"/>
        <v>January</v>
      </c>
      <c r="B667" s="11">
        <f>IFERROR(__xludf.DUMMYFUNCTION("""COMPUTED_VALUE"""),46046.0)</f>
        <v>46046</v>
      </c>
      <c r="C667" s="2" t="str">
        <f>IFERROR(__xludf.DUMMYFUNCTION("""COMPUTED_VALUE"""),"MOBILECARE - LIMA ESTATE")</f>
        <v>MOBILECARE - LIMA ESTATE</v>
      </c>
      <c r="D667" s="2" t="str">
        <f>IFERROR(__xludf.DUMMYFUNCTION("""COMPUTED_VALUE"""),"PP661-23455")</f>
        <v>PP661-23455</v>
      </c>
      <c r="E667" s="2" t="str">
        <f>IFERROR(__xludf.DUMMYFUNCTION("""COMPUTED_VALUE"""),"iPhone 13, Starlight, 128GB, Logic Board Assy Rear System, ROW")</f>
        <v>iPhone 13, Starlight, 128GB, Logic Board Assy Rear System, ROW</v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0" t="str">
        <f t="shared" si="1"/>
        <v>January</v>
      </c>
      <c r="B668" s="11">
        <f>IFERROR(__xludf.DUMMYFUNCTION("""COMPUTED_VALUE"""),46037.0)</f>
        <v>46037</v>
      </c>
      <c r="C668" s="2" t="str">
        <f>IFERROR(__xludf.DUMMYFUNCTION("""COMPUTED_VALUE"""),"MOBILECARE - LIMA ESTATE")</f>
        <v>MOBILECARE - LIMA ESTATE</v>
      </c>
      <c r="D668" s="2" t="str">
        <f>IFERROR(__xludf.DUMMYFUNCTION("""COMPUTED_VALUE"""),"661-13574")</f>
        <v>661-13574</v>
      </c>
      <c r="E668" s="2" t="str">
        <f>IFERROR(__xludf.DUMMYFUNCTION("""COMPUTED_VALUE"""),"Battery, iPhone 11")</f>
        <v>Battery, iPhone 11</v>
      </c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0" t="str">
        <f t="shared" si="1"/>
        <v>January</v>
      </c>
      <c r="B669" s="11">
        <f>IFERROR(__xludf.DUMMYFUNCTION("""COMPUTED_VALUE"""),46036.0)</f>
        <v>46036</v>
      </c>
      <c r="C669" s="2" t="str">
        <f>IFERROR(__xludf.DUMMYFUNCTION("""COMPUTED_VALUE"""),"MOBILECARE - LIMA ESTATE")</f>
        <v>MOBILECARE - LIMA ESTATE</v>
      </c>
      <c r="D669" s="2" t="str">
        <f>IFERROR(__xludf.DUMMYFUNCTION("""COMPUTED_VALUE"""),"661-22294")</f>
        <v>661-22294</v>
      </c>
      <c r="E669" s="2" t="str">
        <f>IFERROR(__xludf.DUMMYFUNCTION("""COMPUTED_VALUE"""),"Battery, iPhone 13 Pro Max")</f>
        <v>Battery, iPhone 13 Pro Max</v>
      </c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0" t="str">
        <f t="shared" si="1"/>
        <v>January</v>
      </c>
      <c r="B670" s="11">
        <f>IFERROR(__xludf.DUMMYFUNCTION("""COMPUTED_VALUE"""),46044.0)</f>
        <v>46044</v>
      </c>
      <c r="C670" s="2" t="str">
        <f>IFERROR(__xludf.DUMMYFUNCTION("""COMPUTED_VALUE"""),"MOBILECARE - LIMA ESTATE")</f>
        <v>MOBILECARE - LIMA ESTATE</v>
      </c>
      <c r="D670" s="2" t="str">
        <f>IFERROR(__xludf.DUMMYFUNCTION("""COMPUTED_VALUE"""),"TA661-45233")</f>
        <v>TA661-45233</v>
      </c>
      <c r="E670" s="2" t="str">
        <f>IFERROR(__xludf.DUMMYFUNCTION("""COMPUTED_VALUE"""),"128GB, Pink, ROW, iPhone 16 Plus, Logic Board Assy Mid System")</f>
        <v>128GB, Pink, ROW, iPhone 16 Plus, Logic Board Assy Mid System</v>
      </c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0" t="str">
        <f t="shared" si="1"/>
        <v>January</v>
      </c>
      <c r="B671" s="11">
        <f>IFERROR(__xludf.DUMMYFUNCTION("""COMPUTED_VALUE"""),46032.0)</f>
        <v>46032</v>
      </c>
      <c r="C671" s="2" t="str">
        <f>IFERROR(__xludf.DUMMYFUNCTION("""COMPUTED_VALUE"""),"MOBILECARE - LIMA ESTATE")</f>
        <v>MOBILECARE - LIMA ESTATE</v>
      </c>
      <c r="D671" s="2" t="str">
        <f>IFERROR(__xludf.DUMMYFUNCTION("""COMPUTED_VALUE"""),"661-22309")</f>
        <v>661-22309</v>
      </c>
      <c r="E671" s="2" t="str">
        <f>IFERROR(__xludf.DUMMYFUNCTION("""COMPUTED_VALUE"""),"Display, iPhone 13 Pro Max")</f>
        <v>Display, iPhone 13 Pro Max</v>
      </c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0" t="str">
        <f t="shared" si="1"/>
        <v>January</v>
      </c>
      <c r="B672" s="11">
        <f>IFERROR(__xludf.DUMMYFUNCTION("""COMPUTED_VALUE"""),46042.0)</f>
        <v>46042</v>
      </c>
      <c r="C672" s="2" t="str">
        <f>IFERROR(__xludf.DUMMYFUNCTION("""COMPUTED_VALUE"""),"MOBILECARE - LIMA ESTATE")</f>
        <v>MOBILECARE - LIMA ESTATE</v>
      </c>
      <c r="D672" s="2" t="str">
        <f>IFERROR(__xludf.DUMMYFUNCTION("""COMPUTED_VALUE"""),"Z661-55942")</f>
        <v>Z661-55942</v>
      </c>
      <c r="E672" s="2" t="str">
        <f>IFERROR(__xludf.DUMMYFUNCTION("""COMPUTED_VALUE"""),"Logic Board, 256GB, A3523, ROW, iPhone 17 Pro")</f>
        <v>Logic Board, 256GB, A3523, ROW, iPhone 17 Pro</v>
      </c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0" t="str">
        <f t="shared" si="1"/>
        <v>January</v>
      </c>
      <c r="B673" s="11">
        <f>IFERROR(__xludf.DUMMYFUNCTION("""COMPUTED_VALUE"""),46037.0)</f>
        <v>46037</v>
      </c>
      <c r="C673" s="2" t="str">
        <f>IFERROR(__xludf.DUMMYFUNCTION("""COMPUTED_VALUE"""),"MOBILECARE - LIMA ESTATE")</f>
        <v>MOBILECARE - LIMA ESTATE</v>
      </c>
      <c r="D673" s="2" t="str">
        <f>IFERROR(__xludf.DUMMYFUNCTION("""COMPUTED_VALUE"""),"661-21991")</f>
        <v>661-21991</v>
      </c>
      <c r="E673" s="2" t="str">
        <f>IFERROR(__xludf.DUMMYFUNCTION("""COMPUTED_VALUE"""),"Battery, iPhone 13")</f>
        <v>Battery, iPhone 13</v>
      </c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0" t="str">
        <f t="shared" si="1"/>
        <v>January</v>
      </c>
      <c r="B674" s="11">
        <f>IFERROR(__xludf.DUMMYFUNCTION("""COMPUTED_VALUE"""),46040.0)</f>
        <v>46040</v>
      </c>
      <c r="C674" s="2" t="str">
        <f>IFERROR(__xludf.DUMMYFUNCTION("""COMPUTED_VALUE"""),"MOBILECARE - LIMA ESTATE")</f>
        <v>MOBILECARE - LIMA ESTATE</v>
      </c>
      <c r="D674" s="2" t="str">
        <f>IFERROR(__xludf.DUMMYFUNCTION("""COMPUTED_VALUE"""),"661-17920")</f>
        <v>661-17920</v>
      </c>
      <c r="E674" s="2" t="str">
        <f>IFERROR(__xludf.DUMMYFUNCTION("""COMPUTED_VALUE"""),"Battery, iPhone 12 and 12 Pro")</f>
        <v>Battery, iPhone 12 and 12 Pro</v>
      </c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0" t="str">
        <f t="shared" si="1"/>
        <v>January</v>
      </c>
      <c r="B675" s="11">
        <f>IFERROR(__xludf.DUMMYFUNCTION("""COMPUTED_VALUE"""),46040.0)</f>
        <v>46040</v>
      </c>
      <c r="C675" s="2" t="str">
        <f>IFERROR(__xludf.DUMMYFUNCTION("""COMPUTED_VALUE"""),"MOBILECARE - LIMA ESTATE")</f>
        <v>MOBILECARE - LIMA ESTATE</v>
      </c>
      <c r="D675" s="2" t="str">
        <f>IFERROR(__xludf.DUMMYFUNCTION("""COMPUTED_VALUE"""),"661-21991")</f>
        <v>661-21991</v>
      </c>
      <c r="E675" s="2" t="str">
        <f>IFERROR(__xludf.DUMMYFUNCTION("""COMPUTED_VALUE"""),"Battery, iPhone 13")</f>
        <v>Battery, iPhone 13</v>
      </c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0" t="str">
        <f t="shared" si="1"/>
        <v>January</v>
      </c>
      <c r="B676" s="11">
        <f>IFERROR(__xludf.DUMMYFUNCTION("""COMPUTED_VALUE"""),46050.0)</f>
        <v>46050</v>
      </c>
      <c r="C676" s="2" t="str">
        <f>IFERROR(__xludf.DUMMYFUNCTION("""COMPUTED_VALUE"""),"MOBILECARE - LIMA ESTATE")</f>
        <v>MOBILECARE - LIMA ESTATE</v>
      </c>
      <c r="D676" s="2" t="str">
        <f>IFERROR(__xludf.DUMMYFUNCTION("""COMPUTED_VALUE"""),"923-11081")</f>
        <v>923-11081</v>
      </c>
      <c r="E676" s="2" t="str">
        <f>IFERROR(__xludf.DUMMYFUNCTION("""COMPUTED_VALUE"""),"Bottom Speaker, iPhone 16 Pro Max")</f>
        <v>Bottom Speaker, iPhone 16 Pro Max</v>
      </c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0" t="str">
        <f t="shared" si="1"/>
        <v>January</v>
      </c>
      <c r="B677" s="11">
        <f>IFERROR(__xludf.DUMMYFUNCTION("""COMPUTED_VALUE"""),46050.0)</f>
        <v>46050</v>
      </c>
      <c r="C677" s="2" t="str">
        <f>IFERROR(__xludf.DUMMYFUNCTION("""COMPUTED_VALUE"""),"MOBILECARE - LIMA ESTATE")</f>
        <v>MOBILECARE - LIMA ESTATE</v>
      </c>
      <c r="D677" s="2" t="str">
        <f>IFERROR(__xludf.DUMMYFUNCTION("""COMPUTED_VALUE"""),"923-11081")</f>
        <v>923-11081</v>
      </c>
      <c r="E677" s="2" t="str">
        <f>IFERROR(__xludf.DUMMYFUNCTION("""COMPUTED_VALUE"""),"Bottom Speaker, iPhone 16 Pro Max")</f>
        <v>Bottom Speaker, iPhone 16 Pro Max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0" t="str">
        <f t="shared" si="1"/>
        <v>January</v>
      </c>
      <c r="B678" s="11">
        <f>IFERROR(__xludf.DUMMYFUNCTION("""COMPUTED_VALUE"""),46050.0)</f>
        <v>46050</v>
      </c>
      <c r="C678" s="2" t="str">
        <f>IFERROR(__xludf.DUMMYFUNCTION("""COMPUTED_VALUE"""),"MOBILECARE - LIMA ESTATE")</f>
        <v>MOBILECARE - LIMA ESTATE</v>
      </c>
      <c r="D678" s="2" t="str">
        <f>IFERROR(__xludf.DUMMYFUNCTION("""COMPUTED_VALUE"""),"TA661-45271")</f>
        <v>TA661-45271</v>
      </c>
      <c r="E678" s="2" t="str">
        <f>IFERROR(__xludf.DUMMYFUNCTION("""COMPUTED_VALUE"""),"1TB, Desert Titanium, ROW, iPhone 16 Pro Max, CI/AR")</f>
        <v>1TB, Desert Titanium, ROW, iPhone 16 Pro Max, CI/AR</v>
      </c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0" t="str">
        <f t="shared" si="1"/>
        <v>January</v>
      </c>
      <c r="B679" s="11">
        <f>IFERROR(__xludf.DUMMYFUNCTION("""COMPUTED_VALUE"""),46035.0)</f>
        <v>46035</v>
      </c>
      <c r="C679" s="2" t="str">
        <f>IFERROR(__xludf.DUMMYFUNCTION("""COMPUTED_VALUE"""),"MOBILECARE - LIMA ESTATE")</f>
        <v>MOBILECARE - LIMA ESTATE</v>
      </c>
      <c r="D679" s="2" t="str">
        <f>IFERROR(__xludf.DUMMYFUNCTION("""COMPUTED_VALUE"""),"661-22294")</f>
        <v>661-22294</v>
      </c>
      <c r="E679" s="2" t="str">
        <f>IFERROR(__xludf.DUMMYFUNCTION("""COMPUTED_VALUE"""),"Battery, iPhone 13 Pro Max")</f>
        <v>Battery, iPhone 13 Pro Max</v>
      </c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0" t="str">
        <f t="shared" si="1"/>
        <v>January</v>
      </c>
      <c r="B680" s="11">
        <f>IFERROR(__xludf.DUMMYFUNCTION("""COMPUTED_VALUE"""),46045.0)</f>
        <v>46045</v>
      </c>
      <c r="C680" s="2" t="str">
        <f>IFERROR(__xludf.DUMMYFUNCTION("""COMPUTED_VALUE"""),"MOBILECARE - LIMA ESTATE")</f>
        <v>MOBILECARE - LIMA ESTATE</v>
      </c>
      <c r="D680" s="2" t="str">
        <f>IFERROR(__xludf.DUMMYFUNCTION("""COMPUTED_VALUE"""),"TA661-43606")</f>
        <v>TA661-43606</v>
      </c>
      <c r="E680" s="2" t="str">
        <f>IFERROR(__xludf.DUMMYFUNCTION("""COMPUTED_VALUE"""),"128GB, White, ROW, iPhone 16, Logic Board Assy Mid System")</f>
        <v>128GB, White, ROW, iPhone 16, Logic Board Assy Mid System</v>
      </c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0" t="str">
        <f t="shared" si="1"/>
        <v>January</v>
      </c>
      <c r="B681" s="11">
        <f>IFERROR(__xludf.DUMMYFUNCTION("""COMPUTED_VALUE"""),46030.0)</f>
        <v>46030</v>
      </c>
      <c r="C681" s="2" t="str">
        <f>IFERROR(__xludf.DUMMYFUNCTION("""COMPUTED_VALUE"""),"MOBILECARE - LIMA ESTATE")</f>
        <v>MOBILECARE - LIMA ESTATE</v>
      </c>
      <c r="D681" s="2" t="str">
        <f>IFERROR(__xludf.DUMMYFUNCTION("""COMPUTED_VALUE"""),"661-56050")</f>
        <v>661-56050</v>
      </c>
      <c r="E681" s="2" t="str">
        <f>IFERROR(__xludf.DUMMYFUNCTION("""COMPUTED_VALUE"""),"Display, iPhone 17 Pro Max")</f>
        <v>Display, iPhone 17 Pro Max</v>
      </c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0" t="str">
        <f t="shared" si="1"/>
        <v>January</v>
      </c>
      <c r="B682" s="11">
        <f>IFERROR(__xludf.DUMMYFUNCTION("""COMPUTED_VALUE"""),46045.0)</f>
        <v>46045</v>
      </c>
      <c r="C682" s="2" t="str">
        <f>IFERROR(__xludf.DUMMYFUNCTION("""COMPUTED_VALUE"""),"MOBILECARE - LIMA ESTATE")</f>
        <v>MOBILECARE - LIMA ESTATE</v>
      </c>
      <c r="D682" s="2" t="str">
        <f>IFERROR(__xludf.DUMMYFUNCTION("""COMPUTED_VALUE"""),"PP661-23454")</f>
        <v>PP661-23454</v>
      </c>
      <c r="E682" s="2" t="str">
        <f>IFERROR(__xludf.DUMMYFUNCTION("""COMPUTED_VALUE"""),"iPhone 13, Midnight, 128GB, Logic Board Assy Rear System, ROW")</f>
        <v>iPhone 13, Midnight, 128GB, Logic Board Assy Rear System, ROW</v>
      </c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0" t="str">
        <f t="shared" si="1"/>
        <v>January</v>
      </c>
      <c r="B683" s="11">
        <f>IFERROR(__xludf.DUMMYFUNCTION("""COMPUTED_VALUE"""),46043.0)</f>
        <v>46043</v>
      </c>
      <c r="C683" s="2" t="str">
        <f>IFERROR(__xludf.DUMMYFUNCTION("""COMPUTED_VALUE"""),"MOBILECARE - LIMA ESTATE")</f>
        <v>MOBILECARE - LIMA ESTATE</v>
      </c>
      <c r="D683" s="2" t="str">
        <f>IFERROR(__xludf.DUMMYFUNCTION("""COMPUTED_VALUE"""),"TA661-36692")</f>
        <v>TA661-36692</v>
      </c>
      <c r="E683" s="2" t="str">
        <f>IFERROR(__xludf.DUMMYFUNCTION("""COMPUTED_VALUE"""),"iPhone 15, Pink, 128GB, Logic Board Assy Mid System, ROW")</f>
        <v>iPhone 15, Pink, 128GB, Logic Board Assy Mid System, ROW</v>
      </c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0" t="str">
        <f t="shared" si="1"/>
        <v>January</v>
      </c>
      <c r="B684" s="11">
        <f>IFERROR(__xludf.DUMMYFUNCTION("""COMPUTED_VALUE"""),46031.0)</f>
        <v>46031</v>
      </c>
      <c r="C684" s="2" t="str">
        <f>IFERROR(__xludf.DUMMYFUNCTION("""COMPUTED_VALUE"""),"MOBILECARE - LIMA ESTATE")</f>
        <v>MOBILECARE - LIMA ESTATE</v>
      </c>
      <c r="D684" s="2" t="str">
        <f>IFERROR(__xludf.DUMMYFUNCTION("""COMPUTED_VALUE"""),"661-30370")</f>
        <v>661-30370</v>
      </c>
      <c r="E684" s="2" t="str">
        <f>IFERROR(__xludf.DUMMYFUNCTION("""COMPUTED_VALUE"""),"Camera, iPhone 14")</f>
        <v>Camera, iPhone 14</v>
      </c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0" t="str">
        <f t="shared" si="1"/>
        <v>January</v>
      </c>
      <c r="B685" s="11">
        <f>IFERROR(__xludf.DUMMYFUNCTION("""COMPUTED_VALUE"""),46031.0)</f>
        <v>46031</v>
      </c>
      <c r="C685" s="2" t="str">
        <f>IFERROR(__xludf.DUMMYFUNCTION("""COMPUTED_VALUE"""),"MOBILECARE - LIMA ESTATE")</f>
        <v>MOBILECARE - LIMA ESTATE</v>
      </c>
      <c r="D685" s="2" t="str">
        <f>IFERROR(__xludf.DUMMYFUNCTION("""COMPUTED_VALUE"""),"661-30370")</f>
        <v>661-30370</v>
      </c>
      <c r="E685" s="2" t="str">
        <f>IFERROR(__xludf.DUMMYFUNCTION("""COMPUTED_VALUE"""),"Camera, iPhone 14")</f>
        <v>Camera, iPhone 14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0" t="str">
        <f t="shared" si="1"/>
        <v>January</v>
      </c>
      <c r="B686" s="11">
        <f>IFERROR(__xludf.DUMMYFUNCTION("""COMPUTED_VALUE"""),46033.0)</f>
        <v>46033</v>
      </c>
      <c r="C686" s="2" t="str">
        <f>IFERROR(__xludf.DUMMYFUNCTION("""COMPUTED_VALUE"""),"MOBILECARE - LIMA ESTATE")</f>
        <v>MOBILECARE - LIMA ESTATE</v>
      </c>
      <c r="D686" s="2" t="str">
        <f>IFERROR(__xludf.DUMMYFUNCTION("""COMPUTED_VALUE"""),"661-30382")</f>
        <v>661-30382</v>
      </c>
      <c r="E686" s="2" t="str">
        <f>IFERROR(__xludf.DUMMYFUNCTION("""COMPUTED_VALUE"""),"Battery, iPhone 14 Pro")</f>
        <v>Battery, iPhone 14 Pro</v>
      </c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0" t="str">
        <f t="shared" si="1"/>
        <v>January</v>
      </c>
      <c r="B687" s="11">
        <f>IFERROR(__xludf.DUMMYFUNCTION("""COMPUTED_VALUE"""),46033.0)</f>
        <v>46033</v>
      </c>
      <c r="C687" s="2" t="str">
        <f>IFERROR(__xludf.DUMMYFUNCTION("""COMPUTED_VALUE"""),"MOBILECARE - LIMA ESTATE")</f>
        <v>MOBILECARE - LIMA ESTATE</v>
      </c>
      <c r="D687" s="2" t="str">
        <f>IFERROR(__xludf.DUMMYFUNCTION("""COMPUTED_VALUE"""),"923-08123")</f>
        <v>923-08123</v>
      </c>
      <c r="E687" s="2" t="str">
        <f>IFERROR(__xludf.DUMMYFUNCTION("""COMPUTED_VALUE"""),"Bottom Speaker, iPhone 14 Pro")</f>
        <v>Bottom Speaker, iPhone 14 Pro</v>
      </c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0" t="str">
        <f t="shared" si="1"/>
        <v>January</v>
      </c>
      <c r="B688" s="11">
        <f>IFERROR(__xludf.DUMMYFUNCTION("""COMPUTED_VALUE"""),46031.0)</f>
        <v>46031</v>
      </c>
      <c r="C688" s="2" t="str">
        <f>IFERROR(__xludf.DUMMYFUNCTION("""COMPUTED_VALUE"""),"MOBILECARE - LIMA ESTATE")</f>
        <v>MOBILECARE - LIMA ESTATE</v>
      </c>
      <c r="D688" s="2" t="str">
        <f>IFERROR(__xludf.DUMMYFUNCTION("""COMPUTED_VALUE"""),"661-21991")</f>
        <v>661-21991</v>
      </c>
      <c r="E688" s="2" t="str">
        <f>IFERROR(__xludf.DUMMYFUNCTION("""COMPUTED_VALUE"""),"Battery, iPhone 13")</f>
        <v>Battery, iPhone 13</v>
      </c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0" t="str">
        <f t="shared" si="1"/>
        <v>January</v>
      </c>
      <c r="B689" s="11">
        <f>IFERROR(__xludf.DUMMYFUNCTION("""COMPUTED_VALUE"""),46031.0)</f>
        <v>46031</v>
      </c>
      <c r="C689" s="2" t="str">
        <f>IFERROR(__xludf.DUMMYFUNCTION("""COMPUTED_VALUE"""),"MOBILECARE - LIMA ESTATE")</f>
        <v>MOBILECARE - LIMA ESTATE</v>
      </c>
      <c r="D689" s="2" t="str">
        <f>IFERROR(__xludf.DUMMYFUNCTION("""COMPUTED_VALUE"""),"661-35703")</f>
        <v>661-35703</v>
      </c>
      <c r="E689" s="2" t="str">
        <f>IFERROR(__xludf.DUMMYFUNCTION("""COMPUTED_VALUE"""),"Blue Titanium, Back Glass, iPhone 15 Pro")</f>
        <v>Blue Titanium, Back Glass, iPhone 15 Pro</v>
      </c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0" t="str">
        <f t="shared" si="1"/>
        <v>January</v>
      </c>
      <c r="B690" s="11">
        <f>IFERROR(__xludf.DUMMYFUNCTION("""COMPUTED_VALUE"""),46043.0)</f>
        <v>46043</v>
      </c>
      <c r="C690" s="2" t="str">
        <f>IFERROR(__xludf.DUMMYFUNCTION("""COMPUTED_VALUE"""),"MOBILECARE - LIMA ESTATE")</f>
        <v>MOBILECARE - LIMA ESTATE</v>
      </c>
      <c r="D690" s="2" t="str">
        <f>IFERROR(__xludf.DUMMYFUNCTION("""COMPUTED_VALUE"""),"TA661-45323")</f>
        <v>TA661-45323</v>
      </c>
      <c r="E690" s="2" t="str">
        <f>IFERROR(__xludf.DUMMYFUNCTION("""COMPUTED_VALUE"""),"256GB, Desert Titanium, ROW, iPhone 16 Pro Max, Logic Board Assy Mid Sys")</f>
        <v>256GB, Desert Titanium, ROW, iPhone 16 Pro Max, Logic Board Assy Mid Sys</v>
      </c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0" t="str">
        <f t="shared" si="1"/>
        <v>January</v>
      </c>
      <c r="B691" s="11">
        <f>IFERROR(__xludf.DUMMYFUNCTION("""COMPUTED_VALUE"""),46028.0)</f>
        <v>46028</v>
      </c>
      <c r="C691" s="2" t="str">
        <f>IFERROR(__xludf.DUMMYFUNCTION("""COMPUTED_VALUE"""),"MOBILECARE - LIMA ESTATE")</f>
        <v>MOBILECARE - LIMA ESTATE</v>
      </c>
      <c r="D691" s="2" t="str">
        <f>IFERROR(__xludf.DUMMYFUNCTION("""COMPUTED_VALUE"""),"661-22309")</f>
        <v>661-22309</v>
      </c>
      <c r="E691" s="2" t="str">
        <f>IFERROR(__xludf.DUMMYFUNCTION("""COMPUTED_VALUE"""),"Display, iPhone 13 Pro Max")</f>
        <v>Display, iPhone 13 Pro Max</v>
      </c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0" t="str">
        <f t="shared" si="1"/>
        <v>January</v>
      </c>
      <c r="B692" s="11">
        <f>IFERROR(__xludf.DUMMYFUNCTION("""COMPUTED_VALUE"""),46031.0)</f>
        <v>46031</v>
      </c>
      <c r="C692" s="2" t="str">
        <f>IFERROR(__xludf.DUMMYFUNCTION("""COMPUTED_VALUE"""),"MOBILECARE - LIMA ESTATE")</f>
        <v>MOBILECARE - LIMA ESTATE</v>
      </c>
      <c r="D692" s="2" t="str">
        <f>IFERROR(__xludf.DUMMYFUNCTION("""COMPUTED_VALUE"""),"661-21991")</f>
        <v>661-21991</v>
      </c>
      <c r="E692" s="2" t="str">
        <f>IFERROR(__xludf.DUMMYFUNCTION("""COMPUTED_VALUE"""),"Battery, iPhone 13")</f>
        <v>Battery, iPhone 13</v>
      </c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0" t="str">
        <f t="shared" si="1"/>
        <v>January</v>
      </c>
      <c r="B693" s="11">
        <f>IFERROR(__xludf.DUMMYFUNCTION("""COMPUTED_VALUE"""),46049.0)</f>
        <v>46049</v>
      </c>
      <c r="C693" s="2" t="str">
        <f>IFERROR(__xludf.DUMMYFUNCTION("""COMPUTED_VALUE"""),"MOBILECARE - LIMA ESTATE")</f>
        <v>MOBILECARE - LIMA ESTATE</v>
      </c>
      <c r="D693" s="2" t="str">
        <f>IFERROR(__xludf.DUMMYFUNCTION("""COMPUTED_VALUE"""),"TA661-55208")</f>
        <v>TA661-55208</v>
      </c>
      <c r="E693" s="2" t="str">
        <f>IFERROR(__xludf.DUMMYFUNCTION("""COMPUTED_VALUE"""),"Deep Blue, 256GB, iPhone 17 Pro Max, ROW, CI/AR, Taiwan")</f>
        <v>Deep Blue, 256GB, iPhone 17 Pro Max, ROW, CI/AR, Taiwan</v>
      </c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0" t="str">
        <f t="shared" si="1"/>
        <v>January</v>
      </c>
      <c r="B694" s="11">
        <f>IFERROR(__xludf.DUMMYFUNCTION("""COMPUTED_VALUE"""),46031.0)</f>
        <v>46031</v>
      </c>
      <c r="C694" s="2" t="str">
        <f>IFERROR(__xludf.DUMMYFUNCTION("""COMPUTED_VALUE"""),"MOBILECARE - LIMA ESTATE")</f>
        <v>MOBILECARE - LIMA ESTATE</v>
      </c>
      <c r="D694" s="2" t="str">
        <f>IFERROR(__xludf.DUMMYFUNCTION("""COMPUTED_VALUE"""),"661-21991")</f>
        <v>661-21991</v>
      </c>
      <c r="E694" s="2" t="str">
        <f>IFERROR(__xludf.DUMMYFUNCTION("""COMPUTED_VALUE"""),"Battery, iPhone 13")</f>
        <v>Battery, iPhone 13</v>
      </c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0" t="str">
        <f t="shared" si="1"/>
        <v>January</v>
      </c>
      <c r="B695" s="11">
        <f>IFERROR(__xludf.DUMMYFUNCTION("""COMPUTED_VALUE"""),46029.0)</f>
        <v>46029</v>
      </c>
      <c r="C695" s="2" t="str">
        <f>IFERROR(__xludf.DUMMYFUNCTION("""COMPUTED_VALUE"""),"MOBILECARE - LIMA ESTATE")</f>
        <v>MOBILECARE - LIMA ESTATE</v>
      </c>
      <c r="D695" s="2" t="str">
        <f>IFERROR(__xludf.DUMMYFUNCTION("""COMPUTED_VALUE"""),"661-13574")</f>
        <v>661-13574</v>
      </c>
      <c r="E695" s="2" t="str">
        <f>IFERROR(__xludf.DUMMYFUNCTION("""COMPUTED_VALUE"""),"Battery, iPhone 11")</f>
        <v>Battery, iPhone 11</v>
      </c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0" t="str">
        <f t="shared" si="1"/>
        <v>January</v>
      </c>
      <c r="B696" s="11">
        <f>IFERROR(__xludf.DUMMYFUNCTION("""COMPUTED_VALUE"""),46044.0)</f>
        <v>46044</v>
      </c>
      <c r="C696" s="2" t="str">
        <f>IFERROR(__xludf.DUMMYFUNCTION("""COMPUTED_VALUE"""),"MOBILECARE - LIMA ESTATE")</f>
        <v>MOBILECARE - LIMA ESTATE</v>
      </c>
      <c r="D696" s="2" t="str">
        <f>IFERROR(__xludf.DUMMYFUNCTION("""COMPUTED_VALUE"""),"TA661-43606")</f>
        <v>TA661-43606</v>
      </c>
      <c r="E696" s="2" t="str">
        <f>IFERROR(__xludf.DUMMYFUNCTION("""COMPUTED_VALUE"""),"128GB, White, ROW, iPhone 16, Logic Board Assy Mid System")</f>
        <v>128GB, White, ROW, iPhone 16, Logic Board Assy Mid System</v>
      </c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0" t="str">
        <f t="shared" si="1"/>
        <v>January</v>
      </c>
      <c r="B697" s="11">
        <f>IFERROR(__xludf.DUMMYFUNCTION("""COMPUTED_VALUE"""),46032.0)</f>
        <v>46032</v>
      </c>
      <c r="C697" s="2" t="str">
        <f>IFERROR(__xludf.DUMMYFUNCTION("""COMPUTED_VALUE"""),"MOBILECARE - LIMA ESTATE")</f>
        <v>MOBILECARE - LIMA ESTATE</v>
      </c>
      <c r="D697" s="2" t="str">
        <f>IFERROR(__xludf.DUMMYFUNCTION("""COMPUTED_VALUE"""),"661-21988")</f>
        <v>661-21988</v>
      </c>
      <c r="E697" s="2" t="str">
        <f>IFERROR(__xludf.DUMMYFUNCTION("""COMPUTED_VALUE"""),"Display, iPhone 13")</f>
        <v>Display, iPhone 13</v>
      </c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0" t="str">
        <f t="shared" si="1"/>
        <v>January</v>
      </c>
      <c r="B698" s="11">
        <f>IFERROR(__xludf.DUMMYFUNCTION("""COMPUTED_VALUE"""),46028.0)</f>
        <v>46028</v>
      </c>
      <c r="C698" s="2" t="str">
        <f>IFERROR(__xludf.DUMMYFUNCTION("""COMPUTED_VALUE"""),"MOBILECARE - LIMA ESTATE")</f>
        <v>MOBILECARE - LIMA ESTATE</v>
      </c>
      <c r="D698" s="2" t="str">
        <f>IFERROR(__xludf.DUMMYFUNCTION("""COMPUTED_VALUE"""),"661-21991")</f>
        <v>661-21991</v>
      </c>
      <c r="E698" s="2" t="str">
        <f>IFERROR(__xludf.DUMMYFUNCTION("""COMPUTED_VALUE"""),"Battery, iPhone 13")</f>
        <v>Battery, iPhone 13</v>
      </c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0" t="str">
        <f t="shared" si="1"/>
        <v>January</v>
      </c>
      <c r="B699" s="11">
        <f>IFERROR(__xludf.DUMMYFUNCTION("""COMPUTED_VALUE"""),46045.0)</f>
        <v>46045</v>
      </c>
      <c r="C699" s="2" t="str">
        <f>IFERROR(__xludf.DUMMYFUNCTION("""COMPUTED_VALUE"""),"MOBILECARE - LIMA ESTATE")</f>
        <v>MOBILECARE - LIMA ESTATE</v>
      </c>
      <c r="D699" s="2" t="str">
        <f>IFERROR(__xludf.DUMMYFUNCTION("""COMPUTED_VALUE"""),"TA661-45323")</f>
        <v>TA661-45323</v>
      </c>
      <c r="E699" s="2" t="str">
        <f>IFERROR(__xludf.DUMMYFUNCTION("""COMPUTED_VALUE"""),"256GB, Desert Titanium, ROW, iPhone 16 Pro Max, Logic Board Assy Mid Sys")</f>
        <v>256GB, Desert Titanium, ROW, iPhone 16 Pro Max, Logic Board Assy Mid Sys</v>
      </c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0" t="str">
        <f t="shared" si="1"/>
        <v>January</v>
      </c>
      <c r="B700" s="11">
        <f>IFERROR(__xludf.DUMMYFUNCTION("""COMPUTED_VALUE"""),46042.0)</f>
        <v>46042</v>
      </c>
      <c r="C700" s="2" t="str">
        <f>IFERROR(__xludf.DUMMYFUNCTION("""COMPUTED_VALUE"""),"MOBILECARE - LIMA ESTATE")</f>
        <v>MOBILECARE - LIMA ESTATE</v>
      </c>
      <c r="D700" s="2" t="str">
        <f>IFERROR(__xludf.DUMMYFUNCTION("""COMPUTED_VALUE"""),"PP661-22981")</f>
        <v>PP661-22981</v>
      </c>
      <c r="E700" s="2" t="str">
        <f>IFERROR(__xludf.DUMMYFUNCTION("""COMPUTED_VALUE"""),"Starlight, 128 GB, iPhone 13, ROW, CI/AR, Philippines")</f>
        <v>Starlight, 128 GB, iPhone 13, ROW, CI/AR, Philippines</v>
      </c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0" t="str">
        <f t="shared" si="1"/>
        <v>January</v>
      </c>
      <c r="B701" s="11">
        <f>IFERROR(__xludf.DUMMYFUNCTION("""COMPUTED_VALUE"""),46046.0)</f>
        <v>46046</v>
      </c>
      <c r="C701" s="2" t="str">
        <f>IFERROR(__xludf.DUMMYFUNCTION("""COMPUTED_VALUE"""),"MOBILECARE - LIMA ESTATE")</f>
        <v>MOBILECARE - LIMA ESTATE</v>
      </c>
      <c r="D701" s="2" t="str">
        <f>IFERROR(__xludf.DUMMYFUNCTION("""COMPUTED_VALUE"""),"PP661-22980")</f>
        <v>PP661-22980</v>
      </c>
      <c r="E701" s="2" t="str">
        <f>IFERROR(__xludf.DUMMYFUNCTION("""COMPUTED_VALUE"""),"Midnight, 128 GB, iPhone 13, ROW, CI/AR, Philippines")</f>
        <v>Midnight, 128 GB, iPhone 13, ROW, CI/AR, Philippines</v>
      </c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0" t="str">
        <f t="shared" si="1"/>
        <v>January</v>
      </c>
      <c r="B702" s="11">
        <f>IFERROR(__xludf.DUMMYFUNCTION("""COMPUTED_VALUE"""),46046.0)</f>
        <v>46046</v>
      </c>
      <c r="C702" s="2" t="str">
        <f>IFERROR(__xludf.DUMMYFUNCTION("""COMPUTED_VALUE"""),"MOBILECARE - LIMA ESTATE")</f>
        <v>MOBILECARE - LIMA ESTATE</v>
      </c>
      <c r="D702" s="2" t="str">
        <f>IFERROR(__xludf.DUMMYFUNCTION("""COMPUTED_VALUE"""),"PP661-23455")</f>
        <v>PP661-23455</v>
      </c>
      <c r="E702" s="2" t="str">
        <f>IFERROR(__xludf.DUMMYFUNCTION("""COMPUTED_VALUE"""),"iPhone 13, Starlight, 128GB, Logic Board Assy Rear System, ROW")</f>
        <v>iPhone 13, Starlight, 128GB, Logic Board Assy Rear System, ROW</v>
      </c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0" t="str">
        <f t="shared" si="1"/>
        <v>January</v>
      </c>
      <c r="B703" s="11">
        <f>IFERROR(__xludf.DUMMYFUNCTION("""COMPUTED_VALUE"""),46032.0)</f>
        <v>46032</v>
      </c>
      <c r="C703" s="2" t="str">
        <f>IFERROR(__xludf.DUMMYFUNCTION("""COMPUTED_VALUE"""),"MOBILECARE - LIMA ESTATE")</f>
        <v>MOBILECARE - LIMA ESTATE</v>
      </c>
      <c r="D703" s="2" t="str">
        <f>IFERROR(__xludf.DUMMYFUNCTION("""COMPUTED_VALUE"""),"661-13574")</f>
        <v>661-13574</v>
      </c>
      <c r="E703" s="2" t="str">
        <f>IFERROR(__xludf.DUMMYFUNCTION("""COMPUTED_VALUE"""),"Battery, iPhone 11")</f>
        <v>Battery, iPhone 11</v>
      </c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0" t="str">
        <f t="shared" si="1"/>
        <v>January</v>
      </c>
      <c r="B704" s="11">
        <f>IFERROR(__xludf.DUMMYFUNCTION("""COMPUTED_VALUE"""),46031.0)</f>
        <v>46031</v>
      </c>
      <c r="C704" s="2" t="str">
        <f>IFERROR(__xludf.DUMMYFUNCTION("""COMPUTED_VALUE"""),"MOBILECARE - LIMA ESTATE")</f>
        <v>MOBILECARE - LIMA ESTATE</v>
      </c>
      <c r="D704" s="2" t="str">
        <f>IFERROR(__xludf.DUMMYFUNCTION("""COMPUTED_VALUE"""),"661-21991")</f>
        <v>661-21991</v>
      </c>
      <c r="E704" s="2" t="str">
        <f>IFERROR(__xludf.DUMMYFUNCTION("""COMPUTED_VALUE"""),"Battery, iPhone 13")</f>
        <v>Battery, iPhone 13</v>
      </c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0" t="str">
        <f t="shared" si="1"/>
        <v>January</v>
      </c>
      <c r="B705" s="11">
        <f>IFERROR(__xludf.DUMMYFUNCTION("""COMPUTED_VALUE"""),46036.0)</f>
        <v>46036</v>
      </c>
      <c r="C705" s="2" t="str">
        <f>IFERROR(__xludf.DUMMYFUNCTION("""COMPUTED_VALUE"""),"MOBILECARE - LIMA ESTATE")</f>
        <v>MOBILECARE - LIMA ESTATE</v>
      </c>
      <c r="D705" s="2" t="str">
        <f>IFERROR(__xludf.DUMMYFUNCTION("""COMPUTED_VALUE"""),"661-22309")</f>
        <v>661-22309</v>
      </c>
      <c r="E705" s="2" t="str">
        <f>IFERROR(__xludf.DUMMYFUNCTION("""COMPUTED_VALUE"""),"Display, iPhone 13 Pro Max")</f>
        <v>Display, iPhone 13 Pro Max</v>
      </c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0" t="str">
        <f t="shared" si="1"/>
        <v>January</v>
      </c>
      <c r="B706" s="11">
        <f>IFERROR(__xludf.DUMMYFUNCTION("""COMPUTED_VALUE"""),46036.0)</f>
        <v>46036</v>
      </c>
      <c r="C706" s="2" t="str">
        <f>IFERROR(__xludf.DUMMYFUNCTION("""COMPUTED_VALUE"""),"MOBILECARE - LIMA ESTATE")</f>
        <v>MOBILECARE - LIMA ESTATE</v>
      </c>
      <c r="D706" s="2" t="str">
        <f>IFERROR(__xludf.DUMMYFUNCTION("""COMPUTED_VALUE"""),"TA661-35491")</f>
        <v>TA661-35491</v>
      </c>
      <c r="E706" s="2" t="str">
        <f>IFERROR(__xludf.DUMMYFUNCTION("""COMPUTED_VALUE"""),"Pink, iPhone 15 Plus, 128GB, ROW, CI/AR, Taiwan")</f>
        <v>Pink, iPhone 15 Plus, 128GB, ROW, CI/AR, Taiwan</v>
      </c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0" t="str">
        <f t="shared" si="1"/>
        <v>January</v>
      </c>
      <c r="B707" s="11">
        <f>IFERROR(__xludf.DUMMYFUNCTION("""COMPUTED_VALUE"""),46039.0)</f>
        <v>46039</v>
      </c>
      <c r="C707" s="2" t="str">
        <f>IFERROR(__xludf.DUMMYFUNCTION("""COMPUTED_VALUE"""),"MOBILECARE - LIMA ESTATE")</f>
        <v>MOBILECARE - LIMA ESTATE</v>
      </c>
      <c r="D707" s="2" t="str">
        <f>IFERROR(__xludf.DUMMYFUNCTION("""COMPUTED_VALUE"""),"TA661-43612")</f>
        <v>TA661-43612</v>
      </c>
      <c r="E707" s="2" t="str">
        <f>IFERROR(__xludf.DUMMYFUNCTION("""COMPUTED_VALUE"""),"256GB, Pink, ROW, iPhone 16, Logic Board Assy Mid System")</f>
        <v>256GB, Pink, ROW, iPhone 16, Logic Board Assy Mid System</v>
      </c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0" t="str">
        <f t="shared" si="1"/>
        <v>January</v>
      </c>
      <c r="B708" s="11">
        <f>IFERROR(__xludf.DUMMYFUNCTION("""COMPUTED_VALUE"""),46034.0)</f>
        <v>46034</v>
      </c>
      <c r="C708" s="2" t="str">
        <f>IFERROR(__xludf.DUMMYFUNCTION("""COMPUTED_VALUE"""),"MOBILECARE - LIMA ESTATE")</f>
        <v>MOBILECARE - LIMA ESTATE</v>
      </c>
      <c r="D708" s="2" t="str">
        <f>IFERROR(__xludf.DUMMYFUNCTION("""COMPUTED_VALUE"""),"PP661-28613")</f>
        <v>PP661-28613</v>
      </c>
      <c r="E708" s="2" t="str">
        <f>IFERROR(__xludf.DUMMYFUNCTION("""COMPUTED_VALUE"""),"Midnight, iPhone 14, 128GB, ROW, CI/AR, Philippines")</f>
        <v>Midnight, iPhone 14, 128GB, ROW, CI/AR, Philippines</v>
      </c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0" t="str">
        <f t="shared" si="1"/>
        <v>January</v>
      </c>
      <c r="B709" s="11">
        <f>IFERROR(__xludf.DUMMYFUNCTION("""COMPUTED_VALUE"""),46035.0)</f>
        <v>46035</v>
      </c>
      <c r="C709" s="2" t="str">
        <f>IFERROR(__xludf.DUMMYFUNCTION("""COMPUTED_VALUE"""),"MOBILECARE - LIMA ESTATE")</f>
        <v>MOBILECARE - LIMA ESTATE</v>
      </c>
      <c r="D709" s="2" t="str">
        <f>IFERROR(__xludf.DUMMYFUNCTION("""COMPUTED_VALUE"""),"PP661-28613")</f>
        <v>PP661-28613</v>
      </c>
      <c r="E709" s="2" t="str">
        <f>IFERROR(__xludf.DUMMYFUNCTION("""COMPUTED_VALUE"""),"Midnight, iPhone 14, 128GB, ROW, CI/AR, Philippines")</f>
        <v>Midnight, iPhone 14, 128GB, ROW, CI/AR, Philippines</v>
      </c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0" t="str">
        <f t="shared" si="1"/>
        <v>January</v>
      </c>
      <c r="B710" s="11">
        <f>IFERROR(__xludf.DUMMYFUNCTION("""COMPUTED_VALUE"""),46039.0)</f>
        <v>46039</v>
      </c>
      <c r="C710" s="2" t="str">
        <f>IFERROR(__xludf.DUMMYFUNCTION("""COMPUTED_VALUE"""),"MOBILECARE - LIMA ESTATE")</f>
        <v>MOBILECARE - LIMA ESTATE</v>
      </c>
      <c r="D710" s="2" t="str">
        <f>IFERROR(__xludf.DUMMYFUNCTION("""COMPUTED_VALUE"""),"PP661-22981")</f>
        <v>PP661-22981</v>
      </c>
      <c r="E710" s="2" t="str">
        <f>IFERROR(__xludf.DUMMYFUNCTION("""COMPUTED_VALUE"""),"Starlight, 128 GB, iPhone 13, ROW, CI/AR, Philippines")</f>
        <v>Starlight, 128 GB, iPhone 13, ROW, CI/AR, Philippines</v>
      </c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0" t="str">
        <f t="shared" si="1"/>
        <v>January</v>
      </c>
      <c r="B711" s="11">
        <f>IFERROR(__xludf.DUMMYFUNCTION("""COMPUTED_VALUE"""),46026.0)</f>
        <v>46026</v>
      </c>
      <c r="C711" s="2" t="str">
        <f>IFERROR(__xludf.DUMMYFUNCTION("""COMPUTED_VALUE"""),"MOBILECARE - LIMA ESTATE")</f>
        <v>MOBILECARE - LIMA ESTATE</v>
      </c>
      <c r="D711" s="2" t="str">
        <f>IFERROR(__xludf.DUMMYFUNCTION("""COMPUTED_VALUE"""),"661-35694")</f>
        <v>661-35694</v>
      </c>
      <c r="E711" s="2" t="str">
        <f>IFERROR(__xludf.DUMMYFUNCTION("""COMPUTED_VALUE"""),"Battery, iPhone 15 Pro")</f>
        <v>Battery, iPhone 15 Pro</v>
      </c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0" t="str">
        <f t="shared" si="1"/>
        <v>January</v>
      </c>
      <c r="B712" s="11">
        <f>IFERROR(__xludf.DUMMYFUNCTION("""COMPUTED_VALUE"""),46035.0)</f>
        <v>46035</v>
      </c>
      <c r="C712" s="2" t="str">
        <f>IFERROR(__xludf.DUMMYFUNCTION("""COMPUTED_VALUE"""),"MOBILECARE - LIMA ESTATE")</f>
        <v>MOBILECARE - LIMA ESTATE</v>
      </c>
      <c r="D712" s="2" t="str">
        <f>IFERROR(__xludf.DUMMYFUNCTION("""COMPUTED_VALUE"""),"PP661-28613")</f>
        <v>PP661-28613</v>
      </c>
      <c r="E712" s="2" t="str">
        <f>IFERROR(__xludf.DUMMYFUNCTION("""COMPUTED_VALUE"""),"Midnight, iPhone 14, 128GB, ROW, CI/AR, Philippines")</f>
        <v>Midnight, iPhone 14, 128GB, ROW, CI/AR, Philippines</v>
      </c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0" t="str">
        <f t="shared" si="1"/>
        <v>January</v>
      </c>
      <c r="B713" s="11">
        <f>IFERROR(__xludf.DUMMYFUNCTION("""COMPUTED_VALUE"""),46039.0)</f>
        <v>46039</v>
      </c>
      <c r="C713" s="2" t="str">
        <f>IFERROR(__xludf.DUMMYFUNCTION("""COMPUTED_VALUE"""),"MOBILECARE - LIMA ESTATE")</f>
        <v>MOBILECARE - LIMA ESTATE</v>
      </c>
      <c r="D713" s="2" t="str">
        <f>IFERROR(__xludf.DUMMYFUNCTION("""COMPUTED_VALUE"""),"PP661-23454")</f>
        <v>PP661-23454</v>
      </c>
      <c r="E713" s="2" t="str">
        <f>IFERROR(__xludf.DUMMYFUNCTION("""COMPUTED_VALUE"""),"iPhone 13, Midnight, 128GB, Logic Board Assy Rear System, ROW")</f>
        <v>iPhone 13, Midnight, 128GB, Logic Board Assy Rear System, ROW</v>
      </c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0" t="str">
        <f t="shared" si="1"/>
        <v>January</v>
      </c>
      <c r="B714" s="11">
        <f>IFERROR(__xludf.DUMMYFUNCTION("""COMPUTED_VALUE"""),46038.0)</f>
        <v>46038</v>
      </c>
      <c r="C714" s="2" t="str">
        <f>IFERROR(__xludf.DUMMYFUNCTION("""COMPUTED_VALUE"""),"MOBILECARE - LIMA ESTATE")</f>
        <v>MOBILECARE - LIMA ESTATE</v>
      </c>
      <c r="D714" s="2" t="str">
        <f>IFERROR(__xludf.DUMMYFUNCTION("""COMPUTED_VALUE"""),"PP661-22980")</f>
        <v>PP661-22980</v>
      </c>
      <c r="E714" s="2" t="str">
        <f>IFERROR(__xludf.DUMMYFUNCTION("""COMPUTED_VALUE"""),"Midnight, 128 GB, iPhone 13, ROW, CI/AR, Philippines")</f>
        <v>Midnight, 128 GB, iPhone 13, ROW, CI/AR, Philippines</v>
      </c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0" t="str">
        <f t="shared" si="1"/>
        <v>January</v>
      </c>
      <c r="B715" s="11">
        <f>IFERROR(__xludf.DUMMYFUNCTION("""COMPUTED_VALUE"""),46026.0)</f>
        <v>46026</v>
      </c>
      <c r="C715" s="2" t="str">
        <f>IFERROR(__xludf.DUMMYFUNCTION("""COMPUTED_VALUE"""),"MOBILECARE - LIMA ESTATE")</f>
        <v>MOBILECARE - LIMA ESTATE</v>
      </c>
      <c r="D715" s="2" t="str">
        <f>IFERROR(__xludf.DUMMYFUNCTION("""COMPUTED_VALUE"""),"661-36838")</f>
        <v>661-36838</v>
      </c>
      <c r="E715" s="2" t="str">
        <f>IFERROR(__xludf.DUMMYFUNCTION("""COMPUTED_VALUE"""),"Black, Back Glass, iPhone 15")</f>
        <v>Black, Back Glass, iPhone 15</v>
      </c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0" t="str">
        <f t="shared" si="1"/>
        <v>January</v>
      </c>
      <c r="B716" s="11">
        <f>IFERROR(__xludf.DUMMYFUNCTION("""COMPUTED_VALUE"""),46026.0)</f>
        <v>46026</v>
      </c>
      <c r="C716" s="2" t="str">
        <f>IFERROR(__xludf.DUMMYFUNCTION("""COMPUTED_VALUE"""),"MOBILECARE - LIMA ESTATE")</f>
        <v>MOBILECARE - LIMA ESTATE</v>
      </c>
      <c r="D716" s="2" t="str">
        <f>IFERROR(__xludf.DUMMYFUNCTION("""COMPUTED_VALUE"""),"661-42845")</f>
        <v>661-42845</v>
      </c>
      <c r="E716" s="2" t="str">
        <f>IFERROR(__xludf.DUMMYFUNCTION("""COMPUTED_VALUE"""),"Camera, iPhone 16 Plus")</f>
        <v>Camera, iPhone 16 Plus</v>
      </c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0" t="str">
        <f t="shared" si="1"/>
        <v>January</v>
      </c>
      <c r="B717" s="11">
        <f>IFERROR(__xludf.DUMMYFUNCTION("""COMPUTED_VALUE"""),46026.0)</f>
        <v>46026</v>
      </c>
      <c r="C717" s="2" t="str">
        <f>IFERROR(__xludf.DUMMYFUNCTION("""COMPUTED_VALUE"""),"MOBILECARE - LIMA ESTATE")</f>
        <v>MOBILECARE - LIMA ESTATE</v>
      </c>
      <c r="D717" s="2" t="str">
        <f>IFERROR(__xludf.DUMMYFUNCTION("""COMPUTED_VALUE"""),"TA661-45238")</f>
        <v>TA661-45238</v>
      </c>
      <c r="E717" s="2" t="str">
        <f>IFERROR(__xludf.DUMMYFUNCTION("""COMPUTED_VALUE"""),"256GB, Pink, ROW, iPhone 16 Plus, Logic Board Assy Mid System")</f>
        <v>256GB, Pink, ROW, iPhone 16 Plus, Logic Board Assy Mid System</v>
      </c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0" t="str">
        <f t="shared" si="1"/>
        <v>January</v>
      </c>
      <c r="B718" s="11">
        <f>IFERROR(__xludf.DUMMYFUNCTION("""COMPUTED_VALUE"""),46024.0)</f>
        <v>46024</v>
      </c>
      <c r="C718" s="2" t="str">
        <f>IFERROR(__xludf.DUMMYFUNCTION("""COMPUTED_VALUE"""),"MOBILECARE - LIMA ESTATE")</f>
        <v>MOBILECARE - LIMA ESTATE</v>
      </c>
      <c r="D718" s="2" t="str">
        <f>IFERROR(__xludf.DUMMYFUNCTION("""COMPUTED_VALUE"""),"PP661-23455")</f>
        <v>PP661-23455</v>
      </c>
      <c r="E718" s="2" t="str">
        <f>IFERROR(__xludf.DUMMYFUNCTION("""COMPUTED_VALUE"""),"iPhone 13, Starlight, 128GB, Logic Board Assy Rear System, ROW")</f>
        <v>iPhone 13, Starlight, 128GB, Logic Board Assy Rear System, ROW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0" t="str">
        <f t="shared" si="1"/>
        <v>January</v>
      </c>
      <c r="B719" s="11">
        <f>IFERROR(__xludf.DUMMYFUNCTION("""COMPUTED_VALUE"""),46026.0)</f>
        <v>46026</v>
      </c>
      <c r="C719" s="2" t="str">
        <f>IFERROR(__xludf.DUMMYFUNCTION("""COMPUTED_VALUE"""),"MOBILECARE - LIMA ESTATE")</f>
        <v>MOBILECARE - LIMA ESTATE</v>
      </c>
      <c r="D719" s="2" t="str">
        <f>IFERROR(__xludf.DUMMYFUNCTION("""COMPUTED_VALUE"""),"PP661-23455")</f>
        <v>PP661-23455</v>
      </c>
      <c r="E719" s="2" t="str">
        <f>IFERROR(__xludf.DUMMYFUNCTION("""COMPUTED_VALUE"""),"iPhone 13, Starlight, 128GB, Logic Board Assy Rear System, ROW")</f>
        <v>iPhone 13, Starlight, 128GB, Logic Board Assy Rear System, ROW</v>
      </c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0" t="str">
        <f t="shared" si="1"/>
        <v>January</v>
      </c>
      <c r="B720" s="11">
        <f>IFERROR(__xludf.DUMMYFUNCTION("""COMPUTED_VALUE"""),46027.0)</f>
        <v>46027</v>
      </c>
      <c r="C720" s="2" t="str">
        <f>IFERROR(__xludf.DUMMYFUNCTION("""COMPUTED_VALUE"""),"MOBILECARE - LIMA ESTATE")</f>
        <v>MOBILECARE - LIMA ESTATE</v>
      </c>
      <c r="D720" s="2" t="str">
        <f>IFERROR(__xludf.DUMMYFUNCTION("""COMPUTED_VALUE"""),"661-36906")</f>
        <v>661-36906</v>
      </c>
      <c r="E720" s="2" t="str">
        <f>IFERROR(__xludf.DUMMYFUNCTION("""COMPUTED_VALUE"""),"Camera , iPhone 15 Pro Max")</f>
        <v>Camera , iPhone 15 Pro Max</v>
      </c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0" t="str">
        <f t="shared" si="1"/>
        <v>January</v>
      </c>
      <c r="B721" s="11">
        <f>IFERROR(__xludf.DUMMYFUNCTION("""COMPUTED_VALUE"""),46024.0)</f>
        <v>46024</v>
      </c>
      <c r="C721" s="2" t="str">
        <f>IFERROR(__xludf.DUMMYFUNCTION("""COMPUTED_VALUE"""),"MOBILECARE - LIMA ESTATE")</f>
        <v>MOBILECARE - LIMA ESTATE</v>
      </c>
      <c r="D721" s="2" t="str">
        <f>IFERROR(__xludf.DUMMYFUNCTION("""COMPUTED_VALUE"""),"PP661-23454")</f>
        <v>PP661-23454</v>
      </c>
      <c r="E721" s="2" t="str">
        <f>IFERROR(__xludf.DUMMYFUNCTION("""COMPUTED_VALUE"""),"iPhone 13, Midnight, 128GB, Logic Board Assy Rear System, ROW")</f>
        <v>iPhone 13, Midnight, 128GB, Logic Board Assy Rear System, ROW</v>
      </c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0" t="str">
        <f t="shared" si="1"/>
        <v>January</v>
      </c>
      <c r="B722" s="11">
        <f>IFERROR(__xludf.DUMMYFUNCTION("""COMPUTED_VALUE"""),46024.0)</f>
        <v>46024</v>
      </c>
      <c r="C722" s="2" t="str">
        <f>IFERROR(__xludf.DUMMYFUNCTION("""COMPUTED_VALUE"""),"MOBILECARE - LIMA ESTATE")</f>
        <v>MOBILECARE - LIMA ESTATE</v>
      </c>
      <c r="D722" s="2" t="str">
        <f>IFERROR(__xludf.DUMMYFUNCTION("""COMPUTED_VALUE"""),"PP661-23454")</f>
        <v>PP661-23454</v>
      </c>
      <c r="E722" s="2" t="str">
        <f>IFERROR(__xludf.DUMMYFUNCTION("""COMPUTED_VALUE"""),"iPhone 13, Midnight, 128GB, Logic Board Assy Rear System, ROW")</f>
        <v>iPhone 13, Midnight, 128GB, Logic Board Assy Rear System, ROW</v>
      </c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0" t="str">
        <f t="shared" si="1"/>
        <v>January</v>
      </c>
      <c r="B723" s="11">
        <f>IFERROR(__xludf.DUMMYFUNCTION("""COMPUTED_VALUE"""),46029.0)</f>
        <v>46029</v>
      </c>
      <c r="C723" s="2" t="str">
        <f>IFERROR(__xludf.DUMMYFUNCTION("""COMPUTED_VALUE"""),"MOBILECARE - LIMA ESTATE")</f>
        <v>MOBILECARE - LIMA ESTATE</v>
      </c>
      <c r="D723" s="2" t="str">
        <f>IFERROR(__xludf.DUMMYFUNCTION("""COMPUTED_VALUE"""),"PP661-23455")</f>
        <v>PP661-23455</v>
      </c>
      <c r="E723" s="2" t="str">
        <f>IFERROR(__xludf.DUMMYFUNCTION("""COMPUTED_VALUE"""),"iPhone 13, Starlight, 128GB, Logic Board Assy Rear System, ROW")</f>
        <v>iPhone 13, Starlight, 128GB, Logic Board Assy Rear System, ROW</v>
      </c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0" t="str">
        <f t="shared" si="1"/>
        <v>January</v>
      </c>
      <c r="B724" s="11">
        <f>IFERROR(__xludf.DUMMYFUNCTION("""COMPUTED_VALUE"""),46024.0)</f>
        <v>46024</v>
      </c>
      <c r="C724" s="2" t="str">
        <f>IFERROR(__xludf.DUMMYFUNCTION("""COMPUTED_VALUE"""),"MOBILECARE - LIMA ESTATE")</f>
        <v>MOBILECARE - LIMA ESTATE</v>
      </c>
      <c r="D724" s="2" t="str">
        <f>IFERROR(__xludf.DUMMYFUNCTION("""COMPUTED_VALUE"""),"TA661-36691")</f>
        <v>TA661-36691</v>
      </c>
      <c r="E724" s="2" t="str">
        <f>IFERROR(__xludf.DUMMYFUNCTION("""COMPUTED_VALUE"""),"iPhone 15, Black, 128GB, Logic Board Assy Mid System, ROW")</f>
        <v>iPhone 15, Black, 128GB, Logic Board Assy Mid System, ROW</v>
      </c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0" t="str">
        <f t="shared" si="1"/>
        <v>January</v>
      </c>
      <c r="B725" s="11">
        <f>IFERROR(__xludf.DUMMYFUNCTION("""COMPUTED_VALUE"""),46026.0)</f>
        <v>46026</v>
      </c>
      <c r="C725" s="2" t="str">
        <f>IFERROR(__xludf.DUMMYFUNCTION("""COMPUTED_VALUE"""),"MOBILECARE - LIMA ESTATE")</f>
        <v>MOBILECARE - LIMA ESTATE</v>
      </c>
      <c r="D725" s="2" t="str">
        <f>IFERROR(__xludf.DUMMYFUNCTION("""COMPUTED_VALUE"""),"TA661-55211")</f>
        <v>TA661-55211</v>
      </c>
      <c r="E725" s="2" t="str">
        <f>IFERROR(__xludf.DUMMYFUNCTION("""COMPUTED_VALUE"""),"Deep Blue, 512GB, iPhone 17 Pro Max, ROW, CI/AR, Taiwan")</f>
        <v>Deep Blue, 512GB, iPhone 17 Pro Max, ROW, CI/AR, Taiwan</v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0" t="str">
        <f t="shared" si="1"/>
        <v>January</v>
      </c>
      <c r="B726" s="11">
        <f>IFERROR(__xludf.DUMMYFUNCTION("""COMPUTED_VALUE"""),46029.0)</f>
        <v>46029</v>
      </c>
      <c r="C726" s="2" t="str">
        <f>IFERROR(__xludf.DUMMYFUNCTION("""COMPUTED_VALUE"""),"MOBILECARE - LIMA ESTATE")</f>
        <v>MOBILECARE - LIMA ESTATE</v>
      </c>
      <c r="D726" s="2" t="str">
        <f>IFERROR(__xludf.DUMMYFUNCTION("""COMPUTED_VALUE"""),"TA661-45236")</f>
        <v>TA661-45236</v>
      </c>
      <c r="E726" s="2" t="str">
        <f>IFERROR(__xludf.DUMMYFUNCTION("""COMPUTED_VALUE"""),"256GB, Black, ROW, iPhone 16 Plus, Logic Board Assy Mid System")</f>
        <v>256GB, Black, ROW, iPhone 16 Plus, Logic Board Assy Mid System</v>
      </c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0" t="str">
        <f t="shared" si="1"/>
        <v>January</v>
      </c>
      <c r="B727" s="11">
        <f>IFERROR(__xludf.DUMMYFUNCTION("""COMPUTED_VALUE"""),46029.0)</f>
        <v>46029</v>
      </c>
      <c r="C727" s="2" t="str">
        <f>IFERROR(__xludf.DUMMYFUNCTION("""COMPUTED_VALUE"""),"MOBILECARE - LIMA ESTATE")</f>
        <v>MOBILECARE - LIMA ESTATE</v>
      </c>
      <c r="D727" s="2" t="str">
        <f>IFERROR(__xludf.DUMMYFUNCTION("""COMPUTED_VALUE"""),"661-42844")</f>
        <v>661-42844</v>
      </c>
      <c r="E727" s="2" t="str">
        <f>IFERROR(__xludf.DUMMYFUNCTION("""COMPUTED_VALUE"""),"TrueDepth Camera, iPhone 16 Plus")</f>
        <v>TrueDepth Camera, iPhone 16 Plus</v>
      </c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0" t="str">
        <f t="shared" si="1"/>
        <v>January</v>
      </c>
      <c r="B728" s="11">
        <f>IFERROR(__xludf.DUMMYFUNCTION("""COMPUTED_VALUE"""),46036.0)</f>
        <v>46036</v>
      </c>
      <c r="C728" s="2" t="str">
        <f>IFERROR(__xludf.DUMMYFUNCTION("""COMPUTED_VALUE"""),"MOBILECARE - LIMA ESTATE")</f>
        <v>MOBILECARE - LIMA ESTATE</v>
      </c>
      <c r="D728" s="2" t="str">
        <f>IFERROR(__xludf.DUMMYFUNCTION("""COMPUTED_VALUE"""),"PP661-23454")</f>
        <v>PP661-23454</v>
      </c>
      <c r="E728" s="2" t="str">
        <f>IFERROR(__xludf.DUMMYFUNCTION("""COMPUTED_VALUE"""),"iPhone 13, Midnight, 128GB, Logic Board Assy Rear System, ROW")</f>
        <v>iPhone 13, Midnight, 128GB, Logic Board Assy Rear System, ROW</v>
      </c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0" t="str">
        <f t="shared" si="1"/>
        <v>January</v>
      </c>
      <c r="B729" s="11">
        <f>IFERROR(__xludf.DUMMYFUNCTION("""COMPUTED_VALUE"""),46036.0)</f>
        <v>46036</v>
      </c>
      <c r="C729" s="2" t="str">
        <f>IFERROR(__xludf.DUMMYFUNCTION("""COMPUTED_VALUE"""),"MOBILECARE - LIMA ESTATE")</f>
        <v>MOBILECARE - LIMA ESTATE</v>
      </c>
      <c r="D729" s="2" t="str">
        <f>IFERROR(__xludf.DUMMYFUNCTION("""COMPUTED_VALUE"""),"PP661-23454")</f>
        <v>PP661-23454</v>
      </c>
      <c r="E729" s="2" t="str">
        <f>IFERROR(__xludf.DUMMYFUNCTION("""COMPUTED_VALUE"""),"iPhone 13, Midnight, 128GB, Logic Board Assy Rear System, ROW")</f>
        <v>iPhone 13, Midnight, 128GB, Logic Board Assy Rear System, ROW</v>
      </c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0" t="str">
        <f t="shared" si="1"/>
        <v>March</v>
      </c>
      <c r="B730" s="11">
        <f>IFERROR(__xludf.DUMMYFUNCTION("""COMPUTED_VALUE"""),46111.0)</f>
        <v>46111</v>
      </c>
      <c r="C730" s="2" t="str">
        <f>IFERROR(__xludf.DUMMYFUNCTION("""COMPUTED_VALUE"""),"MOBILECARE - CAGAYAN DE ORO")</f>
        <v>MOBILECARE - CAGAYAN DE ORO</v>
      </c>
      <c r="D730" s="2" t="str">
        <f>IFERROR(__xludf.DUMMYFUNCTION("""COMPUTED_VALUE"""),"661-42845")</f>
        <v>661-42845</v>
      </c>
      <c r="E730" s="2" t="str">
        <f>IFERROR(__xludf.DUMMYFUNCTION("""COMPUTED_VALUE"""),"Camera, iPhone 16 Plus")</f>
        <v>Camera, iPhone 16 Plus</v>
      </c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0" t="str">
        <f t="shared" si="1"/>
        <v>March</v>
      </c>
      <c r="B731" s="11">
        <f>IFERROR(__xludf.DUMMYFUNCTION("""COMPUTED_VALUE"""),46111.0)</f>
        <v>46111</v>
      </c>
      <c r="C731" s="2" t="str">
        <f>IFERROR(__xludf.DUMMYFUNCTION("""COMPUTED_VALUE"""),"MOBILECARE - CAGAYAN DE ORO")</f>
        <v>MOBILECARE - CAGAYAN DE ORO</v>
      </c>
      <c r="D731" s="2" t="str">
        <f>IFERROR(__xludf.DUMMYFUNCTION("""COMPUTED_VALUE"""),"661-42845")</f>
        <v>661-42845</v>
      </c>
      <c r="E731" s="2" t="str">
        <f>IFERROR(__xludf.DUMMYFUNCTION("""COMPUTED_VALUE"""),"Camera, iPhone 16 Plus")</f>
        <v>Camera, iPhone 16 Plus</v>
      </c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0" t="str">
        <f t="shared" si="1"/>
        <v>February</v>
      </c>
      <c r="B732" s="11">
        <f>IFERROR(__xludf.DUMMYFUNCTION("""COMPUTED_VALUE"""),46062.0)</f>
        <v>46062</v>
      </c>
      <c r="C732" s="2" t="str">
        <f>IFERROR(__xludf.DUMMYFUNCTION("""COMPUTED_VALUE"""),"MOBILECARE - CAGAYAN DE ORO")</f>
        <v>MOBILECARE - CAGAYAN DE ORO</v>
      </c>
      <c r="D732" s="2" t="str">
        <f>IFERROR(__xludf.DUMMYFUNCTION("""COMPUTED_VALUE"""),"TA661-45001")</f>
        <v>TA661-45001</v>
      </c>
      <c r="E732" s="2" t="str">
        <f>IFERROR(__xludf.DUMMYFUNCTION("""COMPUTED_VALUE"""),"256GB, Desert Titanium, ROW, iPhone 16 Pro, Logic Board Assy Mid System")</f>
        <v>256GB, Desert Titanium, ROW, iPhone 16 Pro, Logic Board Assy Mid System</v>
      </c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0" t="str">
        <f t="shared" si="1"/>
        <v>January</v>
      </c>
      <c r="B733" s="11">
        <f>IFERROR(__xludf.DUMMYFUNCTION("""COMPUTED_VALUE"""),46046.0)</f>
        <v>46046</v>
      </c>
      <c r="C733" s="2" t="str">
        <f>IFERROR(__xludf.DUMMYFUNCTION("""COMPUTED_VALUE"""),"MOBILECARE - CAGAYAN DE ORO")</f>
        <v>MOBILECARE - CAGAYAN DE ORO</v>
      </c>
      <c r="D733" s="2" t="str">
        <f>IFERROR(__xludf.DUMMYFUNCTION("""COMPUTED_VALUE"""),"661-42726")</f>
        <v>661-42726</v>
      </c>
      <c r="E733" s="2" t="str">
        <f>IFERROR(__xludf.DUMMYFUNCTION("""COMPUTED_VALUE"""),"Display, iPhone 16 Pro")</f>
        <v>Display, iPhone 16 Pro</v>
      </c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0" t="str">
        <f t="shared" si="1"/>
        <v>January</v>
      </c>
      <c r="B734" s="11">
        <f>IFERROR(__xludf.DUMMYFUNCTION("""COMPUTED_VALUE"""),46038.0)</f>
        <v>46038</v>
      </c>
      <c r="C734" s="2" t="str">
        <f>IFERROR(__xludf.DUMMYFUNCTION("""COMPUTED_VALUE"""),"MOBILECARE - CAGAYAN DE ORO")</f>
        <v>MOBILECARE - CAGAYAN DE ORO</v>
      </c>
      <c r="D734" s="2" t="str">
        <f>IFERROR(__xludf.DUMMYFUNCTION("""COMPUTED_VALUE"""),"661-42726")</f>
        <v>661-42726</v>
      </c>
      <c r="E734" s="2" t="str">
        <f>IFERROR(__xludf.DUMMYFUNCTION("""COMPUTED_VALUE"""),"Display, iPhone 16 Pro")</f>
        <v>Display, iPhone 16 Pro</v>
      </c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0" t="str">
        <f t="shared" si="1"/>
        <v>January</v>
      </c>
      <c r="B735" s="11">
        <f>IFERROR(__xludf.DUMMYFUNCTION("""COMPUTED_VALUE"""),46042.0)</f>
        <v>46042</v>
      </c>
      <c r="C735" s="2" t="str">
        <f>IFERROR(__xludf.DUMMYFUNCTION("""COMPUTED_VALUE"""),"MOBILECARE - CAGAYAN DE ORO")</f>
        <v>MOBILECARE - CAGAYAN DE ORO</v>
      </c>
      <c r="D735" s="2" t="str">
        <f>IFERROR(__xludf.DUMMYFUNCTION("""COMPUTED_VALUE"""),"661-42725")</f>
        <v>661-42725</v>
      </c>
      <c r="E735" s="2" t="str">
        <f>IFERROR(__xludf.DUMMYFUNCTION("""COMPUTED_VALUE"""),"Natural Titanium, Back Glass, iPhone 16 Pro")</f>
        <v>Natural Titanium, Back Glass, iPhone 16 Pro</v>
      </c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0" t="str">
        <f t="shared" si="1"/>
        <v>January</v>
      </c>
      <c r="B736" s="11">
        <f>IFERROR(__xludf.DUMMYFUNCTION("""COMPUTED_VALUE"""),46050.0)</f>
        <v>46050</v>
      </c>
      <c r="C736" s="2" t="str">
        <f>IFERROR(__xludf.DUMMYFUNCTION("""COMPUTED_VALUE"""),"MOBILECARE - CAGAYAN DE ORO")</f>
        <v>MOBILECARE - CAGAYAN DE ORO</v>
      </c>
      <c r="D736" s="2" t="str">
        <f>IFERROR(__xludf.DUMMYFUNCTION("""COMPUTED_VALUE"""),"PP661-23455")</f>
        <v>PP661-23455</v>
      </c>
      <c r="E736" s="2" t="str">
        <f>IFERROR(__xludf.DUMMYFUNCTION("""COMPUTED_VALUE"""),"iPhone 13, Starlight, 128GB, Logic Board Assy Rear System, ROW")</f>
        <v>iPhone 13, Starlight, 128GB, Logic Board Assy Rear System, ROW</v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0" t="str">
        <f t="shared" si="1"/>
        <v>January</v>
      </c>
      <c r="B737" s="11">
        <f>IFERROR(__xludf.DUMMYFUNCTION("""COMPUTED_VALUE"""),46041.0)</f>
        <v>46041</v>
      </c>
      <c r="C737" s="2" t="str">
        <f>IFERROR(__xludf.DUMMYFUNCTION("""COMPUTED_VALUE"""),"MOBILECARE - CAGAYAN DE ORO")</f>
        <v>MOBILECARE - CAGAYAN DE ORO</v>
      </c>
      <c r="D737" s="2" t="str">
        <f>IFERROR(__xludf.DUMMYFUNCTION("""COMPUTED_VALUE"""),"661-36706")</f>
        <v>661-36706</v>
      </c>
      <c r="E737" s="2" t="str">
        <f>IFERROR(__xludf.DUMMYFUNCTION("""COMPUTED_VALUE"""),"Display, iPhone 15")</f>
        <v>Display, iPhone 15</v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0" t="str">
        <f t="shared" si="1"/>
        <v>January</v>
      </c>
      <c r="B738" s="11">
        <f>IFERROR(__xludf.DUMMYFUNCTION("""COMPUTED_VALUE"""),46037.0)</f>
        <v>46037</v>
      </c>
      <c r="C738" s="2" t="str">
        <f>IFERROR(__xludf.DUMMYFUNCTION("""COMPUTED_VALUE"""),"MOBILECARE - CAGAYAN DE ORO")</f>
        <v>MOBILECARE - CAGAYAN DE ORO</v>
      </c>
      <c r="D738" s="2" t="str">
        <f>IFERROR(__xludf.DUMMYFUNCTION("""COMPUTED_VALUE"""),"661-21988")</f>
        <v>661-21988</v>
      </c>
      <c r="E738" s="2" t="str">
        <f>IFERROR(__xludf.DUMMYFUNCTION("""COMPUTED_VALUE"""),"Display, iPhone 13")</f>
        <v>Display, iPhone 13</v>
      </c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0" t="str">
        <f t="shared" si="1"/>
        <v>January</v>
      </c>
      <c r="B739" s="11">
        <f>IFERROR(__xludf.DUMMYFUNCTION("""COMPUTED_VALUE"""),46037.0)</f>
        <v>46037</v>
      </c>
      <c r="C739" s="2" t="str">
        <f>IFERROR(__xludf.DUMMYFUNCTION("""COMPUTED_VALUE"""),"MOBILECARE - CAGAYAN DE ORO")</f>
        <v>MOBILECARE - CAGAYAN DE ORO</v>
      </c>
      <c r="D739" s="2" t="str">
        <f>IFERROR(__xludf.DUMMYFUNCTION("""COMPUTED_VALUE"""),"661-21988")</f>
        <v>661-21988</v>
      </c>
      <c r="E739" s="2" t="str">
        <f>IFERROR(__xludf.DUMMYFUNCTION("""COMPUTED_VALUE"""),"Display, iPhone 13")</f>
        <v>Display, iPhone 13</v>
      </c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0" t="str">
        <f t="shared" si="1"/>
        <v>January</v>
      </c>
      <c r="B740" s="11">
        <f>IFERROR(__xludf.DUMMYFUNCTION("""COMPUTED_VALUE"""),46047.0)</f>
        <v>46047</v>
      </c>
      <c r="C740" s="2" t="str">
        <f>IFERROR(__xludf.DUMMYFUNCTION("""COMPUTED_VALUE"""),"MOBILECARE - CAGAYAN DE ORO")</f>
        <v>MOBILECARE - CAGAYAN DE ORO</v>
      </c>
      <c r="D740" s="2" t="str">
        <f>IFERROR(__xludf.DUMMYFUNCTION("""COMPUTED_VALUE"""),"TA661-36694")</f>
        <v>TA661-36694</v>
      </c>
      <c r="E740" s="2" t="str">
        <f>IFERROR(__xludf.DUMMYFUNCTION("""COMPUTED_VALUE"""),"iPhone 15, Blue, 128GB, Logic Board Assy Mid System, ROW")</f>
        <v>iPhone 15, Blue, 128GB, Logic Board Assy Mid System, ROW</v>
      </c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0" t="str">
        <f t="shared" si="1"/>
        <v>January</v>
      </c>
      <c r="B741" s="11">
        <f>IFERROR(__xludf.DUMMYFUNCTION("""COMPUTED_VALUE"""),46046.0)</f>
        <v>46046</v>
      </c>
      <c r="C741" s="2" t="str">
        <f>IFERROR(__xludf.DUMMYFUNCTION("""COMPUTED_VALUE"""),"MOBILECARE - CAGAYAN DE ORO")</f>
        <v>MOBILECARE - CAGAYAN DE ORO</v>
      </c>
      <c r="D741" s="2" t="str">
        <f>IFERROR(__xludf.DUMMYFUNCTION("""COMPUTED_VALUE"""),"TA661-55211")</f>
        <v>TA661-55211</v>
      </c>
      <c r="E741" s="2" t="str">
        <f>IFERROR(__xludf.DUMMYFUNCTION("""COMPUTED_VALUE"""),"Deep Blue, 512GB, iPhone 17 Pro Max, ROW, CI/AR, Taiwan")</f>
        <v>Deep Blue, 512GB, iPhone 17 Pro Max, ROW, CI/AR, Taiwan</v>
      </c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0" t="str">
        <f t="shared" si="1"/>
        <v>January</v>
      </c>
      <c r="B742" s="11">
        <f>IFERROR(__xludf.DUMMYFUNCTION("""COMPUTED_VALUE"""),46032.0)</f>
        <v>46032</v>
      </c>
      <c r="C742" s="2" t="str">
        <f>IFERROR(__xludf.DUMMYFUNCTION("""COMPUTED_VALUE"""),"MOBILECARE - CAGAYAN DE ORO")</f>
        <v>MOBILECARE - CAGAYAN DE ORO</v>
      </c>
      <c r="D742" s="2" t="str">
        <f>IFERROR(__xludf.DUMMYFUNCTION("""COMPUTED_VALUE"""),"661-42727")</f>
        <v>661-42727</v>
      </c>
      <c r="E742" s="2" t="str">
        <f>IFERROR(__xludf.DUMMYFUNCTION("""COMPUTED_VALUE"""),"TrueDepth Camera, iPhone 16 Pro")</f>
        <v>TrueDepth Camera, iPhone 16 Pro</v>
      </c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0" t="str">
        <f t="shared" si="1"/>
        <v>January</v>
      </c>
      <c r="B743" s="11">
        <f>IFERROR(__xludf.DUMMYFUNCTION("""COMPUTED_VALUE"""),46053.0)</f>
        <v>46053</v>
      </c>
      <c r="C743" s="2" t="str">
        <f>IFERROR(__xludf.DUMMYFUNCTION("""COMPUTED_VALUE"""),"MOBILECARE - CAGAYAN DE ORO")</f>
        <v>MOBILECARE - CAGAYAN DE ORO</v>
      </c>
      <c r="D743" s="2" t="str">
        <f>IFERROR(__xludf.DUMMYFUNCTION("""COMPUTED_VALUE"""),"PP661-28874")</f>
        <v>PP661-28874</v>
      </c>
      <c r="E743" s="2" t="str">
        <f>IFERROR(__xludf.DUMMYFUNCTION("""COMPUTED_VALUE"""),"iPhone 14, Starlight, 256GB, Logic Board Assy Mid System, ROW")</f>
        <v>iPhone 14, Starlight, 256GB, Logic Board Assy Mid System, ROW</v>
      </c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0" t="str">
        <f t="shared" si="1"/>
        <v>January</v>
      </c>
      <c r="B744" s="11">
        <f>IFERROR(__xludf.DUMMYFUNCTION("""COMPUTED_VALUE"""),46031.0)</f>
        <v>46031</v>
      </c>
      <c r="C744" s="2" t="str">
        <f>IFERROR(__xludf.DUMMYFUNCTION("""COMPUTED_VALUE"""),"MOBILECARE - CAGAYAN DE ORO")</f>
        <v>MOBILECARE - CAGAYAN DE ORO</v>
      </c>
      <c r="D744" s="2" t="str">
        <f>IFERROR(__xludf.DUMMYFUNCTION("""COMPUTED_VALUE"""),"661-42843")</f>
        <v>661-42843</v>
      </c>
      <c r="E744" s="2" t="str">
        <f>IFERROR(__xludf.DUMMYFUNCTION("""COMPUTED_VALUE"""),"Display, iPhone 16 Plus")</f>
        <v>Display, iPhone 16 Plus</v>
      </c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0" t="str">
        <f t="shared" si="1"/>
        <v>January</v>
      </c>
      <c r="B745" s="11">
        <f>IFERROR(__xludf.DUMMYFUNCTION("""COMPUTED_VALUE"""),46029.0)</f>
        <v>46029</v>
      </c>
      <c r="C745" s="2" t="str">
        <f>IFERROR(__xludf.DUMMYFUNCTION("""COMPUTED_VALUE"""),"MOBILECARE - CAGAYAN DE ORO")</f>
        <v>MOBILECARE - CAGAYAN DE ORO</v>
      </c>
      <c r="D745" s="2" t="str">
        <f>IFERROR(__xludf.DUMMYFUNCTION("""COMPUTED_VALUE"""),"661-42727")</f>
        <v>661-42727</v>
      </c>
      <c r="E745" s="2" t="str">
        <f>IFERROR(__xludf.DUMMYFUNCTION("""COMPUTED_VALUE"""),"TrueDepth Camera, iPhone 16 Pro")</f>
        <v>TrueDepth Camera, iPhone 16 Pro</v>
      </c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0" t="str">
        <f t="shared" si="1"/>
        <v>January</v>
      </c>
      <c r="B746" s="11">
        <f>IFERROR(__xludf.DUMMYFUNCTION("""COMPUTED_VALUE"""),46046.0)</f>
        <v>46046</v>
      </c>
      <c r="C746" s="2" t="str">
        <f>IFERROR(__xludf.DUMMYFUNCTION("""COMPUTED_VALUE"""),"MOBILECARE - CAGAYAN DE ORO")</f>
        <v>MOBILECARE - CAGAYAN DE ORO</v>
      </c>
      <c r="D746" s="2" t="str">
        <f>IFERROR(__xludf.DUMMYFUNCTION("""COMPUTED_VALUE"""),"TA661-45325")</f>
        <v>TA661-45325</v>
      </c>
      <c r="E746" s="2" t="str">
        <f>IFERROR(__xludf.DUMMYFUNCTION("""COMPUTED_VALUE"""),"512GB, Black Titanium, ROW, iPhone 16 Pro Max, Logic Board Assy Mid Syst")</f>
        <v>512GB, Black Titanium, ROW, iPhone 16 Pro Max, Logic Board Assy Mid Syst</v>
      </c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0" t="str">
        <f t="shared" si="1"/>
        <v>January</v>
      </c>
      <c r="B747" s="11">
        <f>IFERROR(__xludf.DUMMYFUNCTION("""COMPUTED_VALUE"""),46032.0)</f>
        <v>46032</v>
      </c>
      <c r="C747" s="2" t="str">
        <f>IFERROR(__xludf.DUMMYFUNCTION("""COMPUTED_VALUE"""),"MOBILECARE - CAGAYAN DE ORO")</f>
        <v>MOBILECARE - CAGAYAN DE ORO</v>
      </c>
      <c r="D747" s="2" t="str">
        <f>IFERROR(__xludf.DUMMYFUNCTION("""COMPUTED_VALUE"""),"661-36706")</f>
        <v>661-36706</v>
      </c>
      <c r="E747" s="2" t="str">
        <f>IFERROR(__xludf.DUMMYFUNCTION("""COMPUTED_VALUE"""),"Display, iPhone 15")</f>
        <v>Display, iPhone 15</v>
      </c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0" t="str">
        <f t="shared" si="1"/>
        <v>January</v>
      </c>
      <c r="B748" s="11">
        <f>IFERROR(__xludf.DUMMYFUNCTION("""COMPUTED_VALUE"""),46035.0)</f>
        <v>46035</v>
      </c>
      <c r="C748" s="2" t="str">
        <f>IFERROR(__xludf.DUMMYFUNCTION("""COMPUTED_VALUE"""),"MOBILECARE - CAGAYAN DE ORO")</f>
        <v>MOBILECARE - CAGAYAN DE ORO</v>
      </c>
      <c r="D748" s="2" t="str">
        <f>IFERROR(__xludf.DUMMYFUNCTION("""COMPUTED_VALUE"""),"661-36915")</f>
        <v>661-36915</v>
      </c>
      <c r="E748" s="2" t="str">
        <f>IFERROR(__xludf.DUMMYFUNCTION("""COMPUTED_VALUE"""),"Display, iPhone 15 Pro Max")</f>
        <v>Display, iPhone 15 Pro Max</v>
      </c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0" t="str">
        <f t="shared" si="1"/>
        <v>January</v>
      </c>
      <c r="B749" s="11">
        <f>IFERROR(__xludf.DUMMYFUNCTION("""COMPUTED_VALUE"""),46045.0)</f>
        <v>46045</v>
      </c>
      <c r="C749" s="2" t="str">
        <f>IFERROR(__xludf.DUMMYFUNCTION("""COMPUTED_VALUE"""),"MOBILECARE - CAGAYAN DE ORO")</f>
        <v>MOBILECARE - CAGAYAN DE ORO</v>
      </c>
      <c r="D749" s="2" t="str">
        <f>IFERROR(__xludf.DUMMYFUNCTION("""COMPUTED_VALUE"""),"TA661-36692")</f>
        <v>TA661-36692</v>
      </c>
      <c r="E749" s="2" t="str">
        <f>IFERROR(__xludf.DUMMYFUNCTION("""COMPUTED_VALUE"""),"iPhone 15, Pink, 128GB, Logic Board Assy Mid System, ROW")</f>
        <v>iPhone 15, Pink, 128GB, Logic Board Assy Mid System, ROW</v>
      </c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0" t="str">
        <f t="shared" si="1"/>
        <v>January</v>
      </c>
      <c r="B750" s="11">
        <f>IFERROR(__xludf.DUMMYFUNCTION("""COMPUTED_VALUE"""),46026.0)</f>
        <v>46026</v>
      </c>
      <c r="C750" s="2" t="str">
        <f>IFERROR(__xludf.DUMMYFUNCTION("""COMPUTED_VALUE"""),"MOBILECARE - CAGAYAN DE ORO")</f>
        <v>MOBILECARE - CAGAYAN DE ORO</v>
      </c>
      <c r="D750" s="2" t="str">
        <f>IFERROR(__xludf.DUMMYFUNCTION("""COMPUTED_VALUE"""),"661-36706")</f>
        <v>661-36706</v>
      </c>
      <c r="E750" s="2" t="str">
        <f>IFERROR(__xludf.DUMMYFUNCTION("""COMPUTED_VALUE"""),"Display, iPhone 15")</f>
        <v>Display, iPhone 15</v>
      </c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0" t="str">
        <f t="shared" si="1"/>
        <v>January</v>
      </c>
      <c r="B751" s="11">
        <f>IFERROR(__xludf.DUMMYFUNCTION("""COMPUTED_VALUE"""),46039.0)</f>
        <v>46039</v>
      </c>
      <c r="C751" s="2" t="str">
        <f>IFERROR(__xludf.DUMMYFUNCTION("""COMPUTED_VALUE"""),"MOBILECARE - CAGAYAN DE ORO")</f>
        <v>MOBILECARE - CAGAYAN DE ORO</v>
      </c>
      <c r="D751" s="2" t="str">
        <f>IFERROR(__xludf.DUMMYFUNCTION("""COMPUTED_VALUE"""),"TA661-36695")</f>
        <v>TA661-36695</v>
      </c>
      <c r="E751" s="2" t="str">
        <f>IFERROR(__xludf.DUMMYFUNCTION("""COMPUTED_VALUE"""),"iPhone 15, Green, 128GB, Logic Board Assy Mid System, ROW")</f>
        <v>iPhone 15, Green, 128GB, Logic Board Assy Mid System, ROW</v>
      </c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0" t="str">
        <f t="shared" si="1"/>
        <v>January</v>
      </c>
      <c r="B752" s="11">
        <f>IFERROR(__xludf.DUMMYFUNCTION("""COMPUTED_VALUE"""),46038.0)</f>
        <v>46038</v>
      </c>
      <c r="C752" s="2" t="str">
        <f>IFERROR(__xludf.DUMMYFUNCTION("""COMPUTED_VALUE"""),"MOBILECARE - CAGAYAN DE ORO")</f>
        <v>MOBILECARE - CAGAYAN DE ORO</v>
      </c>
      <c r="D752" s="2" t="str">
        <f>IFERROR(__xludf.DUMMYFUNCTION("""COMPUTED_VALUE"""),"TA661-45323")</f>
        <v>TA661-45323</v>
      </c>
      <c r="E752" s="2" t="str">
        <f>IFERROR(__xludf.DUMMYFUNCTION("""COMPUTED_VALUE"""),"256GB, Desert Titanium, ROW, iPhone 16 Pro Max, Logic Board Assy Mid Sys")</f>
        <v>256GB, Desert Titanium, ROW, iPhone 16 Pro Max, Logic Board Assy Mid Sys</v>
      </c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0" t="str">
        <f t="shared" si="1"/>
        <v>January</v>
      </c>
      <c r="B753" s="11">
        <f>IFERROR(__xludf.DUMMYFUNCTION("""COMPUTED_VALUE"""),46025.0)</f>
        <v>46025</v>
      </c>
      <c r="C753" s="2" t="str">
        <f>IFERROR(__xludf.DUMMYFUNCTION("""COMPUTED_VALUE"""),"MOBILECARE - CAGAYAN DE ORO")</f>
        <v>MOBILECARE - CAGAYAN DE ORO</v>
      </c>
      <c r="D753" s="2" t="str">
        <f>IFERROR(__xludf.DUMMYFUNCTION("""COMPUTED_VALUE"""),"661-56125")</f>
        <v>661-56125</v>
      </c>
      <c r="E753" s="2" t="str">
        <f>IFERROR(__xludf.DUMMYFUNCTION("""COMPUTED_VALUE"""),"Display, iPhone 17 Pro")</f>
        <v>Display, iPhone 17 Pro</v>
      </c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0" t="str">
        <f t="shared" si="1"/>
        <v>January</v>
      </c>
      <c r="B754" s="11">
        <f>IFERROR(__xludf.DUMMYFUNCTION("""COMPUTED_VALUE"""),46032.0)</f>
        <v>46032</v>
      </c>
      <c r="C754" s="2" t="str">
        <f>IFERROR(__xludf.DUMMYFUNCTION("""COMPUTED_VALUE"""),"MOBILECARE - CAGAYAN DE ORO")</f>
        <v>MOBILECARE - CAGAYAN DE ORO</v>
      </c>
      <c r="D754" s="2" t="str">
        <f>IFERROR(__xludf.DUMMYFUNCTION("""COMPUTED_VALUE"""),"TA661-45000")</f>
        <v>TA661-45000</v>
      </c>
      <c r="E754" s="2" t="str">
        <f>IFERROR(__xludf.DUMMYFUNCTION("""COMPUTED_VALUE"""),"256GB, White Titanium, ROW, iPhone 16 Pro, Logic Board Assy Mid System")</f>
        <v>256GB, White Titanium, ROW, iPhone 16 Pro, Logic Board Assy Mid System</v>
      </c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0" t="str">
        <f t="shared" si="1"/>
        <v>January</v>
      </c>
      <c r="B755" s="11">
        <f>IFERROR(__xludf.DUMMYFUNCTION("""COMPUTED_VALUE"""),46029.0)</f>
        <v>46029</v>
      </c>
      <c r="C755" s="2" t="str">
        <f>IFERROR(__xludf.DUMMYFUNCTION("""COMPUTED_VALUE"""),"MOBILECARE - CAGAYAN DE ORO")</f>
        <v>MOBILECARE - CAGAYAN DE ORO</v>
      </c>
      <c r="D755" s="2" t="str">
        <f>IFERROR(__xludf.DUMMYFUNCTION("""COMPUTED_VALUE"""),"PP661-23455")</f>
        <v>PP661-23455</v>
      </c>
      <c r="E755" s="2" t="str">
        <f>IFERROR(__xludf.DUMMYFUNCTION("""COMPUTED_VALUE"""),"iPhone 13, Starlight, 128GB, Logic Board Assy Rear System, ROW")</f>
        <v>iPhone 13, Starlight, 128GB, Logic Board Assy Rear System, ROW</v>
      </c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0" t="str">
        <f t="shared" si="1"/>
        <v>January</v>
      </c>
      <c r="B756" s="11">
        <f>IFERROR(__xludf.DUMMYFUNCTION("""COMPUTED_VALUE"""),46026.0)</f>
        <v>46026</v>
      </c>
      <c r="C756" s="2" t="str">
        <f>IFERROR(__xludf.DUMMYFUNCTION("""COMPUTED_VALUE"""),"MOBILECARE - CAGAYAN DE ORO")</f>
        <v>MOBILECARE - CAGAYAN DE ORO</v>
      </c>
      <c r="D756" s="2" t="str">
        <f>IFERROR(__xludf.DUMMYFUNCTION("""COMPUTED_VALUE"""),"PP661-23455")</f>
        <v>PP661-23455</v>
      </c>
      <c r="E756" s="2" t="str">
        <f>IFERROR(__xludf.DUMMYFUNCTION("""COMPUTED_VALUE"""),"iPhone 13, Starlight, 128GB, Logic Board Assy Rear System, ROW")</f>
        <v>iPhone 13, Starlight, 128GB, Logic Board Assy Rear System, ROW</v>
      </c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0" t="str">
        <f t="shared" si="1"/>
        <v>June</v>
      </c>
      <c r="B757" s="11">
        <f>IFERROR(__xludf.DUMMYFUNCTION("""COMPUTED_VALUE"""),46184.0)</f>
        <v>46184</v>
      </c>
      <c r="C757" s="2" t="str">
        <f>IFERROR(__xludf.DUMMYFUNCTION("""COMPUTED_VALUE"""),"MOBILECARE - VERTIS NORTH")</f>
        <v>MOBILECARE - VERTIS NORTH</v>
      </c>
      <c r="D757" s="2" t="str">
        <f>IFERROR(__xludf.DUMMYFUNCTION("""COMPUTED_VALUE"""),"661-37207")</f>
        <v>661-37207</v>
      </c>
      <c r="E757" s="2" t="str">
        <f>IFERROR(__xludf.DUMMYFUNCTION("""COMPUTED_VALUE"""),"Battery, iPhone 15 Plus")</f>
        <v>Battery, iPhone 15 Plus</v>
      </c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0" t="str">
        <f t="shared" si="1"/>
        <v>June</v>
      </c>
      <c r="B758" s="11">
        <f>IFERROR(__xludf.DUMMYFUNCTION("""COMPUTED_VALUE"""),46180.0)</f>
        <v>46180</v>
      </c>
      <c r="C758" s="2" t="str">
        <f>IFERROR(__xludf.DUMMYFUNCTION("""COMPUTED_VALUE"""),"MOBILECARE - VERTIS NORTH")</f>
        <v>MOBILECARE - VERTIS NORTH</v>
      </c>
      <c r="D758" s="2" t="str">
        <f>IFERROR(__xludf.DUMMYFUNCTION("""COMPUTED_VALUE"""),"661-44799")</f>
        <v>661-44799</v>
      </c>
      <c r="E758" s="2" t="str">
        <f>IFERROR(__xludf.DUMMYFUNCTION("""COMPUTED_VALUE"""),"Camera, iPhone 16")</f>
        <v>Camera, iPhone 16</v>
      </c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0" t="str">
        <f t="shared" si="1"/>
        <v>May</v>
      </c>
      <c r="B759" s="11">
        <f>IFERROR(__xludf.DUMMYFUNCTION("""COMPUTED_VALUE"""),46173.0)</f>
        <v>46173</v>
      </c>
      <c r="C759" s="2" t="str">
        <f>IFERROR(__xludf.DUMMYFUNCTION("""COMPUTED_VALUE"""),"MOBILECARE - VERTIS NORTH")</f>
        <v>MOBILECARE - VERTIS NORTH</v>
      </c>
      <c r="D759" s="2" t="str">
        <f>IFERROR(__xludf.DUMMYFUNCTION("""COMPUTED_VALUE"""),"661-36918")</f>
        <v>661-36918</v>
      </c>
      <c r="E759" s="2" t="str">
        <f>IFERROR(__xludf.DUMMYFUNCTION("""COMPUTED_VALUE"""),"Battery, iPhone 15 Pro Max")</f>
        <v>Battery, iPhone 15 Pro Max</v>
      </c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0" t="str">
        <f t="shared" si="1"/>
        <v>May</v>
      </c>
      <c r="B760" s="11">
        <f>IFERROR(__xludf.DUMMYFUNCTION("""COMPUTED_VALUE"""),46161.0)</f>
        <v>46161</v>
      </c>
      <c r="C760" s="2" t="str">
        <f>IFERROR(__xludf.DUMMYFUNCTION("""COMPUTED_VALUE"""),"MOBILECARE - VERTIS NORTH")</f>
        <v>MOBILECARE - VERTIS NORTH</v>
      </c>
      <c r="D760" s="2" t="str">
        <f>IFERROR(__xludf.DUMMYFUNCTION("""COMPUTED_VALUE"""),"661-21991")</f>
        <v>661-21991</v>
      </c>
      <c r="E760" s="2" t="str">
        <f>IFERROR(__xludf.DUMMYFUNCTION("""COMPUTED_VALUE"""),"Battery, iPhone 13")</f>
        <v>Battery, iPhone 13</v>
      </c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0" t="str">
        <f t="shared" si="1"/>
        <v>May</v>
      </c>
      <c r="B761" s="11">
        <f>IFERROR(__xludf.DUMMYFUNCTION("""COMPUTED_VALUE"""),46154.0)</f>
        <v>46154</v>
      </c>
      <c r="C761" s="2" t="str">
        <f>IFERROR(__xludf.DUMMYFUNCTION("""COMPUTED_VALUE"""),"MOBILECARE - VERTIS NORTH")</f>
        <v>MOBILECARE - VERTIS NORTH</v>
      </c>
      <c r="D761" s="2" t="str">
        <f>IFERROR(__xludf.DUMMYFUNCTION("""COMPUTED_VALUE"""),"661-21988")</f>
        <v>661-21988</v>
      </c>
      <c r="E761" s="2" t="str">
        <f>IFERROR(__xludf.DUMMYFUNCTION("""COMPUTED_VALUE"""),"Display, iPhone 13")</f>
        <v>Display, iPhone 13</v>
      </c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0" t="str">
        <f t="shared" si="1"/>
        <v>May</v>
      </c>
      <c r="B762" s="11">
        <f>IFERROR(__xludf.DUMMYFUNCTION("""COMPUTED_VALUE"""),46154.0)</f>
        <v>46154</v>
      </c>
      <c r="C762" s="2" t="str">
        <f>IFERROR(__xludf.DUMMYFUNCTION("""COMPUTED_VALUE"""),"MOBILECARE - VERTIS NORTH")</f>
        <v>MOBILECARE - VERTIS NORTH</v>
      </c>
      <c r="D762" s="2" t="str">
        <f>IFERROR(__xludf.DUMMYFUNCTION("""COMPUTED_VALUE"""),"661-37216")</f>
        <v>661-37216</v>
      </c>
      <c r="E762" s="2" t="str">
        <f>IFERROR(__xludf.DUMMYFUNCTION("""COMPUTED_VALUE"""),"Camera , iPhone 15 Plus")</f>
        <v>Camera , iPhone 15 Plus</v>
      </c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0" t="str">
        <f t="shared" si="1"/>
        <v>May</v>
      </c>
      <c r="B763" s="11">
        <f>IFERROR(__xludf.DUMMYFUNCTION("""COMPUTED_VALUE"""),46143.0)</f>
        <v>46143</v>
      </c>
      <c r="C763" s="2" t="str">
        <f>IFERROR(__xludf.DUMMYFUNCTION("""COMPUTED_VALUE"""),"MOBILECARE - VERTIS NORTH")</f>
        <v>MOBILECARE - VERTIS NORTH</v>
      </c>
      <c r="D763" s="2" t="str">
        <f>IFERROR(__xludf.DUMMYFUNCTION("""COMPUTED_VALUE"""),"661-22294")</f>
        <v>661-22294</v>
      </c>
      <c r="E763" s="2" t="str">
        <f>IFERROR(__xludf.DUMMYFUNCTION("""COMPUTED_VALUE"""),"Battery, iPhone 13 Pro Max")</f>
        <v>Battery, iPhone 13 Pro Max</v>
      </c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0" t="str">
        <f t="shared" si="1"/>
        <v>May</v>
      </c>
      <c r="B764" s="11">
        <f>IFERROR(__xludf.DUMMYFUNCTION("""COMPUTED_VALUE"""),46152.0)</f>
        <v>46152</v>
      </c>
      <c r="C764" s="2" t="str">
        <f>IFERROR(__xludf.DUMMYFUNCTION("""COMPUTED_VALUE"""),"MOBILECARE - VERTIS NORTH")</f>
        <v>MOBILECARE - VERTIS NORTH</v>
      </c>
      <c r="D764" s="2" t="str">
        <f>IFERROR(__xludf.DUMMYFUNCTION("""COMPUTED_VALUE"""),"661-30401")</f>
        <v>661-30401</v>
      </c>
      <c r="E764" s="2" t="str">
        <f>IFERROR(__xludf.DUMMYFUNCTION("""COMPUTED_VALUE"""),"Display, iPhone 14 Pro Max")</f>
        <v>Display, iPhone 14 Pro Max</v>
      </c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0" t="str">
        <f t="shared" si="1"/>
        <v>May</v>
      </c>
      <c r="B765" s="11">
        <f>IFERROR(__xludf.DUMMYFUNCTION("""COMPUTED_VALUE"""),46152.0)</f>
        <v>46152</v>
      </c>
      <c r="C765" s="2" t="str">
        <f>IFERROR(__xludf.DUMMYFUNCTION("""COMPUTED_VALUE"""),"MOBILECARE - VERTIS NORTH")</f>
        <v>MOBILECARE - VERTIS NORTH</v>
      </c>
      <c r="D765" s="2" t="str">
        <f>IFERROR(__xludf.DUMMYFUNCTION("""COMPUTED_VALUE"""),"661-30397")</f>
        <v>661-30397</v>
      </c>
      <c r="E765" s="2" t="str">
        <f>IFERROR(__xludf.DUMMYFUNCTION("""COMPUTED_VALUE"""),"Battery, iPhone 14 Pro Max")</f>
        <v>Battery, iPhone 14 Pro Max</v>
      </c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0" t="str">
        <f t="shared" si="1"/>
        <v>April</v>
      </c>
      <c r="B766" s="11">
        <f>IFERROR(__xludf.DUMMYFUNCTION("""COMPUTED_VALUE"""),46139.0)</f>
        <v>46139</v>
      </c>
      <c r="C766" s="2" t="str">
        <f>IFERROR(__xludf.DUMMYFUNCTION("""COMPUTED_VALUE"""),"MOBILECARE - VERTIS NORTH")</f>
        <v>MOBILECARE - VERTIS NORTH</v>
      </c>
      <c r="D766" s="2" t="str">
        <f>IFERROR(__xludf.DUMMYFUNCTION("""COMPUTED_VALUE"""),"661-35694")</f>
        <v>661-35694</v>
      </c>
      <c r="E766" s="2" t="str">
        <f>IFERROR(__xludf.DUMMYFUNCTION("""COMPUTED_VALUE"""),"Battery, iPhone 15 Pro")</f>
        <v>Battery, iPhone 15 Pro</v>
      </c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0" t="str">
        <f t="shared" si="1"/>
        <v>April</v>
      </c>
      <c r="B767" s="11">
        <f>IFERROR(__xludf.DUMMYFUNCTION("""COMPUTED_VALUE"""),46135.0)</f>
        <v>46135</v>
      </c>
      <c r="C767" s="2" t="str">
        <f>IFERROR(__xludf.DUMMYFUNCTION("""COMPUTED_VALUE"""),"MOBILECARE - VERTIS NORTH")</f>
        <v>MOBILECARE - VERTIS NORTH</v>
      </c>
      <c r="D767" s="2" t="str">
        <f>IFERROR(__xludf.DUMMYFUNCTION("""COMPUTED_VALUE"""),"661-21991")</f>
        <v>661-21991</v>
      </c>
      <c r="E767" s="2" t="str">
        <f>IFERROR(__xludf.DUMMYFUNCTION("""COMPUTED_VALUE"""),"Battery, iPhone 13")</f>
        <v>Battery, iPhone 13</v>
      </c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0" t="str">
        <f t="shared" si="1"/>
        <v>April</v>
      </c>
      <c r="B768" s="11">
        <f>IFERROR(__xludf.DUMMYFUNCTION("""COMPUTED_VALUE"""),46134.0)</f>
        <v>46134</v>
      </c>
      <c r="C768" s="2" t="str">
        <f>IFERROR(__xludf.DUMMYFUNCTION("""COMPUTED_VALUE"""),"MOBILECARE - VERTIS NORTH")</f>
        <v>MOBILECARE - VERTIS NORTH</v>
      </c>
      <c r="D768" s="2" t="str">
        <f>IFERROR(__xludf.DUMMYFUNCTION("""COMPUTED_VALUE"""),"661-44955")</f>
        <v>661-44955</v>
      </c>
      <c r="E768" s="2" t="str">
        <f>IFERROR(__xludf.DUMMYFUNCTION("""COMPUTED_VALUE"""),"Display, iPhone 16 Pro Max")</f>
        <v>Display, iPhone 16 Pro Max</v>
      </c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0" t="str">
        <f t="shared" si="1"/>
        <v>April</v>
      </c>
      <c r="B769" s="11">
        <f>IFERROR(__xludf.DUMMYFUNCTION("""COMPUTED_VALUE"""),46137.0)</f>
        <v>46137</v>
      </c>
      <c r="C769" s="2" t="str">
        <f>IFERROR(__xludf.DUMMYFUNCTION("""COMPUTED_VALUE"""),"MOBILECARE - VERTIS NORTH")</f>
        <v>MOBILECARE - VERTIS NORTH</v>
      </c>
      <c r="D769" s="2" t="str">
        <f>IFERROR(__xludf.DUMMYFUNCTION("""COMPUTED_VALUE"""),"661-21991")</f>
        <v>661-21991</v>
      </c>
      <c r="E769" s="2" t="str">
        <f>IFERROR(__xludf.DUMMYFUNCTION("""COMPUTED_VALUE"""),"Battery, iPhone 13")</f>
        <v>Battery, iPhone 13</v>
      </c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0" t="str">
        <f t="shared" si="1"/>
        <v>June</v>
      </c>
      <c r="B770" s="11">
        <f>IFERROR(__xludf.DUMMYFUNCTION("""COMPUTED_VALUE"""),46180.0)</f>
        <v>46180</v>
      </c>
      <c r="C770" s="2" t="str">
        <f>IFERROR(__xludf.DUMMYFUNCTION("""COMPUTED_VALUE"""),"MOBILECARE - VERTIS NORTH")</f>
        <v>MOBILECARE - VERTIS NORTH</v>
      </c>
      <c r="D770" s="2" t="str">
        <f>IFERROR(__xludf.DUMMYFUNCTION("""COMPUTED_VALUE"""),"661-18428")</f>
        <v>661-18428</v>
      </c>
      <c r="E770" s="2" t="str">
        <f>IFERROR(__xludf.DUMMYFUNCTION("""COMPUTED_VALUE"""),"Battery, iPhone 12 Pro Max")</f>
        <v>Battery, iPhone 12 Pro Max</v>
      </c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0" t="str">
        <f t="shared" si="1"/>
        <v>June</v>
      </c>
      <c r="B771" s="11">
        <f>IFERROR(__xludf.DUMMYFUNCTION("""COMPUTED_VALUE"""),46180.0)</f>
        <v>46180</v>
      </c>
      <c r="C771" s="2" t="str">
        <f>IFERROR(__xludf.DUMMYFUNCTION("""COMPUTED_VALUE"""),"MOBILECARE - VERTIS NORTH")</f>
        <v>MOBILECARE - VERTIS NORTH</v>
      </c>
      <c r="D771" s="2" t="str">
        <f>IFERROR(__xludf.DUMMYFUNCTION("""COMPUTED_VALUE"""),"661-18466")</f>
        <v>661-18466</v>
      </c>
      <c r="E771" s="2" t="str">
        <f>IFERROR(__xludf.DUMMYFUNCTION("""COMPUTED_VALUE"""),"Display, iPhone 12 Pro Max")</f>
        <v>Display, iPhone 12 Pro Max</v>
      </c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0" t="str">
        <f t="shared" si="1"/>
        <v>April</v>
      </c>
      <c r="B772" s="11">
        <f>IFERROR(__xludf.DUMMYFUNCTION("""COMPUTED_VALUE"""),46121.0)</f>
        <v>46121</v>
      </c>
      <c r="C772" s="2" t="str">
        <f>IFERROR(__xludf.DUMMYFUNCTION("""COMPUTED_VALUE"""),"MOBILECARE - VERTIS NORTH")</f>
        <v>MOBILECARE - VERTIS NORTH</v>
      </c>
      <c r="D772" s="2" t="str">
        <f>IFERROR(__xludf.DUMMYFUNCTION("""COMPUTED_VALUE"""),"661-22294")</f>
        <v>661-22294</v>
      </c>
      <c r="E772" s="2" t="str">
        <f>IFERROR(__xludf.DUMMYFUNCTION("""COMPUTED_VALUE"""),"Battery, iPhone 13 Pro Max")</f>
        <v>Battery, iPhone 13 Pro Max</v>
      </c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0" t="str">
        <f t="shared" si="1"/>
        <v>April</v>
      </c>
      <c r="B773" s="11">
        <f>IFERROR(__xludf.DUMMYFUNCTION("""COMPUTED_VALUE"""),46119.0)</f>
        <v>46119</v>
      </c>
      <c r="C773" s="2" t="str">
        <f>IFERROR(__xludf.DUMMYFUNCTION("""COMPUTED_VALUE"""),"MOBILECARE - VERTIS NORTH")</f>
        <v>MOBILECARE - VERTIS NORTH</v>
      </c>
      <c r="D773" s="2" t="str">
        <f>IFERROR(__xludf.DUMMYFUNCTION("""COMPUTED_VALUE"""),"661-21991")</f>
        <v>661-21991</v>
      </c>
      <c r="E773" s="2" t="str">
        <f>IFERROR(__xludf.DUMMYFUNCTION("""COMPUTED_VALUE"""),"Battery, iPhone 13")</f>
        <v>Battery, iPhone 13</v>
      </c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0" t="str">
        <f t="shared" si="1"/>
        <v>April</v>
      </c>
      <c r="B774" s="11">
        <f>IFERROR(__xludf.DUMMYFUNCTION("""COMPUTED_VALUE"""),46120.0)</f>
        <v>46120</v>
      </c>
      <c r="C774" s="2" t="str">
        <f>IFERROR(__xludf.DUMMYFUNCTION("""COMPUTED_VALUE"""),"MOBILECARE - VERTIS NORTH")</f>
        <v>MOBILECARE - VERTIS NORTH</v>
      </c>
      <c r="D774" s="2" t="str">
        <f>IFERROR(__xludf.DUMMYFUNCTION("""COMPUTED_VALUE"""),"661-21991")</f>
        <v>661-21991</v>
      </c>
      <c r="E774" s="2" t="str">
        <f>IFERROR(__xludf.DUMMYFUNCTION("""COMPUTED_VALUE"""),"Battery, iPhone 13")</f>
        <v>Battery, iPhone 13</v>
      </c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0" t="str">
        <f t="shared" si="1"/>
        <v>March</v>
      </c>
      <c r="B775" s="11">
        <f>IFERROR(__xludf.DUMMYFUNCTION("""COMPUTED_VALUE"""),46100.0)</f>
        <v>46100</v>
      </c>
      <c r="C775" s="2" t="str">
        <f>IFERROR(__xludf.DUMMYFUNCTION("""COMPUTED_VALUE"""),"MOBILECARE - VERTIS NORTH")</f>
        <v>MOBILECARE - VERTIS NORTH</v>
      </c>
      <c r="D775" s="2" t="str">
        <f>IFERROR(__xludf.DUMMYFUNCTION("""COMPUTED_VALUE"""),"661-21991")</f>
        <v>661-21991</v>
      </c>
      <c r="E775" s="2" t="str">
        <f>IFERROR(__xludf.DUMMYFUNCTION("""COMPUTED_VALUE"""),"Battery, iPhone 13")</f>
        <v>Battery, iPhone 13</v>
      </c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0" t="str">
        <f t="shared" si="1"/>
        <v>January</v>
      </c>
      <c r="B776" s="11">
        <f>IFERROR(__xludf.DUMMYFUNCTION("""COMPUTED_VALUE"""),46038.0)</f>
        <v>46038</v>
      </c>
      <c r="C776" s="2" t="str">
        <f>IFERROR(__xludf.DUMMYFUNCTION("""COMPUTED_VALUE"""),"MOBILECARE - VERTIS NORTH")</f>
        <v>MOBILECARE - VERTIS NORTH</v>
      </c>
      <c r="D776" s="2" t="str">
        <f>IFERROR(__xludf.DUMMYFUNCTION("""COMPUTED_VALUE"""),"661-13574")</f>
        <v>661-13574</v>
      </c>
      <c r="E776" s="2" t="str">
        <f>IFERROR(__xludf.DUMMYFUNCTION("""COMPUTED_VALUE"""),"Battery, iPhone 11")</f>
        <v>Battery, iPhone 11</v>
      </c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0" t="str">
        <f t="shared" si="1"/>
        <v>January</v>
      </c>
      <c r="B777" s="11">
        <f>IFERROR(__xludf.DUMMYFUNCTION("""COMPUTED_VALUE"""),46040.0)</f>
        <v>46040</v>
      </c>
      <c r="C777" s="2" t="str">
        <f>IFERROR(__xludf.DUMMYFUNCTION("""COMPUTED_VALUE"""),"MOBILECARE - VERTIS NORTH")</f>
        <v>MOBILECARE - VERTIS NORTH</v>
      </c>
      <c r="D777" s="2" t="str">
        <f>IFERROR(__xludf.DUMMYFUNCTION("""COMPUTED_VALUE"""),"661-21991")</f>
        <v>661-21991</v>
      </c>
      <c r="E777" s="2" t="str">
        <f>IFERROR(__xludf.DUMMYFUNCTION("""COMPUTED_VALUE"""),"Battery, iPhone 13")</f>
        <v>Battery, iPhone 13</v>
      </c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0" t="str">
        <f t="shared" si="1"/>
        <v>January</v>
      </c>
      <c r="B778" s="11">
        <f>IFERROR(__xludf.DUMMYFUNCTION("""COMPUTED_VALUE"""),46036.0)</f>
        <v>46036</v>
      </c>
      <c r="C778" s="2" t="str">
        <f>IFERROR(__xludf.DUMMYFUNCTION("""COMPUTED_VALUE"""),"MOBILECARE - VERTIS NORTH")</f>
        <v>MOBILECARE - VERTIS NORTH</v>
      </c>
      <c r="D778" s="2" t="str">
        <f>IFERROR(__xludf.DUMMYFUNCTION("""COMPUTED_VALUE"""),"661-44955")</f>
        <v>661-44955</v>
      </c>
      <c r="E778" s="2" t="str">
        <f>IFERROR(__xludf.DUMMYFUNCTION("""COMPUTED_VALUE"""),"Display, iPhone 16 Pro Max")</f>
        <v>Display, iPhone 16 Pro Max</v>
      </c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0" t="str">
        <f t="shared" si="1"/>
        <v>January</v>
      </c>
      <c r="B779" s="11">
        <f>IFERROR(__xludf.DUMMYFUNCTION("""COMPUTED_VALUE"""),46038.0)</f>
        <v>46038</v>
      </c>
      <c r="C779" s="2" t="str">
        <f>IFERROR(__xludf.DUMMYFUNCTION("""COMPUTED_VALUE"""),"MOBILECARE - VERTIS NORTH")</f>
        <v>MOBILECARE - VERTIS NORTH</v>
      </c>
      <c r="D779" s="2" t="str">
        <f>IFERROR(__xludf.DUMMYFUNCTION("""COMPUTED_VALUE"""),"661-37213")</f>
        <v>661-37213</v>
      </c>
      <c r="E779" s="2" t="str">
        <f>IFERROR(__xludf.DUMMYFUNCTION("""COMPUTED_VALUE"""),"Display, iPhone 15 Plus")</f>
        <v>Display, iPhone 15 Plus</v>
      </c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0" t="str">
        <f t="shared" si="1"/>
        <v>January</v>
      </c>
      <c r="B780" s="11">
        <f>IFERROR(__xludf.DUMMYFUNCTION("""COMPUTED_VALUE"""),46038.0)</f>
        <v>46038</v>
      </c>
      <c r="C780" s="2" t="str">
        <f>IFERROR(__xludf.DUMMYFUNCTION("""COMPUTED_VALUE"""),"MOBILECARE - VERTIS NORTH")</f>
        <v>MOBILECARE - VERTIS NORTH</v>
      </c>
      <c r="D780" s="2" t="str">
        <f>IFERROR(__xludf.DUMMYFUNCTION("""COMPUTED_VALUE"""),"661-37213")</f>
        <v>661-37213</v>
      </c>
      <c r="E780" s="2" t="str">
        <f>IFERROR(__xludf.DUMMYFUNCTION("""COMPUTED_VALUE"""),"Display, iPhone 15 Plus")</f>
        <v>Display, iPhone 15 Plus</v>
      </c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0" t="str">
        <f t="shared" si="1"/>
        <v>January</v>
      </c>
      <c r="B781" s="11">
        <f>IFERROR(__xludf.DUMMYFUNCTION("""COMPUTED_VALUE"""),46034.0)</f>
        <v>46034</v>
      </c>
      <c r="C781" s="2" t="str">
        <f>IFERROR(__xludf.DUMMYFUNCTION("""COMPUTED_VALUE"""),"MOBILECARE - VERTIS NORTH")</f>
        <v>MOBILECARE - VERTIS NORTH</v>
      </c>
      <c r="D781" s="2" t="str">
        <f>IFERROR(__xludf.DUMMYFUNCTION("""COMPUTED_VALUE"""),"661-21988")</f>
        <v>661-21988</v>
      </c>
      <c r="E781" s="2" t="str">
        <f>IFERROR(__xludf.DUMMYFUNCTION("""COMPUTED_VALUE"""),"Display, iPhone 13")</f>
        <v>Display, iPhone 13</v>
      </c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0" t="str">
        <f t="shared" si="1"/>
        <v>January</v>
      </c>
      <c r="B782" s="11">
        <f>IFERROR(__xludf.DUMMYFUNCTION("""COMPUTED_VALUE"""),46032.0)</f>
        <v>46032</v>
      </c>
      <c r="C782" s="2" t="str">
        <f>IFERROR(__xludf.DUMMYFUNCTION("""COMPUTED_VALUE"""),"MOBILECARE - VERTIS NORTH")</f>
        <v>MOBILECARE - VERTIS NORTH</v>
      </c>
      <c r="D782" s="2" t="str">
        <f>IFERROR(__xludf.DUMMYFUNCTION("""COMPUTED_VALUE"""),"661-18428")</f>
        <v>661-18428</v>
      </c>
      <c r="E782" s="2" t="str">
        <f>IFERROR(__xludf.DUMMYFUNCTION("""COMPUTED_VALUE"""),"Battery, iPhone 12 Pro Max")</f>
        <v>Battery, iPhone 12 Pro Max</v>
      </c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0" t="str">
        <f t="shared" si="1"/>
        <v>January</v>
      </c>
      <c r="B783" s="11">
        <f>IFERROR(__xludf.DUMMYFUNCTION("""COMPUTED_VALUE"""),46038.0)</f>
        <v>46038</v>
      </c>
      <c r="C783" s="2" t="str">
        <f>IFERROR(__xludf.DUMMYFUNCTION("""COMPUTED_VALUE"""),"MOBILECARE - VERTIS NORTH")</f>
        <v>MOBILECARE - VERTIS NORTH</v>
      </c>
      <c r="D783" s="2" t="str">
        <f>IFERROR(__xludf.DUMMYFUNCTION("""COMPUTED_VALUE"""),"661-44797")</f>
        <v>661-44797</v>
      </c>
      <c r="E783" s="2" t="str">
        <f>IFERROR(__xludf.DUMMYFUNCTION("""COMPUTED_VALUE"""),"Display, iPhone 16")</f>
        <v>Display, iPhone 16</v>
      </c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0" t="str">
        <f t="shared" si="1"/>
        <v>January</v>
      </c>
      <c r="B784" s="11">
        <f>IFERROR(__xludf.DUMMYFUNCTION("""COMPUTED_VALUE"""),46033.0)</f>
        <v>46033</v>
      </c>
      <c r="C784" s="2" t="str">
        <f>IFERROR(__xludf.DUMMYFUNCTION("""COMPUTED_VALUE"""),"MOBILECARE - VERTIS NORTH")</f>
        <v>MOBILECARE - VERTIS NORTH</v>
      </c>
      <c r="D784" s="2" t="str">
        <f>IFERROR(__xludf.DUMMYFUNCTION("""COMPUTED_VALUE"""),"661-21996")</f>
        <v>661-21996</v>
      </c>
      <c r="E784" s="2" t="str">
        <f>IFERROR(__xludf.DUMMYFUNCTION("""COMPUTED_VALUE"""),"Battery, iPhone 13 Pro")</f>
        <v>Battery, iPhone 13 Pro</v>
      </c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0" t="str">
        <f t="shared" si="1"/>
        <v>January</v>
      </c>
      <c r="B785" s="11">
        <f>IFERROR(__xludf.DUMMYFUNCTION("""COMPUTED_VALUE"""),46036.0)</f>
        <v>46036</v>
      </c>
      <c r="C785" s="2" t="str">
        <f>IFERROR(__xludf.DUMMYFUNCTION("""COMPUTED_VALUE"""),"MOBILECARE - VERTIS NORTH")</f>
        <v>MOBILECARE - VERTIS NORTH</v>
      </c>
      <c r="D785" s="2" t="str">
        <f>IFERROR(__xludf.DUMMYFUNCTION("""COMPUTED_VALUE"""),"661-36918")</f>
        <v>661-36918</v>
      </c>
      <c r="E785" s="2" t="str">
        <f>IFERROR(__xludf.DUMMYFUNCTION("""COMPUTED_VALUE"""),"Battery, iPhone 15 Pro Max")</f>
        <v>Battery, iPhone 15 Pro Max</v>
      </c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0" t="str">
        <f t="shared" si="1"/>
        <v>January</v>
      </c>
      <c r="B786" s="11">
        <f>IFERROR(__xludf.DUMMYFUNCTION("""COMPUTED_VALUE"""),46031.0)</f>
        <v>46031</v>
      </c>
      <c r="C786" s="2" t="str">
        <f>IFERROR(__xludf.DUMMYFUNCTION("""COMPUTED_VALUE"""),"MOBILECARE - VERTIS NORTH")</f>
        <v>MOBILECARE - VERTIS NORTH</v>
      </c>
      <c r="D786" s="2" t="str">
        <f>IFERROR(__xludf.DUMMYFUNCTION("""COMPUTED_VALUE"""),"661-21991")</f>
        <v>661-21991</v>
      </c>
      <c r="E786" s="2" t="str">
        <f>IFERROR(__xludf.DUMMYFUNCTION("""COMPUTED_VALUE"""),"Battery, iPhone 13")</f>
        <v>Battery, iPhone 13</v>
      </c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0" t="str">
        <f t="shared" si="1"/>
        <v>January</v>
      </c>
      <c r="B787" s="11">
        <f>IFERROR(__xludf.DUMMYFUNCTION("""COMPUTED_VALUE"""),46042.0)</f>
        <v>46042</v>
      </c>
      <c r="C787" s="2" t="str">
        <f>IFERROR(__xludf.DUMMYFUNCTION("""COMPUTED_VALUE"""),"MOBILECARE - VERTIS NORTH")</f>
        <v>MOBILECARE - VERTIS NORTH</v>
      </c>
      <c r="D787" s="2" t="str">
        <f>IFERROR(__xludf.DUMMYFUNCTION("""COMPUTED_VALUE"""),"PP661-22982")</f>
        <v>PP661-22982</v>
      </c>
      <c r="E787" s="2" t="str">
        <f>IFERROR(__xludf.DUMMYFUNCTION("""COMPUTED_VALUE"""),"Pink, 128 GB, iPhone 13, ROW, CI/AR, Philippines")</f>
        <v>Pink, 128 GB, iPhone 13, ROW, CI/AR, Philippines</v>
      </c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0" t="str">
        <f t="shared" si="1"/>
        <v>January</v>
      </c>
      <c r="B788" s="11">
        <f>IFERROR(__xludf.DUMMYFUNCTION("""COMPUTED_VALUE"""),46032.0)</f>
        <v>46032</v>
      </c>
      <c r="C788" s="2" t="str">
        <f>IFERROR(__xludf.DUMMYFUNCTION("""COMPUTED_VALUE"""),"MOBILECARE - VERTIS NORTH")</f>
        <v>MOBILECARE - VERTIS NORTH</v>
      </c>
      <c r="D788" s="2" t="str">
        <f>IFERROR(__xludf.DUMMYFUNCTION("""COMPUTED_VALUE"""),"661-44955")</f>
        <v>661-44955</v>
      </c>
      <c r="E788" s="2" t="str">
        <f>IFERROR(__xludf.DUMMYFUNCTION("""COMPUTED_VALUE"""),"Display, iPhone 16 Pro Max")</f>
        <v>Display, iPhone 16 Pro Max</v>
      </c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0" t="str">
        <f t="shared" si="1"/>
        <v>January</v>
      </c>
      <c r="B789" s="11">
        <f>IFERROR(__xludf.DUMMYFUNCTION("""COMPUTED_VALUE"""),46029.0)</f>
        <v>46029</v>
      </c>
      <c r="C789" s="2" t="str">
        <f>IFERROR(__xludf.DUMMYFUNCTION("""COMPUTED_VALUE"""),"MOBILECARE - VERTIS NORTH")</f>
        <v>MOBILECARE - VERTIS NORTH</v>
      </c>
      <c r="D789" s="2" t="str">
        <f>IFERROR(__xludf.DUMMYFUNCTION("""COMPUTED_VALUE"""),"661-21991")</f>
        <v>661-21991</v>
      </c>
      <c r="E789" s="2" t="str">
        <f>IFERROR(__xludf.DUMMYFUNCTION("""COMPUTED_VALUE"""),"Battery, iPhone 13")</f>
        <v>Battery, iPhone 13</v>
      </c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0" t="str">
        <f t="shared" si="1"/>
        <v>January</v>
      </c>
      <c r="B790" s="11">
        <f>IFERROR(__xludf.DUMMYFUNCTION("""COMPUTED_VALUE"""),46031.0)</f>
        <v>46031</v>
      </c>
      <c r="C790" s="2" t="str">
        <f>IFERROR(__xludf.DUMMYFUNCTION("""COMPUTED_VALUE"""),"MOBILECARE - VERTIS NORTH")</f>
        <v>MOBILECARE - VERTIS NORTH</v>
      </c>
      <c r="D790" s="2" t="str">
        <f>IFERROR(__xludf.DUMMYFUNCTION("""COMPUTED_VALUE"""),"661-18428")</f>
        <v>661-18428</v>
      </c>
      <c r="E790" s="2" t="str">
        <f>IFERROR(__xludf.DUMMYFUNCTION("""COMPUTED_VALUE"""),"Battery, iPhone 12 Pro Max")</f>
        <v>Battery, iPhone 12 Pro Max</v>
      </c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0" t="str">
        <f t="shared" si="1"/>
        <v>January</v>
      </c>
      <c r="B791" s="11">
        <f>IFERROR(__xludf.DUMMYFUNCTION("""COMPUTED_VALUE"""),46028.0)</f>
        <v>46028</v>
      </c>
      <c r="C791" s="2" t="str">
        <f>IFERROR(__xludf.DUMMYFUNCTION("""COMPUTED_VALUE"""),"MOBILECARE - VERTIS NORTH")</f>
        <v>MOBILECARE - VERTIS NORTH</v>
      </c>
      <c r="D791" s="2" t="str">
        <f>IFERROR(__xludf.DUMMYFUNCTION("""COMPUTED_VALUE"""),"661-21991")</f>
        <v>661-21991</v>
      </c>
      <c r="E791" s="2" t="str">
        <f>IFERROR(__xludf.DUMMYFUNCTION("""COMPUTED_VALUE"""),"Battery, iPhone 13")</f>
        <v>Battery, iPhone 13</v>
      </c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0" t="str">
        <f t="shared" si="1"/>
        <v>January</v>
      </c>
      <c r="B792" s="11">
        <f>IFERROR(__xludf.DUMMYFUNCTION("""COMPUTED_VALUE"""),46030.0)</f>
        <v>46030</v>
      </c>
      <c r="C792" s="2" t="str">
        <f>IFERROR(__xludf.DUMMYFUNCTION("""COMPUTED_VALUE"""),"MOBILECARE - VERTIS NORTH")</f>
        <v>MOBILECARE - VERTIS NORTH</v>
      </c>
      <c r="D792" s="2" t="str">
        <f>IFERROR(__xludf.DUMMYFUNCTION("""COMPUTED_VALUE"""),"661-56052")</f>
        <v>661-56052</v>
      </c>
      <c r="E792" s="2" t="str">
        <f>IFERROR(__xludf.DUMMYFUNCTION("""COMPUTED_VALUE"""),"Camera, iPhone 17 Pro Max")</f>
        <v>Camera, iPhone 17 Pro Max</v>
      </c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0" t="str">
        <f t="shared" si="1"/>
        <v>January</v>
      </c>
      <c r="B793" s="11">
        <f>IFERROR(__xludf.DUMMYFUNCTION("""COMPUTED_VALUE"""),46032.0)</f>
        <v>46032</v>
      </c>
      <c r="C793" s="2" t="str">
        <f>IFERROR(__xludf.DUMMYFUNCTION("""COMPUTED_VALUE"""),"MOBILECARE - VERTIS NORTH")</f>
        <v>MOBILECARE - VERTIS NORTH</v>
      </c>
      <c r="D793" s="2" t="str">
        <f>IFERROR(__xludf.DUMMYFUNCTION("""COMPUTED_VALUE"""),"661-13574")</f>
        <v>661-13574</v>
      </c>
      <c r="E793" s="2" t="str">
        <f>IFERROR(__xludf.DUMMYFUNCTION("""COMPUTED_VALUE"""),"Battery, iPhone 11")</f>
        <v>Battery, iPhone 11</v>
      </c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0" t="str">
        <f t="shared" si="1"/>
        <v>January</v>
      </c>
      <c r="B794" s="11">
        <f>IFERROR(__xludf.DUMMYFUNCTION("""COMPUTED_VALUE"""),46039.0)</f>
        <v>46039</v>
      </c>
      <c r="C794" s="2" t="str">
        <f>IFERROR(__xludf.DUMMYFUNCTION("""COMPUTED_VALUE"""),"MOBILECARE - VERTIS NORTH")</f>
        <v>MOBILECARE - VERTIS NORTH</v>
      </c>
      <c r="D794" s="2" t="str">
        <f>IFERROR(__xludf.DUMMYFUNCTION("""COMPUTED_VALUE"""),"661-30397")</f>
        <v>661-30397</v>
      </c>
      <c r="E794" s="2" t="str">
        <f>IFERROR(__xludf.DUMMYFUNCTION("""COMPUTED_VALUE"""),"Battery, iPhone 14 Pro Max")</f>
        <v>Battery, iPhone 14 Pro Max</v>
      </c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0" t="str">
        <f t="shared" si="1"/>
        <v>January</v>
      </c>
      <c r="B795" s="11">
        <f>IFERROR(__xludf.DUMMYFUNCTION("""COMPUTED_VALUE"""),46048.0)</f>
        <v>46048</v>
      </c>
      <c r="C795" s="2" t="str">
        <f>IFERROR(__xludf.DUMMYFUNCTION("""COMPUTED_VALUE"""),"MOBILECARE - VERTIS NORTH")</f>
        <v>MOBILECARE - VERTIS NORTH</v>
      </c>
      <c r="D795" s="2" t="str">
        <f>IFERROR(__xludf.DUMMYFUNCTION("""COMPUTED_VALUE"""),"661-17920")</f>
        <v>661-17920</v>
      </c>
      <c r="E795" s="2" t="str">
        <f>IFERROR(__xludf.DUMMYFUNCTION("""COMPUTED_VALUE"""),"Battery, iPhone 12 and 12 Pro")</f>
        <v>Battery, iPhone 12 and 12 Pro</v>
      </c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0" t="str">
        <f t="shared" si="1"/>
        <v>January</v>
      </c>
      <c r="B796" s="11">
        <f>IFERROR(__xludf.DUMMYFUNCTION("""COMPUTED_VALUE"""),46030.0)</f>
        <v>46030</v>
      </c>
      <c r="C796" s="2" t="str">
        <f>IFERROR(__xludf.DUMMYFUNCTION("""COMPUTED_VALUE"""),"MOBILECARE - VERTIS NORTH")</f>
        <v>MOBILECARE - VERTIS NORTH</v>
      </c>
      <c r="D796" s="2" t="str">
        <f>IFERROR(__xludf.DUMMYFUNCTION("""COMPUTED_VALUE"""),"661-22309")</f>
        <v>661-22309</v>
      </c>
      <c r="E796" s="2" t="str">
        <f>IFERROR(__xludf.DUMMYFUNCTION("""COMPUTED_VALUE"""),"Display, iPhone 13 Pro Max")</f>
        <v>Display, iPhone 13 Pro Max</v>
      </c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0" t="str">
        <f t="shared" si="1"/>
        <v>January</v>
      </c>
      <c r="B797" s="11">
        <f>IFERROR(__xludf.DUMMYFUNCTION("""COMPUTED_VALUE"""),46036.0)</f>
        <v>46036</v>
      </c>
      <c r="C797" s="2" t="str">
        <f>IFERROR(__xludf.DUMMYFUNCTION("""COMPUTED_VALUE"""),"MOBILECARE - VERTIS NORTH")</f>
        <v>MOBILECARE - VERTIS NORTH</v>
      </c>
      <c r="D797" s="2" t="str">
        <f>IFERROR(__xludf.DUMMYFUNCTION("""COMPUTED_VALUE"""),"661-30382")</f>
        <v>661-30382</v>
      </c>
      <c r="E797" s="2" t="str">
        <f>IFERROR(__xludf.DUMMYFUNCTION("""COMPUTED_VALUE"""),"Battery, iPhone 14 Pro")</f>
        <v>Battery, iPhone 14 Pro</v>
      </c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0" t="str">
        <f t="shared" si="1"/>
        <v>January</v>
      </c>
      <c r="B798" s="11">
        <f>IFERROR(__xludf.DUMMYFUNCTION("""COMPUTED_VALUE"""),46043.0)</f>
        <v>46043</v>
      </c>
      <c r="C798" s="2" t="str">
        <f>IFERROR(__xludf.DUMMYFUNCTION("""COMPUTED_VALUE"""),"MOBILECARE - VERTIS NORTH")</f>
        <v>MOBILECARE - VERTIS NORTH</v>
      </c>
      <c r="D798" s="2" t="str">
        <f>IFERROR(__xludf.DUMMYFUNCTION("""COMPUTED_VALUE"""),"PP661-25569")</f>
        <v>PP661-25569</v>
      </c>
      <c r="E798" s="2" t="str">
        <f>IFERROR(__xludf.DUMMYFUNCTION("""COMPUTED_VALUE"""),"Green, 128 GB, iPhone 13, ROW, CI/AR, Philippines")</f>
        <v>Green, 128 GB, iPhone 13, ROW, CI/AR, Philippines</v>
      </c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0" t="str">
        <f t="shared" si="1"/>
        <v>January</v>
      </c>
      <c r="B799" s="11">
        <f>IFERROR(__xludf.DUMMYFUNCTION("""COMPUTED_VALUE"""),46029.0)</f>
        <v>46029</v>
      </c>
      <c r="C799" s="2" t="str">
        <f>IFERROR(__xludf.DUMMYFUNCTION("""COMPUTED_VALUE"""),"MOBILECARE - VERTIS NORTH")</f>
        <v>MOBILECARE - VERTIS NORTH</v>
      </c>
      <c r="D799" s="2" t="str">
        <f>IFERROR(__xludf.DUMMYFUNCTION("""COMPUTED_VALUE"""),"661-56052")</f>
        <v>661-56052</v>
      </c>
      <c r="E799" s="2" t="str">
        <f>IFERROR(__xludf.DUMMYFUNCTION("""COMPUTED_VALUE"""),"Camera, iPhone 17 Pro Max")</f>
        <v>Camera, iPhone 17 Pro Max</v>
      </c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0" t="str">
        <f t="shared" si="1"/>
        <v>January</v>
      </c>
      <c r="B800" s="11">
        <f>IFERROR(__xludf.DUMMYFUNCTION("""COMPUTED_VALUE"""),46029.0)</f>
        <v>46029</v>
      </c>
      <c r="C800" s="2" t="str">
        <f>IFERROR(__xludf.DUMMYFUNCTION("""COMPUTED_VALUE"""),"MOBILECARE - VERTIS NORTH")</f>
        <v>MOBILECARE - VERTIS NORTH</v>
      </c>
      <c r="D800" s="2" t="str">
        <f>IFERROR(__xludf.DUMMYFUNCTION("""COMPUTED_VALUE"""),"661-22294")</f>
        <v>661-22294</v>
      </c>
      <c r="E800" s="2" t="str">
        <f>IFERROR(__xludf.DUMMYFUNCTION("""COMPUTED_VALUE"""),"Battery, iPhone 13 Pro Max")</f>
        <v>Battery, iPhone 13 Pro Max</v>
      </c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0" t="str">
        <f t="shared" si="1"/>
        <v>January</v>
      </c>
      <c r="B801" s="11">
        <f>IFERROR(__xludf.DUMMYFUNCTION("""COMPUTED_VALUE"""),46029.0)</f>
        <v>46029</v>
      </c>
      <c r="C801" s="2" t="str">
        <f>IFERROR(__xludf.DUMMYFUNCTION("""COMPUTED_VALUE"""),"MOBILECARE - VERTIS NORTH")</f>
        <v>MOBILECARE - VERTIS NORTH</v>
      </c>
      <c r="D801" s="2" t="str">
        <f>IFERROR(__xludf.DUMMYFUNCTION("""COMPUTED_VALUE"""),"661-17920")</f>
        <v>661-17920</v>
      </c>
      <c r="E801" s="2" t="str">
        <f>IFERROR(__xludf.DUMMYFUNCTION("""COMPUTED_VALUE"""),"Battery, iPhone 12 and 12 Pro")</f>
        <v>Battery, iPhone 12 and 12 Pro</v>
      </c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0" t="str">
        <f t="shared" si="1"/>
        <v>January</v>
      </c>
      <c r="B802" s="11">
        <f>IFERROR(__xludf.DUMMYFUNCTION("""COMPUTED_VALUE"""),46033.0)</f>
        <v>46033</v>
      </c>
      <c r="C802" s="2" t="str">
        <f>IFERROR(__xludf.DUMMYFUNCTION("""COMPUTED_VALUE"""),"MOBILECARE - VERTIS NORTH")</f>
        <v>MOBILECARE - VERTIS NORTH</v>
      </c>
      <c r="D802" s="2" t="str">
        <f>IFERROR(__xludf.DUMMYFUNCTION("""COMPUTED_VALUE"""),"661-21996")</f>
        <v>661-21996</v>
      </c>
      <c r="E802" s="2" t="str">
        <f>IFERROR(__xludf.DUMMYFUNCTION("""COMPUTED_VALUE"""),"Battery, iPhone 13 Pro")</f>
        <v>Battery, iPhone 13 Pro</v>
      </c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0" t="str">
        <f t="shared" si="1"/>
        <v>January</v>
      </c>
      <c r="B803" s="11">
        <f>IFERROR(__xludf.DUMMYFUNCTION("""COMPUTED_VALUE"""),46036.0)</f>
        <v>46036</v>
      </c>
      <c r="C803" s="2" t="str">
        <f>IFERROR(__xludf.DUMMYFUNCTION("""COMPUTED_VALUE"""),"MOBILECARE - VERTIS NORTH")</f>
        <v>MOBILECARE - VERTIS NORTH</v>
      </c>
      <c r="D803" s="2" t="str">
        <f>IFERROR(__xludf.DUMMYFUNCTION("""COMPUTED_VALUE"""),"661-35694")</f>
        <v>661-35694</v>
      </c>
      <c r="E803" s="2" t="str">
        <f>IFERROR(__xludf.DUMMYFUNCTION("""COMPUTED_VALUE"""),"Battery, iPhone 15 Pro")</f>
        <v>Battery, iPhone 15 Pro</v>
      </c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0" t="str">
        <f t="shared" si="1"/>
        <v>January</v>
      </c>
      <c r="B804" s="11">
        <f>IFERROR(__xludf.DUMMYFUNCTION("""COMPUTED_VALUE"""),46036.0)</f>
        <v>46036</v>
      </c>
      <c r="C804" s="2" t="str">
        <f>IFERROR(__xludf.DUMMYFUNCTION("""COMPUTED_VALUE"""),"MOBILECARE - VERTIS NORTH")</f>
        <v>MOBILECARE - VERTIS NORTH</v>
      </c>
      <c r="D804" s="2" t="str">
        <f>IFERROR(__xludf.DUMMYFUNCTION("""COMPUTED_VALUE"""),"661-30382")</f>
        <v>661-30382</v>
      </c>
      <c r="E804" s="2" t="str">
        <f>IFERROR(__xludf.DUMMYFUNCTION("""COMPUTED_VALUE"""),"Battery, iPhone 14 Pro")</f>
        <v>Battery, iPhone 14 Pro</v>
      </c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0" t="str">
        <f t="shared" si="1"/>
        <v>January</v>
      </c>
      <c r="B805" s="11">
        <f>IFERROR(__xludf.DUMMYFUNCTION("""COMPUTED_VALUE"""),46029.0)</f>
        <v>46029</v>
      </c>
      <c r="C805" s="2" t="str">
        <f>IFERROR(__xludf.DUMMYFUNCTION("""COMPUTED_VALUE"""),"MOBILECARE - VERTIS NORTH")</f>
        <v>MOBILECARE - VERTIS NORTH</v>
      </c>
      <c r="D805" s="2" t="str">
        <f>IFERROR(__xludf.DUMMYFUNCTION("""COMPUTED_VALUE"""),"661-30393")</f>
        <v>661-30393</v>
      </c>
      <c r="E805" s="2" t="str">
        <f>IFERROR(__xludf.DUMMYFUNCTION("""COMPUTED_VALUE"""),"Camera, iPhone 14 Plus")</f>
        <v>Camera, iPhone 14 Plus</v>
      </c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0" t="str">
        <f t="shared" si="1"/>
        <v>January</v>
      </c>
      <c r="B806" s="11">
        <f>IFERROR(__xludf.DUMMYFUNCTION("""COMPUTED_VALUE"""),46033.0)</f>
        <v>46033</v>
      </c>
      <c r="C806" s="2" t="str">
        <f>IFERROR(__xludf.DUMMYFUNCTION("""COMPUTED_VALUE"""),"MOBILECARE - VERTIS NORTH")</f>
        <v>MOBILECARE - VERTIS NORTH</v>
      </c>
      <c r="D806" s="2" t="str">
        <f>IFERROR(__xludf.DUMMYFUNCTION("""COMPUTED_VALUE"""),"661-36909")</f>
        <v>661-36909</v>
      </c>
      <c r="E806" s="2" t="str">
        <f>IFERROR(__xludf.DUMMYFUNCTION("""COMPUTED_VALUE"""),"Natural Titanium, Back Glass, iPhone 15 Pro Max")</f>
        <v>Natural Titanium, Back Glass, iPhone 15 Pro Max</v>
      </c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0" t="str">
        <f t="shared" si="1"/>
        <v>January</v>
      </c>
      <c r="B807" s="11">
        <f>IFERROR(__xludf.DUMMYFUNCTION("""COMPUTED_VALUE"""),46028.0)</f>
        <v>46028</v>
      </c>
      <c r="C807" s="2" t="str">
        <f>IFERROR(__xludf.DUMMYFUNCTION("""COMPUTED_VALUE"""),"MOBILECARE - VERTIS NORTH")</f>
        <v>MOBILECARE - VERTIS NORTH</v>
      </c>
      <c r="D807" s="2" t="str">
        <f>IFERROR(__xludf.DUMMYFUNCTION("""COMPUTED_VALUE"""),"661-17939")</f>
        <v>661-17939</v>
      </c>
      <c r="E807" s="2" t="str">
        <f>IFERROR(__xludf.DUMMYFUNCTION("""COMPUTED_VALUE"""),"Battery, iPhone 12 mini")</f>
        <v>Battery, iPhone 12 mini</v>
      </c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0" t="str">
        <f t="shared" si="1"/>
        <v>January</v>
      </c>
      <c r="B808" s="11">
        <f>IFERROR(__xludf.DUMMYFUNCTION("""COMPUTED_VALUE"""),46029.0)</f>
        <v>46029</v>
      </c>
      <c r="C808" s="2" t="str">
        <f>IFERROR(__xludf.DUMMYFUNCTION("""COMPUTED_VALUE"""),"MOBILECARE - VERTIS NORTH")</f>
        <v>MOBILECARE - VERTIS NORTH</v>
      </c>
      <c r="D808" s="2" t="str">
        <f>IFERROR(__xludf.DUMMYFUNCTION("""COMPUTED_VALUE"""),"661-56051")</f>
        <v>661-56051</v>
      </c>
      <c r="E808" s="2" t="str">
        <f>IFERROR(__xludf.DUMMYFUNCTION("""COMPUTED_VALUE"""),"Front Camera, iPhone 17 Pro Max")</f>
        <v>Front Camera, iPhone 17 Pro Max</v>
      </c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0" t="str">
        <f t="shared" si="1"/>
        <v>January</v>
      </c>
      <c r="B809" s="11">
        <f>IFERROR(__xludf.DUMMYFUNCTION("""COMPUTED_VALUE"""),46027.0)</f>
        <v>46027</v>
      </c>
      <c r="C809" s="2" t="str">
        <f>IFERROR(__xludf.DUMMYFUNCTION("""COMPUTED_VALUE"""),"MOBILECARE - VERTIS NORTH")</f>
        <v>MOBILECARE - VERTIS NORTH</v>
      </c>
      <c r="D809" s="2" t="str">
        <f>IFERROR(__xludf.DUMMYFUNCTION("""COMPUTED_VALUE"""),"661-17920")</f>
        <v>661-17920</v>
      </c>
      <c r="E809" s="2" t="str">
        <f>IFERROR(__xludf.DUMMYFUNCTION("""COMPUTED_VALUE"""),"Battery, iPhone 12 and 12 Pro")</f>
        <v>Battery, iPhone 12 and 12 Pro</v>
      </c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0" t="str">
        <f t="shared" si="1"/>
        <v>January</v>
      </c>
      <c r="B810" s="11">
        <f>IFERROR(__xludf.DUMMYFUNCTION("""COMPUTED_VALUE"""),46026.0)</f>
        <v>46026</v>
      </c>
      <c r="C810" s="2" t="str">
        <f>IFERROR(__xludf.DUMMYFUNCTION("""COMPUTED_VALUE"""),"MOBILECARE - VERTIS NORTH")</f>
        <v>MOBILECARE - VERTIS NORTH</v>
      </c>
      <c r="D810" s="2" t="str">
        <f>IFERROR(__xludf.DUMMYFUNCTION("""COMPUTED_VALUE"""),"661-22309")</f>
        <v>661-22309</v>
      </c>
      <c r="E810" s="2" t="str">
        <f>IFERROR(__xludf.DUMMYFUNCTION("""COMPUTED_VALUE"""),"Display, iPhone 13 Pro Max")</f>
        <v>Display, iPhone 13 Pro Max</v>
      </c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0" t="str">
        <f t="shared" si="1"/>
        <v>January</v>
      </c>
      <c r="B811" s="11">
        <f>IFERROR(__xludf.DUMMYFUNCTION("""COMPUTED_VALUE"""),46027.0)</f>
        <v>46027</v>
      </c>
      <c r="C811" s="2" t="str">
        <f>IFERROR(__xludf.DUMMYFUNCTION("""COMPUTED_VALUE"""),"MOBILECARE - VERTIS NORTH")</f>
        <v>MOBILECARE - VERTIS NORTH</v>
      </c>
      <c r="D811" s="2" t="str">
        <f>IFERROR(__xludf.DUMMYFUNCTION("""COMPUTED_VALUE"""),"661-17939")</f>
        <v>661-17939</v>
      </c>
      <c r="E811" s="2" t="str">
        <f>IFERROR(__xludf.DUMMYFUNCTION("""COMPUTED_VALUE"""),"Battery, iPhone 12 mini")</f>
        <v>Battery, iPhone 12 mini</v>
      </c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0" t="str">
        <f t="shared" si="1"/>
        <v>January</v>
      </c>
      <c r="B812" s="11">
        <f>IFERROR(__xludf.DUMMYFUNCTION("""COMPUTED_VALUE"""),46047.0)</f>
        <v>46047</v>
      </c>
      <c r="C812" s="2" t="str">
        <f>IFERROR(__xludf.DUMMYFUNCTION("""COMPUTED_VALUE"""),"MOBILECARE - VERTIS NORTH")</f>
        <v>MOBILECARE - VERTIS NORTH</v>
      </c>
      <c r="D812" s="2" t="str">
        <f>IFERROR(__xludf.DUMMYFUNCTION("""COMPUTED_VALUE"""),"PP661-22984")</f>
        <v>PP661-22984</v>
      </c>
      <c r="E812" s="2" t="str">
        <f>IFERROR(__xludf.DUMMYFUNCTION("""COMPUTED_VALUE"""),"Blue, 128 GB, iPhone 13, ROW, CI/AR, Philippines")</f>
        <v>Blue, 128 GB, iPhone 13, ROW, CI/AR, Philippines</v>
      </c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0" t="str">
        <f t="shared" si="1"/>
        <v>January</v>
      </c>
      <c r="B813" s="11">
        <f>IFERROR(__xludf.DUMMYFUNCTION("""COMPUTED_VALUE"""),46048.0)</f>
        <v>46048</v>
      </c>
      <c r="C813" s="2" t="str">
        <f>IFERROR(__xludf.DUMMYFUNCTION("""COMPUTED_VALUE"""),"MOBILECARE - VERTIS NORTH")</f>
        <v>MOBILECARE - VERTIS NORTH</v>
      </c>
      <c r="D813" s="2" t="str">
        <f>IFERROR(__xludf.DUMMYFUNCTION("""COMPUTED_VALUE"""),"661-36838")</f>
        <v>661-36838</v>
      </c>
      <c r="E813" s="2" t="str">
        <f>IFERROR(__xludf.DUMMYFUNCTION("""COMPUTED_VALUE"""),"Black, Back Glass, iPhone 15")</f>
        <v>Black, Back Glass, iPhone 15</v>
      </c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0" t="str">
        <f t="shared" si="1"/>
        <v>January</v>
      </c>
      <c r="B814" s="11">
        <f>IFERROR(__xludf.DUMMYFUNCTION("""COMPUTED_VALUE"""),46048.0)</f>
        <v>46048</v>
      </c>
      <c r="C814" s="2" t="str">
        <f>IFERROR(__xludf.DUMMYFUNCTION("""COMPUTED_VALUE"""),"MOBILECARE - VERTIS NORTH")</f>
        <v>MOBILECARE - VERTIS NORTH</v>
      </c>
      <c r="D814" s="2" t="str">
        <f>IFERROR(__xludf.DUMMYFUNCTION("""COMPUTED_VALUE"""),"661-35885")</f>
        <v>661-35885</v>
      </c>
      <c r="E814" s="2" t="str">
        <f>IFERROR(__xludf.DUMMYFUNCTION("""COMPUTED_VALUE"""),"Battery, iPhone 15")</f>
        <v>Battery, iPhone 15</v>
      </c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0" t="str">
        <f t="shared" si="1"/>
        <v>January</v>
      </c>
      <c r="B815" s="11">
        <f>IFERROR(__xludf.DUMMYFUNCTION("""COMPUTED_VALUE"""),46044.0)</f>
        <v>46044</v>
      </c>
      <c r="C815" s="2" t="str">
        <f>IFERROR(__xludf.DUMMYFUNCTION("""COMPUTED_VALUE"""),"MOBILECARE - VERTIS NORTH")</f>
        <v>MOBILECARE - VERTIS NORTH</v>
      </c>
      <c r="D815" s="2" t="str">
        <f>IFERROR(__xludf.DUMMYFUNCTION("""COMPUTED_VALUE"""),"TA661-35563")</f>
        <v>TA661-35563</v>
      </c>
      <c r="E815" s="2" t="str">
        <f>IFERROR(__xludf.DUMMYFUNCTION("""COMPUTED_VALUE"""),"Blue, iPhone 15 Pro, 512GB, ROW, CI/AR, Taiwan")</f>
        <v>Blue, iPhone 15 Pro, 512GB, ROW, CI/AR, Taiwan</v>
      </c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0" t="str">
        <f t="shared" si="1"/>
        <v>January</v>
      </c>
      <c r="B816" s="11">
        <f>IFERROR(__xludf.DUMMYFUNCTION("""COMPUTED_VALUE"""),46026.0)</f>
        <v>46026</v>
      </c>
      <c r="C816" s="2" t="str">
        <f>IFERROR(__xludf.DUMMYFUNCTION("""COMPUTED_VALUE"""),"MOBILECARE - VERTIS NORTH")</f>
        <v>MOBILECARE - VERTIS NORTH</v>
      </c>
      <c r="D816" s="2" t="str">
        <f>IFERROR(__xludf.DUMMYFUNCTION("""COMPUTED_VALUE"""),"661-21991")</f>
        <v>661-21991</v>
      </c>
      <c r="E816" s="2" t="str">
        <f>IFERROR(__xludf.DUMMYFUNCTION("""COMPUTED_VALUE"""),"Battery, iPhone 13")</f>
        <v>Battery, iPhone 13</v>
      </c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0" t="str">
        <f t="shared" si="1"/>
        <v>January</v>
      </c>
      <c r="B817" s="11">
        <f>IFERROR(__xludf.DUMMYFUNCTION("""COMPUTED_VALUE"""),46026.0)</f>
        <v>46026</v>
      </c>
      <c r="C817" s="2" t="str">
        <f>IFERROR(__xludf.DUMMYFUNCTION("""COMPUTED_VALUE"""),"MOBILECARE - VERTIS NORTH")</f>
        <v>MOBILECARE - VERTIS NORTH</v>
      </c>
      <c r="D817" s="2" t="str">
        <f>IFERROR(__xludf.DUMMYFUNCTION("""COMPUTED_VALUE"""),"661-56050")</f>
        <v>661-56050</v>
      </c>
      <c r="E817" s="2" t="str">
        <f>IFERROR(__xludf.DUMMYFUNCTION("""COMPUTED_VALUE"""),"Display, iPhone 17 Pro Max")</f>
        <v>Display, iPhone 17 Pro Max</v>
      </c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0" t="str">
        <f t="shared" si="1"/>
        <v>January</v>
      </c>
      <c r="B818" s="11">
        <f>IFERROR(__xludf.DUMMYFUNCTION("""COMPUTED_VALUE"""),46029.0)</f>
        <v>46029</v>
      </c>
      <c r="C818" s="2" t="str">
        <f>IFERROR(__xludf.DUMMYFUNCTION("""COMPUTED_VALUE"""),"MOBILECARE - VERTIS NORTH")</f>
        <v>MOBILECARE - VERTIS NORTH</v>
      </c>
      <c r="D818" s="2" t="str">
        <f>IFERROR(__xludf.DUMMYFUNCTION("""COMPUTED_VALUE"""),"661-21996")</f>
        <v>661-21996</v>
      </c>
      <c r="E818" s="2" t="str">
        <f>IFERROR(__xludf.DUMMYFUNCTION("""COMPUTED_VALUE"""),"Battery, iPhone 13 Pro")</f>
        <v>Battery, iPhone 13 Pro</v>
      </c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0" t="str">
        <f t="shared" si="1"/>
        <v>January</v>
      </c>
      <c r="B819" s="11">
        <f>IFERROR(__xludf.DUMMYFUNCTION("""COMPUTED_VALUE"""),46025.0)</f>
        <v>46025</v>
      </c>
      <c r="C819" s="2" t="str">
        <f>IFERROR(__xludf.DUMMYFUNCTION("""COMPUTED_VALUE"""),"MOBILECARE - VERTIS NORTH")</f>
        <v>MOBILECARE - VERTIS NORTH</v>
      </c>
      <c r="D819" s="2" t="str">
        <f>IFERROR(__xludf.DUMMYFUNCTION("""COMPUTED_VALUE"""),"661-42726")</f>
        <v>661-42726</v>
      </c>
      <c r="E819" s="2" t="str">
        <f>IFERROR(__xludf.DUMMYFUNCTION("""COMPUTED_VALUE"""),"Display, iPhone 16 Pro")</f>
        <v>Display, iPhone 16 Pro</v>
      </c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0" t="str">
        <f t="shared" si="1"/>
        <v>January</v>
      </c>
      <c r="B820" s="11">
        <f>IFERROR(__xludf.DUMMYFUNCTION("""COMPUTED_VALUE"""),46027.0)</f>
        <v>46027</v>
      </c>
      <c r="C820" s="2" t="str">
        <f>IFERROR(__xludf.DUMMYFUNCTION("""COMPUTED_VALUE"""),"MOBILECARE - VERTIS NORTH")</f>
        <v>MOBILECARE - VERTIS NORTH</v>
      </c>
      <c r="D820" s="2" t="str">
        <f>IFERROR(__xludf.DUMMYFUNCTION("""COMPUTED_VALUE"""),"661-42726")</f>
        <v>661-42726</v>
      </c>
      <c r="E820" s="2" t="str">
        <f>IFERROR(__xludf.DUMMYFUNCTION("""COMPUTED_VALUE"""),"Display, iPhone 16 Pro")</f>
        <v>Display, iPhone 16 Pro</v>
      </c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0" t="str">
        <f t="shared" si="1"/>
        <v>January</v>
      </c>
      <c r="B821" s="11">
        <f>IFERROR(__xludf.DUMMYFUNCTION("""COMPUTED_VALUE"""),46031.0)</f>
        <v>46031</v>
      </c>
      <c r="C821" s="2" t="str">
        <f>IFERROR(__xludf.DUMMYFUNCTION("""COMPUTED_VALUE"""),"MOBILECARE - VERTIS NORTH")</f>
        <v>MOBILECARE - VERTIS NORTH</v>
      </c>
      <c r="D821" s="2" t="str">
        <f>IFERROR(__xludf.DUMMYFUNCTION("""COMPUTED_VALUE"""),"923-08211")</f>
        <v>923-08211</v>
      </c>
      <c r="E821" s="2" t="str">
        <f>IFERROR(__xludf.DUMMYFUNCTION("""COMPUTED_VALUE"""),"Top Speaker, iPhone 14")</f>
        <v>Top Speaker, iPhone 14</v>
      </c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0" t="str">
        <f t="shared" si="1"/>
        <v>January</v>
      </c>
      <c r="B822" s="11">
        <f>IFERROR(__xludf.DUMMYFUNCTION("""COMPUTED_VALUE"""),46031.0)</f>
        <v>46031</v>
      </c>
      <c r="C822" s="2" t="str">
        <f>IFERROR(__xludf.DUMMYFUNCTION("""COMPUTED_VALUE"""),"MOBILECARE - VERTIS NORTH")</f>
        <v>MOBILECARE - VERTIS NORTH</v>
      </c>
      <c r="D822" s="2" t="str">
        <f>IFERROR(__xludf.DUMMYFUNCTION("""COMPUTED_VALUE"""),"661-30373")</f>
        <v>661-30373</v>
      </c>
      <c r="E822" s="2" t="str">
        <f>IFERROR(__xludf.DUMMYFUNCTION("""COMPUTED_VALUE"""),"Battery, iPhone 14")</f>
        <v>Battery, iPhone 14</v>
      </c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0" t="str">
        <f t="shared" si="1"/>
        <v>January</v>
      </c>
      <c r="B823" s="11">
        <f>IFERROR(__xludf.DUMMYFUNCTION("""COMPUTED_VALUE"""),46028.0)</f>
        <v>46028</v>
      </c>
      <c r="C823" s="2" t="str">
        <f>IFERROR(__xludf.DUMMYFUNCTION("""COMPUTED_VALUE"""),"MOBILECARE - VERTIS NORTH")</f>
        <v>MOBILECARE - VERTIS NORTH</v>
      </c>
      <c r="D823" s="2" t="str">
        <f>IFERROR(__xludf.DUMMYFUNCTION("""COMPUTED_VALUE"""),"661-35699")</f>
        <v>661-35699</v>
      </c>
      <c r="E823" s="2" t="str">
        <f>IFERROR(__xludf.DUMMYFUNCTION("""COMPUTED_VALUE"""),"Display, iPhone 15 Pro")</f>
        <v>Display, iPhone 15 Pro</v>
      </c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0" t="str">
        <f t="shared" si="1"/>
        <v>January</v>
      </c>
      <c r="B824" s="11">
        <f>IFERROR(__xludf.DUMMYFUNCTION("""COMPUTED_VALUE"""),46024.0)</f>
        <v>46024</v>
      </c>
      <c r="C824" s="2" t="str">
        <f>IFERROR(__xludf.DUMMYFUNCTION("""COMPUTED_VALUE"""),"MOBILECARE - VERTIS NORTH")</f>
        <v>MOBILECARE - VERTIS NORTH</v>
      </c>
      <c r="D824" s="2" t="str">
        <f>IFERROR(__xludf.DUMMYFUNCTION("""COMPUTED_VALUE"""),"661-21988")</f>
        <v>661-21988</v>
      </c>
      <c r="E824" s="2" t="str">
        <f>IFERROR(__xludf.DUMMYFUNCTION("""COMPUTED_VALUE"""),"Display, iPhone 13")</f>
        <v>Display, iPhone 13</v>
      </c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0" t="str">
        <f t="shared" si="1"/>
        <v>January</v>
      </c>
      <c r="B825" s="11">
        <f>IFERROR(__xludf.DUMMYFUNCTION("""COMPUTED_VALUE"""),46040.0)</f>
        <v>46040</v>
      </c>
      <c r="C825" s="2" t="str">
        <f>IFERROR(__xludf.DUMMYFUNCTION("""COMPUTED_VALUE"""),"MOBILECARE - VERTIS NORTH")</f>
        <v>MOBILECARE - VERTIS NORTH</v>
      </c>
      <c r="D825" s="2" t="str">
        <f>IFERROR(__xludf.DUMMYFUNCTION("""COMPUTED_VALUE"""),"PP661-22987")</f>
        <v>PP661-22987</v>
      </c>
      <c r="E825" s="2" t="str">
        <f>IFERROR(__xludf.DUMMYFUNCTION("""COMPUTED_VALUE"""),"Pink, 256 GB, iPhone 13, ROW, CI/AR, Philippines")</f>
        <v>Pink, 256 GB, iPhone 13, ROW, CI/AR, Philippines</v>
      </c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0" t="str">
        <f t="shared" si="1"/>
        <v>January</v>
      </c>
      <c r="B826" s="11">
        <f>IFERROR(__xludf.DUMMYFUNCTION("""COMPUTED_VALUE"""),46029.0)</f>
        <v>46029</v>
      </c>
      <c r="C826" s="2" t="str">
        <f>IFERROR(__xludf.DUMMYFUNCTION("""COMPUTED_VALUE"""),"MOBILECARE - VERTIS NORTH")</f>
        <v>MOBILECARE - VERTIS NORTH</v>
      </c>
      <c r="D826" s="2" t="str">
        <f>IFERROR(__xludf.DUMMYFUNCTION("""COMPUTED_VALUE"""),"661-42726")</f>
        <v>661-42726</v>
      </c>
      <c r="E826" s="2" t="str">
        <f>IFERROR(__xludf.DUMMYFUNCTION("""COMPUTED_VALUE"""),"Display, iPhone 16 Pro")</f>
        <v>Display, iPhone 16 Pro</v>
      </c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0" t="str">
        <f t="shared" si="1"/>
        <v>January</v>
      </c>
      <c r="B827" s="11">
        <f>IFERROR(__xludf.DUMMYFUNCTION("""COMPUTED_VALUE"""),46025.0)</f>
        <v>46025</v>
      </c>
      <c r="C827" s="2" t="str">
        <f>IFERROR(__xludf.DUMMYFUNCTION("""COMPUTED_VALUE"""),"MOBILECARE - VERTIS NORTH")</f>
        <v>MOBILECARE - VERTIS NORTH</v>
      </c>
      <c r="D827" s="2" t="str">
        <f>IFERROR(__xludf.DUMMYFUNCTION("""COMPUTED_VALUE"""),"661-22374")</f>
        <v>661-22374</v>
      </c>
      <c r="E827" s="2" t="str">
        <f>IFERROR(__xludf.DUMMYFUNCTION("""COMPUTED_VALUE"""),"Battery, iPhone 13 mini")</f>
        <v>Battery, iPhone 13 mini</v>
      </c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0" t="str">
        <f t="shared" si="1"/>
        <v>January</v>
      </c>
      <c r="B828" s="11">
        <f>IFERROR(__xludf.DUMMYFUNCTION("""COMPUTED_VALUE"""),46026.0)</f>
        <v>46026</v>
      </c>
      <c r="C828" s="2" t="str">
        <f>IFERROR(__xludf.DUMMYFUNCTION("""COMPUTED_VALUE"""),"MOBILECARE - VERTIS NORTH")</f>
        <v>MOBILECARE - VERTIS NORTH</v>
      </c>
      <c r="D828" s="2" t="str">
        <f>IFERROR(__xludf.DUMMYFUNCTION("""COMPUTED_VALUE"""),"661-36706")</f>
        <v>661-36706</v>
      </c>
      <c r="E828" s="2" t="str">
        <f>IFERROR(__xludf.DUMMYFUNCTION("""COMPUTED_VALUE"""),"Display, iPhone 15")</f>
        <v>Display, iPhone 15</v>
      </c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0" t="str">
        <f t="shared" si="1"/>
        <v>January</v>
      </c>
      <c r="B829" s="11">
        <f>IFERROR(__xludf.DUMMYFUNCTION("""COMPUTED_VALUE"""),46040.0)</f>
        <v>46040</v>
      </c>
      <c r="C829" s="2" t="str">
        <f>IFERROR(__xludf.DUMMYFUNCTION("""COMPUTED_VALUE"""),"MOBILECARE - VERTIS NORTH")</f>
        <v>MOBILECARE - VERTIS NORTH</v>
      </c>
      <c r="D829" s="2" t="str">
        <f>IFERROR(__xludf.DUMMYFUNCTION("""COMPUTED_VALUE"""),"661-36918")</f>
        <v>661-36918</v>
      </c>
      <c r="E829" s="2" t="str">
        <f>IFERROR(__xludf.DUMMYFUNCTION("""COMPUTED_VALUE"""),"Battery, iPhone 15 Pro Max")</f>
        <v>Battery, iPhone 15 Pro Max</v>
      </c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0" t="str">
        <f t="shared" si="1"/>
        <v>January</v>
      </c>
      <c r="B830" s="11">
        <f>IFERROR(__xludf.DUMMYFUNCTION("""COMPUTED_VALUE"""),46025.0)</f>
        <v>46025</v>
      </c>
      <c r="C830" s="2" t="str">
        <f>IFERROR(__xludf.DUMMYFUNCTION("""COMPUTED_VALUE"""),"MOBILECARE - VERTIS NORTH")</f>
        <v>MOBILECARE - VERTIS NORTH</v>
      </c>
      <c r="D830" s="2" t="str">
        <f>IFERROR(__xludf.DUMMYFUNCTION("""COMPUTED_VALUE"""),"661-30366")</f>
        <v>661-30366</v>
      </c>
      <c r="E830" s="2" t="str">
        <f>IFERROR(__xludf.DUMMYFUNCTION("""COMPUTED_VALUE"""),"Display, iPhone 14")</f>
        <v>Display, iPhone 14</v>
      </c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0" t="str">
        <f t="shared" si="1"/>
        <v>January</v>
      </c>
      <c r="B831" s="11">
        <f>IFERROR(__xludf.DUMMYFUNCTION("""COMPUTED_VALUE"""),46035.0)</f>
        <v>46035</v>
      </c>
      <c r="C831" s="2" t="str">
        <f>IFERROR(__xludf.DUMMYFUNCTION("""COMPUTED_VALUE"""),"MOBILECARE - VERTIS NORTH")</f>
        <v>MOBILECARE - VERTIS NORTH</v>
      </c>
      <c r="D831" s="2" t="str">
        <f>IFERROR(__xludf.DUMMYFUNCTION("""COMPUTED_VALUE"""),"PP661-22981")</f>
        <v>PP661-22981</v>
      </c>
      <c r="E831" s="2" t="str">
        <f>IFERROR(__xludf.DUMMYFUNCTION("""COMPUTED_VALUE"""),"Starlight, 128 GB, iPhone 13, ROW, CI/AR, Philippines")</f>
        <v>Starlight, 128 GB, iPhone 13, ROW, CI/AR, Philippines</v>
      </c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0" t="str">
        <f t="shared" si="1"/>
        <v>January</v>
      </c>
      <c r="B832" s="11">
        <f>IFERROR(__xludf.DUMMYFUNCTION("""COMPUTED_VALUE"""),46039.0)</f>
        <v>46039</v>
      </c>
      <c r="C832" s="2" t="str">
        <f>IFERROR(__xludf.DUMMYFUNCTION("""COMPUTED_VALUE"""),"MOBILECARE - VERTIS NORTH")</f>
        <v>MOBILECARE - VERTIS NORTH</v>
      </c>
      <c r="D832" s="2" t="str">
        <f>IFERROR(__xludf.DUMMYFUNCTION("""COMPUTED_VALUE"""),"TA661-35558")</f>
        <v>TA661-35558</v>
      </c>
      <c r="E832" s="2" t="str">
        <f>IFERROR(__xludf.DUMMYFUNCTION("""COMPUTED_VALUE"""),"Natural, iPhone 15 Pro, 256GB, ROW, CI/AR, Taiwan")</f>
        <v>Natural, iPhone 15 Pro, 256GB, ROW, CI/AR, Taiwan</v>
      </c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0" t="str">
        <f t="shared" si="1"/>
        <v>January</v>
      </c>
      <c r="B833" s="11">
        <f>IFERROR(__xludf.DUMMYFUNCTION("""COMPUTED_VALUE"""),46030.0)</f>
        <v>46030</v>
      </c>
      <c r="C833" s="2" t="str">
        <f>IFERROR(__xludf.DUMMYFUNCTION("""COMPUTED_VALUE"""),"MOBILECARE - VERTIS NORTH")</f>
        <v>MOBILECARE - VERTIS NORTH</v>
      </c>
      <c r="D833" s="2" t="str">
        <f>IFERROR(__xludf.DUMMYFUNCTION("""COMPUTED_VALUE"""),"PP661-13322")</f>
        <v>PP661-13322</v>
      </c>
      <c r="E833" s="2" t="str">
        <f>IFERROR(__xludf.DUMMYFUNCTION("""COMPUTED_VALUE"""),"128GB, White, ROW, iPhone 11, CI/AR-PPN")</f>
        <v>128GB, White, ROW, iPhone 11, CI/AR-PPN</v>
      </c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0" t="str">
        <f t="shared" si="1"/>
        <v>January</v>
      </c>
      <c r="B834" s="11">
        <f>IFERROR(__xludf.DUMMYFUNCTION("""COMPUTED_VALUE"""),46025.0)</f>
        <v>46025</v>
      </c>
      <c r="C834" s="2" t="str">
        <f>IFERROR(__xludf.DUMMYFUNCTION("""COMPUTED_VALUE"""),"MOBILECARE - VERTIS NORTH")</f>
        <v>MOBILECARE - VERTIS NORTH</v>
      </c>
      <c r="D834" s="2" t="str">
        <f>IFERROR(__xludf.DUMMYFUNCTION("""COMPUTED_VALUE"""),"TA661-45264")</f>
        <v>TA661-45264</v>
      </c>
      <c r="E834" s="2" t="str">
        <f>IFERROR(__xludf.DUMMYFUNCTION("""COMPUTED_VALUE"""),"256GB, Natural Titanium, ROW, iPhone 16 Pro Max, CI/AR")</f>
        <v>256GB, Natural Titanium, ROW, iPhone 16 Pro Max, CI/AR</v>
      </c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0" t="str">
        <f t="shared" si="1"/>
        <v>May</v>
      </c>
      <c r="B835" s="11">
        <f>IFERROR(__xludf.DUMMYFUNCTION("""COMPUTED_VALUE"""),46158.0)</f>
        <v>46158</v>
      </c>
      <c r="C835" s="2" t="str">
        <f>IFERROR(__xludf.DUMMYFUNCTION("""COMPUTED_VALUE"""),"MOBILECARE - LA UNION")</f>
        <v>MOBILECARE - LA UNION</v>
      </c>
      <c r="D835" s="2" t="str">
        <f>IFERROR(__xludf.DUMMYFUNCTION("""COMPUTED_VALUE"""),"ZP923-13786")</f>
        <v>ZP923-13786</v>
      </c>
      <c r="E835" s="2" t="str">
        <f>IFERROR(__xludf.DUMMYFUNCTION("""COMPUTED_VALUE"""),"Cosmic Orange, Enclosure, iPhone 17 Pro Max, ROW")</f>
        <v>Cosmic Orange, Enclosure, iPhone 17 Pro Max, ROW</v>
      </c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0" t="str">
        <f t="shared" si="1"/>
        <v>May</v>
      </c>
      <c r="B836" s="11">
        <f>IFERROR(__xludf.DUMMYFUNCTION("""COMPUTED_VALUE"""),46158.0)</f>
        <v>46158</v>
      </c>
      <c r="C836" s="2" t="str">
        <f>IFERROR(__xludf.DUMMYFUNCTION("""COMPUTED_VALUE"""),"MOBILECARE - LA UNION")</f>
        <v>MOBILECARE - LA UNION</v>
      </c>
      <c r="D836" s="2" t="str">
        <f>IFERROR(__xludf.DUMMYFUNCTION("""COMPUTED_VALUE"""),"661-56054")</f>
        <v>661-56054</v>
      </c>
      <c r="E836" s="2" t="str">
        <f>IFERROR(__xludf.DUMMYFUNCTION("""COMPUTED_VALUE"""),"Cosmic Orange, Back Glass, iPhone 17 Pro Max")</f>
        <v>Cosmic Orange, Back Glass, iPhone 17 Pro Max</v>
      </c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0" t="str">
        <f t="shared" si="1"/>
        <v>March</v>
      </c>
      <c r="B837" s="11">
        <f>IFERROR(__xludf.DUMMYFUNCTION("""COMPUTED_VALUE"""),46089.0)</f>
        <v>46089</v>
      </c>
      <c r="C837" s="2" t="str">
        <f>IFERROR(__xludf.DUMMYFUNCTION("""COMPUTED_VALUE"""),"MOBILECARE - LA UNION")</f>
        <v>MOBILECARE - LA UNION</v>
      </c>
      <c r="D837" s="2" t="str">
        <f>IFERROR(__xludf.DUMMYFUNCTION("""COMPUTED_VALUE"""),"TA661-36692")</f>
        <v>TA661-36692</v>
      </c>
      <c r="E837" s="2" t="str">
        <f>IFERROR(__xludf.DUMMYFUNCTION("""COMPUTED_VALUE"""),"iPhone 15, Pink, 128GB, Logic Board Assy Mid System, ROW")</f>
        <v>iPhone 15, Pink, 128GB, Logic Board Assy Mid System, ROW</v>
      </c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0" t="str">
        <f t="shared" si="1"/>
        <v>January</v>
      </c>
      <c r="B838" s="11">
        <f>IFERROR(__xludf.DUMMYFUNCTION("""COMPUTED_VALUE"""),46042.0)</f>
        <v>46042</v>
      </c>
      <c r="C838" s="2" t="str">
        <f>IFERROR(__xludf.DUMMYFUNCTION("""COMPUTED_VALUE"""),"MOBILECARE - LA UNION")</f>
        <v>MOBILECARE - LA UNION</v>
      </c>
      <c r="D838" s="2" t="str">
        <f>IFERROR(__xludf.DUMMYFUNCTION("""COMPUTED_VALUE"""),"661-17939")</f>
        <v>661-17939</v>
      </c>
      <c r="E838" s="2" t="str">
        <f>IFERROR(__xludf.DUMMYFUNCTION("""COMPUTED_VALUE"""),"Battery, iPhone 12 mini")</f>
        <v>Battery, iPhone 12 mini</v>
      </c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0" t="str">
        <f t="shared" si="1"/>
        <v>January</v>
      </c>
      <c r="B839" s="11">
        <f>IFERROR(__xludf.DUMMYFUNCTION("""COMPUTED_VALUE"""),46042.0)</f>
        <v>46042</v>
      </c>
      <c r="C839" s="2" t="str">
        <f>IFERROR(__xludf.DUMMYFUNCTION("""COMPUTED_VALUE"""),"MOBILECARE - LA UNION")</f>
        <v>MOBILECARE - LA UNION</v>
      </c>
      <c r="D839" s="2" t="str">
        <f>IFERROR(__xludf.DUMMYFUNCTION("""COMPUTED_VALUE"""),"661-17940")</f>
        <v>661-17940</v>
      </c>
      <c r="E839" s="2" t="str">
        <f>IFERROR(__xludf.DUMMYFUNCTION("""COMPUTED_VALUE"""),"Display, iPhone 12 mini")</f>
        <v>Display, iPhone 12 mini</v>
      </c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0" t="str">
        <f t="shared" si="1"/>
        <v>January</v>
      </c>
      <c r="B840" s="11">
        <f>IFERROR(__xludf.DUMMYFUNCTION("""COMPUTED_VALUE"""),46050.0)</f>
        <v>46050</v>
      </c>
      <c r="C840" s="2" t="str">
        <f>IFERROR(__xludf.DUMMYFUNCTION("""COMPUTED_VALUE"""),"MOBILECARE - LA UNION")</f>
        <v>MOBILECARE - LA UNION</v>
      </c>
      <c r="D840" s="2" t="str">
        <f>IFERROR(__xludf.DUMMYFUNCTION("""COMPUTED_VALUE"""),"TA661-36289")</f>
        <v>TA661-36289</v>
      </c>
      <c r="E840" s="2" t="str">
        <f>IFERROR(__xludf.DUMMYFUNCTION("""COMPUTED_VALUE"""),"Blue, iPhone 15, 128GB, ROW, CI/AR, Taiwan")</f>
        <v>Blue, iPhone 15, 128GB, ROW, CI/AR, Taiwan</v>
      </c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0" t="str">
        <f t="shared" si="1"/>
        <v>January</v>
      </c>
      <c r="B841" s="11">
        <f>IFERROR(__xludf.DUMMYFUNCTION("""COMPUTED_VALUE"""),46052.0)</f>
        <v>46052</v>
      </c>
      <c r="C841" s="2" t="str">
        <f>IFERROR(__xludf.DUMMYFUNCTION("""COMPUTED_VALUE"""),"MOBILECARE - LA UNION")</f>
        <v>MOBILECARE - LA UNION</v>
      </c>
      <c r="D841" s="2" t="str">
        <f>IFERROR(__xludf.DUMMYFUNCTION("""COMPUTED_VALUE"""),"PP661-23455")</f>
        <v>PP661-23455</v>
      </c>
      <c r="E841" s="2" t="str">
        <f>IFERROR(__xludf.DUMMYFUNCTION("""COMPUTED_VALUE"""),"iPhone 13, Starlight, 128GB, Logic Board Assy Rear System, ROW")</f>
        <v>iPhone 13, Starlight, 128GB, Logic Board Assy Rear System, ROW</v>
      </c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0" t="str">
        <f t="shared" si="1"/>
        <v>January</v>
      </c>
      <c r="B842" s="11">
        <f>IFERROR(__xludf.DUMMYFUNCTION("""COMPUTED_VALUE"""),46049.0)</f>
        <v>46049</v>
      </c>
      <c r="C842" s="2" t="str">
        <f>IFERROR(__xludf.DUMMYFUNCTION("""COMPUTED_VALUE"""),"MOBILECARE - LA UNION")</f>
        <v>MOBILECARE - LA UNION</v>
      </c>
      <c r="D842" s="2" t="str">
        <f>IFERROR(__xludf.DUMMYFUNCTION("""COMPUTED_VALUE"""),"PP661-23454")</f>
        <v>PP661-23454</v>
      </c>
      <c r="E842" s="2" t="str">
        <f>IFERROR(__xludf.DUMMYFUNCTION("""COMPUTED_VALUE"""),"iPhone 13, Midnight, 128GB, Logic Board Assy Rear System, ROW")</f>
        <v>iPhone 13, Midnight, 128GB, Logic Board Assy Rear System, ROW</v>
      </c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0" t="str">
        <f t="shared" si="1"/>
        <v>January</v>
      </c>
      <c r="B843" s="11">
        <f>IFERROR(__xludf.DUMMYFUNCTION("""COMPUTED_VALUE"""),46049.0)</f>
        <v>46049</v>
      </c>
      <c r="C843" s="2" t="str">
        <f>IFERROR(__xludf.DUMMYFUNCTION("""COMPUTED_VALUE"""),"MOBILECARE - LA UNION")</f>
        <v>MOBILECARE - LA UNION</v>
      </c>
      <c r="D843" s="2" t="str">
        <f>IFERROR(__xludf.DUMMYFUNCTION("""COMPUTED_VALUE"""),"PP661-28868")</f>
        <v>PP661-28868</v>
      </c>
      <c r="E843" s="2" t="str">
        <f>IFERROR(__xludf.DUMMYFUNCTION("""COMPUTED_VALUE"""),"iPhone 14, Midnight, 128GB, Logic Board Assy Mid System, ROW")</f>
        <v>iPhone 14, Midnight, 128GB, Logic Board Assy Mid System, ROW</v>
      </c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0" t="str">
        <f t="shared" si="1"/>
        <v>January</v>
      </c>
      <c r="B844" s="11">
        <f>IFERROR(__xludf.DUMMYFUNCTION("""COMPUTED_VALUE"""),46044.0)</f>
        <v>46044</v>
      </c>
      <c r="C844" s="2" t="str">
        <f>IFERROR(__xludf.DUMMYFUNCTION("""COMPUTED_VALUE"""),"MOBILECARE - LA UNION")</f>
        <v>MOBILECARE - LA UNION</v>
      </c>
      <c r="D844" s="2" t="str">
        <f>IFERROR(__xludf.DUMMYFUNCTION("""COMPUTED_VALUE"""),"PP661-23455")</f>
        <v>PP661-23455</v>
      </c>
      <c r="E844" s="2" t="str">
        <f>IFERROR(__xludf.DUMMYFUNCTION("""COMPUTED_VALUE"""),"iPhone 13, Starlight, 128GB, Logic Board Assy Rear System, ROW")</f>
        <v>iPhone 13, Starlight, 128GB, Logic Board Assy Rear System, ROW</v>
      </c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0" t="str">
        <f t="shared" si="1"/>
        <v>January</v>
      </c>
      <c r="B845" s="11">
        <f>IFERROR(__xludf.DUMMYFUNCTION("""COMPUTED_VALUE"""),46042.0)</f>
        <v>46042</v>
      </c>
      <c r="C845" s="2" t="str">
        <f>IFERROR(__xludf.DUMMYFUNCTION("""COMPUTED_VALUE"""),"MOBILECARE - LA UNION")</f>
        <v>MOBILECARE - LA UNION</v>
      </c>
      <c r="D845" s="2" t="str">
        <f>IFERROR(__xludf.DUMMYFUNCTION("""COMPUTED_VALUE"""),"PP661-23455")</f>
        <v>PP661-23455</v>
      </c>
      <c r="E845" s="2" t="str">
        <f>IFERROR(__xludf.DUMMYFUNCTION("""COMPUTED_VALUE"""),"iPhone 13, Starlight, 128GB, Logic Board Assy Rear System, ROW")</f>
        <v>iPhone 13, Starlight, 128GB, Logic Board Assy Rear System, ROW</v>
      </c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0" t="str">
        <f t="shared" si="1"/>
        <v>January</v>
      </c>
      <c r="B846" s="11">
        <f>IFERROR(__xludf.DUMMYFUNCTION("""COMPUTED_VALUE"""),46043.0)</f>
        <v>46043</v>
      </c>
      <c r="C846" s="2" t="str">
        <f>IFERROR(__xludf.DUMMYFUNCTION("""COMPUTED_VALUE"""),"MOBILECARE - LA UNION")</f>
        <v>MOBILECARE - LA UNION</v>
      </c>
      <c r="D846" s="2" t="str">
        <f>IFERROR(__xludf.DUMMYFUNCTION("""COMPUTED_VALUE"""),"PP661-23455")</f>
        <v>PP661-23455</v>
      </c>
      <c r="E846" s="2" t="str">
        <f>IFERROR(__xludf.DUMMYFUNCTION("""COMPUTED_VALUE"""),"iPhone 13, Starlight, 128GB, Logic Board Assy Rear System, ROW")</f>
        <v>iPhone 13, Starlight, 128GB, Logic Board Assy Rear System, ROW</v>
      </c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0" t="str">
        <f t="shared" si="1"/>
        <v>January</v>
      </c>
      <c r="B847" s="11">
        <f>IFERROR(__xludf.DUMMYFUNCTION("""COMPUTED_VALUE"""),46040.0)</f>
        <v>46040</v>
      </c>
      <c r="C847" s="2" t="str">
        <f>IFERROR(__xludf.DUMMYFUNCTION("""COMPUTED_VALUE"""),"MOBILECARE - LA UNION")</f>
        <v>MOBILECARE - LA UNION</v>
      </c>
      <c r="D847" s="2" t="str">
        <f>IFERROR(__xludf.DUMMYFUNCTION("""COMPUTED_VALUE"""),"Z661-56015")</f>
        <v>Z661-56015</v>
      </c>
      <c r="E847" s="2" t="str">
        <f>IFERROR(__xludf.DUMMYFUNCTION("""COMPUTED_VALUE"""),"Logic Board, 256GB, iPhone 17, ROW")</f>
        <v>Logic Board, 256GB, iPhone 17, ROW</v>
      </c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0" t="str">
        <f t="shared" si="1"/>
        <v>January</v>
      </c>
      <c r="B848" s="11">
        <f>IFERROR(__xludf.DUMMYFUNCTION("""COMPUTED_VALUE"""),46033.0)</f>
        <v>46033</v>
      </c>
      <c r="C848" s="2" t="str">
        <f>IFERROR(__xludf.DUMMYFUNCTION("""COMPUTED_VALUE"""),"MOBILECARE - LA UNION")</f>
        <v>MOBILECARE - LA UNION</v>
      </c>
      <c r="D848" s="2" t="str">
        <f>IFERROR(__xludf.DUMMYFUNCTION("""COMPUTED_VALUE"""),"661-42726")</f>
        <v>661-42726</v>
      </c>
      <c r="E848" s="2" t="str">
        <f>IFERROR(__xludf.DUMMYFUNCTION("""COMPUTED_VALUE"""),"Display, iPhone 16 Pro")</f>
        <v>Display, iPhone 16 Pro</v>
      </c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0" t="str">
        <f t="shared" si="1"/>
        <v>January</v>
      </c>
      <c r="B849" s="11">
        <f>IFERROR(__xludf.DUMMYFUNCTION("""COMPUTED_VALUE"""),46048.0)</f>
        <v>46048</v>
      </c>
      <c r="C849" s="2" t="str">
        <f>IFERROR(__xludf.DUMMYFUNCTION("""COMPUTED_VALUE"""),"MOBILECARE - LA UNION")</f>
        <v>MOBILECARE - LA UNION</v>
      </c>
      <c r="D849" s="2" t="str">
        <f>IFERROR(__xludf.DUMMYFUNCTION("""COMPUTED_VALUE"""),"TA661-45232")</f>
        <v>TA661-45232</v>
      </c>
      <c r="E849" s="2" t="str">
        <f>IFERROR(__xludf.DUMMYFUNCTION("""COMPUTED_VALUE"""),"128GB, White, ROW, iPhone 16 Plus, Logic Board Assy Mid System")</f>
        <v>128GB, White, ROW, iPhone 16 Plus, Logic Board Assy Mid System</v>
      </c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0" t="str">
        <f t="shared" si="1"/>
        <v>January</v>
      </c>
      <c r="B850" s="11">
        <f>IFERROR(__xludf.DUMMYFUNCTION("""COMPUTED_VALUE"""),46031.0)</f>
        <v>46031</v>
      </c>
      <c r="C850" s="2" t="str">
        <f>IFERROR(__xludf.DUMMYFUNCTION("""COMPUTED_VALUE"""),"MOBILECARE - LA UNION")</f>
        <v>MOBILECARE - LA UNION</v>
      </c>
      <c r="D850" s="2" t="str">
        <f>IFERROR(__xludf.DUMMYFUNCTION("""COMPUTED_VALUE"""),"661-44956")</f>
        <v>661-44956</v>
      </c>
      <c r="E850" s="2" t="str">
        <f>IFERROR(__xludf.DUMMYFUNCTION("""COMPUTED_VALUE"""),"TrueDepth Camera, iPhone 16 Pro Max")</f>
        <v>TrueDepth Camera, iPhone 16 Pro Max</v>
      </c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0" t="str">
        <f t="shared" si="1"/>
        <v>January</v>
      </c>
      <c r="B851" s="11">
        <f>IFERROR(__xludf.DUMMYFUNCTION("""COMPUTED_VALUE"""),46030.0)</f>
        <v>46030</v>
      </c>
      <c r="C851" s="2" t="str">
        <f>IFERROR(__xludf.DUMMYFUNCTION("""COMPUTED_VALUE"""),"MOBILECARE - LA UNION")</f>
        <v>MOBILECARE - LA UNION</v>
      </c>
      <c r="D851" s="2" t="str">
        <f>IFERROR(__xludf.DUMMYFUNCTION("""COMPUTED_VALUE"""),"661-44956")</f>
        <v>661-44956</v>
      </c>
      <c r="E851" s="2" t="str">
        <f>IFERROR(__xludf.DUMMYFUNCTION("""COMPUTED_VALUE"""),"TrueDepth Camera, iPhone 16 Pro Max")</f>
        <v>TrueDepth Camera, iPhone 16 Pro Max</v>
      </c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0" t="str">
        <f t="shared" si="1"/>
        <v>January</v>
      </c>
      <c r="B852" s="11">
        <f>IFERROR(__xludf.DUMMYFUNCTION("""COMPUTED_VALUE"""),46030.0)</f>
        <v>46030</v>
      </c>
      <c r="C852" s="2" t="str">
        <f>IFERROR(__xludf.DUMMYFUNCTION("""COMPUTED_VALUE"""),"MOBILECARE - LA UNION")</f>
        <v>MOBILECARE - LA UNION</v>
      </c>
      <c r="D852" s="2" t="str">
        <f>IFERROR(__xludf.DUMMYFUNCTION("""COMPUTED_VALUE"""),"661-42726")</f>
        <v>661-42726</v>
      </c>
      <c r="E852" s="2" t="str">
        <f>IFERROR(__xludf.DUMMYFUNCTION("""COMPUTED_VALUE"""),"Display, iPhone 16 Pro")</f>
        <v>Display, iPhone 16 Pro</v>
      </c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0" t="str">
        <f t="shared" si="1"/>
        <v>January</v>
      </c>
      <c r="B853" s="11">
        <f>IFERROR(__xludf.DUMMYFUNCTION("""COMPUTED_VALUE"""),46032.0)</f>
        <v>46032</v>
      </c>
      <c r="C853" s="2" t="str">
        <f>IFERROR(__xludf.DUMMYFUNCTION("""COMPUTED_VALUE"""),"MOBILECARE - LA UNION")</f>
        <v>MOBILECARE - LA UNION</v>
      </c>
      <c r="D853" s="2" t="str">
        <f>IFERROR(__xludf.DUMMYFUNCTION("""COMPUTED_VALUE"""),"661-44796")</f>
        <v>661-44796</v>
      </c>
      <c r="E853" s="2" t="str">
        <f>IFERROR(__xludf.DUMMYFUNCTION("""COMPUTED_VALUE"""),"Battery, iPhone 16")</f>
        <v>Battery, iPhone 16</v>
      </c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0" t="str">
        <f t="shared" si="1"/>
        <v>January</v>
      </c>
      <c r="B854" s="11">
        <f>IFERROR(__xludf.DUMMYFUNCTION("""COMPUTED_VALUE"""),46040.0)</f>
        <v>46040</v>
      </c>
      <c r="C854" s="2" t="str">
        <f>IFERROR(__xludf.DUMMYFUNCTION("""COMPUTED_VALUE"""),"MOBILECARE - LA UNION")</f>
        <v>MOBILECARE - LA UNION</v>
      </c>
      <c r="D854" s="2" t="str">
        <f>IFERROR(__xludf.DUMMYFUNCTION("""COMPUTED_VALUE"""),"TA661-55208")</f>
        <v>TA661-55208</v>
      </c>
      <c r="E854" s="2" t="str">
        <f>IFERROR(__xludf.DUMMYFUNCTION("""COMPUTED_VALUE"""),"Deep Blue, 256GB, iPhone 17 Pro Max, ROW, CI/AR, Taiwan")</f>
        <v>Deep Blue, 256GB, iPhone 17 Pro Max, ROW, CI/AR, Taiwan</v>
      </c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0" t="str">
        <f t="shared" si="1"/>
        <v>January</v>
      </c>
      <c r="B855" s="11">
        <f>IFERROR(__xludf.DUMMYFUNCTION("""COMPUTED_VALUE"""),46030.0)</f>
        <v>46030</v>
      </c>
      <c r="C855" s="2" t="str">
        <f>IFERROR(__xludf.DUMMYFUNCTION("""COMPUTED_VALUE"""),"MOBILECARE - LA UNION")</f>
        <v>MOBILECARE - LA UNION</v>
      </c>
      <c r="D855" s="2" t="str">
        <f>IFERROR(__xludf.DUMMYFUNCTION("""COMPUTED_VALUE"""),"661-42845")</f>
        <v>661-42845</v>
      </c>
      <c r="E855" s="2" t="str">
        <f>IFERROR(__xludf.DUMMYFUNCTION("""COMPUTED_VALUE"""),"Camera, iPhone 16 Plus")</f>
        <v>Camera, iPhone 16 Plus</v>
      </c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0" t="str">
        <f t="shared" si="1"/>
        <v>January</v>
      </c>
      <c r="B856" s="11">
        <f>IFERROR(__xludf.DUMMYFUNCTION("""COMPUTED_VALUE"""),46024.0)</f>
        <v>46024</v>
      </c>
      <c r="C856" s="2" t="str">
        <f>IFERROR(__xludf.DUMMYFUNCTION("""COMPUTED_VALUE"""),"MOBILECARE - LA UNION")</f>
        <v>MOBILECARE - LA UNION</v>
      </c>
      <c r="D856" s="2" t="str">
        <f>IFERROR(__xludf.DUMMYFUNCTION("""COMPUTED_VALUE"""),"661-21991")</f>
        <v>661-21991</v>
      </c>
      <c r="E856" s="2" t="str">
        <f>IFERROR(__xludf.DUMMYFUNCTION("""COMPUTED_VALUE"""),"Battery, iPhone 13")</f>
        <v>Battery, iPhone 13</v>
      </c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0" t="str">
        <f t="shared" si="1"/>
        <v>January</v>
      </c>
      <c r="B857" s="11">
        <f>IFERROR(__xludf.DUMMYFUNCTION("""COMPUTED_VALUE"""),46039.0)</f>
        <v>46039</v>
      </c>
      <c r="C857" s="2" t="str">
        <f>IFERROR(__xludf.DUMMYFUNCTION("""COMPUTED_VALUE"""),"MOBILECARE - LA UNION")</f>
        <v>MOBILECARE - LA UNION</v>
      </c>
      <c r="D857" s="2" t="str">
        <f>IFERROR(__xludf.DUMMYFUNCTION("""COMPUTED_VALUE"""),"PP661-22981")</f>
        <v>PP661-22981</v>
      </c>
      <c r="E857" s="2" t="str">
        <f>IFERROR(__xludf.DUMMYFUNCTION("""COMPUTED_VALUE"""),"Starlight, 128 GB, iPhone 13, ROW, CI/AR, Philippines")</f>
        <v>Starlight, 128 GB, iPhone 13, ROW, CI/AR, Philippines</v>
      </c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0" t="str">
        <f t="shared" si="1"/>
        <v>January</v>
      </c>
      <c r="B858" s="11">
        <f>IFERROR(__xludf.DUMMYFUNCTION("""COMPUTED_VALUE"""),46035.0)</f>
        <v>46035</v>
      </c>
      <c r="C858" s="2" t="str">
        <f>IFERROR(__xludf.DUMMYFUNCTION("""COMPUTED_VALUE"""),"MOBILECARE - LA UNION")</f>
        <v>MOBILECARE - LA UNION</v>
      </c>
      <c r="D858" s="2" t="str">
        <f>IFERROR(__xludf.DUMMYFUNCTION("""COMPUTED_VALUE"""),"PP661-23455")</f>
        <v>PP661-23455</v>
      </c>
      <c r="E858" s="2" t="str">
        <f>IFERROR(__xludf.DUMMYFUNCTION("""COMPUTED_VALUE"""),"iPhone 13, Starlight, 128GB, Logic Board Assy Rear System, ROW")</f>
        <v>iPhone 13, Starlight, 128GB, Logic Board Assy Rear System, ROW</v>
      </c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0" t="str">
        <f t="shared" si="1"/>
        <v>January</v>
      </c>
      <c r="B859" s="11">
        <f>IFERROR(__xludf.DUMMYFUNCTION("""COMPUTED_VALUE"""),46039.0)</f>
        <v>46039</v>
      </c>
      <c r="C859" s="2" t="str">
        <f>IFERROR(__xludf.DUMMYFUNCTION("""COMPUTED_VALUE"""),"MOBILECARE - LA UNION")</f>
        <v>MOBILECARE - LA UNION</v>
      </c>
      <c r="D859" s="2" t="str">
        <f>IFERROR(__xludf.DUMMYFUNCTION("""COMPUTED_VALUE"""),"TA661-36696")</f>
        <v>TA661-36696</v>
      </c>
      <c r="E859" s="2" t="str">
        <f>IFERROR(__xludf.DUMMYFUNCTION("""COMPUTED_VALUE"""),"iPhone 15, Black, 256GB, Logic Board Assy Mid System, ROW")</f>
        <v>iPhone 15, Black, 256GB, Logic Board Assy Mid System, ROW</v>
      </c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0" t="str">
        <f t="shared" si="1"/>
        <v>January</v>
      </c>
      <c r="B860" s="11">
        <f>IFERROR(__xludf.DUMMYFUNCTION("""COMPUTED_VALUE"""),46031.0)</f>
        <v>46031</v>
      </c>
      <c r="C860" s="2" t="str">
        <f>IFERROR(__xludf.DUMMYFUNCTION("""COMPUTED_VALUE"""),"MOBILECARE - LA UNION")</f>
        <v>MOBILECARE - LA UNION</v>
      </c>
      <c r="D860" s="2" t="str">
        <f>IFERROR(__xludf.DUMMYFUNCTION("""COMPUTED_VALUE"""),"661-35828")</f>
        <v>661-35828</v>
      </c>
      <c r="E860" s="2" t="str">
        <f>IFERROR(__xludf.DUMMYFUNCTION("""COMPUTED_VALUE"""),"Camera, iPhone 15")</f>
        <v>Camera, iPhone 15</v>
      </c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0" t="str">
        <f t="shared" si="1"/>
        <v>January</v>
      </c>
      <c r="B861" s="11">
        <f>IFERROR(__xludf.DUMMYFUNCTION("""COMPUTED_VALUE"""),46031.0)</f>
        <v>46031</v>
      </c>
      <c r="C861" s="2" t="str">
        <f>IFERROR(__xludf.DUMMYFUNCTION("""COMPUTED_VALUE"""),"MOBILECARE - LA UNION")</f>
        <v>MOBILECARE - LA UNION</v>
      </c>
      <c r="D861" s="2" t="str">
        <f>IFERROR(__xludf.DUMMYFUNCTION("""COMPUTED_VALUE"""),"661-35828")</f>
        <v>661-35828</v>
      </c>
      <c r="E861" s="2" t="str">
        <f>IFERROR(__xludf.DUMMYFUNCTION("""COMPUTED_VALUE"""),"Camera, iPhone 15")</f>
        <v>Camera, iPhone 15</v>
      </c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0" t="str">
        <f t="shared" si="1"/>
        <v>January</v>
      </c>
      <c r="B862" s="11">
        <f>IFERROR(__xludf.DUMMYFUNCTION("""COMPUTED_VALUE"""),46039.0)</f>
        <v>46039</v>
      </c>
      <c r="C862" s="2" t="str">
        <f>IFERROR(__xludf.DUMMYFUNCTION("""COMPUTED_VALUE"""),"MOBILECARE - LA UNION")</f>
        <v>MOBILECARE - LA UNION</v>
      </c>
      <c r="D862" s="2" t="str">
        <f>IFERROR(__xludf.DUMMYFUNCTION("""COMPUTED_VALUE"""),"PP661-22985")</f>
        <v>PP661-22985</v>
      </c>
      <c r="E862" s="2" t="str">
        <f>IFERROR(__xludf.DUMMYFUNCTION("""COMPUTED_VALUE"""),"Midnight, 256 GB, iPhone 13, ROW, CI/AR, Philippines")</f>
        <v>Midnight, 256 GB, iPhone 13, ROW, CI/AR, Philippines</v>
      </c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0" t="str">
        <f t="shared" si="1"/>
        <v>January</v>
      </c>
      <c r="B863" s="11">
        <f>IFERROR(__xludf.DUMMYFUNCTION("""COMPUTED_VALUE"""),46024.0)</f>
        <v>46024</v>
      </c>
      <c r="C863" s="2" t="str">
        <f>IFERROR(__xludf.DUMMYFUNCTION("""COMPUTED_VALUE"""),"MOBILECARE - LA UNION")</f>
        <v>MOBILECARE - LA UNION</v>
      </c>
      <c r="D863" s="2" t="str">
        <f>IFERROR(__xludf.DUMMYFUNCTION("""COMPUTED_VALUE"""),"TA661-43606")</f>
        <v>TA661-43606</v>
      </c>
      <c r="E863" s="2" t="str">
        <f>IFERROR(__xludf.DUMMYFUNCTION("""COMPUTED_VALUE"""),"128GB, White, ROW, iPhone 16, Logic Board Assy Mid System")</f>
        <v>128GB, White, ROW, iPhone 16, Logic Board Assy Mid System</v>
      </c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0" t="str">
        <f t="shared" si="1"/>
        <v>January</v>
      </c>
      <c r="B864" s="11">
        <f>IFERROR(__xludf.DUMMYFUNCTION("""COMPUTED_VALUE"""),46024.0)</f>
        <v>46024</v>
      </c>
      <c r="C864" s="2" t="str">
        <f>IFERROR(__xludf.DUMMYFUNCTION("""COMPUTED_VALUE"""),"MOBILECARE - LA UNION")</f>
        <v>MOBILECARE - LA UNION</v>
      </c>
      <c r="D864" s="2" t="str">
        <f>IFERROR(__xludf.DUMMYFUNCTION("""COMPUTED_VALUE"""),"TA661-36697")</f>
        <v>TA661-36697</v>
      </c>
      <c r="E864" s="2" t="str">
        <f>IFERROR(__xludf.DUMMYFUNCTION("""COMPUTED_VALUE"""),"iPhone 15, Pink, 256GB, Logic Board Assy Mid System, ROW")</f>
        <v>iPhone 15, Pink, 256GB, Logic Board Assy Mid System, ROW</v>
      </c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0" t="str">
        <f t="shared" si="1"/>
        <v>January</v>
      </c>
      <c r="B865" s="11">
        <f>IFERROR(__xludf.DUMMYFUNCTION("""COMPUTED_VALUE"""),46028.0)</f>
        <v>46028</v>
      </c>
      <c r="C865" s="2" t="str">
        <f>IFERROR(__xludf.DUMMYFUNCTION("""COMPUTED_VALUE"""),"MOBILECARE - LA UNION")</f>
        <v>MOBILECARE - LA UNION</v>
      </c>
      <c r="D865" s="2" t="str">
        <f>IFERROR(__xludf.DUMMYFUNCTION("""COMPUTED_VALUE"""),"PP661-28879")</f>
        <v>PP661-28879</v>
      </c>
      <c r="E865" s="2" t="str">
        <f>IFERROR(__xludf.DUMMYFUNCTION("""COMPUTED_VALUE"""),"iPhone 14, Starlight, 512GB, Logic Board Assy Mid System, ROW")</f>
        <v>iPhone 14, Starlight, 512GB, Logic Board Assy Mid System, ROW</v>
      </c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0" t="str">
        <f t="shared" si="1"/>
        <v>May</v>
      </c>
      <c r="B866" s="11">
        <f>IFERROR(__xludf.DUMMYFUNCTION("""COMPUTED_VALUE"""),46163.0)</f>
        <v>46163</v>
      </c>
      <c r="C866" s="2" t="str">
        <f>IFERROR(__xludf.DUMMYFUNCTION("""COMPUTED_VALUE"""),"MOBILECARE - APP MAGNOLIA")</f>
        <v>MOBILECARE - APP MAGNOLIA</v>
      </c>
      <c r="D866" s="2" t="str">
        <f>IFERROR(__xludf.DUMMYFUNCTION("""COMPUTED_VALUE"""),"661-35885")</f>
        <v>661-35885</v>
      </c>
      <c r="E866" s="2" t="str">
        <f>IFERROR(__xludf.DUMMYFUNCTION("""COMPUTED_VALUE"""),"Battery, iPhone 15")</f>
        <v>Battery, iPhone 15</v>
      </c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0" t="str">
        <f t="shared" si="1"/>
        <v>February</v>
      </c>
      <c r="B867" s="11">
        <f>IFERROR(__xludf.DUMMYFUNCTION("""COMPUTED_VALUE"""),46055.0)</f>
        <v>46055</v>
      </c>
      <c r="C867" s="2" t="str">
        <f>IFERROR(__xludf.DUMMYFUNCTION("""COMPUTED_VALUE"""),"MOBILECARE - APP MAGNOLIA")</f>
        <v>MOBILECARE - APP MAGNOLIA</v>
      </c>
      <c r="D867" s="2" t="str">
        <f>IFERROR(__xludf.DUMMYFUNCTION("""COMPUTED_VALUE"""),"661-21993")</f>
        <v>661-21993</v>
      </c>
      <c r="E867" s="2" t="str">
        <f>IFERROR(__xludf.DUMMYFUNCTION("""COMPUTED_VALUE"""),"Display, iPhone 13 Pro")</f>
        <v>Display, iPhone 13 Pro</v>
      </c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0" t="str">
        <f t="shared" si="1"/>
        <v>January</v>
      </c>
      <c r="B868" s="11">
        <f>IFERROR(__xludf.DUMMYFUNCTION("""COMPUTED_VALUE"""),46035.0)</f>
        <v>46035</v>
      </c>
      <c r="C868" s="2" t="str">
        <f>IFERROR(__xludf.DUMMYFUNCTION("""COMPUTED_VALUE"""),"MOBILECARE - APP MAGNOLIA")</f>
        <v>MOBILECARE - APP MAGNOLIA</v>
      </c>
      <c r="D868" s="2" t="str">
        <f>IFERROR(__xludf.DUMMYFUNCTION("""COMPUTED_VALUE"""),"661-22309")</f>
        <v>661-22309</v>
      </c>
      <c r="E868" s="2" t="str">
        <f>IFERROR(__xludf.DUMMYFUNCTION("""COMPUTED_VALUE"""),"Display, iPhone 13 Pro Max")</f>
        <v>Display, iPhone 13 Pro Max</v>
      </c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0" t="str">
        <f t="shared" si="1"/>
        <v>January</v>
      </c>
      <c r="B869" s="11">
        <f>IFERROR(__xludf.DUMMYFUNCTION("""COMPUTED_VALUE"""),46030.0)</f>
        <v>46030</v>
      </c>
      <c r="C869" s="2" t="str">
        <f>IFERROR(__xludf.DUMMYFUNCTION("""COMPUTED_VALUE"""),"MOBILECARE - APP MAGNOLIA")</f>
        <v>MOBILECARE - APP MAGNOLIA</v>
      </c>
      <c r="D869" s="2" t="str">
        <f>IFERROR(__xludf.DUMMYFUNCTION("""COMPUTED_VALUE"""),"661-36915")</f>
        <v>661-36915</v>
      </c>
      <c r="E869" s="2" t="str">
        <f>IFERROR(__xludf.DUMMYFUNCTION("""COMPUTED_VALUE"""),"Display, iPhone 15 Pro Max")</f>
        <v>Display, iPhone 15 Pro Max</v>
      </c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0" t="str">
        <f t="shared" si="1"/>
        <v>January</v>
      </c>
      <c r="B870" s="11">
        <f>IFERROR(__xludf.DUMMYFUNCTION("""COMPUTED_VALUE"""),46036.0)</f>
        <v>46036</v>
      </c>
      <c r="C870" s="2" t="str">
        <f>IFERROR(__xludf.DUMMYFUNCTION("""COMPUTED_VALUE"""),"MOBILECARE - APP MAGNOLIA")</f>
        <v>MOBILECARE - APP MAGNOLIA</v>
      </c>
      <c r="D870" s="2" t="str">
        <f>IFERROR(__xludf.DUMMYFUNCTION("""COMPUTED_VALUE"""),"661-30397")</f>
        <v>661-30397</v>
      </c>
      <c r="E870" s="2" t="str">
        <f>IFERROR(__xludf.DUMMYFUNCTION("""COMPUTED_VALUE"""),"Battery, iPhone 14 Pro Max")</f>
        <v>Battery, iPhone 14 Pro Max</v>
      </c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0" t="str">
        <f t="shared" si="1"/>
        <v>January</v>
      </c>
      <c r="B871" s="11">
        <f>IFERROR(__xludf.DUMMYFUNCTION("""COMPUTED_VALUE"""),46034.0)</f>
        <v>46034</v>
      </c>
      <c r="C871" s="2" t="str">
        <f>IFERROR(__xludf.DUMMYFUNCTION("""COMPUTED_VALUE"""),"MOBILECARE - APP MAGNOLIA")</f>
        <v>MOBILECARE - APP MAGNOLIA</v>
      </c>
      <c r="D871" s="2" t="str">
        <f>IFERROR(__xludf.DUMMYFUNCTION("""COMPUTED_VALUE"""),"661-30373")</f>
        <v>661-30373</v>
      </c>
      <c r="E871" s="2" t="str">
        <f>IFERROR(__xludf.DUMMYFUNCTION("""COMPUTED_VALUE"""),"Battery, iPhone 14")</f>
        <v>Battery, iPhone 14</v>
      </c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0" t="str">
        <f t="shared" si="1"/>
        <v>January</v>
      </c>
      <c r="B872" s="11">
        <f>IFERROR(__xludf.DUMMYFUNCTION("""COMPUTED_VALUE"""),46028.0)</f>
        <v>46028</v>
      </c>
      <c r="C872" s="2" t="str">
        <f>IFERROR(__xludf.DUMMYFUNCTION("""COMPUTED_VALUE"""),"MOBILECARE - APP MAGNOLIA")</f>
        <v>MOBILECARE - APP MAGNOLIA</v>
      </c>
      <c r="D872" s="2" t="str">
        <f>IFERROR(__xludf.DUMMYFUNCTION("""COMPUTED_VALUE"""),"661-21993")</f>
        <v>661-21993</v>
      </c>
      <c r="E872" s="2" t="str">
        <f>IFERROR(__xludf.DUMMYFUNCTION("""COMPUTED_VALUE"""),"Display, iPhone 13 Pro")</f>
        <v>Display, iPhone 13 Pro</v>
      </c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0" t="str">
        <f t="shared" si="1"/>
        <v>January</v>
      </c>
      <c r="B873" s="11">
        <f>IFERROR(__xludf.DUMMYFUNCTION("""COMPUTED_VALUE"""),46031.0)</f>
        <v>46031</v>
      </c>
      <c r="C873" s="2" t="str">
        <f>IFERROR(__xludf.DUMMYFUNCTION("""COMPUTED_VALUE"""),"MOBILECARE - APP MAGNOLIA")</f>
        <v>MOBILECARE - APP MAGNOLIA</v>
      </c>
      <c r="D873" s="2" t="str">
        <f>IFERROR(__xludf.DUMMYFUNCTION("""COMPUTED_VALUE"""),"661-13574")</f>
        <v>661-13574</v>
      </c>
      <c r="E873" s="2" t="str">
        <f>IFERROR(__xludf.DUMMYFUNCTION("""COMPUTED_VALUE"""),"Battery, iPhone 11")</f>
        <v>Battery, iPhone 11</v>
      </c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0" t="str">
        <f t="shared" si="1"/>
        <v>January</v>
      </c>
      <c r="B874" s="11">
        <f>IFERROR(__xludf.DUMMYFUNCTION("""COMPUTED_VALUE"""),46027.0)</f>
        <v>46027</v>
      </c>
      <c r="C874" s="2" t="str">
        <f>IFERROR(__xludf.DUMMYFUNCTION("""COMPUTED_VALUE"""),"MOBILECARE - APP MAGNOLIA")</f>
        <v>MOBILECARE - APP MAGNOLIA</v>
      </c>
      <c r="D874" s="2" t="str">
        <f>IFERROR(__xludf.DUMMYFUNCTION("""COMPUTED_VALUE"""),"661-56125")</f>
        <v>661-56125</v>
      </c>
      <c r="E874" s="2" t="str">
        <f>IFERROR(__xludf.DUMMYFUNCTION("""COMPUTED_VALUE"""),"Display, iPhone 17 Pro")</f>
        <v>Display, iPhone 17 Pro</v>
      </c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0" t="str">
        <f t="shared" si="1"/>
        <v>January</v>
      </c>
      <c r="B875" s="11">
        <f>IFERROR(__xludf.DUMMYFUNCTION("""COMPUTED_VALUE"""),46028.0)</f>
        <v>46028</v>
      </c>
      <c r="C875" s="2" t="str">
        <f>IFERROR(__xludf.DUMMYFUNCTION("""COMPUTED_VALUE"""),"MOBILECARE - APP MAGNOLIA")</f>
        <v>MOBILECARE - APP MAGNOLIA</v>
      </c>
      <c r="D875" s="2" t="str">
        <f>IFERROR(__xludf.DUMMYFUNCTION("""COMPUTED_VALUE"""),"661-42726")</f>
        <v>661-42726</v>
      </c>
      <c r="E875" s="2" t="str">
        <f>IFERROR(__xludf.DUMMYFUNCTION("""COMPUTED_VALUE"""),"Display, iPhone 16 Pro")</f>
        <v>Display, iPhone 16 Pro</v>
      </c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0" t="str">
        <f t="shared" si="1"/>
        <v>January</v>
      </c>
      <c r="B876" s="11">
        <f>IFERROR(__xludf.DUMMYFUNCTION("""COMPUTED_VALUE"""),46028.0)</f>
        <v>46028</v>
      </c>
      <c r="C876" s="2" t="str">
        <f>IFERROR(__xludf.DUMMYFUNCTION("""COMPUTED_VALUE"""),"MOBILECARE - APP MAGNOLIA")</f>
        <v>MOBILECARE - APP MAGNOLIA</v>
      </c>
      <c r="D876" s="2" t="str">
        <f>IFERROR(__xludf.DUMMYFUNCTION("""COMPUTED_VALUE"""),"661-49557")</f>
        <v>661-49557</v>
      </c>
      <c r="E876" s="2" t="str">
        <f>IFERROR(__xludf.DUMMYFUNCTION("""COMPUTED_VALUE"""),"Desert, Back Glass, iPhone 16 Pro")</f>
        <v>Desert, Back Glass, iPhone 16 Pro</v>
      </c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0" t="str">
        <f t="shared" si="1"/>
        <v>January</v>
      </c>
      <c r="B877" s="11">
        <f>IFERROR(__xludf.DUMMYFUNCTION("""COMPUTED_VALUE"""),46027.0)</f>
        <v>46027</v>
      </c>
      <c r="C877" s="2" t="str">
        <f>IFERROR(__xludf.DUMMYFUNCTION("""COMPUTED_VALUE"""),"MOBILECARE - APP MAGNOLIA")</f>
        <v>MOBILECARE - APP MAGNOLIA</v>
      </c>
      <c r="D877" s="2" t="str">
        <f>IFERROR(__xludf.DUMMYFUNCTION("""COMPUTED_VALUE"""),"661-22309")</f>
        <v>661-22309</v>
      </c>
      <c r="E877" s="2" t="str">
        <f>IFERROR(__xludf.DUMMYFUNCTION("""COMPUTED_VALUE"""),"Display, iPhone 13 Pro Max")</f>
        <v>Display, iPhone 13 Pro Max</v>
      </c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0" t="str">
        <f t="shared" si="1"/>
        <v>January</v>
      </c>
      <c r="B878" s="11">
        <f>IFERROR(__xludf.DUMMYFUNCTION("""COMPUTED_VALUE"""),46028.0)</f>
        <v>46028</v>
      </c>
      <c r="C878" s="2" t="str">
        <f>IFERROR(__xludf.DUMMYFUNCTION("""COMPUTED_VALUE"""),"MOBILECARE - APP MAGNOLIA")</f>
        <v>MOBILECARE - APP MAGNOLIA</v>
      </c>
      <c r="D878" s="2" t="str">
        <f>IFERROR(__xludf.DUMMYFUNCTION("""COMPUTED_VALUE"""),"661-42843")</f>
        <v>661-42843</v>
      </c>
      <c r="E878" s="2" t="str">
        <f>IFERROR(__xludf.DUMMYFUNCTION("""COMPUTED_VALUE"""),"Display, iPhone 16 Plus")</f>
        <v>Display, iPhone 16 Plus</v>
      </c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0" t="str">
        <f t="shared" si="1"/>
        <v>January</v>
      </c>
      <c r="B879" s="11">
        <f>IFERROR(__xludf.DUMMYFUNCTION("""COMPUTED_VALUE"""),46027.0)</f>
        <v>46027</v>
      </c>
      <c r="C879" s="2" t="str">
        <f>IFERROR(__xludf.DUMMYFUNCTION("""COMPUTED_VALUE"""),"MOBILECARE - APP MAGNOLIA")</f>
        <v>MOBILECARE - APP MAGNOLIA</v>
      </c>
      <c r="D879" s="2" t="str">
        <f>IFERROR(__xludf.DUMMYFUNCTION("""COMPUTED_VALUE"""),"661-42727")</f>
        <v>661-42727</v>
      </c>
      <c r="E879" s="2" t="str">
        <f>IFERROR(__xludf.DUMMYFUNCTION("""COMPUTED_VALUE"""),"TrueDepth Camera, iPhone 16 Pro")</f>
        <v>TrueDepth Camera, iPhone 16 Pro</v>
      </c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0" t="str">
        <f t="shared" si="1"/>
        <v>January</v>
      </c>
      <c r="B880" s="11">
        <f>IFERROR(__xludf.DUMMYFUNCTION("""COMPUTED_VALUE"""),46028.0)</f>
        <v>46028</v>
      </c>
      <c r="C880" s="2" t="str">
        <f>IFERROR(__xludf.DUMMYFUNCTION("""COMPUTED_VALUE"""),"MOBILECARE - APP MAGNOLIA")</f>
        <v>MOBILECARE - APP MAGNOLIA</v>
      </c>
      <c r="D880" s="2" t="str">
        <f>IFERROR(__xludf.DUMMYFUNCTION("""COMPUTED_VALUE"""),"661-22294")</f>
        <v>661-22294</v>
      </c>
      <c r="E880" s="2" t="str">
        <f>IFERROR(__xludf.DUMMYFUNCTION("""COMPUTED_VALUE"""),"Battery, iPhone 13 Pro Max")</f>
        <v>Battery, iPhone 13 Pro Max</v>
      </c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0" t="str">
        <f t="shared" si="1"/>
        <v>January</v>
      </c>
      <c r="B881" s="11">
        <f>IFERROR(__xludf.DUMMYFUNCTION("""COMPUTED_VALUE"""),46024.0)</f>
        <v>46024</v>
      </c>
      <c r="C881" s="2" t="str">
        <f>IFERROR(__xludf.DUMMYFUNCTION("""COMPUTED_VALUE"""),"MOBILECARE - APP MAGNOLIA")</f>
        <v>MOBILECARE - APP MAGNOLIA</v>
      </c>
      <c r="D881" s="2" t="str">
        <f>IFERROR(__xludf.DUMMYFUNCTION("""COMPUTED_VALUE"""),"661-17920")</f>
        <v>661-17920</v>
      </c>
      <c r="E881" s="2" t="str">
        <f>IFERROR(__xludf.DUMMYFUNCTION("""COMPUTED_VALUE"""),"Battery, iPhone 12 and 12 Pro")</f>
        <v>Battery, iPhone 12 and 12 Pro</v>
      </c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0" t="str">
        <f t="shared" si="1"/>
        <v>January</v>
      </c>
      <c r="B882" s="11">
        <f>IFERROR(__xludf.DUMMYFUNCTION("""COMPUTED_VALUE"""),46026.0)</f>
        <v>46026</v>
      </c>
      <c r="C882" s="2" t="str">
        <f>IFERROR(__xludf.DUMMYFUNCTION("""COMPUTED_VALUE"""),"MOBILECARE - APP MAGNOLIA")</f>
        <v>MOBILECARE - APP MAGNOLIA</v>
      </c>
      <c r="D882" s="2" t="str">
        <f>IFERROR(__xludf.DUMMYFUNCTION("""COMPUTED_VALUE"""),"661-30398")</f>
        <v>661-30398</v>
      </c>
      <c r="E882" s="2" t="str">
        <f>IFERROR(__xludf.DUMMYFUNCTION("""COMPUTED_VALUE"""),"Camera, iPhone 14 Pro Max")</f>
        <v>Camera, iPhone 14 Pro Max</v>
      </c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0" t="str">
        <f t="shared" si="1"/>
        <v>January</v>
      </c>
      <c r="B883" s="11">
        <f>IFERROR(__xludf.DUMMYFUNCTION("""COMPUTED_VALUE"""),46026.0)</f>
        <v>46026</v>
      </c>
      <c r="C883" s="2" t="str">
        <f>IFERROR(__xludf.DUMMYFUNCTION("""COMPUTED_VALUE"""),"MOBILECARE - APP MAGNOLIA")</f>
        <v>MOBILECARE - APP MAGNOLIA</v>
      </c>
      <c r="D883" s="2" t="str">
        <f>IFERROR(__xludf.DUMMYFUNCTION("""COMPUTED_VALUE"""),"661-30397")</f>
        <v>661-30397</v>
      </c>
      <c r="E883" s="2" t="str">
        <f>IFERROR(__xludf.DUMMYFUNCTION("""COMPUTED_VALUE"""),"Battery, iPhone 14 Pro Max")</f>
        <v>Battery, iPhone 14 Pro Max</v>
      </c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0" t="str">
        <f t="shared" si="1"/>
        <v>February</v>
      </c>
      <c r="B884" s="11">
        <f>IFERROR(__xludf.DUMMYFUNCTION("""COMPUTED_VALUE"""),46064.0)</f>
        <v>46064</v>
      </c>
      <c r="C884" s="2" t="str">
        <f>IFERROR(__xludf.DUMMYFUNCTION("""COMPUTED_VALUE"""),"MOBILECARE - NORTHEAST SQUARE")</f>
        <v>MOBILECARE - NORTHEAST SQUARE</v>
      </c>
      <c r="D884" s="2" t="str">
        <f>IFERROR(__xludf.DUMMYFUNCTION("""COMPUTED_VALUE"""),"661-13574")</f>
        <v>661-13574</v>
      </c>
      <c r="E884" s="2" t="str">
        <f>IFERROR(__xludf.DUMMYFUNCTION("""COMPUTED_VALUE"""),"Battery, iPhone 11")</f>
        <v>Battery, iPhone 11</v>
      </c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0" t="str">
        <f t="shared" si="1"/>
        <v>January</v>
      </c>
      <c r="B885" s="11">
        <f>IFERROR(__xludf.DUMMYFUNCTION("""COMPUTED_VALUE"""),46051.0)</f>
        <v>46051</v>
      </c>
      <c r="C885" s="2" t="str">
        <f>IFERROR(__xludf.DUMMYFUNCTION("""COMPUTED_VALUE"""),"MOBILECARE - NORTHEAST SQUARE")</f>
        <v>MOBILECARE - NORTHEAST SQUARE</v>
      </c>
      <c r="D885" s="2" t="str">
        <f>IFERROR(__xludf.DUMMYFUNCTION("""COMPUTED_VALUE"""),"661-25890")</f>
        <v>661-25890</v>
      </c>
      <c r="E885" s="2" t="str">
        <f>IFERROR(__xludf.DUMMYFUNCTION("""COMPUTED_VALUE"""),"Battery, iPhone SE 3rd generation")</f>
        <v>Battery, iPhone SE 3rd generation</v>
      </c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0" t="str">
        <f t="shared" si="1"/>
        <v>January</v>
      </c>
      <c r="B886" s="11">
        <f>IFERROR(__xludf.DUMMYFUNCTION("""COMPUTED_VALUE"""),46030.0)</f>
        <v>46030</v>
      </c>
      <c r="C886" s="2" t="str">
        <f>IFERROR(__xludf.DUMMYFUNCTION("""COMPUTED_VALUE"""),"MOBILECARE - NORTHEAST SQUARE")</f>
        <v>MOBILECARE - NORTHEAST SQUARE</v>
      </c>
      <c r="D886" s="2" t="str">
        <f>IFERROR(__xludf.DUMMYFUNCTION("""COMPUTED_VALUE"""),"661-13624")</f>
        <v>661-13624</v>
      </c>
      <c r="E886" s="2" t="str">
        <f>IFERROR(__xludf.DUMMYFUNCTION("""COMPUTED_VALUE"""),"Battery, iPhone 11 Pro Max")</f>
        <v>Battery, iPhone 11 Pro Max</v>
      </c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0" t="str">
        <f t="shared" si="1"/>
        <v>January</v>
      </c>
      <c r="B887" s="11">
        <f>IFERROR(__xludf.DUMMYFUNCTION("""COMPUTED_VALUE"""),46034.0)</f>
        <v>46034</v>
      </c>
      <c r="C887" s="2" t="str">
        <f>IFERROR(__xludf.DUMMYFUNCTION("""COMPUTED_VALUE"""),"MOBILECARE - NORTHEAST SQUARE")</f>
        <v>MOBILECARE - NORTHEAST SQUARE</v>
      </c>
      <c r="D887" s="2" t="str">
        <f>IFERROR(__xludf.DUMMYFUNCTION("""COMPUTED_VALUE"""),"661-22309")</f>
        <v>661-22309</v>
      </c>
      <c r="E887" s="2" t="str">
        <f>IFERROR(__xludf.DUMMYFUNCTION("""COMPUTED_VALUE"""),"Display, iPhone 13 Pro Max")</f>
        <v>Display, iPhone 13 Pro Max</v>
      </c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0" t="str">
        <f t="shared" si="1"/>
        <v>January</v>
      </c>
      <c r="B888" s="11">
        <f>IFERROR(__xludf.DUMMYFUNCTION("""COMPUTED_VALUE"""),46034.0)</f>
        <v>46034</v>
      </c>
      <c r="C888" s="2" t="str">
        <f>IFERROR(__xludf.DUMMYFUNCTION("""COMPUTED_VALUE"""),"MOBILECARE - NORTHEAST SQUARE")</f>
        <v>MOBILECARE - NORTHEAST SQUARE</v>
      </c>
      <c r="D888" s="2" t="str">
        <f>IFERROR(__xludf.DUMMYFUNCTION("""COMPUTED_VALUE"""),"661-22294")</f>
        <v>661-22294</v>
      </c>
      <c r="E888" s="2" t="str">
        <f>IFERROR(__xludf.DUMMYFUNCTION("""COMPUTED_VALUE"""),"Battery, iPhone 13 Pro Max")</f>
        <v>Battery, iPhone 13 Pro Max</v>
      </c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0" t="str">
        <f t="shared" si="1"/>
        <v>January</v>
      </c>
      <c r="B889" s="11">
        <f>IFERROR(__xludf.DUMMYFUNCTION("""COMPUTED_VALUE"""),46031.0)</f>
        <v>46031</v>
      </c>
      <c r="C889" s="2" t="str">
        <f>IFERROR(__xludf.DUMMYFUNCTION("""COMPUTED_VALUE"""),"MOBILECARE - NORTHEAST SQUARE")</f>
        <v>MOBILECARE - NORTHEAST SQUARE</v>
      </c>
      <c r="D889" s="2" t="str">
        <f>IFERROR(__xludf.DUMMYFUNCTION("""COMPUTED_VALUE"""),"661-21991")</f>
        <v>661-21991</v>
      </c>
      <c r="E889" s="2" t="str">
        <f>IFERROR(__xludf.DUMMYFUNCTION("""COMPUTED_VALUE"""),"Battery, iPhone 13")</f>
        <v>Battery, iPhone 13</v>
      </c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0" t="str">
        <f t="shared" si="1"/>
        <v>January</v>
      </c>
      <c r="B890" s="11">
        <f>IFERROR(__xludf.DUMMYFUNCTION("""COMPUTED_VALUE"""),46028.0)</f>
        <v>46028</v>
      </c>
      <c r="C890" s="2" t="str">
        <f>IFERROR(__xludf.DUMMYFUNCTION("""COMPUTED_VALUE"""),"MOBILECARE - NORTHEAST SQUARE")</f>
        <v>MOBILECARE - NORTHEAST SQUARE</v>
      </c>
      <c r="D890" s="2" t="str">
        <f>IFERROR(__xludf.DUMMYFUNCTION("""COMPUTED_VALUE"""),"661-21996")</f>
        <v>661-21996</v>
      </c>
      <c r="E890" s="2" t="str">
        <f>IFERROR(__xludf.DUMMYFUNCTION("""COMPUTED_VALUE"""),"Battery, iPhone 13 Pro")</f>
        <v>Battery, iPhone 13 Pro</v>
      </c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0" t="str">
        <f t="shared" si="1"/>
        <v>January</v>
      </c>
      <c r="B891" s="11">
        <f>IFERROR(__xludf.DUMMYFUNCTION("""COMPUTED_VALUE"""),46035.0)</f>
        <v>46035</v>
      </c>
      <c r="C891" s="2" t="str">
        <f>IFERROR(__xludf.DUMMYFUNCTION("""COMPUTED_VALUE"""),"MOBILECARE - NORTHEAST SQUARE")</f>
        <v>MOBILECARE - NORTHEAST SQUARE</v>
      </c>
      <c r="D891" s="2" t="str">
        <f>IFERROR(__xludf.DUMMYFUNCTION("""COMPUTED_VALUE"""),"661-22294")</f>
        <v>661-22294</v>
      </c>
      <c r="E891" s="2" t="str">
        <f>IFERROR(__xludf.DUMMYFUNCTION("""COMPUTED_VALUE"""),"Battery, iPhone 13 Pro Max")</f>
        <v>Battery, iPhone 13 Pro Max</v>
      </c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0" t="str">
        <f t="shared" si="1"/>
        <v>January</v>
      </c>
      <c r="B892" s="11">
        <f>IFERROR(__xludf.DUMMYFUNCTION("""COMPUTED_VALUE"""),46032.0)</f>
        <v>46032</v>
      </c>
      <c r="C892" s="2" t="str">
        <f>IFERROR(__xludf.DUMMYFUNCTION("""COMPUTED_VALUE"""),"MOBILECARE - NORTHEAST SQUARE")</f>
        <v>MOBILECARE - NORTHEAST SQUARE</v>
      </c>
      <c r="D892" s="2" t="str">
        <f>IFERROR(__xludf.DUMMYFUNCTION("""COMPUTED_VALUE"""),"661-22309")</f>
        <v>661-22309</v>
      </c>
      <c r="E892" s="2" t="str">
        <f>IFERROR(__xludf.DUMMYFUNCTION("""COMPUTED_VALUE"""),"Display, iPhone 13 Pro Max")</f>
        <v>Display, iPhone 13 Pro Max</v>
      </c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0" t="str">
        <f t="shared" si="1"/>
        <v>January</v>
      </c>
      <c r="B893" s="11">
        <f>IFERROR(__xludf.DUMMYFUNCTION("""COMPUTED_VALUE"""),46032.0)</f>
        <v>46032</v>
      </c>
      <c r="C893" s="2" t="str">
        <f>IFERROR(__xludf.DUMMYFUNCTION("""COMPUTED_VALUE"""),"MOBILECARE - NORTHEAST SQUARE")</f>
        <v>MOBILECARE - NORTHEAST SQUARE</v>
      </c>
      <c r="D893" s="2" t="str">
        <f>IFERROR(__xludf.DUMMYFUNCTION("""COMPUTED_VALUE"""),"661-22294")</f>
        <v>661-22294</v>
      </c>
      <c r="E893" s="2" t="str">
        <f>IFERROR(__xludf.DUMMYFUNCTION("""COMPUTED_VALUE"""),"Battery, iPhone 13 Pro Max")</f>
        <v>Battery, iPhone 13 Pro Max</v>
      </c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0" t="str">
        <f t="shared" si="1"/>
        <v>January</v>
      </c>
      <c r="B894" s="11">
        <f>IFERROR(__xludf.DUMMYFUNCTION("""COMPUTED_VALUE"""),46028.0)</f>
        <v>46028</v>
      </c>
      <c r="C894" s="2" t="str">
        <f>IFERROR(__xludf.DUMMYFUNCTION("""COMPUTED_VALUE"""),"MOBILECARE - NORTHEAST SQUARE")</f>
        <v>MOBILECARE - NORTHEAST SQUARE</v>
      </c>
      <c r="D894" s="2" t="str">
        <f>IFERROR(__xludf.DUMMYFUNCTION("""COMPUTED_VALUE"""),"661-30366")</f>
        <v>661-30366</v>
      </c>
      <c r="E894" s="2" t="str">
        <f>IFERROR(__xludf.DUMMYFUNCTION("""COMPUTED_VALUE"""),"Display, iPhone 14")</f>
        <v>Display, iPhone 14</v>
      </c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0" t="str">
        <f t="shared" si="1"/>
        <v>January</v>
      </c>
      <c r="B895" s="11">
        <f>IFERROR(__xludf.DUMMYFUNCTION("""COMPUTED_VALUE"""),46026.0)</f>
        <v>46026</v>
      </c>
      <c r="C895" s="2" t="str">
        <f>IFERROR(__xludf.DUMMYFUNCTION("""COMPUTED_VALUE"""),"MOBILECARE - NORTHEAST SQUARE")</f>
        <v>MOBILECARE - NORTHEAST SQUARE</v>
      </c>
      <c r="D895" s="2" t="str">
        <f>IFERROR(__xludf.DUMMYFUNCTION("""COMPUTED_VALUE"""),"661-22294")</f>
        <v>661-22294</v>
      </c>
      <c r="E895" s="2" t="str">
        <f>IFERROR(__xludf.DUMMYFUNCTION("""COMPUTED_VALUE"""),"Battery, iPhone 13 Pro Max")</f>
        <v>Battery, iPhone 13 Pro Max</v>
      </c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0" t="str">
        <f t="shared" si="1"/>
        <v>January</v>
      </c>
      <c r="B896" s="11">
        <f>IFERROR(__xludf.DUMMYFUNCTION("""COMPUTED_VALUE"""),46030.0)</f>
        <v>46030</v>
      </c>
      <c r="C896" s="2" t="str">
        <f>IFERROR(__xludf.DUMMYFUNCTION("""COMPUTED_VALUE"""),"MOBILECARE - NORTHEAST SQUARE")</f>
        <v>MOBILECARE - NORTHEAST SQUARE</v>
      </c>
      <c r="D896" s="2" t="str">
        <f>IFERROR(__xludf.DUMMYFUNCTION("""COMPUTED_VALUE"""),"661-22309")</f>
        <v>661-22309</v>
      </c>
      <c r="E896" s="2" t="str">
        <f>IFERROR(__xludf.DUMMYFUNCTION("""COMPUTED_VALUE"""),"Display, iPhone 13 Pro Max")</f>
        <v>Display, iPhone 13 Pro Max</v>
      </c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0" t="str">
        <f t="shared" si="1"/>
        <v>January</v>
      </c>
      <c r="B897" s="11">
        <f>IFERROR(__xludf.DUMMYFUNCTION("""COMPUTED_VALUE"""),46043.0)</f>
        <v>46043</v>
      </c>
      <c r="C897" s="2" t="str">
        <f>IFERROR(__xludf.DUMMYFUNCTION("""COMPUTED_VALUE"""),"MOBILECARE - NORTHEAST SQUARE")</f>
        <v>MOBILECARE - NORTHEAST SQUARE</v>
      </c>
      <c r="D897" s="2" t="str">
        <f>IFERROR(__xludf.DUMMYFUNCTION("""COMPUTED_VALUE"""),"PP661-22987")</f>
        <v>PP661-22987</v>
      </c>
      <c r="E897" s="2" t="str">
        <f>IFERROR(__xludf.DUMMYFUNCTION("""COMPUTED_VALUE"""),"Pink, 256 GB, iPhone 13, ROW, CI/AR, Philippines")</f>
        <v>Pink, 256 GB, iPhone 13, ROW, CI/AR, Philippines</v>
      </c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0" t="str">
        <f t="shared" si="1"/>
        <v>January</v>
      </c>
      <c r="B898" s="11">
        <f>IFERROR(__xludf.DUMMYFUNCTION("""COMPUTED_VALUE"""),46026.0)</f>
        <v>46026</v>
      </c>
      <c r="C898" s="2" t="str">
        <f>IFERROR(__xludf.DUMMYFUNCTION("""COMPUTED_VALUE"""),"MOBILECARE - NORTHEAST SQUARE")</f>
        <v>MOBILECARE - NORTHEAST SQUARE</v>
      </c>
      <c r="D898" s="2" t="str">
        <f>IFERROR(__xludf.DUMMYFUNCTION("""COMPUTED_VALUE"""),"661-44957")</f>
        <v>661-44957</v>
      </c>
      <c r="E898" s="2" t="str">
        <f>IFERROR(__xludf.DUMMYFUNCTION("""COMPUTED_VALUE"""),"Camera, iPhone 16 Pro Max")</f>
        <v>Camera, iPhone 16 Pro Max</v>
      </c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0" t="str">
        <f t="shared" si="1"/>
        <v>January</v>
      </c>
      <c r="B899" s="11">
        <f>IFERROR(__xludf.DUMMYFUNCTION("""COMPUTED_VALUE"""),46024.0)</f>
        <v>46024</v>
      </c>
      <c r="C899" s="2" t="str">
        <f>IFERROR(__xludf.DUMMYFUNCTION("""COMPUTED_VALUE"""),"MOBILECARE - NORTHEAST SQUARE")</f>
        <v>MOBILECARE - NORTHEAST SQUARE</v>
      </c>
      <c r="D899" s="2" t="str">
        <f>IFERROR(__xludf.DUMMYFUNCTION("""COMPUTED_VALUE"""),"661-30366")</f>
        <v>661-30366</v>
      </c>
      <c r="E899" s="2" t="str">
        <f>IFERROR(__xludf.DUMMYFUNCTION("""COMPUTED_VALUE"""),"Display, iPhone 14")</f>
        <v>Display, iPhone 14</v>
      </c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0" t="str">
        <f t="shared" si="1"/>
        <v>May</v>
      </c>
      <c r="B900" s="11">
        <f>IFERROR(__xludf.DUMMYFUNCTION("""COMPUTED_VALUE"""),46150.0)</f>
        <v>46150</v>
      </c>
      <c r="C900" s="2" t="str">
        <f>IFERROR(__xludf.DUMMYFUNCTION("""COMPUTED_VALUE"""),"MOBILECARE - APP MEGAMALL")</f>
        <v>MOBILECARE - APP MEGAMALL</v>
      </c>
      <c r="D900" s="2" t="str">
        <f>IFERROR(__xludf.DUMMYFUNCTION("""COMPUTED_VALUE"""),"661-22309")</f>
        <v>661-22309</v>
      </c>
      <c r="E900" s="2" t="str">
        <f>IFERROR(__xludf.DUMMYFUNCTION("""COMPUTED_VALUE"""),"Display, iPhone 13 Pro Max")</f>
        <v>Display, iPhone 13 Pro Max</v>
      </c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0" t="str">
        <f t="shared" si="1"/>
        <v>April</v>
      </c>
      <c r="B901" s="11">
        <f>IFERROR(__xludf.DUMMYFUNCTION("""COMPUTED_VALUE"""),46118.0)</f>
        <v>46118</v>
      </c>
      <c r="C901" s="2" t="str">
        <f>IFERROR(__xludf.DUMMYFUNCTION("""COMPUTED_VALUE"""),"MOBILECARE - APP MEGAMALL")</f>
        <v>MOBILECARE - APP MEGAMALL</v>
      </c>
      <c r="D901" s="2" t="str">
        <f>IFERROR(__xludf.DUMMYFUNCTION("""COMPUTED_VALUE"""),"661-21991")</f>
        <v>661-21991</v>
      </c>
      <c r="E901" s="2" t="str">
        <f>IFERROR(__xludf.DUMMYFUNCTION("""COMPUTED_VALUE"""),"Battery, iPhone 13")</f>
        <v>Battery, iPhone 13</v>
      </c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0" t="str">
        <f t="shared" si="1"/>
        <v>March</v>
      </c>
      <c r="B902" s="11">
        <f>IFERROR(__xludf.DUMMYFUNCTION("""COMPUTED_VALUE"""),46091.0)</f>
        <v>46091</v>
      </c>
      <c r="C902" s="2" t="str">
        <f>IFERROR(__xludf.DUMMYFUNCTION("""COMPUTED_VALUE"""),"MOBILECARE - APP MEGAMALL")</f>
        <v>MOBILECARE - APP MEGAMALL</v>
      </c>
      <c r="D902" s="2" t="str">
        <f>IFERROR(__xludf.DUMMYFUNCTION("""COMPUTED_VALUE"""),"661-22294")</f>
        <v>661-22294</v>
      </c>
      <c r="E902" s="2" t="str">
        <f>IFERROR(__xludf.DUMMYFUNCTION("""COMPUTED_VALUE"""),"Battery, iPhone 13 Pro Max")</f>
        <v>Battery, iPhone 13 Pro Max</v>
      </c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0" t="str">
        <f t="shared" si="1"/>
        <v>January</v>
      </c>
      <c r="B903" s="11">
        <f>IFERROR(__xludf.DUMMYFUNCTION("""COMPUTED_VALUE"""),46036.0)</f>
        <v>46036</v>
      </c>
      <c r="C903" s="2" t="str">
        <f>IFERROR(__xludf.DUMMYFUNCTION("""COMPUTED_VALUE"""),"MOBILECARE - APP MEGAMALL")</f>
        <v>MOBILECARE - APP MEGAMALL</v>
      </c>
      <c r="D903" s="2" t="str">
        <f>IFERROR(__xludf.DUMMYFUNCTION("""COMPUTED_VALUE"""),"923-11083")</f>
        <v>923-11083</v>
      </c>
      <c r="E903" s="2" t="str">
        <f>IFERROR(__xludf.DUMMYFUNCTION("""COMPUTED_VALUE"""),"Top Speaker, iPhone 16 Pro Max,non mmWave")</f>
        <v>Top Speaker, iPhone 16 Pro Max,non mmWave</v>
      </c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0" t="str">
        <f t="shared" si="1"/>
        <v>January</v>
      </c>
      <c r="B904" s="11">
        <f>IFERROR(__xludf.DUMMYFUNCTION("""COMPUTED_VALUE"""),46031.0)</f>
        <v>46031</v>
      </c>
      <c r="C904" s="2" t="str">
        <f>IFERROR(__xludf.DUMMYFUNCTION("""COMPUTED_VALUE"""),"MOBILECARE - APP MEGAMALL")</f>
        <v>MOBILECARE - APP MEGAMALL</v>
      </c>
      <c r="D904" s="2" t="str">
        <f>IFERROR(__xludf.DUMMYFUNCTION("""COMPUTED_VALUE"""),"661-22374")</f>
        <v>661-22374</v>
      </c>
      <c r="E904" s="2" t="str">
        <f>IFERROR(__xludf.DUMMYFUNCTION("""COMPUTED_VALUE"""),"Battery, iPhone 13 mini")</f>
        <v>Battery, iPhone 13 mini</v>
      </c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0" t="str">
        <f t="shared" si="1"/>
        <v>January</v>
      </c>
      <c r="B905" s="11">
        <f>IFERROR(__xludf.DUMMYFUNCTION("""COMPUTED_VALUE"""),46025.0)</f>
        <v>46025</v>
      </c>
      <c r="C905" s="2" t="str">
        <f>IFERROR(__xludf.DUMMYFUNCTION("""COMPUTED_VALUE"""),"MOBILECARE - APP MEGAMALL")</f>
        <v>MOBILECARE - APP MEGAMALL</v>
      </c>
      <c r="D905" s="2" t="str">
        <f>IFERROR(__xludf.DUMMYFUNCTION("""COMPUTED_VALUE"""),"661-23878")</f>
        <v>661-23878</v>
      </c>
      <c r="E905" s="2" t="str">
        <f>IFERROR(__xludf.DUMMYFUNCTION("""COMPUTED_VALUE"""),"TrueDepth Camera, iPhone 13")</f>
        <v>TrueDepth Camera, iPhone 13</v>
      </c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0" t="str">
        <f t="shared" si="1"/>
        <v>January</v>
      </c>
      <c r="B906" s="11">
        <f>IFERROR(__xludf.DUMMYFUNCTION("""COMPUTED_VALUE"""),46041.0)</f>
        <v>46041</v>
      </c>
      <c r="C906" s="2" t="str">
        <f>IFERROR(__xludf.DUMMYFUNCTION("""COMPUTED_VALUE"""),"MOBILECARE - APP BONIFACIO HIGH STREET")</f>
        <v>MOBILECARE - APP BONIFACIO HIGH STREET</v>
      </c>
      <c r="D906" s="2" t="str">
        <f>IFERROR(__xludf.DUMMYFUNCTION("""COMPUTED_VALUE"""),"661-42728")</f>
        <v>661-42728</v>
      </c>
      <c r="E906" s="2" t="str">
        <f>IFERROR(__xludf.DUMMYFUNCTION("""COMPUTED_VALUE"""),"Camera, iPhone 16 Pro")</f>
        <v>Camera, iPhone 16 Pro</v>
      </c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0" t="str">
        <f t="shared" si="1"/>
        <v>January</v>
      </c>
      <c r="B907" s="11">
        <f>IFERROR(__xludf.DUMMYFUNCTION("""COMPUTED_VALUE"""),46041.0)</f>
        <v>46041</v>
      </c>
      <c r="C907" s="2" t="str">
        <f>IFERROR(__xludf.DUMMYFUNCTION("""COMPUTED_VALUE"""),"MOBILECARE - APP BONIFACIO HIGH STREET")</f>
        <v>MOBILECARE - APP BONIFACIO HIGH STREET</v>
      </c>
      <c r="D907" s="2" t="str">
        <f>IFERROR(__xludf.DUMMYFUNCTION("""COMPUTED_VALUE"""),"661-42726")</f>
        <v>661-42726</v>
      </c>
      <c r="E907" s="2" t="str">
        <f>IFERROR(__xludf.DUMMYFUNCTION("""COMPUTED_VALUE"""),"Display, iPhone 16 Pro")</f>
        <v>Display, iPhone 16 Pro</v>
      </c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0" t="str">
        <f t="shared" si="1"/>
        <v>January</v>
      </c>
      <c r="B908" s="11">
        <f>IFERROR(__xludf.DUMMYFUNCTION("""COMPUTED_VALUE"""),46032.0)</f>
        <v>46032</v>
      </c>
      <c r="C908" s="2" t="str">
        <f>IFERROR(__xludf.DUMMYFUNCTION("""COMPUTED_VALUE"""),"MOBILECARE - APP BONIFACIO HIGH STREET")</f>
        <v>MOBILECARE - APP BONIFACIO HIGH STREET</v>
      </c>
      <c r="D908" s="2" t="str">
        <f>IFERROR(__xludf.DUMMYFUNCTION("""COMPUTED_VALUE"""),"661-30366")</f>
        <v>661-30366</v>
      </c>
      <c r="E908" s="2" t="str">
        <f>IFERROR(__xludf.DUMMYFUNCTION("""COMPUTED_VALUE"""),"Display, iPhone 14")</f>
        <v>Display, iPhone 14</v>
      </c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0" t="str">
        <f t="shared" si="1"/>
        <v>January</v>
      </c>
      <c r="B909" s="11">
        <f>IFERROR(__xludf.DUMMYFUNCTION("""COMPUTED_VALUE"""),46031.0)</f>
        <v>46031</v>
      </c>
      <c r="C909" s="2" t="str">
        <f>IFERROR(__xludf.DUMMYFUNCTION("""COMPUTED_VALUE"""),"MOBILECARE - APP BONIFACIO HIGH STREET")</f>
        <v>MOBILECARE - APP BONIFACIO HIGH STREET</v>
      </c>
      <c r="D909" s="2" t="str">
        <f>IFERROR(__xludf.DUMMYFUNCTION("""COMPUTED_VALUE"""),"661-56065")</f>
        <v>661-56065</v>
      </c>
      <c r="E909" s="2" t="str">
        <f>IFERROR(__xludf.DUMMYFUNCTION("""COMPUTED_VALUE"""),"Display, iPhone 17")</f>
        <v>Display, iPhone 17</v>
      </c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0" t="str">
        <f t="shared" si="1"/>
        <v>January</v>
      </c>
      <c r="B910" s="11">
        <f>IFERROR(__xludf.DUMMYFUNCTION("""COMPUTED_VALUE"""),46031.0)</f>
        <v>46031</v>
      </c>
      <c r="C910" s="2" t="str">
        <f>IFERROR(__xludf.DUMMYFUNCTION("""COMPUTED_VALUE"""),"MOBILECARE - APP BONIFACIO HIGH STREET")</f>
        <v>MOBILECARE - APP BONIFACIO HIGH STREET</v>
      </c>
      <c r="D910" s="2" t="str">
        <f>IFERROR(__xludf.DUMMYFUNCTION("""COMPUTED_VALUE"""),"661-56066")</f>
        <v>661-56066</v>
      </c>
      <c r="E910" s="2" t="str">
        <f>IFERROR(__xludf.DUMMYFUNCTION("""COMPUTED_VALUE"""),"Front Camera, iPhone 17")</f>
        <v>Front Camera, iPhone 17</v>
      </c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0" t="str">
        <f t="shared" si="1"/>
        <v>January</v>
      </c>
      <c r="B911" s="11">
        <f>IFERROR(__xludf.DUMMYFUNCTION("""COMPUTED_VALUE"""),46025.0)</f>
        <v>46025</v>
      </c>
      <c r="C911" s="2" t="str">
        <f>IFERROR(__xludf.DUMMYFUNCTION("""COMPUTED_VALUE"""),"MOBILECARE - APP BONIFACIO HIGH STREET")</f>
        <v>MOBILECARE - APP BONIFACIO HIGH STREET</v>
      </c>
      <c r="D911" s="2" t="str">
        <f>IFERROR(__xludf.DUMMYFUNCTION("""COMPUTED_VALUE"""),"661-21993")</f>
        <v>661-21993</v>
      </c>
      <c r="E911" s="2" t="str">
        <f>IFERROR(__xludf.DUMMYFUNCTION("""COMPUTED_VALUE"""),"Display, iPhone 13 Pro")</f>
        <v>Display, iPhone 13 Pro</v>
      </c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0" t="str">
        <f t="shared" si="1"/>
        <v>January</v>
      </c>
      <c r="B912" s="11">
        <f>IFERROR(__xludf.DUMMYFUNCTION("""COMPUTED_VALUE"""),46025.0)</f>
        <v>46025</v>
      </c>
      <c r="C912" s="2" t="str">
        <f>IFERROR(__xludf.DUMMYFUNCTION("""COMPUTED_VALUE"""),"MOBILECARE - APP BONIFACIO HIGH STREET")</f>
        <v>MOBILECARE - APP BONIFACIO HIGH STREET</v>
      </c>
      <c r="D912" s="2" t="str">
        <f>IFERROR(__xludf.DUMMYFUNCTION("""COMPUTED_VALUE"""),"661-56050")</f>
        <v>661-56050</v>
      </c>
      <c r="E912" s="2" t="str">
        <f>IFERROR(__xludf.DUMMYFUNCTION("""COMPUTED_VALUE"""),"Display, iPhone 17 Pro Max")</f>
        <v>Display, iPhone 17 Pro Max</v>
      </c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0" t="str">
        <f t="shared" si="1"/>
        <v>January</v>
      </c>
      <c r="B913" s="11">
        <f>IFERROR(__xludf.DUMMYFUNCTION("""COMPUTED_VALUE"""),46025.0)</f>
        <v>46025</v>
      </c>
      <c r="C913" s="2" t="str">
        <f>IFERROR(__xludf.DUMMYFUNCTION("""COMPUTED_VALUE"""),"MOBILECARE - APP BONIFACIO HIGH STREET")</f>
        <v>MOBILECARE - APP BONIFACIO HIGH STREET</v>
      </c>
      <c r="D913" s="2" t="str">
        <f>IFERROR(__xludf.DUMMYFUNCTION("""COMPUTED_VALUE"""),"661-56050")</f>
        <v>661-56050</v>
      </c>
      <c r="E913" s="2" t="str">
        <f>IFERROR(__xludf.DUMMYFUNCTION("""COMPUTED_VALUE"""),"Display, iPhone 17 Pro Max")</f>
        <v>Display, iPhone 17 Pro Max</v>
      </c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0" t="str">
        <f t="shared" si="1"/>
        <v>January</v>
      </c>
      <c r="B914" s="11">
        <f>IFERROR(__xludf.DUMMYFUNCTION("""COMPUTED_VALUE"""),46037.0)</f>
        <v>46037</v>
      </c>
      <c r="C914" s="2" t="str">
        <f>IFERROR(__xludf.DUMMYFUNCTION("""COMPUTED_VALUE"""),"MOBILECARE - APP BONIFACIO HIGH STREET")</f>
        <v>MOBILECARE - APP BONIFACIO HIGH STREET</v>
      </c>
      <c r="D914" s="2" t="str">
        <f>IFERROR(__xludf.DUMMYFUNCTION("""COMPUTED_VALUE"""),"661-36918")</f>
        <v>661-36918</v>
      </c>
      <c r="E914" s="2" t="str">
        <f>IFERROR(__xludf.DUMMYFUNCTION("""COMPUTED_VALUE"""),"Battery, iPhone 15 Pro Max")</f>
        <v>Battery, iPhone 15 Pro Max</v>
      </c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0" t="str">
        <f t="shared" si="1"/>
        <v>April</v>
      </c>
      <c r="B915" s="11">
        <f>IFERROR(__xludf.DUMMYFUNCTION("""COMPUTED_VALUE"""),46122.0)</f>
        <v>46122</v>
      </c>
      <c r="C915" s="2" t="str">
        <f>IFERROR(__xludf.DUMMYFUNCTION("""COMPUTED_VALUE"""),"MOBILECARE - ZAMBOANGA")</f>
        <v>MOBILECARE - ZAMBOANGA</v>
      </c>
      <c r="D915" s="2" t="str">
        <f>IFERROR(__xludf.DUMMYFUNCTION("""COMPUTED_VALUE"""),"661-44960")</f>
        <v>661-44960</v>
      </c>
      <c r="E915" s="2" t="str">
        <f>IFERROR(__xludf.DUMMYFUNCTION("""COMPUTED_VALUE"""),"Desert Titanium, Back Glass, iPhone 16 Pro Max")</f>
        <v>Desert Titanium, Back Glass, iPhone 16 Pro Max</v>
      </c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0" t="str">
        <f t="shared" si="1"/>
        <v>January</v>
      </c>
      <c r="B916" s="11">
        <f>IFERROR(__xludf.DUMMYFUNCTION("""COMPUTED_VALUE"""),46048.0)</f>
        <v>46048</v>
      </c>
      <c r="C916" s="2" t="str">
        <f>IFERROR(__xludf.DUMMYFUNCTION("""COMPUTED_VALUE"""),"MOBILECARE - ZAMBOANGA")</f>
        <v>MOBILECARE - ZAMBOANGA</v>
      </c>
      <c r="D916" s="2" t="str">
        <f>IFERROR(__xludf.DUMMYFUNCTION("""COMPUTED_VALUE"""),"Z661-55957")</f>
        <v>Z661-55957</v>
      </c>
      <c r="E916" s="2" t="str">
        <f>IFERROR(__xludf.DUMMYFUNCTION("""COMPUTED_VALUE"""),"Logic Board, 512GB, iPhone 17 Pro Max, ROW")</f>
        <v>Logic Board, 512GB, iPhone 17 Pro Max, ROW</v>
      </c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0" t="str">
        <f t="shared" si="1"/>
        <v>January</v>
      </c>
      <c r="B917" s="11">
        <f>IFERROR(__xludf.DUMMYFUNCTION("""COMPUTED_VALUE"""),46041.0)</f>
        <v>46041</v>
      </c>
      <c r="C917" s="2" t="str">
        <f>IFERROR(__xludf.DUMMYFUNCTION("""COMPUTED_VALUE"""),"MOBILECARE - ZAMBOANGA")</f>
        <v>MOBILECARE - ZAMBOANGA</v>
      </c>
      <c r="D917" s="2" t="str">
        <f>IFERROR(__xludf.DUMMYFUNCTION("""COMPUTED_VALUE"""),"661-36829")</f>
        <v>661-36829</v>
      </c>
      <c r="E917" s="2" t="str">
        <f>IFERROR(__xludf.DUMMYFUNCTION("""COMPUTED_VALUE"""),"TrueDepth Camera, iPhone 15")</f>
        <v>TrueDepth Camera, iPhone 15</v>
      </c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0" t="str">
        <f t="shared" si="1"/>
        <v>February</v>
      </c>
      <c r="B918" s="11">
        <f>IFERROR(__xludf.DUMMYFUNCTION("""COMPUTED_VALUE"""),46057.0)</f>
        <v>46057</v>
      </c>
      <c r="C918" s="2" t="str">
        <f>IFERROR(__xludf.DUMMYFUNCTION("""COMPUTED_VALUE"""),"MOBILECARE - ZAMBOANGA")</f>
        <v>MOBILECARE - ZAMBOANGA</v>
      </c>
      <c r="D918" s="2" t="str">
        <f>IFERROR(__xludf.DUMMYFUNCTION("""COMPUTED_VALUE"""),"PP661-23454")</f>
        <v>PP661-23454</v>
      </c>
      <c r="E918" s="2" t="str">
        <f>IFERROR(__xludf.DUMMYFUNCTION("""COMPUTED_VALUE"""),"iPhone 13, Midnight, 128GB, Logic Board Assy Rear System, ROW")</f>
        <v>iPhone 13, Midnight, 128GB, Logic Board Assy Rear System, ROW</v>
      </c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0" t="str">
        <f t="shared" si="1"/>
        <v>January</v>
      </c>
      <c r="B919" s="11">
        <f>IFERROR(__xludf.DUMMYFUNCTION("""COMPUTED_VALUE"""),46047.0)</f>
        <v>46047</v>
      </c>
      <c r="C919" s="2" t="str">
        <f>IFERROR(__xludf.DUMMYFUNCTION("""COMPUTED_VALUE"""),"MOBILECARE - ZAMBOANGA")</f>
        <v>MOBILECARE - ZAMBOANGA</v>
      </c>
      <c r="D919" s="2" t="str">
        <f>IFERROR(__xludf.DUMMYFUNCTION("""COMPUTED_VALUE"""),"PP661-23454")</f>
        <v>PP661-23454</v>
      </c>
      <c r="E919" s="2" t="str">
        <f>IFERROR(__xludf.DUMMYFUNCTION("""COMPUTED_VALUE"""),"iPhone 13, Midnight, 128GB, Logic Board Assy Rear System, ROW")</f>
        <v>iPhone 13, Midnight, 128GB, Logic Board Assy Rear System, ROW</v>
      </c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0" t="str">
        <f t="shared" si="1"/>
        <v>January</v>
      </c>
      <c r="B920" s="11">
        <f>IFERROR(__xludf.DUMMYFUNCTION("""COMPUTED_VALUE"""),46031.0)</f>
        <v>46031</v>
      </c>
      <c r="C920" s="2" t="str">
        <f>IFERROR(__xludf.DUMMYFUNCTION("""COMPUTED_VALUE"""),"MOBILECARE - ZAMBOANGA")</f>
        <v>MOBILECARE - ZAMBOANGA</v>
      </c>
      <c r="D920" s="2" t="str">
        <f>IFERROR(__xludf.DUMMYFUNCTION("""COMPUTED_VALUE"""),"661-21993")</f>
        <v>661-21993</v>
      </c>
      <c r="E920" s="2" t="str">
        <f>IFERROR(__xludf.DUMMYFUNCTION("""COMPUTED_VALUE"""),"Display, iPhone 13 Pro")</f>
        <v>Display, iPhone 13 Pro</v>
      </c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0" t="str">
        <f t="shared" si="1"/>
        <v>January</v>
      </c>
      <c r="B921" s="11">
        <f>IFERROR(__xludf.DUMMYFUNCTION("""COMPUTED_VALUE"""),46035.0)</f>
        <v>46035</v>
      </c>
      <c r="C921" s="2" t="str">
        <f>IFERROR(__xludf.DUMMYFUNCTION("""COMPUTED_VALUE"""),"MOBILECARE - ZAMBOANGA")</f>
        <v>MOBILECARE - ZAMBOANGA</v>
      </c>
      <c r="D921" s="2" t="str">
        <f>IFERROR(__xludf.DUMMYFUNCTION("""COMPUTED_VALUE"""),"661-42727")</f>
        <v>661-42727</v>
      </c>
      <c r="E921" s="2" t="str">
        <f>IFERROR(__xludf.DUMMYFUNCTION("""COMPUTED_VALUE"""),"TrueDepth Camera, iPhone 16 Pro")</f>
        <v>TrueDepth Camera, iPhone 16 Pro</v>
      </c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0" t="str">
        <f t="shared" si="1"/>
        <v>January</v>
      </c>
      <c r="B922" s="11">
        <f>IFERROR(__xludf.DUMMYFUNCTION("""COMPUTED_VALUE"""),46042.0)</f>
        <v>46042</v>
      </c>
      <c r="C922" s="2" t="str">
        <f>IFERROR(__xludf.DUMMYFUNCTION("""COMPUTED_VALUE"""),"MOBILECARE - ZAMBOANGA")</f>
        <v>MOBILECARE - ZAMBOANGA</v>
      </c>
      <c r="D922" s="2" t="str">
        <f>IFERROR(__xludf.DUMMYFUNCTION("""COMPUTED_VALUE"""),"TA661-55210")</f>
        <v>TA661-55210</v>
      </c>
      <c r="E922" s="2" t="str">
        <f>IFERROR(__xludf.DUMMYFUNCTION("""COMPUTED_VALUE"""),"Cosmic Orange, 512GB, iPhone 17 Pro Max, ROW, CI/AR, Taiwan")</f>
        <v>Cosmic Orange, 512GB, iPhone 17 Pro Max, ROW, CI/AR, Taiwan</v>
      </c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0" t="str">
        <f t="shared" si="1"/>
        <v>January</v>
      </c>
      <c r="B923" s="11">
        <f>IFERROR(__xludf.DUMMYFUNCTION("""COMPUTED_VALUE"""),46028.0)</f>
        <v>46028</v>
      </c>
      <c r="C923" s="2" t="str">
        <f>IFERROR(__xludf.DUMMYFUNCTION("""COMPUTED_VALUE"""),"MOBILECARE - ZAMBOANGA")</f>
        <v>MOBILECARE - ZAMBOANGA</v>
      </c>
      <c r="D923" s="2" t="str">
        <f>IFERROR(__xludf.DUMMYFUNCTION("""COMPUTED_VALUE"""),"661-35699")</f>
        <v>661-35699</v>
      </c>
      <c r="E923" s="2" t="str">
        <f>IFERROR(__xludf.DUMMYFUNCTION("""COMPUTED_VALUE"""),"Display, iPhone 15 Pro")</f>
        <v>Display, iPhone 15 Pro</v>
      </c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0" t="str">
        <f t="shared" si="1"/>
        <v>January</v>
      </c>
      <c r="B924" s="11">
        <f>IFERROR(__xludf.DUMMYFUNCTION("""COMPUTED_VALUE"""),46039.0)</f>
        <v>46039</v>
      </c>
      <c r="C924" s="2" t="str">
        <f>IFERROR(__xludf.DUMMYFUNCTION("""COMPUTED_VALUE"""),"MOBILECARE - ZAMBOANGA")</f>
        <v>MOBILECARE - ZAMBOANGA</v>
      </c>
      <c r="D924" s="2" t="str">
        <f>IFERROR(__xludf.DUMMYFUNCTION("""COMPUTED_VALUE"""),"TA661-55211")</f>
        <v>TA661-55211</v>
      </c>
      <c r="E924" s="2" t="str">
        <f>IFERROR(__xludf.DUMMYFUNCTION("""COMPUTED_VALUE"""),"Deep Blue, 512GB, iPhone 17 Pro Max, ROW, CI/AR, Taiwan")</f>
        <v>Deep Blue, 512GB, iPhone 17 Pro Max, ROW, CI/AR, Taiwan</v>
      </c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0" t="str">
        <f t="shared" si="1"/>
        <v>February</v>
      </c>
      <c r="B925" s="11">
        <f>IFERROR(__xludf.DUMMYFUNCTION("""COMPUTED_VALUE"""),46058.0)</f>
        <v>46058</v>
      </c>
      <c r="C925" s="2" t="str">
        <f>IFERROR(__xludf.DUMMYFUNCTION("""COMPUTED_VALUE"""),"MOBILECARE - ZAMBOANGA")</f>
        <v>MOBILECARE - ZAMBOANGA</v>
      </c>
      <c r="D925" s="2" t="str">
        <f>IFERROR(__xludf.DUMMYFUNCTION("""COMPUTED_VALUE"""),"PP661-22981")</f>
        <v>PP661-22981</v>
      </c>
      <c r="E925" s="2" t="str">
        <f>IFERROR(__xludf.DUMMYFUNCTION("""COMPUTED_VALUE"""),"Starlight, 128 GB, iPhone 13, ROW, CI/AR, Philippines")</f>
        <v>Starlight, 128 GB, iPhone 13, ROW, CI/AR, Philippines</v>
      </c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0" t="str">
        <f t="shared" si="1"/>
        <v>February</v>
      </c>
      <c r="B926" s="11">
        <f>IFERROR(__xludf.DUMMYFUNCTION("""COMPUTED_VALUE"""),46058.0)</f>
        <v>46058</v>
      </c>
      <c r="C926" s="2" t="str">
        <f>IFERROR(__xludf.DUMMYFUNCTION("""COMPUTED_VALUE"""),"MOBILECARE - ZAMBOANGA")</f>
        <v>MOBILECARE - ZAMBOANGA</v>
      </c>
      <c r="D926" s="2" t="str">
        <f>IFERROR(__xludf.DUMMYFUNCTION("""COMPUTED_VALUE"""),"PP661-22981")</f>
        <v>PP661-22981</v>
      </c>
      <c r="E926" s="2" t="str">
        <f>IFERROR(__xludf.DUMMYFUNCTION("""COMPUTED_VALUE"""),"Starlight, 128 GB, iPhone 13, ROW, CI/AR, Philippines")</f>
        <v>Starlight, 128 GB, iPhone 13, ROW, CI/AR, Philippines</v>
      </c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0" t="str">
        <f t="shared" si="1"/>
        <v>January</v>
      </c>
      <c r="B927" s="11">
        <f>IFERROR(__xludf.DUMMYFUNCTION("""COMPUTED_VALUE"""),46040.0)</f>
        <v>46040</v>
      </c>
      <c r="C927" s="2" t="str">
        <f>IFERROR(__xludf.DUMMYFUNCTION("""COMPUTED_VALUE"""),"MOBILECARE - ZAMBOANGA")</f>
        <v>MOBILECARE - ZAMBOANGA</v>
      </c>
      <c r="D927" s="2" t="str">
        <f>IFERROR(__xludf.DUMMYFUNCTION("""COMPUTED_VALUE"""),"PP661-23455")</f>
        <v>PP661-23455</v>
      </c>
      <c r="E927" s="2" t="str">
        <f>IFERROR(__xludf.DUMMYFUNCTION("""COMPUTED_VALUE"""),"iPhone 13, Starlight, 128GB, Logic Board Assy Rear System, ROW")</f>
        <v>iPhone 13, Starlight, 128GB, Logic Board Assy Rear System, ROW</v>
      </c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0" t="str">
        <f t="shared" si="1"/>
        <v>January</v>
      </c>
      <c r="B928" s="11">
        <f>IFERROR(__xludf.DUMMYFUNCTION("""COMPUTED_VALUE"""),46040.0)</f>
        <v>46040</v>
      </c>
      <c r="C928" s="2" t="str">
        <f>IFERROR(__xludf.DUMMYFUNCTION("""COMPUTED_VALUE"""),"MOBILECARE - ZAMBOANGA")</f>
        <v>MOBILECARE - ZAMBOANGA</v>
      </c>
      <c r="D928" s="2" t="str">
        <f>IFERROR(__xludf.DUMMYFUNCTION("""COMPUTED_VALUE"""),"PP661-23455")</f>
        <v>PP661-23455</v>
      </c>
      <c r="E928" s="2" t="str">
        <f>IFERROR(__xludf.DUMMYFUNCTION("""COMPUTED_VALUE"""),"iPhone 13, Starlight, 128GB, Logic Board Assy Rear System, ROW")</f>
        <v>iPhone 13, Starlight, 128GB, Logic Board Assy Rear System, ROW</v>
      </c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0" t="str">
        <f t="shared" si="1"/>
        <v>January</v>
      </c>
      <c r="B929" s="11">
        <f>IFERROR(__xludf.DUMMYFUNCTION("""COMPUTED_VALUE"""),46039.0)</f>
        <v>46039</v>
      </c>
      <c r="C929" s="2" t="str">
        <f>IFERROR(__xludf.DUMMYFUNCTION("""COMPUTED_VALUE"""),"MOBILECARE - ZAMBOANGA")</f>
        <v>MOBILECARE - ZAMBOANGA</v>
      </c>
      <c r="D929" s="2" t="str">
        <f>IFERROR(__xludf.DUMMYFUNCTION("""COMPUTED_VALUE"""),"TA661-43500")</f>
        <v>TA661-43500</v>
      </c>
      <c r="E929" s="2" t="str">
        <f>IFERROR(__xludf.DUMMYFUNCTION("""COMPUTED_VALUE"""),"128GB, Pink, ROW, iPhone 16, CI/AR")</f>
        <v>128GB, Pink, ROW, iPhone 16, CI/AR</v>
      </c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0" t="str">
        <f t="shared" si="1"/>
        <v>January</v>
      </c>
      <c r="B930" s="11">
        <f>IFERROR(__xludf.DUMMYFUNCTION("""COMPUTED_VALUE"""),46040.0)</f>
        <v>46040</v>
      </c>
      <c r="C930" s="2" t="str">
        <f>IFERROR(__xludf.DUMMYFUNCTION("""COMPUTED_VALUE"""),"MOBILECARE - ZAMBOANGA")</f>
        <v>MOBILECARE - ZAMBOANGA</v>
      </c>
      <c r="D930" s="2" t="str">
        <f>IFERROR(__xludf.DUMMYFUNCTION("""COMPUTED_VALUE"""),"PP661-23455")</f>
        <v>PP661-23455</v>
      </c>
      <c r="E930" s="2" t="str">
        <f>IFERROR(__xludf.DUMMYFUNCTION("""COMPUTED_VALUE"""),"iPhone 13, Starlight, 128GB, Logic Board Assy Rear System, ROW")</f>
        <v>iPhone 13, Starlight, 128GB, Logic Board Assy Rear System, ROW</v>
      </c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0" t="str">
        <f t="shared" si="1"/>
        <v>January</v>
      </c>
      <c r="B931" s="11">
        <f>IFERROR(__xludf.DUMMYFUNCTION("""COMPUTED_VALUE"""),46027.0)</f>
        <v>46027</v>
      </c>
      <c r="C931" s="2" t="str">
        <f>IFERROR(__xludf.DUMMYFUNCTION("""COMPUTED_VALUE"""),"MOBILECARE - ZAMBOANGA")</f>
        <v>MOBILECARE - ZAMBOANGA</v>
      </c>
      <c r="D931" s="2" t="str">
        <f>IFERROR(__xludf.DUMMYFUNCTION("""COMPUTED_VALUE"""),"PP661-23454")</f>
        <v>PP661-23454</v>
      </c>
      <c r="E931" s="2" t="str">
        <f>IFERROR(__xludf.DUMMYFUNCTION("""COMPUTED_VALUE"""),"iPhone 13, Midnight, 128GB, Logic Board Assy Rear System, ROW")</f>
        <v>iPhone 13, Midnight, 128GB, Logic Board Assy Rear System, ROW</v>
      </c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0" t="str">
        <f t="shared" si="1"/>
        <v>January</v>
      </c>
      <c r="B932" s="11">
        <f>IFERROR(__xludf.DUMMYFUNCTION("""COMPUTED_VALUE"""),46044.0)</f>
        <v>46044</v>
      </c>
      <c r="C932" s="2" t="str">
        <f>IFERROR(__xludf.DUMMYFUNCTION("""COMPUTED_VALUE"""),"MOBILECARE - APP POWER PLANT MALL")</f>
        <v>MOBILECARE - APP POWER PLANT MALL</v>
      </c>
      <c r="D932" s="2" t="str">
        <f>IFERROR(__xludf.DUMMYFUNCTION("""COMPUTED_VALUE"""),"661-36829")</f>
        <v>661-36829</v>
      </c>
      <c r="E932" s="2" t="str">
        <f>IFERROR(__xludf.DUMMYFUNCTION("""COMPUTED_VALUE"""),"TrueDepth Camera, iPhone 15")</f>
        <v>TrueDepth Camera, iPhone 15</v>
      </c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0" t="str">
        <f t="shared" si="1"/>
        <v>January</v>
      </c>
      <c r="B933" s="11">
        <f>IFERROR(__xludf.DUMMYFUNCTION("""COMPUTED_VALUE"""),46037.0)</f>
        <v>46037</v>
      </c>
      <c r="C933" s="2" t="str">
        <f>IFERROR(__xludf.DUMMYFUNCTION("""COMPUTED_VALUE"""),"MOBILECARE - APP POWER PLANT MALL")</f>
        <v>MOBILECARE - APP POWER PLANT MALL</v>
      </c>
      <c r="D933" s="2" t="str">
        <f>IFERROR(__xludf.DUMMYFUNCTION("""COMPUTED_VALUE"""),"661-56052")</f>
        <v>661-56052</v>
      </c>
      <c r="E933" s="2" t="str">
        <f>IFERROR(__xludf.DUMMYFUNCTION("""COMPUTED_VALUE"""),"Camera, iPhone 17 Pro Max")</f>
        <v>Camera, iPhone 17 Pro Max</v>
      </c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0" t="str">
        <f t="shared" si="1"/>
        <v>January</v>
      </c>
      <c r="B934" s="11">
        <f>IFERROR(__xludf.DUMMYFUNCTION("""COMPUTED_VALUE"""),46047.0)</f>
        <v>46047</v>
      </c>
      <c r="C934" s="2" t="str">
        <f>IFERROR(__xludf.DUMMYFUNCTION("""COMPUTED_VALUE"""),"MOBILECARE - APP POWER PLANT MALL")</f>
        <v>MOBILECARE - APP POWER PLANT MALL</v>
      </c>
      <c r="D934" s="2" t="str">
        <f>IFERROR(__xludf.DUMMYFUNCTION("""COMPUTED_VALUE"""),"661-30394")</f>
        <v>661-30394</v>
      </c>
      <c r="E934" s="2" t="str">
        <f>IFERROR(__xludf.DUMMYFUNCTION("""COMPUTED_VALUE"""),"Battery, iPhone 14 Plus")</f>
        <v>Battery, iPhone 14 Plus</v>
      </c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0" t="str">
        <f t="shared" si="1"/>
        <v>January</v>
      </c>
      <c r="B935" s="11">
        <f>IFERROR(__xludf.DUMMYFUNCTION("""COMPUTED_VALUE"""),46043.0)</f>
        <v>46043</v>
      </c>
      <c r="C935" s="2" t="str">
        <f>IFERROR(__xludf.DUMMYFUNCTION("""COMPUTED_VALUE"""),"MOBILECARE - APP POWER PLANT MALL")</f>
        <v>MOBILECARE - APP POWER PLANT MALL</v>
      </c>
      <c r="D935" s="2" t="str">
        <f>IFERROR(__xludf.DUMMYFUNCTION("""COMPUTED_VALUE"""),"661-30366")</f>
        <v>661-30366</v>
      </c>
      <c r="E935" s="2" t="str">
        <f>IFERROR(__xludf.DUMMYFUNCTION("""COMPUTED_VALUE"""),"Display, iPhone 14")</f>
        <v>Display, iPhone 14</v>
      </c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0" t="str">
        <f t="shared" si="1"/>
        <v>January</v>
      </c>
      <c r="B936" s="11">
        <f>IFERROR(__xludf.DUMMYFUNCTION("""COMPUTED_VALUE"""),46035.0)</f>
        <v>46035</v>
      </c>
      <c r="C936" s="2" t="str">
        <f>IFERROR(__xludf.DUMMYFUNCTION("""COMPUTED_VALUE"""),"MOBILECARE - APP POWER PLANT MALL")</f>
        <v>MOBILECARE - APP POWER PLANT MALL</v>
      </c>
      <c r="D936" s="2" t="str">
        <f>IFERROR(__xludf.DUMMYFUNCTION("""COMPUTED_VALUE"""),"661-35694")</f>
        <v>661-35694</v>
      </c>
      <c r="E936" s="2" t="str">
        <f>IFERROR(__xludf.DUMMYFUNCTION("""COMPUTED_VALUE"""),"Battery, iPhone 15 Pro")</f>
        <v>Battery, iPhone 15 Pro</v>
      </c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0" t="str">
        <f t="shared" si="1"/>
        <v>January</v>
      </c>
      <c r="B937" s="11">
        <f>IFERROR(__xludf.DUMMYFUNCTION("""COMPUTED_VALUE"""),46036.0)</f>
        <v>46036</v>
      </c>
      <c r="C937" s="2" t="str">
        <f>IFERROR(__xludf.DUMMYFUNCTION("""COMPUTED_VALUE"""),"MOBILECARE - APP POWER PLANT MALL")</f>
        <v>MOBILECARE - APP POWER PLANT MALL</v>
      </c>
      <c r="D937" s="2" t="str">
        <f>IFERROR(__xludf.DUMMYFUNCTION("""COMPUTED_VALUE"""),"661-30397")</f>
        <v>661-30397</v>
      </c>
      <c r="E937" s="2" t="str">
        <f>IFERROR(__xludf.DUMMYFUNCTION("""COMPUTED_VALUE"""),"Battery, iPhone 14 Pro Max")</f>
        <v>Battery, iPhone 14 Pro Max</v>
      </c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0" t="str">
        <f t="shared" si="1"/>
        <v>January</v>
      </c>
      <c r="B938" s="11">
        <f>IFERROR(__xludf.DUMMYFUNCTION("""COMPUTED_VALUE"""),46028.0)</f>
        <v>46028</v>
      </c>
      <c r="C938" s="2" t="str">
        <f>IFERROR(__xludf.DUMMYFUNCTION("""COMPUTED_VALUE"""),"MOBILECARE - APP POWER PLANT MALL")</f>
        <v>MOBILECARE - APP POWER PLANT MALL</v>
      </c>
      <c r="D938" s="2" t="str">
        <f>IFERROR(__xludf.DUMMYFUNCTION("""COMPUTED_VALUE"""),"661-30393")</f>
        <v>661-30393</v>
      </c>
      <c r="E938" s="2" t="str">
        <f>IFERROR(__xludf.DUMMYFUNCTION("""COMPUTED_VALUE"""),"Camera, iPhone 14 Plus")</f>
        <v>Camera, iPhone 14 Plus</v>
      </c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0" t="str">
        <f t="shared" si="1"/>
        <v>January</v>
      </c>
      <c r="B939" s="11">
        <f>IFERROR(__xludf.DUMMYFUNCTION("""COMPUTED_VALUE"""),46027.0)</f>
        <v>46027</v>
      </c>
      <c r="C939" s="2" t="str">
        <f>IFERROR(__xludf.DUMMYFUNCTION("""COMPUTED_VALUE"""),"MOBILECARE - APP POWER PLANT MALL")</f>
        <v>MOBILECARE - APP POWER PLANT MALL</v>
      </c>
      <c r="D939" s="2" t="str">
        <f>IFERROR(__xludf.DUMMYFUNCTION("""COMPUTED_VALUE"""),"661-21991")</f>
        <v>661-21991</v>
      </c>
      <c r="E939" s="2" t="str">
        <f>IFERROR(__xludf.DUMMYFUNCTION("""COMPUTED_VALUE"""),"Battery, iPhone 13")</f>
        <v>Battery, iPhone 13</v>
      </c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0" t="str">
        <f t="shared" si="1"/>
        <v>January</v>
      </c>
      <c r="B940" s="11">
        <f>IFERROR(__xludf.DUMMYFUNCTION("""COMPUTED_VALUE"""),46031.0)</f>
        <v>46031</v>
      </c>
      <c r="C940" s="2" t="str">
        <f>IFERROR(__xludf.DUMMYFUNCTION("""COMPUTED_VALUE"""),"MOBILECARE - APP POWER PLANT MALL")</f>
        <v>MOBILECARE - APP POWER PLANT MALL</v>
      </c>
      <c r="D940" s="2" t="str">
        <f>IFERROR(__xludf.DUMMYFUNCTION("""COMPUTED_VALUE"""),"661-44956")</f>
        <v>661-44956</v>
      </c>
      <c r="E940" s="2" t="str">
        <f>IFERROR(__xludf.DUMMYFUNCTION("""COMPUTED_VALUE"""),"TrueDepth Camera, iPhone 16 Pro Max")</f>
        <v>TrueDepth Camera, iPhone 16 Pro Max</v>
      </c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0" t="str">
        <f t="shared" si="1"/>
        <v>January</v>
      </c>
      <c r="B941" s="11">
        <f>IFERROR(__xludf.DUMMYFUNCTION("""COMPUTED_VALUE"""),46028.0)</f>
        <v>46028</v>
      </c>
      <c r="C941" s="2" t="str">
        <f>IFERROR(__xludf.DUMMYFUNCTION("""COMPUTED_VALUE"""),"MOBILECARE - APP POWER PLANT MALL")</f>
        <v>MOBILECARE - APP POWER PLANT MALL</v>
      </c>
      <c r="D941" s="2" t="str">
        <f>IFERROR(__xludf.DUMMYFUNCTION("""COMPUTED_VALUE"""),"661-56050")</f>
        <v>661-56050</v>
      </c>
      <c r="E941" s="2" t="str">
        <f>IFERROR(__xludf.DUMMYFUNCTION("""COMPUTED_VALUE"""),"Display, iPhone 17 Pro Max")</f>
        <v>Display, iPhone 17 Pro Max</v>
      </c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0" t="str">
        <f t="shared" si="1"/>
        <v>January</v>
      </c>
      <c r="B942" s="11">
        <f>IFERROR(__xludf.DUMMYFUNCTION("""COMPUTED_VALUE"""),46027.0)</f>
        <v>46027</v>
      </c>
      <c r="C942" s="2" t="str">
        <f>IFERROR(__xludf.DUMMYFUNCTION("""COMPUTED_VALUE"""),"MOBILECARE - APP POWER PLANT MALL")</f>
        <v>MOBILECARE - APP POWER PLANT MALL</v>
      </c>
      <c r="D942" s="2" t="str">
        <f>IFERROR(__xludf.DUMMYFUNCTION("""COMPUTED_VALUE"""),"661-22294")</f>
        <v>661-22294</v>
      </c>
      <c r="E942" s="2" t="str">
        <f>IFERROR(__xludf.DUMMYFUNCTION("""COMPUTED_VALUE"""),"Battery, iPhone 13 Pro Max")</f>
        <v>Battery, iPhone 13 Pro Max</v>
      </c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0" t="str">
        <f t="shared" si="1"/>
        <v>January</v>
      </c>
      <c r="B943" s="11">
        <f>IFERROR(__xludf.DUMMYFUNCTION("""COMPUTED_VALUE"""),46024.0)</f>
        <v>46024</v>
      </c>
      <c r="C943" s="2" t="str">
        <f>IFERROR(__xludf.DUMMYFUNCTION("""COMPUTED_VALUE"""),"MOBILECARE - APP POWER PLANT MALL")</f>
        <v>MOBILECARE - APP POWER PLANT MALL</v>
      </c>
      <c r="D943" s="2" t="str">
        <f>IFERROR(__xludf.DUMMYFUNCTION("""COMPUTED_VALUE"""),"661-22309")</f>
        <v>661-22309</v>
      </c>
      <c r="E943" s="2" t="str">
        <f>IFERROR(__xludf.DUMMYFUNCTION("""COMPUTED_VALUE"""),"Display, iPhone 13 Pro Max")</f>
        <v>Display, iPhone 13 Pro Max</v>
      </c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0" t="str">
        <f t="shared" si="1"/>
        <v>January</v>
      </c>
      <c r="B944" s="11">
        <f>IFERROR(__xludf.DUMMYFUNCTION("""COMPUTED_VALUE"""),46024.0)</f>
        <v>46024</v>
      </c>
      <c r="C944" s="2" t="str">
        <f>IFERROR(__xludf.DUMMYFUNCTION("""COMPUTED_VALUE"""),"MOBILECARE - APP POWER PLANT MALL")</f>
        <v>MOBILECARE - APP POWER PLANT MALL</v>
      </c>
      <c r="D944" s="2" t="str">
        <f>IFERROR(__xludf.DUMMYFUNCTION("""COMPUTED_VALUE"""),"661-21996")</f>
        <v>661-21996</v>
      </c>
      <c r="E944" s="2" t="str">
        <f>IFERROR(__xludf.DUMMYFUNCTION("""COMPUTED_VALUE"""),"Battery, iPhone 13 Pro")</f>
        <v>Battery, iPhone 13 Pro</v>
      </c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0" t="str">
        <f t="shared" si="1"/>
        <v>April</v>
      </c>
      <c r="B945" s="11">
        <f>IFERROR(__xludf.DUMMYFUNCTION("""COMPUTED_VALUE"""),46136.0)</f>
        <v>46136</v>
      </c>
      <c r="C945" s="2" t="str">
        <f>IFERROR(__xludf.DUMMYFUNCTION("""COMPUTED_VALUE"""),"MOBILECARE - APP TRINOMA")</f>
        <v>MOBILECARE - APP TRINOMA</v>
      </c>
      <c r="D945" s="2" t="str">
        <f>IFERROR(__xludf.DUMMYFUNCTION("""COMPUTED_VALUE"""),"661-21991")</f>
        <v>661-21991</v>
      </c>
      <c r="E945" s="2" t="str">
        <f>IFERROR(__xludf.DUMMYFUNCTION("""COMPUTED_VALUE"""),"Battery, iPhone 13")</f>
        <v>Battery, iPhone 13</v>
      </c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0" t="str">
        <f t="shared" si="1"/>
        <v>April</v>
      </c>
      <c r="B946" s="11">
        <f>IFERROR(__xludf.DUMMYFUNCTION("""COMPUTED_VALUE"""),46135.0)</f>
        <v>46135</v>
      </c>
      <c r="C946" s="2" t="str">
        <f>IFERROR(__xludf.DUMMYFUNCTION("""COMPUTED_VALUE"""),"MOBILECARE - APP TRINOMA")</f>
        <v>MOBILECARE - APP TRINOMA</v>
      </c>
      <c r="D946" s="2" t="str">
        <f>IFERROR(__xludf.DUMMYFUNCTION("""COMPUTED_VALUE"""),"661-44955")</f>
        <v>661-44955</v>
      </c>
      <c r="E946" s="2" t="str">
        <f>IFERROR(__xludf.DUMMYFUNCTION("""COMPUTED_VALUE"""),"Display, iPhone 16 Pro Max")</f>
        <v>Display, iPhone 16 Pro Max</v>
      </c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0" t="str">
        <f t="shared" si="1"/>
        <v>January</v>
      </c>
      <c r="B947" s="11">
        <f>IFERROR(__xludf.DUMMYFUNCTION("""COMPUTED_VALUE"""),46036.0)</f>
        <v>46036</v>
      </c>
      <c r="C947" s="2" t="str">
        <f>IFERROR(__xludf.DUMMYFUNCTION("""COMPUTED_VALUE"""),"MOBILECARE - APP TRINOMA")</f>
        <v>MOBILECARE - APP TRINOMA</v>
      </c>
      <c r="D947" s="2" t="str">
        <f>IFERROR(__xludf.DUMMYFUNCTION("""COMPUTED_VALUE"""),"661-44957")</f>
        <v>661-44957</v>
      </c>
      <c r="E947" s="2" t="str">
        <f>IFERROR(__xludf.DUMMYFUNCTION("""COMPUTED_VALUE"""),"Camera, iPhone 16 Pro Max")</f>
        <v>Camera, iPhone 16 Pro Max</v>
      </c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0" t="str">
        <f t="shared" si="1"/>
        <v>January</v>
      </c>
      <c r="B948" s="11">
        <f>IFERROR(__xludf.DUMMYFUNCTION("""COMPUTED_VALUE"""),46036.0)</f>
        <v>46036</v>
      </c>
      <c r="C948" s="2" t="str">
        <f>IFERROR(__xludf.DUMMYFUNCTION("""COMPUTED_VALUE"""),"MOBILECARE - APP TRINOMA")</f>
        <v>MOBILECARE - APP TRINOMA</v>
      </c>
      <c r="D948" s="2" t="str">
        <f>IFERROR(__xludf.DUMMYFUNCTION("""COMPUTED_VALUE"""),"661-42727")</f>
        <v>661-42727</v>
      </c>
      <c r="E948" s="2" t="str">
        <f>IFERROR(__xludf.DUMMYFUNCTION("""COMPUTED_VALUE"""),"TrueDepth Camera, iPhone 16 Pro")</f>
        <v>TrueDepth Camera, iPhone 16 Pro</v>
      </c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0" t="str">
        <f t="shared" si="1"/>
        <v>January</v>
      </c>
      <c r="B949" s="11">
        <f>IFERROR(__xludf.DUMMYFUNCTION("""COMPUTED_VALUE"""),46047.0)</f>
        <v>46047</v>
      </c>
      <c r="C949" s="2" t="str">
        <f>IFERROR(__xludf.DUMMYFUNCTION("""COMPUTED_VALUE"""),"MOBILECARE - APP TRINOMA")</f>
        <v>MOBILECARE - APP TRINOMA</v>
      </c>
      <c r="D949" s="2" t="str">
        <f>IFERROR(__xludf.DUMMYFUNCTION("""COMPUTED_VALUE"""),"661-13574")</f>
        <v>661-13574</v>
      </c>
      <c r="E949" s="2" t="str">
        <f>IFERROR(__xludf.DUMMYFUNCTION("""COMPUTED_VALUE"""),"Battery, iPhone 11")</f>
        <v>Battery, iPhone 11</v>
      </c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0" t="str">
        <f t="shared" si="1"/>
        <v>January</v>
      </c>
      <c r="B950" s="11">
        <f>IFERROR(__xludf.DUMMYFUNCTION("""COMPUTED_VALUE"""),46047.0)</f>
        <v>46047</v>
      </c>
      <c r="C950" s="2" t="str">
        <f>IFERROR(__xludf.DUMMYFUNCTION("""COMPUTED_VALUE"""),"MOBILECARE - APP TRINOMA")</f>
        <v>MOBILECARE - APP TRINOMA</v>
      </c>
      <c r="D950" s="2" t="str">
        <f>IFERROR(__xludf.DUMMYFUNCTION("""COMPUTED_VALUE"""),"661-30382")</f>
        <v>661-30382</v>
      </c>
      <c r="E950" s="2" t="str">
        <f>IFERROR(__xludf.DUMMYFUNCTION("""COMPUTED_VALUE"""),"Battery, iPhone 14 Pro")</f>
        <v>Battery, iPhone 14 Pro</v>
      </c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0" t="str">
        <f t="shared" si="1"/>
        <v>January</v>
      </c>
      <c r="B951" s="11">
        <f>IFERROR(__xludf.DUMMYFUNCTION("""COMPUTED_VALUE"""),46036.0)</f>
        <v>46036</v>
      </c>
      <c r="C951" s="2" t="str">
        <f>IFERROR(__xludf.DUMMYFUNCTION("""COMPUTED_VALUE"""),"MOBILECARE - APP TRINOMA")</f>
        <v>MOBILECARE - APP TRINOMA</v>
      </c>
      <c r="D951" s="2" t="str">
        <f>IFERROR(__xludf.DUMMYFUNCTION("""COMPUTED_VALUE"""),"661-56050")</f>
        <v>661-56050</v>
      </c>
      <c r="E951" s="2" t="str">
        <f>IFERROR(__xludf.DUMMYFUNCTION("""COMPUTED_VALUE"""),"Display, iPhone 17 Pro Max")</f>
        <v>Display, iPhone 17 Pro Max</v>
      </c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0" t="str">
        <f t="shared" si="1"/>
        <v>January</v>
      </c>
      <c r="B952" s="11">
        <f>IFERROR(__xludf.DUMMYFUNCTION("""COMPUTED_VALUE"""),46036.0)</f>
        <v>46036</v>
      </c>
      <c r="C952" s="2" t="str">
        <f>IFERROR(__xludf.DUMMYFUNCTION("""COMPUTED_VALUE"""),"MOBILECARE - APP TRINOMA")</f>
        <v>MOBILECARE - APP TRINOMA</v>
      </c>
      <c r="D952" s="2" t="str">
        <f>IFERROR(__xludf.DUMMYFUNCTION("""COMPUTED_VALUE"""),"661-56052")</f>
        <v>661-56052</v>
      </c>
      <c r="E952" s="2" t="str">
        <f>IFERROR(__xludf.DUMMYFUNCTION("""COMPUTED_VALUE"""),"Camera, iPhone 17 Pro Max")</f>
        <v>Camera, iPhone 17 Pro Max</v>
      </c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0" t="str">
        <f t="shared" si="1"/>
        <v>January</v>
      </c>
      <c r="B953" s="11">
        <f>IFERROR(__xludf.DUMMYFUNCTION("""COMPUTED_VALUE"""),46035.0)</f>
        <v>46035</v>
      </c>
      <c r="C953" s="2" t="str">
        <f>IFERROR(__xludf.DUMMYFUNCTION("""COMPUTED_VALUE"""),"MOBILECARE - APP TRINOMA")</f>
        <v>MOBILECARE - APP TRINOMA</v>
      </c>
      <c r="D953" s="2" t="str">
        <f>IFERROR(__xludf.DUMMYFUNCTION("""COMPUTED_VALUE"""),"661-21991")</f>
        <v>661-21991</v>
      </c>
      <c r="E953" s="2" t="str">
        <f>IFERROR(__xludf.DUMMYFUNCTION("""COMPUTED_VALUE"""),"Battery, iPhone 13")</f>
        <v>Battery, iPhone 13</v>
      </c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0" t="str">
        <f t="shared" si="1"/>
        <v>January</v>
      </c>
      <c r="B954" s="11">
        <f>IFERROR(__xludf.DUMMYFUNCTION("""COMPUTED_VALUE"""),46035.0)</f>
        <v>46035</v>
      </c>
      <c r="C954" s="2" t="str">
        <f>IFERROR(__xludf.DUMMYFUNCTION("""COMPUTED_VALUE"""),"MOBILECARE - APP TRINOMA")</f>
        <v>MOBILECARE - APP TRINOMA</v>
      </c>
      <c r="D954" s="2" t="str">
        <f>IFERROR(__xludf.DUMMYFUNCTION("""COMPUTED_VALUE"""),"661-21996")</f>
        <v>661-21996</v>
      </c>
      <c r="E954" s="2" t="str">
        <f>IFERROR(__xludf.DUMMYFUNCTION("""COMPUTED_VALUE"""),"Battery, iPhone 13 Pro")</f>
        <v>Battery, iPhone 13 Pro</v>
      </c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0" t="str">
        <f t="shared" si="1"/>
        <v>February</v>
      </c>
      <c r="B955" s="11">
        <f>IFERROR(__xludf.DUMMYFUNCTION("""COMPUTED_VALUE"""),46058.0)</f>
        <v>46058</v>
      </c>
      <c r="C955" s="2" t="str">
        <f>IFERROR(__xludf.DUMMYFUNCTION("""COMPUTED_VALUE"""),"MOBILECARE - APP TRINOMA")</f>
        <v>MOBILECARE - APP TRINOMA</v>
      </c>
      <c r="D955" s="2" t="str">
        <f>IFERROR(__xludf.DUMMYFUNCTION("""COMPUTED_VALUE"""),"661-36915")</f>
        <v>661-36915</v>
      </c>
      <c r="E955" s="2" t="str">
        <f>IFERROR(__xludf.DUMMYFUNCTION("""COMPUTED_VALUE"""),"Display, iPhone 15 Pro Max")</f>
        <v>Display, iPhone 15 Pro Max</v>
      </c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0" t="str">
        <f t="shared" si="1"/>
        <v>February</v>
      </c>
      <c r="B956" s="11">
        <f>IFERROR(__xludf.DUMMYFUNCTION("""COMPUTED_VALUE"""),46058.0)</f>
        <v>46058</v>
      </c>
      <c r="C956" s="2" t="str">
        <f>IFERROR(__xludf.DUMMYFUNCTION("""COMPUTED_VALUE"""),"MOBILECARE - APP TRINOMA")</f>
        <v>MOBILECARE - APP TRINOMA</v>
      </c>
      <c r="D956" s="2" t="str">
        <f>IFERROR(__xludf.DUMMYFUNCTION("""COMPUTED_VALUE"""),"661-36915")</f>
        <v>661-36915</v>
      </c>
      <c r="E956" s="2" t="str">
        <f>IFERROR(__xludf.DUMMYFUNCTION("""COMPUTED_VALUE"""),"Display, iPhone 15 Pro Max")</f>
        <v>Display, iPhone 15 Pro Max</v>
      </c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0" t="str">
        <f t="shared" si="1"/>
        <v>January</v>
      </c>
      <c r="B957" s="11">
        <f>IFERROR(__xludf.DUMMYFUNCTION("""COMPUTED_VALUE"""),46043.0)</f>
        <v>46043</v>
      </c>
      <c r="C957" s="2" t="str">
        <f>IFERROR(__xludf.DUMMYFUNCTION("""COMPUTED_VALUE"""),"MOBILECARE - APP TRINOMA")</f>
        <v>MOBILECARE - APP TRINOMA</v>
      </c>
      <c r="D957" s="2" t="str">
        <f>IFERROR(__xludf.DUMMYFUNCTION("""COMPUTED_VALUE"""),"661-36918")</f>
        <v>661-36918</v>
      </c>
      <c r="E957" s="2" t="str">
        <f>IFERROR(__xludf.DUMMYFUNCTION("""COMPUTED_VALUE"""),"Battery, iPhone 15 Pro Max")</f>
        <v>Battery, iPhone 15 Pro Max</v>
      </c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0" t="str">
        <f t="shared" si="1"/>
        <v>January</v>
      </c>
      <c r="B958" s="11">
        <f>IFERROR(__xludf.DUMMYFUNCTION("""COMPUTED_VALUE"""),46030.0)</f>
        <v>46030</v>
      </c>
      <c r="C958" s="2" t="str">
        <f>IFERROR(__xludf.DUMMYFUNCTION("""COMPUTED_VALUE"""),"MOBILECARE - APP TRINOMA")</f>
        <v>MOBILECARE - APP TRINOMA</v>
      </c>
      <c r="D958" s="2" t="str">
        <f>IFERROR(__xludf.DUMMYFUNCTION("""COMPUTED_VALUE"""),"661-42726")</f>
        <v>661-42726</v>
      </c>
      <c r="E958" s="2" t="str">
        <f>IFERROR(__xludf.DUMMYFUNCTION("""COMPUTED_VALUE"""),"Display, iPhone 16 Pro")</f>
        <v>Display, iPhone 16 Pro</v>
      </c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0" t="str">
        <f t="shared" si="1"/>
        <v>January</v>
      </c>
      <c r="B959" s="11">
        <f>IFERROR(__xludf.DUMMYFUNCTION("""COMPUTED_VALUE"""),46032.0)</f>
        <v>46032</v>
      </c>
      <c r="C959" s="2" t="str">
        <f>IFERROR(__xludf.DUMMYFUNCTION("""COMPUTED_VALUE"""),"MOBILECARE - APP TRINOMA")</f>
        <v>MOBILECARE - APP TRINOMA</v>
      </c>
      <c r="D959" s="2" t="str">
        <f>IFERROR(__xludf.DUMMYFUNCTION("""COMPUTED_VALUE"""),"661-21988")</f>
        <v>661-21988</v>
      </c>
      <c r="E959" s="2" t="str">
        <f>IFERROR(__xludf.DUMMYFUNCTION("""COMPUTED_VALUE"""),"Display, iPhone 13")</f>
        <v>Display, iPhone 13</v>
      </c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0" t="str">
        <f t="shared" si="1"/>
        <v>January</v>
      </c>
      <c r="B960" s="11">
        <f>IFERROR(__xludf.DUMMYFUNCTION("""COMPUTED_VALUE"""),46032.0)</f>
        <v>46032</v>
      </c>
      <c r="C960" s="2" t="str">
        <f>IFERROR(__xludf.DUMMYFUNCTION("""COMPUTED_VALUE"""),"MOBILECARE - APP TRINOMA")</f>
        <v>MOBILECARE - APP TRINOMA</v>
      </c>
      <c r="D960" s="2" t="str">
        <f>IFERROR(__xludf.DUMMYFUNCTION("""COMPUTED_VALUE"""),"661-21996")</f>
        <v>661-21996</v>
      </c>
      <c r="E960" s="2" t="str">
        <f>IFERROR(__xludf.DUMMYFUNCTION("""COMPUTED_VALUE"""),"Battery, iPhone 13 Pro")</f>
        <v>Battery, iPhone 13 Pro</v>
      </c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0" t="str">
        <f t="shared" si="1"/>
        <v>January</v>
      </c>
      <c r="B961" s="11">
        <f>IFERROR(__xludf.DUMMYFUNCTION("""COMPUTED_VALUE"""),46026.0)</f>
        <v>46026</v>
      </c>
      <c r="C961" s="2" t="str">
        <f>IFERROR(__xludf.DUMMYFUNCTION("""COMPUTED_VALUE"""),"MOBILECARE - APP TRINOMA")</f>
        <v>MOBILECARE - APP TRINOMA</v>
      </c>
      <c r="D961" s="2" t="str">
        <f>IFERROR(__xludf.DUMMYFUNCTION("""COMPUTED_VALUE"""),"661-44955")</f>
        <v>661-44955</v>
      </c>
      <c r="E961" s="2" t="str">
        <f>IFERROR(__xludf.DUMMYFUNCTION("""COMPUTED_VALUE"""),"Display, iPhone 16 Pro Max")</f>
        <v>Display, iPhone 16 Pro Max</v>
      </c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0" t="str">
        <f t="shared" si="1"/>
        <v>January</v>
      </c>
      <c r="B962" s="11">
        <f>IFERROR(__xludf.DUMMYFUNCTION("""COMPUTED_VALUE"""),46028.0)</f>
        <v>46028</v>
      </c>
      <c r="C962" s="2" t="str">
        <f>IFERROR(__xludf.DUMMYFUNCTION("""COMPUTED_VALUE"""),"MOBILECARE - APP TRINOMA")</f>
        <v>MOBILECARE - APP TRINOMA</v>
      </c>
      <c r="D962" s="2" t="str">
        <f>IFERROR(__xludf.DUMMYFUNCTION("""COMPUTED_VALUE"""),"661-22309")</f>
        <v>661-22309</v>
      </c>
      <c r="E962" s="2" t="str">
        <f>IFERROR(__xludf.DUMMYFUNCTION("""COMPUTED_VALUE"""),"Display, iPhone 13 Pro Max")</f>
        <v>Display, iPhone 13 Pro Max</v>
      </c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0" t="str">
        <f t="shared" si="1"/>
        <v>January</v>
      </c>
      <c r="B963" s="11">
        <f>IFERROR(__xludf.DUMMYFUNCTION("""COMPUTED_VALUE"""),46025.0)</f>
        <v>46025</v>
      </c>
      <c r="C963" s="2" t="str">
        <f>IFERROR(__xludf.DUMMYFUNCTION("""COMPUTED_VALUE"""),"MOBILECARE - APP TRINOMA")</f>
        <v>MOBILECARE - APP TRINOMA</v>
      </c>
      <c r="D963" s="2" t="str">
        <f>IFERROR(__xludf.DUMMYFUNCTION("""COMPUTED_VALUE"""),"661-21988")</f>
        <v>661-21988</v>
      </c>
      <c r="E963" s="2" t="str">
        <f>IFERROR(__xludf.DUMMYFUNCTION("""COMPUTED_VALUE"""),"Display, iPhone 13")</f>
        <v>Display, iPhone 13</v>
      </c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0" t="str">
        <f t="shared" si="1"/>
        <v>January</v>
      </c>
      <c r="B964" s="11">
        <f>IFERROR(__xludf.DUMMYFUNCTION("""COMPUTED_VALUE"""),46025.0)</f>
        <v>46025</v>
      </c>
      <c r="C964" s="2" t="str">
        <f>IFERROR(__xludf.DUMMYFUNCTION("""COMPUTED_VALUE"""),"MOBILECARE - APP TRINOMA")</f>
        <v>MOBILECARE - APP TRINOMA</v>
      </c>
      <c r="D964" s="2" t="str">
        <f>IFERROR(__xludf.DUMMYFUNCTION("""COMPUTED_VALUE"""),"923-09577")</f>
        <v>923-09577</v>
      </c>
      <c r="E964" s="2" t="str">
        <f>IFERROR(__xludf.DUMMYFUNCTION("""COMPUTED_VALUE"""),"Bottom Speaker, iPhone 15")</f>
        <v>Bottom Speaker, iPhone 15</v>
      </c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0" t="str">
        <f t="shared" si="1"/>
        <v>January</v>
      </c>
      <c r="B965" s="11">
        <f>IFERROR(__xludf.DUMMYFUNCTION("""COMPUTED_VALUE"""),46025.0)</f>
        <v>46025</v>
      </c>
      <c r="C965" s="2" t="str">
        <f>IFERROR(__xludf.DUMMYFUNCTION("""COMPUTED_VALUE"""),"MOBILECARE - APP TRINOMA")</f>
        <v>MOBILECARE - APP TRINOMA</v>
      </c>
      <c r="D965" s="2" t="str">
        <f>IFERROR(__xludf.DUMMYFUNCTION("""COMPUTED_VALUE"""),"661-35885")</f>
        <v>661-35885</v>
      </c>
      <c r="E965" s="2" t="str">
        <f>IFERROR(__xludf.DUMMYFUNCTION("""COMPUTED_VALUE"""),"Battery, iPhone 15")</f>
        <v>Battery, iPhone 15</v>
      </c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0" t="str">
        <f t="shared" si="1"/>
        <v>April</v>
      </c>
      <c r="B966" s="11">
        <f>IFERROR(__xludf.DUMMYFUNCTION("""COMPUTED_VALUE"""),46125.0)</f>
        <v>46125</v>
      </c>
      <c r="C966" s="2" t="str">
        <f>IFERROR(__xludf.DUMMYFUNCTION("""COMPUTED_VALUE"""),"MOBILECARE - APP SM LANANG")</f>
        <v>MOBILECARE - APP SM LANANG</v>
      </c>
      <c r="D966" s="2" t="str">
        <f>IFERROR(__xludf.DUMMYFUNCTION("""COMPUTED_VALUE"""),"661-42726")</f>
        <v>661-42726</v>
      </c>
      <c r="E966" s="2" t="str">
        <f>IFERROR(__xludf.DUMMYFUNCTION("""COMPUTED_VALUE"""),"Display, iPhone 16 Pro")</f>
        <v>Display, iPhone 16 Pro</v>
      </c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0" t="str">
        <f t="shared" si="1"/>
        <v>May</v>
      </c>
      <c r="B967" s="11">
        <f>IFERROR(__xludf.DUMMYFUNCTION("""COMPUTED_VALUE"""),46158.0)</f>
        <v>46158</v>
      </c>
      <c r="C967" s="2" t="str">
        <f>IFERROR(__xludf.DUMMYFUNCTION("""COMPUTED_VALUE"""),"MOBILECARE - APP SM LANANG")</f>
        <v>MOBILECARE - APP SM LANANG</v>
      </c>
      <c r="D967" s="2" t="str">
        <f>IFERROR(__xludf.DUMMYFUNCTION("""COMPUTED_VALUE"""),"661-35828")</f>
        <v>661-35828</v>
      </c>
      <c r="E967" s="2" t="str">
        <f>IFERROR(__xludf.DUMMYFUNCTION("""COMPUTED_VALUE"""),"Camera, iPhone 15")</f>
        <v>Camera, iPhone 15</v>
      </c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0" t="str">
        <f t="shared" si="1"/>
        <v>June</v>
      </c>
      <c r="B968" s="11">
        <f>IFERROR(__xludf.DUMMYFUNCTION("""COMPUTED_VALUE"""),46185.0)</f>
        <v>46185</v>
      </c>
      <c r="C968" s="2" t="str">
        <f>IFERROR(__xludf.DUMMYFUNCTION("""COMPUTED_VALUE"""),"MOBILECARE - APP SM LANANG")</f>
        <v>MOBILECARE - APP SM LANANG</v>
      </c>
      <c r="D968" s="2" t="str">
        <f>IFERROR(__xludf.DUMMYFUNCTION("""COMPUTED_VALUE"""),"TA661-36691")</f>
        <v>TA661-36691</v>
      </c>
      <c r="E968" s="2" t="str">
        <f>IFERROR(__xludf.DUMMYFUNCTION("""COMPUTED_VALUE"""),"iPhone 15, Black, 128GB, Logic Board Assy Mid System, ROW")</f>
        <v>iPhone 15, Black, 128GB, Logic Board Assy Mid System, ROW</v>
      </c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0" t="str">
        <f t="shared" si="1"/>
        <v>June</v>
      </c>
      <c r="B969" s="11">
        <f>IFERROR(__xludf.DUMMYFUNCTION("""COMPUTED_VALUE"""),46193.0)</f>
        <v>46193</v>
      </c>
      <c r="C969" s="2" t="str">
        <f>IFERROR(__xludf.DUMMYFUNCTION("""COMPUTED_VALUE"""),"MOBILECARE - APP SM LANANG")</f>
        <v>MOBILECARE - APP SM LANANG</v>
      </c>
      <c r="D969" s="2" t="str">
        <f>IFERROR(__xludf.DUMMYFUNCTION("""COMPUTED_VALUE"""),"PP661-23454")</f>
        <v>PP661-23454</v>
      </c>
      <c r="E969" s="2" t="str">
        <f>IFERROR(__xludf.DUMMYFUNCTION("""COMPUTED_VALUE"""),"iPhone 13, Midnight, 128GB, Logic Board Assy Rear System, ROW")</f>
        <v>iPhone 13, Midnight, 128GB, Logic Board Assy Rear System, ROW</v>
      </c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0" t="str">
        <f t="shared" si="1"/>
        <v>June</v>
      </c>
      <c r="B970" s="11">
        <f>IFERROR(__xludf.DUMMYFUNCTION("""COMPUTED_VALUE"""),46193.0)</f>
        <v>46193</v>
      </c>
      <c r="C970" s="2" t="str">
        <f>IFERROR(__xludf.DUMMYFUNCTION("""COMPUTED_VALUE"""),"MOBILECARE - APP SM LANANG")</f>
        <v>MOBILECARE - APP SM LANANG</v>
      </c>
      <c r="D970" s="2" t="str">
        <f>IFERROR(__xludf.DUMMYFUNCTION("""COMPUTED_VALUE"""),"PP661-23454")</f>
        <v>PP661-23454</v>
      </c>
      <c r="E970" s="2" t="str">
        <f>IFERROR(__xludf.DUMMYFUNCTION("""COMPUTED_VALUE"""),"iPhone 13, Midnight, 128GB, Logic Board Assy Rear System, ROW")</f>
        <v>iPhone 13, Midnight, 128GB, Logic Board Assy Rear System, ROW</v>
      </c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0" t="str">
        <f t="shared" si="1"/>
        <v>April</v>
      </c>
      <c r="B971" s="11">
        <f>IFERROR(__xludf.DUMMYFUNCTION("""COMPUTED_VALUE"""),46141.0)</f>
        <v>46141</v>
      </c>
      <c r="C971" s="2" t="str">
        <f>IFERROR(__xludf.DUMMYFUNCTION("""COMPUTED_VALUE"""),"MOBILECARE - APP SM LANANG")</f>
        <v>MOBILECARE - APP SM LANANG</v>
      </c>
      <c r="D971" s="2" t="str">
        <f>IFERROR(__xludf.DUMMYFUNCTION("""COMPUTED_VALUE"""),"661-56050")</f>
        <v>661-56050</v>
      </c>
      <c r="E971" s="2" t="str">
        <f>IFERROR(__xludf.DUMMYFUNCTION("""COMPUTED_VALUE"""),"Display, iPhone 17 Pro Max")</f>
        <v>Display, iPhone 17 Pro Max</v>
      </c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0" t="str">
        <f t="shared" si="1"/>
        <v>June</v>
      </c>
      <c r="B972" s="11">
        <f>IFERROR(__xludf.DUMMYFUNCTION("""COMPUTED_VALUE"""),46180.0)</f>
        <v>46180</v>
      </c>
      <c r="C972" s="2" t="str">
        <f>IFERROR(__xludf.DUMMYFUNCTION("""COMPUTED_VALUE"""),"MOBILECARE - APP SM LANANG")</f>
        <v>MOBILECARE - APP SM LANANG</v>
      </c>
      <c r="D972" s="2" t="str">
        <f>IFERROR(__xludf.DUMMYFUNCTION("""COMPUTED_VALUE"""),"PP661-23454")</f>
        <v>PP661-23454</v>
      </c>
      <c r="E972" s="2" t="str">
        <f>IFERROR(__xludf.DUMMYFUNCTION("""COMPUTED_VALUE"""),"iPhone 13, Midnight, 128GB, Logic Board Assy Rear System, ROW")</f>
        <v>iPhone 13, Midnight, 128GB, Logic Board Assy Rear System, ROW</v>
      </c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0" t="str">
        <f t="shared" si="1"/>
        <v>February</v>
      </c>
      <c r="B973" s="11">
        <f>IFERROR(__xludf.DUMMYFUNCTION("""COMPUTED_VALUE"""),46072.0)</f>
        <v>46072</v>
      </c>
      <c r="C973" s="2" t="str">
        <f>IFERROR(__xludf.DUMMYFUNCTION("""COMPUTED_VALUE"""),"MOBILECARE - APP MALL OF ASIA")</f>
        <v>MOBILECARE - APP MALL OF ASIA</v>
      </c>
      <c r="D973" s="2" t="str">
        <f>IFERROR(__xludf.DUMMYFUNCTION("""COMPUTED_VALUE"""),"661-21991")</f>
        <v>661-21991</v>
      </c>
      <c r="E973" s="2" t="str">
        <f>IFERROR(__xludf.DUMMYFUNCTION("""COMPUTED_VALUE"""),"Battery, iPhone 13")</f>
        <v>Battery, iPhone 13</v>
      </c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0" t="str">
        <f t="shared" si="1"/>
        <v>June</v>
      </c>
      <c r="B974" s="11">
        <f>IFERROR(__xludf.DUMMYFUNCTION("""COMPUTED_VALUE"""),46183.0)</f>
        <v>46183</v>
      </c>
      <c r="C974" s="2" t="str">
        <f>IFERROR(__xludf.DUMMYFUNCTION("""COMPUTED_VALUE"""),"MOBILECARE - APP MALL OF ASIA")</f>
        <v>MOBILECARE - APP MALL OF ASIA</v>
      </c>
      <c r="D974" s="2" t="str">
        <f>IFERROR(__xludf.DUMMYFUNCTION("""COMPUTED_VALUE"""),"PP661-22980")</f>
        <v>PP661-22980</v>
      </c>
      <c r="E974" s="2" t="str">
        <f>IFERROR(__xludf.DUMMYFUNCTION("""COMPUTED_VALUE"""),"Midnight, 128 GB, iPhone 13, ROW, CI/AR, Philippines")</f>
        <v>Midnight, 128 GB, iPhone 13, ROW, CI/AR, Philippines</v>
      </c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0" t="str">
        <f t="shared" si="1"/>
        <v>April</v>
      </c>
      <c r="B975" s="11">
        <f>IFERROR(__xludf.DUMMYFUNCTION("""COMPUTED_VALUE"""),46118.0)</f>
        <v>46118</v>
      </c>
      <c r="C975" s="2" t="str">
        <f>IFERROR(__xludf.DUMMYFUNCTION("""COMPUTED_VALUE"""),"MOBILECARE - APP MALL OF ASIA")</f>
        <v>MOBILECARE - APP MALL OF ASIA</v>
      </c>
      <c r="D975" s="2" t="str">
        <f>IFERROR(__xludf.DUMMYFUNCTION("""COMPUTED_VALUE"""),"661-22294")</f>
        <v>661-22294</v>
      </c>
      <c r="E975" s="2" t="str">
        <f>IFERROR(__xludf.DUMMYFUNCTION("""COMPUTED_VALUE"""),"Battery, iPhone 13 Pro Max")</f>
        <v>Battery, iPhone 13 Pro Max</v>
      </c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0" t="str">
        <f t="shared" si="1"/>
        <v>March</v>
      </c>
      <c r="B976" s="11">
        <f>IFERROR(__xludf.DUMMYFUNCTION("""COMPUTED_VALUE"""),46101.0)</f>
        <v>46101</v>
      </c>
      <c r="C976" s="2" t="str">
        <f>IFERROR(__xludf.DUMMYFUNCTION("""COMPUTED_VALUE"""),"MOBILECARE - APP MALL OF ASIA")</f>
        <v>MOBILECARE - APP MALL OF ASIA</v>
      </c>
      <c r="D976" s="2" t="str">
        <f>IFERROR(__xludf.DUMMYFUNCTION("""COMPUTED_VALUE"""),"661-21991")</f>
        <v>661-21991</v>
      </c>
      <c r="E976" s="2" t="str">
        <f>IFERROR(__xludf.DUMMYFUNCTION("""COMPUTED_VALUE"""),"Battery, iPhone 13")</f>
        <v>Battery, iPhone 13</v>
      </c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0" t="str">
        <f t="shared" si="1"/>
        <v>June</v>
      </c>
      <c r="B977" s="11">
        <f>IFERROR(__xludf.DUMMYFUNCTION("""COMPUTED_VALUE"""),46185.0)</f>
        <v>46185</v>
      </c>
      <c r="C977" s="2" t="str">
        <f>IFERROR(__xludf.DUMMYFUNCTION("""COMPUTED_VALUE"""),"MOBILECARE - APP MALL OF ASIA")</f>
        <v>MOBILECARE - APP MALL OF ASIA</v>
      </c>
      <c r="D977" s="2" t="str">
        <f>IFERROR(__xludf.DUMMYFUNCTION("""COMPUTED_VALUE"""),"661-21991")</f>
        <v>661-21991</v>
      </c>
      <c r="E977" s="2" t="str">
        <f>IFERROR(__xludf.DUMMYFUNCTION("""COMPUTED_VALUE"""),"Battery, iPhone 13")</f>
        <v>Battery, iPhone 13</v>
      </c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0" t="str">
        <f t="shared" si="1"/>
        <v>May</v>
      </c>
      <c r="B978" s="11">
        <f>IFERROR(__xludf.DUMMYFUNCTION("""COMPUTED_VALUE"""),46167.0)</f>
        <v>46167</v>
      </c>
      <c r="C978" s="2" t="str">
        <f>IFERROR(__xludf.DUMMYFUNCTION("""COMPUTED_VALUE"""),"MOBILECARE - APP MALL OF ASIA")</f>
        <v>MOBILECARE - APP MALL OF ASIA</v>
      </c>
      <c r="D978" s="2" t="str">
        <f>IFERROR(__xludf.DUMMYFUNCTION("""COMPUTED_VALUE"""),"661-21991")</f>
        <v>661-21991</v>
      </c>
      <c r="E978" s="2" t="str">
        <f>IFERROR(__xludf.DUMMYFUNCTION("""COMPUTED_VALUE"""),"Battery, iPhone 13")</f>
        <v>Battery, iPhone 13</v>
      </c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0" t="str">
        <f t="shared" si="1"/>
        <v>May</v>
      </c>
      <c r="B979" s="11">
        <f>IFERROR(__xludf.DUMMYFUNCTION("""COMPUTED_VALUE"""),46145.0)</f>
        <v>46145</v>
      </c>
      <c r="C979" s="2" t="str">
        <f>IFERROR(__xludf.DUMMYFUNCTION("""COMPUTED_VALUE"""),"MOBILECARE - APP MALL OF ASIA")</f>
        <v>MOBILECARE - APP MALL OF ASIA</v>
      </c>
      <c r="D979" s="2" t="str">
        <f>IFERROR(__xludf.DUMMYFUNCTION("""COMPUTED_VALUE"""),"661-56050")</f>
        <v>661-56050</v>
      </c>
      <c r="E979" s="2" t="str">
        <f>IFERROR(__xludf.DUMMYFUNCTION("""COMPUTED_VALUE"""),"Display, iPhone 17 Pro Max")</f>
        <v>Display, iPhone 17 Pro Max</v>
      </c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0" t="str">
        <f t="shared" si="1"/>
        <v>May</v>
      </c>
      <c r="B980" s="11">
        <f>IFERROR(__xludf.DUMMYFUNCTION("""COMPUTED_VALUE"""),46155.0)</f>
        <v>46155</v>
      </c>
      <c r="C980" s="2" t="str">
        <f>IFERROR(__xludf.DUMMYFUNCTION("""COMPUTED_VALUE"""),"MOBILECARE - APP MALL OF ASIA")</f>
        <v>MOBILECARE - APP MALL OF ASIA</v>
      </c>
      <c r="D980" s="2" t="str">
        <f>IFERROR(__xludf.DUMMYFUNCTION("""COMPUTED_VALUE"""),"661-30366")</f>
        <v>661-30366</v>
      </c>
      <c r="E980" s="2" t="str">
        <f>IFERROR(__xludf.DUMMYFUNCTION("""COMPUTED_VALUE"""),"Display, iPhone 14")</f>
        <v>Display, iPhone 14</v>
      </c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0" t="str">
        <f t="shared" si="1"/>
        <v>March</v>
      </c>
      <c r="B981" s="11">
        <f>IFERROR(__xludf.DUMMYFUNCTION("""COMPUTED_VALUE"""),46102.0)</f>
        <v>46102</v>
      </c>
      <c r="C981" s="2" t="str">
        <f>IFERROR(__xludf.DUMMYFUNCTION("""COMPUTED_VALUE"""),"MOBILECARE - APP MALL OF ASIA")</f>
        <v>MOBILECARE - APP MALL OF ASIA</v>
      </c>
      <c r="D981" s="2" t="str">
        <f>IFERROR(__xludf.DUMMYFUNCTION("""COMPUTED_VALUE"""),"PP661-22984")</f>
        <v>PP661-22984</v>
      </c>
      <c r="E981" s="2" t="str">
        <f>IFERROR(__xludf.DUMMYFUNCTION("""COMPUTED_VALUE"""),"Blue, 128 GB, iPhone 13, ROW, CI/AR, Philippines")</f>
        <v>Blue, 128 GB, iPhone 13, ROW, CI/AR, Philippines</v>
      </c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0" t="str">
        <f t="shared" si="1"/>
        <v>January</v>
      </c>
      <c r="B982" s="11">
        <f>IFERROR(__xludf.DUMMYFUNCTION("""COMPUTED_VALUE"""),46044.0)</f>
        <v>46044</v>
      </c>
      <c r="C982" s="2" t="str">
        <f>IFERROR(__xludf.DUMMYFUNCTION("""COMPUTED_VALUE"""),"MOBILECARE - APP MALL OF ASIA")</f>
        <v>MOBILECARE - APP MALL OF ASIA</v>
      </c>
      <c r="D982" s="2" t="str">
        <f>IFERROR(__xludf.DUMMYFUNCTION("""COMPUTED_VALUE"""),"661-22309")</f>
        <v>661-22309</v>
      </c>
      <c r="E982" s="2" t="str">
        <f>IFERROR(__xludf.DUMMYFUNCTION("""COMPUTED_VALUE"""),"Display, iPhone 13 Pro Max")</f>
        <v>Display, iPhone 13 Pro Max</v>
      </c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0" t="str">
        <f t="shared" si="1"/>
        <v>June</v>
      </c>
      <c r="B983" s="11">
        <f>IFERROR(__xludf.DUMMYFUNCTION("""COMPUTED_VALUE"""),46191.0)</f>
        <v>46191</v>
      </c>
      <c r="C983" s="2" t="str">
        <f>IFERROR(__xludf.DUMMYFUNCTION("""COMPUTED_VALUE"""),"MOBILECARE - APP MALL OF ASIA")</f>
        <v>MOBILECARE - APP MALL OF ASIA</v>
      </c>
      <c r="D983" s="2" t="str">
        <f>IFERROR(__xludf.DUMMYFUNCTION("""COMPUTED_VALUE"""),"661-56125")</f>
        <v>661-56125</v>
      </c>
      <c r="E983" s="2" t="str">
        <f>IFERROR(__xludf.DUMMYFUNCTION("""COMPUTED_VALUE"""),"Display, iPhone 17 Pro")</f>
        <v>Display, iPhone 17 Pro</v>
      </c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0" t="str">
        <f t="shared" si="1"/>
        <v>May</v>
      </c>
      <c r="B984" s="11">
        <f>IFERROR(__xludf.DUMMYFUNCTION("""COMPUTED_VALUE"""),46170.0)</f>
        <v>46170</v>
      </c>
      <c r="C984" s="2" t="str">
        <f>IFERROR(__xludf.DUMMYFUNCTION("""COMPUTED_VALUE"""),"MOBILECARE - APP MALL OF ASIA")</f>
        <v>MOBILECARE - APP MALL OF ASIA</v>
      </c>
      <c r="D984" s="2" t="str">
        <f>IFERROR(__xludf.DUMMYFUNCTION("""COMPUTED_VALUE"""),"661-44955")</f>
        <v>661-44955</v>
      </c>
      <c r="E984" s="2" t="str">
        <f>IFERROR(__xludf.DUMMYFUNCTION("""COMPUTED_VALUE"""),"Display, iPhone 16 Pro Max")</f>
        <v>Display, iPhone 16 Pro Max</v>
      </c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0" t="str">
        <f t="shared" si="1"/>
        <v>April</v>
      </c>
      <c r="B985" s="11">
        <f>IFERROR(__xludf.DUMMYFUNCTION("""COMPUTED_VALUE"""),46140.0)</f>
        <v>46140</v>
      </c>
      <c r="C985" s="2" t="str">
        <f>IFERROR(__xludf.DUMMYFUNCTION("""COMPUTED_VALUE"""),"MOBILECARE - APP MALL OF ASIA")</f>
        <v>MOBILECARE - APP MALL OF ASIA</v>
      </c>
      <c r="D985" s="2" t="str">
        <f>IFERROR(__xludf.DUMMYFUNCTION("""COMPUTED_VALUE"""),"661-30366")</f>
        <v>661-30366</v>
      </c>
      <c r="E985" s="2" t="str">
        <f>IFERROR(__xludf.DUMMYFUNCTION("""COMPUTED_VALUE"""),"Display, iPhone 14")</f>
        <v>Display, iPhone 14</v>
      </c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0" t="str">
        <f t="shared" si="1"/>
        <v>April</v>
      </c>
      <c r="B986" s="11">
        <f>IFERROR(__xludf.DUMMYFUNCTION("""COMPUTED_VALUE"""),46133.0)</f>
        <v>46133</v>
      </c>
      <c r="C986" s="2" t="str">
        <f>IFERROR(__xludf.DUMMYFUNCTION("""COMPUTED_VALUE"""),"MOBILECARE - APP MALL OF ASIA")</f>
        <v>MOBILECARE - APP MALL OF ASIA</v>
      </c>
      <c r="D986" s="2" t="str">
        <f>IFERROR(__xludf.DUMMYFUNCTION("""COMPUTED_VALUE"""),"661-21991")</f>
        <v>661-21991</v>
      </c>
      <c r="E986" s="2" t="str">
        <f>IFERROR(__xludf.DUMMYFUNCTION("""COMPUTED_VALUE"""),"Battery, iPhone 13")</f>
        <v>Battery, iPhone 13</v>
      </c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0" t="str">
        <f t="shared" si="1"/>
        <v>March</v>
      </c>
      <c r="B987" s="11">
        <f>IFERROR(__xludf.DUMMYFUNCTION("""COMPUTED_VALUE"""),46105.0)</f>
        <v>46105</v>
      </c>
      <c r="C987" s="2" t="str">
        <f>IFERROR(__xludf.DUMMYFUNCTION("""COMPUTED_VALUE"""),"MOBILECARE - APP MALL OF ASIA")</f>
        <v>MOBILECARE - APP MALL OF ASIA</v>
      </c>
      <c r="D987" s="2" t="str">
        <f>IFERROR(__xludf.DUMMYFUNCTION("""COMPUTED_VALUE"""),"661-56051")</f>
        <v>661-56051</v>
      </c>
      <c r="E987" s="2" t="str">
        <f>IFERROR(__xludf.DUMMYFUNCTION("""COMPUTED_VALUE"""),"Front Camera, iPhone 17 Pro Max")</f>
        <v>Front Camera, iPhone 17 Pro Max</v>
      </c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0" t="str">
        <f t="shared" si="1"/>
        <v>March</v>
      </c>
      <c r="B988" s="11">
        <f>IFERROR(__xludf.DUMMYFUNCTION("""COMPUTED_VALUE"""),46105.0)</f>
        <v>46105</v>
      </c>
      <c r="C988" s="2" t="str">
        <f>IFERROR(__xludf.DUMMYFUNCTION("""COMPUTED_VALUE"""),"MOBILECARE - APP MALL OF ASIA")</f>
        <v>MOBILECARE - APP MALL OF ASIA</v>
      </c>
      <c r="D988" s="2" t="str">
        <f>IFERROR(__xludf.DUMMYFUNCTION("""COMPUTED_VALUE"""),"661-56052")</f>
        <v>661-56052</v>
      </c>
      <c r="E988" s="2" t="str">
        <f>IFERROR(__xludf.DUMMYFUNCTION("""COMPUTED_VALUE"""),"Camera, iPhone 17 Pro Max")</f>
        <v>Camera, iPhone 17 Pro Max</v>
      </c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0" t="str">
        <f t="shared" si="1"/>
        <v>February</v>
      </c>
      <c r="B989" s="11">
        <f>IFERROR(__xludf.DUMMYFUNCTION("""COMPUTED_VALUE"""),46066.0)</f>
        <v>46066</v>
      </c>
      <c r="C989" s="2" t="str">
        <f>IFERROR(__xludf.DUMMYFUNCTION("""COMPUTED_VALUE"""),"MOBILECARE - APP MALL OF ASIA")</f>
        <v>MOBILECARE - APP MALL OF ASIA</v>
      </c>
      <c r="D989" s="2" t="str">
        <f>IFERROR(__xludf.DUMMYFUNCTION("""COMPUTED_VALUE"""),"661-42727")</f>
        <v>661-42727</v>
      </c>
      <c r="E989" s="2" t="str">
        <f>IFERROR(__xludf.DUMMYFUNCTION("""COMPUTED_VALUE"""),"TrueDepth Camera, iPhone 16 Pro")</f>
        <v>TrueDepth Camera, iPhone 16 Pro</v>
      </c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0" t="str">
        <f t="shared" si="1"/>
        <v>February</v>
      </c>
      <c r="B990" s="11">
        <f>IFERROR(__xludf.DUMMYFUNCTION("""COMPUTED_VALUE"""),46067.0)</f>
        <v>46067</v>
      </c>
      <c r="C990" s="2" t="str">
        <f>IFERROR(__xludf.DUMMYFUNCTION("""COMPUTED_VALUE"""),"MOBILECARE - APP MALL OF ASIA")</f>
        <v>MOBILECARE - APP MALL OF ASIA</v>
      </c>
      <c r="D990" s="2" t="str">
        <f>IFERROR(__xludf.DUMMYFUNCTION("""COMPUTED_VALUE"""),"661-13574")</f>
        <v>661-13574</v>
      </c>
      <c r="E990" s="2" t="str">
        <f>IFERROR(__xludf.DUMMYFUNCTION("""COMPUTED_VALUE"""),"Battery, iPhone 11")</f>
        <v>Battery, iPhone 11</v>
      </c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0" t="str">
        <f t="shared" si="1"/>
        <v>February</v>
      </c>
      <c r="B991" s="11">
        <f>IFERROR(__xludf.DUMMYFUNCTION("""COMPUTED_VALUE"""),46055.0)</f>
        <v>46055</v>
      </c>
      <c r="C991" s="2" t="str">
        <f>IFERROR(__xludf.DUMMYFUNCTION("""COMPUTED_VALUE"""),"MOBILECARE - APP MALL OF ASIA")</f>
        <v>MOBILECARE - APP MALL OF ASIA</v>
      </c>
      <c r="D991" s="2" t="str">
        <f>IFERROR(__xludf.DUMMYFUNCTION("""COMPUTED_VALUE"""),"661-23803")</f>
        <v>661-23803</v>
      </c>
      <c r="E991" s="2" t="str">
        <f>IFERROR(__xludf.DUMMYFUNCTION("""COMPUTED_VALUE"""),"TrueDepth Camera, iPhone 13 Pro Max")</f>
        <v>TrueDepth Camera, iPhone 13 Pro Max</v>
      </c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0" t="str">
        <f t="shared" si="1"/>
        <v>February</v>
      </c>
      <c r="B992" s="11">
        <f>IFERROR(__xludf.DUMMYFUNCTION("""COMPUTED_VALUE"""),46055.0)</f>
        <v>46055</v>
      </c>
      <c r="C992" s="2" t="str">
        <f>IFERROR(__xludf.DUMMYFUNCTION("""COMPUTED_VALUE"""),"MOBILECARE - APP MALL OF ASIA")</f>
        <v>MOBILECARE - APP MALL OF ASIA</v>
      </c>
      <c r="D992" s="2" t="str">
        <f>IFERROR(__xludf.DUMMYFUNCTION("""COMPUTED_VALUE"""),"661-22294")</f>
        <v>661-22294</v>
      </c>
      <c r="E992" s="2" t="str">
        <f>IFERROR(__xludf.DUMMYFUNCTION("""COMPUTED_VALUE"""),"Battery, iPhone 13 Pro Max")</f>
        <v>Battery, iPhone 13 Pro Max</v>
      </c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0" t="str">
        <f t="shared" si="1"/>
        <v>June</v>
      </c>
      <c r="B993" s="11">
        <f>IFERROR(__xludf.DUMMYFUNCTION("""COMPUTED_VALUE"""),46191.0)</f>
        <v>46191</v>
      </c>
      <c r="C993" s="2" t="str">
        <f>IFERROR(__xludf.DUMMYFUNCTION("""COMPUTED_VALUE"""),"MOBILECARE - APP MALL OF ASIA")</f>
        <v>MOBILECARE - APP MALL OF ASIA</v>
      </c>
      <c r="D993" s="2" t="str">
        <f>IFERROR(__xludf.DUMMYFUNCTION("""COMPUTED_VALUE"""),"ZP923-13785")</f>
        <v>ZP923-13785</v>
      </c>
      <c r="E993" s="2" t="str">
        <f>IFERROR(__xludf.DUMMYFUNCTION("""COMPUTED_VALUE"""),"Silver, Enclosure, iPhone 17 Pro Max, ROW")</f>
        <v>Silver, Enclosure, iPhone 17 Pro Max, ROW</v>
      </c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0" t="str">
        <f t="shared" si="1"/>
        <v>June</v>
      </c>
      <c r="B994" s="11">
        <f>IFERROR(__xludf.DUMMYFUNCTION("""COMPUTED_VALUE"""),46179.0)</f>
        <v>46179</v>
      </c>
      <c r="C994" s="2" t="str">
        <f>IFERROR(__xludf.DUMMYFUNCTION("""COMPUTED_VALUE"""),"MOBILECARE - APP MALL OF ASIA")</f>
        <v>MOBILECARE - APP MALL OF ASIA</v>
      </c>
      <c r="D994" s="2" t="str">
        <f>IFERROR(__xludf.DUMMYFUNCTION("""COMPUTED_VALUE"""),"661-22294")</f>
        <v>661-22294</v>
      </c>
      <c r="E994" s="2" t="str">
        <f>IFERROR(__xludf.DUMMYFUNCTION("""COMPUTED_VALUE"""),"Battery, iPhone 13 Pro Max")</f>
        <v>Battery, iPhone 13 Pro Max</v>
      </c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0" t="str">
        <f t="shared" si="1"/>
        <v>May</v>
      </c>
      <c r="B995" s="11">
        <f>IFERROR(__xludf.DUMMYFUNCTION("""COMPUTED_VALUE"""),46145.0)</f>
        <v>46145</v>
      </c>
      <c r="C995" s="2" t="str">
        <f>IFERROR(__xludf.DUMMYFUNCTION("""COMPUTED_VALUE"""),"MOBILECARE - APP MALL OF ASIA")</f>
        <v>MOBILECARE - APP MALL OF ASIA</v>
      </c>
      <c r="D995" s="2" t="str">
        <f>IFERROR(__xludf.DUMMYFUNCTION("""COMPUTED_VALUE"""),"661-21991")</f>
        <v>661-21991</v>
      </c>
      <c r="E995" s="2" t="str">
        <f>IFERROR(__xludf.DUMMYFUNCTION("""COMPUTED_VALUE"""),"Battery, iPhone 13")</f>
        <v>Battery, iPhone 13</v>
      </c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0" t="str">
        <f t="shared" si="1"/>
        <v>April</v>
      </c>
      <c r="B996" s="11">
        <f>IFERROR(__xludf.DUMMYFUNCTION("""COMPUTED_VALUE"""),46134.0)</f>
        <v>46134</v>
      </c>
      <c r="C996" s="2" t="str">
        <f>IFERROR(__xludf.DUMMYFUNCTION("""COMPUTED_VALUE"""),"MOBILECARE - APP MALL OF ASIA")</f>
        <v>MOBILECARE - APP MALL OF ASIA</v>
      </c>
      <c r="D996" s="2" t="str">
        <f>IFERROR(__xludf.DUMMYFUNCTION("""COMPUTED_VALUE"""),"661-42727")</f>
        <v>661-42727</v>
      </c>
      <c r="E996" s="2" t="str">
        <f>IFERROR(__xludf.DUMMYFUNCTION("""COMPUTED_VALUE"""),"TrueDepth Camera, iPhone 16 Pro")</f>
        <v>TrueDepth Camera, iPhone 16 Pro</v>
      </c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0" t="str">
        <f t="shared" si="1"/>
        <v>April</v>
      </c>
      <c r="B997" s="11">
        <f>IFERROR(__xludf.DUMMYFUNCTION("""COMPUTED_VALUE"""),46137.0)</f>
        <v>46137</v>
      </c>
      <c r="C997" s="2" t="str">
        <f>IFERROR(__xludf.DUMMYFUNCTION("""COMPUTED_VALUE"""),"MOBILECARE - APP MALL OF ASIA")</f>
        <v>MOBILECARE - APP MALL OF ASIA</v>
      </c>
      <c r="D997" s="2" t="str">
        <f>IFERROR(__xludf.DUMMYFUNCTION("""COMPUTED_VALUE"""),"661-42726")</f>
        <v>661-42726</v>
      </c>
      <c r="E997" s="2" t="str">
        <f>IFERROR(__xludf.DUMMYFUNCTION("""COMPUTED_VALUE"""),"Display, iPhone 16 Pro")</f>
        <v>Display, iPhone 16 Pro</v>
      </c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0" t="str">
        <f t="shared" si="1"/>
        <v>April</v>
      </c>
      <c r="B998" s="11">
        <f>IFERROR(__xludf.DUMMYFUNCTION("""COMPUTED_VALUE"""),46137.0)</f>
        <v>46137</v>
      </c>
      <c r="C998" s="2" t="str">
        <f>IFERROR(__xludf.DUMMYFUNCTION("""COMPUTED_VALUE"""),"MOBILECARE - APP MALL OF ASIA")</f>
        <v>MOBILECARE - APP MALL OF ASIA</v>
      </c>
      <c r="D998" s="2" t="str">
        <f>IFERROR(__xludf.DUMMYFUNCTION("""COMPUTED_VALUE"""),"661-42728")</f>
        <v>661-42728</v>
      </c>
      <c r="E998" s="2" t="str">
        <f>IFERROR(__xludf.DUMMYFUNCTION("""COMPUTED_VALUE"""),"Camera, iPhone 16 Pro")</f>
        <v>Camera, iPhone 16 Pro</v>
      </c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0" t="str">
        <f t="shared" si="1"/>
        <v>March</v>
      </c>
      <c r="B999" s="11">
        <f>IFERROR(__xludf.DUMMYFUNCTION("""COMPUTED_VALUE"""),46107.0)</f>
        <v>46107</v>
      </c>
      <c r="C999" s="2" t="str">
        <f>IFERROR(__xludf.DUMMYFUNCTION("""COMPUTED_VALUE"""),"MOBILECARE - APP MALL OF ASIA")</f>
        <v>MOBILECARE - APP MALL OF ASIA</v>
      </c>
      <c r="D999" s="2" t="str">
        <f>IFERROR(__xludf.DUMMYFUNCTION("""COMPUTED_VALUE"""),"661-44955")</f>
        <v>661-44955</v>
      </c>
      <c r="E999" s="2" t="str">
        <f>IFERROR(__xludf.DUMMYFUNCTION("""COMPUTED_VALUE"""),"Display, iPhone 16 Pro Max")</f>
        <v>Display, iPhone 16 Pro Max</v>
      </c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0" t="str">
        <f t="shared" si="1"/>
        <v>March</v>
      </c>
      <c r="B1000" s="11">
        <f>IFERROR(__xludf.DUMMYFUNCTION("""COMPUTED_VALUE"""),46109.0)</f>
        <v>46109</v>
      </c>
      <c r="C1000" s="2" t="str">
        <f>IFERROR(__xludf.DUMMYFUNCTION("""COMPUTED_VALUE"""),"MOBILECARE - APP MALL OF ASIA")</f>
        <v>MOBILECARE - APP MALL OF ASIA</v>
      </c>
      <c r="D1000" s="2" t="str">
        <f>IFERROR(__xludf.DUMMYFUNCTION("""COMPUTED_VALUE"""),"661-44957")</f>
        <v>661-44957</v>
      </c>
      <c r="E1000" s="2" t="str">
        <f>IFERROR(__xludf.DUMMYFUNCTION("""COMPUTED_VALUE"""),"Camera, iPhone 16 Pro Max")</f>
        <v>Camera, iPhone 16 Pro Max</v>
      </c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10" t="str">
        <f t="shared" si="1"/>
        <v>February</v>
      </c>
      <c r="B1001" s="11">
        <f>IFERROR(__xludf.DUMMYFUNCTION("""COMPUTED_VALUE"""),46064.0)</f>
        <v>46064</v>
      </c>
      <c r="C1001" s="2" t="str">
        <f>IFERROR(__xludf.DUMMYFUNCTION("""COMPUTED_VALUE"""),"MOBILECARE - APP MALL OF ASIA")</f>
        <v>MOBILECARE - APP MALL OF ASIA</v>
      </c>
      <c r="D1001" s="2" t="str">
        <f>IFERROR(__xludf.DUMMYFUNCTION("""COMPUTED_VALUE"""),"661-44797")</f>
        <v>661-44797</v>
      </c>
      <c r="E1001" s="2" t="str">
        <f>IFERROR(__xludf.DUMMYFUNCTION("""COMPUTED_VALUE"""),"Display, iPhone 16")</f>
        <v>Display, iPhone 16</v>
      </c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10" t="str">
        <f t="shared" si="1"/>
        <v>June</v>
      </c>
      <c r="B1002" s="11">
        <f>IFERROR(__xludf.DUMMYFUNCTION("""COMPUTED_VALUE"""),46181.0)</f>
        <v>46181</v>
      </c>
      <c r="C1002" s="2" t="str">
        <f>IFERROR(__xludf.DUMMYFUNCTION("""COMPUTED_VALUE"""),"MOBILECARE - APP MALL OF ASIA")</f>
        <v>MOBILECARE - APP MALL OF ASIA</v>
      </c>
      <c r="D1002" s="2" t="str">
        <f>IFERROR(__xludf.DUMMYFUNCTION("""COMPUTED_VALUE"""),"PP661-22981")</f>
        <v>PP661-22981</v>
      </c>
      <c r="E1002" s="2" t="str">
        <f>IFERROR(__xludf.DUMMYFUNCTION("""COMPUTED_VALUE"""),"Starlight, 128 GB, iPhone 13, ROW, CI/AR, Philippines")</f>
        <v>Starlight, 128 GB, iPhone 13, ROW, CI/AR, Philippines</v>
      </c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10" t="str">
        <f t="shared" si="1"/>
        <v>April</v>
      </c>
      <c r="B1003" s="11">
        <f>IFERROR(__xludf.DUMMYFUNCTION("""COMPUTED_VALUE"""),46119.0)</f>
        <v>46119</v>
      </c>
      <c r="C1003" s="2" t="str">
        <f>IFERROR(__xludf.DUMMYFUNCTION("""COMPUTED_VALUE"""),"MOBILECARE - APP MALL OF ASIA")</f>
        <v>MOBILECARE - APP MALL OF ASIA</v>
      </c>
      <c r="D1003" s="2" t="str">
        <f>IFERROR(__xludf.DUMMYFUNCTION("""COMPUTED_VALUE"""),"661-44955")</f>
        <v>661-44955</v>
      </c>
      <c r="E1003" s="2" t="str">
        <f>IFERROR(__xludf.DUMMYFUNCTION("""COMPUTED_VALUE"""),"Display, iPhone 16 Pro Max")</f>
        <v>Display, iPhone 16 Pro Max</v>
      </c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10" t="str">
        <f t="shared" si="1"/>
        <v>March</v>
      </c>
      <c r="B1004" s="11">
        <f>IFERROR(__xludf.DUMMYFUNCTION("""COMPUTED_VALUE"""),46102.0)</f>
        <v>46102</v>
      </c>
      <c r="C1004" s="2" t="str">
        <f>IFERROR(__xludf.DUMMYFUNCTION("""COMPUTED_VALUE"""),"MOBILECARE - APP MALL OF ASIA")</f>
        <v>MOBILECARE - APP MALL OF ASIA</v>
      </c>
      <c r="D1004" s="2" t="str">
        <f>IFERROR(__xludf.DUMMYFUNCTION("""COMPUTED_VALUE"""),"661-42726")</f>
        <v>661-42726</v>
      </c>
      <c r="E1004" s="2" t="str">
        <f>IFERROR(__xludf.DUMMYFUNCTION("""COMPUTED_VALUE"""),"Display, iPhone 16 Pro")</f>
        <v>Display, iPhone 16 Pro</v>
      </c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10" t="str">
        <f t="shared" si="1"/>
        <v>March</v>
      </c>
      <c r="B1005" s="11">
        <f>IFERROR(__xludf.DUMMYFUNCTION("""COMPUTED_VALUE"""),46096.0)</f>
        <v>46096</v>
      </c>
      <c r="C1005" s="2" t="str">
        <f>IFERROR(__xludf.DUMMYFUNCTION("""COMPUTED_VALUE"""),"MOBILECARE - APP MALL OF ASIA")</f>
        <v>MOBILECARE - APP MALL OF ASIA</v>
      </c>
      <c r="D1005" s="2" t="str">
        <f>IFERROR(__xludf.DUMMYFUNCTION("""COMPUTED_VALUE"""),"661-22294")</f>
        <v>661-22294</v>
      </c>
      <c r="E1005" s="2" t="str">
        <f>IFERROR(__xludf.DUMMYFUNCTION("""COMPUTED_VALUE"""),"Battery, iPhone 13 Pro Max")</f>
        <v>Battery, iPhone 13 Pro Max</v>
      </c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10" t="str">
        <f t="shared" si="1"/>
        <v>March</v>
      </c>
      <c r="B1006" s="11">
        <f>IFERROR(__xludf.DUMMYFUNCTION("""COMPUTED_VALUE"""),46109.0)</f>
        <v>46109</v>
      </c>
      <c r="C1006" s="2" t="str">
        <f>IFERROR(__xludf.DUMMYFUNCTION("""COMPUTED_VALUE"""),"MOBILECARE - APP MALL OF ASIA")</f>
        <v>MOBILECARE - APP MALL OF ASIA</v>
      </c>
      <c r="D1006" s="2" t="str">
        <f>IFERROR(__xludf.DUMMYFUNCTION("""COMPUTED_VALUE"""),"661-22309")</f>
        <v>661-22309</v>
      </c>
      <c r="E1006" s="2" t="str">
        <f>IFERROR(__xludf.DUMMYFUNCTION("""COMPUTED_VALUE"""),"Display, iPhone 13 Pro Max")</f>
        <v>Display, iPhone 13 Pro Max</v>
      </c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10" t="str">
        <f t="shared" si="1"/>
        <v>March</v>
      </c>
      <c r="B1007" s="11">
        <f>IFERROR(__xludf.DUMMYFUNCTION("""COMPUTED_VALUE"""),46109.0)</f>
        <v>46109</v>
      </c>
      <c r="C1007" s="2" t="str">
        <f>IFERROR(__xludf.DUMMYFUNCTION("""COMPUTED_VALUE"""),"MOBILECARE - APP MALL OF ASIA")</f>
        <v>MOBILECARE - APP MALL OF ASIA</v>
      </c>
      <c r="D1007" s="2" t="str">
        <f>IFERROR(__xludf.DUMMYFUNCTION("""COMPUTED_VALUE"""),"661-22294")</f>
        <v>661-22294</v>
      </c>
      <c r="E1007" s="2" t="str">
        <f>IFERROR(__xludf.DUMMYFUNCTION("""COMPUTED_VALUE"""),"Battery, iPhone 13 Pro Max")</f>
        <v>Battery, iPhone 13 Pro Max</v>
      </c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10" t="str">
        <f t="shared" si="1"/>
        <v>February</v>
      </c>
      <c r="B1008" s="11">
        <f>IFERROR(__xludf.DUMMYFUNCTION("""COMPUTED_VALUE"""),46081.0)</f>
        <v>46081</v>
      </c>
      <c r="C1008" s="2" t="str">
        <f>IFERROR(__xludf.DUMMYFUNCTION("""COMPUTED_VALUE"""),"MOBILECARE - APP MALL OF ASIA")</f>
        <v>MOBILECARE - APP MALL OF ASIA</v>
      </c>
      <c r="D1008" s="2" t="str">
        <f>IFERROR(__xludf.DUMMYFUNCTION("""COMPUTED_VALUE"""),"661-44799")</f>
        <v>661-44799</v>
      </c>
      <c r="E1008" s="2" t="str">
        <f>IFERROR(__xludf.DUMMYFUNCTION("""COMPUTED_VALUE"""),"Camera, iPhone 16")</f>
        <v>Camera, iPhone 16</v>
      </c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10" t="str">
        <f t="shared" si="1"/>
        <v>June</v>
      </c>
      <c r="B1009" s="11">
        <f>IFERROR(__xludf.DUMMYFUNCTION("""COMPUTED_VALUE"""),46176.0)</f>
        <v>46176</v>
      </c>
      <c r="C1009" s="2" t="str">
        <f>IFERROR(__xludf.DUMMYFUNCTION("""COMPUTED_VALUE"""),"MOBILECARE - APP MALL OF ASIA")</f>
        <v>MOBILECARE - APP MALL OF ASIA</v>
      </c>
      <c r="D1009" s="2" t="str">
        <f>IFERROR(__xludf.DUMMYFUNCTION("""COMPUTED_VALUE"""),"661-15741")</f>
        <v>661-15741</v>
      </c>
      <c r="E1009" s="2" t="str">
        <f>IFERROR(__xludf.DUMMYFUNCTION("""COMPUTED_VALUE"""),"Battery, iPhone SE 2nd gen")</f>
        <v>Battery, iPhone SE 2nd gen</v>
      </c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10" t="str">
        <f t="shared" si="1"/>
        <v>April</v>
      </c>
      <c r="B1010" s="11">
        <f>IFERROR(__xludf.DUMMYFUNCTION("""COMPUTED_VALUE"""),46117.0)</f>
        <v>46117</v>
      </c>
      <c r="C1010" s="2" t="str">
        <f>IFERROR(__xludf.DUMMYFUNCTION("""COMPUTED_VALUE"""),"MOBILECARE - APP MALL OF ASIA")</f>
        <v>MOBILECARE - APP MALL OF ASIA</v>
      </c>
      <c r="D1010" s="2" t="str">
        <f>IFERROR(__xludf.DUMMYFUNCTION("""COMPUTED_VALUE"""),"661-44960")</f>
        <v>661-44960</v>
      </c>
      <c r="E1010" s="2" t="str">
        <f>IFERROR(__xludf.DUMMYFUNCTION("""COMPUTED_VALUE"""),"Desert Titanium, Back Glass, iPhone 16 Pro Max")</f>
        <v>Desert Titanium, Back Glass, iPhone 16 Pro Max</v>
      </c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10" t="str">
        <f t="shared" si="1"/>
        <v>April</v>
      </c>
      <c r="B1011" s="11">
        <f>IFERROR(__xludf.DUMMYFUNCTION("""COMPUTED_VALUE"""),46117.0)</f>
        <v>46117</v>
      </c>
      <c r="C1011" s="2" t="str">
        <f>IFERROR(__xludf.DUMMYFUNCTION("""COMPUTED_VALUE"""),"MOBILECARE - APP MALL OF ASIA")</f>
        <v>MOBILECARE - APP MALL OF ASIA</v>
      </c>
      <c r="D1011" s="2" t="str">
        <f>IFERROR(__xludf.DUMMYFUNCTION("""COMPUTED_VALUE"""),"661-44956")</f>
        <v>661-44956</v>
      </c>
      <c r="E1011" s="2" t="str">
        <f>IFERROR(__xludf.DUMMYFUNCTION("""COMPUTED_VALUE"""),"TrueDepth Camera, iPhone 16 Pro Max")</f>
        <v>TrueDepth Camera, iPhone 16 Pro Max</v>
      </c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10" t="str">
        <f t="shared" si="1"/>
        <v>April</v>
      </c>
      <c r="B1012" s="11">
        <f>IFERROR(__xludf.DUMMYFUNCTION("""COMPUTED_VALUE"""),46117.0)</f>
        <v>46117</v>
      </c>
      <c r="C1012" s="2" t="str">
        <f>IFERROR(__xludf.DUMMYFUNCTION("""COMPUTED_VALUE"""),"MOBILECARE - APP MALL OF ASIA")</f>
        <v>MOBILECARE - APP MALL OF ASIA</v>
      </c>
      <c r="D1012" s="2" t="str">
        <f>IFERROR(__xludf.DUMMYFUNCTION("""COMPUTED_VALUE"""),"661-44957")</f>
        <v>661-44957</v>
      </c>
      <c r="E1012" s="2" t="str">
        <f>IFERROR(__xludf.DUMMYFUNCTION("""COMPUTED_VALUE"""),"Camera, iPhone 16 Pro Max")</f>
        <v>Camera, iPhone 16 Pro Max</v>
      </c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10" t="str">
        <f t="shared" si="1"/>
        <v>March</v>
      </c>
      <c r="B1013" s="11">
        <f>IFERROR(__xludf.DUMMYFUNCTION("""COMPUTED_VALUE"""),46084.0)</f>
        <v>46084</v>
      </c>
      <c r="C1013" s="2" t="str">
        <f>IFERROR(__xludf.DUMMYFUNCTION("""COMPUTED_VALUE"""),"MOBILECARE - APP MALL OF ASIA")</f>
        <v>MOBILECARE - APP MALL OF ASIA</v>
      </c>
      <c r="D1013" s="2" t="str">
        <f>IFERROR(__xludf.DUMMYFUNCTION("""COMPUTED_VALUE"""),"661-21991")</f>
        <v>661-21991</v>
      </c>
      <c r="E1013" s="2" t="str">
        <f>IFERROR(__xludf.DUMMYFUNCTION("""COMPUTED_VALUE"""),"Battery, iPhone 13")</f>
        <v>Battery, iPhone 13</v>
      </c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10" t="str">
        <f t="shared" si="1"/>
        <v>April</v>
      </c>
      <c r="B1014" s="11">
        <f>IFERROR(__xludf.DUMMYFUNCTION("""COMPUTED_VALUE"""),46121.0)</f>
        <v>46121</v>
      </c>
      <c r="C1014" s="2" t="str">
        <f>IFERROR(__xludf.DUMMYFUNCTION("""COMPUTED_VALUE"""),"MOBILECARE - APP MALL OF ASIA")</f>
        <v>MOBILECARE - APP MALL OF ASIA</v>
      </c>
      <c r="D1014" s="2" t="str">
        <f>IFERROR(__xludf.DUMMYFUNCTION("""COMPUTED_VALUE"""),"661-22309")</f>
        <v>661-22309</v>
      </c>
      <c r="E1014" s="2" t="str">
        <f>IFERROR(__xludf.DUMMYFUNCTION("""COMPUTED_VALUE"""),"Display, iPhone 13 Pro Max")</f>
        <v>Display, iPhone 13 Pro Max</v>
      </c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10" t="str">
        <f t="shared" si="1"/>
        <v>March</v>
      </c>
      <c r="B1015" s="11">
        <f>IFERROR(__xludf.DUMMYFUNCTION("""COMPUTED_VALUE"""),46088.0)</f>
        <v>46088</v>
      </c>
      <c r="C1015" s="2" t="str">
        <f>IFERROR(__xludf.DUMMYFUNCTION("""COMPUTED_VALUE"""),"MOBILECARE - APP MALL OF ASIA")</f>
        <v>MOBILECARE - APP MALL OF ASIA</v>
      </c>
      <c r="D1015" s="2" t="str">
        <f>IFERROR(__xludf.DUMMYFUNCTION("""COMPUTED_VALUE"""),"661-21991")</f>
        <v>661-21991</v>
      </c>
      <c r="E1015" s="2" t="str">
        <f>IFERROR(__xludf.DUMMYFUNCTION("""COMPUTED_VALUE"""),"Battery, iPhone 13")</f>
        <v>Battery, iPhone 13</v>
      </c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10" t="str">
        <f t="shared" si="1"/>
        <v>June</v>
      </c>
      <c r="B1016" s="11">
        <f>IFERROR(__xludf.DUMMYFUNCTION("""COMPUTED_VALUE"""),46189.0)</f>
        <v>46189</v>
      </c>
      <c r="C1016" s="2" t="str">
        <f>IFERROR(__xludf.DUMMYFUNCTION("""COMPUTED_VALUE"""),"MOBILECARE - APP MALL OF ASIA")</f>
        <v>MOBILECARE - APP MALL OF ASIA</v>
      </c>
      <c r="D1016" s="2" t="str">
        <f>IFERROR(__xludf.DUMMYFUNCTION("""COMPUTED_VALUE"""),"661-22294")</f>
        <v>661-22294</v>
      </c>
      <c r="E1016" s="2" t="str">
        <f>IFERROR(__xludf.DUMMYFUNCTION("""COMPUTED_VALUE"""),"Battery, iPhone 13 Pro Max")</f>
        <v>Battery, iPhone 13 Pro Max</v>
      </c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10" t="str">
        <f t="shared" si="1"/>
        <v>June</v>
      </c>
      <c r="B1017" s="11">
        <f>IFERROR(__xludf.DUMMYFUNCTION("""COMPUTED_VALUE"""),46177.0)</f>
        <v>46177</v>
      </c>
      <c r="C1017" s="2" t="str">
        <f>IFERROR(__xludf.DUMMYFUNCTION("""COMPUTED_VALUE"""),"MOBILECARE - APP MALL OF ASIA")</f>
        <v>MOBILECARE - APP MALL OF ASIA</v>
      </c>
      <c r="D1017" s="2" t="str">
        <f>IFERROR(__xludf.DUMMYFUNCTION("""COMPUTED_VALUE"""),"661-17920")</f>
        <v>661-17920</v>
      </c>
      <c r="E1017" s="2" t="str">
        <f>IFERROR(__xludf.DUMMYFUNCTION("""COMPUTED_VALUE"""),"Battery, iPhone 12 and 12 Pro")</f>
        <v>Battery, iPhone 12 and 12 Pro</v>
      </c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10" t="str">
        <f t="shared" si="1"/>
        <v>June</v>
      </c>
      <c r="B1018" s="11">
        <f>IFERROR(__xludf.DUMMYFUNCTION("""COMPUTED_VALUE"""),46177.0)</f>
        <v>46177</v>
      </c>
      <c r="C1018" s="2" t="str">
        <f>IFERROR(__xludf.DUMMYFUNCTION("""COMPUTED_VALUE"""),"MOBILECARE - APP MALL OF ASIA")</f>
        <v>MOBILECARE - APP MALL OF ASIA</v>
      </c>
      <c r="D1018" s="2" t="str">
        <f>IFERROR(__xludf.DUMMYFUNCTION("""COMPUTED_VALUE"""),"661-17922")</f>
        <v>661-17922</v>
      </c>
      <c r="E1018" s="2" t="str">
        <f>IFERROR(__xludf.DUMMYFUNCTION("""COMPUTED_VALUE"""),"Camera, iPhone 12 Pro")</f>
        <v>Camera, iPhone 12 Pro</v>
      </c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10" t="str">
        <f t="shared" si="1"/>
        <v>May</v>
      </c>
      <c r="B1019" s="11">
        <f>IFERROR(__xludf.DUMMYFUNCTION("""COMPUTED_VALUE"""),46169.0)</f>
        <v>46169</v>
      </c>
      <c r="C1019" s="2" t="str">
        <f>IFERROR(__xludf.DUMMYFUNCTION("""COMPUTED_VALUE"""),"MOBILECARE - APP MALL OF ASIA")</f>
        <v>MOBILECARE - APP MALL OF ASIA</v>
      </c>
      <c r="D1019" s="2" t="str">
        <f>IFERROR(__xludf.DUMMYFUNCTION("""COMPUTED_VALUE"""),"661-21991")</f>
        <v>661-21991</v>
      </c>
      <c r="E1019" s="2" t="str">
        <f>IFERROR(__xludf.DUMMYFUNCTION("""COMPUTED_VALUE"""),"Battery, iPhone 13")</f>
        <v>Battery, iPhone 13</v>
      </c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10" t="str">
        <f t="shared" si="1"/>
        <v>May</v>
      </c>
      <c r="B1020" s="11">
        <f>IFERROR(__xludf.DUMMYFUNCTION("""COMPUTED_VALUE"""),46169.0)</f>
        <v>46169</v>
      </c>
      <c r="C1020" s="2" t="str">
        <f>IFERROR(__xludf.DUMMYFUNCTION("""COMPUTED_VALUE"""),"MOBILECARE - APP MALL OF ASIA")</f>
        <v>MOBILECARE - APP MALL OF ASIA</v>
      </c>
      <c r="D1020" s="2" t="str">
        <f>IFERROR(__xludf.DUMMYFUNCTION("""COMPUTED_VALUE"""),"661-21988")</f>
        <v>661-21988</v>
      </c>
      <c r="E1020" s="2" t="str">
        <f>IFERROR(__xludf.DUMMYFUNCTION("""COMPUTED_VALUE"""),"Display, iPhone 13")</f>
        <v>Display, iPhone 13</v>
      </c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10" t="str">
        <f t="shared" si="1"/>
        <v>May</v>
      </c>
      <c r="B1021" s="11">
        <f>IFERROR(__xludf.DUMMYFUNCTION("""COMPUTED_VALUE"""),46164.0)</f>
        <v>46164</v>
      </c>
      <c r="C1021" s="2" t="str">
        <f>IFERROR(__xludf.DUMMYFUNCTION("""COMPUTED_VALUE"""),"MOBILECARE - APP MALL OF ASIA")</f>
        <v>MOBILECARE - APP MALL OF ASIA</v>
      </c>
      <c r="D1021" s="2" t="str">
        <f>IFERROR(__xludf.DUMMYFUNCTION("""COMPUTED_VALUE"""),"661-56050")</f>
        <v>661-56050</v>
      </c>
      <c r="E1021" s="2" t="str">
        <f>IFERROR(__xludf.DUMMYFUNCTION("""COMPUTED_VALUE"""),"Display, iPhone 17 Pro Max")</f>
        <v>Display, iPhone 17 Pro Max</v>
      </c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10" t="str">
        <f t="shared" si="1"/>
        <v>May</v>
      </c>
      <c r="B1022" s="11">
        <f>IFERROR(__xludf.DUMMYFUNCTION("""COMPUTED_VALUE"""),46169.0)</f>
        <v>46169</v>
      </c>
      <c r="C1022" s="2" t="str">
        <f>IFERROR(__xludf.DUMMYFUNCTION("""COMPUTED_VALUE"""),"MOBILECARE - APP MALL OF ASIA")</f>
        <v>MOBILECARE - APP MALL OF ASIA</v>
      </c>
      <c r="D1022" s="2" t="str">
        <f>IFERROR(__xludf.DUMMYFUNCTION("""COMPUTED_VALUE"""),"661-30397")</f>
        <v>661-30397</v>
      </c>
      <c r="E1022" s="2" t="str">
        <f>IFERROR(__xludf.DUMMYFUNCTION("""COMPUTED_VALUE"""),"Battery, iPhone 14 Pro Max")</f>
        <v>Battery, iPhone 14 Pro Max</v>
      </c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10" t="str">
        <f t="shared" si="1"/>
        <v>June</v>
      </c>
      <c r="B1023" s="11">
        <f>IFERROR(__xludf.DUMMYFUNCTION("""COMPUTED_VALUE"""),46191.0)</f>
        <v>46191</v>
      </c>
      <c r="C1023" s="2" t="str">
        <f>IFERROR(__xludf.DUMMYFUNCTION("""COMPUTED_VALUE"""),"MOBILECARE - APP MALL OF ASIA")</f>
        <v>MOBILECARE - APP MALL OF ASIA</v>
      </c>
      <c r="D1023" s="2" t="str">
        <f>IFERROR(__xludf.DUMMYFUNCTION("""COMPUTED_VALUE"""),"PP661-29409")</f>
        <v>PP661-29409</v>
      </c>
      <c r="E1023" s="2" t="str">
        <f>IFERROR(__xludf.DUMMYFUNCTION("""COMPUTED_VALUE"""),"Starlight, iPhone 14 Plus, 256GB, ROW, CI/AR, Philippines")</f>
        <v>Starlight, iPhone 14 Plus, 256GB, ROW, CI/AR, Philippines</v>
      </c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10" t="str">
        <f t="shared" si="1"/>
        <v>January</v>
      </c>
      <c r="B1024" s="11">
        <f>IFERROR(__xludf.DUMMYFUNCTION("""COMPUTED_VALUE"""),46044.0)</f>
        <v>46044</v>
      </c>
      <c r="C1024" s="2" t="str">
        <f>IFERROR(__xludf.DUMMYFUNCTION("""COMPUTED_VALUE"""),"MOBILECARE - APP MALL OF ASIA")</f>
        <v>MOBILECARE - APP MALL OF ASIA</v>
      </c>
      <c r="D1024" s="2" t="str">
        <f>IFERROR(__xludf.DUMMYFUNCTION("""COMPUTED_VALUE"""),"661-22309")</f>
        <v>661-22309</v>
      </c>
      <c r="E1024" s="2" t="str">
        <f>IFERROR(__xludf.DUMMYFUNCTION("""COMPUTED_VALUE"""),"Display, iPhone 13 Pro Max")</f>
        <v>Display, iPhone 13 Pro Max</v>
      </c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10" t="str">
        <f t="shared" si="1"/>
        <v>April</v>
      </c>
      <c r="B1025" s="11">
        <f>IFERROR(__xludf.DUMMYFUNCTION("""COMPUTED_VALUE"""),46125.0)</f>
        <v>46125</v>
      </c>
      <c r="C1025" s="2" t="str">
        <f>IFERROR(__xludf.DUMMYFUNCTION("""COMPUTED_VALUE"""),"MOBILECARE - APP MALL OF ASIA")</f>
        <v>MOBILECARE - APP MALL OF ASIA</v>
      </c>
      <c r="D1025" s="2" t="str">
        <f>IFERROR(__xludf.DUMMYFUNCTION("""COMPUTED_VALUE"""),"661-21991")</f>
        <v>661-21991</v>
      </c>
      <c r="E1025" s="2" t="str">
        <f>IFERROR(__xludf.DUMMYFUNCTION("""COMPUTED_VALUE"""),"Battery, iPhone 13")</f>
        <v>Battery, iPhone 13</v>
      </c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10" t="str">
        <f t="shared" si="1"/>
        <v>April</v>
      </c>
      <c r="B1026" s="11">
        <f>IFERROR(__xludf.DUMMYFUNCTION("""COMPUTED_VALUE"""),46122.0)</f>
        <v>46122</v>
      </c>
      <c r="C1026" s="2" t="str">
        <f>IFERROR(__xludf.DUMMYFUNCTION("""COMPUTED_VALUE"""),"MOBILECARE - APP MALL OF ASIA")</f>
        <v>MOBILECARE - APP MALL OF ASIA</v>
      </c>
      <c r="D1026" s="2" t="str">
        <f>IFERROR(__xludf.DUMMYFUNCTION("""COMPUTED_VALUE"""),"661-13574")</f>
        <v>661-13574</v>
      </c>
      <c r="E1026" s="2" t="str">
        <f>IFERROR(__xludf.DUMMYFUNCTION("""COMPUTED_VALUE"""),"Battery, iPhone 11")</f>
        <v>Battery, iPhone 11</v>
      </c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10" t="str">
        <f t="shared" si="1"/>
        <v>March</v>
      </c>
      <c r="B1027" s="11">
        <f>IFERROR(__xludf.DUMMYFUNCTION("""COMPUTED_VALUE"""),46087.0)</f>
        <v>46087</v>
      </c>
      <c r="C1027" s="2" t="str">
        <f>IFERROR(__xludf.DUMMYFUNCTION("""COMPUTED_VALUE"""),"MOBILECARE - APP MALL OF ASIA")</f>
        <v>MOBILECARE - APP MALL OF ASIA</v>
      </c>
      <c r="D1027" s="2" t="str">
        <f>IFERROR(__xludf.DUMMYFUNCTION("""COMPUTED_VALUE"""),"661-49431")</f>
        <v>661-49431</v>
      </c>
      <c r="E1027" s="2" t="str">
        <f>IFERROR(__xludf.DUMMYFUNCTION("""COMPUTED_VALUE"""),"Display, iPhone 16e")</f>
        <v>Display, iPhone 16e</v>
      </c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10" t="str">
        <f t="shared" si="1"/>
        <v>June</v>
      </c>
      <c r="B1028" s="11">
        <f>IFERROR(__xludf.DUMMYFUNCTION("""COMPUTED_VALUE"""),46177.0)</f>
        <v>46177</v>
      </c>
      <c r="C1028" s="2" t="str">
        <f>IFERROR(__xludf.DUMMYFUNCTION("""COMPUTED_VALUE"""),"MOBILECARE - APP MALL OF ASIA")</f>
        <v>MOBILECARE - APP MALL OF ASIA</v>
      </c>
      <c r="D1028" s="2" t="str">
        <f>IFERROR(__xludf.DUMMYFUNCTION("""COMPUTED_VALUE"""),"661-21991")</f>
        <v>661-21991</v>
      </c>
      <c r="E1028" s="2" t="str">
        <f>IFERROR(__xludf.DUMMYFUNCTION("""COMPUTED_VALUE"""),"Battery, iPhone 13")</f>
        <v>Battery, iPhone 13</v>
      </c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10" t="str">
        <f t="shared" si="1"/>
        <v>June</v>
      </c>
      <c r="B1029" s="11">
        <f>IFERROR(__xludf.DUMMYFUNCTION("""COMPUTED_VALUE"""),46177.0)</f>
        <v>46177</v>
      </c>
      <c r="C1029" s="2" t="str">
        <f>IFERROR(__xludf.DUMMYFUNCTION("""COMPUTED_VALUE"""),"MOBILECARE - APP MALL OF ASIA")</f>
        <v>MOBILECARE - APP MALL OF ASIA</v>
      </c>
      <c r="D1029" s="2" t="str">
        <f>IFERROR(__xludf.DUMMYFUNCTION("""COMPUTED_VALUE"""),"661-21988")</f>
        <v>661-21988</v>
      </c>
      <c r="E1029" s="2" t="str">
        <f>IFERROR(__xludf.DUMMYFUNCTION("""COMPUTED_VALUE"""),"Display, iPhone 13")</f>
        <v>Display, iPhone 13</v>
      </c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10" t="str">
        <f t="shared" si="1"/>
        <v>May</v>
      </c>
      <c r="B1030" s="11">
        <f>IFERROR(__xludf.DUMMYFUNCTION("""COMPUTED_VALUE"""),46149.0)</f>
        <v>46149</v>
      </c>
      <c r="C1030" s="2" t="str">
        <f>IFERROR(__xludf.DUMMYFUNCTION("""COMPUTED_VALUE"""),"MOBILECARE - APP MALL OF ASIA")</f>
        <v>MOBILECARE - APP MALL OF ASIA</v>
      </c>
      <c r="D1030" s="2" t="str">
        <f>IFERROR(__xludf.DUMMYFUNCTION("""COMPUTED_VALUE"""),"661-30393")</f>
        <v>661-30393</v>
      </c>
      <c r="E1030" s="2" t="str">
        <f>IFERROR(__xludf.DUMMYFUNCTION("""COMPUTED_VALUE"""),"Camera, iPhone 14 Plus")</f>
        <v>Camera, iPhone 14 Plus</v>
      </c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10" t="str">
        <f t="shared" si="1"/>
        <v>April</v>
      </c>
      <c r="B1031" s="11">
        <f>IFERROR(__xludf.DUMMYFUNCTION("""COMPUTED_VALUE"""),46119.0)</f>
        <v>46119</v>
      </c>
      <c r="C1031" s="2" t="str">
        <f>IFERROR(__xludf.DUMMYFUNCTION("""COMPUTED_VALUE"""),"MOBILECARE - APP MALL OF ASIA")</f>
        <v>MOBILECARE - APP MALL OF ASIA</v>
      </c>
      <c r="D1031" s="2" t="str">
        <f>IFERROR(__xludf.DUMMYFUNCTION("""COMPUTED_VALUE"""),"661-21993")</f>
        <v>661-21993</v>
      </c>
      <c r="E1031" s="2" t="str">
        <f>IFERROR(__xludf.DUMMYFUNCTION("""COMPUTED_VALUE"""),"Display, iPhone 13 Pro")</f>
        <v>Display, iPhone 13 Pro</v>
      </c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10" t="str">
        <f t="shared" si="1"/>
        <v>January</v>
      </c>
      <c r="B1032" s="11">
        <f>IFERROR(__xludf.DUMMYFUNCTION("""COMPUTED_VALUE"""),46048.0)</f>
        <v>46048</v>
      </c>
      <c r="C1032" s="2" t="str">
        <f>IFERROR(__xludf.DUMMYFUNCTION("""COMPUTED_VALUE"""),"MOBILECARE - APP MALL OF ASIA")</f>
        <v>MOBILECARE - APP MALL OF ASIA</v>
      </c>
      <c r="D1032" s="2" t="str">
        <f>IFERROR(__xludf.DUMMYFUNCTION("""COMPUTED_VALUE"""),"661-35828")</f>
        <v>661-35828</v>
      </c>
      <c r="E1032" s="2" t="str">
        <f>IFERROR(__xludf.DUMMYFUNCTION("""COMPUTED_VALUE"""),"Camera, iPhone 15")</f>
        <v>Camera, iPhone 15</v>
      </c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10" t="str">
        <f t="shared" si="1"/>
        <v>January</v>
      </c>
      <c r="B1033" s="11">
        <f>IFERROR(__xludf.DUMMYFUNCTION("""COMPUTED_VALUE"""),46045.0)</f>
        <v>46045</v>
      </c>
      <c r="C1033" s="2" t="str">
        <f>IFERROR(__xludf.DUMMYFUNCTION("""COMPUTED_VALUE"""),"MOBILECARE - APP MALL OF ASIA")</f>
        <v>MOBILECARE - APP MALL OF ASIA</v>
      </c>
      <c r="D1033" s="2" t="str">
        <f>IFERROR(__xludf.DUMMYFUNCTION("""COMPUTED_VALUE"""),"661-30373")</f>
        <v>661-30373</v>
      </c>
      <c r="E1033" s="2" t="str">
        <f>IFERROR(__xludf.DUMMYFUNCTION("""COMPUTED_VALUE"""),"Battery, iPhone 14")</f>
        <v>Battery, iPhone 14</v>
      </c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10" t="str">
        <f t="shared" si="1"/>
        <v>May</v>
      </c>
      <c r="B1034" s="11">
        <f>IFERROR(__xludf.DUMMYFUNCTION("""COMPUTED_VALUE"""),46164.0)</f>
        <v>46164</v>
      </c>
      <c r="C1034" s="2" t="str">
        <f>IFERROR(__xludf.DUMMYFUNCTION("""COMPUTED_VALUE"""),"MOBILECARE - APP MALL OF ASIA")</f>
        <v>MOBILECARE - APP MALL OF ASIA</v>
      </c>
      <c r="D1034" s="2" t="str">
        <f>IFERROR(__xludf.DUMMYFUNCTION("""COMPUTED_VALUE"""),"661-21991")</f>
        <v>661-21991</v>
      </c>
      <c r="E1034" s="2" t="str">
        <f>IFERROR(__xludf.DUMMYFUNCTION("""COMPUTED_VALUE"""),"Battery, iPhone 13")</f>
        <v>Battery, iPhone 13</v>
      </c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10" t="str">
        <f t="shared" si="1"/>
        <v>April</v>
      </c>
      <c r="B1035" s="11">
        <f>IFERROR(__xludf.DUMMYFUNCTION("""COMPUTED_VALUE"""),46134.0)</f>
        <v>46134</v>
      </c>
      <c r="C1035" s="2" t="str">
        <f>IFERROR(__xludf.DUMMYFUNCTION("""COMPUTED_VALUE"""),"MOBILECARE - APP MALL OF ASIA")</f>
        <v>MOBILECARE - APP MALL OF ASIA</v>
      </c>
      <c r="D1035" s="2" t="str">
        <f>IFERROR(__xludf.DUMMYFUNCTION("""COMPUTED_VALUE"""),"923-13581")</f>
        <v>923-13581</v>
      </c>
      <c r="E1035" s="2" t="str">
        <f>IFERROR(__xludf.DUMMYFUNCTION("""COMPUTED_VALUE"""),"Top Speaker, iPhone 17 Pro Max")</f>
        <v>Top Speaker, iPhone 17 Pro Max</v>
      </c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10" t="str">
        <f t="shared" si="1"/>
        <v>February</v>
      </c>
      <c r="B1036" s="11">
        <f>IFERROR(__xludf.DUMMYFUNCTION("""COMPUTED_VALUE"""),46081.0)</f>
        <v>46081</v>
      </c>
      <c r="C1036" s="2" t="str">
        <f>IFERROR(__xludf.DUMMYFUNCTION("""COMPUTED_VALUE"""),"MOBILECARE - APP MALL OF ASIA")</f>
        <v>MOBILECARE - APP MALL OF ASIA</v>
      </c>
      <c r="D1036" s="2" t="str">
        <f>IFERROR(__xludf.DUMMYFUNCTION("""COMPUTED_VALUE"""),"661-30397")</f>
        <v>661-30397</v>
      </c>
      <c r="E1036" s="2" t="str">
        <f>IFERROR(__xludf.DUMMYFUNCTION("""COMPUTED_VALUE"""),"Battery, iPhone 14 Pro Max")</f>
        <v>Battery, iPhone 14 Pro Max</v>
      </c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10" t="str">
        <f t="shared" si="1"/>
        <v>May</v>
      </c>
      <c r="B1037" s="11">
        <f>IFERROR(__xludf.DUMMYFUNCTION("""COMPUTED_VALUE"""),46151.0)</f>
        <v>46151</v>
      </c>
      <c r="C1037" s="2" t="str">
        <f>IFERROR(__xludf.DUMMYFUNCTION("""COMPUTED_VALUE"""),"MOBILECARE - APP MALL OF ASIA")</f>
        <v>MOBILECARE - APP MALL OF ASIA</v>
      </c>
      <c r="D1037" s="2" t="str">
        <f>IFERROR(__xludf.DUMMYFUNCTION("""COMPUTED_VALUE"""),"661-36915")</f>
        <v>661-36915</v>
      </c>
      <c r="E1037" s="2" t="str">
        <f>IFERROR(__xludf.DUMMYFUNCTION("""COMPUTED_VALUE"""),"Display, iPhone 15 Pro Max")</f>
        <v>Display, iPhone 15 Pro Max</v>
      </c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10" t="str">
        <f t="shared" si="1"/>
        <v>April</v>
      </c>
      <c r="B1038" s="11">
        <f>IFERROR(__xludf.DUMMYFUNCTION("""COMPUTED_VALUE"""),46130.0)</f>
        <v>46130</v>
      </c>
      <c r="C1038" s="2" t="str">
        <f>IFERROR(__xludf.DUMMYFUNCTION("""COMPUTED_VALUE"""),"MOBILECARE - APP MALL OF ASIA")</f>
        <v>MOBILECARE - APP MALL OF ASIA</v>
      </c>
      <c r="D1038" s="2" t="str">
        <f>IFERROR(__xludf.DUMMYFUNCTION("""COMPUTED_VALUE"""),"661-21991")</f>
        <v>661-21991</v>
      </c>
      <c r="E1038" s="2" t="str">
        <f>IFERROR(__xludf.DUMMYFUNCTION("""COMPUTED_VALUE"""),"Battery, iPhone 13")</f>
        <v>Battery, iPhone 13</v>
      </c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10" t="str">
        <f t="shared" si="1"/>
        <v>May</v>
      </c>
      <c r="B1039" s="11">
        <f>IFERROR(__xludf.DUMMYFUNCTION("""COMPUTED_VALUE"""),46158.0)</f>
        <v>46158</v>
      </c>
      <c r="C1039" s="2" t="str">
        <f>IFERROR(__xludf.DUMMYFUNCTION("""COMPUTED_VALUE"""),"MOBILECARE - APP MALL OF ASIA")</f>
        <v>MOBILECARE - APP MALL OF ASIA</v>
      </c>
      <c r="D1039" s="2" t="str">
        <f>IFERROR(__xludf.DUMMYFUNCTION("""COMPUTED_VALUE"""),"661-42843")</f>
        <v>661-42843</v>
      </c>
      <c r="E1039" s="2" t="str">
        <f>IFERROR(__xludf.DUMMYFUNCTION("""COMPUTED_VALUE"""),"Display, iPhone 16 Plus")</f>
        <v>Display, iPhone 16 Plus</v>
      </c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10" t="str">
        <f t="shared" si="1"/>
        <v>February</v>
      </c>
      <c r="B1040" s="11">
        <f>IFERROR(__xludf.DUMMYFUNCTION("""COMPUTED_VALUE"""),46070.0)</f>
        <v>46070</v>
      </c>
      <c r="C1040" s="2" t="str">
        <f>IFERROR(__xludf.DUMMYFUNCTION("""COMPUTED_VALUE"""),"MOBILECARE - APP MALL OF ASIA")</f>
        <v>MOBILECARE - APP MALL OF ASIA</v>
      </c>
      <c r="D1040" s="2" t="str">
        <f>IFERROR(__xludf.DUMMYFUNCTION("""COMPUTED_VALUE"""),"661-21991")</f>
        <v>661-21991</v>
      </c>
      <c r="E1040" s="2" t="str">
        <f>IFERROR(__xludf.DUMMYFUNCTION("""COMPUTED_VALUE"""),"Battery, iPhone 13")</f>
        <v>Battery, iPhone 13</v>
      </c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10" t="str">
        <f t="shared" si="1"/>
        <v>June</v>
      </c>
      <c r="B1041" s="11">
        <f>IFERROR(__xludf.DUMMYFUNCTION("""COMPUTED_VALUE"""),46175.0)</f>
        <v>46175</v>
      </c>
      <c r="C1041" s="2" t="str">
        <f>IFERROR(__xludf.DUMMYFUNCTION("""COMPUTED_VALUE"""),"MOBILECARE - APP MALL OF ASIA")</f>
        <v>MOBILECARE - APP MALL OF ASIA</v>
      </c>
      <c r="D1041" s="2" t="str">
        <f>IFERROR(__xludf.DUMMYFUNCTION("""COMPUTED_VALUE"""),"661-13569")</f>
        <v>661-13569</v>
      </c>
      <c r="E1041" s="2" t="str">
        <f>IFERROR(__xludf.DUMMYFUNCTION("""COMPUTED_VALUE"""),"Battery, iPhone 11 Pro")</f>
        <v>Battery, iPhone 11 Pro</v>
      </c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10" t="str">
        <f t="shared" si="1"/>
        <v>June</v>
      </c>
      <c r="B1042" s="11">
        <f>IFERROR(__xludf.DUMMYFUNCTION("""COMPUTED_VALUE"""),46193.0)</f>
        <v>46193</v>
      </c>
      <c r="C1042" s="2" t="str">
        <f>IFERROR(__xludf.DUMMYFUNCTION("""COMPUTED_VALUE"""),"MOBILECARE - APP MALL OF ASIA")</f>
        <v>MOBILECARE - APP MALL OF ASIA</v>
      </c>
      <c r="D1042" s="2" t="str">
        <f>IFERROR(__xludf.DUMMYFUNCTION("""COMPUTED_VALUE"""),"Z661-55956")</f>
        <v>Z661-55956</v>
      </c>
      <c r="E1042" s="2" t="str">
        <f>IFERROR(__xludf.DUMMYFUNCTION("""COMPUTED_VALUE"""),"Logic Board, 256GB, iPhone 17 Pro Max, ROW")</f>
        <v>Logic Board, 256GB, iPhone 17 Pro Max, ROW</v>
      </c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10" t="str">
        <f t="shared" si="1"/>
        <v>February</v>
      </c>
      <c r="B1043" s="11">
        <f>IFERROR(__xludf.DUMMYFUNCTION("""COMPUTED_VALUE"""),46077.0)</f>
        <v>46077</v>
      </c>
      <c r="C1043" s="2" t="str">
        <f>IFERROR(__xludf.DUMMYFUNCTION("""COMPUTED_VALUE"""),"MOBILECARE - APP MALL OF ASIA")</f>
        <v>MOBILECARE - APP MALL OF ASIA</v>
      </c>
      <c r="D1043" s="2" t="str">
        <f>IFERROR(__xludf.DUMMYFUNCTION("""COMPUTED_VALUE"""),"661-21993")</f>
        <v>661-21993</v>
      </c>
      <c r="E1043" s="2" t="str">
        <f>IFERROR(__xludf.DUMMYFUNCTION("""COMPUTED_VALUE"""),"Display, iPhone 13 Pro")</f>
        <v>Display, iPhone 13 Pro</v>
      </c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10" t="str">
        <f t="shared" si="1"/>
        <v>January</v>
      </c>
      <c r="B1044" s="11">
        <f>IFERROR(__xludf.DUMMYFUNCTION("""COMPUTED_VALUE"""),46051.0)</f>
        <v>46051</v>
      </c>
      <c r="C1044" s="2" t="str">
        <f>IFERROR(__xludf.DUMMYFUNCTION("""COMPUTED_VALUE"""),"MOBILECARE - APP MALL OF ASIA")</f>
        <v>MOBILECARE - APP MALL OF ASIA</v>
      </c>
      <c r="D1044" s="2" t="str">
        <f>IFERROR(__xludf.DUMMYFUNCTION("""COMPUTED_VALUE"""),"661-18428")</f>
        <v>661-18428</v>
      </c>
      <c r="E1044" s="2" t="str">
        <f>IFERROR(__xludf.DUMMYFUNCTION("""COMPUTED_VALUE"""),"Battery, iPhone 12 Pro Max")</f>
        <v>Battery, iPhone 12 Pro Max</v>
      </c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10" t="str">
        <f t="shared" si="1"/>
        <v>June</v>
      </c>
      <c r="B1045" s="11">
        <f>IFERROR(__xludf.DUMMYFUNCTION("""COMPUTED_VALUE"""),46179.0)</f>
        <v>46179</v>
      </c>
      <c r="C1045" s="2" t="str">
        <f>IFERROR(__xludf.DUMMYFUNCTION("""COMPUTED_VALUE"""),"MOBILECARE - APP MALL OF ASIA")</f>
        <v>MOBILECARE - APP MALL OF ASIA</v>
      </c>
      <c r="D1045" s="2" t="str">
        <f>IFERROR(__xludf.DUMMYFUNCTION("""COMPUTED_VALUE"""),"661-30397")</f>
        <v>661-30397</v>
      </c>
      <c r="E1045" s="2" t="str">
        <f>IFERROR(__xludf.DUMMYFUNCTION("""COMPUTED_VALUE"""),"Battery, iPhone 14 Pro Max")</f>
        <v>Battery, iPhone 14 Pro Max</v>
      </c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10" t="str">
        <f t="shared" si="1"/>
        <v>May</v>
      </c>
      <c r="B1046" s="11">
        <f>IFERROR(__xludf.DUMMYFUNCTION("""COMPUTED_VALUE"""),46166.0)</f>
        <v>46166</v>
      </c>
      <c r="C1046" s="2" t="str">
        <f>IFERROR(__xludf.DUMMYFUNCTION("""COMPUTED_VALUE"""),"MOBILECARE - APP MALL OF ASIA")</f>
        <v>MOBILECARE - APP MALL OF ASIA</v>
      </c>
      <c r="D1046" s="2" t="str">
        <f>IFERROR(__xludf.DUMMYFUNCTION("""COMPUTED_VALUE"""),"ZP923-13785")</f>
        <v>ZP923-13785</v>
      </c>
      <c r="E1046" s="2" t="str">
        <f>IFERROR(__xludf.DUMMYFUNCTION("""COMPUTED_VALUE"""),"Silver, Enclosure, iPhone 17 Pro Max, ROW")</f>
        <v>Silver, Enclosure, iPhone 17 Pro Max, ROW</v>
      </c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10" t="str">
        <f t="shared" si="1"/>
        <v>June</v>
      </c>
      <c r="B1047" s="11">
        <f>IFERROR(__xludf.DUMMYFUNCTION("""COMPUTED_VALUE"""),46180.0)</f>
        <v>46180</v>
      </c>
      <c r="C1047" s="2" t="str">
        <f>IFERROR(__xludf.DUMMYFUNCTION("""COMPUTED_VALUE"""),"MOBILECARE - APP MALL OF ASIA")</f>
        <v>MOBILECARE - APP MALL OF ASIA</v>
      </c>
      <c r="D1047" s="2" t="str">
        <f>IFERROR(__xludf.DUMMYFUNCTION("""COMPUTED_VALUE"""),"661-21991")</f>
        <v>661-21991</v>
      </c>
      <c r="E1047" s="2" t="str">
        <f>IFERROR(__xludf.DUMMYFUNCTION("""COMPUTED_VALUE"""),"Battery, iPhone 13")</f>
        <v>Battery, iPhone 13</v>
      </c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10" t="str">
        <f t="shared" si="1"/>
        <v>March</v>
      </c>
      <c r="B1048" s="11">
        <f>IFERROR(__xludf.DUMMYFUNCTION("""COMPUTED_VALUE"""),46091.0)</f>
        <v>46091</v>
      </c>
      <c r="C1048" s="2" t="str">
        <f>IFERROR(__xludf.DUMMYFUNCTION("""COMPUTED_VALUE"""),"MOBILECARE - APP MALL OF ASIA")</f>
        <v>MOBILECARE - APP MALL OF ASIA</v>
      </c>
      <c r="D1048" s="2" t="str">
        <f>IFERROR(__xludf.DUMMYFUNCTION("""COMPUTED_VALUE"""),"661-30366")</f>
        <v>661-30366</v>
      </c>
      <c r="E1048" s="2" t="str">
        <f>IFERROR(__xludf.DUMMYFUNCTION("""COMPUTED_VALUE"""),"Display, iPhone 14")</f>
        <v>Display, iPhone 14</v>
      </c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10" t="str">
        <f t="shared" si="1"/>
        <v>February</v>
      </c>
      <c r="B1049" s="11">
        <f>IFERROR(__xludf.DUMMYFUNCTION("""COMPUTED_VALUE"""),46080.0)</f>
        <v>46080</v>
      </c>
      <c r="C1049" s="2" t="str">
        <f>IFERROR(__xludf.DUMMYFUNCTION("""COMPUTED_VALUE"""),"MOBILECARE - APP MALL OF ASIA")</f>
        <v>MOBILECARE - APP MALL OF ASIA</v>
      </c>
      <c r="D1049" s="2" t="str">
        <f>IFERROR(__xludf.DUMMYFUNCTION("""COMPUTED_VALUE"""),"661-21991")</f>
        <v>661-21991</v>
      </c>
      <c r="E1049" s="2" t="str">
        <f>IFERROR(__xludf.DUMMYFUNCTION("""COMPUTED_VALUE"""),"Battery, iPhone 13")</f>
        <v>Battery, iPhone 13</v>
      </c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10" t="str">
        <f t="shared" si="1"/>
        <v>June</v>
      </c>
      <c r="B1050" s="11">
        <f>IFERROR(__xludf.DUMMYFUNCTION("""COMPUTED_VALUE"""),46190.0)</f>
        <v>46190</v>
      </c>
      <c r="C1050" s="2" t="str">
        <f>IFERROR(__xludf.DUMMYFUNCTION("""COMPUTED_VALUE"""),"MOBILECARE - APP MALL OF ASIA")</f>
        <v>MOBILECARE - APP MALL OF ASIA</v>
      </c>
      <c r="D1050" s="2" t="str">
        <f>IFERROR(__xludf.DUMMYFUNCTION("""COMPUTED_VALUE"""),"PP661-22980")</f>
        <v>PP661-22980</v>
      </c>
      <c r="E1050" s="2" t="str">
        <f>IFERROR(__xludf.DUMMYFUNCTION("""COMPUTED_VALUE"""),"Midnight, 128 GB, iPhone 13, ROW, CI/AR, Philippines")</f>
        <v>Midnight, 128 GB, iPhone 13, ROW, CI/AR, Philippines</v>
      </c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10" t="str">
        <f t="shared" si="1"/>
        <v>May</v>
      </c>
      <c r="B1051" s="11">
        <f>IFERROR(__xludf.DUMMYFUNCTION("""COMPUTED_VALUE"""),46161.0)</f>
        <v>46161</v>
      </c>
      <c r="C1051" s="2" t="str">
        <f>IFERROR(__xludf.DUMMYFUNCTION("""COMPUTED_VALUE"""),"MOBILECARE - APP MALL OF ASIA")</f>
        <v>MOBILECARE - APP MALL OF ASIA</v>
      </c>
      <c r="D1051" s="2" t="str">
        <f>IFERROR(__xludf.DUMMYFUNCTION("""COMPUTED_VALUE"""),"661-30366")</f>
        <v>661-30366</v>
      </c>
      <c r="E1051" s="2" t="str">
        <f>IFERROR(__xludf.DUMMYFUNCTION("""COMPUTED_VALUE"""),"Display, iPhone 14")</f>
        <v>Display, iPhone 14</v>
      </c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10" t="str">
        <f t="shared" si="1"/>
        <v>June</v>
      </c>
      <c r="B1052" s="11">
        <f>IFERROR(__xludf.DUMMYFUNCTION("""COMPUTED_VALUE"""),46176.0)</f>
        <v>46176</v>
      </c>
      <c r="C1052" s="2" t="str">
        <f>IFERROR(__xludf.DUMMYFUNCTION("""COMPUTED_VALUE"""),"MOBILECARE - APP MALL OF ASIA")</f>
        <v>MOBILECARE - APP MALL OF ASIA</v>
      </c>
      <c r="D1052" s="2" t="str">
        <f>IFERROR(__xludf.DUMMYFUNCTION("""COMPUTED_VALUE"""),"661-42726")</f>
        <v>661-42726</v>
      </c>
      <c r="E1052" s="2" t="str">
        <f>IFERROR(__xludf.DUMMYFUNCTION("""COMPUTED_VALUE"""),"Display, iPhone 16 Pro")</f>
        <v>Display, iPhone 16 Pro</v>
      </c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10" t="str">
        <f t="shared" si="1"/>
        <v>April</v>
      </c>
      <c r="B1053" s="11">
        <f>IFERROR(__xludf.DUMMYFUNCTION("""COMPUTED_VALUE"""),46135.0)</f>
        <v>46135</v>
      </c>
      <c r="C1053" s="2" t="str">
        <f>IFERROR(__xludf.DUMMYFUNCTION("""COMPUTED_VALUE"""),"MOBILECARE - APP MALL OF ASIA")</f>
        <v>MOBILECARE - APP MALL OF ASIA</v>
      </c>
      <c r="D1053" s="2" t="str">
        <f>IFERROR(__xludf.DUMMYFUNCTION("""COMPUTED_VALUE"""),"661-21991")</f>
        <v>661-21991</v>
      </c>
      <c r="E1053" s="2" t="str">
        <f>IFERROR(__xludf.DUMMYFUNCTION("""COMPUTED_VALUE"""),"Battery, iPhone 13")</f>
        <v>Battery, iPhone 13</v>
      </c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10" t="str">
        <f t="shared" si="1"/>
        <v>March</v>
      </c>
      <c r="B1054" s="11">
        <f>IFERROR(__xludf.DUMMYFUNCTION("""COMPUTED_VALUE"""),46102.0)</f>
        <v>46102</v>
      </c>
      <c r="C1054" s="2" t="str">
        <f>IFERROR(__xludf.DUMMYFUNCTION("""COMPUTED_VALUE"""),"MOBILECARE - APP MALL OF ASIA")</f>
        <v>MOBILECARE - APP MALL OF ASIA</v>
      </c>
      <c r="D1054" s="2" t="str">
        <f>IFERROR(__xludf.DUMMYFUNCTION("""COMPUTED_VALUE"""),"661-21993")</f>
        <v>661-21993</v>
      </c>
      <c r="E1054" s="2" t="str">
        <f>IFERROR(__xludf.DUMMYFUNCTION("""COMPUTED_VALUE"""),"Display, iPhone 13 Pro")</f>
        <v>Display, iPhone 13 Pro</v>
      </c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10" t="str">
        <f t="shared" si="1"/>
        <v>January</v>
      </c>
      <c r="B1055" s="11">
        <f>IFERROR(__xludf.DUMMYFUNCTION("""COMPUTED_VALUE"""),46045.0)</f>
        <v>46045</v>
      </c>
      <c r="C1055" s="2" t="str">
        <f>IFERROR(__xludf.DUMMYFUNCTION("""COMPUTED_VALUE"""),"MOBILECARE - APP MALL OF ASIA")</f>
        <v>MOBILECARE - APP MALL OF ASIA</v>
      </c>
      <c r="D1055" s="2" t="str">
        <f>IFERROR(__xludf.DUMMYFUNCTION("""COMPUTED_VALUE"""),"661-21991")</f>
        <v>661-21991</v>
      </c>
      <c r="E1055" s="2" t="str">
        <f>IFERROR(__xludf.DUMMYFUNCTION("""COMPUTED_VALUE"""),"Battery, iPhone 13")</f>
        <v>Battery, iPhone 13</v>
      </c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10" t="str">
        <f t="shared" si="1"/>
        <v>May</v>
      </c>
      <c r="B1056" s="11">
        <f>IFERROR(__xludf.DUMMYFUNCTION("""COMPUTED_VALUE"""),46157.0)</f>
        <v>46157</v>
      </c>
      <c r="C1056" s="2" t="str">
        <f>IFERROR(__xludf.DUMMYFUNCTION("""COMPUTED_VALUE"""),"MOBILECARE - APP MALL OF ASIA")</f>
        <v>MOBILECARE - APP MALL OF ASIA</v>
      </c>
      <c r="D1056" s="2" t="str">
        <f>IFERROR(__xludf.DUMMYFUNCTION("""COMPUTED_VALUE"""),"661-18428")</f>
        <v>661-18428</v>
      </c>
      <c r="E1056" s="2" t="str">
        <f>IFERROR(__xludf.DUMMYFUNCTION("""COMPUTED_VALUE"""),"Battery, iPhone 12 Pro Max")</f>
        <v>Battery, iPhone 12 Pro Max</v>
      </c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10" t="str">
        <f t="shared" si="1"/>
        <v>January</v>
      </c>
      <c r="B1057" s="11">
        <f>IFERROR(__xludf.DUMMYFUNCTION("""COMPUTED_VALUE"""),46044.0)</f>
        <v>46044</v>
      </c>
      <c r="C1057" s="2" t="str">
        <f>IFERROR(__xludf.DUMMYFUNCTION("""COMPUTED_VALUE"""),"MOBILECARE - APP MALL OF ASIA")</f>
        <v>MOBILECARE - APP MALL OF ASIA</v>
      </c>
      <c r="D1057" s="2" t="str">
        <f>IFERROR(__xludf.DUMMYFUNCTION("""COMPUTED_VALUE"""),"661-36829")</f>
        <v>661-36829</v>
      </c>
      <c r="E1057" s="2" t="str">
        <f>IFERROR(__xludf.DUMMYFUNCTION("""COMPUTED_VALUE"""),"TrueDepth Camera, iPhone 15")</f>
        <v>TrueDepth Camera, iPhone 15</v>
      </c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10" t="str">
        <f t="shared" si="1"/>
        <v>April</v>
      </c>
      <c r="B1058" s="11">
        <f>IFERROR(__xludf.DUMMYFUNCTION("""COMPUTED_VALUE"""),46113.0)</f>
        <v>46113</v>
      </c>
      <c r="C1058" s="2" t="str">
        <f>IFERROR(__xludf.DUMMYFUNCTION("""COMPUTED_VALUE"""),"MOBILECARE - APP MALL OF ASIA")</f>
        <v>MOBILECARE - APP MALL OF ASIA</v>
      </c>
      <c r="D1058" s="2" t="str">
        <f>IFERROR(__xludf.DUMMYFUNCTION("""COMPUTED_VALUE"""),"661-44955")</f>
        <v>661-44955</v>
      </c>
      <c r="E1058" s="2" t="str">
        <f>IFERROR(__xludf.DUMMYFUNCTION("""COMPUTED_VALUE"""),"Display, iPhone 16 Pro Max")</f>
        <v>Display, iPhone 16 Pro Max</v>
      </c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10" t="str">
        <f t="shared" si="1"/>
        <v>April</v>
      </c>
      <c r="B1059" s="11">
        <f>IFERROR(__xludf.DUMMYFUNCTION("""COMPUTED_VALUE"""),46121.0)</f>
        <v>46121</v>
      </c>
      <c r="C1059" s="2" t="str">
        <f>IFERROR(__xludf.DUMMYFUNCTION("""COMPUTED_VALUE"""),"MOBILECARE - APP MALL OF ASIA")</f>
        <v>MOBILECARE - APP MALL OF ASIA</v>
      </c>
      <c r="D1059" s="2" t="str">
        <f>IFERROR(__xludf.DUMMYFUNCTION("""COMPUTED_VALUE"""),"661-21991")</f>
        <v>661-21991</v>
      </c>
      <c r="E1059" s="2" t="str">
        <f>IFERROR(__xludf.DUMMYFUNCTION("""COMPUTED_VALUE"""),"Battery, iPhone 13")</f>
        <v>Battery, iPhone 13</v>
      </c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10" t="str">
        <f t="shared" si="1"/>
        <v>April</v>
      </c>
      <c r="B1060" s="11">
        <f>IFERROR(__xludf.DUMMYFUNCTION("""COMPUTED_VALUE"""),46123.0)</f>
        <v>46123</v>
      </c>
      <c r="C1060" s="2" t="str">
        <f>IFERROR(__xludf.DUMMYFUNCTION("""COMPUTED_VALUE"""),"MOBILECARE - APP MALL OF ASIA")</f>
        <v>MOBILECARE - APP MALL OF ASIA</v>
      </c>
      <c r="D1060" s="2" t="str">
        <f>IFERROR(__xludf.DUMMYFUNCTION("""COMPUTED_VALUE"""),"661-22294")</f>
        <v>661-22294</v>
      </c>
      <c r="E1060" s="2" t="str">
        <f>IFERROR(__xludf.DUMMYFUNCTION("""COMPUTED_VALUE"""),"Battery, iPhone 13 Pro Max")</f>
        <v>Battery, iPhone 13 Pro Max</v>
      </c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10" t="str">
        <f t="shared" si="1"/>
        <v>March</v>
      </c>
      <c r="B1061" s="11">
        <f>IFERROR(__xludf.DUMMYFUNCTION("""COMPUTED_VALUE"""),46108.0)</f>
        <v>46108</v>
      </c>
      <c r="C1061" s="2" t="str">
        <f>IFERROR(__xludf.DUMMYFUNCTION("""COMPUTED_VALUE"""),"MOBILECARE - APP MALL OF ASIA")</f>
        <v>MOBILECARE - APP MALL OF ASIA</v>
      </c>
      <c r="D1061" s="2" t="str">
        <f>IFERROR(__xludf.DUMMYFUNCTION("""COMPUTED_VALUE"""),"661-21993")</f>
        <v>661-21993</v>
      </c>
      <c r="E1061" s="2" t="str">
        <f>IFERROR(__xludf.DUMMYFUNCTION("""COMPUTED_VALUE"""),"Display, iPhone 13 Pro")</f>
        <v>Display, iPhone 13 Pro</v>
      </c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10" t="str">
        <f t="shared" si="1"/>
        <v>March</v>
      </c>
      <c r="B1062" s="11">
        <f>IFERROR(__xludf.DUMMYFUNCTION("""COMPUTED_VALUE"""),46109.0)</f>
        <v>46109</v>
      </c>
      <c r="C1062" s="2" t="str">
        <f>IFERROR(__xludf.DUMMYFUNCTION("""COMPUTED_VALUE"""),"MOBILECARE - APP MALL OF ASIA")</f>
        <v>MOBILECARE - APP MALL OF ASIA</v>
      </c>
      <c r="D1062" s="2" t="str">
        <f>IFERROR(__xludf.DUMMYFUNCTION("""COMPUTED_VALUE"""),"661-21996")</f>
        <v>661-21996</v>
      </c>
      <c r="E1062" s="2" t="str">
        <f>IFERROR(__xludf.DUMMYFUNCTION("""COMPUTED_VALUE"""),"Battery, iPhone 13 Pro")</f>
        <v>Battery, iPhone 13 Pro</v>
      </c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10" t="str">
        <f t="shared" si="1"/>
        <v>January</v>
      </c>
      <c r="B1063" s="11">
        <f>IFERROR(__xludf.DUMMYFUNCTION("""COMPUTED_VALUE"""),46037.0)</f>
        <v>46037</v>
      </c>
      <c r="C1063" s="2" t="str">
        <f>IFERROR(__xludf.DUMMYFUNCTION("""COMPUTED_VALUE"""),"MOBILECARE - APP MALL OF ASIA")</f>
        <v>MOBILECARE - APP MALL OF ASIA</v>
      </c>
      <c r="D1063" s="2" t="str">
        <f>IFERROR(__xludf.DUMMYFUNCTION("""COMPUTED_VALUE"""),"661-30370")</f>
        <v>661-30370</v>
      </c>
      <c r="E1063" s="2" t="str">
        <f>IFERROR(__xludf.DUMMYFUNCTION("""COMPUTED_VALUE"""),"Camera, iPhone 14")</f>
        <v>Camera, iPhone 14</v>
      </c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10" t="str">
        <f t="shared" si="1"/>
        <v>June</v>
      </c>
      <c r="B1064" s="11">
        <f>IFERROR(__xludf.DUMMYFUNCTION("""COMPUTED_VALUE"""),46186.0)</f>
        <v>46186</v>
      </c>
      <c r="C1064" s="2" t="str">
        <f>IFERROR(__xludf.DUMMYFUNCTION("""COMPUTED_VALUE"""),"MOBILECARE - APP MALL OF ASIA")</f>
        <v>MOBILECARE - APP MALL OF ASIA</v>
      </c>
      <c r="D1064" s="2" t="str">
        <f>IFERROR(__xludf.DUMMYFUNCTION("""COMPUTED_VALUE"""),"661-44955")</f>
        <v>661-44955</v>
      </c>
      <c r="E1064" s="2" t="str">
        <f>IFERROR(__xludf.DUMMYFUNCTION("""COMPUTED_VALUE"""),"Display, iPhone 16 Pro Max")</f>
        <v>Display, iPhone 16 Pro Max</v>
      </c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10" t="str">
        <f t="shared" si="1"/>
        <v>May</v>
      </c>
      <c r="B1065" s="11">
        <f>IFERROR(__xludf.DUMMYFUNCTION("""COMPUTED_VALUE"""),46145.0)</f>
        <v>46145</v>
      </c>
      <c r="C1065" s="2" t="str">
        <f>IFERROR(__xludf.DUMMYFUNCTION("""COMPUTED_VALUE"""),"MOBILECARE - APP MALL OF ASIA")</f>
        <v>MOBILECARE - APP MALL OF ASIA</v>
      </c>
      <c r="D1065" s="2" t="str">
        <f>IFERROR(__xludf.DUMMYFUNCTION("""COMPUTED_VALUE"""),"661-21991")</f>
        <v>661-21991</v>
      </c>
      <c r="E1065" s="2" t="str">
        <f>IFERROR(__xludf.DUMMYFUNCTION("""COMPUTED_VALUE"""),"Battery, iPhone 13")</f>
        <v>Battery, iPhone 13</v>
      </c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10" t="str">
        <f t="shared" si="1"/>
        <v>February</v>
      </c>
      <c r="B1066" s="11">
        <f>IFERROR(__xludf.DUMMYFUNCTION("""COMPUTED_VALUE"""),46070.0)</f>
        <v>46070</v>
      </c>
      <c r="C1066" s="2" t="str">
        <f>IFERROR(__xludf.DUMMYFUNCTION("""COMPUTED_VALUE"""),"MOBILECARE - APP MALL OF ASIA")</f>
        <v>MOBILECARE - APP MALL OF ASIA</v>
      </c>
      <c r="D1066" s="2" t="str">
        <f>IFERROR(__xludf.DUMMYFUNCTION("""COMPUTED_VALUE"""),"661-21991")</f>
        <v>661-21991</v>
      </c>
      <c r="E1066" s="2" t="str">
        <f>IFERROR(__xludf.DUMMYFUNCTION("""COMPUTED_VALUE"""),"Battery, iPhone 13")</f>
        <v>Battery, iPhone 13</v>
      </c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10" t="str">
        <f t="shared" si="1"/>
        <v>June</v>
      </c>
      <c r="B1067" s="11">
        <f>IFERROR(__xludf.DUMMYFUNCTION("""COMPUTED_VALUE"""),46189.0)</f>
        <v>46189</v>
      </c>
      <c r="C1067" s="2" t="str">
        <f>IFERROR(__xludf.DUMMYFUNCTION("""COMPUTED_VALUE"""),"MOBILECARE - APP MALL OF ASIA")</f>
        <v>MOBILECARE - APP MALL OF ASIA</v>
      </c>
      <c r="D1067" s="2" t="str">
        <f>IFERROR(__xludf.DUMMYFUNCTION("""COMPUTED_VALUE"""),"661-21991")</f>
        <v>661-21991</v>
      </c>
      <c r="E1067" s="2" t="str">
        <f>IFERROR(__xludf.DUMMYFUNCTION("""COMPUTED_VALUE"""),"Battery, iPhone 13")</f>
        <v>Battery, iPhone 13</v>
      </c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10" t="str">
        <f t="shared" si="1"/>
        <v>June</v>
      </c>
      <c r="B1068" s="11">
        <f>IFERROR(__xludf.DUMMYFUNCTION("""COMPUTED_VALUE"""),46174.0)</f>
        <v>46174</v>
      </c>
      <c r="C1068" s="2" t="str">
        <f>IFERROR(__xludf.DUMMYFUNCTION("""COMPUTED_VALUE"""),"MOBILECARE - APP MALL OF ASIA")</f>
        <v>MOBILECARE - APP MALL OF ASIA</v>
      </c>
      <c r="D1068" s="2" t="str">
        <f>IFERROR(__xludf.DUMMYFUNCTION("""COMPUTED_VALUE"""),"661-56052")</f>
        <v>661-56052</v>
      </c>
      <c r="E1068" s="2" t="str">
        <f>IFERROR(__xludf.DUMMYFUNCTION("""COMPUTED_VALUE"""),"Camera, iPhone 17 Pro Max")</f>
        <v>Camera, iPhone 17 Pro Max</v>
      </c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10" t="str">
        <f t="shared" si="1"/>
        <v>April</v>
      </c>
      <c r="B1069" s="11">
        <f>IFERROR(__xludf.DUMMYFUNCTION("""COMPUTED_VALUE"""),46128.0)</f>
        <v>46128</v>
      </c>
      <c r="C1069" s="2" t="str">
        <f>IFERROR(__xludf.DUMMYFUNCTION("""COMPUTED_VALUE"""),"MOBILECARE - APP MALL OF ASIA")</f>
        <v>MOBILECARE - APP MALL OF ASIA</v>
      </c>
      <c r="D1069" s="2" t="str">
        <f>IFERROR(__xludf.DUMMYFUNCTION("""COMPUTED_VALUE"""),"661-36915")</f>
        <v>661-36915</v>
      </c>
      <c r="E1069" s="2" t="str">
        <f>IFERROR(__xludf.DUMMYFUNCTION("""COMPUTED_VALUE"""),"Display, iPhone 15 Pro Max")</f>
        <v>Display, iPhone 15 Pro Max</v>
      </c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10" t="str">
        <f t="shared" si="1"/>
        <v>February</v>
      </c>
      <c r="B1070" s="11">
        <f>IFERROR(__xludf.DUMMYFUNCTION("""COMPUTED_VALUE"""),46068.0)</f>
        <v>46068</v>
      </c>
      <c r="C1070" s="2" t="str">
        <f>IFERROR(__xludf.DUMMYFUNCTION("""COMPUTED_VALUE"""),"MOBILECARE - APP MALL OF ASIA")</f>
        <v>MOBILECARE - APP MALL OF ASIA</v>
      </c>
      <c r="D1070" s="2" t="str">
        <f>IFERROR(__xludf.DUMMYFUNCTION("""COMPUTED_VALUE"""),"661-21991")</f>
        <v>661-21991</v>
      </c>
      <c r="E1070" s="2" t="str">
        <f>IFERROR(__xludf.DUMMYFUNCTION("""COMPUTED_VALUE"""),"Battery, iPhone 13")</f>
        <v>Battery, iPhone 13</v>
      </c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10" t="str">
        <f t="shared" si="1"/>
        <v>May</v>
      </c>
      <c r="B1071" s="11">
        <f>IFERROR(__xludf.DUMMYFUNCTION("""COMPUTED_VALUE"""),46155.0)</f>
        <v>46155</v>
      </c>
      <c r="C1071" s="2" t="str">
        <f>IFERROR(__xludf.DUMMYFUNCTION("""COMPUTED_VALUE"""),"MOBILECARE - APP MALL OF ASIA")</f>
        <v>MOBILECARE - APP MALL OF ASIA</v>
      </c>
      <c r="D1071" s="2" t="str">
        <f>IFERROR(__xludf.DUMMYFUNCTION("""COMPUTED_VALUE"""),"661-56050")</f>
        <v>661-56050</v>
      </c>
      <c r="E1071" s="2" t="str">
        <f>IFERROR(__xludf.DUMMYFUNCTION("""COMPUTED_VALUE"""),"Display, iPhone 17 Pro Max")</f>
        <v>Display, iPhone 17 Pro Max</v>
      </c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10" t="str">
        <f t="shared" si="1"/>
        <v>May</v>
      </c>
      <c r="B1072" s="11">
        <f>IFERROR(__xludf.DUMMYFUNCTION("""COMPUTED_VALUE"""),46155.0)</f>
        <v>46155</v>
      </c>
      <c r="C1072" s="2" t="str">
        <f>IFERROR(__xludf.DUMMYFUNCTION("""COMPUTED_VALUE"""),"MOBILECARE - APP MALL OF ASIA")</f>
        <v>MOBILECARE - APP MALL OF ASIA</v>
      </c>
      <c r="D1072" s="2" t="str">
        <f>IFERROR(__xludf.DUMMYFUNCTION("""COMPUTED_VALUE"""),"661-56051")</f>
        <v>661-56051</v>
      </c>
      <c r="E1072" s="2" t="str">
        <f>IFERROR(__xludf.DUMMYFUNCTION("""COMPUTED_VALUE"""),"Front Camera, iPhone 17 Pro Max")</f>
        <v>Front Camera, iPhone 17 Pro Max</v>
      </c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10" t="str">
        <f t="shared" si="1"/>
        <v>May</v>
      </c>
      <c r="B1073" s="11">
        <f>IFERROR(__xludf.DUMMYFUNCTION("""COMPUTED_VALUE"""),46156.0)</f>
        <v>46156</v>
      </c>
      <c r="C1073" s="2" t="str">
        <f>IFERROR(__xludf.DUMMYFUNCTION("""COMPUTED_VALUE"""),"MOBILECARE - APP MALL OF ASIA")</f>
        <v>MOBILECARE - APP MALL OF ASIA</v>
      </c>
      <c r="D1073" s="2" t="str">
        <f>IFERROR(__xludf.DUMMYFUNCTION("""COMPUTED_VALUE"""),"661-30401")</f>
        <v>661-30401</v>
      </c>
      <c r="E1073" s="2" t="str">
        <f>IFERROR(__xludf.DUMMYFUNCTION("""COMPUTED_VALUE"""),"Display, iPhone 14 Pro Max")</f>
        <v>Display, iPhone 14 Pro Max</v>
      </c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10" t="str">
        <f t="shared" si="1"/>
        <v>May</v>
      </c>
      <c r="B1074" s="11">
        <f>IFERROR(__xludf.DUMMYFUNCTION("""COMPUTED_VALUE"""),46156.0)</f>
        <v>46156</v>
      </c>
      <c r="C1074" s="2" t="str">
        <f>IFERROR(__xludf.DUMMYFUNCTION("""COMPUTED_VALUE"""),"MOBILECARE - APP MALL OF ASIA")</f>
        <v>MOBILECARE - APP MALL OF ASIA</v>
      </c>
      <c r="D1074" s="2" t="str">
        <f>IFERROR(__xludf.DUMMYFUNCTION("""COMPUTED_VALUE"""),"661-30397")</f>
        <v>661-30397</v>
      </c>
      <c r="E1074" s="2" t="str">
        <f>IFERROR(__xludf.DUMMYFUNCTION("""COMPUTED_VALUE"""),"Battery, iPhone 14 Pro Max")</f>
        <v>Battery, iPhone 14 Pro Max</v>
      </c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10" t="str">
        <f t="shared" si="1"/>
        <v>May</v>
      </c>
      <c r="B1075" s="11">
        <f>IFERROR(__xludf.DUMMYFUNCTION("""COMPUTED_VALUE"""),46148.0)</f>
        <v>46148</v>
      </c>
      <c r="C1075" s="2" t="str">
        <f>IFERROR(__xludf.DUMMYFUNCTION("""COMPUTED_VALUE"""),"MOBILECARE - APP MALL OF ASIA")</f>
        <v>MOBILECARE - APP MALL OF ASIA</v>
      </c>
      <c r="D1075" s="2" t="str">
        <f>IFERROR(__xludf.DUMMYFUNCTION("""COMPUTED_VALUE"""),"661-30393")</f>
        <v>661-30393</v>
      </c>
      <c r="E1075" s="2" t="str">
        <f>IFERROR(__xludf.DUMMYFUNCTION("""COMPUTED_VALUE"""),"Camera, iPhone 14 Plus")</f>
        <v>Camera, iPhone 14 Plus</v>
      </c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10" t="str">
        <f t="shared" si="1"/>
        <v>May</v>
      </c>
      <c r="B1076" s="11">
        <f>IFERROR(__xludf.DUMMYFUNCTION("""COMPUTED_VALUE"""),46149.0)</f>
        <v>46149</v>
      </c>
      <c r="C1076" s="2" t="str">
        <f>IFERROR(__xludf.DUMMYFUNCTION("""COMPUTED_VALUE"""),"MOBILECARE - APP MALL OF ASIA")</f>
        <v>MOBILECARE - APP MALL OF ASIA</v>
      </c>
      <c r="D1076" s="2" t="str">
        <f>IFERROR(__xludf.DUMMYFUNCTION("""COMPUTED_VALUE"""),"661-42728")</f>
        <v>661-42728</v>
      </c>
      <c r="E1076" s="2" t="str">
        <f>IFERROR(__xludf.DUMMYFUNCTION("""COMPUTED_VALUE"""),"Camera, iPhone 16 Pro")</f>
        <v>Camera, iPhone 16 Pro</v>
      </c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10" t="str">
        <f t="shared" si="1"/>
        <v>March</v>
      </c>
      <c r="B1077" s="11">
        <f>IFERROR(__xludf.DUMMYFUNCTION("""COMPUTED_VALUE"""),46111.0)</f>
        <v>46111</v>
      </c>
      <c r="C1077" s="2" t="str">
        <f>IFERROR(__xludf.DUMMYFUNCTION("""COMPUTED_VALUE"""),"MOBILECARE - APP MALL OF ASIA")</f>
        <v>MOBILECARE - APP MALL OF ASIA</v>
      </c>
      <c r="D1077" s="2" t="str">
        <f>IFERROR(__xludf.DUMMYFUNCTION("""COMPUTED_VALUE"""),"661-44955")</f>
        <v>661-44955</v>
      </c>
      <c r="E1077" s="2" t="str">
        <f>IFERROR(__xludf.DUMMYFUNCTION("""COMPUTED_VALUE"""),"Display, iPhone 16 Pro Max")</f>
        <v>Display, iPhone 16 Pro Max</v>
      </c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10" t="str">
        <f t="shared" si="1"/>
        <v>March</v>
      </c>
      <c r="B1078" s="11">
        <f>IFERROR(__xludf.DUMMYFUNCTION("""COMPUTED_VALUE"""),46085.0)</f>
        <v>46085</v>
      </c>
      <c r="C1078" s="2" t="str">
        <f>IFERROR(__xludf.DUMMYFUNCTION("""COMPUTED_VALUE"""),"MOBILECARE - APP MALL OF ASIA")</f>
        <v>MOBILECARE - APP MALL OF ASIA</v>
      </c>
      <c r="D1078" s="2" t="str">
        <f>IFERROR(__xludf.DUMMYFUNCTION("""COMPUTED_VALUE"""),"661-42727")</f>
        <v>661-42727</v>
      </c>
      <c r="E1078" s="2" t="str">
        <f>IFERROR(__xludf.DUMMYFUNCTION("""COMPUTED_VALUE"""),"TrueDepth Camera, iPhone 16 Pro")</f>
        <v>TrueDepth Camera, iPhone 16 Pro</v>
      </c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10" t="str">
        <f t="shared" si="1"/>
        <v>June</v>
      </c>
      <c r="B1079" s="11">
        <f>IFERROR(__xludf.DUMMYFUNCTION("""COMPUTED_VALUE"""),46186.0)</f>
        <v>46186</v>
      </c>
      <c r="C1079" s="2" t="str">
        <f>IFERROR(__xludf.DUMMYFUNCTION("""COMPUTED_VALUE"""),"MOBILECARE - APP MALL OF ASIA")</f>
        <v>MOBILECARE - APP MALL OF ASIA</v>
      </c>
      <c r="D1079" s="2" t="str">
        <f>IFERROR(__xludf.DUMMYFUNCTION("""COMPUTED_VALUE"""),"923-12003")</f>
        <v>923-12003</v>
      </c>
      <c r="E1079" s="2" t="str">
        <f>IFERROR(__xludf.DUMMYFUNCTION("""COMPUTED_VALUE"""),"Speaker, iPhone 16e/iPhone 17e")</f>
        <v>Speaker, iPhone 16e/iPhone 17e</v>
      </c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10" t="str">
        <f t="shared" si="1"/>
        <v>June</v>
      </c>
      <c r="B1080" s="11">
        <f>IFERROR(__xludf.DUMMYFUNCTION("""COMPUTED_VALUE"""),46187.0)</f>
        <v>46187</v>
      </c>
      <c r="C1080" s="2" t="str">
        <f>IFERROR(__xludf.DUMMYFUNCTION("""COMPUTED_VALUE"""),"MOBILECARE - APP MALL OF ASIA")</f>
        <v>MOBILECARE - APP MALL OF ASIA</v>
      </c>
      <c r="D1080" s="2" t="str">
        <f>IFERROR(__xludf.DUMMYFUNCTION("""COMPUTED_VALUE"""),"Z661-55956")</f>
        <v>Z661-55956</v>
      </c>
      <c r="E1080" s="2" t="str">
        <f>IFERROR(__xludf.DUMMYFUNCTION("""COMPUTED_VALUE"""),"Logic Board, 256GB, iPhone 17 Pro Max, ROW")</f>
        <v>Logic Board, 256GB, iPhone 17 Pro Max, ROW</v>
      </c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10" t="str">
        <f t="shared" si="1"/>
        <v>May</v>
      </c>
      <c r="B1081" s="11">
        <f>IFERROR(__xludf.DUMMYFUNCTION("""COMPUTED_VALUE"""),46149.0)</f>
        <v>46149</v>
      </c>
      <c r="C1081" s="2" t="str">
        <f>IFERROR(__xludf.DUMMYFUNCTION("""COMPUTED_VALUE"""),"MOBILECARE - APP MALL OF ASIA")</f>
        <v>MOBILECARE - APP MALL OF ASIA</v>
      </c>
      <c r="D1081" s="2" t="str">
        <f>IFERROR(__xludf.DUMMYFUNCTION("""COMPUTED_VALUE"""),"661-21996")</f>
        <v>661-21996</v>
      </c>
      <c r="E1081" s="2" t="str">
        <f>IFERROR(__xludf.DUMMYFUNCTION("""COMPUTED_VALUE"""),"Battery, iPhone 13 Pro")</f>
        <v>Battery, iPhone 13 Pro</v>
      </c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10" t="str">
        <f t="shared" si="1"/>
        <v>April</v>
      </c>
      <c r="B1082" s="11">
        <f>IFERROR(__xludf.DUMMYFUNCTION("""COMPUTED_VALUE"""),46130.0)</f>
        <v>46130</v>
      </c>
      <c r="C1082" s="2" t="str">
        <f>IFERROR(__xludf.DUMMYFUNCTION("""COMPUTED_VALUE"""),"MOBILECARE - APP MALL OF ASIA")</f>
        <v>MOBILECARE - APP MALL OF ASIA</v>
      </c>
      <c r="D1082" s="2" t="str">
        <f>IFERROR(__xludf.DUMMYFUNCTION("""COMPUTED_VALUE"""),"661-22294")</f>
        <v>661-22294</v>
      </c>
      <c r="E1082" s="2" t="str">
        <f>IFERROR(__xludf.DUMMYFUNCTION("""COMPUTED_VALUE"""),"Battery, iPhone 13 Pro Max")</f>
        <v>Battery, iPhone 13 Pro Max</v>
      </c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10" t="str">
        <f t="shared" si="1"/>
        <v>June</v>
      </c>
      <c r="B1083" s="11">
        <f>IFERROR(__xludf.DUMMYFUNCTION("""COMPUTED_VALUE"""),46181.0)</f>
        <v>46181</v>
      </c>
      <c r="C1083" s="2" t="str">
        <f>IFERROR(__xludf.DUMMYFUNCTION("""COMPUTED_VALUE"""),"MOBILECARE - APP MALL OF ASIA")</f>
        <v>MOBILECARE - APP MALL OF ASIA</v>
      </c>
      <c r="D1083" s="2" t="str">
        <f>IFERROR(__xludf.DUMMYFUNCTION("""COMPUTED_VALUE"""),"TA661-45267")</f>
        <v>TA661-45267</v>
      </c>
      <c r="E1083" s="2" t="str">
        <f>IFERROR(__xludf.DUMMYFUNCTION("""COMPUTED_VALUE"""),"512GB, Desert Titanium, ROW, iPhone 16 Pro Max, CI/AR")</f>
        <v>512GB, Desert Titanium, ROW, iPhone 16 Pro Max, CI/AR</v>
      </c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10" t="str">
        <f t="shared" si="1"/>
        <v>June</v>
      </c>
      <c r="B1084" s="11">
        <f>IFERROR(__xludf.DUMMYFUNCTION("""COMPUTED_VALUE"""),46189.0)</f>
        <v>46189</v>
      </c>
      <c r="C1084" s="2" t="str">
        <f>IFERROR(__xludf.DUMMYFUNCTION("""COMPUTED_VALUE"""),"MOBILECARE - APP MALL OF ASIA")</f>
        <v>MOBILECARE - APP MALL OF ASIA</v>
      </c>
      <c r="D1084" s="2" t="str">
        <f>IFERROR(__xludf.DUMMYFUNCTION("""COMPUTED_VALUE"""),"661-30397")</f>
        <v>661-30397</v>
      </c>
      <c r="E1084" s="2" t="str">
        <f>IFERROR(__xludf.DUMMYFUNCTION("""COMPUTED_VALUE"""),"Battery, iPhone 14 Pro Max")</f>
        <v>Battery, iPhone 14 Pro Max</v>
      </c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10" t="str">
        <f t="shared" si="1"/>
        <v>June</v>
      </c>
      <c r="B1085" s="11">
        <f>IFERROR(__xludf.DUMMYFUNCTION("""COMPUTED_VALUE"""),46175.0)</f>
        <v>46175</v>
      </c>
      <c r="C1085" s="2" t="str">
        <f>IFERROR(__xludf.DUMMYFUNCTION("""COMPUTED_VALUE"""),"MOBILECARE - APP MALL OF ASIA")</f>
        <v>MOBILECARE - APP MALL OF ASIA</v>
      </c>
      <c r="D1085" s="2" t="str">
        <f>IFERROR(__xludf.DUMMYFUNCTION("""COMPUTED_VALUE"""),"661-21991")</f>
        <v>661-21991</v>
      </c>
      <c r="E1085" s="2" t="str">
        <f>IFERROR(__xludf.DUMMYFUNCTION("""COMPUTED_VALUE"""),"Battery, iPhone 13")</f>
        <v>Battery, iPhone 13</v>
      </c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10" t="str">
        <f t="shared" si="1"/>
        <v>May</v>
      </c>
      <c r="B1086" s="11">
        <f>IFERROR(__xludf.DUMMYFUNCTION("""COMPUTED_VALUE"""),46162.0)</f>
        <v>46162</v>
      </c>
      <c r="C1086" s="2" t="str">
        <f>IFERROR(__xludf.DUMMYFUNCTION("""COMPUTED_VALUE"""),"MOBILECARE - APP MALL OF ASIA")</f>
        <v>MOBILECARE - APP MALL OF ASIA</v>
      </c>
      <c r="D1086" s="2" t="str">
        <f>IFERROR(__xludf.DUMMYFUNCTION("""COMPUTED_VALUE"""),"661-21991")</f>
        <v>661-21991</v>
      </c>
      <c r="E1086" s="2" t="str">
        <f>IFERROR(__xludf.DUMMYFUNCTION("""COMPUTED_VALUE"""),"Battery, iPhone 13")</f>
        <v>Battery, iPhone 13</v>
      </c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10" t="str">
        <f t="shared" si="1"/>
        <v>May</v>
      </c>
      <c r="B1087" s="11">
        <f>IFERROR(__xludf.DUMMYFUNCTION("""COMPUTED_VALUE"""),46144.0)</f>
        <v>46144</v>
      </c>
      <c r="C1087" s="2" t="str">
        <f>IFERROR(__xludf.DUMMYFUNCTION("""COMPUTED_VALUE"""),"MOBILECARE - APP MALL OF ASIA")</f>
        <v>MOBILECARE - APP MALL OF ASIA</v>
      </c>
      <c r="D1087" s="2" t="str">
        <f>IFERROR(__xludf.DUMMYFUNCTION("""COMPUTED_VALUE"""),"661-42726")</f>
        <v>661-42726</v>
      </c>
      <c r="E1087" s="2" t="str">
        <f>IFERROR(__xludf.DUMMYFUNCTION("""COMPUTED_VALUE"""),"Display, iPhone 16 Pro")</f>
        <v>Display, iPhone 16 Pro</v>
      </c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10" t="str">
        <f t="shared" si="1"/>
        <v>April</v>
      </c>
      <c r="B1088" s="11">
        <f>IFERROR(__xludf.DUMMYFUNCTION("""COMPUTED_VALUE"""),46129.0)</f>
        <v>46129</v>
      </c>
      <c r="C1088" s="2" t="str">
        <f>IFERROR(__xludf.DUMMYFUNCTION("""COMPUTED_VALUE"""),"MOBILECARE - APP MALL OF ASIA")</f>
        <v>MOBILECARE - APP MALL OF ASIA</v>
      </c>
      <c r="D1088" s="2" t="str">
        <f>IFERROR(__xludf.DUMMYFUNCTION("""COMPUTED_VALUE"""),"Z661-55846")</f>
        <v>Z661-55846</v>
      </c>
      <c r="E1088" s="2" t="str">
        <f>IFERROR(__xludf.DUMMYFUNCTION("""COMPUTED_VALUE"""),"Logic Board, 256GB, iPhone Air, ROW")</f>
        <v>Logic Board, 256GB, iPhone Air, ROW</v>
      </c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10" t="str">
        <f t="shared" si="1"/>
        <v>February</v>
      </c>
      <c r="B1089" s="11">
        <f>IFERROR(__xludf.DUMMYFUNCTION("""COMPUTED_VALUE"""),46064.0)</f>
        <v>46064</v>
      </c>
      <c r="C1089" s="2" t="str">
        <f>IFERROR(__xludf.DUMMYFUNCTION("""COMPUTED_VALUE"""),"MOBILECARE - APP MALL OF ASIA")</f>
        <v>MOBILECARE - APP MALL OF ASIA</v>
      </c>
      <c r="D1089" s="2" t="str">
        <f>IFERROR(__xludf.DUMMYFUNCTION("""COMPUTED_VALUE"""),"661-21988")</f>
        <v>661-21988</v>
      </c>
      <c r="E1089" s="2" t="str">
        <f>IFERROR(__xludf.DUMMYFUNCTION("""COMPUTED_VALUE"""),"Display, iPhone 13")</f>
        <v>Display, iPhone 13</v>
      </c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10" t="str">
        <f t="shared" si="1"/>
        <v>June</v>
      </c>
      <c r="B1090" s="11">
        <f>IFERROR(__xludf.DUMMYFUNCTION("""COMPUTED_VALUE"""),46191.0)</f>
        <v>46191</v>
      </c>
      <c r="C1090" s="2" t="str">
        <f>IFERROR(__xludf.DUMMYFUNCTION("""COMPUTED_VALUE"""),"MOBILECARE - APP MALL OF ASIA")</f>
        <v>MOBILECARE - APP MALL OF ASIA</v>
      </c>
      <c r="D1090" s="2" t="str">
        <f>IFERROR(__xludf.DUMMYFUNCTION("""COMPUTED_VALUE"""),"661-13574")</f>
        <v>661-13574</v>
      </c>
      <c r="E1090" s="2" t="str">
        <f>IFERROR(__xludf.DUMMYFUNCTION("""COMPUTED_VALUE"""),"Battery, iPhone 11")</f>
        <v>Battery, iPhone 11</v>
      </c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10" t="str">
        <f t="shared" si="1"/>
        <v>June</v>
      </c>
      <c r="B1091" s="11">
        <f>IFERROR(__xludf.DUMMYFUNCTION("""COMPUTED_VALUE"""),46190.0)</f>
        <v>46190</v>
      </c>
      <c r="C1091" s="2" t="str">
        <f>IFERROR(__xludf.DUMMYFUNCTION("""COMPUTED_VALUE"""),"MOBILECARE - S'MAISON")</f>
        <v>MOBILECARE - S'MAISON</v>
      </c>
      <c r="D1091" s="2" t="str">
        <f>IFERROR(__xludf.DUMMYFUNCTION("""COMPUTED_VALUE"""),"661-21991")</f>
        <v>661-21991</v>
      </c>
      <c r="E1091" s="2" t="str">
        <f>IFERROR(__xludf.DUMMYFUNCTION("""COMPUTED_VALUE"""),"Battery, iPhone 13")</f>
        <v>Battery, iPhone 13</v>
      </c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10" t="str">
        <f t="shared" si="1"/>
        <v>June</v>
      </c>
      <c r="B1092" s="11">
        <f>IFERROR(__xludf.DUMMYFUNCTION("""COMPUTED_VALUE"""),46188.0)</f>
        <v>46188</v>
      </c>
      <c r="C1092" s="2" t="str">
        <f>IFERROR(__xludf.DUMMYFUNCTION("""COMPUTED_VALUE"""),"MOBILECARE - S'MAISON")</f>
        <v>MOBILECARE - S'MAISON</v>
      </c>
      <c r="D1092" s="2" t="str">
        <f>IFERROR(__xludf.DUMMYFUNCTION("""COMPUTED_VALUE"""),"661-21991")</f>
        <v>661-21991</v>
      </c>
      <c r="E1092" s="2" t="str">
        <f>IFERROR(__xludf.DUMMYFUNCTION("""COMPUTED_VALUE"""),"Battery, iPhone 13")</f>
        <v>Battery, iPhone 13</v>
      </c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10" t="str">
        <f t="shared" si="1"/>
        <v>June</v>
      </c>
      <c r="B1093" s="11">
        <f>IFERROR(__xludf.DUMMYFUNCTION("""COMPUTED_VALUE"""),46190.0)</f>
        <v>46190</v>
      </c>
      <c r="C1093" s="2" t="str">
        <f>IFERROR(__xludf.DUMMYFUNCTION("""COMPUTED_VALUE"""),"MOBILECARE - S'MAISON")</f>
        <v>MOBILECARE - S'MAISON</v>
      </c>
      <c r="D1093" s="2" t="str">
        <f>IFERROR(__xludf.DUMMYFUNCTION("""COMPUTED_VALUE"""),"661-17920")</f>
        <v>661-17920</v>
      </c>
      <c r="E1093" s="2" t="str">
        <f>IFERROR(__xludf.DUMMYFUNCTION("""COMPUTED_VALUE"""),"Battery, iPhone 12 and 12 Pro")</f>
        <v>Battery, iPhone 12 and 12 Pro</v>
      </c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10" t="str">
        <f t="shared" si="1"/>
        <v>June</v>
      </c>
      <c r="B1094" s="11">
        <f>IFERROR(__xludf.DUMMYFUNCTION("""COMPUTED_VALUE"""),46182.0)</f>
        <v>46182</v>
      </c>
      <c r="C1094" s="2" t="str">
        <f>IFERROR(__xludf.DUMMYFUNCTION("""COMPUTED_VALUE"""),"MOBILECARE - S'MAISON")</f>
        <v>MOBILECARE - S'MAISON</v>
      </c>
      <c r="D1094" s="2" t="str">
        <f>IFERROR(__xludf.DUMMYFUNCTION("""COMPUTED_VALUE"""),"661-56067")</f>
        <v>661-56067</v>
      </c>
      <c r="E1094" s="2" t="str">
        <f>IFERROR(__xludf.DUMMYFUNCTION("""COMPUTED_VALUE"""),"Camera, iPhone 17")</f>
        <v>Camera, iPhone 17</v>
      </c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10" t="str">
        <f t="shared" si="1"/>
        <v>June</v>
      </c>
      <c r="B1095" s="11">
        <f>IFERROR(__xludf.DUMMYFUNCTION("""COMPUTED_VALUE"""),46174.0)</f>
        <v>46174</v>
      </c>
      <c r="C1095" s="2" t="str">
        <f>IFERROR(__xludf.DUMMYFUNCTION("""COMPUTED_VALUE"""),"MOBILECARE - S'MAISON")</f>
        <v>MOBILECARE - S'MAISON</v>
      </c>
      <c r="D1095" s="2" t="str">
        <f>IFERROR(__xludf.DUMMYFUNCTION("""COMPUTED_VALUE"""),"923-13580")</f>
        <v>923-13580</v>
      </c>
      <c r="E1095" s="2" t="str">
        <f>IFERROR(__xludf.DUMMYFUNCTION("""COMPUTED_VALUE"""),"Speaker, pSIM, iPhone 17 Pro Max")</f>
        <v>Speaker, pSIM, iPhone 17 Pro Max</v>
      </c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10" t="str">
        <f t="shared" si="1"/>
        <v>June</v>
      </c>
      <c r="B1096" s="11">
        <f>IFERROR(__xludf.DUMMYFUNCTION("""COMPUTED_VALUE"""),46180.0)</f>
        <v>46180</v>
      </c>
      <c r="C1096" s="2" t="str">
        <f>IFERROR(__xludf.DUMMYFUNCTION("""COMPUTED_VALUE"""),"MOBILECARE - S'MAISON")</f>
        <v>MOBILECARE - S'MAISON</v>
      </c>
      <c r="D1096" s="2" t="str">
        <f>IFERROR(__xludf.DUMMYFUNCTION("""COMPUTED_VALUE"""),"661-21991")</f>
        <v>661-21991</v>
      </c>
      <c r="E1096" s="2" t="str">
        <f>IFERROR(__xludf.DUMMYFUNCTION("""COMPUTED_VALUE"""),"Battery, iPhone 13")</f>
        <v>Battery, iPhone 13</v>
      </c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10" t="str">
        <f t="shared" si="1"/>
        <v>June</v>
      </c>
      <c r="B1097" s="11">
        <f>IFERROR(__xludf.DUMMYFUNCTION("""COMPUTED_VALUE"""),46193.0)</f>
        <v>46193</v>
      </c>
      <c r="C1097" s="2" t="str">
        <f>IFERROR(__xludf.DUMMYFUNCTION("""COMPUTED_VALUE"""),"MOBILECARE - S'MAISON")</f>
        <v>MOBILECARE - S'MAISON</v>
      </c>
      <c r="D1097" s="2" t="str">
        <f>IFERROR(__xludf.DUMMYFUNCTION("""COMPUTED_VALUE"""),"Z661-56015")</f>
        <v>Z661-56015</v>
      </c>
      <c r="E1097" s="2" t="str">
        <f>IFERROR(__xludf.DUMMYFUNCTION("""COMPUTED_VALUE"""),"Logic Board, 256GB, iPhone 17, ROW")</f>
        <v>Logic Board, 256GB, iPhone 17, ROW</v>
      </c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10" t="str">
        <f t="shared" si="1"/>
        <v>May</v>
      </c>
      <c r="B1098" s="11">
        <f>IFERROR(__xludf.DUMMYFUNCTION("""COMPUTED_VALUE"""),46162.0)</f>
        <v>46162</v>
      </c>
      <c r="C1098" s="2" t="str">
        <f>IFERROR(__xludf.DUMMYFUNCTION("""COMPUTED_VALUE"""),"MOBILECARE - S'MAISON")</f>
        <v>MOBILECARE - S'MAISON</v>
      </c>
      <c r="D1098" s="2" t="str">
        <f>IFERROR(__xludf.DUMMYFUNCTION("""COMPUTED_VALUE"""),"661-56052")</f>
        <v>661-56052</v>
      </c>
      <c r="E1098" s="2" t="str">
        <f>IFERROR(__xludf.DUMMYFUNCTION("""COMPUTED_VALUE"""),"Camera, iPhone 17 Pro Max")</f>
        <v>Camera, iPhone 17 Pro Max</v>
      </c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10" t="str">
        <f t="shared" si="1"/>
        <v>May</v>
      </c>
      <c r="B1099" s="11">
        <f>IFERROR(__xludf.DUMMYFUNCTION("""COMPUTED_VALUE"""),46151.0)</f>
        <v>46151</v>
      </c>
      <c r="C1099" s="2" t="str">
        <f>IFERROR(__xludf.DUMMYFUNCTION("""COMPUTED_VALUE"""),"MOBILECARE - S'MAISON")</f>
        <v>MOBILECARE - S'MAISON</v>
      </c>
      <c r="D1099" s="2" t="str">
        <f>IFERROR(__xludf.DUMMYFUNCTION("""COMPUTED_VALUE"""),"661-21988")</f>
        <v>661-21988</v>
      </c>
      <c r="E1099" s="2" t="str">
        <f>IFERROR(__xludf.DUMMYFUNCTION("""COMPUTED_VALUE"""),"Display, iPhone 13")</f>
        <v>Display, iPhone 13</v>
      </c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10" t="str">
        <f t="shared" si="1"/>
        <v>April</v>
      </c>
      <c r="B1100" s="11">
        <f>IFERROR(__xludf.DUMMYFUNCTION("""COMPUTED_VALUE"""),46119.0)</f>
        <v>46119</v>
      </c>
      <c r="C1100" s="2" t="str">
        <f>IFERROR(__xludf.DUMMYFUNCTION("""COMPUTED_VALUE"""),"MOBILECARE - S'MAISON")</f>
        <v>MOBILECARE - S'MAISON</v>
      </c>
      <c r="D1100" s="2" t="str">
        <f>IFERROR(__xludf.DUMMYFUNCTION("""COMPUTED_VALUE"""),"Z661-56015")</f>
        <v>Z661-56015</v>
      </c>
      <c r="E1100" s="2" t="str">
        <f>IFERROR(__xludf.DUMMYFUNCTION("""COMPUTED_VALUE"""),"Logic Board, 256GB, iPhone 17, ROW")</f>
        <v>Logic Board, 256GB, iPhone 17, ROW</v>
      </c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10" t="str">
        <f t="shared" si="1"/>
        <v>March</v>
      </c>
      <c r="B1101" s="11">
        <f>IFERROR(__xludf.DUMMYFUNCTION("""COMPUTED_VALUE"""),46086.0)</f>
        <v>46086</v>
      </c>
      <c r="C1101" s="2" t="str">
        <f>IFERROR(__xludf.DUMMYFUNCTION("""COMPUTED_VALUE"""),"MOBILECARE - S'MAISON")</f>
        <v>MOBILECARE - S'MAISON</v>
      </c>
      <c r="D1101" s="2" t="str">
        <f>IFERROR(__xludf.DUMMYFUNCTION("""COMPUTED_VALUE"""),"661-18428")</f>
        <v>661-18428</v>
      </c>
      <c r="E1101" s="2" t="str">
        <f>IFERROR(__xludf.DUMMYFUNCTION("""COMPUTED_VALUE"""),"Battery, iPhone 12 Pro Max")</f>
        <v>Battery, iPhone 12 Pro Max</v>
      </c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10" t="str">
        <f t="shared" si="1"/>
        <v>February</v>
      </c>
      <c r="B1102" s="11">
        <f>IFERROR(__xludf.DUMMYFUNCTION("""COMPUTED_VALUE"""),46074.0)</f>
        <v>46074</v>
      </c>
      <c r="C1102" s="2" t="str">
        <f>IFERROR(__xludf.DUMMYFUNCTION("""COMPUTED_VALUE"""),"MOBILECARE - S'MAISON")</f>
        <v>MOBILECARE - S'MAISON</v>
      </c>
      <c r="D1102" s="2" t="str">
        <f>IFERROR(__xludf.DUMMYFUNCTION("""COMPUTED_VALUE"""),"661-21996")</f>
        <v>661-21996</v>
      </c>
      <c r="E1102" s="2" t="str">
        <f>IFERROR(__xludf.DUMMYFUNCTION("""COMPUTED_VALUE"""),"Battery, iPhone 13 Pro")</f>
        <v>Battery, iPhone 13 Pro</v>
      </c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10" t="str">
        <f t="shared" si="1"/>
        <v>February</v>
      </c>
      <c r="B1103" s="11">
        <f>IFERROR(__xludf.DUMMYFUNCTION("""COMPUTED_VALUE"""),46060.0)</f>
        <v>46060</v>
      </c>
      <c r="C1103" s="2" t="str">
        <f>IFERROR(__xludf.DUMMYFUNCTION("""COMPUTED_VALUE"""),"MOBILECARE - S'MAISON")</f>
        <v>MOBILECARE - S'MAISON</v>
      </c>
      <c r="D1103" s="2" t="str">
        <f>IFERROR(__xludf.DUMMYFUNCTION("""COMPUTED_VALUE"""),"661-42726")</f>
        <v>661-42726</v>
      </c>
      <c r="E1103" s="2" t="str">
        <f>IFERROR(__xludf.DUMMYFUNCTION("""COMPUTED_VALUE"""),"Display, iPhone 16 Pro")</f>
        <v>Display, iPhone 16 Pro</v>
      </c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10" t="str">
        <f t="shared" si="1"/>
        <v>June</v>
      </c>
      <c r="B1104" s="11">
        <f>IFERROR(__xludf.DUMMYFUNCTION("""COMPUTED_VALUE"""),46180.0)</f>
        <v>46180</v>
      </c>
      <c r="C1104" s="2" t="str">
        <f>IFERROR(__xludf.DUMMYFUNCTION("""COMPUTED_VALUE"""),"MOBILECARE - S'MAISON")</f>
        <v>MOBILECARE - S'MAISON</v>
      </c>
      <c r="D1104" s="2" t="str">
        <f>IFERROR(__xludf.DUMMYFUNCTION("""COMPUTED_VALUE"""),"661-56051")</f>
        <v>661-56051</v>
      </c>
      <c r="E1104" s="2" t="str">
        <f>IFERROR(__xludf.DUMMYFUNCTION("""COMPUTED_VALUE"""),"Front Camera, iPhone 17 Pro Max")</f>
        <v>Front Camera, iPhone 17 Pro Max</v>
      </c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10" t="str">
        <f t="shared" si="1"/>
        <v>May</v>
      </c>
      <c r="B1105" s="11">
        <f>IFERROR(__xludf.DUMMYFUNCTION("""COMPUTED_VALUE"""),46164.0)</f>
        <v>46164</v>
      </c>
      <c r="C1105" s="2" t="str">
        <f>IFERROR(__xludf.DUMMYFUNCTION("""COMPUTED_VALUE"""),"MOBILECARE - S'MAISON")</f>
        <v>MOBILECARE - S'MAISON</v>
      </c>
      <c r="D1105" s="2" t="str">
        <f>IFERROR(__xludf.DUMMYFUNCTION("""COMPUTED_VALUE"""),"661-21991")</f>
        <v>661-21991</v>
      </c>
      <c r="E1105" s="2" t="str">
        <f>IFERROR(__xludf.DUMMYFUNCTION("""COMPUTED_VALUE"""),"Battery, iPhone 13")</f>
        <v>Battery, iPhone 13</v>
      </c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10" t="str">
        <f t="shared" si="1"/>
        <v>May</v>
      </c>
      <c r="B1106" s="11">
        <f>IFERROR(__xludf.DUMMYFUNCTION("""COMPUTED_VALUE"""),46167.0)</f>
        <v>46167</v>
      </c>
      <c r="C1106" s="2" t="str">
        <f>IFERROR(__xludf.DUMMYFUNCTION("""COMPUTED_VALUE"""),"MOBILECARE - S'MAISON")</f>
        <v>MOBILECARE - S'MAISON</v>
      </c>
      <c r="D1106" s="2" t="str">
        <f>IFERROR(__xludf.DUMMYFUNCTION("""COMPUTED_VALUE"""),"661-30397")</f>
        <v>661-30397</v>
      </c>
      <c r="E1106" s="2" t="str">
        <f>IFERROR(__xludf.DUMMYFUNCTION("""COMPUTED_VALUE"""),"Battery, iPhone 14 Pro Max")</f>
        <v>Battery, iPhone 14 Pro Max</v>
      </c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10" t="str">
        <f t="shared" si="1"/>
        <v>May</v>
      </c>
      <c r="B1107" s="11">
        <f>IFERROR(__xludf.DUMMYFUNCTION("""COMPUTED_VALUE"""),46161.0)</f>
        <v>46161</v>
      </c>
      <c r="C1107" s="2" t="str">
        <f>IFERROR(__xludf.DUMMYFUNCTION("""COMPUTED_VALUE"""),"MOBILECARE - S'MAISON")</f>
        <v>MOBILECARE - S'MAISON</v>
      </c>
      <c r="D1107" s="2" t="str">
        <f>IFERROR(__xludf.DUMMYFUNCTION("""COMPUTED_VALUE"""),"661-21991")</f>
        <v>661-21991</v>
      </c>
      <c r="E1107" s="2" t="str">
        <f>IFERROR(__xludf.DUMMYFUNCTION("""COMPUTED_VALUE"""),"Battery, iPhone 13")</f>
        <v>Battery, iPhone 13</v>
      </c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10" t="str">
        <f t="shared" si="1"/>
        <v>April</v>
      </c>
      <c r="B1108" s="11">
        <f>IFERROR(__xludf.DUMMYFUNCTION("""COMPUTED_VALUE"""),46132.0)</f>
        <v>46132</v>
      </c>
      <c r="C1108" s="2" t="str">
        <f>IFERROR(__xludf.DUMMYFUNCTION("""COMPUTED_VALUE"""),"MOBILECARE - S'MAISON")</f>
        <v>MOBILECARE - S'MAISON</v>
      </c>
      <c r="D1108" s="2" t="str">
        <f>IFERROR(__xludf.DUMMYFUNCTION("""COMPUTED_VALUE"""),"661-22374")</f>
        <v>661-22374</v>
      </c>
      <c r="E1108" s="2" t="str">
        <f>IFERROR(__xludf.DUMMYFUNCTION("""COMPUTED_VALUE"""),"Battery, iPhone 13 mini")</f>
        <v>Battery, iPhone 13 mini</v>
      </c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10" t="str">
        <f t="shared" si="1"/>
        <v>March</v>
      </c>
      <c r="B1109" s="11">
        <f>IFERROR(__xludf.DUMMYFUNCTION("""COMPUTED_VALUE"""),46110.0)</f>
        <v>46110</v>
      </c>
      <c r="C1109" s="2" t="str">
        <f>IFERROR(__xludf.DUMMYFUNCTION("""COMPUTED_VALUE"""),"MOBILECARE - S'MAISON")</f>
        <v>MOBILECARE - S'MAISON</v>
      </c>
      <c r="D1109" s="2" t="str">
        <f>IFERROR(__xludf.DUMMYFUNCTION("""COMPUTED_VALUE"""),"661-44955")</f>
        <v>661-44955</v>
      </c>
      <c r="E1109" s="2" t="str">
        <f>IFERROR(__xludf.DUMMYFUNCTION("""COMPUTED_VALUE"""),"Display, iPhone 16 Pro Max")</f>
        <v>Display, iPhone 16 Pro Max</v>
      </c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10" t="str">
        <f t="shared" si="1"/>
        <v>March</v>
      </c>
      <c r="B1110" s="11">
        <f>IFERROR(__xludf.DUMMYFUNCTION("""COMPUTED_VALUE"""),46100.0)</f>
        <v>46100</v>
      </c>
      <c r="C1110" s="2" t="str">
        <f>IFERROR(__xludf.DUMMYFUNCTION("""COMPUTED_VALUE"""),"MOBILECARE - S'MAISON")</f>
        <v>MOBILECARE - S'MAISON</v>
      </c>
      <c r="D1110" s="2" t="str">
        <f>IFERROR(__xludf.DUMMYFUNCTION("""COMPUTED_VALUE"""),"661-22294")</f>
        <v>661-22294</v>
      </c>
      <c r="E1110" s="2" t="str">
        <f>IFERROR(__xludf.DUMMYFUNCTION("""COMPUTED_VALUE"""),"Battery, iPhone 13 Pro Max")</f>
        <v>Battery, iPhone 13 Pro Max</v>
      </c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10" t="str">
        <f t="shared" si="1"/>
        <v>March</v>
      </c>
      <c r="B1111" s="11">
        <f>IFERROR(__xludf.DUMMYFUNCTION("""COMPUTED_VALUE"""),46096.0)</f>
        <v>46096</v>
      </c>
      <c r="C1111" s="2" t="str">
        <f>IFERROR(__xludf.DUMMYFUNCTION("""COMPUTED_VALUE"""),"MOBILECARE - S'MAISON")</f>
        <v>MOBILECARE - S'MAISON</v>
      </c>
      <c r="D1111" s="2" t="str">
        <f>IFERROR(__xludf.DUMMYFUNCTION("""COMPUTED_VALUE"""),"661-21993")</f>
        <v>661-21993</v>
      </c>
      <c r="E1111" s="2" t="str">
        <f>IFERROR(__xludf.DUMMYFUNCTION("""COMPUTED_VALUE"""),"Display, iPhone 13 Pro")</f>
        <v>Display, iPhone 13 Pro</v>
      </c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10" t="str">
        <f t="shared" si="1"/>
        <v>March</v>
      </c>
      <c r="B1112" s="11">
        <f>IFERROR(__xludf.DUMMYFUNCTION("""COMPUTED_VALUE"""),46086.0)</f>
        <v>46086</v>
      </c>
      <c r="C1112" s="2" t="str">
        <f>IFERROR(__xludf.DUMMYFUNCTION("""COMPUTED_VALUE"""),"MOBILECARE - S'MAISON")</f>
        <v>MOBILECARE - S'MAISON</v>
      </c>
      <c r="D1112" s="2" t="str">
        <f>IFERROR(__xludf.DUMMYFUNCTION("""COMPUTED_VALUE"""),"661-22309")</f>
        <v>661-22309</v>
      </c>
      <c r="E1112" s="2" t="str">
        <f>IFERROR(__xludf.DUMMYFUNCTION("""COMPUTED_VALUE"""),"Display, iPhone 13 Pro Max")</f>
        <v>Display, iPhone 13 Pro Max</v>
      </c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10" t="str">
        <f t="shared" si="1"/>
        <v>February</v>
      </c>
      <c r="B1113" s="11">
        <f>IFERROR(__xludf.DUMMYFUNCTION("""COMPUTED_VALUE"""),46079.0)</f>
        <v>46079</v>
      </c>
      <c r="C1113" s="2" t="str">
        <f>IFERROR(__xludf.DUMMYFUNCTION("""COMPUTED_VALUE"""),"MOBILECARE - S'MAISON")</f>
        <v>MOBILECARE - S'MAISON</v>
      </c>
      <c r="D1113" s="2" t="str">
        <f>IFERROR(__xludf.DUMMYFUNCTION("""COMPUTED_VALUE"""),"661-42726")</f>
        <v>661-42726</v>
      </c>
      <c r="E1113" s="2" t="str">
        <f>IFERROR(__xludf.DUMMYFUNCTION("""COMPUTED_VALUE"""),"Display, iPhone 16 Pro")</f>
        <v>Display, iPhone 16 Pro</v>
      </c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10" t="str">
        <f t="shared" si="1"/>
        <v>February</v>
      </c>
      <c r="B1114" s="11">
        <f>IFERROR(__xludf.DUMMYFUNCTION("""COMPUTED_VALUE"""),46068.0)</f>
        <v>46068</v>
      </c>
      <c r="C1114" s="2" t="str">
        <f>IFERROR(__xludf.DUMMYFUNCTION("""COMPUTED_VALUE"""),"MOBILECARE - S'MAISON")</f>
        <v>MOBILECARE - S'MAISON</v>
      </c>
      <c r="D1114" s="2" t="str">
        <f>IFERROR(__xludf.DUMMYFUNCTION("""COMPUTED_VALUE"""),"661-21991")</f>
        <v>661-21991</v>
      </c>
      <c r="E1114" s="2" t="str">
        <f>IFERROR(__xludf.DUMMYFUNCTION("""COMPUTED_VALUE"""),"Battery, iPhone 13")</f>
        <v>Battery, iPhone 13</v>
      </c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10" t="str">
        <f t="shared" si="1"/>
        <v>January</v>
      </c>
      <c r="B1115" s="11">
        <f>IFERROR(__xludf.DUMMYFUNCTION("""COMPUTED_VALUE"""),46053.0)</f>
        <v>46053</v>
      </c>
      <c r="C1115" s="2" t="str">
        <f>IFERROR(__xludf.DUMMYFUNCTION("""COMPUTED_VALUE"""),"MOBILECARE - S'MAISON")</f>
        <v>MOBILECARE - S'MAISON</v>
      </c>
      <c r="D1115" s="2" t="str">
        <f>IFERROR(__xludf.DUMMYFUNCTION("""COMPUTED_VALUE"""),"661-22294")</f>
        <v>661-22294</v>
      </c>
      <c r="E1115" s="2" t="str">
        <f>IFERROR(__xludf.DUMMYFUNCTION("""COMPUTED_VALUE"""),"Battery, iPhone 13 Pro Max")</f>
        <v>Battery, iPhone 13 Pro Max</v>
      </c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10" t="str">
        <f t="shared" si="1"/>
        <v>February</v>
      </c>
      <c r="B1116" s="11">
        <f>IFERROR(__xludf.DUMMYFUNCTION("""COMPUTED_VALUE"""),46062.0)</f>
        <v>46062</v>
      </c>
      <c r="C1116" s="2" t="str">
        <f>IFERROR(__xludf.DUMMYFUNCTION("""COMPUTED_VALUE"""),"MOBILECARE - S'MAISON")</f>
        <v>MOBILECARE - S'MAISON</v>
      </c>
      <c r="D1116" s="2" t="str">
        <f>IFERROR(__xludf.DUMMYFUNCTION("""COMPUTED_VALUE"""),"TA661-45261")</f>
        <v>TA661-45261</v>
      </c>
      <c r="E1116" s="2" t="str">
        <f>IFERROR(__xludf.DUMMYFUNCTION("""COMPUTED_VALUE"""),"256GB, Black Titanium, ROW, iPhone 16 Pro Max, CI/AR")</f>
        <v>256GB, Black Titanium, ROW, iPhone 16 Pro Max, CI/AR</v>
      </c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10" t="str">
        <f t="shared" si="1"/>
        <v>June</v>
      </c>
      <c r="B1117" s="11">
        <f>IFERROR(__xludf.DUMMYFUNCTION("""COMPUTED_VALUE"""),46188.0)</f>
        <v>46188</v>
      </c>
      <c r="C1117" s="2" t="str">
        <f>IFERROR(__xludf.DUMMYFUNCTION("""COMPUTED_VALUE"""),"MOBILECARE - S'MAISON")</f>
        <v>MOBILECARE - S'MAISON</v>
      </c>
      <c r="D1117" s="2" t="str">
        <f>IFERROR(__xludf.DUMMYFUNCTION("""COMPUTED_VALUE"""),"Z661-55956")</f>
        <v>Z661-55956</v>
      </c>
      <c r="E1117" s="2" t="str">
        <f>IFERROR(__xludf.DUMMYFUNCTION("""COMPUTED_VALUE"""),"Logic Board, 256GB, iPhone 17 Pro Max, ROW")</f>
        <v>Logic Board, 256GB, iPhone 17 Pro Max, ROW</v>
      </c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10" t="str">
        <f t="shared" si="1"/>
        <v>May</v>
      </c>
      <c r="B1118" s="11">
        <f>IFERROR(__xludf.DUMMYFUNCTION("""COMPUTED_VALUE"""),46158.0)</f>
        <v>46158</v>
      </c>
      <c r="C1118" s="2" t="str">
        <f>IFERROR(__xludf.DUMMYFUNCTION("""COMPUTED_VALUE"""),"MOBILECARE - S'MAISON")</f>
        <v>MOBILECARE - S'MAISON</v>
      </c>
      <c r="D1118" s="2" t="str">
        <f>IFERROR(__xludf.DUMMYFUNCTION("""COMPUTED_VALUE"""),"661-56050")</f>
        <v>661-56050</v>
      </c>
      <c r="E1118" s="2" t="str">
        <f>IFERROR(__xludf.DUMMYFUNCTION("""COMPUTED_VALUE"""),"Display, iPhone 17 Pro Max")</f>
        <v>Display, iPhone 17 Pro Max</v>
      </c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10" t="str">
        <f t="shared" si="1"/>
        <v>April</v>
      </c>
      <c r="B1119" s="11">
        <f>IFERROR(__xludf.DUMMYFUNCTION("""COMPUTED_VALUE"""),46137.0)</f>
        <v>46137</v>
      </c>
      <c r="C1119" s="2" t="str">
        <f>IFERROR(__xludf.DUMMYFUNCTION("""COMPUTED_VALUE"""),"MOBILECARE - S'MAISON")</f>
        <v>MOBILECARE - S'MAISON</v>
      </c>
      <c r="D1119" s="2" t="str">
        <f>IFERROR(__xludf.DUMMYFUNCTION("""COMPUTED_VALUE"""),"661-30382")</f>
        <v>661-30382</v>
      </c>
      <c r="E1119" s="2" t="str">
        <f>IFERROR(__xludf.DUMMYFUNCTION("""COMPUTED_VALUE"""),"Battery, iPhone 14 Pro")</f>
        <v>Battery, iPhone 14 Pro</v>
      </c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10" t="str">
        <f t="shared" si="1"/>
        <v>April</v>
      </c>
      <c r="B1120" s="11">
        <f>IFERROR(__xludf.DUMMYFUNCTION("""COMPUTED_VALUE"""),46131.0)</f>
        <v>46131</v>
      </c>
      <c r="C1120" s="2" t="str">
        <f>IFERROR(__xludf.DUMMYFUNCTION("""COMPUTED_VALUE"""),"MOBILECARE - S'MAISON")</f>
        <v>MOBILECARE - S'MAISON</v>
      </c>
      <c r="D1120" s="2" t="str">
        <f>IFERROR(__xludf.DUMMYFUNCTION("""COMPUTED_VALUE"""),"661-18428")</f>
        <v>661-18428</v>
      </c>
      <c r="E1120" s="2" t="str">
        <f>IFERROR(__xludf.DUMMYFUNCTION("""COMPUTED_VALUE"""),"Battery, iPhone 12 Pro Max")</f>
        <v>Battery, iPhone 12 Pro Max</v>
      </c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10" t="str">
        <f t="shared" si="1"/>
        <v>April</v>
      </c>
      <c r="B1121" s="11">
        <f>IFERROR(__xludf.DUMMYFUNCTION("""COMPUTED_VALUE"""),46126.0)</f>
        <v>46126</v>
      </c>
      <c r="C1121" s="2" t="str">
        <f>IFERROR(__xludf.DUMMYFUNCTION("""COMPUTED_VALUE"""),"MOBILECARE - S'MAISON")</f>
        <v>MOBILECARE - S'MAISON</v>
      </c>
      <c r="D1121" s="2" t="str">
        <f>IFERROR(__xludf.DUMMYFUNCTION("""COMPUTED_VALUE"""),"661-13574")</f>
        <v>661-13574</v>
      </c>
      <c r="E1121" s="2" t="str">
        <f>IFERROR(__xludf.DUMMYFUNCTION("""COMPUTED_VALUE"""),"Battery, iPhone 11")</f>
        <v>Battery, iPhone 11</v>
      </c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10" t="str">
        <f t="shared" si="1"/>
        <v>April</v>
      </c>
      <c r="B1122" s="11">
        <f>IFERROR(__xludf.DUMMYFUNCTION("""COMPUTED_VALUE"""),46122.0)</f>
        <v>46122</v>
      </c>
      <c r="C1122" s="2" t="str">
        <f>IFERROR(__xludf.DUMMYFUNCTION("""COMPUTED_VALUE"""),"MOBILECARE - S'MAISON")</f>
        <v>MOBILECARE - S'MAISON</v>
      </c>
      <c r="D1122" s="2" t="str">
        <f>IFERROR(__xludf.DUMMYFUNCTION("""COMPUTED_VALUE"""),"661-17939")</f>
        <v>661-17939</v>
      </c>
      <c r="E1122" s="2" t="str">
        <f>IFERROR(__xludf.DUMMYFUNCTION("""COMPUTED_VALUE"""),"Battery, iPhone 12 mini")</f>
        <v>Battery, iPhone 12 mini</v>
      </c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10" t="str">
        <f t="shared" si="1"/>
        <v>March</v>
      </c>
      <c r="B1123" s="11">
        <f>IFERROR(__xludf.DUMMYFUNCTION("""COMPUTED_VALUE"""),46105.0)</f>
        <v>46105</v>
      </c>
      <c r="C1123" s="2" t="str">
        <f>IFERROR(__xludf.DUMMYFUNCTION("""COMPUTED_VALUE"""),"MOBILECARE - S'MAISON")</f>
        <v>MOBILECARE - S'MAISON</v>
      </c>
      <c r="D1123" s="2" t="str">
        <f>IFERROR(__xludf.DUMMYFUNCTION("""COMPUTED_VALUE"""),"661-13574")</f>
        <v>661-13574</v>
      </c>
      <c r="E1123" s="2" t="str">
        <f>IFERROR(__xludf.DUMMYFUNCTION("""COMPUTED_VALUE"""),"Battery, iPhone 11")</f>
        <v>Battery, iPhone 11</v>
      </c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10" t="str">
        <f t="shared" si="1"/>
        <v>March</v>
      </c>
      <c r="B1124" s="11">
        <f>IFERROR(__xludf.DUMMYFUNCTION("""COMPUTED_VALUE"""),46089.0)</f>
        <v>46089</v>
      </c>
      <c r="C1124" s="2" t="str">
        <f>IFERROR(__xludf.DUMMYFUNCTION("""COMPUTED_VALUE"""),"MOBILECARE - S'MAISON")</f>
        <v>MOBILECARE - S'MAISON</v>
      </c>
      <c r="D1124" s="2" t="str">
        <f>IFERROR(__xludf.DUMMYFUNCTION("""COMPUTED_VALUE"""),"661-30382")</f>
        <v>661-30382</v>
      </c>
      <c r="E1124" s="2" t="str">
        <f>IFERROR(__xludf.DUMMYFUNCTION("""COMPUTED_VALUE"""),"Battery, iPhone 14 Pro")</f>
        <v>Battery, iPhone 14 Pro</v>
      </c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10" t="str">
        <f t="shared" si="1"/>
        <v>February</v>
      </c>
      <c r="B1125" s="11">
        <f>IFERROR(__xludf.DUMMYFUNCTION("""COMPUTED_VALUE"""),46074.0)</f>
        <v>46074</v>
      </c>
      <c r="C1125" s="2" t="str">
        <f>IFERROR(__xludf.DUMMYFUNCTION("""COMPUTED_VALUE"""),"MOBILECARE - S'MAISON")</f>
        <v>MOBILECARE - S'MAISON</v>
      </c>
      <c r="D1125" s="2" t="str">
        <f>IFERROR(__xludf.DUMMYFUNCTION("""COMPUTED_VALUE"""),"661-21991")</f>
        <v>661-21991</v>
      </c>
      <c r="E1125" s="2" t="str">
        <f>IFERROR(__xludf.DUMMYFUNCTION("""COMPUTED_VALUE"""),"Battery, iPhone 13")</f>
        <v>Battery, iPhone 13</v>
      </c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10" t="str">
        <f t="shared" si="1"/>
        <v>February</v>
      </c>
      <c r="B1126" s="11">
        <f>IFERROR(__xludf.DUMMYFUNCTION("""COMPUTED_VALUE"""),46077.0)</f>
        <v>46077</v>
      </c>
      <c r="C1126" s="2" t="str">
        <f>IFERROR(__xludf.DUMMYFUNCTION("""COMPUTED_VALUE"""),"MOBILECARE - S'MAISON")</f>
        <v>MOBILECARE - S'MAISON</v>
      </c>
      <c r="D1126" s="2" t="str">
        <f>IFERROR(__xludf.DUMMYFUNCTION("""COMPUTED_VALUE"""),"661-21991")</f>
        <v>661-21991</v>
      </c>
      <c r="E1126" s="2" t="str">
        <f>IFERROR(__xludf.DUMMYFUNCTION("""COMPUTED_VALUE"""),"Battery, iPhone 13")</f>
        <v>Battery, iPhone 13</v>
      </c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10" t="str">
        <f t="shared" si="1"/>
        <v>February</v>
      </c>
      <c r="B1127" s="11">
        <f>IFERROR(__xludf.DUMMYFUNCTION("""COMPUTED_VALUE"""),46069.0)</f>
        <v>46069</v>
      </c>
      <c r="C1127" s="2" t="str">
        <f>IFERROR(__xludf.DUMMYFUNCTION("""COMPUTED_VALUE"""),"MOBILECARE - S'MAISON")</f>
        <v>MOBILECARE - S'MAISON</v>
      </c>
      <c r="D1127" s="2" t="str">
        <f>IFERROR(__xludf.DUMMYFUNCTION("""COMPUTED_VALUE"""),"661-21991")</f>
        <v>661-21991</v>
      </c>
      <c r="E1127" s="2" t="str">
        <f>IFERROR(__xludf.DUMMYFUNCTION("""COMPUTED_VALUE"""),"Battery, iPhone 13")</f>
        <v>Battery, iPhone 13</v>
      </c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10" t="str">
        <f t="shared" si="1"/>
        <v>February</v>
      </c>
      <c r="B1128" s="11">
        <f>IFERROR(__xludf.DUMMYFUNCTION("""COMPUTED_VALUE"""),46062.0)</f>
        <v>46062</v>
      </c>
      <c r="C1128" s="2" t="str">
        <f>IFERROR(__xludf.DUMMYFUNCTION("""COMPUTED_VALUE"""),"MOBILECARE - S'MAISON")</f>
        <v>MOBILECARE - S'MAISON</v>
      </c>
      <c r="D1128" s="2" t="str">
        <f>IFERROR(__xludf.DUMMYFUNCTION("""COMPUTED_VALUE"""),"661-44955")</f>
        <v>661-44955</v>
      </c>
      <c r="E1128" s="2" t="str">
        <f>IFERROR(__xludf.DUMMYFUNCTION("""COMPUTED_VALUE"""),"Display, iPhone 16 Pro Max")</f>
        <v>Display, iPhone 16 Pro Max</v>
      </c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10" t="str">
        <f t="shared" si="1"/>
        <v>June</v>
      </c>
      <c r="B1129" s="11">
        <f>IFERROR(__xludf.DUMMYFUNCTION("""COMPUTED_VALUE"""),46175.0)</f>
        <v>46175</v>
      </c>
      <c r="C1129" s="2" t="str">
        <f>IFERROR(__xludf.DUMMYFUNCTION("""COMPUTED_VALUE"""),"MOBILECARE - S'MAISON")</f>
        <v>MOBILECARE - S'MAISON</v>
      </c>
      <c r="D1129" s="2" t="str">
        <f>IFERROR(__xludf.DUMMYFUNCTION("""COMPUTED_VALUE"""),"661-21991")</f>
        <v>661-21991</v>
      </c>
      <c r="E1129" s="2" t="str">
        <f>IFERROR(__xludf.DUMMYFUNCTION("""COMPUTED_VALUE"""),"Battery, iPhone 13")</f>
        <v>Battery, iPhone 13</v>
      </c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10" t="str">
        <f t="shared" si="1"/>
        <v>June</v>
      </c>
      <c r="B1130" s="11">
        <f>IFERROR(__xludf.DUMMYFUNCTION("""COMPUTED_VALUE"""),46175.0)</f>
        <v>46175</v>
      </c>
      <c r="C1130" s="2" t="str">
        <f>IFERROR(__xludf.DUMMYFUNCTION("""COMPUTED_VALUE"""),"MOBILECARE - S'MAISON")</f>
        <v>MOBILECARE - S'MAISON</v>
      </c>
      <c r="D1130" s="2" t="str">
        <f>IFERROR(__xludf.DUMMYFUNCTION("""COMPUTED_VALUE"""),"661-21988")</f>
        <v>661-21988</v>
      </c>
      <c r="E1130" s="2" t="str">
        <f>IFERROR(__xludf.DUMMYFUNCTION("""COMPUTED_VALUE"""),"Display, iPhone 13")</f>
        <v>Display, iPhone 13</v>
      </c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10" t="str">
        <f t="shared" si="1"/>
        <v>June</v>
      </c>
      <c r="B1131" s="11">
        <f>IFERROR(__xludf.DUMMYFUNCTION("""COMPUTED_VALUE"""),46186.0)</f>
        <v>46186</v>
      </c>
      <c r="C1131" s="2" t="str">
        <f>IFERROR(__xludf.DUMMYFUNCTION("""COMPUTED_VALUE"""),"MOBILECARE - S'MAISON")</f>
        <v>MOBILECARE - S'MAISON</v>
      </c>
      <c r="D1131" s="2" t="str">
        <f>IFERROR(__xludf.DUMMYFUNCTION("""COMPUTED_VALUE"""),"661-30401")</f>
        <v>661-30401</v>
      </c>
      <c r="E1131" s="2" t="str">
        <f>IFERROR(__xludf.DUMMYFUNCTION("""COMPUTED_VALUE"""),"Display, iPhone 14 Pro Max")</f>
        <v>Display, iPhone 14 Pro Max</v>
      </c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10" t="str">
        <f t="shared" si="1"/>
        <v>April</v>
      </c>
      <c r="B1132" s="11">
        <f>IFERROR(__xludf.DUMMYFUNCTION("""COMPUTED_VALUE"""),46137.0)</f>
        <v>46137</v>
      </c>
      <c r="C1132" s="2" t="str">
        <f>IFERROR(__xludf.DUMMYFUNCTION("""COMPUTED_VALUE"""),"MOBILECARE - S'MAISON")</f>
        <v>MOBILECARE - S'MAISON</v>
      </c>
      <c r="D1132" s="2" t="str">
        <f>IFERROR(__xludf.DUMMYFUNCTION("""COMPUTED_VALUE"""),"661-56052")</f>
        <v>661-56052</v>
      </c>
      <c r="E1132" s="2" t="str">
        <f>IFERROR(__xludf.DUMMYFUNCTION("""COMPUTED_VALUE"""),"Camera, iPhone 17 Pro Max")</f>
        <v>Camera, iPhone 17 Pro Max</v>
      </c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10" t="str">
        <f t="shared" si="1"/>
        <v>April</v>
      </c>
      <c r="B1133" s="11">
        <f>IFERROR(__xludf.DUMMYFUNCTION("""COMPUTED_VALUE"""),46132.0)</f>
        <v>46132</v>
      </c>
      <c r="C1133" s="2" t="str">
        <f>IFERROR(__xludf.DUMMYFUNCTION("""COMPUTED_VALUE"""),"MOBILECARE - S'MAISON")</f>
        <v>MOBILECARE - S'MAISON</v>
      </c>
      <c r="D1133" s="2" t="str">
        <f>IFERROR(__xludf.DUMMYFUNCTION("""COMPUTED_VALUE"""),"661-21991")</f>
        <v>661-21991</v>
      </c>
      <c r="E1133" s="2" t="str">
        <f>IFERROR(__xludf.DUMMYFUNCTION("""COMPUTED_VALUE"""),"Battery, iPhone 13")</f>
        <v>Battery, iPhone 13</v>
      </c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10" t="str">
        <f t="shared" si="1"/>
        <v>April</v>
      </c>
      <c r="B1134" s="11">
        <f>IFERROR(__xludf.DUMMYFUNCTION("""COMPUTED_VALUE"""),46142.0)</f>
        <v>46142</v>
      </c>
      <c r="C1134" s="2" t="str">
        <f>IFERROR(__xludf.DUMMYFUNCTION("""COMPUTED_VALUE"""),"MOBILECARE - S'MAISON")</f>
        <v>MOBILECARE - S'MAISON</v>
      </c>
      <c r="D1134" s="2" t="str">
        <f>IFERROR(__xludf.DUMMYFUNCTION("""COMPUTED_VALUE"""),"661-22374")</f>
        <v>661-22374</v>
      </c>
      <c r="E1134" s="2" t="str">
        <f>IFERROR(__xludf.DUMMYFUNCTION("""COMPUTED_VALUE"""),"Battery, iPhone 13 mini")</f>
        <v>Battery, iPhone 13 mini</v>
      </c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10" t="str">
        <f t="shared" si="1"/>
        <v>April</v>
      </c>
      <c r="B1135" s="11">
        <f>IFERROR(__xludf.DUMMYFUNCTION("""COMPUTED_VALUE"""),46123.0)</f>
        <v>46123</v>
      </c>
      <c r="C1135" s="2" t="str">
        <f>IFERROR(__xludf.DUMMYFUNCTION("""COMPUTED_VALUE"""),"MOBILECARE - S'MAISON")</f>
        <v>MOBILECARE - S'MAISON</v>
      </c>
      <c r="D1135" s="2" t="str">
        <f>IFERROR(__xludf.DUMMYFUNCTION("""COMPUTED_VALUE"""),"661-35885")</f>
        <v>661-35885</v>
      </c>
      <c r="E1135" s="2" t="str">
        <f>IFERROR(__xludf.DUMMYFUNCTION("""COMPUTED_VALUE"""),"Battery, iPhone 15")</f>
        <v>Battery, iPhone 15</v>
      </c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10" t="str">
        <f t="shared" si="1"/>
        <v>April</v>
      </c>
      <c r="B1136" s="11">
        <f>IFERROR(__xludf.DUMMYFUNCTION("""COMPUTED_VALUE"""),46128.0)</f>
        <v>46128</v>
      </c>
      <c r="C1136" s="2" t="str">
        <f>IFERROR(__xludf.DUMMYFUNCTION("""COMPUTED_VALUE"""),"MOBILECARE - S'MAISON")</f>
        <v>MOBILECARE - S'MAISON</v>
      </c>
      <c r="D1136" s="2" t="str">
        <f>IFERROR(__xludf.DUMMYFUNCTION("""COMPUTED_VALUE"""),"661-44957")</f>
        <v>661-44957</v>
      </c>
      <c r="E1136" s="2" t="str">
        <f>IFERROR(__xludf.DUMMYFUNCTION("""COMPUTED_VALUE"""),"Camera, iPhone 16 Pro Max")</f>
        <v>Camera, iPhone 16 Pro Max</v>
      </c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10" t="str">
        <f t="shared" si="1"/>
        <v>April</v>
      </c>
      <c r="B1137" s="11">
        <f>IFERROR(__xludf.DUMMYFUNCTION("""COMPUTED_VALUE"""),46117.0)</f>
        <v>46117</v>
      </c>
      <c r="C1137" s="2" t="str">
        <f>IFERROR(__xludf.DUMMYFUNCTION("""COMPUTED_VALUE"""),"MOBILECARE - S'MAISON")</f>
        <v>MOBILECARE - S'MAISON</v>
      </c>
      <c r="D1137" s="2" t="str">
        <f>IFERROR(__xludf.DUMMYFUNCTION("""COMPUTED_VALUE"""),"661-13569")</f>
        <v>661-13569</v>
      </c>
      <c r="E1137" s="2" t="str">
        <f>IFERROR(__xludf.DUMMYFUNCTION("""COMPUTED_VALUE"""),"Battery, iPhone 11 Pro")</f>
        <v>Battery, iPhone 11 Pro</v>
      </c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10" t="str">
        <f t="shared" si="1"/>
        <v>March</v>
      </c>
      <c r="B1138" s="11">
        <f>IFERROR(__xludf.DUMMYFUNCTION("""COMPUTED_VALUE"""),46112.0)</f>
        <v>46112</v>
      </c>
      <c r="C1138" s="2" t="str">
        <f>IFERROR(__xludf.DUMMYFUNCTION("""COMPUTED_VALUE"""),"MOBILECARE - S'MAISON")</f>
        <v>MOBILECARE - S'MAISON</v>
      </c>
      <c r="D1138" s="2" t="str">
        <f>IFERROR(__xludf.DUMMYFUNCTION("""COMPUTED_VALUE"""),"661-22309")</f>
        <v>661-22309</v>
      </c>
      <c r="E1138" s="2" t="str">
        <f>IFERROR(__xludf.DUMMYFUNCTION("""COMPUTED_VALUE"""),"Display, iPhone 13 Pro Max")</f>
        <v>Display, iPhone 13 Pro Max</v>
      </c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10" t="str">
        <f t="shared" si="1"/>
        <v>March</v>
      </c>
      <c r="B1139" s="11">
        <f>IFERROR(__xludf.DUMMYFUNCTION("""COMPUTED_VALUE"""),46099.0)</f>
        <v>46099</v>
      </c>
      <c r="C1139" s="2" t="str">
        <f>IFERROR(__xludf.DUMMYFUNCTION("""COMPUTED_VALUE"""),"MOBILECARE - S'MAISON")</f>
        <v>MOBILECARE - S'MAISON</v>
      </c>
      <c r="D1139" s="2" t="str">
        <f>IFERROR(__xludf.DUMMYFUNCTION("""COMPUTED_VALUE"""),"661-22309")</f>
        <v>661-22309</v>
      </c>
      <c r="E1139" s="2" t="str">
        <f>IFERROR(__xludf.DUMMYFUNCTION("""COMPUTED_VALUE"""),"Display, iPhone 13 Pro Max")</f>
        <v>Display, iPhone 13 Pro Max</v>
      </c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10" t="str">
        <f t="shared" si="1"/>
        <v>February</v>
      </c>
      <c r="B1140" s="11">
        <f>IFERROR(__xludf.DUMMYFUNCTION("""COMPUTED_VALUE"""),46067.0)</f>
        <v>46067</v>
      </c>
      <c r="C1140" s="2" t="str">
        <f>IFERROR(__xludf.DUMMYFUNCTION("""COMPUTED_VALUE"""),"MOBILECARE - S'MAISON")</f>
        <v>MOBILECARE - S'MAISON</v>
      </c>
      <c r="D1140" s="2" t="str">
        <f>IFERROR(__xludf.DUMMYFUNCTION("""COMPUTED_VALUE"""),"661-35699")</f>
        <v>661-35699</v>
      </c>
      <c r="E1140" s="2" t="str">
        <f>IFERROR(__xludf.DUMMYFUNCTION("""COMPUTED_VALUE"""),"Display, iPhone 15 Pro")</f>
        <v>Display, iPhone 15 Pro</v>
      </c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10" t="str">
        <f t="shared" si="1"/>
        <v>February</v>
      </c>
      <c r="B1141" s="11">
        <f>IFERROR(__xludf.DUMMYFUNCTION("""COMPUTED_VALUE"""),46074.0)</f>
        <v>46074</v>
      </c>
      <c r="C1141" s="2" t="str">
        <f>IFERROR(__xludf.DUMMYFUNCTION("""COMPUTED_VALUE"""),"MOBILECARE - S'MAISON")</f>
        <v>MOBILECARE - S'MAISON</v>
      </c>
      <c r="D1141" s="2" t="str">
        <f>IFERROR(__xludf.DUMMYFUNCTION("""COMPUTED_VALUE"""),"661-44955")</f>
        <v>661-44955</v>
      </c>
      <c r="E1141" s="2" t="str">
        <f>IFERROR(__xludf.DUMMYFUNCTION("""COMPUTED_VALUE"""),"Display, iPhone 16 Pro Max")</f>
        <v>Display, iPhone 16 Pro Max</v>
      </c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10" t="str">
        <f t="shared" si="1"/>
        <v>January</v>
      </c>
      <c r="B1142" s="11">
        <f>IFERROR(__xludf.DUMMYFUNCTION("""COMPUTED_VALUE"""),46051.0)</f>
        <v>46051</v>
      </c>
      <c r="C1142" s="2" t="str">
        <f>IFERROR(__xludf.DUMMYFUNCTION("""COMPUTED_VALUE"""),"MOBILECARE - S'MAISON")</f>
        <v>MOBILECARE - S'MAISON</v>
      </c>
      <c r="D1142" s="2" t="str">
        <f>IFERROR(__xludf.DUMMYFUNCTION("""COMPUTED_VALUE"""),"661-30373")</f>
        <v>661-30373</v>
      </c>
      <c r="E1142" s="2" t="str">
        <f>IFERROR(__xludf.DUMMYFUNCTION("""COMPUTED_VALUE"""),"Battery, iPhone 14")</f>
        <v>Battery, iPhone 14</v>
      </c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10" t="str">
        <f t="shared" si="1"/>
        <v>January</v>
      </c>
      <c r="B1143" s="11">
        <f>IFERROR(__xludf.DUMMYFUNCTION("""COMPUTED_VALUE"""),46044.0)</f>
        <v>46044</v>
      </c>
      <c r="C1143" s="2" t="str">
        <f>IFERROR(__xludf.DUMMYFUNCTION("""COMPUTED_VALUE"""),"MOBILECARE - S'MAISON")</f>
        <v>MOBILECARE - S'MAISON</v>
      </c>
      <c r="D1143" s="2" t="str">
        <f>IFERROR(__xludf.DUMMYFUNCTION("""COMPUTED_VALUE"""),"661-22309")</f>
        <v>661-22309</v>
      </c>
      <c r="E1143" s="2" t="str">
        <f>IFERROR(__xludf.DUMMYFUNCTION("""COMPUTED_VALUE"""),"Display, iPhone 13 Pro Max")</f>
        <v>Display, iPhone 13 Pro Max</v>
      </c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10" t="str">
        <f t="shared" si="1"/>
        <v>June</v>
      </c>
      <c r="B1144" s="11">
        <f>IFERROR(__xludf.DUMMYFUNCTION("""COMPUTED_VALUE"""),46176.0)</f>
        <v>46176</v>
      </c>
      <c r="C1144" s="2" t="str">
        <f>IFERROR(__xludf.DUMMYFUNCTION("""COMPUTED_VALUE"""),"MOBILECARE - S'MAISON")</f>
        <v>MOBILECARE - S'MAISON</v>
      </c>
      <c r="D1144" s="2" t="str">
        <f>IFERROR(__xludf.DUMMYFUNCTION("""COMPUTED_VALUE"""),"661-13624")</f>
        <v>661-13624</v>
      </c>
      <c r="E1144" s="2" t="str">
        <f>IFERROR(__xludf.DUMMYFUNCTION("""COMPUTED_VALUE"""),"Battery, iPhone 11 Pro Max")</f>
        <v>Battery, iPhone 11 Pro Max</v>
      </c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10" t="str">
        <f t="shared" si="1"/>
        <v>June</v>
      </c>
      <c r="B1145" s="11">
        <f>IFERROR(__xludf.DUMMYFUNCTION("""COMPUTED_VALUE"""),46193.0)</f>
        <v>46193</v>
      </c>
      <c r="C1145" s="2" t="str">
        <f>IFERROR(__xludf.DUMMYFUNCTION("""COMPUTED_VALUE"""),"MOBILECARE - S'MAISON")</f>
        <v>MOBILECARE - S'MAISON</v>
      </c>
      <c r="D1145" s="2" t="str">
        <f>IFERROR(__xludf.DUMMYFUNCTION("""COMPUTED_VALUE"""),"Z661-55956")</f>
        <v>Z661-55956</v>
      </c>
      <c r="E1145" s="2" t="str">
        <f>IFERROR(__xludf.DUMMYFUNCTION("""COMPUTED_VALUE"""),"Logic Board, 256GB, iPhone 17 Pro Max, ROW")</f>
        <v>Logic Board, 256GB, iPhone 17 Pro Max, ROW</v>
      </c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10" t="str">
        <f t="shared" si="1"/>
        <v>May</v>
      </c>
      <c r="B1146" s="11">
        <f>IFERROR(__xludf.DUMMYFUNCTION("""COMPUTED_VALUE"""),46164.0)</f>
        <v>46164</v>
      </c>
      <c r="C1146" s="2" t="str">
        <f>IFERROR(__xludf.DUMMYFUNCTION("""COMPUTED_VALUE"""),"MOBILECARE - S'MAISON")</f>
        <v>MOBILECARE - S'MAISON</v>
      </c>
      <c r="D1146" s="2" t="str">
        <f>IFERROR(__xludf.DUMMYFUNCTION("""COMPUTED_VALUE"""),"661-30397")</f>
        <v>661-30397</v>
      </c>
      <c r="E1146" s="2" t="str">
        <f>IFERROR(__xludf.DUMMYFUNCTION("""COMPUTED_VALUE"""),"Battery, iPhone 14 Pro Max")</f>
        <v>Battery, iPhone 14 Pro Max</v>
      </c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10" t="str">
        <f t="shared" si="1"/>
        <v>April</v>
      </c>
      <c r="B1147" s="11">
        <f>IFERROR(__xludf.DUMMYFUNCTION("""COMPUTED_VALUE"""),46140.0)</f>
        <v>46140</v>
      </c>
      <c r="C1147" s="2" t="str">
        <f>IFERROR(__xludf.DUMMYFUNCTION("""COMPUTED_VALUE"""),"MOBILECARE - S'MAISON")</f>
        <v>MOBILECARE - S'MAISON</v>
      </c>
      <c r="D1147" s="2" t="str">
        <f>IFERROR(__xludf.DUMMYFUNCTION("""COMPUTED_VALUE"""),"661-35694")</f>
        <v>661-35694</v>
      </c>
      <c r="E1147" s="2" t="str">
        <f>IFERROR(__xludf.DUMMYFUNCTION("""COMPUTED_VALUE"""),"Battery, iPhone 15 Pro")</f>
        <v>Battery, iPhone 15 Pro</v>
      </c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10" t="str">
        <f t="shared" si="1"/>
        <v>April</v>
      </c>
      <c r="B1148" s="11">
        <f>IFERROR(__xludf.DUMMYFUNCTION("""COMPUTED_VALUE"""),46128.0)</f>
        <v>46128</v>
      </c>
      <c r="C1148" s="2" t="str">
        <f>IFERROR(__xludf.DUMMYFUNCTION("""COMPUTED_VALUE"""),"MOBILECARE - S'MAISON")</f>
        <v>MOBILECARE - S'MAISON</v>
      </c>
      <c r="D1148" s="2" t="str">
        <f>IFERROR(__xludf.DUMMYFUNCTION("""COMPUTED_VALUE"""),"661-21991")</f>
        <v>661-21991</v>
      </c>
      <c r="E1148" s="2" t="str">
        <f>IFERROR(__xludf.DUMMYFUNCTION("""COMPUTED_VALUE"""),"Battery, iPhone 13")</f>
        <v>Battery, iPhone 13</v>
      </c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10" t="str">
        <f t="shared" si="1"/>
        <v>April</v>
      </c>
      <c r="B1149" s="11">
        <f>IFERROR(__xludf.DUMMYFUNCTION("""COMPUTED_VALUE"""),46128.0)</f>
        <v>46128</v>
      </c>
      <c r="C1149" s="2" t="str">
        <f>IFERROR(__xludf.DUMMYFUNCTION("""COMPUTED_VALUE"""),"MOBILECARE - S'MAISON")</f>
        <v>MOBILECARE - S'MAISON</v>
      </c>
      <c r="D1149" s="2" t="str">
        <f>IFERROR(__xludf.DUMMYFUNCTION("""COMPUTED_VALUE"""),"Z661-55943")</f>
        <v>Z661-55943</v>
      </c>
      <c r="E1149" s="2" t="str">
        <f>IFERROR(__xludf.DUMMYFUNCTION("""COMPUTED_VALUE"""),"Logic Board, 512GB, A3523, ROW, iPhone 17 Pro")</f>
        <v>Logic Board, 512GB, A3523, ROW, iPhone 17 Pro</v>
      </c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10" t="str">
        <f t="shared" si="1"/>
        <v>March</v>
      </c>
      <c r="B1150" s="11">
        <f>IFERROR(__xludf.DUMMYFUNCTION("""COMPUTED_VALUE"""),46087.0)</f>
        <v>46087</v>
      </c>
      <c r="C1150" s="2" t="str">
        <f>IFERROR(__xludf.DUMMYFUNCTION("""COMPUTED_VALUE"""),"MOBILECARE - S'MAISON")</f>
        <v>MOBILECARE - S'MAISON</v>
      </c>
      <c r="D1150" s="2" t="str">
        <f>IFERROR(__xludf.DUMMYFUNCTION("""COMPUTED_VALUE"""),"661-30394")</f>
        <v>661-30394</v>
      </c>
      <c r="E1150" s="2" t="str">
        <f>IFERROR(__xludf.DUMMYFUNCTION("""COMPUTED_VALUE"""),"Battery, iPhone 14 Plus")</f>
        <v>Battery, iPhone 14 Plus</v>
      </c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10" t="str">
        <f t="shared" si="1"/>
        <v>February</v>
      </c>
      <c r="B1151" s="11">
        <f>IFERROR(__xludf.DUMMYFUNCTION("""COMPUTED_VALUE"""),46068.0)</f>
        <v>46068</v>
      </c>
      <c r="C1151" s="2" t="str">
        <f>IFERROR(__xludf.DUMMYFUNCTION("""COMPUTED_VALUE"""),"MOBILECARE - S'MAISON")</f>
        <v>MOBILECARE - S'MAISON</v>
      </c>
      <c r="D1151" s="2" t="str">
        <f>IFERROR(__xludf.DUMMYFUNCTION("""COMPUTED_VALUE"""),"661-21991")</f>
        <v>661-21991</v>
      </c>
      <c r="E1151" s="2" t="str">
        <f>IFERROR(__xludf.DUMMYFUNCTION("""COMPUTED_VALUE"""),"Battery, iPhone 13")</f>
        <v>Battery, iPhone 13</v>
      </c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10" t="str">
        <f t="shared" si="1"/>
        <v>February</v>
      </c>
      <c r="B1152" s="11">
        <f>IFERROR(__xludf.DUMMYFUNCTION("""COMPUTED_VALUE"""),46060.0)</f>
        <v>46060</v>
      </c>
      <c r="C1152" s="2" t="str">
        <f>IFERROR(__xludf.DUMMYFUNCTION("""COMPUTED_VALUE"""),"MOBILECARE - S'MAISON")</f>
        <v>MOBILECARE - S'MAISON</v>
      </c>
      <c r="D1152" s="2" t="str">
        <f>IFERROR(__xludf.DUMMYFUNCTION("""COMPUTED_VALUE"""),"661-42726")</f>
        <v>661-42726</v>
      </c>
      <c r="E1152" s="2" t="str">
        <f>IFERROR(__xludf.DUMMYFUNCTION("""COMPUTED_VALUE"""),"Display, iPhone 16 Pro")</f>
        <v>Display, iPhone 16 Pro</v>
      </c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10" t="str">
        <f t="shared" si="1"/>
        <v>April</v>
      </c>
      <c r="B1153" s="11">
        <f>IFERROR(__xludf.DUMMYFUNCTION("""COMPUTED_VALUE"""),46121.0)</f>
        <v>46121</v>
      </c>
      <c r="C1153" s="2" t="str">
        <f>IFERROR(__xludf.DUMMYFUNCTION("""COMPUTED_VALUE"""),"MOBILECARE - S'MAISON")</f>
        <v>MOBILECARE - S'MAISON</v>
      </c>
      <c r="D1153" s="2" t="str">
        <f>IFERROR(__xludf.DUMMYFUNCTION("""COMPUTED_VALUE"""),"661-44797")</f>
        <v>661-44797</v>
      </c>
      <c r="E1153" s="2" t="str">
        <f>IFERROR(__xludf.DUMMYFUNCTION("""COMPUTED_VALUE"""),"Display, iPhone 16")</f>
        <v>Display, iPhone 16</v>
      </c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10" t="str">
        <f t="shared" si="1"/>
        <v>April</v>
      </c>
      <c r="B1154" s="11">
        <f>IFERROR(__xludf.DUMMYFUNCTION("""COMPUTED_VALUE"""),46123.0)</f>
        <v>46123</v>
      </c>
      <c r="C1154" s="2" t="str">
        <f>IFERROR(__xludf.DUMMYFUNCTION("""COMPUTED_VALUE"""),"MOBILECARE - S'MAISON")</f>
        <v>MOBILECARE - S'MAISON</v>
      </c>
      <c r="D1154" s="2" t="str">
        <f>IFERROR(__xludf.DUMMYFUNCTION("""COMPUTED_VALUE"""),"ZP923-13786")</f>
        <v>ZP923-13786</v>
      </c>
      <c r="E1154" s="2" t="str">
        <f>IFERROR(__xludf.DUMMYFUNCTION("""COMPUTED_VALUE"""),"Cosmic Orange, Enclosure, iPhone 17 Pro Max, ROW")</f>
        <v>Cosmic Orange, Enclosure, iPhone 17 Pro Max, ROW</v>
      </c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10" t="str">
        <f t="shared" si="1"/>
        <v>April</v>
      </c>
      <c r="B1155" s="11">
        <f>IFERROR(__xludf.DUMMYFUNCTION("""COMPUTED_VALUE"""),46123.0)</f>
        <v>46123</v>
      </c>
      <c r="C1155" s="2" t="str">
        <f>IFERROR(__xludf.DUMMYFUNCTION("""COMPUTED_VALUE"""),"MOBILECARE - S'MAISON")</f>
        <v>MOBILECARE - S'MAISON</v>
      </c>
      <c r="D1155" s="2" t="str">
        <f>IFERROR(__xludf.DUMMYFUNCTION("""COMPUTED_VALUE"""),"Z661-55956")</f>
        <v>Z661-55956</v>
      </c>
      <c r="E1155" s="2" t="str">
        <f>IFERROR(__xludf.DUMMYFUNCTION("""COMPUTED_VALUE"""),"Logic Board, 256GB, iPhone 17 Pro Max, ROW")</f>
        <v>Logic Board, 256GB, iPhone 17 Pro Max, ROW</v>
      </c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10" t="str">
        <f t="shared" si="1"/>
        <v>March</v>
      </c>
      <c r="B1156" s="11">
        <f>IFERROR(__xludf.DUMMYFUNCTION("""COMPUTED_VALUE"""),46100.0)</f>
        <v>46100</v>
      </c>
      <c r="C1156" s="2" t="str">
        <f>IFERROR(__xludf.DUMMYFUNCTION("""COMPUTED_VALUE"""),"MOBILECARE - S'MAISON")</f>
        <v>MOBILECARE - S'MAISON</v>
      </c>
      <c r="D1156" s="2" t="str">
        <f>IFERROR(__xludf.DUMMYFUNCTION("""COMPUTED_VALUE"""),"661-44955")</f>
        <v>661-44955</v>
      </c>
      <c r="E1156" s="2" t="str">
        <f>IFERROR(__xludf.DUMMYFUNCTION("""COMPUTED_VALUE"""),"Display, iPhone 16 Pro Max")</f>
        <v>Display, iPhone 16 Pro Max</v>
      </c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10" t="str">
        <f t="shared" si="1"/>
        <v>March</v>
      </c>
      <c r="B1157" s="11">
        <f>IFERROR(__xludf.DUMMYFUNCTION("""COMPUTED_VALUE"""),46086.0)</f>
        <v>46086</v>
      </c>
      <c r="C1157" s="2" t="str">
        <f>IFERROR(__xludf.DUMMYFUNCTION("""COMPUTED_VALUE"""),"MOBILECARE - S'MAISON")</f>
        <v>MOBILECARE - S'MAISON</v>
      </c>
      <c r="D1157" s="2" t="str">
        <f>IFERROR(__xludf.DUMMYFUNCTION("""COMPUTED_VALUE"""),"661-30393")</f>
        <v>661-30393</v>
      </c>
      <c r="E1157" s="2" t="str">
        <f>IFERROR(__xludf.DUMMYFUNCTION("""COMPUTED_VALUE"""),"Camera, iPhone 14 Plus")</f>
        <v>Camera, iPhone 14 Plus</v>
      </c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10" t="str">
        <f t="shared" si="1"/>
        <v>February</v>
      </c>
      <c r="B1158" s="11">
        <f>IFERROR(__xludf.DUMMYFUNCTION("""COMPUTED_VALUE"""),46076.0)</f>
        <v>46076</v>
      </c>
      <c r="C1158" s="2" t="str">
        <f>IFERROR(__xludf.DUMMYFUNCTION("""COMPUTED_VALUE"""),"MOBILECARE - S'MAISON")</f>
        <v>MOBILECARE - S'MAISON</v>
      </c>
      <c r="D1158" s="2" t="str">
        <f>IFERROR(__xludf.DUMMYFUNCTION("""COMPUTED_VALUE"""),"661-21991")</f>
        <v>661-21991</v>
      </c>
      <c r="E1158" s="2" t="str">
        <f>IFERROR(__xludf.DUMMYFUNCTION("""COMPUTED_VALUE"""),"Battery, iPhone 13")</f>
        <v>Battery, iPhone 13</v>
      </c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10" t="str">
        <f t="shared" si="1"/>
        <v>March</v>
      </c>
      <c r="B1159" s="11">
        <f>IFERROR(__xludf.DUMMYFUNCTION("""COMPUTED_VALUE"""),46093.0)</f>
        <v>46093</v>
      </c>
      <c r="C1159" s="2" t="str">
        <f>IFERROR(__xludf.DUMMYFUNCTION("""COMPUTED_VALUE"""),"MOBILECARE - S'MAISON")</f>
        <v>MOBILECARE - S'MAISON</v>
      </c>
      <c r="D1159" s="2" t="str">
        <f>IFERROR(__xludf.DUMMYFUNCTION("""COMPUTED_VALUE"""),"661-56051")</f>
        <v>661-56051</v>
      </c>
      <c r="E1159" s="2" t="str">
        <f>IFERROR(__xludf.DUMMYFUNCTION("""COMPUTED_VALUE"""),"Front Camera, iPhone 17 Pro Max")</f>
        <v>Front Camera, iPhone 17 Pro Max</v>
      </c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10" t="str">
        <f t="shared" si="1"/>
        <v>February</v>
      </c>
      <c r="B1160" s="11">
        <f>IFERROR(__xludf.DUMMYFUNCTION("""COMPUTED_VALUE"""),46055.0)</f>
        <v>46055</v>
      </c>
      <c r="C1160" s="2" t="str">
        <f>IFERROR(__xludf.DUMMYFUNCTION("""COMPUTED_VALUE"""),"MOBILECARE - S'MAISON")</f>
        <v>MOBILECARE - S'MAISON</v>
      </c>
      <c r="D1160" s="2" t="str">
        <f>IFERROR(__xludf.DUMMYFUNCTION("""COMPUTED_VALUE"""),"661-30401")</f>
        <v>661-30401</v>
      </c>
      <c r="E1160" s="2" t="str">
        <f>IFERROR(__xludf.DUMMYFUNCTION("""COMPUTED_VALUE"""),"Display, iPhone 14 Pro Max")</f>
        <v>Display, iPhone 14 Pro Max</v>
      </c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10" t="str">
        <f t="shared" si="1"/>
        <v>January</v>
      </c>
      <c r="B1161" s="11">
        <f>IFERROR(__xludf.DUMMYFUNCTION("""COMPUTED_VALUE"""),46042.0)</f>
        <v>46042</v>
      </c>
      <c r="C1161" s="2" t="str">
        <f>IFERROR(__xludf.DUMMYFUNCTION("""COMPUTED_VALUE"""),"MOBILECARE - S'MAISON")</f>
        <v>MOBILECARE - S'MAISON</v>
      </c>
      <c r="D1161" s="2" t="str">
        <f>IFERROR(__xludf.DUMMYFUNCTION("""COMPUTED_VALUE"""),"661-22309")</f>
        <v>661-22309</v>
      </c>
      <c r="E1161" s="2" t="str">
        <f>IFERROR(__xludf.DUMMYFUNCTION("""COMPUTED_VALUE"""),"Display, iPhone 13 Pro Max")</f>
        <v>Display, iPhone 13 Pro Max</v>
      </c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10" t="str">
        <f t="shared" si="1"/>
        <v>June</v>
      </c>
      <c r="B1162" s="11">
        <f>IFERROR(__xludf.DUMMYFUNCTION("""COMPUTED_VALUE"""),46180.0)</f>
        <v>46180</v>
      </c>
      <c r="C1162" s="2" t="str">
        <f>IFERROR(__xludf.DUMMYFUNCTION("""COMPUTED_VALUE"""),"MOBILECARE - S'MAISON")</f>
        <v>MOBILECARE - S'MAISON</v>
      </c>
      <c r="D1162" s="2" t="str">
        <f>IFERROR(__xludf.DUMMYFUNCTION("""COMPUTED_VALUE"""),"661-21991")</f>
        <v>661-21991</v>
      </c>
      <c r="E1162" s="2" t="str">
        <f>IFERROR(__xludf.DUMMYFUNCTION("""COMPUTED_VALUE"""),"Battery, iPhone 13")</f>
        <v>Battery, iPhone 13</v>
      </c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10" t="str">
        <f t="shared" si="1"/>
        <v>May</v>
      </c>
      <c r="B1163" s="11">
        <f>IFERROR(__xludf.DUMMYFUNCTION("""COMPUTED_VALUE"""),46148.0)</f>
        <v>46148</v>
      </c>
      <c r="C1163" s="2" t="str">
        <f>IFERROR(__xludf.DUMMYFUNCTION("""COMPUTED_VALUE"""),"MOBILECARE - S'MAISON")</f>
        <v>MOBILECARE - S'MAISON</v>
      </c>
      <c r="D1163" s="2" t="str">
        <f>IFERROR(__xludf.DUMMYFUNCTION("""COMPUTED_VALUE"""),"661-21996")</f>
        <v>661-21996</v>
      </c>
      <c r="E1163" s="2" t="str">
        <f>IFERROR(__xludf.DUMMYFUNCTION("""COMPUTED_VALUE"""),"Battery, iPhone 13 Pro")</f>
        <v>Battery, iPhone 13 Pro</v>
      </c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10" t="str">
        <f t="shared" si="1"/>
        <v>April</v>
      </c>
      <c r="B1164" s="11">
        <f>IFERROR(__xludf.DUMMYFUNCTION("""COMPUTED_VALUE"""),46140.0)</f>
        <v>46140</v>
      </c>
      <c r="C1164" s="2" t="str">
        <f>IFERROR(__xludf.DUMMYFUNCTION("""COMPUTED_VALUE"""),"MOBILECARE - S'MAISON")</f>
        <v>MOBILECARE - S'MAISON</v>
      </c>
      <c r="D1164" s="2" t="str">
        <f>IFERROR(__xludf.DUMMYFUNCTION("""COMPUTED_VALUE"""),"661-30382")</f>
        <v>661-30382</v>
      </c>
      <c r="E1164" s="2" t="str">
        <f>IFERROR(__xludf.DUMMYFUNCTION("""COMPUTED_VALUE"""),"Battery, iPhone 14 Pro")</f>
        <v>Battery, iPhone 14 Pro</v>
      </c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10" t="str">
        <f t="shared" si="1"/>
        <v>April</v>
      </c>
      <c r="B1165" s="11">
        <f>IFERROR(__xludf.DUMMYFUNCTION("""COMPUTED_VALUE"""),46125.0)</f>
        <v>46125</v>
      </c>
      <c r="C1165" s="2" t="str">
        <f>IFERROR(__xludf.DUMMYFUNCTION("""COMPUTED_VALUE"""),"MOBILECARE - S'MAISON")</f>
        <v>MOBILECARE - S'MAISON</v>
      </c>
      <c r="D1165" s="2" t="str">
        <f>IFERROR(__xludf.DUMMYFUNCTION("""COMPUTED_VALUE"""),"661-17920")</f>
        <v>661-17920</v>
      </c>
      <c r="E1165" s="2" t="str">
        <f>IFERROR(__xludf.DUMMYFUNCTION("""COMPUTED_VALUE"""),"Battery, iPhone 12 and 12 Pro")</f>
        <v>Battery, iPhone 12 and 12 Pro</v>
      </c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10" t="str">
        <f t="shared" si="1"/>
        <v>April</v>
      </c>
      <c r="B1166" s="11">
        <f>IFERROR(__xludf.DUMMYFUNCTION("""COMPUTED_VALUE"""),46117.0)</f>
        <v>46117</v>
      </c>
      <c r="C1166" s="2" t="str">
        <f>IFERROR(__xludf.DUMMYFUNCTION("""COMPUTED_VALUE"""),"MOBILECARE - S'MAISON")</f>
        <v>MOBILECARE - S'MAISON</v>
      </c>
      <c r="D1166" s="2" t="str">
        <f>IFERROR(__xludf.DUMMYFUNCTION("""COMPUTED_VALUE"""),"661-17920")</f>
        <v>661-17920</v>
      </c>
      <c r="E1166" s="2" t="str">
        <f>IFERROR(__xludf.DUMMYFUNCTION("""COMPUTED_VALUE"""),"Battery, iPhone 12 and 12 Pro")</f>
        <v>Battery, iPhone 12 and 12 Pro</v>
      </c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10" t="str">
        <f t="shared" si="1"/>
        <v>February</v>
      </c>
      <c r="B1167" s="11">
        <f>IFERROR(__xludf.DUMMYFUNCTION("""COMPUTED_VALUE"""),46076.0)</f>
        <v>46076</v>
      </c>
      <c r="C1167" s="2" t="str">
        <f>IFERROR(__xludf.DUMMYFUNCTION("""COMPUTED_VALUE"""),"MOBILECARE - S'MAISON")</f>
        <v>MOBILECARE - S'MAISON</v>
      </c>
      <c r="D1167" s="2" t="str">
        <f>IFERROR(__xludf.DUMMYFUNCTION("""COMPUTED_VALUE"""),"661-22309")</f>
        <v>661-22309</v>
      </c>
      <c r="E1167" s="2" t="str">
        <f>IFERROR(__xludf.DUMMYFUNCTION("""COMPUTED_VALUE"""),"Display, iPhone 13 Pro Max")</f>
        <v>Display, iPhone 13 Pro Max</v>
      </c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10" t="str">
        <f t="shared" si="1"/>
        <v>March</v>
      </c>
      <c r="B1168" s="11">
        <f>IFERROR(__xludf.DUMMYFUNCTION("""COMPUTED_VALUE"""),46089.0)</f>
        <v>46089</v>
      </c>
      <c r="C1168" s="2" t="str">
        <f>IFERROR(__xludf.DUMMYFUNCTION("""COMPUTED_VALUE"""),"MOBILECARE - S'MAISON")</f>
        <v>MOBILECARE - S'MAISON</v>
      </c>
      <c r="D1168" s="2" t="str">
        <f>IFERROR(__xludf.DUMMYFUNCTION("""COMPUTED_VALUE"""),"661-30397")</f>
        <v>661-30397</v>
      </c>
      <c r="E1168" s="2" t="str">
        <f>IFERROR(__xludf.DUMMYFUNCTION("""COMPUTED_VALUE"""),"Battery, iPhone 14 Pro Max")</f>
        <v>Battery, iPhone 14 Pro Max</v>
      </c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10" t="str">
        <f t="shared" si="1"/>
        <v>March</v>
      </c>
      <c r="B1169" s="11">
        <f>IFERROR(__xludf.DUMMYFUNCTION("""COMPUTED_VALUE"""),46109.0)</f>
        <v>46109</v>
      </c>
      <c r="C1169" s="2" t="str">
        <f>IFERROR(__xludf.DUMMYFUNCTION("""COMPUTED_VALUE"""),"MOBILECARE - S'MAISON")</f>
        <v>MOBILECARE - S'MAISON</v>
      </c>
      <c r="D1169" s="2" t="str">
        <f>IFERROR(__xludf.DUMMYFUNCTION("""COMPUTED_VALUE"""),"661-21991")</f>
        <v>661-21991</v>
      </c>
      <c r="E1169" s="2" t="str">
        <f>IFERROR(__xludf.DUMMYFUNCTION("""COMPUTED_VALUE"""),"Battery, iPhone 13")</f>
        <v>Battery, iPhone 13</v>
      </c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10" t="str">
        <f t="shared" si="1"/>
        <v>February</v>
      </c>
      <c r="B1170" s="11">
        <f>IFERROR(__xludf.DUMMYFUNCTION("""COMPUTED_VALUE"""),46069.0)</f>
        <v>46069</v>
      </c>
      <c r="C1170" s="2" t="str">
        <f>IFERROR(__xludf.DUMMYFUNCTION("""COMPUTED_VALUE"""),"MOBILECARE - S'MAISON")</f>
        <v>MOBILECARE - S'MAISON</v>
      </c>
      <c r="D1170" s="2" t="str">
        <f>IFERROR(__xludf.DUMMYFUNCTION("""COMPUTED_VALUE"""),"661-17920")</f>
        <v>661-17920</v>
      </c>
      <c r="E1170" s="2" t="str">
        <f>IFERROR(__xludf.DUMMYFUNCTION("""COMPUTED_VALUE"""),"Battery, iPhone 12 and 12 Pro")</f>
        <v>Battery, iPhone 12 and 12 Pro</v>
      </c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10" t="str">
        <f t="shared" si="1"/>
        <v>February</v>
      </c>
      <c r="B1171" s="11">
        <f>IFERROR(__xludf.DUMMYFUNCTION("""COMPUTED_VALUE"""),46065.0)</f>
        <v>46065</v>
      </c>
      <c r="C1171" s="2" t="str">
        <f>IFERROR(__xludf.DUMMYFUNCTION("""COMPUTED_VALUE"""),"MOBILECARE - S'MAISON")</f>
        <v>MOBILECARE - S'MAISON</v>
      </c>
      <c r="D1171" s="2" t="str">
        <f>IFERROR(__xludf.DUMMYFUNCTION("""COMPUTED_VALUE"""),"661-15741")</f>
        <v>661-15741</v>
      </c>
      <c r="E1171" s="2" t="str">
        <f>IFERROR(__xludf.DUMMYFUNCTION("""COMPUTED_VALUE"""),"Battery, iPhone SE 2nd gen")</f>
        <v>Battery, iPhone SE 2nd gen</v>
      </c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10" t="str">
        <f t="shared" si="1"/>
        <v>January</v>
      </c>
      <c r="B1172" s="11">
        <f>IFERROR(__xludf.DUMMYFUNCTION("""COMPUTED_VALUE"""),46048.0)</f>
        <v>46048</v>
      </c>
      <c r="C1172" s="2" t="str">
        <f>IFERROR(__xludf.DUMMYFUNCTION("""COMPUTED_VALUE"""),"MOBILECARE - S'MAISON")</f>
        <v>MOBILECARE - S'MAISON</v>
      </c>
      <c r="D1172" s="2" t="str">
        <f>IFERROR(__xludf.DUMMYFUNCTION("""COMPUTED_VALUE"""),"661-18504")</f>
        <v>661-18504</v>
      </c>
      <c r="E1172" s="2" t="str">
        <f>IFERROR(__xludf.DUMMYFUNCTION("""COMPUTED_VALUE"""),"Display, iPhone 12 Pro")</f>
        <v>Display, iPhone 12 Pro</v>
      </c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10" t="str">
        <f t="shared" si="1"/>
        <v>January</v>
      </c>
      <c r="B1173" s="11">
        <f>IFERROR(__xludf.DUMMYFUNCTION("""COMPUTED_VALUE"""),46047.0)</f>
        <v>46047</v>
      </c>
      <c r="C1173" s="2" t="str">
        <f>IFERROR(__xludf.DUMMYFUNCTION("""COMPUTED_VALUE"""),"MOBILECARE - S'MAISON")</f>
        <v>MOBILECARE - S'MAISON</v>
      </c>
      <c r="D1173" s="2" t="str">
        <f>IFERROR(__xludf.DUMMYFUNCTION("""COMPUTED_VALUE"""),"661-30401")</f>
        <v>661-30401</v>
      </c>
      <c r="E1173" s="2" t="str">
        <f>IFERROR(__xludf.DUMMYFUNCTION("""COMPUTED_VALUE"""),"Display, iPhone 14 Pro Max")</f>
        <v>Display, iPhone 14 Pro Max</v>
      </c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10" t="str">
        <f t="shared" si="1"/>
        <v>January</v>
      </c>
      <c r="B1174" s="11">
        <f>IFERROR(__xludf.DUMMYFUNCTION("""COMPUTED_VALUE"""),46044.0)</f>
        <v>46044</v>
      </c>
      <c r="C1174" s="2" t="str">
        <f>IFERROR(__xludf.DUMMYFUNCTION("""COMPUTED_VALUE"""),"MOBILECARE - S'MAISON")</f>
        <v>MOBILECARE - S'MAISON</v>
      </c>
      <c r="D1174" s="2" t="str">
        <f>IFERROR(__xludf.DUMMYFUNCTION("""COMPUTED_VALUE"""),"661-22309")</f>
        <v>661-22309</v>
      </c>
      <c r="E1174" s="2" t="str">
        <f>IFERROR(__xludf.DUMMYFUNCTION("""COMPUTED_VALUE"""),"Display, iPhone 13 Pro Max")</f>
        <v>Display, iPhone 13 Pro Max</v>
      </c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10" t="str">
        <f t="shared" si="1"/>
        <v>June</v>
      </c>
      <c r="B1175" s="11">
        <f>IFERROR(__xludf.DUMMYFUNCTION("""COMPUTED_VALUE"""),46180.0)</f>
        <v>46180</v>
      </c>
      <c r="C1175" s="2" t="str">
        <f>IFERROR(__xludf.DUMMYFUNCTION("""COMPUTED_VALUE"""),"MOBILECARE - S'MAISON")</f>
        <v>MOBILECARE - S'MAISON</v>
      </c>
      <c r="D1175" s="2" t="str">
        <f>IFERROR(__xludf.DUMMYFUNCTION("""COMPUTED_VALUE"""),"923-09577")</f>
        <v>923-09577</v>
      </c>
      <c r="E1175" s="2" t="str">
        <f>IFERROR(__xludf.DUMMYFUNCTION("""COMPUTED_VALUE"""),"Bottom Speaker, iPhone 15")</f>
        <v>Bottom Speaker, iPhone 15</v>
      </c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10" t="str">
        <f t="shared" si="1"/>
        <v>May</v>
      </c>
      <c r="B1176" s="11">
        <f>IFERROR(__xludf.DUMMYFUNCTION("""COMPUTED_VALUE"""),46149.0)</f>
        <v>46149</v>
      </c>
      <c r="C1176" s="2" t="str">
        <f>IFERROR(__xludf.DUMMYFUNCTION("""COMPUTED_VALUE"""),"MOBILECARE - S'MAISON")</f>
        <v>MOBILECARE - S'MAISON</v>
      </c>
      <c r="D1176" s="2" t="str">
        <f>IFERROR(__xludf.DUMMYFUNCTION("""COMPUTED_VALUE"""),"661-13574")</f>
        <v>661-13574</v>
      </c>
      <c r="E1176" s="2" t="str">
        <f>IFERROR(__xludf.DUMMYFUNCTION("""COMPUTED_VALUE"""),"Battery, iPhone 11")</f>
        <v>Battery, iPhone 11</v>
      </c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10" t="str">
        <f t="shared" si="1"/>
        <v>April</v>
      </c>
      <c r="B1177" s="11">
        <f>IFERROR(__xludf.DUMMYFUNCTION("""COMPUTED_VALUE"""),46140.0)</f>
        <v>46140</v>
      </c>
      <c r="C1177" s="2" t="str">
        <f>IFERROR(__xludf.DUMMYFUNCTION("""COMPUTED_VALUE"""),"MOBILECARE - S'MAISON")</f>
        <v>MOBILECARE - S'MAISON</v>
      </c>
      <c r="D1177" s="2" t="str">
        <f>IFERROR(__xludf.DUMMYFUNCTION("""COMPUTED_VALUE"""),"661-13624")</f>
        <v>661-13624</v>
      </c>
      <c r="E1177" s="2" t="str">
        <f>IFERROR(__xludf.DUMMYFUNCTION("""COMPUTED_VALUE"""),"Battery, iPhone 11 Pro Max")</f>
        <v>Battery, iPhone 11 Pro Max</v>
      </c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10" t="str">
        <f t="shared" si="1"/>
        <v>April</v>
      </c>
      <c r="B1178" s="11">
        <f>IFERROR(__xludf.DUMMYFUNCTION("""COMPUTED_VALUE"""),46138.0)</f>
        <v>46138</v>
      </c>
      <c r="C1178" s="2" t="str">
        <f>IFERROR(__xludf.DUMMYFUNCTION("""COMPUTED_VALUE"""),"MOBILECARE - S'MAISON")</f>
        <v>MOBILECARE - S'MAISON</v>
      </c>
      <c r="D1178" s="2" t="str">
        <f>IFERROR(__xludf.DUMMYFUNCTION("""COMPUTED_VALUE"""),"661-30382")</f>
        <v>661-30382</v>
      </c>
      <c r="E1178" s="2" t="str">
        <f>IFERROR(__xludf.DUMMYFUNCTION("""COMPUTED_VALUE"""),"Battery, iPhone 14 Pro")</f>
        <v>Battery, iPhone 14 Pro</v>
      </c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10" t="str">
        <f t="shared" si="1"/>
        <v>March</v>
      </c>
      <c r="B1179" s="11">
        <f>IFERROR(__xludf.DUMMYFUNCTION("""COMPUTED_VALUE"""),46106.0)</f>
        <v>46106</v>
      </c>
      <c r="C1179" s="2" t="str">
        <f>IFERROR(__xludf.DUMMYFUNCTION("""COMPUTED_VALUE"""),"MOBILECARE - S'MAISON")</f>
        <v>MOBILECARE - S'MAISON</v>
      </c>
      <c r="D1179" s="2" t="str">
        <f>IFERROR(__xludf.DUMMYFUNCTION("""COMPUTED_VALUE"""),"661-21991")</f>
        <v>661-21991</v>
      </c>
      <c r="E1179" s="2" t="str">
        <f>IFERROR(__xludf.DUMMYFUNCTION("""COMPUTED_VALUE"""),"Battery, iPhone 13")</f>
        <v>Battery, iPhone 13</v>
      </c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10" t="str">
        <f t="shared" si="1"/>
        <v>March</v>
      </c>
      <c r="B1180" s="11">
        <f>IFERROR(__xludf.DUMMYFUNCTION("""COMPUTED_VALUE"""),46107.0)</f>
        <v>46107</v>
      </c>
      <c r="C1180" s="2" t="str">
        <f>IFERROR(__xludf.DUMMYFUNCTION("""COMPUTED_VALUE"""),"MOBILECARE - S'MAISON")</f>
        <v>MOBILECARE - S'MAISON</v>
      </c>
      <c r="D1180" s="2" t="str">
        <f>IFERROR(__xludf.DUMMYFUNCTION("""COMPUTED_VALUE"""),"661-21996")</f>
        <v>661-21996</v>
      </c>
      <c r="E1180" s="2" t="str">
        <f>IFERROR(__xludf.DUMMYFUNCTION("""COMPUTED_VALUE"""),"Battery, iPhone 13 Pro")</f>
        <v>Battery, iPhone 13 Pro</v>
      </c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10" t="str">
        <f t="shared" si="1"/>
        <v>March</v>
      </c>
      <c r="B1181" s="11">
        <f>IFERROR(__xludf.DUMMYFUNCTION("""COMPUTED_VALUE"""),46102.0)</f>
        <v>46102</v>
      </c>
      <c r="C1181" s="2" t="str">
        <f>IFERROR(__xludf.DUMMYFUNCTION("""COMPUTED_VALUE"""),"MOBILECARE - S'MAISON")</f>
        <v>MOBILECARE - S'MAISON</v>
      </c>
      <c r="D1181" s="2" t="str">
        <f>IFERROR(__xludf.DUMMYFUNCTION("""COMPUTED_VALUE"""),"661-35694")</f>
        <v>661-35694</v>
      </c>
      <c r="E1181" s="2" t="str">
        <f>IFERROR(__xludf.DUMMYFUNCTION("""COMPUTED_VALUE"""),"Battery, iPhone 15 Pro")</f>
        <v>Battery, iPhone 15 Pro</v>
      </c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10" t="str">
        <f t="shared" si="1"/>
        <v>February</v>
      </c>
      <c r="B1182" s="11">
        <f>IFERROR(__xludf.DUMMYFUNCTION("""COMPUTED_VALUE"""),46061.0)</f>
        <v>46061</v>
      </c>
      <c r="C1182" s="2" t="str">
        <f>IFERROR(__xludf.DUMMYFUNCTION("""COMPUTED_VALUE"""),"MOBILECARE - S'MAISON")</f>
        <v>MOBILECARE - S'MAISON</v>
      </c>
      <c r="D1182" s="2" t="str">
        <f>IFERROR(__xludf.DUMMYFUNCTION("""COMPUTED_VALUE"""),"Z661-55956")</f>
        <v>Z661-55956</v>
      </c>
      <c r="E1182" s="2" t="str">
        <f>IFERROR(__xludf.DUMMYFUNCTION("""COMPUTED_VALUE"""),"Logic Board, 256GB, iPhone 17 Pro Max, ROW")</f>
        <v>Logic Board, 256GB, iPhone 17 Pro Max, ROW</v>
      </c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10" t="str">
        <f t="shared" si="1"/>
        <v>June</v>
      </c>
      <c r="B1183" s="11">
        <f>IFERROR(__xludf.DUMMYFUNCTION("""COMPUTED_VALUE"""),46190.0)</f>
        <v>46190</v>
      </c>
      <c r="C1183" s="2" t="str">
        <f>IFERROR(__xludf.DUMMYFUNCTION("""COMPUTED_VALUE"""),"MOBILECARE - S'MAISON")</f>
        <v>MOBILECARE - S'MAISON</v>
      </c>
      <c r="D1183" s="2" t="str">
        <f>IFERROR(__xludf.DUMMYFUNCTION("""COMPUTED_VALUE"""),"661-21991")</f>
        <v>661-21991</v>
      </c>
      <c r="E1183" s="2" t="str">
        <f>IFERROR(__xludf.DUMMYFUNCTION("""COMPUTED_VALUE"""),"Battery, iPhone 13")</f>
        <v>Battery, iPhone 13</v>
      </c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10" t="str">
        <f t="shared" si="1"/>
        <v>June</v>
      </c>
      <c r="B1184" s="11">
        <f>IFERROR(__xludf.DUMMYFUNCTION("""COMPUTED_VALUE"""),46180.0)</f>
        <v>46180</v>
      </c>
      <c r="C1184" s="2" t="str">
        <f>IFERROR(__xludf.DUMMYFUNCTION("""COMPUTED_VALUE"""),"MOBILECARE - S'MAISON")</f>
        <v>MOBILECARE - S'MAISON</v>
      </c>
      <c r="D1184" s="2" t="str">
        <f>IFERROR(__xludf.DUMMYFUNCTION("""COMPUTED_VALUE"""),"661-21991")</f>
        <v>661-21991</v>
      </c>
      <c r="E1184" s="2" t="str">
        <f>IFERROR(__xludf.DUMMYFUNCTION("""COMPUTED_VALUE"""),"Battery, iPhone 13")</f>
        <v>Battery, iPhone 13</v>
      </c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10" t="str">
        <f t="shared" si="1"/>
        <v>May</v>
      </c>
      <c r="B1185" s="11">
        <f>IFERROR(__xludf.DUMMYFUNCTION("""COMPUTED_VALUE"""),46165.0)</f>
        <v>46165</v>
      </c>
      <c r="C1185" s="2" t="str">
        <f>IFERROR(__xludf.DUMMYFUNCTION("""COMPUTED_VALUE"""),"MOBILECARE - S'MAISON")</f>
        <v>MOBILECARE - S'MAISON</v>
      </c>
      <c r="D1185" s="2" t="str">
        <f>IFERROR(__xludf.DUMMYFUNCTION("""COMPUTED_VALUE"""),"661-36706")</f>
        <v>661-36706</v>
      </c>
      <c r="E1185" s="2" t="str">
        <f>IFERROR(__xludf.DUMMYFUNCTION("""COMPUTED_VALUE"""),"Display, iPhone 15")</f>
        <v>Display, iPhone 15</v>
      </c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10" t="str">
        <f t="shared" si="1"/>
        <v>June</v>
      </c>
      <c r="B1186" s="11">
        <f>IFERROR(__xludf.DUMMYFUNCTION("""COMPUTED_VALUE"""),46188.0)</f>
        <v>46188</v>
      </c>
      <c r="C1186" s="2" t="str">
        <f>IFERROR(__xludf.DUMMYFUNCTION("""COMPUTED_VALUE"""),"MOBILECARE - S'MAISON")</f>
        <v>MOBILECARE - S'MAISON</v>
      </c>
      <c r="D1186" s="2" t="str">
        <f>IFERROR(__xludf.DUMMYFUNCTION("""COMPUTED_VALUE"""),"661-35885")</f>
        <v>661-35885</v>
      </c>
      <c r="E1186" s="2" t="str">
        <f>IFERROR(__xludf.DUMMYFUNCTION("""COMPUTED_VALUE"""),"Battery, iPhone 15")</f>
        <v>Battery, iPhone 15</v>
      </c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10" t="str">
        <f t="shared" si="1"/>
        <v>June</v>
      </c>
      <c r="B1187" s="11">
        <f>IFERROR(__xludf.DUMMYFUNCTION("""COMPUTED_VALUE"""),46188.0)</f>
        <v>46188</v>
      </c>
      <c r="C1187" s="2" t="str">
        <f>IFERROR(__xludf.DUMMYFUNCTION("""COMPUTED_VALUE"""),"MOBILECARE - S'MAISON")</f>
        <v>MOBILECARE - S'MAISON</v>
      </c>
      <c r="D1187" s="2" t="str">
        <f>IFERROR(__xludf.DUMMYFUNCTION("""COMPUTED_VALUE"""),"TA661-36291")</f>
        <v>TA661-36291</v>
      </c>
      <c r="E1187" s="2" t="str">
        <f>IFERROR(__xludf.DUMMYFUNCTION("""COMPUTED_VALUE"""),"Black, iPhone 15, 256GB, ROW, CI/AR, Taiwan")</f>
        <v>Black, iPhone 15, 256GB, ROW, CI/AR, Taiwan</v>
      </c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10" t="str">
        <f t="shared" si="1"/>
        <v>May</v>
      </c>
      <c r="B1188" s="11">
        <f>IFERROR(__xludf.DUMMYFUNCTION("""COMPUTED_VALUE"""),46145.0)</f>
        <v>46145</v>
      </c>
      <c r="C1188" s="2" t="str">
        <f>IFERROR(__xludf.DUMMYFUNCTION("""COMPUTED_VALUE"""),"MOBILECARE - S'MAISON")</f>
        <v>MOBILECARE - S'MAISON</v>
      </c>
      <c r="D1188" s="2" t="str">
        <f>IFERROR(__xludf.DUMMYFUNCTION("""COMPUTED_VALUE"""),"661-18428")</f>
        <v>661-18428</v>
      </c>
      <c r="E1188" s="2" t="str">
        <f>IFERROR(__xludf.DUMMYFUNCTION("""COMPUTED_VALUE"""),"Battery, iPhone 12 Pro Max")</f>
        <v>Battery, iPhone 12 Pro Max</v>
      </c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10" t="str">
        <f t="shared" si="1"/>
        <v>April</v>
      </c>
      <c r="B1189" s="11">
        <f>IFERROR(__xludf.DUMMYFUNCTION("""COMPUTED_VALUE"""),46127.0)</f>
        <v>46127</v>
      </c>
      <c r="C1189" s="2" t="str">
        <f>IFERROR(__xludf.DUMMYFUNCTION("""COMPUTED_VALUE"""),"MOBILECARE - S'MAISON")</f>
        <v>MOBILECARE - S'MAISON</v>
      </c>
      <c r="D1189" s="2" t="str">
        <f>IFERROR(__xludf.DUMMYFUNCTION("""COMPUTED_VALUE"""),"661-21991")</f>
        <v>661-21991</v>
      </c>
      <c r="E1189" s="2" t="str">
        <f>IFERROR(__xludf.DUMMYFUNCTION("""COMPUTED_VALUE"""),"Battery, iPhone 13")</f>
        <v>Battery, iPhone 13</v>
      </c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10" t="str">
        <f t="shared" si="1"/>
        <v>March</v>
      </c>
      <c r="B1190" s="11">
        <f>IFERROR(__xludf.DUMMYFUNCTION("""COMPUTED_VALUE"""),46106.0)</f>
        <v>46106</v>
      </c>
      <c r="C1190" s="2" t="str">
        <f>IFERROR(__xludf.DUMMYFUNCTION("""COMPUTED_VALUE"""),"MOBILECARE - S'MAISON")</f>
        <v>MOBILECARE - S'MAISON</v>
      </c>
      <c r="D1190" s="2" t="str">
        <f>IFERROR(__xludf.DUMMYFUNCTION("""COMPUTED_VALUE"""),"661-30397")</f>
        <v>661-30397</v>
      </c>
      <c r="E1190" s="2" t="str">
        <f>IFERROR(__xludf.DUMMYFUNCTION("""COMPUTED_VALUE"""),"Battery, iPhone 14 Pro Max")</f>
        <v>Battery, iPhone 14 Pro Max</v>
      </c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10" t="str">
        <f t="shared" si="1"/>
        <v>March</v>
      </c>
      <c r="B1191" s="11">
        <f>IFERROR(__xludf.DUMMYFUNCTION("""COMPUTED_VALUE"""),46104.0)</f>
        <v>46104</v>
      </c>
      <c r="C1191" s="2" t="str">
        <f>IFERROR(__xludf.DUMMYFUNCTION("""COMPUTED_VALUE"""),"MOBILECARE - S'MAISON")</f>
        <v>MOBILECARE - S'MAISON</v>
      </c>
      <c r="D1191" s="2" t="str">
        <f>IFERROR(__xludf.DUMMYFUNCTION("""COMPUTED_VALUE"""),"661-30397")</f>
        <v>661-30397</v>
      </c>
      <c r="E1191" s="2" t="str">
        <f>IFERROR(__xludf.DUMMYFUNCTION("""COMPUTED_VALUE"""),"Battery, iPhone 14 Pro Max")</f>
        <v>Battery, iPhone 14 Pro Max</v>
      </c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10" t="str">
        <f t="shared" si="1"/>
        <v>January</v>
      </c>
      <c r="B1192" s="11">
        <f>IFERROR(__xludf.DUMMYFUNCTION("""COMPUTED_VALUE"""),46046.0)</f>
        <v>46046</v>
      </c>
      <c r="C1192" s="2" t="str">
        <f>IFERROR(__xludf.DUMMYFUNCTION("""COMPUTED_VALUE"""),"MOBILECARE - S'MAISON")</f>
        <v>MOBILECARE - S'MAISON</v>
      </c>
      <c r="D1192" s="2" t="str">
        <f>IFERROR(__xludf.DUMMYFUNCTION("""COMPUTED_VALUE"""),"661-22309")</f>
        <v>661-22309</v>
      </c>
      <c r="E1192" s="2" t="str">
        <f>IFERROR(__xludf.DUMMYFUNCTION("""COMPUTED_VALUE"""),"Display, iPhone 13 Pro Max")</f>
        <v>Display, iPhone 13 Pro Max</v>
      </c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10" t="str">
        <f t="shared" si="1"/>
        <v>June</v>
      </c>
      <c r="B1193" s="11">
        <f>IFERROR(__xludf.DUMMYFUNCTION("""COMPUTED_VALUE"""),46189.0)</f>
        <v>46189</v>
      </c>
      <c r="C1193" s="2" t="str">
        <f>IFERROR(__xludf.DUMMYFUNCTION("""COMPUTED_VALUE"""),"MOBILECARE - S'MAISON")</f>
        <v>MOBILECARE - S'MAISON</v>
      </c>
      <c r="D1193" s="2" t="str">
        <f>IFERROR(__xludf.DUMMYFUNCTION("""COMPUTED_VALUE"""),"661-21991")</f>
        <v>661-21991</v>
      </c>
      <c r="E1193" s="2" t="str">
        <f>IFERROR(__xludf.DUMMYFUNCTION("""COMPUTED_VALUE"""),"Battery, iPhone 13")</f>
        <v>Battery, iPhone 13</v>
      </c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10" t="str">
        <f t="shared" si="1"/>
        <v>June</v>
      </c>
      <c r="B1194" s="11">
        <f>IFERROR(__xludf.DUMMYFUNCTION("""COMPUTED_VALUE"""),46187.0)</f>
        <v>46187</v>
      </c>
      <c r="C1194" s="2" t="str">
        <f>IFERROR(__xludf.DUMMYFUNCTION("""COMPUTED_VALUE"""),"MOBILECARE - S'MAISON")</f>
        <v>MOBILECARE - S'MAISON</v>
      </c>
      <c r="D1194" s="2" t="str">
        <f>IFERROR(__xludf.DUMMYFUNCTION("""COMPUTED_VALUE"""),"661-21991")</f>
        <v>661-21991</v>
      </c>
      <c r="E1194" s="2" t="str">
        <f>IFERROR(__xludf.DUMMYFUNCTION("""COMPUTED_VALUE"""),"Battery, iPhone 13")</f>
        <v>Battery, iPhone 13</v>
      </c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10" t="str">
        <f t="shared" si="1"/>
        <v>May</v>
      </c>
      <c r="B1195" s="11">
        <f>IFERROR(__xludf.DUMMYFUNCTION("""COMPUTED_VALUE"""),46157.0)</f>
        <v>46157</v>
      </c>
      <c r="C1195" s="2" t="str">
        <f>IFERROR(__xludf.DUMMYFUNCTION("""COMPUTED_VALUE"""),"MOBILECARE - S'MAISON")</f>
        <v>MOBILECARE - S'MAISON</v>
      </c>
      <c r="D1195" s="2" t="str">
        <f>IFERROR(__xludf.DUMMYFUNCTION("""COMPUTED_VALUE"""),"661-22374")</f>
        <v>661-22374</v>
      </c>
      <c r="E1195" s="2" t="str">
        <f>IFERROR(__xludf.DUMMYFUNCTION("""COMPUTED_VALUE"""),"Battery, iPhone 13 mini")</f>
        <v>Battery, iPhone 13 mini</v>
      </c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10" t="str">
        <f t="shared" si="1"/>
        <v>May</v>
      </c>
      <c r="B1196" s="11">
        <f>IFERROR(__xludf.DUMMYFUNCTION("""COMPUTED_VALUE"""),46144.0)</f>
        <v>46144</v>
      </c>
      <c r="C1196" s="2" t="str">
        <f>IFERROR(__xludf.DUMMYFUNCTION("""COMPUTED_VALUE"""),"MOBILECARE - S'MAISON")</f>
        <v>MOBILECARE - S'MAISON</v>
      </c>
      <c r="D1196" s="2" t="str">
        <f>IFERROR(__xludf.DUMMYFUNCTION("""COMPUTED_VALUE"""),"661-21991")</f>
        <v>661-21991</v>
      </c>
      <c r="E1196" s="2" t="str">
        <f>IFERROR(__xludf.DUMMYFUNCTION("""COMPUTED_VALUE"""),"Battery, iPhone 13")</f>
        <v>Battery, iPhone 13</v>
      </c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10" t="str">
        <f t="shared" si="1"/>
        <v>April</v>
      </c>
      <c r="B1197" s="11">
        <f>IFERROR(__xludf.DUMMYFUNCTION("""COMPUTED_VALUE"""),46131.0)</f>
        <v>46131</v>
      </c>
      <c r="C1197" s="2" t="str">
        <f>IFERROR(__xludf.DUMMYFUNCTION("""COMPUTED_VALUE"""),"MOBILECARE - S'MAISON")</f>
        <v>MOBILECARE - S'MAISON</v>
      </c>
      <c r="D1197" s="2" t="str">
        <f>IFERROR(__xludf.DUMMYFUNCTION("""COMPUTED_VALUE"""),"661-21996")</f>
        <v>661-21996</v>
      </c>
      <c r="E1197" s="2" t="str">
        <f>IFERROR(__xludf.DUMMYFUNCTION("""COMPUTED_VALUE"""),"Battery, iPhone 13 Pro")</f>
        <v>Battery, iPhone 13 Pro</v>
      </c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10" t="str">
        <f t="shared" si="1"/>
        <v>April</v>
      </c>
      <c r="B1198" s="11">
        <f>IFERROR(__xludf.DUMMYFUNCTION("""COMPUTED_VALUE"""),46132.0)</f>
        <v>46132</v>
      </c>
      <c r="C1198" s="2" t="str">
        <f>IFERROR(__xludf.DUMMYFUNCTION("""COMPUTED_VALUE"""),"MOBILECARE - S'MAISON")</f>
        <v>MOBILECARE - S'MAISON</v>
      </c>
      <c r="D1198" s="2" t="str">
        <f>IFERROR(__xludf.DUMMYFUNCTION("""COMPUTED_VALUE"""),"661-21991")</f>
        <v>661-21991</v>
      </c>
      <c r="E1198" s="2" t="str">
        <f>IFERROR(__xludf.DUMMYFUNCTION("""COMPUTED_VALUE"""),"Battery, iPhone 13")</f>
        <v>Battery, iPhone 13</v>
      </c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10" t="str">
        <f t="shared" si="1"/>
        <v>May</v>
      </c>
      <c r="B1199" s="11">
        <f>IFERROR(__xludf.DUMMYFUNCTION("""COMPUTED_VALUE"""),46164.0)</f>
        <v>46164</v>
      </c>
      <c r="C1199" s="2" t="str">
        <f>IFERROR(__xludf.DUMMYFUNCTION("""COMPUTED_VALUE"""),"MOBILECARE - S'MAISON")</f>
        <v>MOBILECARE - S'MAISON</v>
      </c>
      <c r="D1199" s="2" t="str">
        <f>IFERROR(__xludf.DUMMYFUNCTION("""COMPUTED_VALUE"""),"923-13580")</f>
        <v>923-13580</v>
      </c>
      <c r="E1199" s="2" t="str">
        <f>IFERROR(__xludf.DUMMYFUNCTION("""COMPUTED_VALUE"""),"Speaker, pSIM, iPhone 17 Pro Max")</f>
        <v>Speaker, pSIM, iPhone 17 Pro Max</v>
      </c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10" t="str">
        <f t="shared" si="1"/>
        <v>May</v>
      </c>
      <c r="B1200" s="11">
        <f>IFERROR(__xludf.DUMMYFUNCTION("""COMPUTED_VALUE"""),46164.0)</f>
        <v>46164</v>
      </c>
      <c r="C1200" s="2" t="str">
        <f>IFERROR(__xludf.DUMMYFUNCTION("""COMPUTED_VALUE"""),"MOBILECARE - S'MAISON")</f>
        <v>MOBILECARE - S'MAISON</v>
      </c>
      <c r="D1200" s="2" t="str">
        <f>IFERROR(__xludf.DUMMYFUNCTION("""COMPUTED_VALUE"""),"Z661-55956")</f>
        <v>Z661-55956</v>
      </c>
      <c r="E1200" s="2" t="str">
        <f>IFERROR(__xludf.DUMMYFUNCTION("""COMPUTED_VALUE"""),"Logic Board, 256GB, iPhone 17 Pro Max, ROW")</f>
        <v>Logic Board, 256GB, iPhone 17 Pro Max, ROW</v>
      </c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10" t="str">
        <f t="shared" si="1"/>
        <v>April</v>
      </c>
      <c r="B1201" s="11">
        <f>IFERROR(__xludf.DUMMYFUNCTION("""COMPUTED_VALUE"""),46128.0)</f>
        <v>46128</v>
      </c>
      <c r="C1201" s="2" t="str">
        <f>IFERROR(__xludf.DUMMYFUNCTION("""COMPUTED_VALUE"""),"MOBILECARE - S'MAISON")</f>
        <v>MOBILECARE - S'MAISON</v>
      </c>
      <c r="D1201" s="2" t="str">
        <f>IFERROR(__xludf.DUMMYFUNCTION("""COMPUTED_VALUE"""),"661-56050")</f>
        <v>661-56050</v>
      </c>
      <c r="E1201" s="2" t="str">
        <f>IFERROR(__xludf.DUMMYFUNCTION("""COMPUTED_VALUE"""),"Display, iPhone 17 Pro Max")</f>
        <v>Display, iPhone 17 Pro Max</v>
      </c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10" t="str">
        <f t="shared" si="1"/>
        <v>April</v>
      </c>
      <c r="B1202" s="11">
        <f>IFERROR(__xludf.DUMMYFUNCTION("""COMPUTED_VALUE"""),46113.0)</f>
        <v>46113</v>
      </c>
      <c r="C1202" s="2" t="str">
        <f>IFERROR(__xludf.DUMMYFUNCTION("""COMPUTED_VALUE"""),"MOBILECARE - S'MAISON")</f>
        <v>MOBILECARE - S'MAISON</v>
      </c>
      <c r="D1202" s="2" t="str">
        <f>IFERROR(__xludf.DUMMYFUNCTION("""COMPUTED_VALUE"""),"661-21991")</f>
        <v>661-21991</v>
      </c>
      <c r="E1202" s="2" t="str">
        <f>IFERROR(__xludf.DUMMYFUNCTION("""COMPUTED_VALUE"""),"Battery, iPhone 13")</f>
        <v>Battery, iPhone 13</v>
      </c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10" t="str">
        <f t="shared" si="1"/>
        <v>April</v>
      </c>
      <c r="B1203" s="11">
        <f>IFERROR(__xludf.DUMMYFUNCTION("""COMPUTED_VALUE"""),46119.0)</f>
        <v>46119</v>
      </c>
      <c r="C1203" s="2" t="str">
        <f>IFERROR(__xludf.DUMMYFUNCTION("""COMPUTED_VALUE"""),"MOBILECARE - S'MAISON")</f>
        <v>MOBILECARE - S'MAISON</v>
      </c>
      <c r="D1203" s="2" t="str">
        <f>IFERROR(__xludf.DUMMYFUNCTION("""COMPUTED_VALUE"""),"661-21991")</f>
        <v>661-21991</v>
      </c>
      <c r="E1203" s="2" t="str">
        <f>IFERROR(__xludf.DUMMYFUNCTION("""COMPUTED_VALUE"""),"Battery, iPhone 13")</f>
        <v>Battery, iPhone 13</v>
      </c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10" t="str">
        <f t="shared" si="1"/>
        <v>March</v>
      </c>
      <c r="B1204" s="11">
        <f>IFERROR(__xludf.DUMMYFUNCTION("""COMPUTED_VALUE"""),46111.0)</f>
        <v>46111</v>
      </c>
      <c r="C1204" s="2" t="str">
        <f>IFERROR(__xludf.DUMMYFUNCTION("""COMPUTED_VALUE"""),"MOBILECARE - S'MAISON")</f>
        <v>MOBILECARE - S'MAISON</v>
      </c>
      <c r="D1204" s="2" t="str">
        <f>IFERROR(__xludf.DUMMYFUNCTION("""COMPUTED_VALUE"""),"661-13624")</f>
        <v>661-13624</v>
      </c>
      <c r="E1204" s="2" t="str">
        <f>IFERROR(__xludf.DUMMYFUNCTION("""COMPUTED_VALUE"""),"Battery, iPhone 11 Pro Max")</f>
        <v>Battery, iPhone 11 Pro Max</v>
      </c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10" t="str">
        <f t="shared" si="1"/>
        <v>March</v>
      </c>
      <c r="B1205" s="11">
        <f>IFERROR(__xludf.DUMMYFUNCTION("""COMPUTED_VALUE"""),46097.0)</f>
        <v>46097</v>
      </c>
      <c r="C1205" s="2" t="str">
        <f>IFERROR(__xludf.DUMMYFUNCTION("""COMPUTED_VALUE"""),"MOBILECARE - S'MAISON")</f>
        <v>MOBILECARE - S'MAISON</v>
      </c>
      <c r="D1205" s="2" t="str">
        <f>IFERROR(__xludf.DUMMYFUNCTION("""COMPUTED_VALUE"""),"661-21991")</f>
        <v>661-21991</v>
      </c>
      <c r="E1205" s="2" t="str">
        <f>IFERROR(__xludf.DUMMYFUNCTION("""COMPUTED_VALUE"""),"Battery, iPhone 13")</f>
        <v>Battery, iPhone 13</v>
      </c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10" t="str">
        <f t="shared" si="1"/>
        <v>February</v>
      </c>
      <c r="B1206" s="11">
        <f>IFERROR(__xludf.DUMMYFUNCTION("""COMPUTED_VALUE"""),46081.0)</f>
        <v>46081</v>
      </c>
      <c r="C1206" s="2" t="str">
        <f>IFERROR(__xludf.DUMMYFUNCTION("""COMPUTED_VALUE"""),"MOBILECARE - S'MAISON")</f>
        <v>MOBILECARE - S'MAISON</v>
      </c>
      <c r="D1206" s="2" t="str">
        <f>IFERROR(__xludf.DUMMYFUNCTION("""COMPUTED_VALUE"""),"661-21991")</f>
        <v>661-21991</v>
      </c>
      <c r="E1206" s="2" t="str">
        <f>IFERROR(__xludf.DUMMYFUNCTION("""COMPUTED_VALUE"""),"Battery, iPhone 13")</f>
        <v>Battery, iPhone 13</v>
      </c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10" t="str">
        <f t="shared" si="1"/>
        <v>February</v>
      </c>
      <c r="B1207" s="11">
        <f>IFERROR(__xludf.DUMMYFUNCTION("""COMPUTED_VALUE"""),46081.0)</f>
        <v>46081</v>
      </c>
      <c r="C1207" s="2" t="str">
        <f>IFERROR(__xludf.DUMMYFUNCTION("""COMPUTED_VALUE"""),"MOBILECARE - S'MAISON")</f>
        <v>MOBILECARE - S'MAISON</v>
      </c>
      <c r="D1207" s="2" t="str">
        <f>IFERROR(__xludf.DUMMYFUNCTION("""COMPUTED_VALUE"""),"661-18428")</f>
        <v>661-18428</v>
      </c>
      <c r="E1207" s="2" t="str">
        <f>IFERROR(__xludf.DUMMYFUNCTION("""COMPUTED_VALUE"""),"Battery, iPhone 12 Pro Max")</f>
        <v>Battery, iPhone 12 Pro Max</v>
      </c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10" t="str">
        <f t="shared" si="1"/>
        <v>March</v>
      </c>
      <c r="B1208" s="11">
        <f>IFERROR(__xludf.DUMMYFUNCTION("""COMPUTED_VALUE"""),46082.0)</f>
        <v>46082</v>
      </c>
      <c r="C1208" s="2" t="str">
        <f>IFERROR(__xludf.DUMMYFUNCTION("""COMPUTED_VALUE"""),"MOBILECARE - S'MAISON")</f>
        <v>MOBILECARE - S'MAISON</v>
      </c>
      <c r="D1208" s="2" t="str">
        <f>IFERROR(__xludf.DUMMYFUNCTION("""COMPUTED_VALUE"""),"923-13599")</f>
        <v>923-13599</v>
      </c>
      <c r="E1208" s="2" t="str">
        <f>IFERROR(__xludf.DUMMYFUNCTION("""COMPUTED_VALUE"""),"Top Speaker, iPhone 17")</f>
        <v>Top Speaker, iPhone 17</v>
      </c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10" t="str">
        <f t="shared" si="1"/>
        <v>February</v>
      </c>
      <c r="B1209" s="11">
        <f>IFERROR(__xludf.DUMMYFUNCTION("""COMPUTED_VALUE"""),46061.0)</f>
        <v>46061</v>
      </c>
      <c r="C1209" s="2" t="str">
        <f>IFERROR(__xludf.DUMMYFUNCTION("""COMPUTED_VALUE"""),"MOBILECARE - S'MAISON")</f>
        <v>MOBILECARE - S'MAISON</v>
      </c>
      <c r="D1209" s="2" t="str">
        <f>IFERROR(__xludf.DUMMYFUNCTION("""COMPUTED_VALUE"""),"661-21991")</f>
        <v>661-21991</v>
      </c>
      <c r="E1209" s="2" t="str">
        <f>IFERROR(__xludf.DUMMYFUNCTION("""COMPUTED_VALUE"""),"Battery, iPhone 13")</f>
        <v>Battery, iPhone 13</v>
      </c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10" t="str">
        <f t="shared" si="1"/>
        <v>June</v>
      </c>
      <c r="B1210" s="11">
        <f>IFERROR(__xludf.DUMMYFUNCTION("""COMPUTED_VALUE"""),46193.0)</f>
        <v>46193</v>
      </c>
      <c r="C1210" s="2" t="str">
        <f>IFERROR(__xludf.DUMMYFUNCTION("""COMPUTED_VALUE"""),"MOBILECARE - S'MAISON")</f>
        <v>MOBILECARE - S'MAISON</v>
      </c>
      <c r="D1210" s="2" t="str">
        <f>IFERROR(__xludf.DUMMYFUNCTION("""COMPUTED_VALUE"""),"661-21991")</f>
        <v>661-21991</v>
      </c>
      <c r="E1210" s="2" t="str">
        <f>IFERROR(__xludf.DUMMYFUNCTION("""COMPUTED_VALUE"""),"Battery, iPhone 13")</f>
        <v>Battery, iPhone 13</v>
      </c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10" t="str">
        <f t="shared" si="1"/>
        <v>June</v>
      </c>
      <c r="B1211" s="11">
        <f>IFERROR(__xludf.DUMMYFUNCTION("""COMPUTED_VALUE"""),46193.0)</f>
        <v>46193</v>
      </c>
      <c r="C1211" s="2" t="str">
        <f>IFERROR(__xludf.DUMMYFUNCTION("""COMPUTED_VALUE"""),"MOBILECARE - S'MAISON")</f>
        <v>MOBILECARE - S'MAISON</v>
      </c>
      <c r="D1211" s="2" t="str">
        <f>IFERROR(__xludf.DUMMYFUNCTION("""COMPUTED_VALUE"""),"661-35694")</f>
        <v>661-35694</v>
      </c>
      <c r="E1211" s="2" t="str">
        <f>IFERROR(__xludf.DUMMYFUNCTION("""COMPUTED_VALUE"""),"Battery, iPhone 15 Pro")</f>
        <v>Battery, iPhone 15 Pro</v>
      </c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10" t="str">
        <f t="shared" si="1"/>
        <v>May</v>
      </c>
      <c r="B1212" s="11">
        <f>IFERROR(__xludf.DUMMYFUNCTION("""COMPUTED_VALUE"""),46172.0)</f>
        <v>46172</v>
      </c>
      <c r="C1212" s="2" t="str">
        <f>IFERROR(__xludf.DUMMYFUNCTION("""COMPUTED_VALUE"""),"MOBILECARE - S'MAISON")</f>
        <v>MOBILECARE - S'MAISON</v>
      </c>
      <c r="D1212" s="2" t="str">
        <f>IFERROR(__xludf.DUMMYFUNCTION("""COMPUTED_VALUE"""),"661-44799")</f>
        <v>661-44799</v>
      </c>
      <c r="E1212" s="2" t="str">
        <f>IFERROR(__xludf.DUMMYFUNCTION("""COMPUTED_VALUE"""),"Camera, iPhone 16")</f>
        <v>Camera, iPhone 16</v>
      </c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10" t="str">
        <f t="shared" si="1"/>
        <v>May</v>
      </c>
      <c r="B1213" s="11">
        <f>IFERROR(__xludf.DUMMYFUNCTION("""COMPUTED_VALUE"""),46149.0)</f>
        <v>46149</v>
      </c>
      <c r="C1213" s="2" t="str">
        <f>IFERROR(__xludf.DUMMYFUNCTION("""COMPUTED_VALUE"""),"MOBILECARE - S'MAISON")</f>
        <v>MOBILECARE - S'MAISON</v>
      </c>
      <c r="D1213" s="2" t="str">
        <f>IFERROR(__xludf.DUMMYFUNCTION("""COMPUTED_VALUE"""),"661-08932")</f>
        <v>661-08932</v>
      </c>
      <c r="E1213" s="2" t="str">
        <f>IFERROR(__xludf.DUMMYFUNCTION("""COMPUTED_VALUE"""),"Battery, iPhone X")</f>
        <v>Battery, iPhone X</v>
      </c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10" t="str">
        <f t="shared" si="1"/>
        <v>May</v>
      </c>
      <c r="B1214" s="11">
        <f>IFERROR(__xludf.DUMMYFUNCTION("""COMPUTED_VALUE"""),46149.0)</f>
        <v>46149</v>
      </c>
      <c r="C1214" s="2" t="str">
        <f>IFERROR(__xludf.DUMMYFUNCTION("""COMPUTED_VALUE"""),"MOBILECARE - S'MAISON")</f>
        <v>MOBILECARE - S'MAISON</v>
      </c>
      <c r="D1214" s="2" t="str">
        <f>IFERROR(__xludf.DUMMYFUNCTION("""COMPUTED_VALUE"""),"923-01962")</f>
        <v>923-01962</v>
      </c>
      <c r="E1214" s="2" t="str">
        <f>IFERROR(__xludf.DUMMYFUNCTION("""COMPUTED_VALUE"""),"Speaker, iPhone X")</f>
        <v>Speaker, iPhone X</v>
      </c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10" t="str">
        <f t="shared" si="1"/>
        <v>March</v>
      </c>
      <c r="B1215" s="11">
        <f>IFERROR(__xludf.DUMMYFUNCTION("""COMPUTED_VALUE"""),46107.0)</f>
        <v>46107</v>
      </c>
      <c r="C1215" s="2" t="str">
        <f>IFERROR(__xludf.DUMMYFUNCTION("""COMPUTED_VALUE"""),"MOBILECARE - S'MAISON")</f>
        <v>MOBILECARE - S'MAISON</v>
      </c>
      <c r="D1215" s="2" t="str">
        <f>IFERROR(__xludf.DUMMYFUNCTION("""COMPUTED_VALUE"""),"661-30397")</f>
        <v>661-30397</v>
      </c>
      <c r="E1215" s="2" t="str">
        <f>IFERROR(__xludf.DUMMYFUNCTION("""COMPUTED_VALUE"""),"Battery, iPhone 14 Pro Max")</f>
        <v>Battery, iPhone 14 Pro Max</v>
      </c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10" t="str">
        <f t="shared" si="1"/>
        <v>March</v>
      </c>
      <c r="B1216" s="11">
        <f>IFERROR(__xludf.DUMMYFUNCTION("""COMPUTED_VALUE"""),46094.0)</f>
        <v>46094</v>
      </c>
      <c r="C1216" s="2" t="str">
        <f>IFERROR(__xludf.DUMMYFUNCTION("""COMPUTED_VALUE"""),"MOBILECARE - S'MAISON")</f>
        <v>MOBILECARE - S'MAISON</v>
      </c>
      <c r="D1216" s="2" t="str">
        <f>IFERROR(__xludf.DUMMYFUNCTION("""COMPUTED_VALUE"""),"661-21988")</f>
        <v>661-21988</v>
      </c>
      <c r="E1216" s="2" t="str">
        <f>IFERROR(__xludf.DUMMYFUNCTION("""COMPUTED_VALUE"""),"Display, iPhone 13")</f>
        <v>Display, iPhone 13</v>
      </c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10" t="str">
        <f t="shared" si="1"/>
        <v>March</v>
      </c>
      <c r="B1217" s="11">
        <f>IFERROR(__xludf.DUMMYFUNCTION("""COMPUTED_VALUE"""),46084.0)</f>
        <v>46084</v>
      </c>
      <c r="C1217" s="2" t="str">
        <f>IFERROR(__xludf.DUMMYFUNCTION("""COMPUTED_VALUE"""),"MOBILECARE - S'MAISON")</f>
        <v>MOBILECARE - S'MAISON</v>
      </c>
      <c r="D1217" s="2" t="str">
        <f>IFERROR(__xludf.DUMMYFUNCTION("""COMPUTED_VALUE"""),"661-36915")</f>
        <v>661-36915</v>
      </c>
      <c r="E1217" s="2" t="str">
        <f>IFERROR(__xludf.DUMMYFUNCTION("""COMPUTED_VALUE"""),"Display, iPhone 15 Pro Max")</f>
        <v>Display, iPhone 15 Pro Max</v>
      </c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10" t="str">
        <f t="shared" si="1"/>
        <v>March</v>
      </c>
      <c r="B1218" s="11">
        <f>IFERROR(__xludf.DUMMYFUNCTION("""COMPUTED_VALUE"""),46086.0)</f>
        <v>46086</v>
      </c>
      <c r="C1218" s="2" t="str">
        <f>IFERROR(__xludf.DUMMYFUNCTION("""COMPUTED_VALUE"""),"MOBILECARE - S'MAISON")</f>
        <v>MOBILECARE - S'MAISON</v>
      </c>
      <c r="D1218" s="2" t="str">
        <f>IFERROR(__xludf.DUMMYFUNCTION("""COMPUTED_VALUE"""),"661-21996")</f>
        <v>661-21996</v>
      </c>
      <c r="E1218" s="2" t="str">
        <f>IFERROR(__xludf.DUMMYFUNCTION("""COMPUTED_VALUE"""),"Battery, iPhone 13 Pro")</f>
        <v>Battery, iPhone 13 Pro</v>
      </c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10" t="str">
        <f t="shared" si="1"/>
        <v>February</v>
      </c>
      <c r="B1219" s="11">
        <f>IFERROR(__xludf.DUMMYFUNCTION("""COMPUTED_VALUE"""),46061.0)</f>
        <v>46061</v>
      </c>
      <c r="C1219" s="2" t="str">
        <f>IFERROR(__xludf.DUMMYFUNCTION("""COMPUTED_VALUE"""),"MOBILECARE - S'MAISON")</f>
        <v>MOBILECARE - S'MAISON</v>
      </c>
      <c r="D1219" s="2" t="str">
        <f>IFERROR(__xludf.DUMMYFUNCTION("""COMPUTED_VALUE"""),"661-21991")</f>
        <v>661-21991</v>
      </c>
      <c r="E1219" s="2" t="str">
        <f>IFERROR(__xludf.DUMMYFUNCTION("""COMPUTED_VALUE"""),"Battery, iPhone 13")</f>
        <v>Battery, iPhone 13</v>
      </c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10" t="str">
        <f t="shared" si="1"/>
        <v>June</v>
      </c>
      <c r="B1220" s="11">
        <f>IFERROR(__xludf.DUMMYFUNCTION("""COMPUTED_VALUE"""),46188.0)</f>
        <v>46188</v>
      </c>
      <c r="C1220" s="2" t="str">
        <f>IFERROR(__xludf.DUMMYFUNCTION("""COMPUTED_VALUE"""),"MOBILECARE - S'MAISON")</f>
        <v>MOBILECARE - S'MAISON</v>
      </c>
      <c r="D1220" s="2" t="str">
        <f>IFERROR(__xludf.DUMMYFUNCTION("""COMPUTED_VALUE"""),"661-21991")</f>
        <v>661-21991</v>
      </c>
      <c r="E1220" s="2" t="str">
        <f>IFERROR(__xludf.DUMMYFUNCTION("""COMPUTED_VALUE"""),"Battery, iPhone 13")</f>
        <v>Battery, iPhone 13</v>
      </c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10" t="str">
        <f t="shared" si="1"/>
        <v>May</v>
      </c>
      <c r="B1221" s="11">
        <f>IFERROR(__xludf.DUMMYFUNCTION("""COMPUTED_VALUE"""),46173.0)</f>
        <v>46173</v>
      </c>
      <c r="C1221" s="2" t="str">
        <f>IFERROR(__xludf.DUMMYFUNCTION("""COMPUTED_VALUE"""),"MOBILECARE - S'MAISON")</f>
        <v>MOBILECARE - S'MAISON</v>
      </c>
      <c r="D1221" s="2" t="str">
        <f>IFERROR(__xludf.DUMMYFUNCTION("""COMPUTED_VALUE"""),"661-17920")</f>
        <v>661-17920</v>
      </c>
      <c r="E1221" s="2" t="str">
        <f>IFERROR(__xludf.DUMMYFUNCTION("""COMPUTED_VALUE"""),"Battery, iPhone 12 and 12 Pro")</f>
        <v>Battery, iPhone 12 and 12 Pro</v>
      </c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10" t="str">
        <f t="shared" si="1"/>
        <v>May</v>
      </c>
      <c r="B1222" s="11">
        <f>IFERROR(__xludf.DUMMYFUNCTION("""COMPUTED_VALUE"""),46162.0)</f>
        <v>46162</v>
      </c>
      <c r="C1222" s="2" t="str">
        <f>IFERROR(__xludf.DUMMYFUNCTION("""COMPUTED_VALUE"""),"MOBILECARE - S'MAISON")</f>
        <v>MOBILECARE - S'MAISON</v>
      </c>
      <c r="D1222" s="2" t="str">
        <f>IFERROR(__xludf.DUMMYFUNCTION("""COMPUTED_VALUE"""),"661-21996")</f>
        <v>661-21996</v>
      </c>
      <c r="E1222" s="2" t="str">
        <f>IFERROR(__xludf.DUMMYFUNCTION("""COMPUTED_VALUE"""),"Battery, iPhone 13 Pro")</f>
        <v>Battery, iPhone 13 Pro</v>
      </c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10" t="str">
        <f t="shared" si="1"/>
        <v>April</v>
      </c>
      <c r="B1223" s="11">
        <f>IFERROR(__xludf.DUMMYFUNCTION("""COMPUTED_VALUE"""),46136.0)</f>
        <v>46136</v>
      </c>
      <c r="C1223" s="2" t="str">
        <f>IFERROR(__xludf.DUMMYFUNCTION("""COMPUTED_VALUE"""),"MOBILECARE - S'MAISON")</f>
        <v>MOBILECARE - S'MAISON</v>
      </c>
      <c r="D1223" s="2" t="str">
        <f>IFERROR(__xludf.DUMMYFUNCTION("""COMPUTED_VALUE"""),"661-36706")</f>
        <v>661-36706</v>
      </c>
      <c r="E1223" s="2" t="str">
        <f>IFERROR(__xludf.DUMMYFUNCTION("""COMPUTED_VALUE"""),"Display, iPhone 15")</f>
        <v>Display, iPhone 15</v>
      </c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10" t="str">
        <f t="shared" si="1"/>
        <v>April</v>
      </c>
      <c r="B1224" s="11">
        <f>IFERROR(__xludf.DUMMYFUNCTION("""COMPUTED_VALUE"""),46139.0)</f>
        <v>46139</v>
      </c>
      <c r="C1224" s="2" t="str">
        <f>IFERROR(__xludf.DUMMYFUNCTION("""COMPUTED_VALUE"""),"MOBILECARE - S'MAISON")</f>
        <v>MOBILECARE - S'MAISON</v>
      </c>
      <c r="D1224" s="2" t="str">
        <f>IFERROR(__xludf.DUMMYFUNCTION("""COMPUTED_VALUE"""),"661-22309")</f>
        <v>661-22309</v>
      </c>
      <c r="E1224" s="2" t="str">
        <f>IFERROR(__xludf.DUMMYFUNCTION("""COMPUTED_VALUE"""),"Display, iPhone 13 Pro Max")</f>
        <v>Display, iPhone 13 Pro Max</v>
      </c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10" t="str">
        <f t="shared" si="1"/>
        <v>April</v>
      </c>
      <c r="B1225" s="11">
        <f>IFERROR(__xludf.DUMMYFUNCTION("""COMPUTED_VALUE"""),46130.0)</f>
        <v>46130</v>
      </c>
      <c r="C1225" s="2" t="str">
        <f>IFERROR(__xludf.DUMMYFUNCTION("""COMPUTED_VALUE"""),"MOBILECARE - S'MAISON")</f>
        <v>MOBILECARE - S'MAISON</v>
      </c>
      <c r="D1225" s="2" t="str">
        <f>IFERROR(__xludf.DUMMYFUNCTION("""COMPUTED_VALUE"""),"661-21991")</f>
        <v>661-21991</v>
      </c>
      <c r="E1225" s="2" t="str">
        <f>IFERROR(__xludf.DUMMYFUNCTION("""COMPUTED_VALUE"""),"Battery, iPhone 13")</f>
        <v>Battery, iPhone 13</v>
      </c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10" t="str">
        <f t="shared" si="1"/>
        <v>April</v>
      </c>
      <c r="B1226" s="11">
        <f>IFERROR(__xludf.DUMMYFUNCTION("""COMPUTED_VALUE"""),46131.0)</f>
        <v>46131</v>
      </c>
      <c r="C1226" s="2" t="str">
        <f>IFERROR(__xludf.DUMMYFUNCTION("""COMPUTED_VALUE"""),"MOBILECARE - S'MAISON")</f>
        <v>MOBILECARE - S'MAISON</v>
      </c>
      <c r="D1226" s="2" t="str">
        <f>IFERROR(__xludf.DUMMYFUNCTION("""COMPUTED_VALUE"""),"661-21991")</f>
        <v>661-21991</v>
      </c>
      <c r="E1226" s="2" t="str">
        <f>IFERROR(__xludf.DUMMYFUNCTION("""COMPUTED_VALUE"""),"Battery, iPhone 13")</f>
        <v>Battery, iPhone 13</v>
      </c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10" t="str">
        <f t="shared" si="1"/>
        <v>April</v>
      </c>
      <c r="B1227" s="11">
        <f>IFERROR(__xludf.DUMMYFUNCTION("""COMPUTED_VALUE"""),46127.0)</f>
        <v>46127</v>
      </c>
      <c r="C1227" s="2" t="str">
        <f>IFERROR(__xludf.DUMMYFUNCTION("""COMPUTED_VALUE"""),"MOBILECARE - S'MAISON")</f>
        <v>MOBILECARE - S'MAISON</v>
      </c>
      <c r="D1227" s="2" t="str">
        <f>IFERROR(__xludf.DUMMYFUNCTION("""COMPUTED_VALUE"""),"923-13600")</f>
        <v>923-13600</v>
      </c>
      <c r="E1227" s="2" t="str">
        <f>IFERROR(__xludf.DUMMYFUNCTION("""COMPUTED_VALUE"""),"Main Microphone, iPhone 17")</f>
        <v>Main Microphone, iPhone 17</v>
      </c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10" t="str">
        <f t="shared" si="1"/>
        <v>April</v>
      </c>
      <c r="B1228" s="11">
        <f>IFERROR(__xludf.DUMMYFUNCTION("""COMPUTED_VALUE"""),46134.0)</f>
        <v>46134</v>
      </c>
      <c r="C1228" s="2" t="str">
        <f>IFERROR(__xludf.DUMMYFUNCTION("""COMPUTED_VALUE"""),"MOBILECARE - S'MAISON")</f>
        <v>MOBILECARE - S'MAISON</v>
      </c>
      <c r="D1228" s="2" t="str">
        <f>IFERROR(__xludf.DUMMYFUNCTION("""COMPUTED_VALUE"""),"Z661-56015")</f>
        <v>Z661-56015</v>
      </c>
      <c r="E1228" s="2" t="str">
        <f>IFERROR(__xludf.DUMMYFUNCTION("""COMPUTED_VALUE"""),"Logic Board, 256GB, iPhone 17, ROW")</f>
        <v>Logic Board, 256GB, iPhone 17, ROW</v>
      </c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10" t="str">
        <f t="shared" si="1"/>
        <v>April</v>
      </c>
      <c r="B1229" s="11">
        <f>IFERROR(__xludf.DUMMYFUNCTION("""COMPUTED_VALUE"""),46129.0)</f>
        <v>46129</v>
      </c>
      <c r="C1229" s="2" t="str">
        <f>IFERROR(__xludf.DUMMYFUNCTION("""COMPUTED_VALUE"""),"MOBILECARE - S'MAISON")</f>
        <v>MOBILECARE - S'MAISON</v>
      </c>
      <c r="D1229" s="2" t="str">
        <f>IFERROR(__xludf.DUMMYFUNCTION("""COMPUTED_VALUE"""),"Z661-55956")</f>
        <v>Z661-55956</v>
      </c>
      <c r="E1229" s="2" t="str">
        <f>IFERROR(__xludf.DUMMYFUNCTION("""COMPUTED_VALUE"""),"Logic Board, 256GB, iPhone 17 Pro Max, ROW")</f>
        <v>Logic Board, 256GB, iPhone 17 Pro Max, ROW</v>
      </c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10" t="str">
        <f t="shared" si="1"/>
        <v>March</v>
      </c>
      <c r="B1230" s="11">
        <f>IFERROR(__xludf.DUMMYFUNCTION("""COMPUTED_VALUE"""),46109.0)</f>
        <v>46109</v>
      </c>
      <c r="C1230" s="2" t="str">
        <f>IFERROR(__xludf.DUMMYFUNCTION("""COMPUTED_VALUE"""),"MOBILECARE - S'MAISON")</f>
        <v>MOBILECARE - S'MAISON</v>
      </c>
      <c r="D1230" s="2" t="str">
        <f>IFERROR(__xludf.DUMMYFUNCTION("""COMPUTED_VALUE"""),"661-13624")</f>
        <v>661-13624</v>
      </c>
      <c r="E1230" s="2" t="str">
        <f>IFERROR(__xludf.DUMMYFUNCTION("""COMPUTED_VALUE"""),"Battery, iPhone 11 Pro Max")</f>
        <v>Battery, iPhone 11 Pro Max</v>
      </c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10" t="str">
        <f t="shared" si="1"/>
        <v>February</v>
      </c>
      <c r="B1231" s="11">
        <f>IFERROR(__xludf.DUMMYFUNCTION("""COMPUTED_VALUE"""),46080.0)</f>
        <v>46080</v>
      </c>
      <c r="C1231" s="2" t="str">
        <f>IFERROR(__xludf.DUMMYFUNCTION("""COMPUTED_VALUE"""),"MOBILECARE - S'MAISON")</f>
        <v>MOBILECARE - S'MAISON</v>
      </c>
      <c r="D1231" s="2" t="str">
        <f>IFERROR(__xludf.DUMMYFUNCTION("""COMPUTED_VALUE"""),"661-13624")</f>
        <v>661-13624</v>
      </c>
      <c r="E1231" s="2" t="str">
        <f>IFERROR(__xludf.DUMMYFUNCTION("""COMPUTED_VALUE"""),"Battery, iPhone 11 Pro Max")</f>
        <v>Battery, iPhone 11 Pro Max</v>
      </c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10" t="str">
        <f t="shared" si="1"/>
        <v>February</v>
      </c>
      <c r="B1232" s="11">
        <f>IFERROR(__xludf.DUMMYFUNCTION("""COMPUTED_VALUE"""),46076.0)</f>
        <v>46076</v>
      </c>
      <c r="C1232" s="2" t="str">
        <f>IFERROR(__xludf.DUMMYFUNCTION("""COMPUTED_VALUE"""),"MOBILECARE - S'MAISON")</f>
        <v>MOBILECARE - S'MAISON</v>
      </c>
      <c r="D1232" s="2" t="str">
        <f>IFERROR(__xludf.DUMMYFUNCTION("""COMPUTED_VALUE"""),"661-30393")</f>
        <v>661-30393</v>
      </c>
      <c r="E1232" s="2" t="str">
        <f>IFERROR(__xludf.DUMMYFUNCTION("""COMPUTED_VALUE"""),"Camera, iPhone 14 Plus")</f>
        <v>Camera, iPhone 14 Plus</v>
      </c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10" t="str">
        <f t="shared" si="1"/>
        <v>February</v>
      </c>
      <c r="B1233" s="11">
        <f>IFERROR(__xludf.DUMMYFUNCTION("""COMPUTED_VALUE"""),46074.0)</f>
        <v>46074</v>
      </c>
      <c r="C1233" s="2" t="str">
        <f>IFERROR(__xludf.DUMMYFUNCTION("""COMPUTED_VALUE"""),"MOBILECARE - S'MAISON")</f>
        <v>MOBILECARE - S'MAISON</v>
      </c>
      <c r="D1233" s="2" t="str">
        <f>IFERROR(__xludf.DUMMYFUNCTION("""COMPUTED_VALUE"""),"661-30401")</f>
        <v>661-30401</v>
      </c>
      <c r="E1233" s="2" t="str">
        <f>IFERROR(__xludf.DUMMYFUNCTION("""COMPUTED_VALUE"""),"Display, iPhone 14 Pro Max")</f>
        <v>Display, iPhone 14 Pro Max</v>
      </c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10" t="str">
        <f t="shared" si="1"/>
        <v>February</v>
      </c>
      <c r="B1234" s="11">
        <f>IFERROR(__xludf.DUMMYFUNCTION("""COMPUTED_VALUE"""),46061.0)</f>
        <v>46061</v>
      </c>
      <c r="C1234" s="2" t="str">
        <f>IFERROR(__xludf.DUMMYFUNCTION("""COMPUTED_VALUE"""),"MOBILECARE - S'MAISON")</f>
        <v>MOBILECARE - S'MAISON</v>
      </c>
      <c r="D1234" s="2" t="str">
        <f>IFERROR(__xludf.DUMMYFUNCTION("""COMPUTED_VALUE"""),"661-36915")</f>
        <v>661-36915</v>
      </c>
      <c r="E1234" s="2" t="str">
        <f>IFERROR(__xludf.DUMMYFUNCTION("""COMPUTED_VALUE"""),"Display, iPhone 15 Pro Max")</f>
        <v>Display, iPhone 15 Pro Max</v>
      </c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10" t="str">
        <f t="shared" si="1"/>
        <v>February</v>
      </c>
      <c r="B1235" s="11">
        <f>IFERROR(__xludf.DUMMYFUNCTION("""COMPUTED_VALUE"""),46058.0)</f>
        <v>46058</v>
      </c>
      <c r="C1235" s="2" t="str">
        <f>IFERROR(__xludf.DUMMYFUNCTION("""COMPUTED_VALUE"""),"MOBILECARE - S'MAISON")</f>
        <v>MOBILECARE - S'MAISON</v>
      </c>
      <c r="D1235" s="2" t="str">
        <f>IFERROR(__xludf.DUMMYFUNCTION("""COMPUTED_VALUE"""),"661-21991")</f>
        <v>661-21991</v>
      </c>
      <c r="E1235" s="2" t="str">
        <f>IFERROR(__xludf.DUMMYFUNCTION("""COMPUTED_VALUE"""),"Battery, iPhone 13")</f>
        <v>Battery, iPhone 13</v>
      </c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10" t="str">
        <f t="shared" si="1"/>
        <v>February</v>
      </c>
      <c r="B1236" s="11">
        <f>IFERROR(__xludf.DUMMYFUNCTION("""COMPUTED_VALUE"""),46072.0)</f>
        <v>46072</v>
      </c>
      <c r="C1236" s="2" t="str">
        <f>IFERROR(__xludf.DUMMYFUNCTION("""COMPUTED_VALUE"""),"MOBILECARE - S'MAISON")</f>
        <v>MOBILECARE - S'MAISON</v>
      </c>
      <c r="D1236" s="2" t="str">
        <f>IFERROR(__xludf.DUMMYFUNCTION("""COMPUTED_VALUE"""),"Z661-55956")</f>
        <v>Z661-55956</v>
      </c>
      <c r="E1236" s="2" t="str">
        <f>IFERROR(__xludf.DUMMYFUNCTION("""COMPUTED_VALUE"""),"Logic Board, 256GB, iPhone 17 Pro Max, ROW")</f>
        <v>Logic Board, 256GB, iPhone 17 Pro Max, ROW</v>
      </c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10" t="str">
        <f t="shared" si="1"/>
        <v>January</v>
      </c>
      <c r="B1237" s="11">
        <f>IFERROR(__xludf.DUMMYFUNCTION("""COMPUTED_VALUE"""),46046.0)</f>
        <v>46046</v>
      </c>
      <c r="C1237" s="2" t="str">
        <f>IFERROR(__xludf.DUMMYFUNCTION("""COMPUTED_VALUE"""),"MOBILECARE - S'MAISON")</f>
        <v>MOBILECARE - S'MAISON</v>
      </c>
      <c r="D1237" s="2" t="str">
        <f>IFERROR(__xludf.DUMMYFUNCTION("""COMPUTED_VALUE"""),"661-21991")</f>
        <v>661-21991</v>
      </c>
      <c r="E1237" s="2" t="str">
        <f>IFERROR(__xludf.DUMMYFUNCTION("""COMPUTED_VALUE"""),"Battery, iPhone 13")</f>
        <v>Battery, iPhone 13</v>
      </c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10" t="str">
        <f t="shared" si="1"/>
        <v>January</v>
      </c>
      <c r="B1238" s="11">
        <f>IFERROR(__xludf.DUMMYFUNCTION("""COMPUTED_VALUE"""),46043.0)</f>
        <v>46043</v>
      </c>
      <c r="C1238" s="2" t="str">
        <f>IFERROR(__xludf.DUMMYFUNCTION("""COMPUTED_VALUE"""),"MOBILECARE - S'MAISON")</f>
        <v>MOBILECARE - S'MAISON</v>
      </c>
      <c r="D1238" s="2" t="str">
        <f>IFERROR(__xludf.DUMMYFUNCTION("""COMPUTED_VALUE"""),"661-37213")</f>
        <v>661-37213</v>
      </c>
      <c r="E1238" s="2" t="str">
        <f>IFERROR(__xludf.DUMMYFUNCTION("""COMPUTED_VALUE"""),"Display, iPhone 15 Plus")</f>
        <v>Display, iPhone 15 Plus</v>
      </c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10" t="str">
        <f t="shared" si="1"/>
        <v>January</v>
      </c>
      <c r="B1239" s="11">
        <f>IFERROR(__xludf.DUMMYFUNCTION("""COMPUTED_VALUE"""),46042.0)</f>
        <v>46042</v>
      </c>
      <c r="C1239" s="2" t="str">
        <f>IFERROR(__xludf.DUMMYFUNCTION("""COMPUTED_VALUE"""),"MOBILECARE - S'MAISON")</f>
        <v>MOBILECARE - S'MAISON</v>
      </c>
      <c r="D1239" s="2" t="str">
        <f>IFERROR(__xludf.DUMMYFUNCTION("""COMPUTED_VALUE"""),"661-21991")</f>
        <v>661-21991</v>
      </c>
      <c r="E1239" s="2" t="str">
        <f>IFERROR(__xludf.DUMMYFUNCTION("""COMPUTED_VALUE"""),"Battery, iPhone 13")</f>
        <v>Battery, iPhone 13</v>
      </c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10" t="str">
        <f t="shared" si="1"/>
        <v>April</v>
      </c>
      <c r="B1240" s="11">
        <f>IFERROR(__xludf.DUMMYFUNCTION("""COMPUTED_VALUE"""),46121.0)</f>
        <v>46121</v>
      </c>
      <c r="C1240" s="2" t="str">
        <f>IFERROR(__xludf.DUMMYFUNCTION("""COMPUTED_VALUE"""),"MOBILECARE - S'MAISON")</f>
        <v>MOBILECARE - S'MAISON</v>
      </c>
      <c r="D1240" s="2" t="str">
        <f>IFERROR(__xludf.DUMMYFUNCTION("""COMPUTED_VALUE"""),"661-25890")</f>
        <v>661-25890</v>
      </c>
      <c r="E1240" s="2" t="str">
        <f>IFERROR(__xludf.DUMMYFUNCTION("""COMPUTED_VALUE"""),"Battery, iPhone SE 3rd generation")</f>
        <v>Battery, iPhone SE 3rd generation</v>
      </c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10" t="str">
        <f t="shared" si="1"/>
        <v>February</v>
      </c>
      <c r="B1241" s="11">
        <f>IFERROR(__xludf.DUMMYFUNCTION("""COMPUTED_VALUE"""),46076.0)</f>
        <v>46076</v>
      </c>
      <c r="C1241" s="2" t="str">
        <f>IFERROR(__xludf.DUMMYFUNCTION("""COMPUTED_VALUE"""),"MOBILECARE - S'MAISON")</f>
        <v>MOBILECARE - S'MAISON</v>
      </c>
      <c r="D1241" s="2" t="str">
        <f>IFERROR(__xludf.DUMMYFUNCTION("""COMPUTED_VALUE"""),"661-13569")</f>
        <v>661-13569</v>
      </c>
      <c r="E1241" s="2" t="str">
        <f>IFERROR(__xludf.DUMMYFUNCTION("""COMPUTED_VALUE"""),"Battery, iPhone 11 Pro")</f>
        <v>Battery, iPhone 11 Pro</v>
      </c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10" t="str">
        <f t="shared" si="1"/>
        <v>February</v>
      </c>
      <c r="B1242" s="11">
        <f>IFERROR(__xludf.DUMMYFUNCTION("""COMPUTED_VALUE"""),46073.0)</f>
        <v>46073</v>
      </c>
      <c r="C1242" s="2" t="str">
        <f>IFERROR(__xludf.DUMMYFUNCTION("""COMPUTED_VALUE"""),"MOBILECARE - S'MAISON")</f>
        <v>MOBILECARE - S'MAISON</v>
      </c>
      <c r="D1242" s="2" t="str">
        <f>IFERROR(__xludf.DUMMYFUNCTION("""COMPUTED_VALUE"""),"661-44955")</f>
        <v>661-44955</v>
      </c>
      <c r="E1242" s="2" t="str">
        <f>IFERROR(__xludf.DUMMYFUNCTION("""COMPUTED_VALUE"""),"Display, iPhone 16 Pro Max")</f>
        <v>Display, iPhone 16 Pro Max</v>
      </c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10" t="str">
        <f t="shared" si="1"/>
        <v>February</v>
      </c>
      <c r="B1243" s="11">
        <f>IFERROR(__xludf.DUMMYFUNCTION("""COMPUTED_VALUE"""),46074.0)</f>
        <v>46074</v>
      </c>
      <c r="C1243" s="2" t="str">
        <f>IFERROR(__xludf.DUMMYFUNCTION("""COMPUTED_VALUE"""),"MOBILECARE - S'MAISON")</f>
        <v>MOBILECARE - S'MAISON</v>
      </c>
      <c r="D1243" s="2" t="str">
        <f>IFERROR(__xludf.DUMMYFUNCTION("""COMPUTED_VALUE"""),"661-17920")</f>
        <v>661-17920</v>
      </c>
      <c r="E1243" s="2" t="str">
        <f>IFERROR(__xludf.DUMMYFUNCTION("""COMPUTED_VALUE"""),"Battery, iPhone 12 and 12 Pro")</f>
        <v>Battery, iPhone 12 and 12 Pro</v>
      </c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10" t="str">
        <f t="shared" si="1"/>
        <v>February</v>
      </c>
      <c r="B1244" s="11">
        <f>IFERROR(__xludf.DUMMYFUNCTION("""COMPUTED_VALUE"""),46067.0)</f>
        <v>46067</v>
      </c>
      <c r="C1244" s="2" t="str">
        <f>IFERROR(__xludf.DUMMYFUNCTION("""COMPUTED_VALUE"""),"MOBILECARE - S'MAISON")</f>
        <v>MOBILECARE - S'MAISON</v>
      </c>
      <c r="D1244" s="2" t="str">
        <f>IFERROR(__xludf.DUMMYFUNCTION("""COMPUTED_VALUE"""),"661-22294")</f>
        <v>661-22294</v>
      </c>
      <c r="E1244" s="2" t="str">
        <f>IFERROR(__xludf.DUMMYFUNCTION("""COMPUTED_VALUE"""),"Battery, iPhone 13 Pro Max")</f>
        <v>Battery, iPhone 13 Pro Max</v>
      </c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10" t="str">
        <f t="shared" si="1"/>
        <v>January</v>
      </c>
      <c r="B1245" s="11">
        <f>IFERROR(__xludf.DUMMYFUNCTION("""COMPUTED_VALUE"""),46053.0)</f>
        <v>46053</v>
      </c>
      <c r="C1245" s="2" t="str">
        <f>IFERROR(__xludf.DUMMYFUNCTION("""COMPUTED_VALUE"""),"MOBILECARE - S'MAISON")</f>
        <v>MOBILECARE - S'MAISON</v>
      </c>
      <c r="D1245" s="2" t="str">
        <f>IFERROR(__xludf.DUMMYFUNCTION("""COMPUTED_VALUE"""),"661-21991")</f>
        <v>661-21991</v>
      </c>
      <c r="E1245" s="2" t="str">
        <f>IFERROR(__xludf.DUMMYFUNCTION("""COMPUTED_VALUE"""),"Battery, iPhone 13")</f>
        <v>Battery, iPhone 13</v>
      </c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10" t="str">
        <f t="shared" si="1"/>
        <v>June</v>
      </c>
      <c r="B1246" s="11">
        <f>IFERROR(__xludf.DUMMYFUNCTION("""COMPUTED_VALUE"""),46188.0)</f>
        <v>46188</v>
      </c>
      <c r="C1246" s="2" t="str">
        <f>IFERROR(__xludf.DUMMYFUNCTION("""COMPUTED_VALUE"""),"MOBILECARE - S'MAISON")</f>
        <v>MOBILECARE - S'MAISON</v>
      </c>
      <c r="D1246" s="2" t="str">
        <f>IFERROR(__xludf.DUMMYFUNCTION("""COMPUTED_VALUE"""),"661-37207")</f>
        <v>661-37207</v>
      </c>
      <c r="E1246" s="2" t="str">
        <f>IFERROR(__xludf.DUMMYFUNCTION("""COMPUTED_VALUE"""),"Battery, iPhone 15 Plus")</f>
        <v>Battery, iPhone 15 Plus</v>
      </c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10" t="str">
        <f t="shared" si="1"/>
        <v>June</v>
      </c>
      <c r="B1247" s="11">
        <f>IFERROR(__xludf.DUMMYFUNCTION("""COMPUTED_VALUE"""),46179.0)</f>
        <v>46179</v>
      </c>
      <c r="C1247" s="2" t="str">
        <f>IFERROR(__xludf.DUMMYFUNCTION("""COMPUTED_VALUE"""),"MOBILECARE - S'MAISON")</f>
        <v>MOBILECARE - S'MAISON</v>
      </c>
      <c r="D1247" s="2" t="str">
        <f>IFERROR(__xludf.DUMMYFUNCTION("""COMPUTED_VALUE"""),"661-22374")</f>
        <v>661-22374</v>
      </c>
      <c r="E1247" s="2" t="str">
        <f>IFERROR(__xludf.DUMMYFUNCTION("""COMPUTED_VALUE"""),"Battery, iPhone 13 mini")</f>
        <v>Battery, iPhone 13 mini</v>
      </c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10" t="str">
        <f t="shared" si="1"/>
        <v>April</v>
      </c>
      <c r="B1248" s="11">
        <f>IFERROR(__xludf.DUMMYFUNCTION("""COMPUTED_VALUE"""),46136.0)</f>
        <v>46136</v>
      </c>
      <c r="C1248" s="2" t="str">
        <f>IFERROR(__xludf.DUMMYFUNCTION("""COMPUTED_VALUE"""),"MOBILECARE - S'MAISON")</f>
        <v>MOBILECARE - S'MAISON</v>
      </c>
      <c r="D1248" s="2" t="str">
        <f>IFERROR(__xludf.DUMMYFUNCTION("""COMPUTED_VALUE"""),"661-56050")</f>
        <v>661-56050</v>
      </c>
      <c r="E1248" s="2" t="str">
        <f>IFERROR(__xludf.DUMMYFUNCTION("""COMPUTED_VALUE"""),"Display, iPhone 17 Pro Max")</f>
        <v>Display, iPhone 17 Pro Max</v>
      </c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10" t="str">
        <f t="shared" si="1"/>
        <v>June</v>
      </c>
      <c r="B1249" s="11">
        <f>IFERROR(__xludf.DUMMYFUNCTION("""COMPUTED_VALUE"""),46180.0)</f>
        <v>46180</v>
      </c>
      <c r="C1249" s="2" t="str">
        <f>IFERROR(__xludf.DUMMYFUNCTION("""COMPUTED_VALUE"""),"MOBILECARE - S'MAISON")</f>
        <v>MOBILECARE - S'MAISON</v>
      </c>
      <c r="D1249" s="2" t="str">
        <f>IFERROR(__xludf.DUMMYFUNCTION("""COMPUTED_VALUE"""),"661-10850")</f>
        <v>661-10850</v>
      </c>
      <c r="E1249" s="2" t="str">
        <f>IFERROR(__xludf.DUMMYFUNCTION("""COMPUTED_VALUE"""),"Battery, iPhone XR")</f>
        <v>Battery, iPhone XR</v>
      </c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10" t="str">
        <f t="shared" si="1"/>
        <v>June</v>
      </c>
      <c r="B1250" s="11">
        <f>IFERROR(__xludf.DUMMYFUNCTION("""COMPUTED_VALUE"""),46180.0)</f>
        <v>46180</v>
      </c>
      <c r="C1250" s="2" t="str">
        <f>IFERROR(__xludf.DUMMYFUNCTION("""COMPUTED_VALUE"""),"MOBILECARE - S'MAISON")</f>
        <v>MOBILECARE - S'MAISON</v>
      </c>
      <c r="D1250" s="2" t="str">
        <f>IFERROR(__xludf.DUMMYFUNCTION("""COMPUTED_VALUE"""),"923-02609")</f>
        <v>923-02609</v>
      </c>
      <c r="E1250" s="2" t="str">
        <f>IFERROR(__xludf.DUMMYFUNCTION("""COMPUTED_VALUE"""),"Speaker, iPhone XR")</f>
        <v>Speaker, iPhone XR</v>
      </c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10" t="str">
        <f t="shared" si="1"/>
        <v>April</v>
      </c>
      <c r="B1251" s="11">
        <f>IFERROR(__xludf.DUMMYFUNCTION("""COMPUTED_VALUE"""),46132.0)</f>
        <v>46132</v>
      </c>
      <c r="C1251" s="2" t="str">
        <f>IFERROR(__xludf.DUMMYFUNCTION("""COMPUTED_VALUE"""),"MOBILECARE - S'MAISON")</f>
        <v>MOBILECARE - S'MAISON</v>
      </c>
      <c r="D1251" s="2" t="str">
        <f>IFERROR(__xludf.DUMMYFUNCTION("""COMPUTED_VALUE"""),"Z661-56015")</f>
        <v>Z661-56015</v>
      </c>
      <c r="E1251" s="2" t="str">
        <f>IFERROR(__xludf.DUMMYFUNCTION("""COMPUTED_VALUE"""),"Logic Board, 256GB, iPhone 17, ROW")</f>
        <v>Logic Board, 256GB, iPhone 17, ROW</v>
      </c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10" t="str">
        <f t="shared" si="1"/>
        <v>March</v>
      </c>
      <c r="B1252" s="11">
        <f>IFERROR(__xludf.DUMMYFUNCTION("""COMPUTED_VALUE"""),46100.0)</f>
        <v>46100</v>
      </c>
      <c r="C1252" s="2" t="str">
        <f>IFERROR(__xludf.DUMMYFUNCTION("""COMPUTED_VALUE"""),"MOBILECARE - S'MAISON")</f>
        <v>MOBILECARE - S'MAISON</v>
      </c>
      <c r="D1252" s="2" t="str">
        <f>IFERROR(__xludf.DUMMYFUNCTION("""COMPUTED_VALUE"""),"661-17920")</f>
        <v>661-17920</v>
      </c>
      <c r="E1252" s="2" t="str">
        <f>IFERROR(__xludf.DUMMYFUNCTION("""COMPUTED_VALUE"""),"Battery, iPhone 12 and 12 Pro")</f>
        <v>Battery, iPhone 12 and 12 Pro</v>
      </c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10" t="str">
        <f t="shared" si="1"/>
        <v>March</v>
      </c>
      <c r="B1253" s="11">
        <f>IFERROR(__xludf.DUMMYFUNCTION("""COMPUTED_VALUE"""),46091.0)</f>
        <v>46091</v>
      </c>
      <c r="C1253" s="2" t="str">
        <f>IFERROR(__xludf.DUMMYFUNCTION("""COMPUTED_VALUE"""),"MOBILECARE - S'MAISON")</f>
        <v>MOBILECARE - S'MAISON</v>
      </c>
      <c r="D1253" s="2" t="str">
        <f>IFERROR(__xludf.DUMMYFUNCTION("""COMPUTED_VALUE"""),"661-21991")</f>
        <v>661-21991</v>
      </c>
      <c r="E1253" s="2" t="str">
        <f>IFERROR(__xludf.DUMMYFUNCTION("""COMPUTED_VALUE"""),"Battery, iPhone 13")</f>
        <v>Battery, iPhone 13</v>
      </c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10" t="str">
        <f t="shared" si="1"/>
        <v>March</v>
      </c>
      <c r="B1254" s="11">
        <f>IFERROR(__xludf.DUMMYFUNCTION("""COMPUTED_VALUE"""),46088.0)</f>
        <v>46088</v>
      </c>
      <c r="C1254" s="2" t="str">
        <f>IFERROR(__xludf.DUMMYFUNCTION("""COMPUTED_VALUE"""),"MOBILECARE - S'MAISON")</f>
        <v>MOBILECARE - S'MAISON</v>
      </c>
      <c r="D1254" s="2" t="str">
        <f>IFERROR(__xludf.DUMMYFUNCTION("""COMPUTED_VALUE"""),"661-30393")</f>
        <v>661-30393</v>
      </c>
      <c r="E1254" s="2" t="str">
        <f>IFERROR(__xludf.DUMMYFUNCTION("""COMPUTED_VALUE"""),"Camera, iPhone 14 Plus")</f>
        <v>Camera, iPhone 14 Plus</v>
      </c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10" t="str">
        <f t="shared" si="1"/>
        <v>February</v>
      </c>
      <c r="B1255" s="11">
        <f>IFERROR(__xludf.DUMMYFUNCTION("""COMPUTED_VALUE"""),46071.0)</f>
        <v>46071</v>
      </c>
      <c r="C1255" s="2" t="str">
        <f>IFERROR(__xludf.DUMMYFUNCTION("""COMPUTED_VALUE"""),"MOBILECARE - S'MAISON")</f>
        <v>MOBILECARE - S'MAISON</v>
      </c>
      <c r="D1255" s="2" t="str">
        <f>IFERROR(__xludf.DUMMYFUNCTION("""COMPUTED_VALUE"""),"TA661-36895")</f>
        <v>TA661-36895</v>
      </c>
      <c r="E1255" s="2" t="str">
        <f>IFERROR(__xludf.DUMMYFUNCTION("""COMPUTED_VALUE"""),"White, iPhone 15 Pro Max, 256GB, ROW, CI/AR, Taiwan")</f>
        <v>White, iPhone 15 Pro Max, 256GB, ROW, CI/AR, Taiwan</v>
      </c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10" t="str">
        <f t="shared" si="1"/>
        <v>February</v>
      </c>
      <c r="B1256" s="11">
        <f>IFERROR(__xludf.DUMMYFUNCTION("""COMPUTED_VALUE"""),46066.0)</f>
        <v>46066</v>
      </c>
      <c r="C1256" s="2" t="str">
        <f>IFERROR(__xludf.DUMMYFUNCTION("""COMPUTED_VALUE"""),"MOBILECARE - S'MAISON")</f>
        <v>MOBILECARE - S'MAISON</v>
      </c>
      <c r="D1256" s="2" t="str">
        <f>IFERROR(__xludf.DUMMYFUNCTION("""COMPUTED_VALUE"""),"661-56065")</f>
        <v>661-56065</v>
      </c>
      <c r="E1256" s="2" t="str">
        <f>IFERROR(__xludf.DUMMYFUNCTION("""COMPUTED_VALUE"""),"Display, iPhone 17")</f>
        <v>Display, iPhone 17</v>
      </c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10" t="str">
        <f t="shared" si="1"/>
        <v>February</v>
      </c>
      <c r="B1257" s="11">
        <f>IFERROR(__xludf.DUMMYFUNCTION("""COMPUTED_VALUE"""),46062.0)</f>
        <v>46062</v>
      </c>
      <c r="C1257" s="2" t="str">
        <f>IFERROR(__xludf.DUMMYFUNCTION("""COMPUTED_VALUE"""),"MOBILECARE - S'MAISON")</f>
        <v>MOBILECARE - S'MAISON</v>
      </c>
      <c r="D1257" s="2" t="str">
        <f>IFERROR(__xludf.DUMMYFUNCTION("""COMPUTED_VALUE"""),"661-35694")</f>
        <v>661-35694</v>
      </c>
      <c r="E1257" s="2" t="str">
        <f>IFERROR(__xludf.DUMMYFUNCTION("""COMPUTED_VALUE"""),"Battery, iPhone 15 Pro")</f>
        <v>Battery, iPhone 15 Pro</v>
      </c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10" t="str">
        <f t="shared" si="1"/>
        <v>February</v>
      </c>
      <c r="B1258" s="11">
        <f>IFERROR(__xludf.DUMMYFUNCTION("""COMPUTED_VALUE"""),46057.0)</f>
        <v>46057</v>
      </c>
      <c r="C1258" s="2" t="str">
        <f>IFERROR(__xludf.DUMMYFUNCTION("""COMPUTED_VALUE"""),"MOBILECARE - S'MAISON")</f>
        <v>MOBILECARE - S'MAISON</v>
      </c>
      <c r="D1258" s="2" t="str">
        <f>IFERROR(__xludf.DUMMYFUNCTION("""COMPUTED_VALUE"""),"661-17920")</f>
        <v>661-17920</v>
      </c>
      <c r="E1258" s="2" t="str">
        <f>IFERROR(__xludf.DUMMYFUNCTION("""COMPUTED_VALUE"""),"Battery, iPhone 12 and 12 Pro")</f>
        <v>Battery, iPhone 12 and 12 Pro</v>
      </c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10" t="str">
        <f t="shared" si="1"/>
        <v>January</v>
      </c>
      <c r="B1259" s="11">
        <f>IFERROR(__xludf.DUMMYFUNCTION("""COMPUTED_VALUE"""),46047.0)</f>
        <v>46047</v>
      </c>
      <c r="C1259" s="2" t="str">
        <f>IFERROR(__xludf.DUMMYFUNCTION("""COMPUTED_VALUE"""),"MOBILECARE - S'MAISON")</f>
        <v>MOBILECARE - S'MAISON</v>
      </c>
      <c r="D1259" s="2" t="str">
        <f>IFERROR(__xludf.DUMMYFUNCTION("""COMPUTED_VALUE"""),"661-21991")</f>
        <v>661-21991</v>
      </c>
      <c r="E1259" s="2" t="str">
        <f>IFERROR(__xludf.DUMMYFUNCTION("""COMPUTED_VALUE"""),"Battery, iPhone 13")</f>
        <v>Battery, iPhone 13</v>
      </c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10" t="str">
        <f t="shared" si="1"/>
        <v>January</v>
      </c>
      <c r="B1260" s="11">
        <f>IFERROR(__xludf.DUMMYFUNCTION("""COMPUTED_VALUE"""),46044.0)</f>
        <v>46044</v>
      </c>
      <c r="C1260" s="2" t="str">
        <f>IFERROR(__xludf.DUMMYFUNCTION("""COMPUTED_VALUE"""),"MOBILECARE - S'MAISON")</f>
        <v>MOBILECARE - S'MAISON</v>
      </c>
      <c r="D1260" s="2" t="str">
        <f>IFERROR(__xludf.DUMMYFUNCTION("""COMPUTED_VALUE"""),"661-21991")</f>
        <v>661-21991</v>
      </c>
      <c r="E1260" s="2" t="str">
        <f>IFERROR(__xludf.DUMMYFUNCTION("""COMPUTED_VALUE"""),"Battery, iPhone 13")</f>
        <v>Battery, iPhone 13</v>
      </c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10" t="str">
        <f t="shared" si="1"/>
        <v>May</v>
      </c>
      <c r="B1261" s="11">
        <f>IFERROR(__xludf.DUMMYFUNCTION("""COMPUTED_VALUE"""),46165.0)</f>
        <v>46165</v>
      </c>
      <c r="C1261" s="2" t="str">
        <f>IFERROR(__xludf.DUMMYFUNCTION("""COMPUTED_VALUE"""),"MOBILECARE - S'MAISON")</f>
        <v>MOBILECARE - S'MAISON</v>
      </c>
      <c r="D1261" s="2" t="str">
        <f>IFERROR(__xludf.DUMMYFUNCTION("""COMPUTED_VALUE"""),"661-21988")</f>
        <v>661-21988</v>
      </c>
      <c r="E1261" s="2" t="str">
        <f>IFERROR(__xludf.DUMMYFUNCTION("""COMPUTED_VALUE"""),"Display, iPhone 13")</f>
        <v>Display, iPhone 13</v>
      </c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10" t="str">
        <f t="shared" si="1"/>
        <v>May</v>
      </c>
      <c r="B1262" s="11">
        <f>IFERROR(__xludf.DUMMYFUNCTION("""COMPUTED_VALUE"""),46170.0)</f>
        <v>46170</v>
      </c>
      <c r="C1262" s="2" t="str">
        <f>IFERROR(__xludf.DUMMYFUNCTION("""COMPUTED_VALUE"""),"MOBILECARE - S'MAISON")</f>
        <v>MOBILECARE - S'MAISON</v>
      </c>
      <c r="D1262" s="2" t="str">
        <f>IFERROR(__xludf.DUMMYFUNCTION("""COMPUTED_VALUE"""),"661-22293")</f>
        <v>661-22293</v>
      </c>
      <c r="E1262" s="2" t="str">
        <f>IFERROR(__xludf.DUMMYFUNCTION("""COMPUTED_VALUE"""),"Camera, iPhone 13 Pro and 13 Pro Max")</f>
        <v>Camera, iPhone 13 Pro and 13 Pro Max</v>
      </c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10" t="str">
        <f t="shared" si="1"/>
        <v>May</v>
      </c>
      <c r="B1263" s="11">
        <f>IFERROR(__xludf.DUMMYFUNCTION("""COMPUTED_VALUE"""),46170.0)</f>
        <v>46170</v>
      </c>
      <c r="C1263" s="2" t="str">
        <f>IFERROR(__xludf.DUMMYFUNCTION("""COMPUTED_VALUE"""),"MOBILECARE - S'MAISON")</f>
        <v>MOBILECARE - S'MAISON</v>
      </c>
      <c r="D1263" s="2" t="str">
        <f>IFERROR(__xludf.DUMMYFUNCTION("""COMPUTED_VALUE"""),"661-21996")</f>
        <v>661-21996</v>
      </c>
      <c r="E1263" s="2" t="str">
        <f>IFERROR(__xludf.DUMMYFUNCTION("""COMPUTED_VALUE"""),"Battery, iPhone 13 Pro")</f>
        <v>Battery, iPhone 13 Pro</v>
      </c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10" t="str">
        <f t="shared" si="1"/>
        <v>May</v>
      </c>
      <c r="B1264" s="11">
        <f>IFERROR(__xludf.DUMMYFUNCTION("""COMPUTED_VALUE"""),46151.0)</f>
        <v>46151</v>
      </c>
      <c r="C1264" s="2" t="str">
        <f>IFERROR(__xludf.DUMMYFUNCTION("""COMPUTED_VALUE"""),"MOBILECARE - S'MAISON")</f>
        <v>MOBILECARE - S'MAISON</v>
      </c>
      <c r="D1264" s="2" t="str">
        <f>IFERROR(__xludf.DUMMYFUNCTION("""COMPUTED_VALUE"""),"661-21991")</f>
        <v>661-21991</v>
      </c>
      <c r="E1264" s="2" t="str">
        <f>IFERROR(__xludf.DUMMYFUNCTION("""COMPUTED_VALUE"""),"Battery, iPhone 13")</f>
        <v>Battery, iPhone 13</v>
      </c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10" t="str">
        <f t="shared" si="1"/>
        <v>April</v>
      </c>
      <c r="B1265" s="11">
        <f>IFERROR(__xludf.DUMMYFUNCTION("""COMPUTED_VALUE"""),46140.0)</f>
        <v>46140</v>
      </c>
      <c r="C1265" s="2" t="str">
        <f>IFERROR(__xludf.DUMMYFUNCTION("""COMPUTED_VALUE"""),"MOBILECARE - S'MAISON")</f>
        <v>MOBILECARE - S'MAISON</v>
      </c>
      <c r="D1265" s="2" t="str">
        <f>IFERROR(__xludf.DUMMYFUNCTION("""COMPUTED_VALUE"""),"661-21996")</f>
        <v>661-21996</v>
      </c>
      <c r="E1265" s="2" t="str">
        <f>IFERROR(__xludf.DUMMYFUNCTION("""COMPUTED_VALUE"""),"Battery, iPhone 13 Pro")</f>
        <v>Battery, iPhone 13 Pro</v>
      </c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10" t="str">
        <f t="shared" si="1"/>
        <v>March</v>
      </c>
      <c r="B1266" s="11">
        <f>IFERROR(__xludf.DUMMYFUNCTION("""COMPUTED_VALUE"""),46089.0)</f>
        <v>46089</v>
      </c>
      <c r="C1266" s="2" t="str">
        <f>IFERROR(__xludf.DUMMYFUNCTION("""COMPUTED_VALUE"""),"MOBILECARE - S'MAISON")</f>
        <v>MOBILECARE - S'MAISON</v>
      </c>
      <c r="D1266" s="2" t="str">
        <f>IFERROR(__xludf.DUMMYFUNCTION("""COMPUTED_VALUE"""),"661-30390")</f>
        <v>661-30390</v>
      </c>
      <c r="E1266" s="2" t="str">
        <f>IFERROR(__xludf.DUMMYFUNCTION("""COMPUTED_VALUE"""),"Display, iPhone 14 Plus")</f>
        <v>Display, iPhone 14 Plus</v>
      </c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10" t="str">
        <f t="shared" si="1"/>
        <v>March</v>
      </c>
      <c r="B1267" s="11">
        <f>IFERROR(__xludf.DUMMYFUNCTION("""COMPUTED_VALUE"""),46109.0)</f>
        <v>46109</v>
      </c>
      <c r="C1267" s="2" t="str">
        <f>IFERROR(__xludf.DUMMYFUNCTION("""COMPUTED_VALUE"""),"MOBILECARE - S'MAISON")</f>
        <v>MOBILECARE - S'MAISON</v>
      </c>
      <c r="D1267" s="2" t="str">
        <f>IFERROR(__xludf.DUMMYFUNCTION("""COMPUTED_VALUE"""),"TA661-44050")</f>
        <v>TA661-44050</v>
      </c>
      <c r="E1267" s="2" t="str">
        <f>IFERROR(__xludf.DUMMYFUNCTION("""COMPUTED_VALUE"""),"128GB, Black, ROW, iPhone 16 Plus, CI/AR")</f>
        <v>128GB, Black, ROW, iPhone 16 Plus, CI/AR</v>
      </c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10" t="str">
        <f t="shared" si="1"/>
        <v>April</v>
      </c>
      <c r="B1268" s="11">
        <f>IFERROR(__xludf.DUMMYFUNCTION("""COMPUTED_VALUE"""),46136.0)</f>
        <v>46136</v>
      </c>
      <c r="C1268" s="2" t="str">
        <f>IFERROR(__xludf.DUMMYFUNCTION("""COMPUTED_VALUE"""),"MOBILECARE - S'MAISON")</f>
        <v>MOBILECARE - S'MAISON</v>
      </c>
      <c r="D1268" s="2" t="str">
        <f>IFERROR(__xludf.DUMMYFUNCTION("""COMPUTED_VALUE"""),"661-36915")</f>
        <v>661-36915</v>
      </c>
      <c r="E1268" s="2" t="str">
        <f>IFERROR(__xludf.DUMMYFUNCTION("""COMPUTED_VALUE"""),"Display, iPhone 15 Pro Max")</f>
        <v>Display, iPhone 15 Pro Max</v>
      </c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10" t="str">
        <f t="shared" si="1"/>
        <v>April</v>
      </c>
      <c r="B1269" s="11">
        <f>IFERROR(__xludf.DUMMYFUNCTION("""COMPUTED_VALUE"""),46136.0)</f>
        <v>46136</v>
      </c>
      <c r="C1269" s="2" t="str">
        <f>IFERROR(__xludf.DUMMYFUNCTION("""COMPUTED_VALUE"""),"MOBILECARE - S'MAISON")</f>
        <v>MOBILECARE - S'MAISON</v>
      </c>
      <c r="D1269" s="2" t="str">
        <f>IFERROR(__xludf.DUMMYFUNCTION("""COMPUTED_VALUE"""),"661-36915")</f>
        <v>661-36915</v>
      </c>
      <c r="E1269" s="2" t="str">
        <f>IFERROR(__xludf.DUMMYFUNCTION("""COMPUTED_VALUE"""),"Display, iPhone 15 Pro Max")</f>
        <v>Display, iPhone 15 Pro Max</v>
      </c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10" t="str">
        <f t="shared" si="1"/>
        <v>April</v>
      </c>
      <c r="B1270" s="11">
        <f>IFERROR(__xludf.DUMMYFUNCTION("""COMPUTED_VALUE"""),46136.0)</f>
        <v>46136</v>
      </c>
      <c r="C1270" s="2" t="str">
        <f>IFERROR(__xludf.DUMMYFUNCTION("""COMPUTED_VALUE"""),"MOBILECARE - S'MAISON")</f>
        <v>MOBILECARE - S'MAISON</v>
      </c>
      <c r="D1270" s="2" t="str">
        <f>IFERROR(__xludf.DUMMYFUNCTION("""COMPUTED_VALUE"""),"TA661-36897")</f>
        <v>TA661-36897</v>
      </c>
      <c r="E1270" s="2" t="str">
        <f>IFERROR(__xludf.DUMMYFUNCTION("""COMPUTED_VALUE"""),"Blue, iPhone 15 Pro Max, 256GB, ROW, CI/AR, Taiwan")</f>
        <v>Blue, iPhone 15 Pro Max, 256GB, ROW, CI/AR, Taiwan</v>
      </c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10" t="str">
        <f t="shared" si="1"/>
        <v>February</v>
      </c>
      <c r="B1271" s="11">
        <f>IFERROR(__xludf.DUMMYFUNCTION("""COMPUTED_VALUE"""),46081.0)</f>
        <v>46081</v>
      </c>
      <c r="C1271" s="2" t="str">
        <f>IFERROR(__xludf.DUMMYFUNCTION("""COMPUTED_VALUE"""),"MOBILECARE - S'MAISON")</f>
        <v>MOBILECARE - S'MAISON</v>
      </c>
      <c r="D1271" s="2" t="str">
        <f>IFERROR(__xludf.DUMMYFUNCTION("""COMPUTED_VALUE"""),"661-21991")</f>
        <v>661-21991</v>
      </c>
      <c r="E1271" s="2" t="str">
        <f>IFERROR(__xludf.DUMMYFUNCTION("""COMPUTED_VALUE"""),"Battery, iPhone 13")</f>
        <v>Battery, iPhone 13</v>
      </c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10" t="str">
        <f t="shared" si="1"/>
        <v>March</v>
      </c>
      <c r="B1272" s="11">
        <f>IFERROR(__xludf.DUMMYFUNCTION("""COMPUTED_VALUE"""),46088.0)</f>
        <v>46088</v>
      </c>
      <c r="C1272" s="2" t="str">
        <f>IFERROR(__xludf.DUMMYFUNCTION("""COMPUTED_VALUE"""),"MOBILECARE - S'MAISON")</f>
        <v>MOBILECARE - S'MAISON</v>
      </c>
      <c r="D1272" s="2" t="str">
        <f>IFERROR(__xludf.DUMMYFUNCTION("""COMPUTED_VALUE"""),"661-42726")</f>
        <v>661-42726</v>
      </c>
      <c r="E1272" s="2" t="str">
        <f>IFERROR(__xludf.DUMMYFUNCTION("""COMPUTED_VALUE"""),"Display, iPhone 16 Pro")</f>
        <v>Display, iPhone 16 Pro</v>
      </c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10" t="str">
        <f t="shared" si="1"/>
        <v>March</v>
      </c>
      <c r="B1273" s="11">
        <f>IFERROR(__xludf.DUMMYFUNCTION("""COMPUTED_VALUE"""),46084.0)</f>
        <v>46084</v>
      </c>
      <c r="C1273" s="2" t="str">
        <f>IFERROR(__xludf.DUMMYFUNCTION("""COMPUTED_VALUE"""),"MOBILECARE - S'MAISON")</f>
        <v>MOBILECARE - S'MAISON</v>
      </c>
      <c r="D1273" s="2" t="str">
        <f>IFERROR(__xludf.DUMMYFUNCTION("""COMPUTED_VALUE"""),"661-25890")</f>
        <v>661-25890</v>
      </c>
      <c r="E1273" s="2" t="str">
        <f>IFERROR(__xludf.DUMMYFUNCTION("""COMPUTED_VALUE"""),"Battery, iPhone SE 3rd generation")</f>
        <v>Battery, iPhone SE 3rd generation</v>
      </c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10" t="str">
        <f t="shared" si="1"/>
        <v>February</v>
      </c>
      <c r="B1274" s="11">
        <f>IFERROR(__xludf.DUMMYFUNCTION("""COMPUTED_VALUE"""),46072.0)</f>
        <v>46072</v>
      </c>
      <c r="C1274" s="2" t="str">
        <f>IFERROR(__xludf.DUMMYFUNCTION("""COMPUTED_VALUE"""),"MOBILECARE - S'MAISON")</f>
        <v>MOBILECARE - S'MAISON</v>
      </c>
      <c r="D1274" s="2" t="str">
        <f>IFERROR(__xludf.DUMMYFUNCTION("""COMPUTED_VALUE"""),"661-21996")</f>
        <v>661-21996</v>
      </c>
      <c r="E1274" s="2" t="str">
        <f>IFERROR(__xludf.DUMMYFUNCTION("""COMPUTED_VALUE"""),"Battery, iPhone 13 Pro")</f>
        <v>Battery, iPhone 13 Pro</v>
      </c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10" t="str">
        <f t="shared" si="1"/>
        <v>February</v>
      </c>
      <c r="B1275" s="11">
        <f>IFERROR(__xludf.DUMMYFUNCTION("""COMPUTED_VALUE"""),46078.0)</f>
        <v>46078</v>
      </c>
      <c r="C1275" s="2" t="str">
        <f>IFERROR(__xludf.DUMMYFUNCTION("""COMPUTED_VALUE"""),"MOBILECARE - S'MAISON")</f>
        <v>MOBILECARE - S'MAISON</v>
      </c>
      <c r="D1275" s="2" t="str">
        <f>IFERROR(__xludf.DUMMYFUNCTION("""COMPUTED_VALUE"""),"Z661-56015")</f>
        <v>Z661-56015</v>
      </c>
      <c r="E1275" s="2" t="str">
        <f>IFERROR(__xludf.DUMMYFUNCTION("""COMPUTED_VALUE"""),"Logic Board, 256GB, iPhone 17, ROW")</f>
        <v>Logic Board, 256GB, iPhone 17, ROW</v>
      </c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10" t="str">
        <f t="shared" si="1"/>
        <v>February</v>
      </c>
      <c r="B1276" s="11">
        <f>IFERROR(__xludf.DUMMYFUNCTION("""COMPUTED_VALUE"""),46067.0)</f>
        <v>46067</v>
      </c>
      <c r="C1276" s="2" t="str">
        <f>IFERROR(__xludf.DUMMYFUNCTION("""COMPUTED_VALUE"""),"MOBILECARE - S'MAISON")</f>
        <v>MOBILECARE - S'MAISON</v>
      </c>
      <c r="D1276" s="2" t="str">
        <f>IFERROR(__xludf.DUMMYFUNCTION("""COMPUTED_VALUE"""),"661-30397")</f>
        <v>661-30397</v>
      </c>
      <c r="E1276" s="2" t="str">
        <f>IFERROR(__xludf.DUMMYFUNCTION("""COMPUTED_VALUE"""),"Battery, iPhone 14 Pro Max")</f>
        <v>Battery, iPhone 14 Pro Max</v>
      </c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10" t="str">
        <f t="shared" si="1"/>
        <v>February</v>
      </c>
      <c r="B1277" s="11">
        <f>IFERROR(__xludf.DUMMYFUNCTION("""COMPUTED_VALUE"""),46059.0)</f>
        <v>46059</v>
      </c>
      <c r="C1277" s="2" t="str">
        <f>IFERROR(__xludf.DUMMYFUNCTION("""COMPUTED_VALUE"""),"MOBILECARE - S'MAISON")</f>
        <v>MOBILECARE - S'MAISON</v>
      </c>
      <c r="D1277" s="2" t="str">
        <f>IFERROR(__xludf.DUMMYFUNCTION("""COMPUTED_VALUE"""),"661-13574")</f>
        <v>661-13574</v>
      </c>
      <c r="E1277" s="2" t="str">
        <f>IFERROR(__xludf.DUMMYFUNCTION("""COMPUTED_VALUE"""),"Battery, iPhone 11")</f>
        <v>Battery, iPhone 11</v>
      </c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10" t="str">
        <f t="shared" si="1"/>
        <v>February</v>
      </c>
      <c r="B1278" s="11">
        <f>IFERROR(__xludf.DUMMYFUNCTION("""COMPUTED_VALUE"""),46067.0)</f>
        <v>46067</v>
      </c>
      <c r="C1278" s="2" t="str">
        <f>IFERROR(__xludf.DUMMYFUNCTION("""COMPUTED_VALUE"""),"MOBILECARE - S'MAISON")</f>
        <v>MOBILECARE - S'MAISON</v>
      </c>
      <c r="D1278" s="2" t="str">
        <f>IFERROR(__xludf.DUMMYFUNCTION("""COMPUTED_VALUE"""),"661-36706")</f>
        <v>661-36706</v>
      </c>
      <c r="E1278" s="2" t="str">
        <f>IFERROR(__xludf.DUMMYFUNCTION("""COMPUTED_VALUE"""),"Display, iPhone 15")</f>
        <v>Display, iPhone 15</v>
      </c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10" t="str">
        <f t="shared" si="1"/>
        <v>June</v>
      </c>
      <c r="B1279" s="11">
        <f>IFERROR(__xludf.DUMMYFUNCTION("""COMPUTED_VALUE"""),46190.0)</f>
        <v>46190</v>
      </c>
      <c r="C1279" s="2" t="str">
        <f>IFERROR(__xludf.DUMMYFUNCTION("""COMPUTED_VALUE"""),"MOBILECARE - S'MAISON")</f>
        <v>MOBILECARE - S'MAISON</v>
      </c>
      <c r="D1279" s="2" t="str">
        <f>IFERROR(__xludf.DUMMYFUNCTION("""COMPUTED_VALUE"""),"661-30397")</f>
        <v>661-30397</v>
      </c>
      <c r="E1279" s="2" t="str">
        <f>IFERROR(__xludf.DUMMYFUNCTION("""COMPUTED_VALUE"""),"Battery, iPhone 14 Pro Max")</f>
        <v>Battery, iPhone 14 Pro Max</v>
      </c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10" t="str">
        <f t="shared" si="1"/>
        <v>June</v>
      </c>
      <c r="B1280" s="11">
        <f>IFERROR(__xludf.DUMMYFUNCTION("""COMPUTED_VALUE"""),46186.0)</f>
        <v>46186</v>
      </c>
      <c r="C1280" s="2" t="str">
        <f>IFERROR(__xludf.DUMMYFUNCTION("""COMPUTED_VALUE"""),"MOBILECARE - S'MAISON")</f>
        <v>MOBILECARE - S'MAISON</v>
      </c>
      <c r="D1280" s="2" t="str">
        <f>IFERROR(__xludf.DUMMYFUNCTION("""COMPUTED_VALUE"""),"Z661-55942")</f>
        <v>Z661-55942</v>
      </c>
      <c r="E1280" s="2" t="str">
        <f>IFERROR(__xludf.DUMMYFUNCTION("""COMPUTED_VALUE"""),"Logic Board, 256GB, A3523, ROW, iPhone 17 Pro")</f>
        <v>Logic Board, 256GB, A3523, ROW, iPhone 17 Pro</v>
      </c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10" t="str">
        <f t="shared" si="1"/>
        <v>April</v>
      </c>
      <c r="B1281" s="11">
        <f>IFERROR(__xludf.DUMMYFUNCTION("""COMPUTED_VALUE"""),46136.0)</f>
        <v>46136</v>
      </c>
      <c r="C1281" s="2" t="str">
        <f>IFERROR(__xludf.DUMMYFUNCTION("""COMPUTED_VALUE"""),"MOBILECARE - S'MAISON")</f>
        <v>MOBILECARE - S'MAISON</v>
      </c>
      <c r="D1281" s="2" t="str">
        <f>IFERROR(__xludf.DUMMYFUNCTION("""COMPUTED_VALUE"""),"661-36829")</f>
        <v>661-36829</v>
      </c>
      <c r="E1281" s="2" t="str">
        <f>IFERROR(__xludf.DUMMYFUNCTION("""COMPUTED_VALUE"""),"TrueDepth Camera, iPhone 15")</f>
        <v>TrueDepth Camera, iPhone 15</v>
      </c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10" t="str">
        <f t="shared" si="1"/>
        <v>March</v>
      </c>
      <c r="B1282" s="11">
        <f>IFERROR(__xludf.DUMMYFUNCTION("""COMPUTED_VALUE"""),46092.0)</f>
        <v>46092</v>
      </c>
      <c r="C1282" s="2" t="str">
        <f>IFERROR(__xludf.DUMMYFUNCTION("""COMPUTED_VALUE"""),"MOBILECARE - S'MAISON")</f>
        <v>MOBILECARE - S'MAISON</v>
      </c>
      <c r="D1282" s="2" t="str">
        <f>IFERROR(__xludf.DUMMYFUNCTION("""COMPUTED_VALUE"""),"661-42726")</f>
        <v>661-42726</v>
      </c>
      <c r="E1282" s="2" t="str">
        <f>IFERROR(__xludf.DUMMYFUNCTION("""COMPUTED_VALUE"""),"Display, iPhone 16 Pro")</f>
        <v>Display, iPhone 16 Pro</v>
      </c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10" t="str">
        <f t="shared" si="1"/>
        <v>March</v>
      </c>
      <c r="B1283" s="11">
        <f>IFERROR(__xludf.DUMMYFUNCTION("""COMPUTED_VALUE"""),46082.0)</f>
        <v>46082</v>
      </c>
      <c r="C1283" s="2" t="str">
        <f>IFERROR(__xludf.DUMMYFUNCTION("""COMPUTED_VALUE"""),"MOBILECARE - S'MAISON")</f>
        <v>MOBILECARE - S'MAISON</v>
      </c>
      <c r="D1283" s="2" t="str">
        <f>IFERROR(__xludf.DUMMYFUNCTION("""COMPUTED_VALUE"""),"661-22309")</f>
        <v>661-22309</v>
      </c>
      <c r="E1283" s="2" t="str">
        <f>IFERROR(__xludf.DUMMYFUNCTION("""COMPUTED_VALUE"""),"Display, iPhone 13 Pro Max")</f>
        <v>Display, iPhone 13 Pro Max</v>
      </c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10" t="str">
        <f t="shared" si="1"/>
        <v>June</v>
      </c>
      <c r="B1284" s="11">
        <f>IFERROR(__xludf.DUMMYFUNCTION("""COMPUTED_VALUE"""),46190.0)</f>
        <v>46190</v>
      </c>
      <c r="C1284" s="2" t="str">
        <f>IFERROR(__xludf.DUMMYFUNCTION("""COMPUTED_VALUE"""),"MOBILECARE - S'MAISON")</f>
        <v>MOBILECARE - S'MAISON</v>
      </c>
      <c r="D1284" s="2" t="str">
        <f>IFERROR(__xludf.DUMMYFUNCTION("""COMPUTED_VALUE"""),"661-36829")</f>
        <v>661-36829</v>
      </c>
      <c r="E1284" s="2" t="str">
        <f>IFERROR(__xludf.DUMMYFUNCTION("""COMPUTED_VALUE"""),"TrueDepth Camera, iPhone 15")</f>
        <v>TrueDepth Camera, iPhone 15</v>
      </c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10" t="str">
        <f t="shared" si="1"/>
        <v>June</v>
      </c>
      <c r="B1285" s="11">
        <f>IFERROR(__xludf.DUMMYFUNCTION("""COMPUTED_VALUE"""),46186.0)</f>
        <v>46186</v>
      </c>
      <c r="C1285" s="2" t="str">
        <f>IFERROR(__xludf.DUMMYFUNCTION("""COMPUTED_VALUE"""),"MOBILECARE - S'MAISON")</f>
        <v>MOBILECARE - S'MAISON</v>
      </c>
      <c r="D1285" s="2" t="str">
        <f>IFERROR(__xludf.DUMMYFUNCTION("""COMPUTED_VALUE"""),"661-21991")</f>
        <v>661-21991</v>
      </c>
      <c r="E1285" s="2" t="str">
        <f>IFERROR(__xludf.DUMMYFUNCTION("""COMPUTED_VALUE"""),"Battery, iPhone 13")</f>
        <v>Battery, iPhone 13</v>
      </c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10" t="str">
        <f t="shared" si="1"/>
        <v>June</v>
      </c>
      <c r="B1286" s="11">
        <f>IFERROR(__xludf.DUMMYFUNCTION("""COMPUTED_VALUE"""),46174.0)</f>
        <v>46174</v>
      </c>
      <c r="C1286" s="2" t="str">
        <f>IFERROR(__xludf.DUMMYFUNCTION("""COMPUTED_VALUE"""),"MOBILECARE - S'MAISON")</f>
        <v>MOBILECARE - S'MAISON</v>
      </c>
      <c r="D1286" s="2" t="str">
        <f>IFERROR(__xludf.DUMMYFUNCTION("""COMPUTED_VALUE"""),"661-35694")</f>
        <v>661-35694</v>
      </c>
      <c r="E1286" s="2" t="str">
        <f>IFERROR(__xludf.DUMMYFUNCTION("""COMPUTED_VALUE"""),"Battery, iPhone 15 Pro")</f>
        <v>Battery, iPhone 15 Pro</v>
      </c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10" t="str">
        <f t="shared" si="1"/>
        <v>May</v>
      </c>
      <c r="B1287" s="11">
        <f>IFERROR(__xludf.DUMMYFUNCTION("""COMPUTED_VALUE"""),46149.0)</f>
        <v>46149</v>
      </c>
      <c r="C1287" s="2" t="str">
        <f>IFERROR(__xludf.DUMMYFUNCTION("""COMPUTED_VALUE"""),"MOBILECARE - S'MAISON")</f>
        <v>MOBILECARE - S'MAISON</v>
      </c>
      <c r="D1287" s="2" t="str">
        <f>IFERROR(__xludf.DUMMYFUNCTION("""COMPUTED_VALUE"""),"ZP923-13638")</f>
        <v>ZP923-13638</v>
      </c>
      <c r="E1287" s="2" t="str">
        <f>IFERROR(__xludf.DUMMYFUNCTION("""COMPUTED_VALUE"""),"Silver, Enclosure, ROW, iPhone 17 Pro")</f>
        <v>Silver, Enclosure, ROW, iPhone 17 Pro</v>
      </c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10" t="str">
        <f t="shared" si="1"/>
        <v>May</v>
      </c>
      <c r="B1288" s="11">
        <f>IFERROR(__xludf.DUMMYFUNCTION("""COMPUTED_VALUE"""),46148.0)</f>
        <v>46148</v>
      </c>
      <c r="C1288" s="2" t="str">
        <f>IFERROR(__xludf.DUMMYFUNCTION("""COMPUTED_VALUE"""),"MOBILECARE - S'MAISON")</f>
        <v>MOBILECARE - S'MAISON</v>
      </c>
      <c r="D1288" s="2" t="str">
        <f>IFERROR(__xludf.DUMMYFUNCTION("""COMPUTED_VALUE"""),"661-22294")</f>
        <v>661-22294</v>
      </c>
      <c r="E1288" s="2" t="str">
        <f>IFERROR(__xludf.DUMMYFUNCTION("""COMPUTED_VALUE"""),"Battery, iPhone 13 Pro Max")</f>
        <v>Battery, iPhone 13 Pro Max</v>
      </c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10" t="str">
        <f t="shared" si="1"/>
        <v>May</v>
      </c>
      <c r="B1289" s="11">
        <f>IFERROR(__xludf.DUMMYFUNCTION("""COMPUTED_VALUE"""),46147.0)</f>
        <v>46147</v>
      </c>
      <c r="C1289" s="2" t="str">
        <f>IFERROR(__xludf.DUMMYFUNCTION("""COMPUTED_VALUE"""),"MOBILECARE - S'MAISON")</f>
        <v>MOBILECARE - S'MAISON</v>
      </c>
      <c r="D1289" s="2" t="str">
        <f>IFERROR(__xludf.DUMMYFUNCTION("""COMPUTED_VALUE"""),"661-30393")</f>
        <v>661-30393</v>
      </c>
      <c r="E1289" s="2" t="str">
        <f>IFERROR(__xludf.DUMMYFUNCTION("""COMPUTED_VALUE"""),"Camera, iPhone 14 Plus")</f>
        <v>Camera, iPhone 14 Plus</v>
      </c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10" t="str">
        <f t="shared" si="1"/>
        <v>April</v>
      </c>
      <c r="B1290" s="11">
        <f>IFERROR(__xludf.DUMMYFUNCTION("""COMPUTED_VALUE"""),46136.0)</f>
        <v>46136</v>
      </c>
      <c r="C1290" s="2" t="str">
        <f>IFERROR(__xludf.DUMMYFUNCTION("""COMPUTED_VALUE"""),"MOBILECARE - S'MAISON")</f>
        <v>MOBILECARE - S'MAISON</v>
      </c>
      <c r="D1290" s="2" t="str">
        <f>IFERROR(__xludf.DUMMYFUNCTION("""COMPUTED_VALUE"""),"661-42844")</f>
        <v>661-42844</v>
      </c>
      <c r="E1290" s="2" t="str">
        <f>IFERROR(__xludf.DUMMYFUNCTION("""COMPUTED_VALUE"""),"TrueDepth Camera, iPhone 16 Plus")</f>
        <v>TrueDepth Camera, iPhone 16 Plus</v>
      </c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10" t="str">
        <f t="shared" si="1"/>
        <v>April</v>
      </c>
      <c r="B1291" s="11">
        <f>IFERROR(__xludf.DUMMYFUNCTION("""COMPUTED_VALUE"""),46136.0)</f>
        <v>46136</v>
      </c>
      <c r="C1291" s="2" t="str">
        <f>IFERROR(__xludf.DUMMYFUNCTION("""COMPUTED_VALUE"""),"MOBILECARE - S'MAISON")</f>
        <v>MOBILECARE - S'MAISON</v>
      </c>
      <c r="D1291" s="2" t="str">
        <f>IFERROR(__xludf.DUMMYFUNCTION("""COMPUTED_VALUE"""),"661-42844")</f>
        <v>661-42844</v>
      </c>
      <c r="E1291" s="2" t="str">
        <f>IFERROR(__xludf.DUMMYFUNCTION("""COMPUTED_VALUE"""),"TrueDepth Camera, iPhone 16 Plus")</f>
        <v>TrueDepth Camera, iPhone 16 Plus</v>
      </c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10" t="str">
        <f t="shared" si="1"/>
        <v>April</v>
      </c>
      <c r="B1292" s="11">
        <f>IFERROR(__xludf.DUMMYFUNCTION("""COMPUTED_VALUE"""),46123.0)</f>
        <v>46123</v>
      </c>
      <c r="C1292" s="2" t="str">
        <f>IFERROR(__xludf.DUMMYFUNCTION("""COMPUTED_VALUE"""),"MOBILECARE - S'MAISON")</f>
        <v>MOBILECARE - S'MAISON</v>
      </c>
      <c r="D1292" s="2" t="str">
        <f>IFERROR(__xludf.DUMMYFUNCTION("""COMPUTED_VALUE"""),"661-56051")</f>
        <v>661-56051</v>
      </c>
      <c r="E1292" s="2" t="str">
        <f>IFERROR(__xludf.DUMMYFUNCTION("""COMPUTED_VALUE"""),"Front Camera, iPhone 17 Pro Max")</f>
        <v>Front Camera, iPhone 17 Pro Max</v>
      </c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10" t="str">
        <f t="shared" si="1"/>
        <v>March</v>
      </c>
      <c r="B1293" s="11">
        <f>IFERROR(__xludf.DUMMYFUNCTION("""COMPUTED_VALUE"""),46109.0)</f>
        <v>46109</v>
      </c>
      <c r="C1293" s="2" t="str">
        <f>IFERROR(__xludf.DUMMYFUNCTION("""COMPUTED_VALUE"""),"MOBILECARE - S'MAISON")</f>
        <v>MOBILECARE - S'MAISON</v>
      </c>
      <c r="D1293" s="2" t="str">
        <f>IFERROR(__xludf.DUMMYFUNCTION("""COMPUTED_VALUE"""),"923-12005")</f>
        <v>923-12005</v>
      </c>
      <c r="E1293" s="2" t="str">
        <f>IFERROR(__xludf.DUMMYFUNCTION("""COMPUTED_VALUE"""),"Top Speaker, iPhone 16e/iPhone 17e")</f>
        <v>Top Speaker, iPhone 16e/iPhone 17e</v>
      </c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10" t="str">
        <f t="shared" si="1"/>
        <v>March</v>
      </c>
      <c r="B1294" s="11">
        <f>IFERROR(__xludf.DUMMYFUNCTION("""COMPUTED_VALUE"""),46101.0)</f>
        <v>46101</v>
      </c>
      <c r="C1294" s="2" t="str">
        <f>IFERROR(__xludf.DUMMYFUNCTION("""COMPUTED_VALUE"""),"MOBILECARE - S'MAISON")</f>
        <v>MOBILECARE - S'MAISON</v>
      </c>
      <c r="D1294" s="2" t="str">
        <f>IFERROR(__xludf.DUMMYFUNCTION("""COMPUTED_VALUE"""),"661-22309")</f>
        <v>661-22309</v>
      </c>
      <c r="E1294" s="2" t="str">
        <f>IFERROR(__xludf.DUMMYFUNCTION("""COMPUTED_VALUE"""),"Display, iPhone 13 Pro Max")</f>
        <v>Display, iPhone 13 Pro Max</v>
      </c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10" t="str">
        <f t="shared" si="1"/>
        <v>March</v>
      </c>
      <c r="B1295" s="11">
        <f>IFERROR(__xludf.DUMMYFUNCTION("""COMPUTED_VALUE"""),46100.0)</f>
        <v>46100</v>
      </c>
      <c r="C1295" s="2" t="str">
        <f>IFERROR(__xludf.DUMMYFUNCTION("""COMPUTED_VALUE"""),"MOBILECARE - S'MAISON")</f>
        <v>MOBILECARE - S'MAISON</v>
      </c>
      <c r="D1295" s="2" t="str">
        <f>IFERROR(__xludf.DUMMYFUNCTION("""COMPUTED_VALUE"""),"661-21991")</f>
        <v>661-21991</v>
      </c>
      <c r="E1295" s="2" t="str">
        <f>IFERROR(__xludf.DUMMYFUNCTION("""COMPUTED_VALUE"""),"Battery, iPhone 13")</f>
        <v>Battery, iPhone 13</v>
      </c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10" t="str">
        <f t="shared" si="1"/>
        <v>March</v>
      </c>
      <c r="B1296" s="11">
        <f>IFERROR(__xludf.DUMMYFUNCTION("""COMPUTED_VALUE"""),46102.0)</f>
        <v>46102</v>
      </c>
      <c r="C1296" s="2" t="str">
        <f>IFERROR(__xludf.DUMMYFUNCTION("""COMPUTED_VALUE"""),"MOBILECARE - S'MAISON")</f>
        <v>MOBILECARE - S'MAISON</v>
      </c>
      <c r="D1296" s="2" t="str">
        <f>IFERROR(__xludf.DUMMYFUNCTION("""COMPUTED_VALUE"""),"661-56065")</f>
        <v>661-56065</v>
      </c>
      <c r="E1296" s="2" t="str">
        <f>IFERROR(__xludf.DUMMYFUNCTION("""COMPUTED_VALUE"""),"Display, iPhone 17")</f>
        <v>Display, iPhone 17</v>
      </c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10" t="str">
        <f t="shared" si="1"/>
        <v>March</v>
      </c>
      <c r="B1297" s="11">
        <f>IFERROR(__xludf.DUMMYFUNCTION("""COMPUTED_VALUE"""),46090.0)</f>
        <v>46090</v>
      </c>
      <c r="C1297" s="2" t="str">
        <f>IFERROR(__xludf.DUMMYFUNCTION("""COMPUTED_VALUE"""),"MOBILECARE - S'MAISON")</f>
        <v>MOBILECARE - S'MAISON</v>
      </c>
      <c r="D1297" s="2" t="str">
        <f>IFERROR(__xludf.DUMMYFUNCTION("""COMPUTED_VALUE"""),"661-17920")</f>
        <v>661-17920</v>
      </c>
      <c r="E1297" s="2" t="str">
        <f>IFERROR(__xludf.DUMMYFUNCTION("""COMPUTED_VALUE"""),"Battery, iPhone 12 and 12 Pro")</f>
        <v>Battery, iPhone 12 and 12 Pro</v>
      </c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10" t="str">
        <f t="shared" si="1"/>
        <v>March</v>
      </c>
      <c r="B1298" s="11">
        <f>IFERROR(__xludf.DUMMYFUNCTION("""COMPUTED_VALUE"""),46083.0)</f>
        <v>46083</v>
      </c>
      <c r="C1298" s="2" t="str">
        <f>IFERROR(__xludf.DUMMYFUNCTION("""COMPUTED_VALUE"""),"MOBILECARE - S'MAISON")</f>
        <v>MOBILECARE - S'MAISON</v>
      </c>
      <c r="D1298" s="2" t="str">
        <f>IFERROR(__xludf.DUMMYFUNCTION("""COMPUTED_VALUE"""),"661-30393")</f>
        <v>661-30393</v>
      </c>
      <c r="E1298" s="2" t="str">
        <f>IFERROR(__xludf.DUMMYFUNCTION("""COMPUTED_VALUE"""),"Camera, iPhone 14 Plus")</f>
        <v>Camera, iPhone 14 Plus</v>
      </c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10" t="str">
        <f t="shared" si="1"/>
        <v>February</v>
      </c>
      <c r="B1299" s="11">
        <f>IFERROR(__xludf.DUMMYFUNCTION("""COMPUTED_VALUE"""),46080.0)</f>
        <v>46080</v>
      </c>
      <c r="C1299" s="2" t="str">
        <f>IFERROR(__xludf.DUMMYFUNCTION("""COMPUTED_VALUE"""),"MOBILECARE - S'MAISON")</f>
        <v>MOBILECARE - S'MAISON</v>
      </c>
      <c r="D1299" s="2" t="str">
        <f>IFERROR(__xludf.DUMMYFUNCTION("""COMPUTED_VALUE"""),"661-17920")</f>
        <v>661-17920</v>
      </c>
      <c r="E1299" s="2" t="str">
        <f>IFERROR(__xludf.DUMMYFUNCTION("""COMPUTED_VALUE"""),"Battery, iPhone 12 and 12 Pro")</f>
        <v>Battery, iPhone 12 and 12 Pro</v>
      </c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10" t="str">
        <f t="shared" si="1"/>
        <v>March</v>
      </c>
      <c r="B1300" s="11">
        <f>IFERROR(__xludf.DUMMYFUNCTION("""COMPUTED_VALUE"""),46092.0)</f>
        <v>46092</v>
      </c>
      <c r="C1300" s="2" t="str">
        <f>IFERROR(__xludf.DUMMYFUNCTION("""COMPUTED_VALUE"""),"MOBILECARE - S'MAISON")</f>
        <v>MOBILECARE - S'MAISON</v>
      </c>
      <c r="D1300" s="2" t="str">
        <f>IFERROR(__xludf.DUMMYFUNCTION("""COMPUTED_VALUE"""),"661-22294")</f>
        <v>661-22294</v>
      </c>
      <c r="E1300" s="2" t="str">
        <f>IFERROR(__xludf.DUMMYFUNCTION("""COMPUTED_VALUE"""),"Battery, iPhone 13 Pro Max")</f>
        <v>Battery, iPhone 13 Pro Max</v>
      </c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10" t="str">
        <f t="shared" si="1"/>
        <v>January</v>
      </c>
      <c r="B1301" s="11">
        <f>IFERROR(__xludf.DUMMYFUNCTION("""COMPUTED_VALUE"""),46048.0)</f>
        <v>46048</v>
      </c>
      <c r="C1301" s="2" t="str">
        <f>IFERROR(__xludf.DUMMYFUNCTION("""COMPUTED_VALUE"""),"MOBILECARE - S'MAISON")</f>
        <v>MOBILECARE - S'MAISON</v>
      </c>
      <c r="D1301" s="2" t="str">
        <f>IFERROR(__xludf.DUMMYFUNCTION("""COMPUTED_VALUE"""),"661-22309")</f>
        <v>661-22309</v>
      </c>
      <c r="E1301" s="2" t="str">
        <f>IFERROR(__xludf.DUMMYFUNCTION("""COMPUTED_VALUE"""),"Display, iPhone 13 Pro Max")</f>
        <v>Display, iPhone 13 Pro Max</v>
      </c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10" t="str">
        <f t="shared" si="1"/>
        <v>January</v>
      </c>
      <c r="B1302" s="11">
        <f>IFERROR(__xludf.DUMMYFUNCTION("""COMPUTED_VALUE"""),46041.0)</f>
        <v>46041</v>
      </c>
      <c r="C1302" s="2" t="str">
        <f>IFERROR(__xludf.DUMMYFUNCTION("""COMPUTED_VALUE"""),"MOBILECARE - S'MAISON")</f>
        <v>MOBILECARE - S'MAISON</v>
      </c>
      <c r="D1302" s="2" t="str">
        <f>IFERROR(__xludf.DUMMYFUNCTION("""COMPUTED_VALUE"""),"661-30382")</f>
        <v>661-30382</v>
      </c>
      <c r="E1302" s="2" t="str">
        <f>IFERROR(__xludf.DUMMYFUNCTION("""COMPUTED_VALUE"""),"Battery, iPhone 14 Pro")</f>
        <v>Battery, iPhone 14 Pro</v>
      </c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10" t="str">
        <f t="shared" si="1"/>
        <v>June</v>
      </c>
      <c r="B1303" s="11">
        <f>IFERROR(__xludf.DUMMYFUNCTION("""COMPUTED_VALUE"""),46182.0)</f>
        <v>46182</v>
      </c>
      <c r="C1303" s="2" t="str">
        <f>IFERROR(__xludf.DUMMYFUNCTION("""COMPUTED_VALUE"""),"MOBILECARE - S'MAISON")</f>
        <v>MOBILECARE - S'MAISON</v>
      </c>
      <c r="D1303" s="2" t="str">
        <f>IFERROR(__xludf.DUMMYFUNCTION("""COMPUTED_VALUE"""),"TA661-36287")</f>
        <v>TA661-36287</v>
      </c>
      <c r="E1303" s="2" t="str">
        <f>IFERROR(__xludf.DUMMYFUNCTION("""COMPUTED_VALUE"""),"Pink, iPhone 15, 128GB, ROW, CI/AR, Taiwan")</f>
        <v>Pink, iPhone 15, 128GB, ROW, CI/AR, Taiwan</v>
      </c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10" t="str">
        <f t="shared" si="1"/>
        <v>April</v>
      </c>
      <c r="B1304" s="11">
        <f>IFERROR(__xludf.DUMMYFUNCTION("""COMPUTED_VALUE"""),46136.0)</f>
        <v>46136</v>
      </c>
      <c r="C1304" s="2" t="str">
        <f>IFERROR(__xludf.DUMMYFUNCTION("""COMPUTED_VALUE"""),"MOBILECARE - S'MAISON")</f>
        <v>MOBILECARE - S'MAISON</v>
      </c>
      <c r="D1304" s="2" t="str">
        <f>IFERROR(__xludf.DUMMYFUNCTION("""COMPUTED_VALUE"""),"661-42726")</f>
        <v>661-42726</v>
      </c>
      <c r="E1304" s="2" t="str">
        <f>IFERROR(__xludf.DUMMYFUNCTION("""COMPUTED_VALUE"""),"Display, iPhone 16 Pro")</f>
        <v>Display, iPhone 16 Pro</v>
      </c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10" t="str">
        <f t="shared" si="1"/>
        <v>April</v>
      </c>
      <c r="B1305" s="11">
        <f>IFERROR(__xludf.DUMMYFUNCTION("""COMPUTED_VALUE"""),46113.0)</f>
        <v>46113</v>
      </c>
      <c r="C1305" s="2" t="str">
        <f>IFERROR(__xludf.DUMMYFUNCTION("""COMPUTED_VALUE"""),"MOBILECARE - S'MAISON")</f>
        <v>MOBILECARE - S'MAISON</v>
      </c>
      <c r="D1305" s="2" t="str">
        <f>IFERROR(__xludf.DUMMYFUNCTION("""COMPUTED_VALUE"""),"661-42844")</f>
        <v>661-42844</v>
      </c>
      <c r="E1305" s="2" t="str">
        <f>IFERROR(__xludf.DUMMYFUNCTION("""COMPUTED_VALUE"""),"TrueDepth Camera, iPhone 16 Plus")</f>
        <v>TrueDepth Camera, iPhone 16 Plus</v>
      </c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10" t="str">
        <f t="shared" si="1"/>
        <v>March</v>
      </c>
      <c r="B1306" s="11">
        <f>IFERROR(__xludf.DUMMYFUNCTION("""COMPUTED_VALUE"""),46088.0)</f>
        <v>46088</v>
      </c>
      <c r="C1306" s="2" t="str">
        <f>IFERROR(__xludf.DUMMYFUNCTION("""COMPUTED_VALUE"""),"MOBILECARE - S'MAISON")</f>
        <v>MOBILECARE - S'MAISON</v>
      </c>
      <c r="D1306" s="2" t="str">
        <f>IFERROR(__xludf.DUMMYFUNCTION("""COMPUTED_VALUE"""),"661-56125")</f>
        <v>661-56125</v>
      </c>
      <c r="E1306" s="2" t="str">
        <f>IFERROR(__xludf.DUMMYFUNCTION("""COMPUTED_VALUE"""),"Display, iPhone 17 Pro")</f>
        <v>Display, iPhone 17 Pro</v>
      </c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10" t="str">
        <f t="shared" si="1"/>
        <v>March</v>
      </c>
      <c r="B1307" s="11">
        <f>IFERROR(__xludf.DUMMYFUNCTION("""COMPUTED_VALUE"""),46102.0)</f>
        <v>46102</v>
      </c>
      <c r="C1307" s="2" t="str">
        <f>IFERROR(__xludf.DUMMYFUNCTION("""COMPUTED_VALUE"""),"MOBILECARE - S'MAISON")</f>
        <v>MOBILECARE - S'MAISON</v>
      </c>
      <c r="D1307" s="2" t="str">
        <f>IFERROR(__xludf.DUMMYFUNCTION("""COMPUTED_VALUE"""),"661-56050")</f>
        <v>661-56050</v>
      </c>
      <c r="E1307" s="2" t="str">
        <f>IFERROR(__xludf.DUMMYFUNCTION("""COMPUTED_VALUE"""),"Display, iPhone 17 Pro Max")</f>
        <v>Display, iPhone 17 Pro Max</v>
      </c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10" t="str">
        <f t="shared" si="1"/>
        <v>March</v>
      </c>
      <c r="B1308" s="11">
        <f>IFERROR(__xludf.DUMMYFUNCTION("""COMPUTED_VALUE"""),46102.0)</f>
        <v>46102</v>
      </c>
      <c r="C1308" s="2" t="str">
        <f>IFERROR(__xludf.DUMMYFUNCTION("""COMPUTED_VALUE"""),"MOBILECARE - S'MAISON")</f>
        <v>MOBILECARE - S'MAISON</v>
      </c>
      <c r="D1308" s="2" t="str">
        <f>IFERROR(__xludf.DUMMYFUNCTION("""COMPUTED_VALUE"""),"Z661-55958")</f>
        <v>Z661-55958</v>
      </c>
      <c r="E1308" s="2" t="str">
        <f>IFERROR(__xludf.DUMMYFUNCTION("""COMPUTED_VALUE"""),"Logic Board, 1TB, iPhone 17 Pro Max, ROW")</f>
        <v>Logic Board, 1TB, iPhone 17 Pro Max, ROW</v>
      </c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10" t="str">
        <f t="shared" si="1"/>
        <v>February</v>
      </c>
      <c r="B1309" s="11">
        <f>IFERROR(__xludf.DUMMYFUNCTION("""COMPUTED_VALUE"""),46073.0)</f>
        <v>46073</v>
      </c>
      <c r="C1309" s="2" t="str">
        <f>IFERROR(__xludf.DUMMYFUNCTION("""COMPUTED_VALUE"""),"MOBILECARE - S'MAISON")</f>
        <v>MOBILECARE - S'MAISON</v>
      </c>
      <c r="D1309" s="2" t="str">
        <f>IFERROR(__xludf.DUMMYFUNCTION("""COMPUTED_VALUE"""),"661-22294")</f>
        <v>661-22294</v>
      </c>
      <c r="E1309" s="2" t="str">
        <f>IFERROR(__xludf.DUMMYFUNCTION("""COMPUTED_VALUE"""),"Battery, iPhone 13 Pro Max")</f>
        <v>Battery, iPhone 13 Pro Max</v>
      </c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10" t="str">
        <f t="shared" si="1"/>
        <v>February</v>
      </c>
      <c r="B1310" s="11">
        <f>IFERROR(__xludf.DUMMYFUNCTION("""COMPUTED_VALUE"""),46079.0)</f>
        <v>46079</v>
      </c>
      <c r="C1310" s="2" t="str">
        <f>IFERROR(__xludf.DUMMYFUNCTION("""COMPUTED_VALUE"""),"MOBILECARE - S'MAISON")</f>
        <v>MOBILECARE - S'MAISON</v>
      </c>
      <c r="D1310" s="2" t="str">
        <f>IFERROR(__xludf.DUMMYFUNCTION("""COMPUTED_VALUE"""),"661-44955")</f>
        <v>661-44955</v>
      </c>
      <c r="E1310" s="2" t="str">
        <f>IFERROR(__xludf.DUMMYFUNCTION("""COMPUTED_VALUE"""),"Display, iPhone 16 Pro Max")</f>
        <v>Display, iPhone 16 Pro Max</v>
      </c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10" t="str">
        <f t="shared" si="1"/>
        <v>February</v>
      </c>
      <c r="B1311" s="11">
        <f>IFERROR(__xludf.DUMMYFUNCTION("""COMPUTED_VALUE"""),46073.0)</f>
        <v>46073</v>
      </c>
      <c r="C1311" s="2" t="str">
        <f>IFERROR(__xludf.DUMMYFUNCTION("""COMPUTED_VALUE"""),"MOBILECARE - S'MAISON")</f>
        <v>MOBILECARE - S'MAISON</v>
      </c>
      <c r="D1311" s="2" t="str">
        <f>IFERROR(__xludf.DUMMYFUNCTION("""COMPUTED_VALUE"""),"661-36918")</f>
        <v>661-36918</v>
      </c>
      <c r="E1311" s="2" t="str">
        <f>IFERROR(__xludf.DUMMYFUNCTION("""COMPUTED_VALUE"""),"Battery, iPhone 15 Pro Max")</f>
        <v>Battery, iPhone 15 Pro Max</v>
      </c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10" t="str">
        <f t="shared" si="1"/>
        <v>February</v>
      </c>
      <c r="B1312" s="11">
        <f>IFERROR(__xludf.DUMMYFUNCTION("""COMPUTED_VALUE"""),46058.0)</f>
        <v>46058</v>
      </c>
      <c r="C1312" s="2" t="str">
        <f>IFERROR(__xludf.DUMMYFUNCTION("""COMPUTED_VALUE"""),"MOBILECARE - S'MAISON")</f>
        <v>MOBILECARE - S'MAISON</v>
      </c>
      <c r="D1312" s="2" t="str">
        <f>IFERROR(__xludf.DUMMYFUNCTION("""COMPUTED_VALUE"""),"661-36918")</f>
        <v>661-36918</v>
      </c>
      <c r="E1312" s="2" t="str">
        <f>IFERROR(__xludf.DUMMYFUNCTION("""COMPUTED_VALUE"""),"Battery, iPhone 15 Pro Max")</f>
        <v>Battery, iPhone 15 Pro Max</v>
      </c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10" t="str">
        <f t="shared" si="1"/>
        <v>June</v>
      </c>
      <c r="B1313" s="11">
        <f>IFERROR(__xludf.DUMMYFUNCTION("""COMPUTED_VALUE"""),46188.0)</f>
        <v>46188</v>
      </c>
      <c r="C1313" s="2" t="str">
        <f>IFERROR(__xludf.DUMMYFUNCTION("""COMPUTED_VALUE"""),"MOBILECARE - S'MAISON")</f>
        <v>MOBILECARE - S'MAISON</v>
      </c>
      <c r="D1313" s="2" t="str">
        <f>IFERROR(__xludf.DUMMYFUNCTION("""COMPUTED_VALUE"""),"661-30397")</f>
        <v>661-30397</v>
      </c>
      <c r="E1313" s="2" t="str">
        <f>IFERROR(__xludf.DUMMYFUNCTION("""COMPUTED_VALUE"""),"Battery, iPhone 14 Pro Max")</f>
        <v>Battery, iPhone 14 Pro Max</v>
      </c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10" t="str">
        <f t="shared" si="1"/>
        <v>June</v>
      </c>
      <c r="B1314" s="11">
        <f>IFERROR(__xludf.DUMMYFUNCTION("""COMPUTED_VALUE"""),46188.0)</f>
        <v>46188</v>
      </c>
      <c r="C1314" s="2" t="str">
        <f>IFERROR(__xludf.DUMMYFUNCTION("""COMPUTED_VALUE"""),"MOBILECARE - S'MAISON")</f>
        <v>MOBILECARE - S'MAISON</v>
      </c>
      <c r="D1314" s="2" t="str">
        <f>IFERROR(__xludf.DUMMYFUNCTION("""COMPUTED_VALUE"""),"661-30401")</f>
        <v>661-30401</v>
      </c>
      <c r="E1314" s="2" t="str">
        <f>IFERROR(__xludf.DUMMYFUNCTION("""COMPUTED_VALUE"""),"Display, iPhone 14 Pro Max")</f>
        <v>Display, iPhone 14 Pro Max</v>
      </c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10" t="str">
        <f t="shared" si="1"/>
        <v>May</v>
      </c>
      <c r="B1315" s="11">
        <f>IFERROR(__xludf.DUMMYFUNCTION("""COMPUTED_VALUE"""),46151.0)</f>
        <v>46151</v>
      </c>
      <c r="C1315" s="2" t="str">
        <f>IFERROR(__xludf.DUMMYFUNCTION("""COMPUTED_VALUE"""),"MOBILECARE - S'MAISON")</f>
        <v>MOBILECARE - S'MAISON</v>
      </c>
      <c r="D1315" s="2" t="str">
        <f>IFERROR(__xludf.DUMMYFUNCTION("""COMPUTED_VALUE"""),"661-44797")</f>
        <v>661-44797</v>
      </c>
      <c r="E1315" s="2" t="str">
        <f>IFERROR(__xludf.DUMMYFUNCTION("""COMPUTED_VALUE"""),"Display, iPhone 16")</f>
        <v>Display, iPhone 16</v>
      </c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10" t="str">
        <f t="shared" si="1"/>
        <v>April</v>
      </c>
      <c r="B1316" s="11">
        <f>IFERROR(__xludf.DUMMYFUNCTION("""COMPUTED_VALUE"""),46116.0)</f>
        <v>46116</v>
      </c>
      <c r="C1316" s="2" t="str">
        <f>IFERROR(__xludf.DUMMYFUNCTION("""COMPUTED_VALUE"""),"MOBILECARE - S'MAISON")</f>
        <v>MOBILECARE - S'MAISON</v>
      </c>
      <c r="D1316" s="2" t="str">
        <f>IFERROR(__xludf.DUMMYFUNCTION("""COMPUTED_VALUE"""),"661-22294")</f>
        <v>661-22294</v>
      </c>
      <c r="E1316" s="2" t="str">
        <f>IFERROR(__xludf.DUMMYFUNCTION("""COMPUTED_VALUE"""),"Battery, iPhone 13 Pro Max")</f>
        <v>Battery, iPhone 13 Pro Max</v>
      </c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10" t="str">
        <f t="shared" si="1"/>
        <v>March</v>
      </c>
      <c r="B1317" s="11">
        <f>IFERROR(__xludf.DUMMYFUNCTION("""COMPUTED_VALUE"""),46109.0)</f>
        <v>46109</v>
      </c>
      <c r="C1317" s="2" t="str">
        <f>IFERROR(__xludf.DUMMYFUNCTION("""COMPUTED_VALUE"""),"MOBILECARE - S'MAISON")</f>
        <v>MOBILECARE - S'MAISON</v>
      </c>
      <c r="D1317" s="2" t="str">
        <f>IFERROR(__xludf.DUMMYFUNCTION("""COMPUTED_VALUE"""),"661-21991")</f>
        <v>661-21991</v>
      </c>
      <c r="E1317" s="2" t="str">
        <f>IFERROR(__xludf.DUMMYFUNCTION("""COMPUTED_VALUE"""),"Battery, iPhone 13")</f>
        <v>Battery, iPhone 13</v>
      </c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10" t="str">
        <f t="shared" si="1"/>
        <v>March</v>
      </c>
      <c r="B1318" s="11">
        <f>IFERROR(__xludf.DUMMYFUNCTION("""COMPUTED_VALUE"""),46100.0)</f>
        <v>46100</v>
      </c>
      <c r="C1318" s="2" t="str">
        <f>IFERROR(__xludf.DUMMYFUNCTION("""COMPUTED_VALUE"""),"MOBILECARE - S'MAISON")</f>
        <v>MOBILECARE - S'MAISON</v>
      </c>
      <c r="D1318" s="2" t="str">
        <f>IFERROR(__xludf.DUMMYFUNCTION("""COMPUTED_VALUE"""),"661-21991")</f>
        <v>661-21991</v>
      </c>
      <c r="E1318" s="2" t="str">
        <f>IFERROR(__xludf.DUMMYFUNCTION("""COMPUTED_VALUE"""),"Battery, iPhone 13")</f>
        <v>Battery, iPhone 13</v>
      </c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10" t="str">
        <f t="shared" si="1"/>
        <v>January</v>
      </c>
      <c r="B1319" s="11">
        <f>IFERROR(__xludf.DUMMYFUNCTION("""COMPUTED_VALUE"""),46041.0)</f>
        <v>46041</v>
      </c>
      <c r="C1319" s="2" t="str">
        <f>IFERROR(__xludf.DUMMYFUNCTION("""COMPUTED_VALUE"""),"MOBILECARE - S'MAISON")</f>
        <v>MOBILECARE - S'MAISON</v>
      </c>
      <c r="D1319" s="2" t="str">
        <f>IFERROR(__xludf.DUMMYFUNCTION("""COMPUTED_VALUE"""),"661-42843")</f>
        <v>661-42843</v>
      </c>
      <c r="E1319" s="2" t="str">
        <f>IFERROR(__xludf.DUMMYFUNCTION("""COMPUTED_VALUE"""),"Display, iPhone 16 Plus")</f>
        <v>Display, iPhone 16 Plus</v>
      </c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10" t="str">
        <f t="shared" si="1"/>
        <v>June</v>
      </c>
      <c r="B1320" s="11">
        <f>IFERROR(__xludf.DUMMYFUNCTION("""COMPUTED_VALUE"""),46191.0)</f>
        <v>46191</v>
      </c>
      <c r="C1320" s="2" t="str">
        <f>IFERROR(__xludf.DUMMYFUNCTION("""COMPUTED_VALUE"""),"MOBILECARE - S'MAISON")</f>
        <v>MOBILECARE - S'MAISON</v>
      </c>
      <c r="D1320" s="2" t="str">
        <f>IFERROR(__xludf.DUMMYFUNCTION("""COMPUTED_VALUE"""),"661-56050")</f>
        <v>661-56050</v>
      </c>
      <c r="E1320" s="2" t="str">
        <f>IFERROR(__xludf.DUMMYFUNCTION("""COMPUTED_VALUE"""),"Display, iPhone 17 Pro Max")</f>
        <v>Display, iPhone 17 Pro Max</v>
      </c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10" t="str">
        <f t="shared" si="1"/>
        <v>May</v>
      </c>
      <c r="B1321" s="11">
        <f>IFERROR(__xludf.DUMMYFUNCTION("""COMPUTED_VALUE"""),46166.0)</f>
        <v>46166</v>
      </c>
      <c r="C1321" s="2" t="str">
        <f>IFERROR(__xludf.DUMMYFUNCTION("""COMPUTED_VALUE"""),"MOBILECARE - S'MAISON")</f>
        <v>MOBILECARE - S'MAISON</v>
      </c>
      <c r="D1321" s="2" t="str">
        <f>IFERROR(__xludf.DUMMYFUNCTION("""COMPUTED_VALUE"""),"661-17920")</f>
        <v>661-17920</v>
      </c>
      <c r="E1321" s="2" t="str">
        <f>IFERROR(__xludf.DUMMYFUNCTION("""COMPUTED_VALUE"""),"Battery, iPhone 12 and 12 Pro")</f>
        <v>Battery, iPhone 12 and 12 Pro</v>
      </c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10" t="str">
        <f t="shared" si="1"/>
        <v>May</v>
      </c>
      <c r="B1322" s="11">
        <f>IFERROR(__xludf.DUMMYFUNCTION("""COMPUTED_VALUE"""),46144.0)</f>
        <v>46144</v>
      </c>
      <c r="C1322" s="2" t="str">
        <f>IFERROR(__xludf.DUMMYFUNCTION("""COMPUTED_VALUE"""),"MOBILECARE - S'MAISON")</f>
        <v>MOBILECARE - S'MAISON</v>
      </c>
      <c r="D1322" s="2" t="str">
        <f>IFERROR(__xludf.DUMMYFUNCTION("""COMPUTED_VALUE"""),"661-21991")</f>
        <v>661-21991</v>
      </c>
      <c r="E1322" s="2" t="str">
        <f>IFERROR(__xludf.DUMMYFUNCTION("""COMPUTED_VALUE"""),"Battery, iPhone 13")</f>
        <v>Battery, iPhone 13</v>
      </c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10" t="str">
        <f t="shared" si="1"/>
        <v>May</v>
      </c>
      <c r="B1323" s="11">
        <f>IFERROR(__xludf.DUMMYFUNCTION("""COMPUTED_VALUE"""),46152.0)</f>
        <v>46152</v>
      </c>
      <c r="C1323" s="2" t="str">
        <f>IFERROR(__xludf.DUMMYFUNCTION("""COMPUTED_VALUE"""),"MOBILECARE - S'MAISON")</f>
        <v>MOBILECARE - S'MAISON</v>
      </c>
      <c r="D1323" s="2" t="str">
        <f>IFERROR(__xludf.DUMMYFUNCTION("""COMPUTED_VALUE"""),"661-21988")</f>
        <v>661-21988</v>
      </c>
      <c r="E1323" s="2" t="str">
        <f>IFERROR(__xludf.DUMMYFUNCTION("""COMPUTED_VALUE"""),"Display, iPhone 13")</f>
        <v>Display, iPhone 13</v>
      </c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10" t="str">
        <f t="shared" si="1"/>
        <v>March</v>
      </c>
      <c r="B1324" s="11">
        <f>IFERROR(__xludf.DUMMYFUNCTION("""COMPUTED_VALUE"""),46098.0)</f>
        <v>46098</v>
      </c>
      <c r="C1324" s="2" t="str">
        <f>IFERROR(__xludf.DUMMYFUNCTION("""COMPUTED_VALUE"""),"MOBILECARE - S'MAISON")</f>
        <v>MOBILECARE - S'MAISON</v>
      </c>
      <c r="D1324" s="2" t="str">
        <f>IFERROR(__xludf.DUMMYFUNCTION("""COMPUTED_VALUE"""),"661-42845")</f>
        <v>661-42845</v>
      </c>
      <c r="E1324" s="2" t="str">
        <f>IFERROR(__xludf.DUMMYFUNCTION("""COMPUTED_VALUE"""),"Camera, iPhone 16 Plus")</f>
        <v>Camera, iPhone 16 Plus</v>
      </c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10" t="str">
        <f t="shared" si="1"/>
        <v>March</v>
      </c>
      <c r="B1325" s="11">
        <f>IFERROR(__xludf.DUMMYFUNCTION("""COMPUTED_VALUE"""),46093.0)</f>
        <v>46093</v>
      </c>
      <c r="C1325" s="2" t="str">
        <f>IFERROR(__xludf.DUMMYFUNCTION("""COMPUTED_VALUE"""),"MOBILECARE - S'MAISON")</f>
        <v>MOBILECARE - S'MAISON</v>
      </c>
      <c r="D1325" s="2" t="str">
        <f>IFERROR(__xludf.DUMMYFUNCTION("""COMPUTED_VALUE"""),"661-21991")</f>
        <v>661-21991</v>
      </c>
      <c r="E1325" s="2" t="str">
        <f>IFERROR(__xludf.DUMMYFUNCTION("""COMPUTED_VALUE"""),"Battery, iPhone 13")</f>
        <v>Battery, iPhone 13</v>
      </c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10" t="str">
        <f t="shared" si="1"/>
        <v>February</v>
      </c>
      <c r="B1326" s="11">
        <f>IFERROR(__xludf.DUMMYFUNCTION("""COMPUTED_VALUE"""),46077.0)</f>
        <v>46077</v>
      </c>
      <c r="C1326" s="2" t="str">
        <f>IFERROR(__xludf.DUMMYFUNCTION("""COMPUTED_VALUE"""),"MOBILECARE - S'MAISON")</f>
        <v>MOBILECARE - S'MAISON</v>
      </c>
      <c r="D1326" s="2" t="str">
        <f>IFERROR(__xludf.DUMMYFUNCTION("""COMPUTED_VALUE"""),"661-21991")</f>
        <v>661-21991</v>
      </c>
      <c r="E1326" s="2" t="str">
        <f>IFERROR(__xludf.DUMMYFUNCTION("""COMPUTED_VALUE"""),"Battery, iPhone 13")</f>
        <v>Battery, iPhone 13</v>
      </c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10" t="str">
        <f t="shared" si="1"/>
        <v>February</v>
      </c>
      <c r="B1327" s="11">
        <f>IFERROR(__xludf.DUMMYFUNCTION("""COMPUTED_VALUE"""),46073.0)</f>
        <v>46073</v>
      </c>
      <c r="C1327" s="2" t="str">
        <f>IFERROR(__xludf.DUMMYFUNCTION("""COMPUTED_VALUE"""),"MOBILECARE - S'MAISON")</f>
        <v>MOBILECARE - S'MAISON</v>
      </c>
      <c r="D1327" s="2" t="str">
        <f>IFERROR(__xludf.DUMMYFUNCTION("""COMPUTED_VALUE"""),"661-18428")</f>
        <v>661-18428</v>
      </c>
      <c r="E1327" s="2" t="str">
        <f>IFERROR(__xludf.DUMMYFUNCTION("""COMPUTED_VALUE"""),"Battery, iPhone 12 Pro Max")</f>
        <v>Battery, iPhone 12 Pro Max</v>
      </c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10" t="str">
        <f t="shared" si="1"/>
        <v>February</v>
      </c>
      <c r="B1328" s="11">
        <f>IFERROR(__xludf.DUMMYFUNCTION("""COMPUTED_VALUE"""),46054.0)</f>
        <v>46054</v>
      </c>
      <c r="C1328" s="2" t="str">
        <f>IFERROR(__xludf.DUMMYFUNCTION("""COMPUTED_VALUE"""),"MOBILECARE - S'MAISON")</f>
        <v>MOBILECARE - S'MAISON</v>
      </c>
      <c r="D1328" s="2" t="str">
        <f>IFERROR(__xludf.DUMMYFUNCTION("""COMPUTED_VALUE"""),"661-22309")</f>
        <v>661-22309</v>
      </c>
      <c r="E1328" s="2" t="str">
        <f>IFERROR(__xludf.DUMMYFUNCTION("""COMPUTED_VALUE"""),"Display, iPhone 13 Pro Max")</f>
        <v>Display, iPhone 13 Pro Max</v>
      </c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10" t="str">
        <f t="shared" si="1"/>
        <v>January</v>
      </c>
      <c r="B1329" s="11">
        <f>IFERROR(__xludf.DUMMYFUNCTION("""COMPUTED_VALUE"""),46046.0)</f>
        <v>46046</v>
      </c>
      <c r="C1329" s="2" t="str">
        <f>IFERROR(__xludf.DUMMYFUNCTION("""COMPUTED_VALUE"""),"MOBILECARE - S'MAISON")</f>
        <v>MOBILECARE - S'MAISON</v>
      </c>
      <c r="D1329" s="2" t="str">
        <f>IFERROR(__xludf.DUMMYFUNCTION("""COMPUTED_VALUE"""),"661-21991")</f>
        <v>661-21991</v>
      </c>
      <c r="E1329" s="2" t="str">
        <f>IFERROR(__xludf.DUMMYFUNCTION("""COMPUTED_VALUE"""),"Battery, iPhone 13")</f>
        <v>Battery, iPhone 13</v>
      </c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10" t="str">
        <f t="shared" si="1"/>
        <v>May</v>
      </c>
      <c r="B1330" s="11">
        <f>IFERROR(__xludf.DUMMYFUNCTION("""COMPUTED_VALUE"""),46162.0)</f>
        <v>46162</v>
      </c>
      <c r="C1330" s="2" t="str">
        <f>IFERROR(__xludf.DUMMYFUNCTION("""COMPUTED_VALUE"""),"MOBILECARE - S'MAISON")</f>
        <v>MOBILECARE - S'MAISON</v>
      </c>
      <c r="D1330" s="2" t="str">
        <f>IFERROR(__xludf.DUMMYFUNCTION("""COMPUTED_VALUE"""),"661-22294")</f>
        <v>661-22294</v>
      </c>
      <c r="E1330" s="2" t="str">
        <f>IFERROR(__xludf.DUMMYFUNCTION("""COMPUTED_VALUE"""),"Battery, iPhone 13 Pro Max")</f>
        <v>Battery, iPhone 13 Pro Max</v>
      </c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10" t="str">
        <f t="shared" si="1"/>
        <v>May</v>
      </c>
      <c r="B1331" s="11">
        <f>IFERROR(__xludf.DUMMYFUNCTION("""COMPUTED_VALUE"""),46164.0)</f>
        <v>46164</v>
      </c>
      <c r="C1331" s="2" t="str">
        <f>IFERROR(__xludf.DUMMYFUNCTION("""COMPUTED_VALUE"""),"MOBILECARE - S'MAISON")</f>
        <v>MOBILECARE - S'MAISON</v>
      </c>
      <c r="D1331" s="2" t="str">
        <f>IFERROR(__xludf.DUMMYFUNCTION("""COMPUTED_VALUE"""),"661-35694")</f>
        <v>661-35694</v>
      </c>
      <c r="E1331" s="2" t="str">
        <f>IFERROR(__xludf.DUMMYFUNCTION("""COMPUTED_VALUE"""),"Battery, iPhone 15 Pro")</f>
        <v>Battery, iPhone 15 Pro</v>
      </c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10" t="str">
        <f t="shared" si="1"/>
        <v>June</v>
      </c>
      <c r="B1332" s="11">
        <f>IFERROR(__xludf.DUMMYFUNCTION("""COMPUTED_VALUE"""),46179.0)</f>
        <v>46179</v>
      </c>
      <c r="C1332" s="2" t="str">
        <f>IFERROR(__xludf.DUMMYFUNCTION("""COMPUTED_VALUE"""),"MOBILECARE - S'MAISON")</f>
        <v>MOBILECARE - S'MAISON</v>
      </c>
      <c r="D1332" s="2" t="str">
        <f>IFERROR(__xludf.DUMMYFUNCTION("""COMPUTED_VALUE"""),"Z661-56015")</f>
        <v>Z661-56015</v>
      </c>
      <c r="E1332" s="2" t="str">
        <f>IFERROR(__xludf.DUMMYFUNCTION("""COMPUTED_VALUE"""),"Logic Board, 256GB, iPhone 17, ROW")</f>
        <v>Logic Board, 256GB, iPhone 17, ROW</v>
      </c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10" t="str">
        <f t="shared" si="1"/>
        <v>April</v>
      </c>
      <c r="B1333" s="11">
        <f>IFERROR(__xludf.DUMMYFUNCTION("""COMPUTED_VALUE"""),46140.0)</f>
        <v>46140</v>
      </c>
      <c r="C1333" s="2" t="str">
        <f>IFERROR(__xludf.DUMMYFUNCTION("""COMPUTED_VALUE"""),"MOBILECARE - S'MAISON")</f>
        <v>MOBILECARE - S'MAISON</v>
      </c>
      <c r="D1333" s="2" t="str">
        <f>IFERROR(__xludf.DUMMYFUNCTION("""COMPUTED_VALUE"""),"Z661-55956")</f>
        <v>Z661-55956</v>
      </c>
      <c r="E1333" s="2" t="str">
        <f>IFERROR(__xludf.DUMMYFUNCTION("""COMPUTED_VALUE"""),"Logic Board, 256GB, iPhone 17 Pro Max, ROW")</f>
        <v>Logic Board, 256GB, iPhone 17 Pro Max, ROW</v>
      </c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10" t="str">
        <f t="shared" si="1"/>
        <v>April</v>
      </c>
      <c r="B1334" s="11">
        <f>IFERROR(__xludf.DUMMYFUNCTION("""COMPUTED_VALUE"""),46113.0)</f>
        <v>46113</v>
      </c>
      <c r="C1334" s="2" t="str">
        <f>IFERROR(__xludf.DUMMYFUNCTION("""COMPUTED_VALUE"""),"MOBILECARE - S'MAISON")</f>
        <v>MOBILECARE - S'MAISON</v>
      </c>
      <c r="D1334" s="2" t="str">
        <f>IFERROR(__xludf.DUMMYFUNCTION("""COMPUTED_VALUE"""),"661-21988")</f>
        <v>661-21988</v>
      </c>
      <c r="E1334" s="2" t="str">
        <f>IFERROR(__xludf.DUMMYFUNCTION("""COMPUTED_VALUE"""),"Display, iPhone 13")</f>
        <v>Display, iPhone 13</v>
      </c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10" t="str">
        <f t="shared" si="1"/>
        <v>March</v>
      </c>
      <c r="B1335" s="11">
        <f>IFERROR(__xludf.DUMMYFUNCTION("""COMPUTED_VALUE"""),46101.0)</f>
        <v>46101</v>
      </c>
      <c r="C1335" s="2" t="str">
        <f>IFERROR(__xludf.DUMMYFUNCTION("""COMPUTED_VALUE"""),"MOBILECARE - S'MAISON")</f>
        <v>MOBILECARE - S'MAISON</v>
      </c>
      <c r="D1335" s="2" t="str">
        <f>IFERROR(__xludf.DUMMYFUNCTION("""COMPUTED_VALUE"""),"661-21991")</f>
        <v>661-21991</v>
      </c>
      <c r="E1335" s="2" t="str">
        <f>IFERROR(__xludf.DUMMYFUNCTION("""COMPUTED_VALUE"""),"Battery, iPhone 13")</f>
        <v>Battery, iPhone 13</v>
      </c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10" t="str">
        <f t="shared" si="1"/>
        <v>March</v>
      </c>
      <c r="B1336" s="11">
        <f>IFERROR(__xludf.DUMMYFUNCTION("""COMPUTED_VALUE"""),46094.0)</f>
        <v>46094</v>
      </c>
      <c r="C1336" s="2" t="str">
        <f>IFERROR(__xludf.DUMMYFUNCTION("""COMPUTED_VALUE"""),"MOBILECARE - S'MAISON")</f>
        <v>MOBILECARE - S'MAISON</v>
      </c>
      <c r="D1336" s="2" t="str">
        <f>IFERROR(__xludf.DUMMYFUNCTION("""COMPUTED_VALUE"""),"661-21991")</f>
        <v>661-21991</v>
      </c>
      <c r="E1336" s="2" t="str">
        <f>IFERROR(__xludf.DUMMYFUNCTION("""COMPUTED_VALUE"""),"Battery, iPhone 13")</f>
        <v>Battery, iPhone 13</v>
      </c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10" t="str">
        <f t="shared" si="1"/>
        <v>February</v>
      </c>
      <c r="B1337" s="11">
        <f>IFERROR(__xludf.DUMMYFUNCTION("""COMPUTED_VALUE"""),46071.0)</f>
        <v>46071</v>
      </c>
      <c r="C1337" s="2" t="str">
        <f>IFERROR(__xludf.DUMMYFUNCTION("""COMPUTED_VALUE"""),"MOBILECARE - S'MAISON")</f>
        <v>MOBILECARE - S'MAISON</v>
      </c>
      <c r="D1337" s="2" t="str">
        <f>IFERROR(__xludf.DUMMYFUNCTION("""COMPUTED_VALUE"""),"661-22374")</f>
        <v>661-22374</v>
      </c>
      <c r="E1337" s="2" t="str">
        <f>IFERROR(__xludf.DUMMYFUNCTION("""COMPUTED_VALUE"""),"Battery, iPhone 13 mini")</f>
        <v>Battery, iPhone 13 mini</v>
      </c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10" t="str">
        <f t="shared" si="1"/>
        <v>March</v>
      </c>
      <c r="B1338" s="11">
        <f>IFERROR(__xludf.DUMMYFUNCTION("""COMPUTED_VALUE"""),46106.0)</f>
        <v>46106</v>
      </c>
      <c r="C1338" s="2" t="str">
        <f>IFERROR(__xludf.DUMMYFUNCTION("""COMPUTED_VALUE"""),"MOBILECARE - S'MAISON")</f>
        <v>MOBILECARE - S'MAISON</v>
      </c>
      <c r="D1338" s="2" t="str">
        <f>IFERROR(__xludf.DUMMYFUNCTION("""COMPUTED_VALUE"""),"Z661-55942")</f>
        <v>Z661-55942</v>
      </c>
      <c r="E1338" s="2" t="str">
        <f>IFERROR(__xludf.DUMMYFUNCTION("""COMPUTED_VALUE"""),"Logic Board, 256GB, A3523, ROW, iPhone 17 Pro")</f>
        <v>Logic Board, 256GB, A3523, ROW, iPhone 17 Pro</v>
      </c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10" t="str">
        <f t="shared" si="1"/>
        <v>March</v>
      </c>
      <c r="B1339" s="11">
        <f>IFERROR(__xludf.DUMMYFUNCTION("""COMPUTED_VALUE"""),46106.0)</f>
        <v>46106</v>
      </c>
      <c r="C1339" s="2" t="str">
        <f>IFERROR(__xludf.DUMMYFUNCTION("""COMPUTED_VALUE"""),"MOBILECARE - S'MAISON")</f>
        <v>MOBILECARE - S'MAISON</v>
      </c>
      <c r="D1339" s="2" t="str">
        <f>IFERROR(__xludf.DUMMYFUNCTION("""COMPUTED_VALUE"""),"ZP923-13639")</f>
        <v>ZP923-13639</v>
      </c>
      <c r="E1339" s="2" t="str">
        <f>IFERROR(__xludf.DUMMYFUNCTION("""COMPUTED_VALUE"""),"Cosmic Orange, Enclosure, ROW, iPhone 17 Pro")</f>
        <v>Cosmic Orange, Enclosure, ROW, iPhone 17 Pro</v>
      </c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10" t="str">
        <f t="shared" si="1"/>
        <v>February</v>
      </c>
      <c r="B1340" s="11">
        <f>IFERROR(__xludf.DUMMYFUNCTION("""COMPUTED_VALUE"""),46074.0)</f>
        <v>46074</v>
      </c>
      <c r="C1340" s="2" t="str">
        <f>IFERROR(__xludf.DUMMYFUNCTION("""COMPUTED_VALUE"""),"MOBILECARE - S'MAISON")</f>
        <v>MOBILECARE - S'MAISON</v>
      </c>
      <c r="D1340" s="2" t="str">
        <f>IFERROR(__xludf.DUMMYFUNCTION("""COMPUTED_VALUE"""),"661-21991")</f>
        <v>661-21991</v>
      </c>
      <c r="E1340" s="2" t="str">
        <f>IFERROR(__xludf.DUMMYFUNCTION("""COMPUTED_VALUE"""),"Battery, iPhone 13")</f>
        <v>Battery, iPhone 13</v>
      </c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10" t="str">
        <f t="shared" si="1"/>
        <v>June</v>
      </c>
      <c r="B1341" s="11">
        <f>IFERROR(__xludf.DUMMYFUNCTION("""COMPUTED_VALUE"""),46175.0)</f>
        <v>46175</v>
      </c>
      <c r="C1341" s="2" t="str">
        <f>IFERROR(__xludf.DUMMYFUNCTION("""COMPUTED_VALUE"""),"MOBILECARE - S'MAISON")</f>
        <v>MOBILECARE - S'MAISON</v>
      </c>
      <c r="D1341" s="2" t="str">
        <f>IFERROR(__xludf.DUMMYFUNCTION("""COMPUTED_VALUE"""),"661-21991")</f>
        <v>661-21991</v>
      </c>
      <c r="E1341" s="2" t="str">
        <f>IFERROR(__xludf.DUMMYFUNCTION("""COMPUTED_VALUE"""),"Battery, iPhone 13")</f>
        <v>Battery, iPhone 13</v>
      </c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10" t="str">
        <f t="shared" si="1"/>
        <v>April</v>
      </c>
      <c r="B1342" s="11">
        <f>IFERROR(__xludf.DUMMYFUNCTION("""COMPUTED_VALUE"""),46116.0)</f>
        <v>46116</v>
      </c>
      <c r="C1342" s="2" t="str">
        <f>IFERROR(__xludf.DUMMYFUNCTION("""COMPUTED_VALUE"""),"MOBILECARE - S'MAISON")</f>
        <v>MOBILECARE - S'MAISON</v>
      </c>
      <c r="D1342" s="2" t="str">
        <f>IFERROR(__xludf.DUMMYFUNCTION("""COMPUTED_VALUE"""),"661-21991")</f>
        <v>661-21991</v>
      </c>
      <c r="E1342" s="2" t="str">
        <f>IFERROR(__xludf.DUMMYFUNCTION("""COMPUTED_VALUE"""),"Battery, iPhone 13")</f>
        <v>Battery, iPhone 13</v>
      </c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10" t="str">
        <f t="shared" si="1"/>
        <v>March</v>
      </c>
      <c r="B1343" s="11">
        <f>IFERROR(__xludf.DUMMYFUNCTION("""COMPUTED_VALUE"""),46111.0)</f>
        <v>46111</v>
      </c>
      <c r="C1343" s="2" t="str">
        <f>IFERROR(__xludf.DUMMYFUNCTION("""COMPUTED_VALUE"""),"MOBILECARE - S'MAISON")</f>
        <v>MOBILECARE - S'MAISON</v>
      </c>
      <c r="D1343" s="2" t="str">
        <f>IFERROR(__xludf.DUMMYFUNCTION("""COMPUTED_VALUE"""),"661-13574")</f>
        <v>661-13574</v>
      </c>
      <c r="E1343" s="2" t="str">
        <f>IFERROR(__xludf.DUMMYFUNCTION("""COMPUTED_VALUE"""),"Battery, iPhone 11")</f>
        <v>Battery, iPhone 11</v>
      </c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10" t="str">
        <f t="shared" si="1"/>
        <v>April</v>
      </c>
      <c r="B1344" s="11">
        <f>IFERROR(__xludf.DUMMYFUNCTION("""COMPUTED_VALUE"""),46124.0)</f>
        <v>46124</v>
      </c>
      <c r="C1344" s="2" t="str">
        <f>IFERROR(__xludf.DUMMYFUNCTION("""COMPUTED_VALUE"""),"MOBILECARE - S'MAISON")</f>
        <v>MOBILECARE - S'MAISON</v>
      </c>
      <c r="D1344" s="2" t="str">
        <f>IFERROR(__xludf.DUMMYFUNCTION("""COMPUTED_VALUE"""),"Z661-55957")</f>
        <v>Z661-55957</v>
      </c>
      <c r="E1344" s="2" t="str">
        <f>IFERROR(__xludf.DUMMYFUNCTION("""COMPUTED_VALUE"""),"Logic Board, 512GB, iPhone 17 Pro Max, ROW")</f>
        <v>Logic Board, 512GB, iPhone 17 Pro Max, ROW</v>
      </c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10" t="str">
        <f t="shared" si="1"/>
        <v>February</v>
      </c>
      <c r="B1345" s="11">
        <f>IFERROR(__xludf.DUMMYFUNCTION("""COMPUTED_VALUE"""),46067.0)</f>
        <v>46067</v>
      </c>
      <c r="C1345" s="2" t="str">
        <f>IFERROR(__xludf.DUMMYFUNCTION("""COMPUTED_VALUE"""),"MOBILECARE - S'MAISON")</f>
        <v>MOBILECARE - S'MAISON</v>
      </c>
      <c r="D1345" s="2" t="str">
        <f>IFERROR(__xludf.DUMMYFUNCTION("""COMPUTED_VALUE"""),"661-17920")</f>
        <v>661-17920</v>
      </c>
      <c r="E1345" s="2" t="str">
        <f>IFERROR(__xludf.DUMMYFUNCTION("""COMPUTED_VALUE"""),"Battery, iPhone 12 and 12 Pro")</f>
        <v>Battery, iPhone 12 and 12 Pro</v>
      </c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10" t="str">
        <f t="shared" si="1"/>
        <v>February</v>
      </c>
      <c r="B1346" s="11">
        <f>IFERROR(__xludf.DUMMYFUNCTION("""COMPUTED_VALUE"""),46062.0)</f>
        <v>46062</v>
      </c>
      <c r="C1346" s="2" t="str">
        <f>IFERROR(__xludf.DUMMYFUNCTION("""COMPUTED_VALUE"""),"MOBILECARE - S'MAISON")</f>
        <v>MOBILECARE - S'MAISON</v>
      </c>
      <c r="D1346" s="2" t="str">
        <f>IFERROR(__xludf.DUMMYFUNCTION("""COMPUTED_VALUE"""),"661-21996")</f>
        <v>661-21996</v>
      </c>
      <c r="E1346" s="2" t="str">
        <f>IFERROR(__xludf.DUMMYFUNCTION("""COMPUTED_VALUE"""),"Battery, iPhone 13 Pro")</f>
        <v>Battery, iPhone 13 Pro</v>
      </c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10" t="str">
        <f t="shared" si="1"/>
        <v>January</v>
      </c>
      <c r="B1347" s="11">
        <f>IFERROR(__xludf.DUMMYFUNCTION("""COMPUTED_VALUE"""),46046.0)</f>
        <v>46046</v>
      </c>
      <c r="C1347" s="2" t="str">
        <f>IFERROR(__xludf.DUMMYFUNCTION("""COMPUTED_VALUE"""),"MOBILECARE - S'MAISON")</f>
        <v>MOBILECARE - S'MAISON</v>
      </c>
      <c r="D1347" s="2" t="str">
        <f>IFERROR(__xludf.DUMMYFUNCTION("""COMPUTED_VALUE"""),"661-22294")</f>
        <v>661-22294</v>
      </c>
      <c r="E1347" s="2" t="str">
        <f>IFERROR(__xludf.DUMMYFUNCTION("""COMPUTED_VALUE"""),"Battery, iPhone 13 Pro Max")</f>
        <v>Battery, iPhone 13 Pro Max</v>
      </c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10" t="str">
        <f t="shared" si="1"/>
        <v>January</v>
      </c>
      <c r="B1348" s="11">
        <f>IFERROR(__xludf.DUMMYFUNCTION("""COMPUTED_VALUE"""),46046.0)</f>
        <v>46046</v>
      </c>
      <c r="C1348" s="2" t="str">
        <f>IFERROR(__xludf.DUMMYFUNCTION("""COMPUTED_VALUE"""),"MOBILECARE - S'MAISON")</f>
        <v>MOBILECARE - S'MAISON</v>
      </c>
      <c r="D1348" s="2" t="str">
        <f>IFERROR(__xludf.DUMMYFUNCTION("""COMPUTED_VALUE"""),"661-44955")</f>
        <v>661-44955</v>
      </c>
      <c r="E1348" s="2" t="str">
        <f>IFERROR(__xludf.DUMMYFUNCTION("""COMPUTED_VALUE"""),"Display, iPhone 16 Pro Max")</f>
        <v>Display, iPhone 16 Pro Max</v>
      </c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10" t="str">
        <f t="shared" si="1"/>
        <v>June</v>
      </c>
      <c r="B1349" s="11">
        <f>IFERROR(__xludf.DUMMYFUNCTION("""COMPUTED_VALUE"""),46178.0)</f>
        <v>46178</v>
      </c>
      <c r="C1349" s="2" t="str">
        <f>IFERROR(__xludf.DUMMYFUNCTION("""COMPUTED_VALUE"""),"MOBILECARE - S'MAISON")</f>
        <v>MOBILECARE - S'MAISON</v>
      </c>
      <c r="D1349" s="2" t="str">
        <f>IFERROR(__xludf.DUMMYFUNCTION("""COMPUTED_VALUE"""),"661-56051")</f>
        <v>661-56051</v>
      </c>
      <c r="E1349" s="2" t="str">
        <f>IFERROR(__xludf.DUMMYFUNCTION("""COMPUTED_VALUE"""),"Front Camera, iPhone 17 Pro Max")</f>
        <v>Front Camera, iPhone 17 Pro Max</v>
      </c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10" t="str">
        <f t="shared" si="1"/>
        <v>May</v>
      </c>
      <c r="B1350" s="11">
        <f>IFERROR(__xludf.DUMMYFUNCTION("""COMPUTED_VALUE"""),46162.0)</f>
        <v>46162</v>
      </c>
      <c r="C1350" s="2" t="str">
        <f>IFERROR(__xludf.DUMMYFUNCTION("""COMPUTED_VALUE"""),"MOBILECARE - S'MAISON")</f>
        <v>MOBILECARE - S'MAISON</v>
      </c>
      <c r="D1350" s="2" t="str">
        <f>IFERROR(__xludf.DUMMYFUNCTION("""COMPUTED_VALUE"""),"661-21991")</f>
        <v>661-21991</v>
      </c>
      <c r="E1350" s="2" t="str">
        <f>IFERROR(__xludf.DUMMYFUNCTION("""COMPUTED_VALUE"""),"Battery, iPhone 13")</f>
        <v>Battery, iPhone 13</v>
      </c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10" t="str">
        <f t="shared" si="1"/>
        <v>May</v>
      </c>
      <c r="B1351" s="11">
        <f>IFERROR(__xludf.DUMMYFUNCTION("""COMPUTED_VALUE"""),46147.0)</f>
        <v>46147</v>
      </c>
      <c r="C1351" s="2" t="str">
        <f>IFERROR(__xludf.DUMMYFUNCTION("""COMPUTED_VALUE"""),"MOBILECARE - S'MAISON")</f>
        <v>MOBILECARE - S'MAISON</v>
      </c>
      <c r="D1351" s="2" t="str">
        <f>IFERROR(__xludf.DUMMYFUNCTION("""COMPUTED_VALUE"""),"661-18428")</f>
        <v>661-18428</v>
      </c>
      <c r="E1351" s="2" t="str">
        <f>IFERROR(__xludf.DUMMYFUNCTION("""COMPUTED_VALUE"""),"Battery, iPhone 12 Pro Max")</f>
        <v>Battery, iPhone 12 Pro Max</v>
      </c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10" t="str">
        <f t="shared" si="1"/>
        <v>May</v>
      </c>
      <c r="B1352" s="11">
        <f>IFERROR(__xludf.DUMMYFUNCTION("""COMPUTED_VALUE"""),46150.0)</f>
        <v>46150</v>
      </c>
      <c r="C1352" s="2" t="str">
        <f>IFERROR(__xludf.DUMMYFUNCTION("""COMPUTED_VALUE"""),"MOBILECARE - S'MAISON")</f>
        <v>MOBILECARE - S'MAISON</v>
      </c>
      <c r="D1352" s="2" t="str">
        <f>IFERROR(__xludf.DUMMYFUNCTION("""COMPUTED_VALUE"""),"661-18428")</f>
        <v>661-18428</v>
      </c>
      <c r="E1352" s="2" t="str">
        <f>IFERROR(__xludf.DUMMYFUNCTION("""COMPUTED_VALUE"""),"Battery, iPhone 12 Pro Max")</f>
        <v>Battery, iPhone 12 Pro Max</v>
      </c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10" t="str">
        <f t="shared" si="1"/>
        <v>April</v>
      </c>
      <c r="B1353" s="11">
        <f>IFERROR(__xludf.DUMMYFUNCTION("""COMPUTED_VALUE"""),46132.0)</f>
        <v>46132</v>
      </c>
      <c r="C1353" s="2" t="str">
        <f>IFERROR(__xludf.DUMMYFUNCTION("""COMPUTED_VALUE"""),"MOBILECARE - S'MAISON")</f>
        <v>MOBILECARE - S'MAISON</v>
      </c>
      <c r="D1353" s="2" t="str">
        <f>IFERROR(__xludf.DUMMYFUNCTION("""COMPUTED_VALUE"""),"661-13569")</f>
        <v>661-13569</v>
      </c>
      <c r="E1353" s="2" t="str">
        <f>IFERROR(__xludf.DUMMYFUNCTION("""COMPUTED_VALUE"""),"Battery, iPhone 11 Pro")</f>
        <v>Battery, iPhone 11 Pro</v>
      </c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10" t="str">
        <f t="shared" si="1"/>
        <v>April</v>
      </c>
      <c r="B1354" s="11">
        <f>IFERROR(__xludf.DUMMYFUNCTION("""COMPUTED_VALUE"""),46132.0)</f>
        <v>46132</v>
      </c>
      <c r="C1354" s="2" t="str">
        <f>IFERROR(__xludf.DUMMYFUNCTION("""COMPUTED_VALUE"""),"MOBILECARE - S'MAISON")</f>
        <v>MOBILECARE - S'MAISON</v>
      </c>
      <c r="D1354" s="2" t="str">
        <f>IFERROR(__xludf.DUMMYFUNCTION("""COMPUTED_VALUE"""),"661-21991")</f>
        <v>661-21991</v>
      </c>
      <c r="E1354" s="2" t="str">
        <f>IFERROR(__xludf.DUMMYFUNCTION("""COMPUTED_VALUE"""),"Battery, iPhone 13")</f>
        <v>Battery, iPhone 13</v>
      </c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10" t="str">
        <f t="shared" si="1"/>
        <v>April</v>
      </c>
      <c r="B1355" s="11">
        <f>IFERROR(__xludf.DUMMYFUNCTION("""COMPUTED_VALUE"""),46130.0)</f>
        <v>46130</v>
      </c>
      <c r="C1355" s="2" t="str">
        <f>IFERROR(__xludf.DUMMYFUNCTION("""COMPUTED_VALUE"""),"MOBILECARE - S'MAISON")</f>
        <v>MOBILECARE - S'MAISON</v>
      </c>
      <c r="D1355" s="2" t="str">
        <f>IFERROR(__xludf.DUMMYFUNCTION("""COMPUTED_VALUE"""),"661-21996")</f>
        <v>661-21996</v>
      </c>
      <c r="E1355" s="2" t="str">
        <f>IFERROR(__xludf.DUMMYFUNCTION("""COMPUTED_VALUE"""),"Battery, iPhone 13 Pro")</f>
        <v>Battery, iPhone 13 Pro</v>
      </c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10" t="str">
        <f t="shared" si="1"/>
        <v>April</v>
      </c>
      <c r="B1356" s="11">
        <f>IFERROR(__xludf.DUMMYFUNCTION("""COMPUTED_VALUE"""),46130.0)</f>
        <v>46130</v>
      </c>
      <c r="C1356" s="2" t="str">
        <f>IFERROR(__xludf.DUMMYFUNCTION("""COMPUTED_VALUE"""),"MOBILECARE - S'MAISON")</f>
        <v>MOBILECARE - S'MAISON</v>
      </c>
      <c r="D1356" s="2" t="str">
        <f>IFERROR(__xludf.DUMMYFUNCTION("""COMPUTED_VALUE"""),"661-21991")</f>
        <v>661-21991</v>
      </c>
      <c r="E1356" s="2" t="str">
        <f>IFERROR(__xludf.DUMMYFUNCTION("""COMPUTED_VALUE"""),"Battery, iPhone 13")</f>
        <v>Battery, iPhone 13</v>
      </c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10" t="str">
        <f t="shared" si="1"/>
        <v>April</v>
      </c>
      <c r="B1357" s="11">
        <f>IFERROR(__xludf.DUMMYFUNCTION("""COMPUTED_VALUE"""),46120.0)</f>
        <v>46120</v>
      </c>
      <c r="C1357" s="2" t="str">
        <f>IFERROR(__xludf.DUMMYFUNCTION("""COMPUTED_VALUE"""),"MOBILECARE - S'MAISON")</f>
        <v>MOBILECARE - S'MAISON</v>
      </c>
      <c r="D1357" s="2" t="str">
        <f>IFERROR(__xludf.DUMMYFUNCTION("""COMPUTED_VALUE"""),"ZP923-13786")</f>
        <v>ZP923-13786</v>
      </c>
      <c r="E1357" s="2" t="str">
        <f>IFERROR(__xludf.DUMMYFUNCTION("""COMPUTED_VALUE"""),"Cosmic Orange, Enclosure, iPhone 17 Pro Max, ROW")</f>
        <v>Cosmic Orange, Enclosure, iPhone 17 Pro Max, ROW</v>
      </c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10" t="str">
        <f t="shared" si="1"/>
        <v>April</v>
      </c>
      <c r="B1358" s="11">
        <f>IFERROR(__xludf.DUMMYFUNCTION("""COMPUTED_VALUE"""),46120.0)</f>
        <v>46120</v>
      </c>
      <c r="C1358" s="2" t="str">
        <f>IFERROR(__xludf.DUMMYFUNCTION("""COMPUTED_VALUE"""),"MOBILECARE - S'MAISON")</f>
        <v>MOBILECARE - S'MAISON</v>
      </c>
      <c r="D1358" s="2" t="str">
        <f>IFERROR(__xludf.DUMMYFUNCTION("""COMPUTED_VALUE"""),"Z661-55956")</f>
        <v>Z661-55956</v>
      </c>
      <c r="E1358" s="2" t="str">
        <f>IFERROR(__xludf.DUMMYFUNCTION("""COMPUTED_VALUE"""),"Logic Board, 256GB, iPhone 17 Pro Max, ROW")</f>
        <v>Logic Board, 256GB, iPhone 17 Pro Max, ROW</v>
      </c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10" t="str">
        <f t="shared" si="1"/>
        <v>February</v>
      </c>
      <c r="B1359" s="11">
        <f>IFERROR(__xludf.DUMMYFUNCTION("""COMPUTED_VALUE"""),46075.0)</f>
        <v>46075</v>
      </c>
      <c r="C1359" s="2" t="str">
        <f>IFERROR(__xludf.DUMMYFUNCTION("""COMPUTED_VALUE"""),"MOBILECARE - S'MAISON")</f>
        <v>MOBILECARE - S'MAISON</v>
      </c>
      <c r="D1359" s="2" t="str">
        <f>IFERROR(__xludf.DUMMYFUNCTION("""COMPUTED_VALUE"""),"661-22309")</f>
        <v>661-22309</v>
      </c>
      <c r="E1359" s="2" t="str">
        <f>IFERROR(__xludf.DUMMYFUNCTION("""COMPUTED_VALUE"""),"Display, iPhone 13 Pro Max")</f>
        <v>Display, iPhone 13 Pro Max</v>
      </c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10" t="str">
        <f t="shared" si="1"/>
        <v>March</v>
      </c>
      <c r="B1360" s="11">
        <f>IFERROR(__xludf.DUMMYFUNCTION("""COMPUTED_VALUE"""),46093.0)</f>
        <v>46093</v>
      </c>
      <c r="C1360" s="2" t="str">
        <f>IFERROR(__xludf.DUMMYFUNCTION("""COMPUTED_VALUE"""),"MOBILECARE - S'MAISON")</f>
        <v>MOBILECARE - S'MAISON</v>
      </c>
      <c r="D1360" s="2" t="str">
        <f>IFERROR(__xludf.DUMMYFUNCTION("""COMPUTED_VALUE"""),"661-22294")</f>
        <v>661-22294</v>
      </c>
      <c r="E1360" s="2" t="str">
        <f>IFERROR(__xludf.DUMMYFUNCTION("""COMPUTED_VALUE"""),"Battery, iPhone 13 Pro Max")</f>
        <v>Battery, iPhone 13 Pro Max</v>
      </c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10" t="str">
        <f t="shared" si="1"/>
        <v>March</v>
      </c>
      <c r="B1361" s="11">
        <f>IFERROR(__xludf.DUMMYFUNCTION("""COMPUTED_VALUE"""),46082.0)</f>
        <v>46082</v>
      </c>
      <c r="C1361" s="2" t="str">
        <f>IFERROR(__xludf.DUMMYFUNCTION("""COMPUTED_VALUE"""),"MOBILECARE - S'MAISON")</f>
        <v>MOBILECARE - S'MAISON</v>
      </c>
      <c r="D1361" s="2" t="str">
        <f>IFERROR(__xludf.DUMMYFUNCTION("""COMPUTED_VALUE"""),"TA661-36895")</f>
        <v>TA661-36895</v>
      </c>
      <c r="E1361" s="2" t="str">
        <f>IFERROR(__xludf.DUMMYFUNCTION("""COMPUTED_VALUE"""),"White, iPhone 15 Pro Max, 256GB, ROW, CI/AR, Taiwan")</f>
        <v>White, iPhone 15 Pro Max, 256GB, ROW, CI/AR, Taiwan</v>
      </c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10" t="str">
        <f t="shared" si="1"/>
        <v>February</v>
      </c>
      <c r="B1362" s="11">
        <f>IFERROR(__xludf.DUMMYFUNCTION("""COMPUTED_VALUE"""),46067.0)</f>
        <v>46067</v>
      </c>
      <c r="C1362" s="2" t="str">
        <f>IFERROR(__xludf.DUMMYFUNCTION("""COMPUTED_VALUE"""),"MOBILECARE - S'MAISON")</f>
        <v>MOBILECARE - S'MAISON</v>
      </c>
      <c r="D1362" s="2" t="str">
        <f>IFERROR(__xludf.DUMMYFUNCTION("""COMPUTED_VALUE"""),"661-35694")</f>
        <v>661-35694</v>
      </c>
      <c r="E1362" s="2" t="str">
        <f>IFERROR(__xludf.DUMMYFUNCTION("""COMPUTED_VALUE"""),"Battery, iPhone 15 Pro")</f>
        <v>Battery, iPhone 15 Pro</v>
      </c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10" t="str">
        <f t="shared" si="1"/>
        <v>February</v>
      </c>
      <c r="B1363" s="11">
        <f>IFERROR(__xludf.DUMMYFUNCTION("""COMPUTED_VALUE"""),46069.0)</f>
        <v>46069</v>
      </c>
      <c r="C1363" s="2" t="str">
        <f>IFERROR(__xludf.DUMMYFUNCTION("""COMPUTED_VALUE"""),"MOBILECARE - S'MAISON")</f>
        <v>MOBILECARE - S'MAISON</v>
      </c>
      <c r="D1363" s="2" t="str">
        <f>IFERROR(__xludf.DUMMYFUNCTION("""COMPUTED_VALUE"""),"661-21991")</f>
        <v>661-21991</v>
      </c>
      <c r="E1363" s="2" t="str">
        <f>IFERROR(__xludf.DUMMYFUNCTION("""COMPUTED_VALUE"""),"Battery, iPhone 13")</f>
        <v>Battery, iPhone 13</v>
      </c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10" t="str">
        <f t="shared" si="1"/>
        <v>February</v>
      </c>
      <c r="B1364" s="11">
        <f>IFERROR(__xludf.DUMMYFUNCTION("""COMPUTED_VALUE"""),46057.0)</f>
        <v>46057</v>
      </c>
      <c r="C1364" s="2" t="str">
        <f>IFERROR(__xludf.DUMMYFUNCTION("""COMPUTED_VALUE"""),"MOBILECARE - S'MAISON")</f>
        <v>MOBILECARE - S'MAISON</v>
      </c>
      <c r="D1364" s="2" t="str">
        <f>IFERROR(__xludf.DUMMYFUNCTION("""COMPUTED_VALUE"""),"661-36918")</f>
        <v>661-36918</v>
      </c>
      <c r="E1364" s="2" t="str">
        <f>IFERROR(__xludf.DUMMYFUNCTION("""COMPUTED_VALUE"""),"Battery, iPhone 15 Pro Max")</f>
        <v>Battery, iPhone 15 Pro Max</v>
      </c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10" t="str">
        <f t="shared" si="1"/>
        <v>June</v>
      </c>
      <c r="B1365" s="11">
        <f>IFERROR(__xludf.DUMMYFUNCTION("""COMPUTED_VALUE"""),46186.0)</f>
        <v>46186</v>
      </c>
      <c r="C1365" s="2" t="str">
        <f>IFERROR(__xludf.DUMMYFUNCTION("""COMPUTED_VALUE"""),"MOBILECARE - S'MAISON")</f>
        <v>MOBILECARE - S'MAISON</v>
      </c>
      <c r="D1365" s="2" t="str">
        <f>IFERROR(__xludf.DUMMYFUNCTION("""COMPUTED_VALUE"""),"661-21991")</f>
        <v>661-21991</v>
      </c>
      <c r="E1365" s="2" t="str">
        <f>IFERROR(__xludf.DUMMYFUNCTION("""COMPUTED_VALUE"""),"Battery, iPhone 13")</f>
        <v>Battery, iPhone 13</v>
      </c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10" t="str">
        <f t="shared" si="1"/>
        <v>May</v>
      </c>
      <c r="B1366" s="11">
        <f>IFERROR(__xludf.DUMMYFUNCTION("""COMPUTED_VALUE"""),46164.0)</f>
        <v>46164</v>
      </c>
      <c r="C1366" s="2" t="str">
        <f>IFERROR(__xludf.DUMMYFUNCTION("""COMPUTED_VALUE"""),"MOBILECARE - S'MAISON")</f>
        <v>MOBILECARE - S'MAISON</v>
      </c>
      <c r="D1366" s="2" t="str">
        <f>IFERROR(__xludf.DUMMYFUNCTION("""COMPUTED_VALUE"""),"661-22294")</f>
        <v>661-22294</v>
      </c>
      <c r="E1366" s="2" t="str">
        <f>IFERROR(__xludf.DUMMYFUNCTION("""COMPUTED_VALUE"""),"Battery, iPhone 13 Pro Max")</f>
        <v>Battery, iPhone 13 Pro Max</v>
      </c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10" t="str">
        <f t="shared" si="1"/>
        <v>April</v>
      </c>
      <c r="B1367" s="11">
        <f>IFERROR(__xludf.DUMMYFUNCTION("""COMPUTED_VALUE"""),46132.0)</f>
        <v>46132</v>
      </c>
      <c r="C1367" s="2" t="str">
        <f>IFERROR(__xludf.DUMMYFUNCTION("""COMPUTED_VALUE"""),"MOBILECARE - S'MAISON")</f>
        <v>MOBILECARE - S'MAISON</v>
      </c>
      <c r="D1367" s="2" t="str">
        <f>IFERROR(__xludf.DUMMYFUNCTION("""COMPUTED_VALUE"""),"661-22294")</f>
        <v>661-22294</v>
      </c>
      <c r="E1367" s="2" t="str">
        <f>IFERROR(__xludf.DUMMYFUNCTION("""COMPUTED_VALUE"""),"Battery, iPhone 13 Pro Max")</f>
        <v>Battery, iPhone 13 Pro Max</v>
      </c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10" t="str">
        <f t="shared" si="1"/>
        <v>April</v>
      </c>
      <c r="B1368" s="11">
        <f>IFERROR(__xludf.DUMMYFUNCTION("""COMPUTED_VALUE"""),46131.0)</f>
        <v>46131</v>
      </c>
      <c r="C1368" s="2" t="str">
        <f>IFERROR(__xludf.DUMMYFUNCTION("""COMPUTED_VALUE"""),"MOBILECARE - S'MAISON")</f>
        <v>MOBILECARE - S'MAISON</v>
      </c>
      <c r="D1368" s="2" t="str">
        <f>IFERROR(__xludf.DUMMYFUNCTION("""COMPUTED_VALUE"""),"661-22294")</f>
        <v>661-22294</v>
      </c>
      <c r="E1368" s="2" t="str">
        <f>IFERROR(__xludf.DUMMYFUNCTION("""COMPUTED_VALUE"""),"Battery, iPhone 13 Pro Max")</f>
        <v>Battery, iPhone 13 Pro Max</v>
      </c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10" t="str">
        <f t="shared" si="1"/>
        <v>March</v>
      </c>
      <c r="B1369" s="11">
        <f>IFERROR(__xludf.DUMMYFUNCTION("""COMPUTED_VALUE"""),46108.0)</f>
        <v>46108</v>
      </c>
      <c r="C1369" s="2" t="str">
        <f>IFERROR(__xludf.DUMMYFUNCTION("""COMPUTED_VALUE"""),"MOBILECARE - S'MAISON")</f>
        <v>MOBILECARE - S'MAISON</v>
      </c>
      <c r="D1369" s="2" t="str">
        <f>IFERROR(__xludf.DUMMYFUNCTION("""COMPUTED_VALUE"""),"661-21991")</f>
        <v>661-21991</v>
      </c>
      <c r="E1369" s="2" t="str">
        <f>IFERROR(__xludf.DUMMYFUNCTION("""COMPUTED_VALUE"""),"Battery, iPhone 13")</f>
        <v>Battery, iPhone 13</v>
      </c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10" t="str">
        <f t="shared" si="1"/>
        <v>February</v>
      </c>
      <c r="B1370" s="11">
        <f>IFERROR(__xludf.DUMMYFUNCTION("""COMPUTED_VALUE"""),46079.0)</f>
        <v>46079</v>
      </c>
      <c r="C1370" s="2" t="str">
        <f>IFERROR(__xludf.DUMMYFUNCTION("""COMPUTED_VALUE"""),"MOBILECARE - S'MAISON")</f>
        <v>MOBILECARE - S'MAISON</v>
      </c>
      <c r="D1370" s="2" t="str">
        <f>IFERROR(__xludf.DUMMYFUNCTION("""COMPUTED_VALUE"""),"661-56125")</f>
        <v>661-56125</v>
      </c>
      <c r="E1370" s="2" t="str">
        <f>IFERROR(__xludf.DUMMYFUNCTION("""COMPUTED_VALUE"""),"Display, iPhone 17 Pro")</f>
        <v>Display, iPhone 17 Pro</v>
      </c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10" t="str">
        <f t="shared" si="1"/>
        <v>February</v>
      </c>
      <c r="B1371" s="11">
        <f>IFERROR(__xludf.DUMMYFUNCTION("""COMPUTED_VALUE"""),46074.0)</f>
        <v>46074</v>
      </c>
      <c r="C1371" s="2" t="str">
        <f>IFERROR(__xludf.DUMMYFUNCTION("""COMPUTED_VALUE"""),"MOBILECARE - S'MAISON")</f>
        <v>MOBILECARE - S'MAISON</v>
      </c>
      <c r="D1371" s="2" t="str">
        <f>IFERROR(__xludf.DUMMYFUNCTION("""COMPUTED_VALUE"""),"661-13574")</f>
        <v>661-13574</v>
      </c>
      <c r="E1371" s="2" t="str">
        <f>IFERROR(__xludf.DUMMYFUNCTION("""COMPUTED_VALUE"""),"Battery, iPhone 11")</f>
        <v>Battery, iPhone 11</v>
      </c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10" t="str">
        <f t="shared" si="1"/>
        <v>February</v>
      </c>
      <c r="B1372" s="11">
        <f>IFERROR(__xludf.DUMMYFUNCTION("""COMPUTED_VALUE"""),46070.0)</f>
        <v>46070</v>
      </c>
      <c r="C1372" s="2" t="str">
        <f>IFERROR(__xludf.DUMMYFUNCTION("""COMPUTED_VALUE"""),"MOBILECARE - S'MAISON")</f>
        <v>MOBILECARE - S'MAISON</v>
      </c>
      <c r="D1372" s="2" t="str">
        <f>IFERROR(__xludf.DUMMYFUNCTION("""COMPUTED_VALUE"""),"661-21991")</f>
        <v>661-21991</v>
      </c>
      <c r="E1372" s="2" t="str">
        <f>IFERROR(__xludf.DUMMYFUNCTION("""COMPUTED_VALUE"""),"Battery, iPhone 13")</f>
        <v>Battery, iPhone 13</v>
      </c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10" t="str">
        <f t="shared" si="1"/>
        <v>March</v>
      </c>
      <c r="B1373" s="11">
        <f>IFERROR(__xludf.DUMMYFUNCTION("""COMPUTED_VALUE"""),46091.0)</f>
        <v>46091</v>
      </c>
      <c r="C1373" s="2" t="str">
        <f>IFERROR(__xludf.DUMMYFUNCTION("""COMPUTED_VALUE"""),"MOBILECARE - S'MAISON")</f>
        <v>MOBILECARE - S'MAISON</v>
      </c>
      <c r="D1373" s="2" t="str">
        <f>IFERROR(__xludf.DUMMYFUNCTION("""COMPUTED_VALUE"""),"661-22294")</f>
        <v>661-22294</v>
      </c>
      <c r="E1373" s="2" t="str">
        <f>IFERROR(__xludf.DUMMYFUNCTION("""COMPUTED_VALUE"""),"Battery, iPhone 13 Pro Max")</f>
        <v>Battery, iPhone 13 Pro Max</v>
      </c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10" t="str">
        <f t="shared" si="1"/>
        <v>February</v>
      </c>
      <c r="B1374" s="11">
        <f>IFERROR(__xludf.DUMMYFUNCTION("""COMPUTED_VALUE"""),46068.0)</f>
        <v>46068</v>
      </c>
      <c r="C1374" s="2" t="str">
        <f>IFERROR(__xludf.DUMMYFUNCTION("""COMPUTED_VALUE"""),"MOBILECARE - S'MAISON")</f>
        <v>MOBILECARE - S'MAISON</v>
      </c>
      <c r="D1374" s="2" t="str">
        <f>IFERROR(__xludf.DUMMYFUNCTION("""COMPUTED_VALUE"""),"661-35694")</f>
        <v>661-35694</v>
      </c>
      <c r="E1374" s="2" t="str">
        <f>IFERROR(__xludf.DUMMYFUNCTION("""COMPUTED_VALUE"""),"Battery, iPhone 15 Pro")</f>
        <v>Battery, iPhone 15 Pro</v>
      </c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10" t="str">
        <f t="shared" si="1"/>
        <v>June</v>
      </c>
      <c r="B1375" s="11">
        <f>IFERROR(__xludf.DUMMYFUNCTION("""COMPUTED_VALUE"""),46186.0)</f>
        <v>46186</v>
      </c>
      <c r="C1375" s="2" t="str">
        <f>IFERROR(__xludf.DUMMYFUNCTION("""COMPUTED_VALUE"""),"MOBILECARE - S'MAISON")</f>
        <v>MOBILECARE - S'MAISON</v>
      </c>
      <c r="D1375" s="2" t="str">
        <f>IFERROR(__xludf.DUMMYFUNCTION("""COMPUTED_VALUE"""),"661-21991")</f>
        <v>661-21991</v>
      </c>
      <c r="E1375" s="2" t="str">
        <f>IFERROR(__xludf.DUMMYFUNCTION("""COMPUTED_VALUE"""),"Battery, iPhone 13")</f>
        <v>Battery, iPhone 13</v>
      </c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10" t="str">
        <f t="shared" si="1"/>
        <v>June</v>
      </c>
      <c r="B1376" s="11">
        <f>IFERROR(__xludf.DUMMYFUNCTION("""COMPUTED_VALUE"""),46183.0)</f>
        <v>46183</v>
      </c>
      <c r="C1376" s="2" t="str">
        <f>IFERROR(__xludf.DUMMYFUNCTION("""COMPUTED_VALUE"""),"MOBILECARE - S'MAISON")</f>
        <v>MOBILECARE - S'MAISON</v>
      </c>
      <c r="D1376" s="2" t="str">
        <f>IFERROR(__xludf.DUMMYFUNCTION("""COMPUTED_VALUE"""),"661-30366")</f>
        <v>661-30366</v>
      </c>
      <c r="E1376" s="2" t="str">
        <f>IFERROR(__xludf.DUMMYFUNCTION("""COMPUTED_VALUE"""),"Display, iPhone 14")</f>
        <v>Display, iPhone 14</v>
      </c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10" t="str">
        <f t="shared" si="1"/>
        <v>May</v>
      </c>
      <c r="B1377" s="11">
        <f>IFERROR(__xludf.DUMMYFUNCTION("""COMPUTED_VALUE"""),46166.0)</f>
        <v>46166</v>
      </c>
      <c r="C1377" s="2" t="str">
        <f>IFERROR(__xludf.DUMMYFUNCTION("""COMPUTED_VALUE"""),"MOBILECARE - S'MAISON")</f>
        <v>MOBILECARE - S'MAISON</v>
      </c>
      <c r="D1377" s="2" t="str">
        <f>IFERROR(__xludf.DUMMYFUNCTION("""COMPUTED_VALUE"""),"661-21991")</f>
        <v>661-21991</v>
      </c>
      <c r="E1377" s="2" t="str">
        <f>IFERROR(__xludf.DUMMYFUNCTION("""COMPUTED_VALUE"""),"Battery, iPhone 13")</f>
        <v>Battery, iPhone 13</v>
      </c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10" t="str">
        <f t="shared" si="1"/>
        <v>April</v>
      </c>
      <c r="B1378" s="11">
        <f>IFERROR(__xludf.DUMMYFUNCTION("""COMPUTED_VALUE"""),46136.0)</f>
        <v>46136</v>
      </c>
      <c r="C1378" s="2" t="str">
        <f>IFERROR(__xludf.DUMMYFUNCTION("""COMPUTED_VALUE"""),"MOBILECARE - S'MAISON")</f>
        <v>MOBILECARE - S'MAISON</v>
      </c>
      <c r="D1378" s="2" t="str">
        <f>IFERROR(__xludf.DUMMYFUNCTION("""COMPUTED_VALUE"""),"661-44955")</f>
        <v>661-44955</v>
      </c>
      <c r="E1378" s="2" t="str">
        <f>IFERROR(__xludf.DUMMYFUNCTION("""COMPUTED_VALUE"""),"Display, iPhone 16 Pro Max")</f>
        <v>Display, iPhone 16 Pro Max</v>
      </c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10" t="str">
        <f t="shared" si="1"/>
        <v>May</v>
      </c>
      <c r="B1379" s="11">
        <f>IFERROR(__xludf.DUMMYFUNCTION("""COMPUTED_VALUE"""),46144.0)</f>
        <v>46144</v>
      </c>
      <c r="C1379" s="2" t="str">
        <f>IFERROR(__xludf.DUMMYFUNCTION("""COMPUTED_VALUE"""),"MOBILECARE - S'MAISON")</f>
        <v>MOBILECARE - S'MAISON</v>
      </c>
      <c r="D1379" s="2" t="str">
        <f>IFERROR(__xludf.DUMMYFUNCTION("""COMPUTED_VALUE"""),"661-30373")</f>
        <v>661-30373</v>
      </c>
      <c r="E1379" s="2" t="str">
        <f>IFERROR(__xludf.DUMMYFUNCTION("""COMPUTED_VALUE"""),"Battery, iPhone 14")</f>
        <v>Battery, iPhone 14</v>
      </c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10" t="str">
        <f t="shared" si="1"/>
        <v>February</v>
      </c>
      <c r="B1380" s="11">
        <f>IFERROR(__xludf.DUMMYFUNCTION("""COMPUTED_VALUE"""),46081.0)</f>
        <v>46081</v>
      </c>
      <c r="C1380" s="2" t="str">
        <f>IFERROR(__xludf.DUMMYFUNCTION("""COMPUTED_VALUE"""),"MOBILECARE - S'MAISON")</f>
        <v>MOBILECARE - S'MAISON</v>
      </c>
      <c r="D1380" s="2" t="str">
        <f>IFERROR(__xludf.DUMMYFUNCTION("""COMPUTED_VALUE"""),"661-21991")</f>
        <v>661-21991</v>
      </c>
      <c r="E1380" s="2" t="str">
        <f>IFERROR(__xludf.DUMMYFUNCTION("""COMPUTED_VALUE"""),"Battery, iPhone 13")</f>
        <v>Battery, iPhone 13</v>
      </c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10" t="str">
        <f t="shared" si="1"/>
        <v>February</v>
      </c>
      <c r="B1381" s="11">
        <f>IFERROR(__xludf.DUMMYFUNCTION("""COMPUTED_VALUE"""),46076.0)</f>
        <v>46076</v>
      </c>
      <c r="C1381" s="2" t="str">
        <f>IFERROR(__xludf.DUMMYFUNCTION("""COMPUTED_VALUE"""),"MOBILECARE - S'MAISON")</f>
        <v>MOBILECARE - S'MAISON</v>
      </c>
      <c r="D1381" s="2" t="str">
        <f>IFERROR(__xludf.DUMMYFUNCTION("""COMPUTED_VALUE"""),"661-42726")</f>
        <v>661-42726</v>
      </c>
      <c r="E1381" s="2" t="str">
        <f>IFERROR(__xludf.DUMMYFUNCTION("""COMPUTED_VALUE"""),"Display, iPhone 16 Pro")</f>
        <v>Display, iPhone 16 Pro</v>
      </c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10" t="str">
        <f t="shared" si="1"/>
        <v>February</v>
      </c>
      <c r="B1382" s="11">
        <f>IFERROR(__xludf.DUMMYFUNCTION("""COMPUTED_VALUE"""),46074.0)</f>
        <v>46074</v>
      </c>
      <c r="C1382" s="2" t="str">
        <f>IFERROR(__xludf.DUMMYFUNCTION("""COMPUTED_VALUE"""),"MOBILECARE - S'MAISON")</f>
        <v>MOBILECARE - S'MAISON</v>
      </c>
      <c r="D1382" s="2" t="str">
        <f>IFERROR(__xludf.DUMMYFUNCTION("""COMPUTED_VALUE"""),"661-30382")</f>
        <v>661-30382</v>
      </c>
      <c r="E1382" s="2" t="str">
        <f>IFERROR(__xludf.DUMMYFUNCTION("""COMPUTED_VALUE"""),"Battery, iPhone 14 Pro")</f>
        <v>Battery, iPhone 14 Pro</v>
      </c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10" t="str">
        <f t="shared" si="1"/>
        <v>February</v>
      </c>
      <c r="B1383" s="11">
        <f>IFERROR(__xludf.DUMMYFUNCTION("""COMPUTED_VALUE"""),46070.0)</f>
        <v>46070</v>
      </c>
      <c r="C1383" s="2" t="str">
        <f>IFERROR(__xludf.DUMMYFUNCTION("""COMPUTED_VALUE"""),"MOBILECARE - S'MAISON")</f>
        <v>MOBILECARE - S'MAISON</v>
      </c>
      <c r="D1383" s="2" t="str">
        <f>IFERROR(__xludf.DUMMYFUNCTION("""COMPUTED_VALUE"""),"661-22374")</f>
        <v>661-22374</v>
      </c>
      <c r="E1383" s="2" t="str">
        <f>IFERROR(__xludf.DUMMYFUNCTION("""COMPUTED_VALUE"""),"Battery, iPhone 13 mini")</f>
        <v>Battery, iPhone 13 mini</v>
      </c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10" t="str">
        <f t="shared" si="1"/>
        <v>February</v>
      </c>
      <c r="B1384" s="11">
        <f>IFERROR(__xludf.DUMMYFUNCTION("""COMPUTED_VALUE"""),46073.0)</f>
        <v>46073</v>
      </c>
      <c r="C1384" s="2" t="str">
        <f>IFERROR(__xludf.DUMMYFUNCTION("""COMPUTED_VALUE"""),"MOBILECARE - S'MAISON")</f>
        <v>MOBILECARE - S'MAISON</v>
      </c>
      <c r="D1384" s="2" t="str">
        <f>IFERROR(__xludf.DUMMYFUNCTION("""COMPUTED_VALUE"""),"661-21991")</f>
        <v>661-21991</v>
      </c>
      <c r="E1384" s="2" t="str">
        <f>IFERROR(__xludf.DUMMYFUNCTION("""COMPUTED_VALUE"""),"Battery, iPhone 13")</f>
        <v>Battery, iPhone 13</v>
      </c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10" t="str">
        <f t="shared" si="1"/>
        <v>January</v>
      </c>
      <c r="B1385" s="11">
        <f>IFERROR(__xludf.DUMMYFUNCTION("""COMPUTED_VALUE"""),46053.0)</f>
        <v>46053</v>
      </c>
      <c r="C1385" s="2" t="str">
        <f>IFERROR(__xludf.DUMMYFUNCTION("""COMPUTED_VALUE"""),"MOBILECARE - S'MAISON")</f>
        <v>MOBILECARE - S'MAISON</v>
      </c>
      <c r="D1385" s="2" t="str">
        <f>IFERROR(__xludf.DUMMYFUNCTION("""COMPUTED_VALUE"""),"661-44955")</f>
        <v>661-44955</v>
      </c>
      <c r="E1385" s="2" t="str">
        <f>IFERROR(__xludf.DUMMYFUNCTION("""COMPUTED_VALUE"""),"Display, iPhone 16 Pro Max")</f>
        <v>Display, iPhone 16 Pro Max</v>
      </c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10" t="str">
        <f t="shared" si="1"/>
        <v>February</v>
      </c>
      <c r="B1386" s="11">
        <f>IFERROR(__xludf.DUMMYFUNCTION("""COMPUTED_VALUE"""),46059.0)</f>
        <v>46059</v>
      </c>
      <c r="C1386" s="2" t="str">
        <f>IFERROR(__xludf.DUMMYFUNCTION("""COMPUTED_VALUE"""),"MOBILECARE - S'MAISON")</f>
        <v>MOBILECARE - S'MAISON</v>
      </c>
      <c r="D1386" s="2" t="str">
        <f>IFERROR(__xludf.DUMMYFUNCTION("""COMPUTED_VALUE"""),"661-30397")</f>
        <v>661-30397</v>
      </c>
      <c r="E1386" s="2" t="str">
        <f>IFERROR(__xludf.DUMMYFUNCTION("""COMPUTED_VALUE"""),"Battery, iPhone 14 Pro Max")</f>
        <v>Battery, iPhone 14 Pro Max</v>
      </c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10" t="str">
        <f t="shared" si="1"/>
        <v>February</v>
      </c>
      <c r="B1387" s="11">
        <f>IFERROR(__xludf.DUMMYFUNCTION("""COMPUTED_VALUE"""),46056.0)</f>
        <v>46056</v>
      </c>
      <c r="C1387" s="2" t="str">
        <f>IFERROR(__xludf.DUMMYFUNCTION("""COMPUTED_VALUE"""),"MOBILECARE - S'MAISON")</f>
        <v>MOBILECARE - S'MAISON</v>
      </c>
      <c r="D1387" s="2" t="str">
        <f>IFERROR(__xludf.DUMMYFUNCTION("""COMPUTED_VALUE"""),"661-22309")</f>
        <v>661-22309</v>
      </c>
      <c r="E1387" s="2" t="str">
        <f>IFERROR(__xludf.DUMMYFUNCTION("""COMPUTED_VALUE"""),"Display, iPhone 13 Pro Max")</f>
        <v>Display, iPhone 13 Pro Max</v>
      </c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10" t="str">
        <f t="shared" si="1"/>
        <v>January</v>
      </c>
      <c r="B1388" s="11">
        <f>IFERROR(__xludf.DUMMYFUNCTION("""COMPUTED_VALUE"""),46043.0)</f>
        <v>46043</v>
      </c>
      <c r="C1388" s="2" t="str">
        <f>IFERROR(__xludf.DUMMYFUNCTION("""COMPUTED_VALUE"""),"MOBILECARE - S'MAISON")</f>
        <v>MOBILECARE - S'MAISON</v>
      </c>
      <c r="D1388" s="2" t="str">
        <f>IFERROR(__xludf.DUMMYFUNCTION("""COMPUTED_VALUE"""),"661-56125")</f>
        <v>661-56125</v>
      </c>
      <c r="E1388" s="2" t="str">
        <f>IFERROR(__xludf.DUMMYFUNCTION("""COMPUTED_VALUE"""),"Display, iPhone 17 Pro")</f>
        <v>Display, iPhone 17 Pro</v>
      </c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10" t="str">
        <f t="shared" si="1"/>
        <v>June</v>
      </c>
      <c r="B1389" s="11">
        <f>IFERROR(__xludf.DUMMYFUNCTION("""COMPUTED_VALUE"""),46190.0)</f>
        <v>46190</v>
      </c>
      <c r="C1389" s="2" t="str">
        <f>IFERROR(__xludf.DUMMYFUNCTION("""COMPUTED_VALUE"""),"MOBILECARE - S'MAISON")</f>
        <v>MOBILECARE - S'MAISON</v>
      </c>
      <c r="D1389" s="2" t="str">
        <f>IFERROR(__xludf.DUMMYFUNCTION("""COMPUTED_VALUE"""),"661-21991")</f>
        <v>661-21991</v>
      </c>
      <c r="E1389" s="2" t="str">
        <f>IFERROR(__xludf.DUMMYFUNCTION("""COMPUTED_VALUE"""),"Battery, iPhone 13")</f>
        <v>Battery, iPhone 13</v>
      </c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10" t="str">
        <f t="shared" si="1"/>
        <v>June</v>
      </c>
      <c r="B1390" s="11">
        <f>IFERROR(__xludf.DUMMYFUNCTION("""COMPUTED_VALUE"""),46186.0)</f>
        <v>46186</v>
      </c>
      <c r="C1390" s="2" t="str">
        <f>IFERROR(__xludf.DUMMYFUNCTION("""COMPUTED_VALUE"""),"MOBILECARE - S'MAISON")</f>
        <v>MOBILECARE - S'MAISON</v>
      </c>
      <c r="D1390" s="2" t="str">
        <f>IFERROR(__xludf.DUMMYFUNCTION("""COMPUTED_VALUE"""),"661-21991")</f>
        <v>661-21991</v>
      </c>
      <c r="E1390" s="2" t="str">
        <f>IFERROR(__xludf.DUMMYFUNCTION("""COMPUTED_VALUE"""),"Battery, iPhone 13")</f>
        <v>Battery, iPhone 13</v>
      </c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10" t="str">
        <f t="shared" si="1"/>
        <v>June</v>
      </c>
      <c r="B1391" s="11">
        <f>IFERROR(__xludf.DUMMYFUNCTION("""COMPUTED_VALUE"""),46186.0)</f>
        <v>46186</v>
      </c>
      <c r="C1391" s="2" t="str">
        <f>IFERROR(__xludf.DUMMYFUNCTION("""COMPUTED_VALUE"""),"MOBILECARE - S'MAISON")</f>
        <v>MOBILECARE - S'MAISON</v>
      </c>
      <c r="D1391" s="2" t="str">
        <f>IFERROR(__xludf.DUMMYFUNCTION("""COMPUTED_VALUE"""),"661-56067")</f>
        <v>661-56067</v>
      </c>
      <c r="E1391" s="2" t="str">
        <f>IFERROR(__xludf.DUMMYFUNCTION("""COMPUTED_VALUE"""),"Camera, iPhone 17")</f>
        <v>Camera, iPhone 17</v>
      </c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10" t="str">
        <f t="shared" si="1"/>
        <v>May</v>
      </c>
      <c r="B1392" s="11">
        <f>IFERROR(__xludf.DUMMYFUNCTION("""COMPUTED_VALUE"""),46154.0)</f>
        <v>46154</v>
      </c>
      <c r="C1392" s="2" t="str">
        <f>IFERROR(__xludf.DUMMYFUNCTION("""COMPUTED_VALUE"""),"MOBILECARE - S'MAISON")</f>
        <v>MOBILECARE - S'MAISON</v>
      </c>
      <c r="D1392" s="2" t="str">
        <f>IFERROR(__xludf.DUMMYFUNCTION("""COMPUTED_VALUE"""),"661-30397")</f>
        <v>661-30397</v>
      </c>
      <c r="E1392" s="2" t="str">
        <f>IFERROR(__xludf.DUMMYFUNCTION("""COMPUTED_VALUE"""),"Battery, iPhone 14 Pro Max")</f>
        <v>Battery, iPhone 14 Pro Max</v>
      </c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10" t="str">
        <f t="shared" si="1"/>
        <v>April</v>
      </c>
      <c r="B1393" s="11">
        <f>IFERROR(__xludf.DUMMYFUNCTION("""COMPUTED_VALUE"""),46140.0)</f>
        <v>46140</v>
      </c>
      <c r="C1393" s="2" t="str">
        <f>IFERROR(__xludf.DUMMYFUNCTION("""COMPUTED_VALUE"""),"MOBILECARE - S'MAISON")</f>
        <v>MOBILECARE - S'MAISON</v>
      </c>
      <c r="D1393" s="2" t="str">
        <f>IFERROR(__xludf.DUMMYFUNCTION("""COMPUTED_VALUE"""),"661-21991")</f>
        <v>661-21991</v>
      </c>
      <c r="E1393" s="2" t="str">
        <f>IFERROR(__xludf.DUMMYFUNCTION("""COMPUTED_VALUE"""),"Battery, iPhone 13")</f>
        <v>Battery, iPhone 13</v>
      </c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10" t="str">
        <f t="shared" si="1"/>
        <v>April</v>
      </c>
      <c r="B1394" s="11">
        <f>IFERROR(__xludf.DUMMYFUNCTION("""COMPUTED_VALUE"""),46125.0)</f>
        <v>46125</v>
      </c>
      <c r="C1394" s="2" t="str">
        <f>IFERROR(__xludf.DUMMYFUNCTION("""COMPUTED_VALUE"""),"MOBILECARE - S'MAISON")</f>
        <v>MOBILECARE - S'MAISON</v>
      </c>
      <c r="D1394" s="2" t="str">
        <f>IFERROR(__xludf.DUMMYFUNCTION("""COMPUTED_VALUE"""),"661-30393")</f>
        <v>661-30393</v>
      </c>
      <c r="E1394" s="2" t="str">
        <f>IFERROR(__xludf.DUMMYFUNCTION("""COMPUTED_VALUE"""),"Camera, iPhone 14 Plus")</f>
        <v>Camera, iPhone 14 Plus</v>
      </c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10" t="str">
        <f t="shared" si="1"/>
        <v>March</v>
      </c>
      <c r="B1395" s="11">
        <f>IFERROR(__xludf.DUMMYFUNCTION("""COMPUTED_VALUE"""),46106.0)</f>
        <v>46106</v>
      </c>
      <c r="C1395" s="2" t="str">
        <f>IFERROR(__xludf.DUMMYFUNCTION("""COMPUTED_VALUE"""),"MOBILECARE - S'MAISON")</f>
        <v>MOBILECARE - S'MAISON</v>
      </c>
      <c r="D1395" s="2" t="str">
        <f>IFERROR(__xludf.DUMMYFUNCTION("""COMPUTED_VALUE"""),"661-13574")</f>
        <v>661-13574</v>
      </c>
      <c r="E1395" s="2" t="str">
        <f>IFERROR(__xludf.DUMMYFUNCTION("""COMPUTED_VALUE"""),"Battery, iPhone 11")</f>
        <v>Battery, iPhone 11</v>
      </c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10" t="str">
        <f t="shared" si="1"/>
        <v>March</v>
      </c>
      <c r="B1396" s="11">
        <f>IFERROR(__xludf.DUMMYFUNCTION("""COMPUTED_VALUE"""),46105.0)</f>
        <v>46105</v>
      </c>
      <c r="C1396" s="2" t="str">
        <f>IFERROR(__xludf.DUMMYFUNCTION("""COMPUTED_VALUE"""),"MOBILECARE - S'MAISON")</f>
        <v>MOBILECARE - S'MAISON</v>
      </c>
      <c r="D1396" s="2" t="str">
        <f>IFERROR(__xludf.DUMMYFUNCTION("""COMPUTED_VALUE"""),"661-44955")</f>
        <v>661-44955</v>
      </c>
      <c r="E1396" s="2" t="str">
        <f>IFERROR(__xludf.DUMMYFUNCTION("""COMPUTED_VALUE"""),"Display, iPhone 16 Pro Max")</f>
        <v>Display, iPhone 16 Pro Max</v>
      </c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10" t="str">
        <f t="shared" si="1"/>
        <v>March</v>
      </c>
      <c r="B1397" s="11">
        <f>IFERROR(__xludf.DUMMYFUNCTION("""COMPUTED_VALUE"""),46102.0)</f>
        <v>46102</v>
      </c>
      <c r="C1397" s="2" t="str">
        <f>IFERROR(__xludf.DUMMYFUNCTION("""COMPUTED_VALUE"""),"MOBILECARE - S'MAISON")</f>
        <v>MOBILECARE - S'MAISON</v>
      </c>
      <c r="D1397" s="2" t="str">
        <f>IFERROR(__xludf.DUMMYFUNCTION("""COMPUTED_VALUE"""),"661-17920")</f>
        <v>661-17920</v>
      </c>
      <c r="E1397" s="2" t="str">
        <f>IFERROR(__xludf.DUMMYFUNCTION("""COMPUTED_VALUE"""),"Battery, iPhone 12 and 12 Pro")</f>
        <v>Battery, iPhone 12 and 12 Pro</v>
      </c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10" t="str">
        <f t="shared" si="1"/>
        <v>March</v>
      </c>
      <c r="B1398" s="11">
        <f>IFERROR(__xludf.DUMMYFUNCTION("""COMPUTED_VALUE"""),46090.0)</f>
        <v>46090</v>
      </c>
      <c r="C1398" s="2" t="str">
        <f>IFERROR(__xludf.DUMMYFUNCTION("""COMPUTED_VALUE"""),"MOBILECARE - S'MAISON")</f>
        <v>MOBILECARE - S'MAISON</v>
      </c>
      <c r="D1398" s="2" t="str">
        <f>IFERROR(__xludf.DUMMYFUNCTION("""COMPUTED_VALUE"""),"661-30393")</f>
        <v>661-30393</v>
      </c>
      <c r="E1398" s="2" t="str">
        <f>IFERROR(__xludf.DUMMYFUNCTION("""COMPUTED_VALUE"""),"Camera, iPhone 14 Plus")</f>
        <v>Camera, iPhone 14 Plus</v>
      </c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10" t="str">
        <f t="shared" si="1"/>
        <v>March</v>
      </c>
      <c r="B1399" s="11">
        <f>IFERROR(__xludf.DUMMYFUNCTION("""COMPUTED_VALUE"""),46086.0)</f>
        <v>46086</v>
      </c>
      <c r="C1399" s="2" t="str">
        <f>IFERROR(__xludf.DUMMYFUNCTION("""COMPUTED_VALUE"""),"MOBILECARE - S'MAISON")</f>
        <v>MOBILECARE - S'MAISON</v>
      </c>
      <c r="D1399" s="2" t="str">
        <f>IFERROR(__xludf.DUMMYFUNCTION("""COMPUTED_VALUE"""),"661-56050")</f>
        <v>661-56050</v>
      </c>
      <c r="E1399" s="2" t="str">
        <f>IFERROR(__xludf.DUMMYFUNCTION("""COMPUTED_VALUE"""),"Display, iPhone 17 Pro Max")</f>
        <v>Display, iPhone 17 Pro Max</v>
      </c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10" t="str">
        <f t="shared" si="1"/>
        <v>March</v>
      </c>
      <c r="B1400" s="11">
        <f>IFERROR(__xludf.DUMMYFUNCTION("""COMPUTED_VALUE"""),46082.0)</f>
        <v>46082</v>
      </c>
      <c r="C1400" s="2" t="str">
        <f>IFERROR(__xludf.DUMMYFUNCTION("""COMPUTED_VALUE"""),"MOBILECARE - S'MAISON")</f>
        <v>MOBILECARE - S'MAISON</v>
      </c>
      <c r="D1400" s="2" t="str">
        <f>IFERROR(__xludf.DUMMYFUNCTION("""COMPUTED_VALUE"""),"661-21991")</f>
        <v>661-21991</v>
      </c>
      <c r="E1400" s="2" t="str">
        <f>IFERROR(__xludf.DUMMYFUNCTION("""COMPUTED_VALUE"""),"Battery, iPhone 13")</f>
        <v>Battery, iPhone 13</v>
      </c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10" t="str">
        <f t="shared" si="1"/>
        <v>February</v>
      </c>
      <c r="B1401" s="11">
        <f>IFERROR(__xludf.DUMMYFUNCTION("""COMPUTED_VALUE"""),46074.0)</f>
        <v>46074</v>
      </c>
      <c r="C1401" s="2" t="str">
        <f>IFERROR(__xludf.DUMMYFUNCTION("""COMPUTED_VALUE"""),"MOBILECARE - S'MAISON")</f>
        <v>MOBILECARE - S'MAISON</v>
      </c>
      <c r="D1401" s="2" t="str">
        <f>IFERROR(__xludf.DUMMYFUNCTION("""COMPUTED_VALUE"""),"661-30393")</f>
        <v>661-30393</v>
      </c>
      <c r="E1401" s="2" t="str">
        <f>IFERROR(__xludf.DUMMYFUNCTION("""COMPUTED_VALUE"""),"Camera, iPhone 14 Plus")</f>
        <v>Camera, iPhone 14 Plus</v>
      </c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10" t="str">
        <f t="shared" si="1"/>
        <v>February</v>
      </c>
      <c r="B1402" s="11">
        <f>IFERROR(__xludf.DUMMYFUNCTION("""COMPUTED_VALUE"""),46067.0)</f>
        <v>46067</v>
      </c>
      <c r="C1402" s="2" t="str">
        <f>IFERROR(__xludf.DUMMYFUNCTION("""COMPUTED_VALUE"""),"MOBILECARE - S'MAISON")</f>
        <v>MOBILECARE - S'MAISON</v>
      </c>
      <c r="D1402" s="2" t="str">
        <f>IFERROR(__xludf.DUMMYFUNCTION("""COMPUTED_VALUE"""),"661-15741")</f>
        <v>661-15741</v>
      </c>
      <c r="E1402" s="2" t="str">
        <f>IFERROR(__xludf.DUMMYFUNCTION("""COMPUTED_VALUE"""),"Battery, iPhone SE 2nd gen")</f>
        <v>Battery, iPhone SE 2nd gen</v>
      </c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10" t="str">
        <f t="shared" si="1"/>
        <v>February</v>
      </c>
      <c r="B1403" s="11">
        <f>IFERROR(__xludf.DUMMYFUNCTION("""COMPUTED_VALUE"""),46060.0)</f>
        <v>46060</v>
      </c>
      <c r="C1403" s="2" t="str">
        <f>IFERROR(__xludf.DUMMYFUNCTION("""COMPUTED_VALUE"""),"MOBILECARE - S'MAISON")</f>
        <v>MOBILECARE - S'MAISON</v>
      </c>
      <c r="D1403" s="2" t="str">
        <f>IFERROR(__xludf.DUMMYFUNCTION("""COMPUTED_VALUE"""),"661-56050")</f>
        <v>661-56050</v>
      </c>
      <c r="E1403" s="2" t="str">
        <f>IFERROR(__xludf.DUMMYFUNCTION("""COMPUTED_VALUE"""),"Display, iPhone 17 Pro Max")</f>
        <v>Display, iPhone 17 Pro Max</v>
      </c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10" t="str">
        <f t="shared" si="1"/>
        <v>January</v>
      </c>
      <c r="B1404" s="11">
        <f>IFERROR(__xludf.DUMMYFUNCTION("""COMPUTED_VALUE"""),46053.0)</f>
        <v>46053</v>
      </c>
      <c r="C1404" s="2" t="str">
        <f>IFERROR(__xludf.DUMMYFUNCTION("""COMPUTED_VALUE"""),"MOBILECARE - S'MAISON")</f>
        <v>MOBILECARE - S'MAISON</v>
      </c>
      <c r="D1404" s="2" t="str">
        <f>IFERROR(__xludf.DUMMYFUNCTION("""COMPUTED_VALUE"""),"661-30401")</f>
        <v>661-30401</v>
      </c>
      <c r="E1404" s="2" t="str">
        <f>IFERROR(__xludf.DUMMYFUNCTION("""COMPUTED_VALUE"""),"Display, iPhone 14 Pro Max")</f>
        <v>Display, iPhone 14 Pro Max</v>
      </c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10" t="str">
        <f t="shared" si="1"/>
        <v>January</v>
      </c>
      <c r="B1405" s="11">
        <f>IFERROR(__xludf.DUMMYFUNCTION("""COMPUTED_VALUE"""),46053.0)</f>
        <v>46053</v>
      </c>
      <c r="C1405" s="2" t="str">
        <f>IFERROR(__xludf.DUMMYFUNCTION("""COMPUTED_VALUE"""),"MOBILECARE - S'MAISON")</f>
        <v>MOBILECARE - S'MAISON</v>
      </c>
      <c r="D1405" s="2" t="str">
        <f>IFERROR(__xludf.DUMMYFUNCTION("""COMPUTED_VALUE"""),"661-30397")</f>
        <v>661-30397</v>
      </c>
      <c r="E1405" s="2" t="str">
        <f>IFERROR(__xludf.DUMMYFUNCTION("""COMPUTED_VALUE"""),"Battery, iPhone 14 Pro Max")</f>
        <v>Battery, iPhone 14 Pro Max</v>
      </c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10" t="str">
        <f t="shared" si="1"/>
        <v>June</v>
      </c>
      <c r="B1406" s="11">
        <f>IFERROR(__xludf.DUMMYFUNCTION("""COMPUTED_VALUE"""),46188.0)</f>
        <v>46188</v>
      </c>
      <c r="C1406" s="2" t="str">
        <f>IFERROR(__xludf.DUMMYFUNCTION("""COMPUTED_VALUE"""),"MOBILECARE - S'MAISON")</f>
        <v>MOBILECARE - S'MAISON</v>
      </c>
      <c r="D1406" s="2" t="str">
        <f>IFERROR(__xludf.DUMMYFUNCTION("""COMPUTED_VALUE"""),"661-17920")</f>
        <v>661-17920</v>
      </c>
      <c r="E1406" s="2" t="str">
        <f>IFERROR(__xludf.DUMMYFUNCTION("""COMPUTED_VALUE"""),"Battery, iPhone 12 and 12 Pro")</f>
        <v>Battery, iPhone 12 and 12 Pro</v>
      </c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10" t="str">
        <f t="shared" si="1"/>
        <v>June</v>
      </c>
      <c r="B1407" s="11">
        <f>IFERROR(__xludf.DUMMYFUNCTION("""COMPUTED_VALUE"""),46180.0)</f>
        <v>46180</v>
      </c>
      <c r="C1407" s="2" t="str">
        <f>IFERROR(__xludf.DUMMYFUNCTION("""COMPUTED_VALUE"""),"MOBILECARE - S'MAISON")</f>
        <v>MOBILECARE - S'MAISON</v>
      </c>
      <c r="D1407" s="2" t="str">
        <f>IFERROR(__xludf.DUMMYFUNCTION("""COMPUTED_VALUE"""),"661-21991")</f>
        <v>661-21991</v>
      </c>
      <c r="E1407" s="2" t="str">
        <f>IFERROR(__xludf.DUMMYFUNCTION("""COMPUTED_VALUE"""),"Battery, iPhone 13")</f>
        <v>Battery, iPhone 13</v>
      </c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10" t="str">
        <f t="shared" si="1"/>
        <v>May</v>
      </c>
      <c r="B1408" s="11">
        <f>IFERROR(__xludf.DUMMYFUNCTION("""COMPUTED_VALUE"""),46165.0)</f>
        <v>46165</v>
      </c>
      <c r="C1408" s="2" t="str">
        <f>IFERROR(__xludf.DUMMYFUNCTION("""COMPUTED_VALUE"""),"MOBILECARE - S'MAISON")</f>
        <v>MOBILECARE - S'MAISON</v>
      </c>
      <c r="D1408" s="2" t="str">
        <f>IFERROR(__xludf.DUMMYFUNCTION("""COMPUTED_VALUE"""),"661-44955")</f>
        <v>661-44955</v>
      </c>
      <c r="E1408" s="2" t="str">
        <f>IFERROR(__xludf.DUMMYFUNCTION("""COMPUTED_VALUE"""),"Display, iPhone 16 Pro Max")</f>
        <v>Display, iPhone 16 Pro Max</v>
      </c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10" t="str">
        <f t="shared" si="1"/>
        <v>April</v>
      </c>
      <c r="B1409" s="11">
        <f>IFERROR(__xludf.DUMMYFUNCTION("""COMPUTED_VALUE"""),46135.0)</f>
        <v>46135</v>
      </c>
      <c r="C1409" s="2" t="str">
        <f>IFERROR(__xludf.DUMMYFUNCTION("""COMPUTED_VALUE"""),"MOBILECARE - S'MAISON")</f>
        <v>MOBILECARE - S'MAISON</v>
      </c>
      <c r="D1409" s="2" t="str">
        <f>IFERROR(__xludf.DUMMYFUNCTION("""COMPUTED_VALUE"""),"661-42726")</f>
        <v>661-42726</v>
      </c>
      <c r="E1409" s="2" t="str">
        <f>IFERROR(__xludf.DUMMYFUNCTION("""COMPUTED_VALUE"""),"Display, iPhone 16 Pro")</f>
        <v>Display, iPhone 16 Pro</v>
      </c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10" t="str">
        <f t="shared" si="1"/>
        <v>April</v>
      </c>
      <c r="B1410" s="11">
        <f>IFERROR(__xludf.DUMMYFUNCTION("""COMPUTED_VALUE"""),46136.0)</f>
        <v>46136</v>
      </c>
      <c r="C1410" s="2" t="str">
        <f>IFERROR(__xludf.DUMMYFUNCTION("""COMPUTED_VALUE"""),"MOBILECARE - S'MAISON")</f>
        <v>MOBILECARE - S'MAISON</v>
      </c>
      <c r="D1410" s="2" t="str">
        <f>IFERROR(__xludf.DUMMYFUNCTION("""COMPUTED_VALUE"""),"661-44797")</f>
        <v>661-44797</v>
      </c>
      <c r="E1410" s="2" t="str">
        <f>IFERROR(__xludf.DUMMYFUNCTION("""COMPUTED_VALUE"""),"Display, iPhone 16")</f>
        <v>Display, iPhone 16</v>
      </c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10" t="str">
        <f t="shared" si="1"/>
        <v>April</v>
      </c>
      <c r="B1411" s="11">
        <f>IFERROR(__xludf.DUMMYFUNCTION("""COMPUTED_VALUE"""),46123.0)</f>
        <v>46123</v>
      </c>
      <c r="C1411" s="2" t="str">
        <f>IFERROR(__xludf.DUMMYFUNCTION("""COMPUTED_VALUE"""),"MOBILECARE - S'MAISON")</f>
        <v>MOBILECARE - S'MAISON</v>
      </c>
      <c r="D1411" s="2" t="str">
        <f>IFERROR(__xludf.DUMMYFUNCTION("""COMPUTED_VALUE"""),"661-21991")</f>
        <v>661-21991</v>
      </c>
      <c r="E1411" s="2" t="str">
        <f>IFERROR(__xludf.DUMMYFUNCTION("""COMPUTED_VALUE"""),"Battery, iPhone 13")</f>
        <v>Battery, iPhone 13</v>
      </c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10" t="str">
        <f t="shared" si="1"/>
        <v>March</v>
      </c>
      <c r="B1412" s="11">
        <f>IFERROR(__xludf.DUMMYFUNCTION("""COMPUTED_VALUE"""),46108.0)</f>
        <v>46108</v>
      </c>
      <c r="C1412" s="2" t="str">
        <f>IFERROR(__xludf.DUMMYFUNCTION("""COMPUTED_VALUE"""),"MOBILECARE - S'MAISON")</f>
        <v>MOBILECARE - S'MAISON</v>
      </c>
      <c r="D1412" s="2" t="str">
        <f>IFERROR(__xludf.DUMMYFUNCTION("""COMPUTED_VALUE"""),"661-56060")</f>
        <v>661-56060</v>
      </c>
      <c r="E1412" s="2" t="str">
        <f>IFERROR(__xludf.DUMMYFUNCTION("""COMPUTED_VALUE"""),"Lavender, Back Glass, iPhone 17")</f>
        <v>Lavender, Back Glass, iPhone 17</v>
      </c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10" t="str">
        <f t="shared" si="1"/>
        <v>March</v>
      </c>
      <c r="B1413" s="11">
        <f>IFERROR(__xludf.DUMMYFUNCTION("""COMPUTED_VALUE"""),46107.0)</f>
        <v>46107</v>
      </c>
      <c r="C1413" s="2" t="str">
        <f>IFERROR(__xludf.DUMMYFUNCTION("""COMPUTED_VALUE"""),"MOBILECARE - S'MAISON")</f>
        <v>MOBILECARE - S'MAISON</v>
      </c>
      <c r="D1413" s="2" t="str">
        <f>IFERROR(__xludf.DUMMYFUNCTION("""COMPUTED_VALUE"""),"661-13574")</f>
        <v>661-13574</v>
      </c>
      <c r="E1413" s="2" t="str">
        <f>IFERROR(__xludf.DUMMYFUNCTION("""COMPUTED_VALUE"""),"Battery, iPhone 11")</f>
        <v>Battery, iPhone 11</v>
      </c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10" t="str">
        <f t="shared" si="1"/>
        <v>March</v>
      </c>
      <c r="B1414" s="11">
        <f>IFERROR(__xludf.DUMMYFUNCTION("""COMPUTED_VALUE"""),46103.0)</f>
        <v>46103</v>
      </c>
      <c r="C1414" s="2" t="str">
        <f>IFERROR(__xludf.DUMMYFUNCTION("""COMPUTED_VALUE"""),"MOBILECARE - S'MAISON")</f>
        <v>MOBILECARE - S'MAISON</v>
      </c>
      <c r="D1414" s="2" t="str">
        <f>IFERROR(__xludf.DUMMYFUNCTION("""COMPUTED_VALUE"""),"661-56050")</f>
        <v>661-56050</v>
      </c>
      <c r="E1414" s="2" t="str">
        <f>IFERROR(__xludf.DUMMYFUNCTION("""COMPUTED_VALUE"""),"Display, iPhone 17 Pro Max")</f>
        <v>Display, iPhone 17 Pro Max</v>
      </c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10" t="str">
        <f t="shared" si="1"/>
        <v>March</v>
      </c>
      <c r="B1415" s="11">
        <f>IFERROR(__xludf.DUMMYFUNCTION("""COMPUTED_VALUE"""),46094.0)</f>
        <v>46094</v>
      </c>
      <c r="C1415" s="2" t="str">
        <f>IFERROR(__xludf.DUMMYFUNCTION("""COMPUTED_VALUE"""),"MOBILECARE - S'MAISON")</f>
        <v>MOBILECARE - S'MAISON</v>
      </c>
      <c r="D1415" s="2" t="str">
        <f>IFERROR(__xludf.DUMMYFUNCTION("""COMPUTED_VALUE"""),"661-22309")</f>
        <v>661-22309</v>
      </c>
      <c r="E1415" s="2" t="str">
        <f>IFERROR(__xludf.DUMMYFUNCTION("""COMPUTED_VALUE"""),"Display, iPhone 13 Pro Max")</f>
        <v>Display, iPhone 13 Pro Max</v>
      </c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10" t="str">
        <f t="shared" si="1"/>
        <v>February</v>
      </c>
      <c r="B1416" s="11">
        <f>IFERROR(__xludf.DUMMYFUNCTION("""COMPUTED_VALUE"""),46078.0)</f>
        <v>46078</v>
      </c>
      <c r="C1416" s="2" t="str">
        <f>IFERROR(__xludf.DUMMYFUNCTION("""COMPUTED_VALUE"""),"MOBILECARE - S'MAISON")</f>
        <v>MOBILECARE - S'MAISON</v>
      </c>
      <c r="D1416" s="2" t="str">
        <f>IFERROR(__xludf.DUMMYFUNCTION("""COMPUTED_VALUE"""),"661-44799")</f>
        <v>661-44799</v>
      </c>
      <c r="E1416" s="2" t="str">
        <f>IFERROR(__xludf.DUMMYFUNCTION("""COMPUTED_VALUE"""),"Camera, iPhone 16")</f>
        <v>Camera, iPhone 16</v>
      </c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10" t="str">
        <f t="shared" si="1"/>
        <v>February</v>
      </c>
      <c r="B1417" s="11">
        <f>IFERROR(__xludf.DUMMYFUNCTION("""COMPUTED_VALUE"""),46074.0)</f>
        <v>46074</v>
      </c>
      <c r="C1417" s="2" t="str">
        <f>IFERROR(__xludf.DUMMYFUNCTION("""COMPUTED_VALUE"""),"MOBILECARE - S'MAISON")</f>
        <v>MOBILECARE - S'MAISON</v>
      </c>
      <c r="D1417" s="2" t="str">
        <f>IFERROR(__xludf.DUMMYFUNCTION("""COMPUTED_VALUE"""),"661-44797")</f>
        <v>661-44797</v>
      </c>
      <c r="E1417" s="2" t="str">
        <f>IFERROR(__xludf.DUMMYFUNCTION("""COMPUTED_VALUE"""),"Display, iPhone 16")</f>
        <v>Display, iPhone 16</v>
      </c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10" t="str">
        <f t="shared" si="1"/>
        <v>February</v>
      </c>
      <c r="B1418" s="11">
        <f>IFERROR(__xludf.DUMMYFUNCTION("""COMPUTED_VALUE"""),46073.0)</f>
        <v>46073</v>
      </c>
      <c r="C1418" s="2" t="str">
        <f>IFERROR(__xludf.DUMMYFUNCTION("""COMPUTED_VALUE"""),"MOBILECARE - S'MAISON")</f>
        <v>MOBILECARE - S'MAISON</v>
      </c>
      <c r="D1418" s="2" t="str">
        <f>IFERROR(__xludf.DUMMYFUNCTION("""COMPUTED_VALUE"""),"661-21993")</f>
        <v>661-21993</v>
      </c>
      <c r="E1418" s="2" t="str">
        <f>IFERROR(__xludf.DUMMYFUNCTION("""COMPUTED_VALUE"""),"Display, iPhone 13 Pro")</f>
        <v>Display, iPhone 13 Pro</v>
      </c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10" t="str">
        <f t="shared" si="1"/>
        <v>February</v>
      </c>
      <c r="B1419" s="11">
        <f>IFERROR(__xludf.DUMMYFUNCTION("""COMPUTED_VALUE"""),46060.0)</f>
        <v>46060</v>
      </c>
      <c r="C1419" s="2" t="str">
        <f>IFERROR(__xludf.DUMMYFUNCTION("""COMPUTED_VALUE"""),"MOBILECARE - S'MAISON")</f>
        <v>MOBILECARE - S'MAISON</v>
      </c>
      <c r="D1419" s="2" t="str">
        <f>IFERROR(__xludf.DUMMYFUNCTION("""COMPUTED_VALUE"""),"661-30366")</f>
        <v>661-30366</v>
      </c>
      <c r="E1419" s="2" t="str">
        <f>IFERROR(__xludf.DUMMYFUNCTION("""COMPUTED_VALUE"""),"Display, iPhone 14")</f>
        <v>Display, iPhone 14</v>
      </c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10" t="str">
        <f t="shared" si="1"/>
        <v>February</v>
      </c>
      <c r="B1420" s="11">
        <f>IFERROR(__xludf.DUMMYFUNCTION("""COMPUTED_VALUE"""),46067.0)</f>
        <v>46067</v>
      </c>
      <c r="C1420" s="2" t="str">
        <f>IFERROR(__xludf.DUMMYFUNCTION("""COMPUTED_VALUE"""),"MOBILECARE - S'MAISON")</f>
        <v>MOBILECARE - S'MAISON</v>
      </c>
      <c r="D1420" s="2" t="str">
        <f>IFERROR(__xludf.DUMMYFUNCTION("""COMPUTED_VALUE"""),"661-21991")</f>
        <v>661-21991</v>
      </c>
      <c r="E1420" s="2" t="str">
        <f>IFERROR(__xludf.DUMMYFUNCTION("""COMPUTED_VALUE"""),"Battery, iPhone 13")</f>
        <v>Battery, iPhone 13</v>
      </c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10" t="str">
        <f t="shared" si="1"/>
        <v>January</v>
      </c>
      <c r="B1421" s="11">
        <f>IFERROR(__xludf.DUMMYFUNCTION("""COMPUTED_VALUE"""),46053.0)</f>
        <v>46053</v>
      </c>
      <c r="C1421" s="2" t="str">
        <f>IFERROR(__xludf.DUMMYFUNCTION("""COMPUTED_VALUE"""),"MOBILECARE - S'MAISON")</f>
        <v>MOBILECARE - S'MAISON</v>
      </c>
      <c r="D1421" s="2" t="str">
        <f>IFERROR(__xludf.DUMMYFUNCTION("""COMPUTED_VALUE"""),"661-22309")</f>
        <v>661-22309</v>
      </c>
      <c r="E1421" s="2" t="str">
        <f>IFERROR(__xludf.DUMMYFUNCTION("""COMPUTED_VALUE"""),"Display, iPhone 13 Pro Max")</f>
        <v>Display, iPhone 13 Pro Max</v>
      </c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10" t="str">
        <f t="shared" si="1"/>
        <v>January</v>
      </c>
      <c r="B1422" s="11">
        <f>IFERROR(__xludf.DUMMYFUNCTION("""COMPUTED_VALUE"""),46037.0)</f>
        <v>46037</v>
      </c>
      <c r="C1422" s="2" t="str">
        <f>IFERROR(__xludf.DUMMYFUNCTION("""COMPUTED_VALUE"""),"MOBILECARE - S'MAISON")</f>
        <v>MOBILECARE - S'MAISON</v>
      </c>
      <c r="D1422" s="2" t="str">
        <f>IFERROR(__xludf.DUMMYFUNCTION("""COMPUTED_VALUE"""),"661-13574")</f>
        <v>661-13574</v>
      </c>
      <c r="E1422" s="2" t="str">
        <f>IFERROR(__xludf.DUMMYFUNCTION("""COMPUTED_VALUE"""),"Battery, iPhone 11")</f>
        <v>Battery, iPhone 11</v>
      </c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10" t="str">
        <f t="shared" si="1"/>
        <v>June</v>
      </c>
      <c r="B1423" s="11">
        <f>IFERROR(__xludf.DUMMYFUNCTION("""COMPUTED_VALUE"""),46191.0)</f>
        <v>46191</v>
      </c>
      <c r="C1423" s="2" t="str">
        <f>IFERROR(__xludf.DUMMYFUNCTION("""COMPUTED_VALUE"""),"MOBILECARE - S'MAISON")</f>
        <v>MOBILECARE - S'MAISON</v>
      </c>
      <c r="D1423" s="2" t="str">
        <f>IFERROR(__xludf.DUMMYFUNCTION("""COMPUTED_VALUE"""),"661-21991")</f>
        <v>661-21991</v>
      </c>
      <c r="E1423" s="2" t="str">
        <f>IFERROR(__xludf.DUMMYFUNCTION("""COMPUTED_VALUE"""),"Battery, iPhone 13")</f>
        <v>Battery, iPhone 13</v>
      </c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10" t="str">
        <f t="shared" si="1"/>
        <v>June</v>
      </c>
      <c r="B1424" s="11">
        <f>IFERROR(__xludf.DUMMYFUNCTION("""COMPUTED_VALUE"""),46184.0)</f>
        <v>46184</v>
      </c>
      <c r="C1424" s="2" t="str">
        <f>IFERROR(__xludf.DUMMYFUNCTION("""COMPUTED_VALUE"""),"MOBILECARE - S'MAISON")</f>
        <v>MOBILECARE - S'MAISON</v>
      </c>
      <c r="D1424" s="2" t="str">
        <f>IFERROR(__xludf.DUMMYFUNCTION("""COMPUTED_VALUE"""),"ZP923-13786")</f>
        <v>ZP923-13786</v>
      </c>
      <c r="E1424" s="2" t="str">
        <f>IFERROR(__xludf.DUMMYFUNCTION("""COMPUTED_VALUE"""),"Cosmic Orange, Enclosure, iPhone 17 Pro Max, ROW")</f>
        <v>Cosmic Orange, Enclosure, iPhone 17 Pro Max, ROW</v>
      </c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10" t="str">
        <f t="shared" si="1"/>
        <v>May</v>
      </c>
      <c r="B1425" s="11">
        <f>IFERROR(__xludf.DUMMYFUNCTION("""COMPUTED_VALUE"""),46165.0)</f>
        <v>46165</v>
      </c>
      <c r="C1425" s="2" t="str">
        <f>IFERROR(__xludf.DUMMYFUNCTION("""COMPUTED_VALUE"""),"MOBILECARE - S'MAISON")</f>
        <v>MOBILECARE - S'MAISON</v>
      </c>
      <c r="D1425" s="2" t="str">
        <f>IFERROR(__xludf.DUMMYFUNCTION("""COMPUTED_VALUE"""),"661-21991")</f>
        <v>661-21991</v>
      </c>
      <c r="E1425" s="2" t="str">
        <f>IFERROR(__xludf.DUMMYFUNCTION("""COMPUTED_VALUE"""),"Battery, iPhone 13")</f>
        <v>Battery, iPhone 13</v>
      </c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10" t="str">
        <f t="shared" si="1"/>
        <v>May</v>
      </c>
      <c r="B1426" s="11">
        <f>IFERROR(__xludf.DUMMYFUNCTION("""COMPUTED_VALUE"""),46148.0)</f>
        <v>46148</v>
      </c>
      <c r="C1426" s="2" t="str">
        <f>IFERROR(__xludf.DUMMYFUNCTION("""COMPUTED_VALUE"""),"MOBILECARE - S'MAISON")</f>
        <v>MOBILECARE - S'MAISON</v>
      </c>
      <c r="D1426" s="2" t="str">
        <f>IFERROR(__xludf.DUMMYFUNCTION("""COMPUTED_VALUE"""),"661-21991")</f>
        <v>661-21991</v>
      </c>
      <c r="E1426" s="2" t="str">
        <f>IFERROR(__xludf.DUMMYFUNCTION("""COMPUTED_VALUE"""),"Battery, iPhone 13")</f>
        <v>Battery, iPhone 13</v>
      </c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10" t="str">
        <f t="shared" si="1"/>
        <v>May</v>
      </c>
      <c r="B1427" s="11">
        <f>IFERROR(__xludf.DUMMYFUNCTION("""COMPUTED_VALUE"""),46148.0)</f>
        <v>46148</v>
      </c>
      <c r="C1427" s="2" t="str">
        <f>IFERROR(__xludf.DUMMYFUNCTION("""COMPUTED_VALUE"""),"MOBILECARE - S'MAISON")</f>
        <v>MOBILECARE - S'MAISON</v>
      </c>
      <c r="D1427" s="2" t="str">
        <f>IFERROR(__xludf.DUMMYFUNCTION("""COMPUTED_VALUE"""),"661-17939")</f>
        <v>661-17939</v>
      </c>
      <c r="E1427" s="2" t="str">
        <f>IFERROR(__xludf.DUMMYFUNCTION("""COMPUTED_VALUE"""),"Battery, iPhone 12 mini")</f>
        <v>Battery, iPhone 12 mini</v>
      </c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10" t="str">
        <f t="shared" si="1"/>
        <v>May</v>
      </c>
      <c r="B1428" s="11">
        <f>IFERROR(__xludf.DUMMYFUNCTION("""COMPUTED_VALUE"""),46144.0)</f>
        <v>46144</v>
      </c>
      <c r="C1428" s="2" t="str">
        <f>IFERROR(__xludf.DUMMYFUNCTION("""COMPUTED_VALUE"""),"MOBILECARE - S'MAISON")</f>
        <v>MOBILECARE - S'MAISON</v>
      </c>
      <c r="D1428" s="2" t="str">
        <f>IFERROR(__xludf.DUMMYFUNCTION("""COMPUTED_VALUE"""),"661-21991")</f>
        <v>661-21991</v>
      </c>
      <c r="E1428" s="2" t="str">
        <f>IFERROR(__xludf.DUMMYFUNCTION("""COMPUTED_VALUE"""),"Battery, iPhone 13")</f>
        <v>Battery, iPhone 13</v>
      </c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10" t="str">
        <f t="shared" si="1"/>
        <v>April</v>
      </c>
      <c r="B1429" s="11">
        <f>IFERROR(__xludf.DUMMYFUNCTION("""COMPUTED_VALUE"""),46130.0)</f>
        <v>46130</v>
      </c>
      <c r="C1429" s="2" t="str">
        <f>IFERROR(__xludf.DUMMYFUNCTION("""COMPUTED_VALUE"""),"MOBILECARE - S'MAISON")</f>
        <v>MOBILECARE - S'MAISON</v>
      </c>
      <c r="D1429" s="2" t="str">
        <f>IFERROR(__xludf.DUMMYFUNCTION("""COMPUTED_VALUE"""),"661-21991")</f>
        <v>661-21991</v>
      </c>
      <c r="E1429" s="2" t="str">
        <f>IFERROR(__xludf.DUMMYFUNCTION("""COMPUTED_VALUE"""),"Battery, iPhone 13")</f>
        <v>Battery, iPhone 13</v>
      </c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10" t="str">
        <f t="shared" si="1"/>
        <v>April</v>
      </c>
      <c r="B1430" s="11">
        <f>IFERROR(__xludf.DUMMYFUNCTION("""COMPUTED_VALUE"""),46116.0)</f>
        <v>46116</v>
      </c>
      <c r="C1430" s="2" t="str">
        <f>IFERROR(__xludf.DUMMYFUNCTION("""COMPUTED_VALUE"""),"MOBILECARE - S'MAISON")</f>
        <v>MOBILECARE - S'MAISON</v>
      </c>
      <c r="D1430" s="2" t="str">
        <f>IFERROR(__xludf.DUMMYFUNCTION("""COMPUTED_VALUE"""),"661-21991")</f>
        <v>661-21991</v>
      </c>
      <c r="E1430" s="2" t="str">
        <f>IFERROR(__xludf.DUMMYFUNCTION("""COMPUTED_VALUE"""),"Battery, iPhone 13")</f>
        <v>Battery, iPhone 13</v>
      </c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10" t="str">
        <f t="shared" si="1"/>
        <v>March</v>
      </c>
      <c r="B1431" s="11">
        <f>IFERROR(__xludf.DUMMYFUNCTION("""COMPUTED_VALUE"""),46082.0)</f>
        <v>46082</v>
      </c>
      <c r="C1431" s="2" t="str">
        <f>IFERROR(__xludf.DUMMYFUNCTION("""COMPUTED_VALUE"""),"MOBILECARE - S'MAISON")</f>
        <v>MOBILECARE - S'MAISON</v>
      </c>
      <c r="D1431" s="2" t="str">
        <f>IFERROR(__xludf.DUMMYFUNCTION("""COMPUTED_VALUE"""),"661-42843")</f>
        <v>661-42843</v>
      </c>
      <c r="E1431" s="2" t="str">
        <f>IFERROR(__xludf.DUMMYFUNCTION("""COMPUTED_VALUE"""),"Display, iPhone 16 Plus")</f>
        <v>Display, iPhone 16 Plus</v>
      </c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10" t="str">
        <f t="shared" si="1"/>
        <v>February</v>
      </c>
      <c r="B1432" s="11">
        <f>IFERROR(__xludf.DUMMYFUNCTION("""COMPUTED_VALUE"""),46073.0)</f>
        <v>46073</v>
      </c>
      <c r="C1432" s="2" t="str">
        <f>IFERROR(__xludf.DUMMYFUNCTION("""COMPUTED_VALUE"""),"MOBILECARE - S'MAISON")</f>
        <v>MOBILECARE - S'MAISON</v>
      </c>
      <c r="D1432" s="2" t="str">
        <f>IFERROR(__xludf.DUMMYFUNCTION("""COMPUTED_VALUE"""),"661-56050")</f>
        <v>661-56050</v>
      </c>
      <c r="E1432" s="2" t="str">
        <f>IFERROR(__xludf.DUMMYFUNCTION("""COMPUTED_VALUE"""),"Display, iPhone 17 Pro Max")</f>
        <v>Display, iPhone 17 Pro Max</v>
      </c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10" t="str">
        <f t="shared" si="1"/>
        <v>February</v>
      </c>
      <c r="B1433" s="11">
        <f>IFERROR(__xludf.DUMMYFUNCTION("""COMPUTED_VALUE"""),46064.0)</f>
        <v>46064</v>
      </c>
      <c r="C1433" s="2" t="str">
        <f>IFERROR(__xludf.DUMMYFUNCTION("""COMPUTED_VALUE"""),"MOBILECARE - S'MAISON")</f>
        <v>MOBILECARE - S'MAISON</v>
      </c>
      <c r="D1433" s="2" t="str">
        <f>IFERROR(__xludf.DUMMYFUNCTION("""COMPUTED_VALUE"""),"661-44960")</f>
        <v>661-44960</v>
      </c>
      <c r="E1433" s="2" t="str">
        <f>IFERROR(__xludf.DUMMYFUNCTION("""COMPUTED_VALUE"""),"Desert Titanium, Back Glass, iPhone 16 Pro Max")</f>
        <v>Desert Titanium, Back Glass, iPhone 16 Pro Max</v>
      </c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10" t="str">
        <f t="shared" si="1"/>
        <v>January</v>
      </c>
      <c r="B1434" s="11">
        <f>IFERROR(__xludf.DUMMYFUNCTION("""COMPUTED_VALUE"""),46053.0)</f>
        <v>46053</v>
      </c>
      <c r="C1434" s="2" t="str">
        <f>IFERROR(__xludf.DUMMYFUNCTION("""COMPUTED_VALUE"""),"MOBILECARE - S'MAISON")</f>
        <v>MOBILECARE - S'MAISON</v>
      </c>
      <c r="D1434" s="2" t="str">
        <f>IFERROR(__xludf.DUMMYFUNCTION("""COMPUTED_VALUE"""),"661-22309")</f>
        <v>661-22309</v>
      </c>
      <c r="E1434" s="2" t="str">
        <f>IFERROR(__xludf.DUMMYFUNCTION("""COMPUTED_VALUE"""),"Display, iPhone 13 Pro Max")</f>
        <v>Display, iPhone 13 Pro Max</v>
      </c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10" t="str">
        <f t="shared" si="1"/>
        <v>June</v>
      </c>
      <c r="B1435" s="11">
        <f>IFERROR(__xludf.DUMMYFUNCTION("""COMPUTED_VALUE"""),46190.0)</f>
        <v>46190</v>
      </c>
      <c r="C1435" s="2" t="str">
        <f>IFERROR(__xludf.DUMMYFUNCTION("""COMPUTED_VALUE"""),"MOBILECARE - S'MAISON")</f>
        <v>MOBILECARE - S'MAISON</v>
      </c>
      <c r="D1435" s="2" t="str">
        <f>IFERROR(__xludf.DUMMYFUNCTION("""COMPUTED_VALUE"""),"661-22309")</f>
        <v>661-22309</v>
      </c>
      <c r="E1435" s="2" t="str">
        <f>IFERROR(__xludf.DUMMYFUNCTION("""COMPUTED_VALUE"""),"Display, iPhone 13 Pro Max")</f>
        <v>Display, iPhone 13 Pro Max</v>
      </c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10" t="str">
        <f t="shared" si="1"/>
        <v>June</v>
      </c>
      <c r="B1436" s="11">
        <f>IFERROR(__xludf.DUMMYFUNCTION("""COMPUTED_VALUE"""),46187.0)</f>
        <v>46187</v>
      </c>
      <c r="C1436" s="2" t="str">
        <f>IFERROR(__xludf.DUMMYFUNCTION("""COMPUTED_VALUE"""),"MOBILECARE - S'MAISON")</f>
        <v>MOBILECARE - S'MAISON</v>
      </c>
      <c r="D1436" s="2" t="str">
        <f>IFERROR(__xludf.DUMMYFUNCTION("""COMPUTED_VALUE"""),"661-44955")</f>
        <v>661-44955</v>
      </c>
      <c r="E1436" s="2" t="str">
        <f>IFERROR(__xludf.DUMMYFUNCTION("""COMPUTED_VALUE"""),"Display, iPhone 16 Pro Max")</f>
        <v>Display, iPhone 16 Pro Max</v>
      </c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10" t="str">
        <f t="shared" si="1"/>
        <v>May</v>
      </c>
      <c r="B1437" s="11">
        <f>IFERROR(__xludf.DUMMYFUNCTION("""COMPUTED_VALUE"""),46162.0)</f>
        <v>46162</v>
      </c>
      <c r="C1437" s="2" t="str">
        <f>IFERROR(__xludf.DUMMYFUNCTION("""COMPUTED_VALUE"""),"MOBILECARE - S'MAISON")</f>
        <v>MOBILECARE - S'MAISON</v>
      </c>
      <c r="D1437" s="2" t="str">
        <f>IFERROR(__xludf.DUMMYFUNCTION("""COMPUTED_VALUE"""),"661-36918")</f>
        <v>661-36918</v>
      </c>
      <c r="E1437" s="2" t="str">
        <f>IFERROR(__xludf.DUMMYFUNCTION("""COMPUTED_VALUE"""),"Battery, iPhone 15 Pro Max")</f>
        <v>Battery, iPhone 15 Pro Max</v>
      </c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10" t="str">
        <f t="shared" si="1"/>
        <v>May</v>
      </c>
      <c r="B1438" s="11">
        <f>IFERROR(__xludf.DUMMYFUNCTION("""COMPUTED_VALUE"""),46158.0)</f>
        <v>46158</v>
      </c>
      <c r="C1438" s="2" t="str">
        <f>IFERROR(__xludf.DUMMYFUNCTION("""COMPUTED_VALUE"""),"MOBILECARE - S'MAISON")</f>
        <v>MOBILECARE - S'MAISON</v>
      </c>
      <c r="D1438" s="2" t="str">
        <f>IFERROR(__xludf.DUMMYFUNCTION("""COMPUTED_VALUE"""),"661-21991")</f>
        <v>661-21991</v>
      </c>
      <c r="E1438" s="2" t="str">
        <f>IFERROR(__xludf.DUMMYFUNCTION("""COMPUTED_VALUE"""),"Battery, iPhone 13")</f>
        <v>Battery, iPhone 13</v>
      </c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10" t="str">
        <f t="shared" si="1"/>
        <v>May</v>
      </c>
      <c r="B1439" s="11">
        <f>IFERROR(__xludf.DUMMYFUNCTION("""COMPUTED_VALUE"""),46143.0)</f>
        <v>46143</v>
      </c>
      <c r="C1439" s="2" t="str">
        <f>IFERROR(__xludf.DUMMYFUNCTION("""COMPUTED_VALUE"""),"MOBILECARE - S'MAISON")</f>
        <v>MOBILECARE - S'MAISON</v>
      </c>
      <c r="D1439" s="2" t="str">
        <f>IFERROR(__xludf.DUMMYFUNCTION("""COMPUTED_VALUE"""),"661-21991")</f>
        <v>661-21991</v>
      </c>
      <c r="E1439" s="2" t="str">
        <f>IFERROR(__xludf.DUMMYFUNCTION("""COMPUTED_VALUE"""),"Battery, iPhone 13")</f>
        <v>Battery, iPhone 13</v>
      </c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10" t="str">
        <f t="shared" si="1"/>
        <v>April</v>
      </c>
      <c r="B1440" s="11">
        <f>IFERROR(__xludf.DUMMYFUNCTION("""COMPUTED_VALUE"""),46140.0)</f>
        <v>46140</v>
      </c>
      <c r="C1440" s="2" t="str">
        <f>IFERROR(__xludf.DUMMYFUNCTION("""COMPUTED_VALUE"""),"MOBILECARE - S'MAISON")</f>
        <v>MOBILECARE - S'MAISON</v>
      </c>
      <c r="D1440" s="2" t="str">
        <f>IFERROR(__xludf.DUMMYFUNCTION("""COMPUTED_VALUE"""),"661-30393")</f>
        <v>661-30393</v>
      </c>
      <c r="E1440" s="2" t="str">
        <f>IFERROR(__xludf.DUMMYFUNCTION("""COMPUTED_VALUE"""),"Camera, iPhone 14 Plus")</f>
        <v>Camera, iPhone 14 Plus</v>
      </c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10" t="str">
        <f t="shared" si="1"/>
        <v>April</v>
      </c>
      <c r="B1441" s="11">
        <f>IFERROR(__xludf.DUMMYFUNCTION("""COMPUTED_VALUE"""),46125.0)</f>
        <v>46125</v>
      </c>
      <c r="C1441" s="2" t="str">
        <f>IFERROR(__xludf.DUMMYFUNCTION("""COMPUTED_VALUE"""),"MOBILECARE - S'MAISON")</f>
        <v>MOBILECARE - S'MAISON</v>
      </c>
      <c r="D1441" s="2" t="str">
        <f>IFERROR(__xludf.DUMMYFUNCTION("""COMPUTED_VALUE"""),"661-22374")</f>
        <v>661-22374</v>
      </c>
      <c r="E1441" s="2" t="str">
        <f>IFERROR(__xludf.DUMMYFUNCTION("""COMPUTED_VALUE"""),"Battery, iPhone 13 mini")</f>
        <v>Battery, iPhone 13 mini</v>
      </c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10" t="str">
        <f t="shared" si="1"/>
        <v>April</v>
      </c>
      <c r="B1442" s="11">
        <f>IFERROR(__xludf.DUMMYFUNCTION("""COMPUTED_VALUE"""),46113.0)</f>
        <v>46113</v>
      </c>
      <c r="C1442" s="2" t="str">
        <f>IFERROR(__xludf.DUMMYFUNCTION("""COMPUTED_VALUE"""),"MOBILECARE - S'MAISON")</f>
        <v>MOBILECARE - S'MAISON</v>
      </c>
      <c r="D1442" s="2" t="str">
        <f>IFERROR(__xludf.DUMMYFUNCTION("""COMPUTED_VALUE"""),"661-44955")</f>
        <v>661-44955</v>
      </c>
      <c r="E1442" s="2" t="str">
        <f>IFERROR(__xludf.DUMMYFUNCTION("""COMPUTED_VALUE"""),"Display, iPhone 16 Pro Max")</f>
        <v>Display, iPhone 16 Pro Max</v>
      </c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10" t="str">
        <f t="shared" si="1"/>
        <v>March</v>
      </c>
      <c r="B1443" s="11">
        <f>IFERROR(__xludf.DUMMYFUNCTION("""COMPUTED_VALUE"""),46100.0)</f>
        <v>46100</v>
      </c>
      <c r="C1443" s="2" t="str">
        <f>IFERROR(__xludf.DUMMYFUNCTION("""COMPUTED_VALUE"""),"MOBILECARE - S'MAISON")</f>
        <v>MOBILECARE - S'MAISON</v>
      </c>
      <c r="D1443" s="2" t="str">
        <f>IFERROR(__xludf.DUMMYFUNCTION("""COMPUTED_VALUE"""),"661-21991")</f>
        <v>661-21991</v>
      </c>
      <c r="E1443" s="2" t="str">
        <f>IFERROR(__xludf.DUMMYFUNCTION("""COMPUTED_VALUE"""),"Battery, iPhone 13")</f>
        <v>Battery, iPhone 13</v>
      </c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10" t="str">
        <f t="shared" si="1"/>
        <v>March</v>
      </c>
      <c r="B1444" s="11">
        <f>IFERROR(__xludf.DUMMYFUNCTION("""COMPUTED_VALUE"""),46106.0)</f>
        <v>46106</v>
      </c>
      <c r="C1444" s="2" t="str">
        <f>IFERROR(__xludf.DUMMYFUNCTION("""COMPUTED_VALUE"""),"MOBILECARE - S'MAISON")</f>
        <v>MOBILECARE - S'MAISON</v>
      </c>
      <c r="D1444" s="2" t="str">
        <f>IFERROR(__xludf.DUMMYFUNCTION("""COMPUTED_VALUE"""),"661-21991")</f>
        <v>661-21991</v>
      </c>
      <c r="E1444" s="2" t="str">
        <f>IFERROR(__xludf.DUMMYFUNCTION("""COMPUTED_VALUE"""),"Battery, iPhone 13")</f>
        <v>Battery, iPhone 13</v>
      </c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10" t="str">
        <f t="shared" si="1"/>
        <v>March</v>
      </c>
      <c r="B1445" s="11">
        <f>IFERROR(__xludf.DUMMYFUNCTION("""COMPUTED_VALUE"""),46100.0)</f>
        <v>46100</v>
      </c>
      <c r="C1445" s="2" t="str">
        <f>IFERROR(__xludf.DUMMYFUNCTION("""COMPUTED_VALUE"""),"MOBILECARE - S'MAISON")</f>
        <v>MOBILECARE - S'MAISON</v>
      </c>
      <c r="D1445" s="2" t="str">
        <f>IFERROR(__xludf.DUMMYFUNCTION("""COMPUTED_VALUE"""),"661-36706")</f>
        <v>661-36706</v>
      </c>
      <c r="E1445" s="2" t="str">
        <f>IFERROR(__xludf.DUMMYFUNCTION("""COMPUTED_VALUE"""),"Display, iPhone 15")</f>
        <v>Display, iPhone 15</v>
      </c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10" t="str">
        <f t="shared" si="1"/>
        <v>March</v>
      </c>
      <c r="B1446" s="11">
        <f>IFERROR(__xludf.DUMMYFUNCTION("""COMPUTED_VALUE"""),46100.0)</f>
        <v>46100</v>
      </c>
      <c r="C1446" s="2" t="str">
        <f>IFERROR(__xludf.DUMMYFUNCTION("""COMPUTED_VALUE"""),"MOBILECARE - S'MAISON")</f>
        <v>MOBILECARE - S'MAISON</v>
      </c>
      <c r="D1446" s="2" t="str">
        <f>IFERROR(__xludf.DUMMYFUNCTION("""COMPUTED_VALUE"""),"661-22309")</f>
        <v>661-22309</v>
      </c>
      <c r="E1446" s="2" t="str">
        <f>IFERROR(__xludf.DUMMYFUNCTION("""COMPUTED_VALUE"""),"Display, iPhone 13 Pro Max")</f>
        <v>Display, iPhone 13 Pro Max</v>
      </c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10" t="str">
        <f t="shared" si="1"/>
        <v>March</v>
      </c>
      <c r="B1447" s="11">
        <f>IFERROR(__xludf.DUMMYFUNCTION("""COMPUTED_VALUE"""),46086.0)</f>
        <v>46086</v>
      </c>
      <c r="C1447" s="2" t="str">
        <f>IFERROR(__xludf.DUMMYFUNCTION("""COMPUTED_VALUE"""),"MOBILECARE - S'MAISON")</f>
        <v>MOBILECARE - S'MAISON</v>
      </c>
      <c r="D1447" s="2" t="str">
        <f>IFERROR(__xludf.DUMMYFUNCTION("""COMPUTED_VALUE"""),"661-22309")</f>
        <v>661-22309</v>
      </c>
      <c r="E1447" s="2" t="str">
        <f>IFERROR(__xludf.DUMMYFUNCTION("""COMPUTED_VALUE"""),"Display, iPhone 13 Pro Max")</f>
        <v>Display, iPhone 13 Pro Max</v>
      </c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10" t="str">
        <f t="shared" si="1"/>
        <v>February</v>
      </c>
      <c r="B1448" s="11">
        <f>IFERROR(__xludf.DUMMYFUNCTION("""COMPUTED_VALUE"""),46074.0)</f>
        <v>46074</v>
      </c>
      <c r="C1448" s="2" t="str">
        <f>IFERROR(__xludf.DUMMYFUNCTION("""COMPUTED_VALUE"""),"MOBILECARE - S'MAISON")</f>
        <v>MOBILECARE - S'MAISON</v>
      </c>
      <c r="D1448" s="2" t="str">
        <f>IFERROR(__xludf.DUMMYFUNCTION("""COMPUTED_VALUE"""),"661-21988")</f>
        <v>661-21988</v>
      </c>
      <c r="E1448" s="2" t="str">
        <f>IFERROR(__xludf.DUMMYFUNCTION("""COMPUTED_VALUE"""),"Display, iPhone 13")</f>
        <v>Display, iPhone 13</v>
      </c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10" t="str">
        <f t="shared" si="1"/>
        <v>February</v>
      </c>
      <c r="B1449" s="11">
        <f>IFERROR(__xludf.DUMMYFUNCTION("""COMPUTED_VALUE"""),46064.0)</f>
        <v>46064</v>
      </c>
      <c r="C1449" s="2" t="str">
        <f>IFERROR(__xludf.DUMMYFUNCTION("""COMPUTED_VALUE"""),"MOBILECARE - S'MAISON")</f>
        <v>MOBILECARE - S'MAISON</v>
      </c>
      <c r="D1449" s="2" t="str">
        <f>IFERROR(__xludf.DUMMYFUNCTION("""COMPUTED_VALUE"""),"661-44955")</f>
        <v>661-44955</v>
      </c>
      <c r="E1449" s="2" t="str">
        <f>IFERROR(__xludf.DUMMYFUNCTION("""COMPUTED_VALUE"""),"Display, iPhone 16 Pro Max")</f>
        <v>Display, iPhone 16 Pro Max</v>
      </c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10" t="str">
        <f t="shared" si="1"/>
        <v>February</v>
      </c>
      <c r="B1450" s="11">
        <f>IFERROR(__xludf.DUMMYFUNCTION("""COMPUTED_VALUE"""),46068.0)</f>
        <v>46068</v>
      </c>
      <c r="C1450" s="2" t="str">
        <f>IFERROR(__xludf.DUMMYFUNCTION("""COMPUTED_VALUE"""),"MOBILECARE - S'MAISON")</f>
        <v>MOBILECARE - S'MAISON</v>
      </c>
      <c r="D1450" s="2" t="str">
        <f>IFERROR(__xludf.DUMMYFUNCTION("""COMPUTED_VALUE"""),"661-22309")</f>
        <v>661-22309</v>
      </c>
      <c r="E1450" s="2" t="str">
        <f>IFERROR(__xludf.DUMMYFUNCTION("""COMPUTED_VALUE"""),"Display, iPhone 13 Pro Max")</f>
        <v>Display, iPhone 13 Pro Max</v>
      </c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10" t="str">
        <f t="shared" si="1"/>
        <v>June</v>
      </c>
      <c r="B1451" s="11">
        <f>IFERROR(__xludf.DUMMYFUNCTION("""COMPUTED_VALUE"""),46191.0)</f>
        <v>46191</v>
      </c>
      <c r="C1451" s="2" t="str">
        <f>IFERROR(__xludf.DUMMYFUNCTION("""COMPUTED_VALUE"""),"MOBILECARE - S'MAISON")</f>
        <v>MOBILECARE - S'MAISON</v>
      </c>
      <c r="D1451" s="2" t="str">
        <f>IFERROR(__xludf.DUMMYFUNCTION("""COMPUTED_VALUE"""),"661-21991")</f>
        <v>661-21991</v>
      </c>
      <c r="E1451" s="2" t="str">
        <f>IFERROR(__xludf.DUMMYFUNCTION("""COMPUTED_VALUE"""),"Battery, iPhone 13")</f>
        <v>Battery, iPhone 13</v>
      </c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10" t="str">
        <f t="shared" si="1"/>
        <v>June</v>
      </c>
      <c r="B1452" s="11">
        <f>IFERROR(__xludf.DUMMYFUNCTION("""COMPUTED_VALUE"""),46182.0)</f>
        <v>46182</v>
      </c>
      <c r="C1452" s="2" t="str">
        <f>IFERROR(__xludf.DUMMYFUNCTION("""COMPUTED_VALUE"""),"MOBILECARE - S'MAISON")</f>
        <v>MOBILECARE - S'MAISON</v>
      </c>
      <c r="D1452" s="2" t="str">
        <f>IFERROR(__xludf.DUMMYFUNCTION("""COMPUTED_VALUE"""),"661-30382")</f>
        <v>661-30382</v>
      </c>
      <c r="E1452" s="2" t="str">
        <f>IFERROR(__xludf.DUMMYFUNCTION("""COMPUTED_VALUE"""),"Battery, iPhone 14 Pro")</f>
        <v>Battery, iPhone 14 Pro</v>
      </c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10" t="str">
        <f t="shared" si="1"/>
        <v>May</v>
      </c>
      <c r="B1453" s="11">
        <f>IFERROR(__xludf.DUMMYFUNCTION("""COMPUTED_VALUE"""),46161.0)</f>
        <v>46161</v>
      </c>
      <c r="C1453" s="2" t="str">
        <f>IFERROR(__xludf.DUMMYFUNCTION("""COMPUTED_VALUE"""),"MOBILECARE - S'MAISON")</f>
        <v>MOBILECARE - S'MAISON</v>
      </c>
      <c r="D1453" s="2" t="str">
        <f>IFERROR(__xludf.DUMMYFUNCTION("""COMPUTED_VALUE"""),"661-21991")</f>
        <v>661-21991</v>
      </c>
      <c r="E1453" s="2" t="str">
        <f>IFERROR(__xludf.DUMMYFUNCTION("""COMPUTED_VALUE"""),"Battery, iPhone 13")</f>
        <v>Battery, iPhone 13</v>
      </c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10" t="str">
        <f t="shared" si="1"/>
        <v>June</v>
      </c>
      <c r="B1454" s="11">
        <f>IFERROR(__xludf.DUMMYFUNCTION("""COMPUTED_VALUE"""),46181.0)</f>
        <v>46181</v>
      </c>
      <c r="C1454" s="2" t="str">
        <f>IFERROR(__xludf.DUMMYFUNCTION("""COMPUTED_VALUE"""),"MOBILECARE - S'MAISON")</f>
        <v>MOBILECARE - S'MAISON</v>
      </c>
      <c r="D1454" s="2" t="str">
        <f>IFERROR(__xludf.DUMMYFUNCTION("""COMPUTED_VALUE"""),"661-21991")</f>
        <v>661-21991</v>
      </c>
      <c r="E1454" s="2" t="str">
        <f>IFERROR(__xludf.DUMMYFUNCTION("""COMPUTED_VALUE"""),"Battery, iPhone 13")</f>
        <v>Battery, iPhone 13</v>
      </c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10" t="str">
        <f t="shared" si="1"/>
        <v>June</v>
      </c>
      <c r="B1455" s="11">
        <f>IFERROR(__xludf.DUMMYFUNCTION("""COMPUTED_VALUE"""),46181.0)</f>
        <v>46181</v>
      </c>
      <c r="C1455" s="2" t="str">
        <f>IFERROR(__xludf.DUMMYFUNCTION("""COMPUTED_VALUE"""),"MOBILECARE - S'MAISON")</f>
        <v>MOBILECARE - S'MAISON</v>
      </c>
      <c r="D1455" s="2" t="str">
        <f>IFERROR(__xludf.DUMMYFUNCTION("""COMPUTED_VALUE"""),"661-21991")</f>
        <v>661-21991</v>
      </c>
      <c r="E1455" s="2" t="str">
        <f>IFERROR(__xludf.DUMMYFUNCTION("""COMPUTED_VALUE"""),"Battery, iPhone 13")</f>
        <v>Battery, iPhone 13</v>
      </c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10" t="str">
        <f t="shared" si="1"/>
        <v>June</v>
      </c>
      <c r="B1456" s="11">
        <f>IFERROR(__xludf.DUMMYFUNCTION("""COMPUTED_VALUE"""),46181.0)</f>
        <v>46181</v>
      </c>
      <c r="C1456" s="2" t="str">
        <f>IFERROR(__xludf.DUMMYFUNCTION("""COMPUTED_VALUE"""),"MOBILECARE - S'MAISON")</f>
        <v>MOBILECARE - S'MAISON</v>
      </c>
      <c r="D1456" s="2" t="str">
        <f>IFERROR(__xludf.DUMMYFUNCTION("""COMPUTED_VALUE"""),"PP661-22980")</f>
        <v>PP661-22980</v>
      </c>
      <c r="E1456" s="2" t="str">
        <f>IFERROR(__xludf.DUMMYFUNCTION("""COMPUTED_VALUE"""),"Midnight, 128 GB, iPhone 13, ROW, CI/AR, Philippines")</f>
        <v>Midnight, 128 GB, iPhone 13, ROW, CI/AR, Philippines</v>
      </c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10" t="str">
        <f t="shared" si="1"/>
        <v>April</v>
      </c>
      <c r="B1457" s="11">
        <f>IFERROR(__xludf.DUMMYFUNCTION("""COMPUTED_VALUE"""),46128.0)</f>
        <v>46128</v>
      </c>
      <c r="C1457" s="2" t="str">
        <f>IFERROR(__xludf.DUMMYFUNCTION("""COMPUTED_VALUE"""),"MOBILECARE - S'MAISON")</f>
        <v>MOBILECARE - S'MAISON</v>
      </c>
      <c r="D1457" s="2" t="str">
        <f>IFERROR(__xludf.DUMMYFUNCTION("""COMPUTED_VALUE"""),"661-21991")</f>
        <v>661-21991</v>
      </c>
      <c r="E1457" s="2" t="str">
        <f>IFERROR(__xludf.DUMMYFUNCTION("""COMPUTED_VALUE"""),"Battery, iPhone 13")</f>
        <v>Battery, iPhone 13</v>
      </c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10" t="str">
        <f t="shared" si="1"/>
        <v>April</v>
      </c>
      <c r="B1458" s="11">
        <f>IFERROR(__xludf.DUMMYFUNCTION("""COMPUTED_VALUE"""),46119.0)</f>
        <v>46119</v>
      </c>
      <c r="C1458" s="2" t="str">
        <f>IFERROR(__xludf.DUMMYFUNCTION("""COMPUTED_VALUE"""),"MOBILECARE - S'MAISON")</f>
        <v>MOBILECARE - S'MAISON</v>
      </c>
      <c r="D1458" s="2" t="str">
        <f>IFERROR(__xludf.DUMMYFUNCTION("""COMPUTED_VALUE"""),"661-30382")</f>
        <v>661-30382</v>
      </c>
      <c r="E1458" s="2" t="str">
        <f>IFERROR(__xludf.DUMMYFUNCTION("""COMPUTED_VALUE"""),"Battery, iPhone 14 Pro")</f>
        <v>Battery, iPhone 14 Pro</v>
      </c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10" t="str">
        <f t="shared" si="1"/>
        <v>March</v>
      </c>
      <c r="B1459" s="11">
        <f>IFERROR(__xludf.DUMMYFUNCTION("""COMPUTED_VALUE"""),46105.0)</f>
        <v>46105</v>
      </c>
      <c r="C1459" s="2" t="str">
        <f>IFERROR(__xludf.DUMMYFUNCTION("""COMPUTED_VALUE"""),"MOBILECARE - S'MAISON")</f>
        <v>MOBILECARE - S'MAISON</v>
      </c>
      <c r="D1459" s="2" t="str">
        <f>IFERROR(__xludf.DUMMYFUNCTION("""COMPUTED_VALUE"""),"661-30366")</f>
        <v>661-30366</v>
      </c>
      <c r="E1459" s="2" t="str">
        <f>IFERROR(__xludf.DUMMYFUNCTION("""COMPUTED_VALUE"""),"Display, iPhone 14")</f>
        <v>Display, iPhone 14</v>
      </c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10" t="str">
        <f t="shared" si="1"/>
        <v>March</v>
      </c>
      <c r="B1460" s="11">
        <f>IFERROR(__xludf.DUMMYFUNCTION("""COMPUTED_VALUE"""),46106.0)</f>
        <v>46106</v>
      </c>
      <c r="C1460" s="2" t="str">
        <f>IFERROR(__xludf.DUMMYFUNCTION("""COMPUTED_VALUE"""),"MOBILECARE - S'MAISON")</f>
        <v>MOBILECARE - S'MAISON</v>
      </c>
      <c r="D1460" s="2" t="str">
        <f>IFERROR(__xludf.DUMMYFUNCTION("""COMPUTED_VALUE"""),"661-36834")</f>
        <v>661-36834</v>
      </c>
      <c r="E1460" s="2" t="str">
        <f>IFERROR(__xludf.DUMMYFUNCTION("""COMPUTED_VALUE"""),"Natural Titanium, Millimeter Wave, Back Glass, iPhone 15 Pro")</f>
        <v>Natural Titanium, Millimeter Wave, Back Glass, iPhone 15 Pro</v>
      </c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10" t="str">
        <f t="shared" si="1"/>
        <v>April</v>
      </c>
      <c r="B1461" s="11">
        <f>IFERROR(__xludf.DUMMYFUNCTION("""COMPUTED_VALUE"""),46123.0)</f>
        <v>46123</v>
      </c>
      <c r="C1461" s="2" t="str">
        <f>IFERROR(__xludf.DUMMYFUNCTION("""COMPUTED_VALUE"""),"MOBILECARE - S'MAISON")</f>
        <v>MOBILECARE - S'MAISON</v>
      </c>
      <c r="D1461" s="2" t="str">
        <f>IFERROR(__xludf.DUMMYFUNCTION("""COMPUTED_VALUE"""),"Z661-55942")</f>
        <v>Z661-55942</v>
      </c>
      <c r="E1461" s="2" t="str">
        <f>IFERROR(__xludf.DUMMYFUNCTION("""COMPUTED_VALUE"""),"Logic Board, 256GB, A3523, ROW, iPhone 17 Pro")</f>
        <v>Logic Board, 256GB, A3523, ROW, iPhone 17 Pro</v>
      </c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10" t="str">
        <f t="shared" si="1"/>
        <v>February</v>
      </c>
      <c r="B1462" s="11">
        <f>IFERROR(__xludf.DUMMYFUNCTION("""COMPUTED_VALUE"""),46070.0)</f>
        <v>46070</v>
      </c>
      <c r="C1462" s="2" t="str">
        <f>IFERROR(__xludf.DUMMYFUNCTION("""COMPUTED_VALUE"""),"MOBILECARE - S'MAISON")</f>
        <v>MOBILECARE - S'MAISON</v>
      </c>
      <c r="D1462" s="2" t="str">
        <f>IFERROR(__xludf.DUMMYFUNCTION("""COMPUTED_VALUE"""),"661-21991")</f>
        <v>661-21991</v>
      </c>
      <c r="E1462" s="2" t="str">
        <f>IFERROR(__xludf.DUMMYFUNCTION("""COMPUTED_VALUE"""),"Battery, iPhone 13")</f>
        <v>Battery, iPhone 13</v>
      </c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10" t="str">
        <f t="shared" si="1"/>
        <v>March</v>
      </c>
      <c r="B1463" s="11">
        <f>IFERROR(__xludf.DUMMYFUNCTION("""COMPUTED_VALUE"""),46083.0)</f>
        <v>46083</v>
      </c>
      <c r="C1463" s="2" t="str">
        <f>IFERROR(__xludf.DUMMYFUNCTION("""COMPUTED_VALUE"""),"MOBILECARE - S'MAISON")</f>
        <v>MOBILECARE - S'MAISON</v>
      </c>
      <c r="D1463" s="2" t="str">
        <f>IFERROR(__xludf.DUMMYFUNCTION("""COMPUTED_VALUE"""),"661-17920")</f>
        <v>661-17920</v>
      </c>
      <c r="E1463" s="2" t="str">
        <f>IFERROR(__xludf.DUMMYFUNCTION("""COMPUTED_VALUE"""),"Battery, iPhone 12 and 12 Pro")</f>
        <v>Battery, iPhone 12 and 12 Pro</v>
      </c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10" t="str">
        <f t="shared" si="1"/>
        <v>February</v>
      </c>
      <c r="B1464" s="11">
        <f>IFERROR(__xludf.DUMMYFUNCTION("""COMPUTED_VALUE"""),46065.0)</f>
        <v>46065</v>
      </c>
      <c r="C1464" s="2" t="str">
        <f>IFERROR(__xludf.DUMMYFUNCTION("""COMPUTED_VALUE"""),"MOBILECARE - S'MAISON")</f>
        <v>MOBILECARE - S'MAISON</v>
      </c>
      <c r="D1464" s="2" t="str">
        <f>IFERROR(__xludf.DUMMYFUNCTION("""COMPUTED_VALUE"""),"923-06234")</f>
        <v>923-06234</v>
      </c>
      <c r="E1464" s="2" t="str">
        <f>IFERROR(__xludf.DUMMYFUNCTION("""COMPUTED_VALUE"""),"Top Speaker, iPhone 13")</f>
        <v>Top Speaker, iPhone 13</v>
      </c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10" t="str">
        <f t="shared" si="1"/>
        <v>June</v>
      </c>
      <c r="B1465" s="11">
        <f>IFERROR(__xludf.DUMMYFUNCTION("""COMPUTED_VALUE"""),46189.0)</f>
        <v>46189</v>
      </c>
      <c r="C1465" s="2" t="str">
        <f>IFERROR(__xludf.DUMMYFUNCTION("""COMPUTED_VALUE"""),"MOBILECARE - S'MAISON")</f>
        <v>MOBILECARE - S'MAISON</v>
      </c>
      <c r="D1465" s="2" t="str">
        <f>IFERROR(__xludf.DUMMYFUNCTION("""COMPUTED_VALUE"""),"661-22294")</f>
        <v>661-22294</v>
      </c>
      <c r="E1465" s="2" t="str">
        <f>IFERROR(__xludf.DUMMYFUNCTION("""COMPUTED_VALUE"""),"Battery, iPhone 13 Pro Max")</f>
        <v>Battery, iPhone 13 Pro Max</v>
      </c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10" t="str">
        <f t="shared" si="1"/>
        <v>June</v>
      </c>
      <c r="B1466" s="11">
        <f>IFERROR(__xludf.DUMMYFUNCTION("""COMPUTED_VALUE"""),46186.0)</f>
        <v>46186</v>
      </c>
      <c r="C1466" s="2" t="str">
        <f>IFERROR(__xludf.DUMMYFUNCTION("""COMPUTED_VALUE"""),"MOBILECARE - S'MAISON")</f>
        <v>MOBILECARE - S'MAISON</v>
      </c>
      <c r="D1466" s="2" t="str">
        <f>IFERROR(__xludf.DUMMYFUNCTION("""COMPUTED_VALUE"""),"661-21991")</f>
        <v>661-21991</v>
      </c>
      <c r="E1466" s="2" t="str">
        <f>IFERROR(__xludf.DUMMYFUNCTION("""COMPUTED_VALUE"""),"Battery, iPhone 13")</f>
        <v>Battery, iPhone 13</v>
      </c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10" t="str">
        <f t="shared" si="1"/>
        <v>June</v>
      </c>
      <c r="B1467" s="11">
        <f>IFERROR(__xludf.DUMMYFUNCTION("""COMPUTED_VALUE"""),46178.0)</f>
        <v>46178</v>
      </c>
      <c r="C1467" s="2" t="str">
        <f>IFERROR(__xludf.DUMMYFUNCTION("""COMPUTED_VALUE"""),"MOBILECARE - S'MAISON")</f>
        <v>MOBILECARE - S'MAISON</v>
      </c>
      <c r="D1467" s="2" t="str">
        <f>IFERROR(__xludf.DUMMYFUNCTION("""COMPUTED_VALUE"""),"661-21991")</f>
        <v>661-21991</v>
      </c>
      <c r="E1467" s="2" t="str">
        <f>IFERROR(__xludf.DUMMYFUNCTION("""COMPUTED_VALUE"""),"Battery, iPhone 13")</f>
        <v>Battery, iPhone 13</v>
      </c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10" t="str">
        <f t="shared" si="1"/>
        <v>May</v>
      </c>
      <c r="B1468" s="11">
        <f>IFERROR(__xludf.DUMMYFUNCTION("""COMPUTED_VALUE"""),46164.0)</f>
        <v>46164</v>
      </c>
      <c r="C1468" s="2" t="str">
        <f>IFERROR(__xludf.DUMMYFUNCTION("""COMPUTED_VALUE"""),"MOBILECARE - S'MAISON")</f>
        <v>MOBILECARE - S'MAISON</v>
      </c>
      <c r="D1468" s="2" t="str">
        <f>IFERROR(__xludf.DUMMYFUNCTION("""COMPUTED_VALUE"""),"661-30382")</f>
        <v>661-30382</v>
      </c>
      <c r="E1468" s="2" t="str">
        <f>IFERROR(__xludf.DUMMYFUNCTION("""COMPUTED_VALUE"""),"Battery, iPhone 14 Pro")</f>
        <v>Battery, iPhone 14 Pro</v>
      </c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10" t="str">
        <f t="shared" si="1"/>
        <v>June</v>
      </c>
      <c r="B1469" s="11">
        <f>IFERROR(__xludf.DUMMYFUNCTION("""COMPUTED_VALUE"""),46182.0)</f>
        <v>46182</v>
      </c>
      <c r="C1469" s="2" t="str">
        <f>IFERROR(__xludf.DUMMYFUNCTION("""COMPUTED_VALUE"""),"MOBILECARE - S'MAISON")</f>
        <v>MOBILECARE - S'MAISON</v>
      </c>
      <c r="D1469" s="2" t="str">
        <f>IFERROR(__xludf.DUMMYFUNCTION("""COMPUTED_VALUE"""),"Z661-55956")</f>
        <v>Z661-55956</v>
      </c>
      <c r="E1469" s="2" t="str">
        <f>IFERROR(__xludf.DUMMYFUNCTION("""COMPUTED_VALUE"""),"Logic Board, 256GB, iPhone 17 Pro Max, ROW")</f>
        <v>Logic Board, 256GB, iPhone 17 Pro Max, ROW</v>
      </c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10" t="str">
        <f t="shared" si="1"/>
        <v>May</v>
      </c>
      <c r="B1470" s="11">
        <f>IFERROR(__xludf.DUMMYFUNCTION("""COMPUTED_VALUE"""),46167.0)</f>
        <v>46167</v>
      </c>
      <c r="C1470" s="2" t="str">
        <f>IFERROR(__xludf.DUMMYFUNCTION("""COMPUTED_VALUE"""),"MOBILECARE - S'MAISON")</f>
        <v>MOBILECARE - S'MAISON</v>
      </c>
      <c r="D1470" s="2" t="str">
        <f>IFERROR(__xludf.DUMMYFUNCTION("""COMPUTED_VALUE"""),"661-44955")</f>
        <v>661-44955</v>
      </c>
      <c r="E1470" s="2" t="str">
        <f>IFERROR(__xludf.DUMMYFUNCTION("""COMPUTED_VALUE"""),"Display, iPhone 16 Pro Max")</f>
        <v>Display, iPhone 16 Pro Max</v>
      </c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10" t="str">
        <f t="shared" si="1"/>
        <v>June</v>
      </c>
      <c r="B1471" s="11">
        <f>IFERROR(__xludf.DUMMYFUNCTION("""COMPUTED_VALUE"""),46178.0)</f>
        <v>46178</v>
      </c>
      <c r="C1471" s="2" t="str">
        <f>IFERROR(__xludf.DUMMYFUNCTION("""COMPUTED_VALUE"""),"MOBILECARE - S'MAISON")</f>
        <v>MOBILECARE - S'MAISON</v>
      </c>
      <c r="D1471" s="2" t="str">
        <f>IFERROR(__xludf.DUMMYFUNCTION("""COMPUTED_VALUE"""),"Z661-55957")</f>
        <v>Z661-55957</v>
      </c>
      <c r="E1471" s="2" t="str">
        <f>IFERROR(__xludf.DUMMYFUNCTION("""COMPUTED_VALUE"""),"Logic Board, 512GB, iPhone 17 Pro Max, ROW")</f>
        <v>Logic Board, 512GB, iPhone 17 Pro Max, ROW</v>
      </c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10" t="str">
        <f t="shared" si="1"/>
        <v>April</v>
      </c>
      <c r="B1472" s="11">
        <f>IFERROR(__xludf.DUMMYFUNCTION("""COMPUTED_VALUE"""),46133.0)</f>
        <v>46133</v>
      </c>
      <c r="C1472" s="2" t="str">
        <f>IFERROR(__xludf.DUMMYFUNCTION("""COMPUTED_VALUE"""),"MOBILECARE - S'MAISON")</f>
        <v>MOBILECARE - S'MAISON</v>
      </c>
      <c r="D1472" s="2" t="str">
        <f>IFERROR(__xludf.DUMMYFUNCTION("""COMPUTED_VALUE"""),"661-21991")</f>
        <v>661-21991</v>
      </c>
      <c r="E1472" s="2" t="str">
        <f>IFERROR(__xludf.DUMMYFUNCTION("""COMPUTED_VALUE"""),"Battery, iPhone 13")</f>
        <v>Battery, iPhone 13</v>
      </c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10" t="str">
        <f t="shared" si="1"/>
        <v>March</v>
      </c>
      <c r="B1473" s="11">
        <f>IFERROR(__xludf.DUMMYFUNCTION("""COMPUTED_VALUE"""),46108.0)</f>
        <v>46108</v>
      </c>
      <c r="C1473" s="2" t="str">
        <f>IFERROR(__xludf.DUMMYFUNCTION("""COMPUTED_VALUE"""),"MOBILECARE - S'MAISON")</f>
        <v>MOBILECARE - S'MAISON</v>
      </c>
      <c r="D1473" s="2" t="str">
        <f>IFERROR(__xludf.DUMMYFUNCTION("""COMPUTED_VALUE"""),"661-21991")</f>
        <v>661-21991</v>
      </c>
      <c r="E1473" s="2" t="str">
        <f>IFERROR(__xludf.DUMMYFUNCTION("""COMPUTED_VALUE"""),"Battery, iPhone 13")</f>
        <v>Battery, iPhone 13</v>
      </c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10" t="str">
        <f t="shared" si="1"/>
        <v>March</v>
      </c>
      <c r="B1474" s="11">
        <f>IFERROR(__xludf.DUMMYFUNCTION("""COMPUTED_VALUE"""),46097.0)</f>
        <v>46097</v>
      </c>
      <c r="C1474" s="2" t="str">
        <f>IFERROR(__xludf.DUMMYFUNCTION("""COMPUTED_VALUE"""),"MOBILECARE - S'MAISON")</f>
        <v>MOBILECARE - S'MAISON</v>
      </c>
      <c r="D1474" s="2" t="str">
        <f>IFERROR(__xludf.DUMMYFUNCTION("""COMPUTED_VALUE"""),"661-22294")</f>
        <v>661-22294</v>
      </c>
      <c r="E1474" s="2" t="str">
        <f>IFERROR(__xludf.DUMMYFUNCTION("""COMPUTED_VALUE"""),"Battery, iPhone 13 Pro Max")</f>
        <v>Battery, iPhone 13 Pro Max</v>
      </c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10" t="str">
        <f t="shared" si="1"/>
        <v>March</v>
      </c>
      <c r="B1475" s="11">
        <f>IFERROR(__xludf.DUMMYFUNCTION("""COMPUTED_VALUE"""),46097.0)</f>
        <v>46097</v>
      </c>
      <c r="C1475" s="2" t="str">
        <f>IFERROR(__xludf.DUMMYFUNCTION("""COMPUTED_VALUE"""),"MOBILECARE - S'MAISON")</f>
        <v>MOBILECARE - S'MAISON</v>
      </c>
      <c r="D1475" s="2" t="str">
        <f>IFERROR(__xludf.DUMMYFUNCTION("""COMPUTED_VALUE"""),"661-22309")</f>
        <v>661-22309</v>
      </c>
      <c r="E1475" s="2" t="str">
        <f>IFERROR(__xludf.DUMMYFUNCTION("""COMPUTED_VALUE"""),"Display, iPhone 13 Pro Max")</f>
        <v>Display, iPhone 13 Pro Max</v>
      </c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10" t="str">
        <f t="shared" si="1"/>
        <v>February</v>
      </c>
      <c r="B1476" s="11">
        <f>IFERROR(__xludf.DUMMYFUNCTION("""COMPUTED_VALUE"""),46079.0)</f>
        <v>46079</v>
      </c>
      <c r="C1476" s="2" t="str">
        <f>IFERROR(__xludf.DUMMYFUNCTION("""COMPUTED_VALUE"""),"MOBILECARE - S'MAISON")</f>
        <v>MOBILECARE - S'MAISON</v>
      </c>
      <c r="D1476" s="2" t="str">
        <f>IFERROR(__xludf.DUMMYFUNCTION("""COMPUTED_VALUE"""),"661-21996")</f>
        <v>661-21996</v>
      </c>
      <c r="E1476" s="2" t="str">
        <f>IFERROR(__xludf.DUMMYFUNCTION("""COMPUTED_VALUE"""),"Battery, iPhone 13 Pro")</f>
        <v>Battery, iPhone 13 Pro</v>
      </c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10" t="str">
        <f t="shared" si="1"/>
        <v>February</v>
      </c>
      <c r="B1477" s="11">
        <f>IFERROR(__xludf.DUMMYFUNCTION("""COMPUTED_VALUE"""),46080.0)</f>
        <v>46080</v>
      </c>
      <c r="C1477" s="2" t="str">
        <f>IFERROR(__xludf.DUMMYFUNCTION("""COMPUTED_VALUE"""),"MOBILECARE - S'MAISON")</f>
        <v>MOBILECARE - S'MAISON</v>
      </c>
      <c r="D1477" s="2" t="str">
        <f>IFERROR(__xludf.DUMMYFUNCTION("""COMPUTED_VALUE"""),"661-36706")</f>
        <v>661-36706</v>
      </c>
      <c r="E1477" s="2" t="str">
        <f>IFERROR(__xludf.DUMMYFUNCTION("""COMPUTED_VALUE"""),"Display, iPhone 15")</f>
        <v>Display, iPhone 15</v>
      </c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10" t="str">
        <f t="shared" si="1"/>
        <v>April</v>
      </c>
      <c r="B1478" s="11">
        <f>IFERROR(__xludf.DUMMYFUNCTION("""COMPUTED_VALUE"""),46122.0)</f>
        <v>46122</v>
      </c>
      <c r="C1478" s="2" t="str">
        <f>IFERROR(__xludf.DUMMYFUNCTION("""COMPUTED_VALUE"""),"MOBILECARE - S'MAISON")</f>
        <v>MOBILECARE - S'MAISON</v>
      </c>
      <c r="D1478" s="2" t="str">
        <f>IFERROR(__xludf.DUMMYFUNCTION("""COMPUTED_VALUE"""),"661-56052")</f>
        <v>661-56052</v>
      </c>
      <c r="E1478" s="2" t="str">
        <f>IFERROR(__xludf.DUMMYFUNCTION("""COMPUTED_VALUE"""),"Camera, iPhone 17 Pro Max")</f>
        <v>Camera, iPhone 17 Pro Max</v>
      </c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10" t="str">
        <f t="shared" si="1"/>
        <v>April</v>
      </c>
      <c r="B1479" s="11">
        <f>IFERROR(__xludf.DUMMYFUNCTION("""COMPUTED_VALUE"""),46122.0)</f>
        <v>46122</v>
      </c>
      <c r="C1479" s="2" t="str">
        <f>IFERROR(__xludf.DUMMYFUNCTION("""COMPUTED_VALUE"""),"MOBILECARE - S'MAISON")</f>
        <v>MOBILECARE - S'MAISON</v>
      </c>
      <c r="D1479" s="2" t="str">
        <f>IFERROR(__xludf.DUMMYFUNCTION("""COMPUTED_VALUE"""),"661-56051")</f>
        <v>661-56051</v>
      </c>
      <c r="E1479" s="2" t="str">
        <f>IFERROR(__xludf.DUMMYFUNCTION("""COMPUTED_VALUE"""),"Front Camera, iPhone 17 Pro Max")</f>
        <v>Front Camera, iPhone 17 Pro Max</v>
      </c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10" t="str">
        <f t="shared" si="1"/>
        <v>February</v>
      </c>
      <c r="B1480" s="11">
        <f>IFERROR(__xludf.DUMMYFUNCTION("""COMPUTED_VALUE"""),46067.0)</f>
        <v>46067</v>
      </c>
      <c r="C1480" s="2" t="str">
        <f>IFERROR(__xludf.DUMMYFUNCTION("""COMPUTED_VALUE"""),"MOBILECARE - S'MAISON")</f>
        <v>MOBILECARE - S'MAISON</v>
      </c>
      <c r="D1480" s="2" t="str">
        <f>IFERROR(__xludf.DUMMYFUNCTION("""COMPUTED_VALUE"""),"661-18428")</f>
        <v>661-18428</v>
      </c>
      <c r="E1480" s="2" t="str">
        <f>IFERROR(__xludf.DUMMYFUNCTION("""COMPUTED_VALUE"""),"Battery, iPhone 12 Pro Max")</f>
        <v>Battery, iPhone 12 Pro Max</v>
      </c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10" t="str">
        <f t="shared" si="1"/>
        <v>February</v>
      </c>
      <c r="B1481" s="11">
        <f>IFERROR(__xludf.DUMMYFUNCTION("""COMPUTED_VALUE"""),46067.0)</f>
        <v>46067</v>
      </c>
      <c r="C1481" s="2" t="str">
        <f>IFERROR(__xludf.DUMMYFUNCTION("""COMPUTED_VALUE"""),"MOBILECARE - S'MAISON")</f>
        <v>MOBILECARE - S'MAISON</v>
      </c>
      <c r="D1481" s="2" t="str">
        <f>IFERROR(__xludf.DUMMYFUNCTION("""COMPUTED_VALUE"""),"661-18466")</f>
        <v>661-18466</v>
      </c>
      <c r="E1481" s="2" t="str">
        <f>IFERROR(__xludf.DUMMYFUNCTION("""COMPUTED_VALUE"""),"Display, iPhone 12 Pro Max")</f>
        <v>Display, iPhone 12 Pro Max</v>
      </c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10" t="str">
        <f t="shared" si="1"/>
        <v>February</v>
      </c>
      <c r="B1482" s="11">
        <f>IFERROR(__xludf.DUMMYFUNCTION("""COMPUTED_VALUE"""),46067.0)</f>
        <v>46067</v>
      </c>
      <c r="C1482" s="2" t="str">
        <f>IFERROR(__xludf.DUMMYFUNCTION("""COMPUTED_VALUE"""),"MOBILECARE - S'MAISON")</f>
        <v>MOBILECARE - S'MAISON</v>
      </c>
      <c r="D1482" s="2" t="str">
        <f>IFERROR(__xludf.DUMMYFUNCTION("""COMPUTED_VALUE"""),"661-21996")</f>
        <v>661-21996</v>
      </c>
      <c r="E1482" s="2" t="str">
        <f>IFERROR(__xludf.DUMMYFUNCTION("""COMPUTED_VALUE"""),"Battery, iPhone 13 Pro")</f>
        <v>Battery, iPhone 13 Pro</v>
      </c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10" t="str">
        <f t="shared" si="1"/>
        <v>January</v>
      </c>
      <c r="B1483" s="11">
        <f>IFERROR(__xludf.DUMMYFUNCTION("""COMPUTED_VALUE"""),46044.0)</f>
        <v>46044</v>
      </c>
      <c r="C1483" s="2" t="str">
        <f>IFERROR(__xludf.DUMMYFUNCTION("""COMPUTED_VALUE"""),"MOBILECARE - S'MAISON")</f>
        <v>MOBILECARE - S'MAISON</v>
      </c>
      <c r="D1483" s="2" t="str">
        <f>IFERROR(__xludf.DUMMYFUNCTION("""COMPUTED_VALUE"""),"661-21991")</f>
        <v>661-21991</v>
      </c>
      <c r="E1483" s="2" t="str">
        <f>IFERROR(__xludf.DUMMYFUNCTION("""COMPUTED_VALUE"""),"Battery, iPhone 13")</f>
        <v>Battery, iPhone 13</v>
      </c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10" t="str">
        <f t="shared" si="1"/>
        <v>June</v>
      </c>
      <c r="B1484" s="11">
        <f>IFERROR(__xludf.DUMMYFUNCTION("""COMPUTED_VALUE"""),46179.0)</f>
        <v>46179</v>
      </c>
      <c r="C1484" s="2" t="str">
        <f>IFERROR(__xludf.DUMMYFUNCTION("""COMPUTED_VALUE"""),"MOBILECARE - APP THE ANNEX")</f>
        <v>MOBILECARE - APP THE ANNEX</v>
      </c>
      <c r="D1484" s="2" t="str">
        <f>IFERROR(__xludf.DUMMYFUNCTION("""COMPUTED_VALUE"""),"661-22309")</f>
        <v>661-22309</v>
      </c>
      <c r="E1484" s="2" t="str">
        <f>IFERROR(__xludf.DUMMYFUNCTION("""COMPUTED_VALUE"""),"Display, iPhone 13 Pro Max")</f>
        <v>Display, iPhone 13 Pro Max</v>
      </c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10" t="str">
        <f t="shared" si="1"/>
        <v>May</v>
      </c>
      <c r="B1485" s="11">
        <f>IFERROR(__xludf.DUMMYFUNCTION("""COMPUTED_VALUE"""),46162.0)</f>
        <v>46162</v>
      </c>
      <c r="C1485" s="2" t="str">
        <f>IFERROR(__xludf.DUMMYFUNCTION("""COMPUTED_VALUE"""),"MOBILECARE - APP THE ANNEX")</f>
        <v>MOBILECARE - APP THE ANNEX</v>
      </c>
      <c r="D1485" s="2" t="str">
        <f>IFERROR(__xludf.DUMMYFUNCTION("""COMPUTED_VALUE"""),"661-56052")</f>
        <v>661-56052</v>
      </c>
      <c r="E1485" s="2" t="str">
        <f>IFERROR(__xludf.DUMMYFUNCTION("""COMPUTED_VALUE"""),"Camera, iPhone 17 Pro Max")</f>
        <v>Camera, iPhone 17 Pro Max</v>
      </c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10" t="str">
        <f t="shared" si="1"/>
        <v>April</v>
      </c>
      <c r="B1486" s="11">
        <f>IFERROR(__xludf.DUMMYFUNCTION("""COMPUTED_VALUE"""),46139.0)</f>
        <v>46139</v>
      </c>
      <c r="C1486" s="2" t="str">
        <f>IFERROR(__xludf.DUMMYFUNCTION("""COMPUTED_VALUE"""),"MOBILECARE - APP THE ANNEX")</f>
        <v>MOBILECARE - APP THE ANNEX</v>
      </c>
      <c r="D1486" s="2" t="str">
        <f>IFERROR(__xludf.DUMMYFUNCTION("""COMPUTED_VALUE"""),"Z661-56015")</f>
        <v>Z661-56015</v>
      </c>
      <c r="E1486" s="2" t="str">
        <f>IFERROR(__xludf.DUMMYFUNCTION("""COMPUTED_VALUE"""),"Logic Board, 256GB, iPhone 17, ROW")</f>
        <v>Logic Board, 256GB, iPhone 17, ROW</v>
      </c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10" t="str">
        <f t="shared" si="1"/>
        <v>March</v>
      </c>
      <c r="B1487" s="11">
        <f>IFERROR(__xludf.DUMMYFUNCTION("""COMPUTED_VALUE"""),46109.0)</f>
        <v>46109</v>
      </c>
      <c r="C1487" s="2" t="str">
        <f>IFERROR(__xludf.DUMMYFUNCTION("""COMPUTED_VALUE"""),"MOBILECARE - APP THE ANNEX")</f>
        <v>MOBILECARE - APP THE ANNEX</v>
      </c>
      <c r="D1487" s="2" t="str">
        <f>IFERROR(__xludf.DUMMYFUNCTION("""COMPUTED_VALUE"""),"661-35694")</f>
        <v>661-35694</v>
      </c>
      <c r="E1487" s="2" t="str">
        <f>IFERROR(__xludf.DUMMYFUNCTION("""COMPUTED_VALUE"""),"Battery, iPhone 15 Pro")</f>
        <v>Battery, iPhone 15 Pro</v>
      </c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10" t="str">
        <f t="shared" si="1"/>
        <v>February</v>
      </c>
      <c r="B1488" s="11">
        <f>IFERROR(__xludf.DUMMYFUNCTION("""COMPUTED_VALUE"""),46072.0)</f>
        <v>46072</v>
      </c>
      <c r="C1488" s="2" t="str">
        <f>IFERROR(__xludf.DUMMYFUNCTION("""COMPUTED_VALUE"""),"MOBILECARE - APP THE ANNEX")</f>
        <v>MOBILECARE - APP THE ANNEX</v>
      </c>
      <c r="D1488" s="2" t="str">
        <f>IFERROR(__xludf.DUMMYFUNCTION("""COMPUTED_VALUE"""),"661-36918")</f>
        <v>661-36918</v>
      </c>
      <c r="E1488" s="2" t="str">
        <f>IFERROR(__xludf.DUMMYFUNCTION("""COMPUTED_VALUE"""),"Battery, iPhone 15 Pro Max")</f>
        <v>Battery, iPhone 15 Pro Max</v>
      </c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10" t="str">
        <f t="shared" si="1"/>
        <v>February</v>
      </c>
      <c r="B1489" s="11">
        <f>IFERROR(__xludf.DUMMYFUNCTION("""COMPUTED_VALUE"""),46055.0)</f>
        <v>46055</v>
      </c>
      <c r="C1489" s="2" t="str">
        <f>IFERROR(__xludf.DUMMYFUNCTION("""COMPUTED_VALUE"""),"MOBILECARE - APP THE ANNEX")</f>
        <v>MOBILECARE - APP THE ANNEX</v>
      </c>
      <c r="D1489" s="2" t="str">
        <f>IFERROR(__xludf.DUMMYFUNCTION("""COMPUTED_VALUE"""),"661-30382")</f>
        <v>661-30382</v>
      </c>
      <c r="E1489" s="2" t="str">
        <f>IFERROR(__xludf.DUMMYFUNCTION("""COMPUTED_VALUE"""),"Battery, iPhone 14 Pro")</f>
        <v>Battery, iPhone 14 Pro</v>
      </c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10" t="str">
        <f t="shared" si="1"/>
        <v>May</v>
      </c>
      <c r="B1490" s="11">
        <f>IFERROR(__xludf.DUMMYFUNCTION("""COMPUTED_VALUE"""),46158.0)</f>
        <v>46158</v>
      </c>
      <c r="C1490" s="2" t="str">
        <f>IFERROR(__xludf.DUMMYFUNCTION("""COMPUTED_VALUE"""),"MOBILECARE - APP THE ANNEX")</f>
        <v>MOBILECARE - APP THE ANNEX</v>
      </c>
      <c r="D1490" s="2" t="str">
        <f>IFERROR(__xludf.DUMMYFUNCTION("""COMPUTED_VALUE"""),"661-21991")</f>
        <v>661-21991</v>
      </c>
      <c r="E1490" s="2" t="str">
        <f>IFERROR(__xludf.DUMMYFUNCTION("""COMPUTED_VALUE"""),"Battery, iPhone 13")</f>
        <v>Battery, iPhone 13</v>
      </c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10" t="str">
        <f t="shared" si="1"/>
        <v>May</v>
      </c>
      <c r="B1491" s="11">
        <f>IFERROR(__xludf.DUMMYFUNCTION("""COMPUTED_VALUE"""),46158.0)</f>
        <v>46158</v>
      </c>
      <c r="C1491" s="2" t="str">
        <f>IFERROR(__xludf.DUMMYFUNCTION("""COMPUTED_VALUE"""),"MOBILECARE - APP THE ANNEX")</f>
        <v>MOBILECARE - APP THE ANNEX</v>
      </c>
      <c r="D1491" s="2" t="str">
        <f>IFERROR(__xludf.DUMMYFUNCTION("""COMPUTED_VALUE"""),"661-21993")</f>
        <v>661-21993</v>
      </c>
      <c r="E1491" s="2" t="str">
        <f>IFERROR(__xludf.DUMMYFUNCTION("""COMPUTED_VALUE"""),"Display, iPhone 13 Pro")</f>
        <v>Display, iPhone 13 Pro</v>
      </c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10" t="str">
        <f t="shared" si="1"/>
        <v>May</v>
      </c>
      <c r="B1492" s="11">
        <f>IFERROR(__xludf.DUMMYFUNCTION("""COMPUTED_VALUE"""),46151.0)</f>
        <v>46151</v>
      </c>
      <c r="C1492" s="2" t="str">
        <f>IFERROR(__xludf.DUMMYFUNCTION("""COMPUTED_VALUE"""),"MOBILECARE - APP THE ANNEX")</f>
        <v>MOBILECARE - APP THE ANNEX</v>
      </c>
      <c r="D1492" s="2" t="str">
        <f>IFERROR(__xludf.DUMMYFUNCTION("""COMPUTED_VALUE"""),"661-21991")</f>
        <v>661-21991</v>
      </c>
      <c r="E1492" s="2" t="str">
        <f>IFERROR(__xludf.DUMMYFUNCTION("""COMPUTED_VALUE"""),"Battery, iPhone 13")</f>
        <v>Battery, iPhone 13</v>
      </c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10" t="str">
        <f t="shared" si="1"/>
        <v>April</v>
      </c>
      <c r="B1493" s="11">
        <f>IFERROR(__xludf.DUMMYFUNCTION("""COMPUTED_VALUE"""),46133.0)</f>
        <v>46133</v>
      </c>
      <c r="C1493" s="2" t="str">
        <f>IFERROR(__xludf.DUMMYFUNCTION("""COMPUTED_VALUE"""),"MOBILECARE - APP THE ANNEX")</f>
        <v>MOBILECARE - APP THE ANNEX</v>
      </c>
      <c r="D1493" s="2" t="str">
        <f>IFERROR(__xludf.DUMMYFUNCTION("""COMPUTED_VALUE"""),"661-56050")</f>
        <v>661-56050</v>
      </c>
      <c r="E1493" s="2" t="str">
        <f>IFERROR(__xludf.DUMMYFUNCTION("""COMPUTED_VALUE"""),"Display, iPhone 17 Pro Max")</f>
        <v>Display, iPhone 17 Pro Max</v>
      </c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10" t="str">
        <f t="shared" si="1"/>
        <v>May</v>
      </c>
      <c r="B1494" s="11">
        <f>IFERROR(__xludf.DUMMYFUNCTION("""COMPUTED_VALUE"""),46156.0)</f>
        <v>46156</v>
      </c>
      <c r="C1494" s="2" t="str">
        <f>IFERROR(__xludf.DUMMYFUNCTION("""COMPUTED_VALUE"""),"MOBILECARE - APP THE ANNEX")</f>
        <v>MOBILECARE - APP THE ANNEX</v>
      </c>
      <c r="D1494" s="2" t="str">
        <f>IFERROR(__xludf.DUMMYFUNCTION("""COMPUTED_VALUE"""),"661-13574")</f>
        <v>661-13574</v>
      </c>
      <c r="E1494" s="2" t="str">
        <f>IFERROR(__xludf.DUMMYFUNCTION("""COMPUTED_VALUE"""),"Battery, iPhone 11")</f>
        <v>Battery, iPhone 11</v>
      </c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10" t="str">
        <f t="shared" si="1"/>
        <v>February</v>
      </c>
      <c r="B1495" s="11">
        <f>IFERROR(__xludf.DUMMYFUNCTION("""COMPUTED_VALUE"""),46073.0)</f>
        <v>46073</v>
      </c>
      <c r="C1495" s="2" t="str">
        <f>IFERROR(__xludf.DUMMYFUNCTION("""COMPUTED_VALUE"""),"MOBILECARE - APP THE ANNEX")</f>
        <v>MOBILECARE - APP THE ANNEX</v>
      </c>
      <c r="D1495" s="2" t="str">
        <f>IFERROR(__xludf.DUMMYFUNCTION("""COMPUTED_VALUE"""),"661-56050")</f>
        <v>661-56050</v>
      </c>
      <c r="E1495" s="2" t="str">
        <f>IFERROR(__xludf.DUMMYFUNCTION("""COMPUTED_VALUE"""),"Display, iPhone 17 Pro Max")</f>
        <v>Display, iPhone 17 Pro Max</v>
      </c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10" t="str">
        <f t="shared" si="1"/>
        <v>March</v>
      </c>
      <c r="B1496" s="11">
        <f>IFERROR(__xludf.DUMMYFUNCTION("""COMPUTED_VALUE"""),46110.0)</f>
        <v>46110</v>
      </c>
      <c r="C1496" s="2" t="str">
        <f>IFERROR(__xludf.DUMMYFUNCTION("""COMPUTED_VALUE"""),"MOBILECARE - APP THE ANNEX")</f>
        <v>MOBILECARE - APP THE ANNEX</v>
      </c>
      <c r="D1496" s="2" t="str">
        <f>IFERROR(__xludf.DUMMYFUNCTION("""COMPUTED_VALUE"""),"661-21991")</f>
        <v>661-21991</v>
      </c>
      <c r="E1496" s="2" t="str">
        <f>IFERROR(__xludf.DUMMYFUNCTION("""COMPUTED_VALUE"""),"Battery, iPhone 13")</f>
        <v>Battery, iPhone 13</v>
      </c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10" t="str">
        <f t="shared" si="1"/>
        <v>April</v>
      </c>
      <c r="B1497" s="11">
        <f>IFERROR(__xludf.DUMMYFUNCTION("""COMPUTED_VALUE"""),46127.0)</f>
        <v>46127</v>
      </c>
      <c r="C1497" s="2" t="str">
        <f>IFERROR(__xludf.DUMMYFUNCTION("""COMPUTED_VALUE"""),"MOBILECARE - APP THE ANNEX")</f>
        <v>MOBILECARE - APP THE ANNEX</v>
      </c>
      <c r="D1497" s="2" t="str">
        <f>IFERROR(__xludf.DUMMYFUNCTION("""COMPUTED_VALUE"""),"PP661-23455")</f>
        <v>PP661-23455</v>
      </c>
      <c r="E1497" s="2" t="str">
        <f>IFERROR(__xludf.DUMMYFUNCTION("""COMPUTED_VALUE"""),"iPhone 13, Starlight, 128GB, Logic Board Assy Rear System, ROW")</f>
        <v>iPhone 13, Starlight, 128GB, Logic Board Assy Rear System, ROW</v>
      </c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10" t="str">
        <f t="shared" si="1"/>
        <v>April</v>
      </c>
      <c r="B1498" s="11">
        <f>IFERROR(__xludf.DUMMYFUNCTION("""COMPUTED_VALUE"""),46131.0)</f>
        <v>46131</v>
      </c>
      <c r="C1498" s="2" t="str">
        <f>IFERROR(__xludf.DUMMYFUNCTION("""COMPUTED_VALUE"""),"MOBILECARE - APP THE ANNEX")</f>
        <v>MOBILECARE - APP THE ANNEX</v>
      </c>
      <c r="D1498" s="2" t="str">
        <f>IFERROR(__xludf.DUMMYFUNCTION("""COMPUTED_VALUE"""),"661-21991")</f>
        <v>661-21991</v>
      </c>
      <c r="E1498" s="2" t="str">
        <f>IFERROR(__xludf.DUMMYFUNCTION("""COMPUTED_VALUE"""),"Battery, iPhone 13")</f>
        <v>Battery, iPhone 13</v>
      </c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10" t="str">
        <f t="shared" si="1"/>
        <v>April</v>
      </c>
      <c r="B1499" s="11">
        <f>IFERROR(__xludf.DUMMYFUNCTION("""COMPUTED_VALUE"""),46119.0)</f>
        <v>46119</v>
      </c>
      <c r="C1499" s="2" t="str">
        <f>IFERROR(__xludf.DUMMYFUNCTION("""COMPUTED_VALUE"""),"MOBILECARE - APP THE ANNEX")</f>
        <v>MOBILECARE - APP THE ANNEX</v>
      </c>
      <c r="D1499" s="2" t="str">
        <f>IFERROR(__xludf.DUMMYFUNCTION("""COMPUTED_VALUE"""),"661-35828")</f>
        <v>661-35828</v>
      </c>
      <c r="E1499" s="2" t="str">
        <f>IFERROR(__xludf.DUMMYFUNCTION("""COMPUTED_VALUE"""),"Camera, iPhone 15")</f>
        <v>Camera, iPhone 15</v>
      </c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10" t="str">
        <f t="shared" si="1"/>
        <v>March</v>
      </c>
      <c r="B1500" s="11">
        <f>IFERROR(__xludf.DUMMYFUNCTION("""COMPUTED_VALUE"""),46106.0)</f>
        <v>46106</v>
      </c>
      <c r="C1500" s="2" t="str">
        <f>IFERROR(__xludf.DUMMYFUNCTION("""COMPUTED_VALUE"""),"MOBILECARE - APP THE ANNEX")</f>
        <v>MOBILECARE - APP THE ANNEX</v>
      </c>
      <c r="D1500" s="2" t="str">
        <f>IFERROR(__xludf.DUMMYFUNCTION("""COMPUTED_VALUE"""),"661-22309")</f>
        <v>661-22309</v>
      </c>
      <c r="E1500" s="2" t="str">
        <f>IFERROR(__xludf.DUMMYFUNCTION("""COMPUTED_VALUE"""),"Display, iPhone 13 Pro Max")</f>
        <v>Display, iPhone 13 Pro Max</v>
      </c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10" t="str">
        <f t="shared" si="1"/>
        <v>April</v>
      </c>
      <c r="B1501" s="11">
        <f>IFERROR(__xludf.DUMMYFUNCTION("""COMPUTED_VALUE"""),46116.0)</f>
        <v>46116</v>
      </c>
      <c r="C1501" s="2" t="str">
        <f>IFERROR(__xludf.DUMMYFUNCTION("""COMPUTED_VALUE"""),"MOBILECARE - APP THE ANNEX")</f>
        <v>MOBILECARE - APP THE ANNEX</v>
      </c>
      <c r="D1501" s="2" t="str">
        <f>IFERROR(__xludf.DUMMYFUNCTION("""COMPUTED_VALUE"""),"661-36829")</f>
        <v>661-36829</v>
      </c>
      <c r="E1501" s="2" t="str">
        <f>IFERROR(__xludf.DUMMYFUNCTION("""COMPUTED_VALUE"""),"TrueDepth Camera, iPhone 15")</f>
        <v>TrueDepth Camera, iPhone 15</v>
      </c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10" t="str">
        <f t="shared" si="1"/>
        <v>March</v>
      </c>
      <c r="B1502" s="11">
        <f>IFERROR(__xludf.DUMMYFUNCTION("""COMPUTED_VALUE"""),46101.0)</f>
        <v>46101</v>
      </c>
      <c r="C1502" s="2" t="str">
        <f>IFERROR(__xludf.DUMMYFUNCTION("""COMPUTED_VALUE"""),"MOBILECARE - APP THE ANNEX")</f>
        <v>MOBILECARE - APP THE ANNEX</v>
      </c>
      <c r="D1502" s="2" t="str">
        <f>IFERROR(__xludf.DUMMYFUNCTION("""COMPUTED_VALUE"""),"661-44957")</f>
        <v>661-44957</v>
      </c>
      <c r="E1502" s="2" t="str">
        <f>IFERROR(__xludf.DUMMYFUNCTION("""COMPUTED_VALUE"""),"Camera, iPhone 16 Pro Max")</f>
        <v>Camera, iPhone 16 Pro Max</v>
      </c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10" t="str">
        <f t="shared" si="1"/>
        <v>June</v>
      </c>
      <c r="B1503" s="11">
        <f>IFERROR(__xludf.DUMMYFUNCTION("""COMPUTED_VALUE"""),46186.0)</f>
        <v>46186</v>
      </c>
      <c r="C1503" s="2" t="str">
        <f>IFERROR(__xludf.DUMMYFUNCTION("""COMPUTED_VALUE"""),"MOBILECARE - APP THE ANNEX")</f>
        <v>MOBILECARE - APP THE ANNEX</v>
      </c>
      <c r="D1503" s="2" t="str">
        <f>IFERROR(__xludf.DUMMYFUNCTION("""COMPUTED_VALUE"""),"661-56050")</f>
        <v>661-56050</v>
      </c>
      <c r="E1503" s="2" t="str">
        <f>IFERROR(__xludf.DUMMYFUNCTION("""COMPUTED_VALUE"""),"Display, iPhone 17 Pro Max")</f>
        <v>Display, iPhone 17 Pro Max</v>
      </c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10" t="str">
        <f t="shared" si="1"/>
        <v>May</v>
      </c>
      <c r="B1504" s="11">
        <f>IFERROR(__xludf.DUMMYFUNCTION("""COMPUTED_VALUE"""),46144.0)</f>
        <v>46144</v>
      </c>
      <c r="C1504" s="2" t="str">
        <f>IFERROR(__xludf.DUMMYFUNCTION("""COMPUTED_VALUE"""),"MOBILECARE - APP THE ANNEX")</f>
        <v>MOBILECARE - APP THE ANNEX</v>
      </c>
      <c r="D1504" s="2" t="str">
        <f>IFERROR(__xludf.DUMMYFUNCTION("""COMPUTED_VALUE"""),"661-30382")</f>
        <v>661-30382</v>
      </c>
      <c r="E1504" s="2" t="str">
        <f>IFERROR(__xludf.DUMMYFUNCTION("""COMPUTED_VALUE"""),"Battery, iPhone 14 Pro")</f>
        <v>Battery, iPhone 14 Pro</v>
      </c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10" t="str">
        <f t="shared" si="1"/>
        <v>April</v>
      </c>
      <c r="B1505" s="11">
        <f>IFERROR(__xludf.DUMMYFUNCTION("""COMPUTED_VALUE"""),46113.0)</f>
        <v>46113</v>
      </c>
      <c r="C1505" s="2" t="str">
        <f>IFERROR(__xludf.DUMMYFUNCTION("""COMPUTED_VALUE"""),"MOBILECARE - APP THE ANNEX")</f>
        <v>MOBILECARE - APP THE ANNEX</v>
      </c>
      <c r="D1505" s="2" t="str">
        <f>IFERROR(__xludf.DUMMYFUNCTION("""COMPUTED_VALUE"""),"661-17920")</f>
        <v>661-17920</v>
      </c>
      <c r="E1505" s="2" t="str">
        <f>IFERROR(__xludf.DUMMYFUNCTION("""COMPUTED_VALUE"""),"Battery, iPhone 12 and 12 Pro")</f>
        <v>Battery, iPhone 12 and 12 Pro</v>
      </c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10" t="str">
        <f t="shared" si="1"/>
        <v>March</v>
      </c>
      <c r="B1506" s="11">
        <f>IFERROR(__xludf.DUMMYFUNCTION("""COMPUTED_VALUE"""),46099.0)</f>
        <v>46099</v>
      </c>
      <c r="C1506" s="2" t="str">
        <f>IFERROR(__xludf.DUMMYFUNCTION("""COMPUTED_VALUE"""),"MOBILECARE - APP THE ANNEX")</f>
        <v>MOBILECARE - APP THE ANNEX</v>
      </c>
      <c r="D1506" s="2" t="str">
        <f>IFERROR(__xludf.DUMMYFUNCTION("""COMPUTED_VALUE"""),"661-21991")</f>
        <v>661-21991</v>
      </c>
      <c r="E1506" s="2" t="str">
        <f>IFERROR(__xludf.DUMMYFUNCTION("""COMPUTED_VALUE"""),"Battery, iPhone 13")</f>
        <v>Battery, iPhone 13</v>
      </c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10" t="str">
        <f t="shared" si="1"/>
        <v>February</v>
      </c>
      <c r="B1507" s="11">
        <f>IFERROR(__xludf.DUMMYFUNCTION("""COMPUTED_VALUE"""),46080.0)</f>
        <v>46080</v>
      </c>
      <c r="C1507" s="2" t="str">
        <f>IFERROR(__xludf.DUMMYFUNCTION("""COMPUTED_VALUE"""),"MOBILECARE - APP THE ANNEX")</f>
        <v>MOBILECARE - APP THE ANNEX</v>
      </c>
      <c r="D1507" s="2" t="str">
        <f>IFERROR(__xludf.DUMMYFUNCTION("""COMPUTED_VALUE"""),"661-56066")</f>
        <v>661-56066</v>
      </c>
      <c r="E1507" s="2" t="str">
        <f>IFERROR(__xludf.DUMMYFUNCTION("""COMPUTED_VALUE"""),"Front Camera, iPhone 17")</f>
        <v>Front Camera, iPhone 17</v>
      </c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10" t="str">
        <f t="shared" si="1"/>
        <v>May</v>
      </c>
      <c r="B1508" s="11">
        <f>IFERROR(__xludf.DUMMYFUNCTION("""COMPUTED_VALUE"""),46162.0)</f>
        <v>46162</v>
      </c>
      <c r="C1508" s="2" t="str">
        <f>IFERROR(__xludf.DUMMYFUNCTION("""COMPUTED_VALUE"""),"MOBILECARE - APP THE ANNEX")</f>
        <v>MOBILECARE - APP THE ANNEX</v>
      </c>
      <c r="D1508" s="2" t="str">
        <f>IFERROR(__xludf.DUMMYFUNCTION("""COMPUTED_VALUE"""),"661-21991")</f>
        <v>661-21991</v>
      </c>
      <c r="E1508" s="2" t="str">
        <f>IFERROR(__xludf.DUMMYFUNCTION("""COMPUTED_VALUE"""),"Battery, iPhone 13")</f>
        <v>Battery, iPhone 13</v>
      </c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10" t="str">
        <f t="shared" si="1"/>
        <v>May</v>
      </c>
      <c r="B1509" s="11">
        <f>IFERROR(__xludf.DUMMYFUNCTION("""COMPUTED_VALUE"""),46145.0)</f>
        <v>46145</v>
      </c>
      <c r="C1509" s="2" t="str">
        <f>IFERROR(__xludf.DUMMYFUNCTION("""COMPUTED_VALUE"""),"MOBILECARE - APP THE ANNEX")</f>
        <v>MOBILECARE - APP THE ANNEX</v>
      </c>
      <c r="D1509" s="2" t="str">
        <f>IFERROR(__xludf.DUMMYFUNCTION("""COMPUTED_VALUE"""),"661-35694")</f>
        <v>661-35694</v>
      </c>
      <c r="E1509" s="2" t="str">
        <f>IFERROR(__xludf.DUMMYFUNCTION("""COMPUTED_VALUE"""),"Battery, iPhone 15 Pro")</f>
        <v>Battery, iPhone 15 Pro</v>
      </c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10" t="str">
        <f t="shared" si="1"/>
        <v>April</v>
      </c>
      <c r="B1510" s="11">
        <f>IFERROR(__xludf.DUMMYFUNCTION("""COMPUTED_VALUE"""),46140.0)</f>
        <v>46140</v>
      </c>
      <c r="C1510" s="2" t="str">
        <f>IFERROR(__xludf.DUMMYFUNCTION("""COMPUTED_VALUE"""),"MOBILECARE - APP THE ANNEX")</f>
        <v>MOBILECARE - APP THE ANNEX</v>
      </c>
      <c r="D1510" s="2" t="str">
        <f>IFERROR(__xludf.DUMMYFUNCTION("""COMPUTED_VALUE"""),"661-44797")</f>
        <v>661-44797</v>
      </c>
      <c r="E1510" s="2" t="str">
        <f>IFERROR(__xludf.DUMMYFUNCTION("""COMPUTED_VALUE"""),"Display, iPhone 16")</f>
        <v>Display, iPhone 16</v>
      </c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10" t="str">
        <f t="shared" si="1"/>
        <v>March</v>
      </c>
      <c r="B1511" s="11">
        <f>IFERROR(__xludf.DUMMYFUNCTION("""COMPUTED_VALUE"""),46105.0)</f>
        <v>46105</v>
      </c>
      <c r="C1511" s="2" t="str">
        <f>IFERROR(__xludf.DUMMYFUNCTION("""COMPUTED_VALUE"""),"MOBILECARE - APP THE ANNEX")</f>
        <v>MOBILECARE - APP THE ANNEX</v>
      </c>
      <c r="D1511" s="2" t="str">
        <f>IFERROR(__xludf.DUMMYFUNCTION("""COMPUTED_VALUE"""),"TA661-45263")</f>
        <v>TA661-45263</v>
      </c>
      <c r="E1511" s="2" t="str">
        <f>IFERROR(__xludf.DUMMYFUNCTION("""COMPUTED_VALUE"""),"256GB, Desert Titanium, ROW, iPhone 16 Pro Max, CI/AR")</f>
        <v>256GB, Desert Titanium, ROW, iPhone 16 Pro Max, CI/AR</v>
      </c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10" t="str">
        <f t="shared" si="1"/>
        <v>June</v>
      </c>
      <c r="B1512" s="11">
        <f>IFERROR(__xludf.DUMMYFUNCTION("""COMPUTED_VALUE"""),46186.0)</f>
        <v>46186</v>
      </c>
      <c r="C1512" s="2" t="str">
        <f>IFERROR(__xludf.DUMMYFUNCTION("""COMPUTED_VALUE"""),"MOBILECARE - APP THE ANNEX")</f>
        <v>MOBILECARE - APP THE ANNEX</v>
      </c>
      <c r="D1512" s="2" t="str">
        <f>IFERROR(__xludf.DUMMYFUNCTION("""COMPUTED_VALUE"""),"661-56066")</f>
        <v>661-56066</v>
      </c>
      <c r="E1512" s="2" t="str">
        <f>IFERROR(__xludf.DUMMYFUNCTION("""COMPUTED_VALUE"""),"Front Camera, iPhone 17")</f>
        <v>Front Camera, iPhone 17</v>
      </c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10" t="str">
        <f t="shared" si="1"/>
        <v>June</v>
      </c>
      <c r="B1513" s="11">
        <f>IFERROR(__xludf.DUMMYFUNCTION("""COMPUTED_VALUE"""),46181.0)</f>
        <v>46181</v>
      </c>
      <c r="C1513" s="2" t="str">
        <f>IFERROR(__xludf.DUMMYFUNCTION("""COMPUTED_VALUE"""),"MOBILECARE - APP THE ANNEX")</f>
        <v>MOBILECARE - APP THE ANNEX</v>
      </c>
      <c r="D1513" s="2" t="str">
        <f>IFERROR(__xludf.DUMMYFUNCTION("""COMPUTED_VALUE"""),"661-56051")</f>
        <v>661-56051</v>
      </c>
      <c r="E1513" s="2" t="str">
        <f>IFERROR(__xludf.DUMMYFUNCTION("""COMPUTED_VALUE"""),"Front Camera, iPhone 17 Pro Max")</f>
        <v>Front Camera, iPhone 17 Pro Max</v>
      </c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10" t="str">
        <f t="shared" si="1"/>
        <v>June</v>
      </c>
      <c r="B1514" s="11">
        <f>IFERROR(__xludf.DUMMYFUNCTION("""COMPUTED_VALUE"""),46181.0)</f>
        <v>46181</v>
      </c>
      <c r="C1514" s="2" t="str">
        <f>IFERROR(__xludf.DUMMYFUNCTION("""COMPUTED_VALUE"""),"MOBILECARE - APP THE ANNEX")</f>
        <v>MOBILECARE - APP THE ANNEX</v>
      </c>
      <c r="D1514" s="2" t="str">
        <f>IFERROR(__xludf.DUMMYFUNCTION("""COMPUTED_VALUE"""),"661-56052")</f>
        <v>661-56052</v>
      </c>
      <c r="E1514" s="2" t="str">
        <f>IFERROR(__xludf.DUMMYFUNCTION("""COMPUTED_VALUE"""),"Camera, iPhone 17 Pro Max")</f>
        <v>Camera, iPhone 17 Pro Max</v>
      </c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10" t="str">
        <f t="shared" si="1"/>
        <v>June</v>
      </c>
      <c r="B1515" s="11">
        <f>IFERROR(__xludf.DUMMYFUNCTION("""COMPUTED_VALUE"""),46181.0)</f>
        <v>46181</v>
      </c>
      <c r="C1515" s="2" t="str">
        <f>IFERROR(__xludf.DUMMYFUNCTION("""COMPUTED_VALUE"""),"MOBILECARE - APP THE ANNEX")</f>
        <v>MOBILECARE - APP THE ANNEX</v>
      </c>
      <c r="D1515" s="2" t="str">
        <f>IFERROR(__xludf.DUMMYFUNCTION("""COMPUTED_VALUE"""),"661-56050")</f>
        <v>661-56050</v>
      </c>
      <c r="E1515" s="2" t="str">
        <f>IFERROR(__xludf.DUMMYFUNCTION("""COMPUTED_VALUE"""),"Display, iPhone 17 Pro Max")</f>
        <v>Display, iPhone 17 Pro Max</v>
      </c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10" t="str">
        <f t="shared" si="1"/>
        <v>June</v>
      </c>
      <c r="B1516" s="11">
        <f>IFERROR(__xludf.DUMMYFUNCTION("""COMPUTED_VALUE"""),46181.0)</f>
        <v>46181</v>
      </c>
      <c r="C1516" s="2" t="str">
        <f>IFERROR(__xludf.DUMMYFUNCTION("""COMPUTED_VALUE"""),"MOBILECARE - APP THE ANNEX")</f>
        <v>MOBILECARE - APP THE ANNEX</v>
      </c>
      <c r="D1516" s="2" t="str">
        <f>IFERROR(__xludf.DUMMYFUNCTION("""COMPUTED_VALUE"""),"661-56050")</f>
        <v>661-56050</v>
      </c>
      <c r="E1516" s="2" t="str">
        <f>IFERROR(__xludf.DUMMYFUNCTION("""COMPUTED_VALUE"""),"Display, iPhone 17 Pro Max")</f>
        <v>Display, iPhone 17 Pro Max</v>
      </c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10" t="str">
        <f t="shared" si="1"/>
        <v>June</v>
      </c>
      <c r="B1517" s="11">
        <f>IFERROR(__xludf.DUMMYFUNCTION("""COMPUTED_VALUE"""),46176.0)</f>
        <v>46176</v>
      </c>
      <c r="C1517" s="2" t="str">
        <f>IFERROR(__xludf.DUMMYFUNCTION("""COMPUTED_VALUE"""),"MOBILECARE - APP THE ANNEX")</f>
        <v>MOBILECARE - APP THE ANNEX</v>
      </c>
      <c r="D1517" s="2" t="str">
        <f>IFERROR(__xludf.DUMMYFUNCTION("""COMPUTED_VALUE"""),"661-30382")</f>
        <v>661-30382</v>
      </c>
      <c r="E1517" s="2" t="str">
        <f>IFERROR(__xludf.DUMMYFUNCTION("""COMPUTED_VALUE"""),"Battery, iPhone 14 Pro")</f>
        <v>Battery, iPhone 14 Pro</v>
      </c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10" t="str">
        <f t="shared" si="1"/>
        <v>June</v>
      </c>
      <c r="B1518" s="11">
        <f>IFERROR(__xludf.DUMMYFUNCTION("""COMPUTED_VALUE"""),46175.0)</f>
        <v>46175</v>
      </c>
      <c r="C1518" s="2" t="str">
        <f>IFERROR(__xludf.DUMMYFUNCTION("""COMPUTED_VALUE"""),"MOBILECARE - APP THE ANNEX")</f>
        <v>MOBILECARE - APP THE ANNEX</v>
      </c>
      <c r="D1518" s="2" t="str">
        <f>IFERROR(__xludf.DUMMYFUNCTION("""COMPUTED_VALUE"""),"661-10850")</f>
        <v>661-10850</v>
      </c>
      <c r="E1518" s="2" t="str">
        <f>IFERROR(__xludf.DUMMYFUNCTION("""COMPUTED_VALUE"""),"Battery, iPhone XR")</f>
        <v>Battery, iPhone XR</v>
      </c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10" t="str">
        <f t="shared" si="1"/>
        <v>June</v>
      </c>
      <c r="B1519" s="11">
        <f>IFERROR(__xludf.DUMMYFUNCTION("""COMPUTED_VALUE"""),46175.0)</f>
        <v>46175</v>
      </c>
      <c r="C1519" s="2" t="str">
        <f>IFERROR(__xludf.DUMMYFUNCTION("""COMPUTED_VALUE"""),"MOBILECARE - APP THE ANNEX")</f>
        <v>MOBILECARE - APP THE ANNEX</v>
      </c>
      <c r="D1519" s="2" t="str">
        <f>IFERROR(__xludf.DUMMYFUNCTION("""COMPUTED_VALUE"""),"923-02609")</f>
        <v>923-02609</v>
      </c>
      <c r="E1519" s="2" t="str">
        <f>IFERROR(__xludf.DUMMYFUNCTION("""COMPUTED_VALUE"""),"Speaker, iPhone XR")</f>
        <v>Speaker, iPhone XR</v>
      </c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10" t="str">
        <f t="shared" si="1"/>
        <v>April</v>
      </c>
      <c r="B1520" s="11">
        <f>IFERROR(__xludf.DUMMYFUNCTION("""COMPUTED_VALUE"""),46137.0)</f>
        <v>46137</v>
      </c>
      <c r="C1520" s="2" t="str">
        <f>IFERROR(__xludf.DUMMYFUNCTION("""COMPUTED_VALUE"""),"MOBILECARE - APP THE ANNEX")</f>
        <v>MOBILECARE - APP THE ANNEX</v>
      </c>
      <c r="D1520" s="2" t="str">
        <f>IFERROR(__xludf.DUMMYFUNCTION("""COMPUTED_VALUE"""),"661-21991")</f>
        <v>661-21991</v>
      </c>
      <c r="E1520" s="2" t="str">
        <f>IFERROR(__xludf.DUMMYFUNCTION("""COMPUTED_VALUE"""),"Battery, iPhone 13")</f>
        <v>Battery, iPhone 13</v>
      </c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10" t="str">
        <f t="shared" si="1"/>
        <v>February</v>
      </c>
      <c r="B1521" s="11">
        <f>IFERROR(__xludf.DUMMYFUNCTION("""COMPUTED_VALUE"""),46068.0)</f>
        <v>46068</v>
      </c>
      <c r="C1521" s="2" t="str">
        <f>IFERROR(__xludf.DUMMYFUNCTION("""COMPUTED_VALUE"""),"MOBILECARE - APP THE ANNEX")</f>
        <v>MOBILECARE - APP THE ANNEX</v>
      </c>
      <c r="D1521" s="2" t="str">
        <f>IFERROR(__xludf.DUMMYFUNCTION("""COMPUTED_VALUE"""),"661-37213")</f>
        <v>661-37213</v>
      </c>
      <c r="E1521" s="2" t="str">
        <f>IFERROR(__xludf.DUMMYFUNCTION("""COMPUTED_VALUE"""),"Display, iPhone 15 Plus")</f>
        <v>Display, iPhone 15 Plus</v>
      </c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10" t="str">
        <f t="shared" si="1"/>
        <v>February</v>
      </c>
      <c r="B1522" s="11">
        <f>IFERROR(__xludf.DUMMYFUNCTION("""COMPUTED_VALUE"""),46079.0)</f>
        <v>46079</v>
      </c>
      <c r="C1522" s="2" t="str">
        <f>IFERROR(__xludf.DUMMYFUNCTION("""COMPUTED_VALUE"""),"MOBILECARE - APP THE ANNEX")</f>
        <v>MOBILECARE - APP THE ANNEX</v>
      </c>
      <c r="D1522" s="2" t="str">
        <f>IFERROR(__xludf.DUMMYFUNCTION("""COMPUTED_VALUE"""),"661-44956")</f>
        <v>661-44956</v>
      </c>
      <c r="E1522" s="2" t="str">
        <f>IFERROR(__xludf.DUMMYFUNCTION("""COMPUTED_VALUE"""),"TrueDepth Camera, iPhone 16 Pro Max")</f>
        <v>TrueDepth Camera, iPhone 16 Pro Max</v>
      </c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10" t="str">
        <f t="shared" si="1"/>
        <v>February</v>
      </c>
      <c r="B1523" s="11">
        <f>IFERROR(__xludf.DUMMYFUNCTION("""COMPUTED_VALUE"""),46056.0)</f>
        <v>46056</v>
      </c>
      <c r="C1523" s="2" t="str">
        <f>IFERROR(__xludf.DUMMYFUNCTION("""COMPUTED_VALUE"""),"MOBILECARE - APP THE ANNEX")</f>
        <v>MOBILECARE - APP THE ANNEX</v>
      </c>
      <c r="D1523" s="2" t="str">
        <f>IFERROR(__xludf.DUMMYFUNCTION("""COMPUTED_VALUE"""),"661-22309")</f>
        <v>661-22309</v>
      </c>
      <c r="E1523" s="2" t="str">
        <f>IFERROR(__xludf.DUMMYFUNCTION("""COMPUTED_VALUE"""),"Display, iPhone 13 Pro Max")</f>
        <v>Display, iPhone 13 Pro Max</v>
      </c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10" t="str">
        <f t="shared" si="1"/>
        <v>May</v>
      </c>
      <c r="B1524" s="11">
        <f>IFERROR(__xludf.DUMMYFUNCTION("""COMPUTED_VALUE"""),46172.0)</f>
        <v>46172</v>
      </c>
      <c r="C1524" s="2" t="str">
        <f>IFERROR(__xludf.DUMMYFUNCTION("""COMPUTED_VALUE"""),"MOBILECARE - APP THE ANNEX")</f>
        <v>MOBILECARE - APP THE ANNEX</v>
      </c>
      <c r="D1524" s="2" t="str">
        <f>IFERROR(__xludf.DUMMYFUNCTION("""COMPUTED_VALUE"""),"661-35694")</f>
        <v>661-35694</v>
      </c>
      <c r="E1524" s="2" t="str">
        <f>IFERROR(__xludf.DUMMYFUNCTION("""COMPUTED_VALUE"""),"Battery, iPhone 15 Pro")</f>
        <v>Battery, iPhone 15 Pro</v>
      </c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10" t="str">
        <f t="shared" si="1"/>
        <v>March</v>
      </c>
      <c r="B1525" s="11">
        <f>IFERROR(__xludf.DUMMYFUNCTION("""COMPUTED_VALUE"""),46112.0)</f>
        <v>46112</v>
      </c>
      <c r="C1525" s="2" t="str">
        <f>IFERROR(__xludf.DUMMYFUNCTION("""COMPUTED_VALUE"""),"MOBILECARE - APP THE ANNEX")</f>
        <v>MOBILECARE - APP THE ANNEX</v>
      </c>
      <c r="D1525" s="2" t="str">
        <f>IFERROR(__xludf.DUMMYFUNCTION("""COMPUTED_VALUE"""),"661-18428")</f>
        <v>661-18428</v>
      </c>
      <c r="E1525" s="2" t="str">
        <f>IFERROR(__xludf.DUMMYFUNCTION("""COMPUTED_VALUE"""),"Battery, iPhone 12 Pro Max")</f>
        <v>Battery, iPhone 12 Pro Max</v>
      </c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10" t="str">
        <f t="shared" si="1"/>
        <v>March</v>
      </c>
      <c r="B1526" s="11">
        <f>IFERROR(__xludf.DUMMYFUNCTION("""COMPUTED_VALUE"""),46112.0)</f>
        <v>46112</v>
      </c>
      <c r="C1526" s="2" t="str">
        <f>IFERROR(__xludf.DUMMYFUNCTION("""COMPUTED_VALUE"""),"MOBILECARE - APP THE ANNEX")</f>
        <v>MOBILECARE - APP THE ANNEX</v>
      </c>
      <c r="D1526" s="2" t="str">
        <f>IFERROR(__xludf.DUMMYFUNCTION("""COMPUTED_VALUE"""),"661-18466")</f>
        <v>661-18466</v>
      </c>
      <c r="E1526" s="2" t="str">
        <f>IFERROR(__xludf.DUMMYFUNCTION("""COMPUTED_VALUE"""),"Display, iPhone 12 Pro Max")</f>
        <v>Display, iPhone 12 Pro Max</v>
      </c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10" t="str">
        <f t="shared" si="1"/>
        <v>March</v>
      </c>
      <c r="B1527" s="11">
        <f>IFERROR(__xludf.DUMMYFUNCTION("""COMPUTED_VALUE"""),46110.0)</f>
        <v>46110</v>
      </c>
      <c r="C1527" s="2" t="str">
        <f>IFERROR(__xludf.DUMMYFUNCTION("""COMPUTED_VALUE"""),"MOBILECARE - APP THE ANNEX")</f>
        <v>MOBILECARE - APP THE ANNEX</v>
      </c>
      <c r="D1527" s="2" t="str">
        <f>IFERROR(__xludf.DUMMYFUNCTION("""COMPUTED_VALUE"""),"Z661-56015")</f>
        <v>Z661-56015</v>
      </c>
      <c r="E1527" s="2" t="str">
        <f>IFERROR(__xludf.DUMMYFUNCTION("""COMPUTED_VALUE"""),"Logic Board, 256GB, iPhone 17, ROW")</f>
        <v>Logic Board, 256GB, iPhone 17, ROW</v>
      </c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10" t="str">
        <f t="shared" si="1"/>
        <v>June</v>
      </c>
      <c r="B1528" s="11">
        <f>IFERROR(__xludf.DUMMYFUNCTION("""COMPUTED_VALUE"""),46191.0)</f>
        <v>46191</v>
      </c>
      <c r="C1528" s="2" t="str">
        <f>IFERROR(__xludf.DUMMYFUNCTION("""COMPUTED_VALUE"""),"MOBILECARE - APP THE ANNEX")</f>
        <v>MOBILECARE - APP THE ANNEX</v>
      </c>
      <c r="D1528" s="2" t="str">
        <f>IFERROR(__xludf.DUMMYFUNCTION("""COMPUTED_VALUE"""),"661-21991")</f>
        <v>661-21991</v>
      </c>
      <c r="E1528" s="2" t="str">
        <f>IFERROR(__xludf.DUMMYFUNCTION("""COMPUTED_VALUE"""),"Battery, iPhone 13")</f>
        <v>Battery, iPhone 13</v>
      </c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10" t="str">
        <f t="shared" si="1"/>
        <v>May</v>
      </c>
      <c r="B1529" s="11">
        <f>IFERROR(__xludf.DUMMYFUNCTION("""COMPUTED_VALUE"""),46159.0)</f>
        <v>46159</v>
      </c>
      <c r="C1529" s="2" t="str">
        <f>IFERROR(__xludf.DUMMYFUNCTION("""COMPUTED_VALUE"""),"MOBILECARE - APP THE ANNEX")</f>
        <v>MOBILECARE - APP THE ANNEX</v>
      </c>
      <c r="D1529" s="2" t="str">
        <f>IFERROR(__xludf.DUMMYFUNCTION("""COMPUTED_VALUE"""),"661-56122")</f>
        <v>661-56122</v>
      </c>
      <c r="E1529" s="2" t="str">
        <f>IFERROR(__xludf.DUMMYFUNCTION("""COMPUTED_VALUE"""),"Silver, Back Glass, iPhone 17 Pro")</f>
        <v>Silver, Back Glass, iPhone 17 Pro</v>
      </c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10" t="str">
        <f t="shared" si="1"/>
        <v>May</v>
      </c>
      <c r="B1530" s="11">
        <f>IFERROR(__xludf.DUMMYFUNCTION("""COMPUTED_VALUE"""),46145.0)</f>
        <v>46145</v>
      </c>
      <c r="C1530" s="2" t="str">
        <f>IFERROR(__xludf.DUMMYFUNCTION("""COMPUTED_VALUE"""),"MOBILECARE - APP THE ANNEX")</f>
        <v>MOBILECARE - APP THE ANNEX</v>
      </c>
      <c r="D1530" s="2" t="str">
        <f>IFERROR(__xludf.DUMMYFUNCTION("""COMPUTED_VALUE"""),"661-42726")</f>
        <v>661-42726</v>
      </c>
      <c r="E1530" s="2" t="str">
        <f>IFERROR(__xludf.DUMMYFUNCTION("""COMPUTED_VALUE"""),"Display, iPhone 16 Pro")</f>
        <v>Display, iPhone 16 Pro</v>
      </c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10" t="str">
        <f t="shared" si="1"/>
        <v>April</v>
      </c>
      <c r="B1531" s="11">
        <f>IFERROR(__xludf.DUMMYFUNCTION("""COMPUTED_VALUE"""),46123.0)</f>
        <v>46123</v>
      </c>
      <c r="C1531" s="2" t="str">
        <f>IFERROR(__xludf.DUMMYFUNCTION("""COMPUTED_VALUE"""),"MOBILECARE - APP THE ANNEX")</f>
        <v>MOBILECARE - APP THE ANNEX</v>
      </c>
      <c r="D1531" s="2" t="str">
        <f>IFERROR(__xludf.DUMMYFUNCTION("""COMPUTED_VALUE"""),"661-21991")</f>
        <v>661-21991</v>
      </c>
      <c r="E1531" s="2" t="str">
        <f>IFERROR(__xludf.DUMMYFUNCTION("""COMPUTED_VALUE"""),"Battery, iPhone 13")</f>
        <v>Battery, iPhone 13</v>
      </c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10" t="str">
        <f t="shared" si="1"/>
        <v>April</v>
      </c>
      <c r="B1532" s="11">
        <f>IFERROR(__xludf.DUMMYFUNCTION("""COMPUTED_VALUE"""),46133.0)</f>
        <v>46133</v>
      </c>
      <c r="C1532" s="2" t="str">
        <f>IFERROR(__xludf.DUMMYFUNCTION("""COMPUTED_VALUE"""),"MOBILECARE - APP THE ANNEX")</f>
        <v>MOBILECARE - APP THE ANNEX</v>
      </c>
      <c r="D1532" s="2" t="str">
        <f>IFERROR(__xludf.DUMMYFUNCTION("""COMPUTED_VALUE"""),"Z661-55956")</f>
        <v>Z661-55956</v>
      </c>
      <c r="E1532" s="2" t="str">
        <f>IFERROR(__xludf.DUMMYFUNCTION("""COMPUTED_VALUE"""),"Logic Board, 256GB, iPhone 17 Pro Max, ROW")</f>
        <v>Logic Board, 256GB, iPhone 17 Pro Max, ROW</v>
      </c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10" t="str">
        <f t="shared" si="1"/>
        <v>January</v>
      </c>
      <c r="B1533" s="11">
        <f>IFERROR(__xludf.DUMMYFUNCTION("""COMPUTED_VALUE"""),46050.0)</f>
        <v>46050</v>
      </c>
      <c r="C1533" s="2" t="str">
        <f>IFERROR(__xludf.DUMMYFUNCTION("""COMPUTED_VALUE"""),"MOBILECARE - APP THE ANNEX")</f>
        <v>MOBILECARE - APP THE ANNEX</v>
      </c>
      <c r="D1533" s="2" t="str">
        <f>IFERROR(__xludf.DUMMYFUNCTION("""COMPUTED_VALUE"""),"661-56050")</f>
        <v>661-56050</v>
      </c>
      <c r="E1533" s="2" t="str">
        <f>IFERROR(__xludf.DUMMYFUNCTION("""COMPUTED_VALUE"""),"Display, iPhone 17 Pro Max")</f>
        <v>Display, iPhone 17 Pro Max</v>
      </c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10" t="str">
        <f t="shared" si="1"/>
        <v>June</v>
      </c>
      <c r="B1534" s="11">
        <f>IFERROR(__xludf.DUMMYFUNCTION("""COMPUTED_VALUE"""),46191.0)</f>
        <v>46191</v>
      </c>
      <c r="C1534" s="2" t="str">
        <f>IFERROR(__xludf.DUMMYFUNCTION("""COMPUTED_VALUE"""),"MOBILECARE - APP THE ANNEX")</f>
        <v>MOBILECARE - APP THE ANNEX</v>
      </c>
      <c r="D1534" s="2" t="str">
        <f>IFERROR(__xludf.DUMMYFUNCTION("""COMPUTED_VALUE"""),"661-30397")</f>
        <v>661-30397</v>
      </c>
      <c r="E1534" s="2" t="str">
        <f>IFERROR(__xludf.DUMMYFUNCTION("""COMPUTED_VALUE"""),"Battery, iPhone 14 Pro Max")</f>
        <v>Battery, iPhone 14 Pro Max</v>
      </c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10" t="str">
        <f t="shared" si="1"/>
        <v>June</v>
      </c>
      <c r="B1535" s="11">
        <f>IFERROR(__xludf.DUMMYFUNCTION("""COMPUTED_VALUE"""),46189.0)</f>
        <v>46189</v>
      </c>
      <c r="C1535" s="2" t="str">
        <f>IFERROR(__xludf.DUMMYFUNCTION("""COMPUTED_VALUE"""),"MOBILECARE - APP THE ANNEX")</f>
        <v>MOBILECARE - APP THE ANNEX</v>
      </c>
      <c r="D1535" s="2" t="str">
        <f>IFERROR(__xludf.DUMMYFUNCTION("""COMPUTED_VALUE"""),"923-10996")</f>
        <v>923-10996</v>
      </c>
      <c r="E1535" s="2" t="str">
        <f>IFERROR(__xludf.DUMMYFUNCTION("""COMPUTED_VALUE"""),"Top Speaker, iPhone 16 Plus, non MMwave")</f>
        <v>Top Speaker, iPhone 16 Plus, non MMwave</v>
      </c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10" t="str">
        <f t="shared" si="1"/>
        <v>May</v>
      </c>
      <c r="B1536" s="11">
        <f>IFERROR(__xludf.DUMMYFUNCTION("""COMPUTED_VALUE"""),46158.0)</f>
        <v>46158</v>
      </c>
      <c r="C1536" s="2" t="str">
        <f>IFERROR(__xludf.DUMMYFUNCTION("""COMPUTED_VALUE"""),"MOBILECARE - APP THE ANNEX")</f>
        <v>MOBILECARE - APP THE ANNEX</v>
      </c>
      <c r="D1536" s="2" t="str">
        <f>IFERROR(__xludf.DUMMYFUNCTION("""COMPUTED_VALUE"""),"661-56052")</f>
        <v>661-56052</v>
      </c>
      <c r="E1536" s="2" t="str">
        <f>IFERROR(__xludf.DUMMYFUNCTION("""COMPUTED_VALUE"""),"Camera, iPhone 17 Pro Max")</f>
        <v>Camera, iPhone 17 Pro Max</v>
      </c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10" t="str">
        <f t="shared" si="1"/>
        <v>May</v>
      </c>
      <c r="B1537" s="11">
        <f>IFERROR(__xludf.DUMMYFUNCTION("""COMPUTED_VALUE"""),46143.0)</f>
        <v>46143</v>
      </c>
      <c r="C1537" s="2" t="str">
        <f>IFERROR(__xludf.DUMMYFUNCTION("""COMPUTED_VALUE"""),"MOBILECARE - APP THE ANNEX")</f>
        <v>MOBILECARE - APP THE ANNEX</v>
      </c>
      <c r="D1537" s="2" t="str">
        <f>IFERROR(__xludf.DUMMYFUNCTION("""COMPUTED_VALUE"""),"661-30373")</f>
        <v>661-30373</v>
      </c>
      <c r="E1537" s="2" t="str">
        <f>IFERROR(__xludf.DUMMYFUNCTION("""COMPUTED_VALUE"""),"Battery, iPhone 14")</f>
        <v>Battery, iPhone 14</v>
      </c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10" t="str">
        <f t="shared" si="1"/>
        <v>March</v>
      </c>
      <c r="B1538" s="11">
        <f>IFERROR(__xludf.DUMMYFUNCTION("""COMPUTED_VALUE"""),46103.0)</f>
        <v>46103</v>
      </c>
      <c r="C1538" s="2" t="str">
        <f>IFERROR(__xludf.DUMMYFUNCTION("""COMPUTED_VALUE"""),"MOBILECARE - APP THE ANNEX")</f>
        <v>MOBILECARE - APP THE ANNEX</v>
      </c>
      <c r="D1538" s="2" t="str">
        <f>IFERROR(__xludf.DUMMYFUNCTION("""COMPUTED_VALUE"""),"661-30382")</f>
        <v>661-30382</v>
      </c>
      <c r="E1538" s="2" t="str">
        <f>IFERROR(__xludf.DUMMYFUNCTION("""COMPUTED_VALUE"""),"Battery, iPhone 14 Pro")</f>
        <v>Battery, iPhone 14 Pro</v>
      </c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10" t="str">
        <f t="shared" si="1"/>
        <v>March</v>
      </c>
      <c r="B1539" s="11">
        <f>IFERROR(__xludf.DUMMYFUNCTION("""COMPUTED_VALUE"""),46095.0)</f>
        <v>46095</v>
      </c>
      <c r="C1539" s="2" t="str">
        <f>IFERROR(__xludf.DUMMYFUNCTION("""COMPUTED_VALUE"""),"MOBILECARE - APP THE ANNEX")</f>
        <v>MOBILECARE - APP THE ANNEX</v>
      </c>
      <c r="D1539" s="2" t="str">
        <f>IFERROR(__xludf.DUMMYFUNCTION("""COMPUTED_VALUE"""),"661-22294")</f>
        <v>661-22294</v>
      </c>
      <c r="E1539" s="2" t="str">
        <f>IFERROR(__xludf.DUMMYFUNCTION("""COMPUTED_VALUE"""),"Battery, iPhone 13 Pro Max")</f>
        <v>Battery, iPhone 13 Pro Max</v>
      </c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10" t="str">
        <f t="shared" si="1"/>
        <v>March</v>
      </c>
      <c r="B1540" s="11">
        <f>IFERROR(__xludf.DUMMYFUNCTION("""COMPUTED_VALUE"""),46083.0)</f>
        <v>46083</v>
      </c>
      <c r="C1540" s="2" t="str">
        <f>IFERROR(__xludf.DUMMYFUNCTION("""COMPUTED_VALUE"""),"MOBILECARE - APP THE ANNEX")</f>
        <v>MOBILECARE - APP THE ANNEX</v>
      </c>
      <c r="D1540" s="2" t="str">
        <f>IFERROR(__xludf.DUMMYFUNCTION("""COMPUTED_VALUE"""),"661-21996")</f>
        <v>661-21996</v>
      </c>
      <c r="E1540" s="2" t="str">
        <f>IFERROR(__xludf.DUMMYFUNCTION("""COMPUTED_VALUE"""),"Battery, iPhone 13 Pro")</f>
        <v>Battery, iPhone 13 Pro</v>
      </c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10" t="str">
        <f t="shared" si="1"/>
        <v>February</v>
      </c>
      <c r="B1541" s="11">
        <f>IFERROR(__xludf.DUMMYFUNCTION("""COMPUTED_VALUE"""),46078.0)</f>
        <v>46078</v>
      </c>
      <c r="C1541" s="2" t="str">
        <f>IFERROR(__xludf.DUMMYFUNCTION("""COMPUTED_VALUE"""),"MOBILECARE - APP THE ANNEX")</f>
        <v>MOBILECARE - APP THE ANNEX</v>
      </c>
      <c r="D1541" s="2" t="str">
        <f>IFERROR(__xludf.DUMMYFUNCTION("""COMPUTED_VALUE"""),"TA661-36896")</f>
        <v>TA661-36896</v>
      </c>
      <c r="E1541" s="2" t="str">
        <f>IFERROR(__xludf.DUMMYFUNCTION("""COMPUTED_VALUE"""),"Natural, iPhone 15 Pro Max, 256GB, ROW, CI/AR, Taiwan")</f>
        <v>Natural, iPhone 15 Pro Max, 256GB, ROW, CI/AR, Taiwan</v>
      </c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10" t="str">
        <f t="shared" si="1"/>
        <v>June</v>
      </c>
      <c r="B1542" s="11">
        <f>IFERROR(__xludf.DUMMYFUNCTION("""COMPUTED_VALUE"""),46191.0)</f>
        <v>46191</v>
      </c>
      <c r="C1542" s="2" t="str">
        <f>IFERROR(__xludf.DUMMYFUNCTION("""COMPUTED_VALUE"""),"MOBILECARE - APP THE ANNEX")</f>
        <v>MOBILECARE - APP THE ANNEX</v>
      </c>
      <c r="D1542" s="2" t="str">
        <f>IFERROR(__xludf.DUMMYFUNCTION("""COMPUTED_VALUE"""),"661-22294")</f>
        <v>661-22294</v>
      </c>
      <c r="E1542" s="2" t="str">
        <f>IFERROR(__xludf.DUMMYFUNCTION("""COMPUTED_VALUE"""),"Battery, iPhone 13 Pro Max")</f>
        <v>Battery, iPhone 13 Pro Max</v>
      </c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10" t="str">
        <f t="shared" si="1"/>
        <v>June</v>
      </c>
      <c r="B1543" s="11">
        <f>IFERROR(__xludf.DUMMYFUNCTION("""COMPUTED_VALUE"""),46188.0)</f>
        <v>46188</v>
      </c>
      <c r="C1543" s="2" t="str">
        <f>IFERROR(__xludf.DUMMYFUNCTION("""COMPUTED_VALUE"""),"MOBILECARE - APP THE ANNEX")</f>
        <v>MOBILECARE - APP THE ANNEX</v>
      </c>
      <c r="D1543" s="2" t="str">
        <f>IFERROR(__xludf.DUMMYFUNCTION("""COMPUTED_VALUE"""),"661-22309")</f>
        <v>661-22309</v>
      </c>
      <c r="E1543" s="2" t="str">
        <f>IFERROR(__xludf.DUMMYFUNCTION("""COMPUTED_VALUE"""),"Display, iPhone 13 Pro Max")</f>
        <v>Display, iPhone 13 Pro Max</v>
      </c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10" t="str">
        <f t="shared" si="1"/>
        <v>February</v>
      </c>
      <c r="B1544" s="11">
        <f>IFERROR(__xludf.DUMMYFUNCTION("""COMPUTED_VALUE"""),46081.0)</f>
        <v>46081</v>
      </c>
      <c r="C1544" s="2" t="str">
        <f>IFERROR(__xludf.DUMMYFUNCTION("""COMPUTED_VALUE"""),"MOBILECARE - APP THE ANNEX")</f>
        <v>MOBILECARE - APP THE ANNEX</v>
      </c>
      <c r="D1544" s="2" t="str">
        <f>IFERROR(__xludf.DUMMYFUNCTION("""COMPUTED_VALUE"""),"661-22294")</f>
        <v>661-22294</v>
      </c>
      <c r="E1544" s="2" t="str">
        <f>IFERROR(__xludf.DUMMYFUNCTION("""COMPUTED_VALUE"""),"Battery, iPhone 13 Pro Max")</f>
        <v>Battery, iPhone 13 Pro Max</v>
      </c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10" t="str">
        <f t="shared" si="1"/>
        <v>June</v>
      </c>
      <c r="B1545" s="11">
        <f>IFERROR(__xludf.DUMMYFUNCTION("""COMPUTED_VALUE"""),46182.0)</f>
        <v>46182</v>
      </c>
      <c r="C1545" s="2" t="str">
        <f>IFERROR(__xludf.DUMMYFUNCTION("""COMPUTED_VALUE"""),"MOBILECARE - APP THE ANNEX")</f>
        <v>MOBILECARE - APP THE ANNEX</v>
      </c>
      <c r="D1545" s="2" t="str">
        <f>IFERROR(__xludf.DUMMYFUNCTION("""COMPUTED_VALUE"""),"661-21991")</f>
        <v>661-21991</v>
      </c>
      <c r="E1545" s="2" t="str">
        <f>IFERROR(__xludf.DUMMYFUNCTION("""COMPUTED_VALUE"""),"Battery, iPhone 13")</f>
        <v>Battery, iPhone 13</v>
      </c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10" t="str">
        <f t="shared" si="1"/>
        <v>May</v>
      </c>
      <c r="B1546" s="11">
        <f>IFERROR(__xludf.DUMMYFUNCTION("""COMPUTED_VALUE"""),46155.0)</f>
        <v>46155</v>
      </c>
      <c r="C1546" s="2" t="str">
        <f>IFERROR(__xludf.DUMMYFUNCTION("""COMPUTED_VALUE"""),"MOBILECARE - APP THE ANNEX")</f>
        <v>MOBILECARE - APP THE ANNEX</v>
      </c>
      <c r="D1546" s="2" t="str">
        <f>IFERROR(__xludf.DUMMYFUNCTION("""COMPUTED_VALUE"""),"661-13574")</f>
        <v>661-13574</v>
      </c>
      <c r="E1546" s="2" t="str">
        <f>IFERROR(__xludf.DUMMYFUNCTION("""COMPUTED_VALUE"""),"Battery, iPhone 11")</f>
        <v>Battery, iPhone 11</v>
      </c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10" t="str">
        <f t="shared" si="1"/>
        <v>March</v>
      </c>
      <c r="B1547" s="11">
        <f>IFERROR(__xludf.DUMMYFUNCTION("""COMPUTED_VALUE"""),46111.0)</f>
        <v>46111</v>
      </c>
      <c r="C1547" s="2" t="str">
        <f>IFERROR(__xludf.DUMMYFUNCTION("""COMPUTED_VALUE"""),"MOBILECARE - APP THE ANNEX")</f>
        <v>MOBILECARE - APP THE ANNEX</v>
      </c>
      <c r="D1547" s="2" t="str">
        <f>IFERROR(__xludf.DUMMYFUNCTION("""COMPUTED_VALUE"""),"661-21991")</f>
        <v>661-21991</v>
      </c>
      <c r="E1547" s="2" t="str">
        <f>IFERROR(__xludf.DUMMYFUNCTION("""COMPUTED_VALUE"""),"Battery, iPhone 13")</f>
        <v>Battery, iPhone 13</v>
      </c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10" t="str">
        <f t="shared" si="1"/>
        <v>February</v>
      </c>
      <c r="B1548" s="11">
        <f>IFERROR(__xludf.DUMMYFUNCTION("""COMPUTED_VALUE"""),46078.0)</f>
        <v>46078</v>
      </c>
      <c r="C1548" s="2" t="str">
        <f>IFERROR(__xludf.DUMMYFUNCTION("""COMPUTED_VALUE"""),"MOBILECARE - APP THE ANNEX")</f>
        <v>MOBILECARE - APP THE ANNEX</v>
      </c>
      <c r="D1548" s="2" t="str">
        <f>IFERROR(__xludf.DUMMYFUNCTION("""COMPUTED_VALUE"""),"661-21991")</f>
        <v>661-21991</v>
      </c>
      <c r="E1548" s="2" t="str">
        <f>IFERROR(__xludf.DUMMYFUNCTION("""COMPUTED_VALUE"""),"Battery, iPhone 13")</f>
        <v>Battery, iPhone 13</v>
      </c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10" t="str">
        <f t="shared" si="1"/>
        <v>May</v>
      </c>
      <c r="B1549" s="11">
        <f>IFERROR(__xludf.DUMMYFUNCTION("""COMPUTED_VALUE"""),46168.0)</f>
        <v>46168</v>
      </c>
      <c r="C1549" s="2" t="str">
        <f>IFERROR(__xludf.DUMMYFUNCTION("""COMPUTED_VALUE"""),"MOBILECARE - APP THE ANNEX")</f>
        <v>MOBILECARE - APP THE ANNEX</v>
      </c>
      <c r="D1549" s="2" t="str">
        <f>IFERROR(__xludf.DUMMYFUNCTION("""COMPUTED_VALUE"""),"661-22309")</f>
        <v>661-22309</v>
      </c>
      <c r="E1549" s="2" t="str">
        <f>IFERROR(__xludf.DUMMYFUNCTION("""COMPUTED_VALUE"""),"Display, iPhone 13 Pro Max")</f>
        <v>Display, iPhone 13 Pro Max</v>
      </c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10" t="str">
        <f t="shared" si="1"/>
        <v>May</v>
      </c>
      <c r="B1550" s="11">
        <f>IFERROR(__xludf.DUMMYFUNCTION("""COMPUTED_VALUE"""),46168.0)</f>
        <v>46168</v>
      </c>
      <c r="C1550" s="2" t="str">
        <f>IFERROR(__xludf.DUMMYFUNCTION("""COMPUTED_VALUE"""),"MOBILECARE - APP THE ANNEX")</f>
        <v>MOBILECARE - APP THE ANNEX</v>
      </c>
      <c r="D1550" s="2" t="str">
        <f>IFERROR(__xludf.DUMMYFUNCTION("""COMPUTED_VALUE"""),"661-21991")</f>
        <v>661-21991</v>
      </c>
      <c r="E1550" s="2" t="str">
        <f>IFERROR(__xludf.DUMMYFUNCTION("""COMPUTED_VALUE"""),"Battery, iPhone 13")</f>
        <v>Battery, iPhone 13</v>
      </c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10" t="str">
        <f t="shared" si="1"/>
        <v>May</v>
      </c>
      <c r="B1551" s="11">
        <f>IFERROR(__xludf.DUMMYFUNCTION("""COMPUTED_VALUE"""),46146.0)</f>
        <v>46146</v>
      </c>
      <c r="C1551" s="2" t="str">
        <f>IFERROR(__xludf.DUMMYFUNCTION("""COMPUTED_VALUE"""),"MOBILECARE - APP THE ANNEX")</f>
        <v>MOBILECARE - APP THE ANNEX</v>
      </c>
      <c r="D1551" s="2" t="str">
        <f>IFERROR(__xludf.DUMMYFUNCTION("""COMPUTED_VALUE"""),"661-55240")</f>
        <v>661-55240</v>
      </c>
      <c r="E1551" s="2" t="str">
        <f>IFERROR(__xludf.DUMMYFUNCTION("""COMPUTED_VALUE"""),"Display, iPhone Air")</f>
        <v>Display, iPhone Air</v>
      </c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10" t="str">
        <f t="shared" si="1"/>
        <v>May</v>
      </c>
      <c r="B1552" s="11">
        <f>IFERROR(__xludf.DUMMYFUNCTION("""COMPUTED_VALUE"""),46145.0)</f>
        <v>46145</v>
      </c>
      <c r="C1552" s="2" t="str">
        <f>IFERROR(__xludf.DUMMYFUNCTION("""COMPUTED_VALUE"""),"MOBILECARE - APP THE ANNEX")</f>
        <v>MOBILECARE - APP THE ANNEX</v>
      </c>
      <c r="D1552" s="2" t="str">
        <f>IFERROR(__xludf.DUMMYFUNCTION("""COMPUTED_VALUE"""),"661-44955")</f>
        <v>661-44955</v>
      </c>
      <c r="E1552" s="2" t="str">
        <f>IFERROR(__xludf.DUMMYFUNCTION("""COMPUTED_VALUE"""),"Display, iPhone 16 Pro Max")</f>
        <v>Display, iPhone 16 Pro Max</v>
      </c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10" t="str">
        <f t="shared" si="1"/>
        <v>April</v>
      </c>
      <c r="B1553" s="11">
        <f>IFERROR(__xludf.DUMMYFUNCTION("""COMPUTED_VALUE"""),46125.0)</f>
        <v>46125</v>
      </c>
      <c r="C1553" s="2" t="str">
        <f>IFERROR(__xludf.DUMMYFUNCTION("""COMPUTED_VALUE"""),"MOBILECARE - APP THE ANNEX")</f>
        <v>MOBILECARE - APP THE ANNEX</v>
      </c>
      <c r="D1553" s="2" t="str">
        <f>IFERROR(__xludf.DUMMYFUNCTION("""COMPUTED_VALUE"""),"661-13574")</f>
        <v>661-13574</v>
      </c>
      <c r="E1553" s="2" t="str">
        <f>IFERROR(__xludf.DUMMYFUNCTION("""COMPUTED_VALUE"""),"Battery, iPhone 11")</f>
        <v>Battery, iPhone 11</v>
      </c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10" t="str">
        <f t="shared" si="1"/>
        <v>March</v>
      </c>
      <c r="B1554" s="11">
        <f>IFERROR(__xludf.DUMMYFUNCTION("""COMPUTED_VALUE"""),46101.0)</f>
        <v>46101</v>
      </c>
      <c r="C1554" s="2" t="str">
        <f>IFERROR(__xludf.DUMMYFUNCTION("""COMPUTED_VALUE"""),"MOBILECARE - APP THE ANNEX")</f>
        <v>MOBILECARE - APP THE ANNEX</v>
      </c>
      <c r="D1554" s="2" t="str">
        <f>IFERROR(__xludf.DUMMYFUNCTION("""COMPUTED_VALUE"""),"661-22309")</f>
        <v>661-22309</v>
      </c>
      <c r="E1554" s="2" t="str">
        <f>IFERROR(__xludf.DUMMYFUNCTION("""COMPUTED_VALUE"""),"Display, iPhone 13 Pro Max")</f>
        <v>Display, iPhone 13 Pro Max</v>
      </c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10" t="str">
        <f t="shared" si="1"/>
        <v>March</v>
      </c>
      <c r="B1555" s="11">
        <f>IFERROR(__xludf.DUMMYFUNCTION("""COMPUTED_VALUE"""),46094.0)</f>
        <v>46094</v>
      </c>
      <c r="C1555" s="2" t="str">
        <f>IFERROR(__xludf.DUMMYFUNCTION("""COMPUTED_VALUE"""),"MOBILECARE - APP THE ANNEX")</f>
        <v>MOBILECARE - APP THE ANNEX</v>
      </c>
      <c r="D1555" s="2" t="str">
        <f>IFERROR(__xludf.DUMMYFUNCTION("""COMPUTED_VALUE"""),"661-22309")</f>
        <v>661-22309</v>
      </c>
      <c r="E1555" s="2" t="str">
        <f>IFERROR(__xludf.DUMMYFUNCTION("""COMPUTED_VALUE"""),"Display, iPhone 13 Pro Max")</f>
        <v>Display, iPhone 13 Pro Max</v>
      </c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10" t="str">
        <f t="shared" si="1"/>
        <v>May</v>
      </c>
      <c r="B1556" s="11">
        <f>IFERROR(__xludf.DUMMYFUNCTION("""COMPUTED_VALUE"""),46147.0)</f>
        <v>46147</v>
      </c>
      <c r="C1556" s="2" t="str">
        <f>IFERROR(__xludf.DUMMYFUNCTION("""COMPUTED_VALUE"""),"MOBILECARE - APP THE ANNEX")</f>
        <v>MOBILECARE - APP THE ANNEX</v>
      </c>
      <c r="D1556" s="2" t="str">
        <f>IFERROR(__xludf.DUMMYFUNCTION("""COMPUTED_VALUE"""),"661-23878")</f>
        <v>661-23878</v>
      </c>
      <c r="E1556" s="2" t="str">
        <f>IFERROR(__xludf.DUMMYFUNCTION("""COMPUTED_VALUE"""),"TrueDepth Camera, iPhone 13")</f>
        <v>TrueDepth Camera, iPhone 13</v>
      </c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10" t="str">
        <f t="shared" si="1"/>
        <v>May</v>
      </c>
      <c r="B1557" s="11">
        <f>IFERROR(__xludf.DUMMYFUNCTION("""COMPUTED_VALUE"""),46147.0)</f>
        <v>46147</v>
      </c>
      <c r="C1557" s="2" t="str">
        <f>IFERROR(__xludf.DUMMYFUNCTION("""COMPUTED_VALUE"""),"MOBILECARE - APP THE ANNEX")</f>
        <v>MOBILECARE - APP THE ANNEX</v>
      </c>
      <c r="D1557" s="2" t="str">
        <f>IFERROR(__xludf.DUMMYFUNCTION("""COMPUTED_VALUE"""),"661-23878")</f>
        <v>661-23878</v>
      </c>
      <c r="E1557" s="2" t="str">
        <f>IFERROR(__xludf.DUMMYFUNCTION("""COMPUTED_VALUE"""),"TrueDepth Camera, iPhone 13")</f>
        <v>TrueDepth Camera, iPhone 13</v>
      </c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10" t="str">
        <f t="shared" si="1"/>
        <v>April</v>
      </c>
      <c r="B1558" s="11">
        <f>IFERROR(__xludf.DUMMYFUNCTION("""COMPUTED_VALUE"""),46113.0)</f>
        <v>46113</v>
      </c>
      <c r="C1558" s="2" t="str">
        <f>IFERROR(__xludf.DUMMYFUNCTION("""COMPUTED_VALUE"""),"MOBILECARE - APP THE ANNEX")</f>
        <v>MOBILECARE - APP THE ANNEX</v>
      </c>
      <c r="D1558" s="2" t="str">
        <f>IFERROR(__xludf.DUMMYFUNCTION("""COMPUTED_VALUE"""),"661-42727")</f>
        <v>661-42727</v>
      </c>
      <c r="E1558" s="2" t="str">
        <f>IFERROR(__xludf.DUMMYFUNCTION("""COMPUTED_VALUE"""),"TrueDepth Camera, iPhone 16 Pro")</f>
        <v>TrueDepth Camera, iPhone 16 Pro</v>
      </c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10" t="str">
        <f t="shared" si="1"/>
        <v>March</v>
      </c>
      <c r="B1559" s="11">
        <f>IFERROR(__xludf.DUMMYFUNCTION("""COMPUTED_VALUE"""),46108.0)</f>
        <v>46108</v>
      </c>
      <c r="C1559" s="2" t="str">
        <f>IFERROR(__xludf.DUMMYFUNCTION("""COMPUTED_VALUE"""),"MOBILECARE - APP THE ANNEX")</f>
        <v>MOBILECARE - APP THE ANNEX</v>
      </c>
      <c r="D1559" s="2" t="str">
        <f>IFERROR(__xludf.DUMMYFUNCTION("""COMPUTED_VALUE"""),"661-35700")</f>
        <v>661-35700</v>
      </c>
      <c r="E1559" s="2" t="str">
        <f>IFERROR(__xludf.DUMMYFUNCTION("""COMPUTED_VALUE"""),"Black Titanium, Back Glass, iPhone 15 Pro")</f>
        <v>Black Titanium, Back Glass, iPhone 15 Pro</v>
      </c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10" t="str">
        <f t="shared" si="1"/>
        <v>March</v>
      </c>
      <c r="B1560" s="11">
        <f>IFERROR(__xludf.DUMMYFUNCTION("""COMPUTED_VALUE"""),46084.0)</f>
        <v>46084</v>
      </c>
      <c r="C1560" s="2" t="str">
        <f>IFERROR(__xludf.DUMMYFUNCTION("""COMPUTED_VALUE"""),"MOBILECARE - APP THE ANNEX")</f>
        <v>MOBILECARE - APP THE ANNEX</v>
      </c>
      <c r="D1560" s="2" t="str">
        <f>IFERROR(__xludf.DUMMYFUNCTION("""COMPUTED_VALUE"""),"TA661-36896")</f>
        <v>TA661-36896</v>
      </c>
      <c r="E1560" s="2" t="str">
        <f>IFERROR(__xludf.DUMMYFUNCTION("""COMPUTED_VALUE"""),"Natural, iPhone 15 Pro Max, 256GB, ROW, CI/AR, Taiwan")</f>
        <v>Natural, iPhone 15 Pro Max, 256GB, ROW, CI/AR, Taiwan</v>
      </c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10" t="str">
        <f t="shared" si="1"/>
        <v>February</v>
      </c>
      <c r="B1561" s="11">
        <f>IFERROR(__xludf.DUMMYFUNCTION("""COMPUTED_VALUE"""),46074.0)</f>
        <v>46074</v>
      </c>
      <c r="C1561" s="2" t="str">
        <f>IFERROR(__xludf.DUMMYFUNCTION("""COMPUTED_VALUE"""),"MOBILECARE - APP THE ANNEX")</f>
        <v>MOBILECARE - APP THE ANNEX</v>
      </c>
      <c r="D1561" s="2" t="str">
        <f>IFERROR(__xludf.DUMMYFUNCTION("""COMPUTED_VALUE"""),"PP661-22980")</f>
        <v>PP661-22980</v>
      </c>
      <c r="E1561" s="2" t="str">
        <f>IFERROR(__xludf.DUMMYFUNCTION("""COMPUTED_VALUE"""),"Midnight, 128 GB, iPhone 13, ROW, CI/AR, Philippines")</f>
        <v>Midnight, 128 GB, iPhone 13, ROW, CI/AR, Philippines</v>
      </c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10" t="str">
        <f t="shared" si="1"/>
        <v>February</v>
      </c>
      <c r="B1562" s="11">
        <f>IFERROR(__xludf.DUMMYFUNCTION("""COMPUTED_VALUE"""),46059.0)</f>
        <v>46059</v>
      </c>
      <c r="C1562" s="2" t="str">
        <f>IFERROR(__xludf.DUMMYFUNCTION("""COMPUTED_VALUE"""),"MOBILECARE - APP THE ANNEX")</f>
        <v>MOBILECARE - APP THE ANNEX</v>
      </c>
      <c r="D1562" s="2" t="str">
        <f>IFERROR(__xludf.DUMMYFUNCTION("""COMPUTED_VALUE"""),"TA661-55280")</f>
        <v>TA661-55280</v>
      </c>
      <c r="E1562" s="2" t="str">
        <f>IFERROR(__xludf.DUMMYFUNCTION("""COMPUTED_VALUE"""),"White, 256GB, iPhone 17, ROW, Taiwan, CI/AR")</f>
        <v>White, 256GB, iPhone 17, ROW, Taiwan, CI/AR</v>
      </c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10" t="str">
        <f t="shared" si="1"/>
        <v>June</v>
      </c>
      <c r="B1563" s="11">
        <f>IFERROR(__xludf.DUMMYFUNCTION("""COMPUTED_VALUE"""),46181.0)</f>
        <v>46181</v>
      </c>
      <c r="C1563" s="2" t="str">
        <f>IFERROR(__xludf.DUMMYFUNCTION("""COMPUTED_VALUE"""),"MOBILECARE - APP THE ANNEX")</f>
        <v>MOBILECARE - APP THE ANNEX</v>
      </c>
      <c r="D1563" s="2" t="str">
        <f>IFERROR(__xludf.DUMMYFUNCTION("""COMPUTED_VALUE"""),"661-21991")</f>
        <v>661-21991</v>
      </c>
      <c r="E1563" s="2" t="str">
        <f>IFERROR(__xludf.DUMMYFUNCTION("""COMPUTED_VALUE"""),"Battery, iPhone 13")</f>
        <v>Battery, iPhone 13</v>
      </c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10" t="str">
        <f t="shared" si="1"/>
        <v>May</v>
      </c>
      <c r="B1564" s="11">
        <f>IFERROR(__xludf.DUMMYFUNCTION("""COMPUTED_VALUE"""),46155.0)</f>
        <v>46155</v>
      </c>
      <c r="C1564" s="2" t="str">
        <f>IFERROR(__xludf.DUMMYFUNCTION("""COMPUTED_VALUE"""),"MOBILECARE - APP THE ANNEX")</f>
        <v>MOBILECARE - APP THE ANNEX</v>
      </c>
      <c r="D1564" s="2" t="str">
        <f>IFERROR(__xludf.DUMMYFUNCTION("""COMPUTED_VALUE"""),"661-22309")</f>
        <v>661-22309</v>
      </c>
      <c r="E1564" s="2" t="str">
        <f>IFERROR(__xludf.DUMMYFUNCTION("""COMPUTED_VALUE"""),"Display, iPhone 13 Pro Max")</f>
        <v>Display, iPhone 13 Pro Max</v>
      </c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10" t="str">
        <f t="shared" si="1"/>
        <v>May</v>
      </c>
      <c r="B1565" s="11">
        <f>IFERROR(__xludf.DUMMYFUNCTION("""COMPUTED_VALUE"""),46155.0)</f>
        <v>46155</v>
      </c>
      <c r="C1565" s="2" t="str">
        <f>IFERROR(__xludf.DUMMYFUNCTION("""COMPUTED_VALUE"""),"MOBILECARE - APP THE ANNEX")</f>
        <v>MOBILECARE - APP THE ANNEX</v>
      </c>
      <c r="D1565" s="2" t="str">
        <f>IFERROR(__xludf.DUMMYFUNCTION("""COMPUTED_VALUE"""),"661-56050")</f>
        <v>661-56050</v>
      </c>
      <c r="E1565" s="2" t="str">
        <f>IFERROR(__xludf.DUMMYFUNCTION("""COMPUTED_VALUE"""),"Display, iPhone 17 Pro Max")</f>
        <v>Display, iPhone 17 Pro Max</v>
      </c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10" t="str">
        <f t="shared" si="1"/>
        <v>May</v>
      </c>
      <c r="B1566" s="11">
        <f>IFERROR(__xludf.DUMMYFUNCTION("""COMPUTED_VALUE"""),46155.0)</f>
        <v>46155</v>
      </c>
      <c r="C1566" s="2" t="str">
        <f>IFERROR(__xludf.DUMMYFUNCTION("""COMPUTED_VALUE"""),"MOBILECARE - APP THE ANNEX")</f>
        <v>MOBILECARE - APP THE ANNEX</v>
      </c>
      <c r="D1566" s="2" t="str">
        <f>IFERROR(__xludf.DUMMYFUNCTION("""COMPUTED_VALUE"""),"661-56052")</f>
        <v>661-56052</v>
      </c>
      <c r="E1566" s="2" t="str">
        <f>IFERROR(__xludf.DUMMYFUNCTION("""COMPUTED_VALUE"""),"Camera, iPhone 17 Pro Max")</f>
        <v>Camera, iPhone 17 Pro Max</v>
      </c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10" t="str">
        <f t="shared" si="1"/>
        <v>March</v>
      </c>
      <c r="B1567" s="11">
        <f>IFERROR(__xludf.DUMMYFUNCTION("""COMPUTED_VALUE"""),46093.0)</f>
        <v>46093</v>
      </c>
      <c r="C1567" s="2" t="str">
        <f>IFERROR(__xludf.DUMMYFUNCTION("""COMPUTED_VALUE"""),"MOBILECARE - APP THE ANNEX")</f>
        <v>MOBILECARE - APP THE ANNEX</v>
      </c>
      <c r="D1567" s="2" t="str">
        <f>IFERROR(__xludf.DUMMYFUNCTION("""COMPUTED_VALUE"""),"661-21991")</f>
        <v>661-21991</v>
      </c>
      <c r="E1567" s="2" t="str">
        <f>IFERROR(__xludf.DUMMYFUNCTION("""COMPUTED_VALUE"""),"Battery, iPhone 13")</f>
        <v>Battery, iPhone 13</v>
      </c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10" t="str">
        <f t="shared" si="1"/>
        <v>June</v>
      </c>
      <c r="B1568" s="11">
        <f>IFERROR(__xludf.DUMMYFUNCTION("""COMPUTED_VALUE"""),46187.0)</f>
        <v>46187</v>
      </c>
      <c r="C1568" s="2" t="str">
        <f>IFERROR(__xludf.DUMMYFUNCTION("""COMPUTED_VALUE"""),"MOBILECARE - APP THE ANNEX")</f>
        <v>MOBILECARE - APP THE ANNEX</v>
      </c>
      <c r="D1568" s="2" t="str">
        <f>IFERROR(__xludf.DUMMYFUNCTION("""COMPUTED_VALUE"""),"661-21988")</f>
        <v>661-21988</v>
      </c>
      <c r="E1568" s="2" t="str">
        <f>IFERROR(__xludf.DUMMYFUNCTION("""COMPUTED_VALUE"""),"Display, iPhone 13")</f>
        <v>Display, iPhone 13</v>
      </c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10" t="str">
        <f t="shared" si="1"/>
        <v>May</v>
      </c>
      <c r="B1569" s="11">
        <f>IFERROR(__xludf.DUMMYFUNCTION("""COMPUTED_VALUE"""),46152.0)</f>
        <v>46152</v>
      </c>
      <c r="C1569" s="2" t="str">
        <f>IFERROR(__xludf.DUMMYFUNCTION("""COMPUTED_VALUE"""),"MOBILECARE - APP THE ANNEX")</f>
        <v>MOBILECARE - APP THE ANNEX</v>
      </c>
      <c r="D1569" s="2" t="str">
        <f>IFERROR(__xludf.DUMMYFUNCTION("""COMPUTED_VALUE"""),"661-56050")</f>
        <v>661-56050</v>
      </c>
      <c r="E1569" s="2" t="str">
        <f>IFERROR(__xludf.DUMMYFUNCTION("""COMPUTED_VALUE"""),"Display, iPhone 17 Pro Max")</f>
        <v>Display, iPhone 17 Pro Max</v>
      </c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10" t="str">
        <f t="shared" si="1"/>
        <v>June</v>
      </c>
      <c r="B1570" s="11">
        <f>IFERROR(__xludf.DUMMYFUNCTION("""COMPUTED_VALUE"""),46193.0)</f>
        <v>46193</v>
      </c>
      <c r="C1570" s="2" t="str">
        <f>IFERROR(__xludf.DUMMYFUNCTION("""COMPUTED_VALUE"""),"MOBILECARE - APP THE ANNEX")</f>
        <v>MOBILECARE - APP THE ANNEX</v>
      </c>
      <c r="D1570" s="2" t="str">
        <f>IFERROR(__xludf.DUMMYFUNCTION("""COMPUTED_VALUE"""),"661-22309")</f>
        <v>661-22309</v>
      </c>
      <c r="E1570" s="2" t="str">
        <f>IFERROR(__xludf.DUMMYFUNCTION("""COMPUTED_VALUE"""),"Display, iPhone 13 Pro Max")</f>
        <v>Display, iPhone 13 Pro Max</v>
      </c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10" t="str">
        <f t="shared" si="1"/>
        <v>April</v>
      </c>
      <c r="B1571" s="11">
        <f>IFERROR(__xludf.DUMMYFUNCTION("""COMPUTED_VALUE"""),46135.0)</f>
        <v>46135</v>
      </c>
      <c r="C1571" s="2" t="str">
        <f>IFERROR(__xludf.DUMMYFUNCTION("""COMPUTED_VALUE"""),"MOBILECARE - APP THE ANNEX")</f>
        <v>MOBILECARE - APP THE ANNEX</v>
      </c>
      <c r="D1571" s="2" t="str">
        <f>IFERROR(__xludf.DUMMYFUNCTION("""COMPUTED_VALUE"""),"661-08917")</f>
        <v>661-08917</v>
      </c>
      <c r="E1571" s="2" t="str">
        <f>IFERROR(__xludf.DUMMYFUNCTION("""COMPUTED_VALUE"""),"Battery, iPhone 8 Plus")</f>
        <v>Battery, iPhone 8 Plus</v>
      </c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10" t="str">
        <f t="shared" si="1"/>
        <v>April</v>
      </c>
      <c r="B1572" s="11">
        <f>IFERROR(__xludf.DUMMYFUNCTION("""COMPUTED_VALUE"""),46122.0)</f>
        <v>46122</v>
      </c>
      <c r="C1572" s="2" t="str">
        <f>IFERROR(__xludf.DUMMYFUNCTION("""COMPUTED_VALUE"""),"MOBILECARE - APP THE ANNEX")</f>
        <v>MOBILECARE - APP THE ANNEX</v>
      </c>
      <c r="D1572" s="2" t="str">
        <f>IFERROR(__xludf.DUMMYFUNCTION("""COMPUTED_VALUE"""),"661-21991")</f>
        <v>661-21991</v>
      </c>
      <c r="E1572" s="2" t="str">
        <f>IFERROR(__xludf.DUMMYFUNCTION("""COMPUTED_VALUE"""),"Battery, iPhone 13")</f>
        <v>Battery, iPhone 13</v>
      </c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10" t="str">
        <f t="shared" si="1"/>
        <v>April</v>
      </c>
      <c r="B1573" s="11">
        <f>IFERROR(__xludf.DUMMYFUNCTION("""COMPUTED_VALUE"""),46123.0)</f>
        <v>46123</v>
      </c>
      <c r="C1573" s="2" t="str">
        <f>IFERROR(__xludf.DUMMYFUNCTION("""COMPUTED_VALUE"""),"MOBILECARE - APP THE ANNEX")</f>
        <v>MOBILECARE - APP THE ANNEX</v>
      </c>
      <c r="D1573" s="2" t="str">
        <f>IFERROR(__xludf.DUMMYFUNCTION("""COMPUTED_VALUE"""),"661-21991")</f>
        <v>661-21991</v>
      </c>
      <c r="E1573" s="2" t="str">
        <f>IFERROR(__xludf.DUMMYFUNCTION("""COMPUTED_VALUE"""),"Battery, iPhone 13")</f>
        <v>Battery, iPhone 13</v>
      </c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10" t="str">
        <f t="shared" si="1"/>
        <v>April</v>
      </c>
      <c r="B1574" s="11">
        <f>IFERROR(__xludf.DUMMYFUNCTION("""COMPUTED_VALUE"""),46122.0)</f>
        <v>46122</v>
      </c>
      <c r="C1574" s="2" t="str">
        <f>IFERROR(__xludf.DUMMYFUNCTION("""COMPUTED_VALUE"""),"MOBILECARE - APP THE ANNEX")</f>
        <v>MOBILECARE - APP THE ANNEX</v>
      </c>
      <c r="D1574" s="2" t="str">
        <f>IFERROR(__xludf.DUMMYFUNCTION("""COMPUTED_VALUE"""),"PP661-22706")</f>
        <v>PP661-22706</v>
      </c>
      <c r="E1574" s="2" t="str">
        <f>IFERROR(__xludf.DUMMYFUNCTION("""COMPUTED_VALUE"""),"Graphite, 256 GB, iPhone 13 Pro Max, ROW, CI/AR, Philippines")</f>
        <v>Graphite, 256 GB, iPhone 13 Pro Max, ROW, CI/AR, Philippines</v>
      </c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10" t="str">
        <f t="shared" si="1"/>
        <v>March</v>
      </c>
      <c r="B1575" s="11">
        <f>IFERROR(__xludf.DUMMYFUNCTION("""COMPUTED_VALUE"""),46100.0)</f>
        <v>46100</v>
      </c>
      <c r="C1575" s="2" t="str">
        <f>IFERROR(__xludf.DUMMYFUNCTION("""COMPUTED_VALUE"""),"MOBILECARE - APP THE ANNEX")</f>
        <v>MOBILECARE - APP THE ANNEX</v>
      </c>
      <c r="D1575" s="2" t="str">
        <f>IFERROR(__xludf.DUMMYFUNCTION("""COMPUTED_VALUE"""),"661-17920")</f>
        <v>661-17920</v>
      </c>
      <c r="E1575" s="2" t="str">
        <f>IFERROR(__xludf.DUMMYFUNCTION("""COMPUTED_VALUE"""),"Battery, iPhone 12 and 12 Pro")</f>
        <v>Battery, iPhone 12 and 12 Pro</v>
      </c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10" t="str">
        <f t="shared" si="1"/>
        <v>March</v>
      </c>
      <c r="B1576" s="11">
        <f>IFERROR(__xludf.DUMMYFUNCTION("""COMPUTED_VALUE"""),46092.0)</f>
        <v>46092</v>
      </c>
      <c r="C1576" s="2" t="str">
        <f>IFERROR(__xludf.DUMMYFUNCTION("""COMPUTED_VALUE"""),"MOBILECARE - APP THE ANNEX")</f>
        <v>MOBILECARE - APP THE ANNEX</v>
      </c>
      <c r="D1576" s="2" t="str">
        <f>IFERROR(__xludf.DUMMYFUNCTION("""COMPUTED_VALUE"""),"661-21991")</f>
        <v>661-21991</v>
      </c>
      <c r="E1576" s="2" t="str">
        <f>IFERROR(__xludf.DUMMYFUNCTION("""COMPUTED_VALUE"""),"Battery, iPhone 13")</f>
        <v>Battery, iPhone 13</v>
      </c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10" t="str">
        <f t="shared" si="1"/>
        <v>February</v>
      </c>
      <c r="B1577" s="11">
        <f>IFERROR(__xludf.DUMMYFUNCTION("""COMPUTED_VALUE"""),46072.0)</f>
        <v>46072</v>
      </c>
      <c r="C1577" s="2" t="str">
        <f>IFERROR(__xludf.DUMMYFUNCTION("""COMPUTED_VALUE"""),"MOBILECARE - APP THE ANNEX")</f>
        <v>MOBILECARE - APP THE ANNEX</v>
      </c>
      <c r="D1577" s="2" t="str">
        <f>IFERROR(__xludf.DUMMYFUNCTION("""COMPUTED_VALUE"""),"661-30370")</f>
        <v>661-30370</v>
      </c>
      <c r="E1577" s="2" t="str">
        <f>IFERROR(__xludf.DUMMYFUNCTION("""COMPUTED_VALUE"""),"Camera, iPhone 14")</f>
        <v>Camera, iPhone 14</v>
      </c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10" t="str">
        <f t="shared" si="1"/>
        <v>April</v>
      </c>
      <c r="B1578" s="11">
        <f>IFERROR(__xludf.DUMMYFUNCTION("""COMPUTED_VALUE"""),46139.0)</f>
        <v>46139</v>
      </c>
      <c r="C1578" s="2" t="str">
        <f>IFERROR(__xludf.DUMMYFUNCTION("""COMPUTED_VALUE"""),"MOBILECARE - APP THE ANNEX")</f>
        <v>MOBILECARE - APP THE ANNEX</v>
      </c>
      <c r="D1578" s="2" t="str">
        <f>IFERROR(__xludf.DUMMYFUNCTION("""COMPUTED_VALUE"""),"661-56050")</f>
        <v>661-56050</v>
      </c>
      <c r="E1578" s="2" t="str">
        <f>IFERROR(__xludf.DUMMYFUNCTION("""COMPUTED_VALUE"""),"Display, iPhone 17 Pro Max")</f>
        <v>Display, iPhone 17 Pro Max</v>
      </c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10" t="str">
        <f t="shared" si="1"/>
        <v>April</v>
      </c>
      <c r="B1579" s="11">
        <f>IFERROR(__xludf.DUMMYFUNCTION("""COMPUTED_VALUE"""),46133.0)</f>
        <v>46133</v>
      </c>
      <c r="C1579" s="2" t="str">
        <f>IFERROR(__xludf.DUMMYFUNCTION("""COMPUTED_VALUE"""),"MOBILECARE - APP THE ANNEX")</f>
        <v>MOBILECARE - APP THE ANNEX</v>
      </c>
      <c r="D1579" s="2" t="str">
        <f>IFERROR(__xludf.DUMMYFUNCTION("""COMPUTED_VALUE"""),"661-22309")</f>
        <v>661-22309</v>
      </c>
      <c r="E1579" s="2" t="str">
        <f>IFERROR(__xludf.DUMMYFUNCTION("""COMPUTED_VALUE"""),"Display, iPhone 13 Pro Max")</f>
        <v>Display, iPhone 13 Pro Max</v>
      </c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10" t="str">
        <f t="shared" si="1"/>
        <v>April</v>
      </c>
      <c r="B1580" s="11">
        <f>IFERROR(__xludf.DUMMYFUNCTION("""COMPUTED_VALUE"""),46124.0)</f>
        <v>46124</v>
      </c>
      <c r="C1580" s="2" t="str">
        <f>IFERROR(__xludf.DUMMYFUNCTION("""COMPUTED_VALUE"""),"MOBILECARE - APP THE ANNEX")</f>
        <v>MOBILECARE - APP THE ANNEX</v>
      </c>
      <c r="D1580" s="2" t="str">
        <f>IFERROR(__xludf.DUMMYFUNCTION("""COMPUTED_VALUE"""),"661-30382")</f>
        <v>661-30382</v>
      </c>
      <c r="E1580" s="2" t="str">
        <f>IFERROR(__xludf.DUMMYFUNCTION("""COMPUTED_VALUE"""),"Battery, iPhone 14 Pro")</f>
        <v>Battery, iPhone 14 Pro</v>
      </c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10" t="str">
        <f t="shared" si="1"/>
        <v>March</v>
      </c>
      <c r="B1581" s="11">
        <f>IFERROR(__xludf.DUMMYFUNCTION("""COMPUTED_VALUE"""),46097.0)</f>
        <v>46097</v>
      </c>
      <c r="C1581" s="2" t="str">
        <f>IFERROR(__xludf.DUMMYFUNCTION("""COMPUTED_VALUE"""),"MOBILECARE - APP THE ANNEX")</f>
        <v>MOBILECARE - APP THE ANNEX</v>
      </c>
      <c r="D1581" s="2" t="str">
        <f>IFERROR(__xludf.DUMMYFUNCTION("""COMPUTED_VALUE"""),"661-21996")</f>
        <v>661-21996</v>
      </c>
      <c r="E1581" s="2" t="str">
        <f>IFERROR(__xludf.DUMMYFUNCTION("""COMPUTED_VALUE"""),"Battery, iPhone 13 Pro")</f>
        <v>Battery, iPhone 13 Pro</v>
      </c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10" t="str">
        <f t="shared" si="1"/>
        <v>February</v>
      </c>
      <c r="B1582" s="11">
        <f>IFERROR(__xludf.DUMMYFUNCTION("""COMPUTED_VALUE"""),46071.0)</f>
        <v>46071</v>
      </c>
      <c r="C1582" s="2" t="str">
        <f>IFERROR(__xludf.DUMMYFUNCTION("""COMPUTED_VALUE"""),"MOBILECARE - APP THE ANNEX")</f>
        <v>MOBILECARE - APP THE ANNEX</v>
      </c>
      <c r="D1582" s="2" t="str">
        <f>IFERROR(__xludf.DUMMYFUNCTION("""COMPUTED_VALUE"""),"661-36829")</f>
        <v>661-36829</v>
      </c>
      <c r="E1582" s="2" t="str">
        <f>IFERROR(__xludf.DUMMYFUNCTION("""COMPUTED_VALUE"""),"TrueDepth Camera, iPhone 15")</f>
        <v>TrueDepth Camera, iPhone 15</v>
      </c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10" t="str">
        <f t="shared" si="1"/>
        <v>May</v>
      </c>
      <c r="B1583" s="11">
        <f>IFERROR(__xludf.DUMMYFUNCTION("""COMPUTED_VALUE"""),46163.0)</f>
        <v>46163</v>
      </c>
      <c r="C1583" s="2" t="str">
        <f>IFERROR(__xludf.DUMMYFUNCTION("""COMPUTED_VALUE"""),"MOBILECARE - APP THE ANNEX")</f>
        <v>MOBILECARE - APP THE ANNEX</v>
      </c>
      <c r="D1583" s="2" t="str">
        <f>IFERROR(__xludf.DUMMYFUNCTION("""COMPUTED_VALUE"""),"661-42843")</f>
        <v>661-42843</v>
      </c>
      <c r="E1583" s="2" t="str">
        <f>IFERROR(__xludf.DUMMYFUNCTION("""COMPUTED_VALUE"""),"Display, iPhone 16 Plus")</f>
        <v>Display, iPhone 16 Plus</v>
      </c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10" t="str">
        <f t="shared" si="1"/>
        <v>May</v>
      </c>
      <c r="B1584" s="11">
        <f>IFERROR(__xludf.DUMMYFUNCTION("""COMPUTED_VALUE"""),46158.0)</f>
        <v>46158</v>
      </c>
      <c r="C1584" s="2" t="str">
        <f>IFERROR(__xludf.DUMMYFUNCTION("""COMPUTED_VALUE"""),"MOBILECARE - APP THE ANNEX")</f>
        <v>MOBILECARE - APP THE ANNEX</v>
      </c>
      <c r="D1584" s="2" t="str">
        <f>IFERROR(__xludf.DUMMYFUNCTION("""COMPUTED_VALUE"""),"661-17920")</f>
        <v>661-17920</v>
      </c>
      <c r="E1584" s="2" t="str">
        <f>IFERROR(__xludf.DUMMYFUNCTION("""COMPUTED_VALUE"""),"Battery, iPhone 12 and 12 Pro")</f>
        <v>Battery, iPhone 12 and 12 Pro</v>
      </c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10" t="str">
        <f t="shared" si="1"/>
        <v>March</v>
      </c>
      <c r="B1585" s="11">
        <f>IFERROR(__xludf.DUMMYFUNCTION("""COMPUTED_VALUE"""),46110.0)</f>
        <v>46110</v>
      </c>
      <c r="C1585" s="2" t="str">
        <f>IFERROR(__xludf.DUMMYFUNCTION("""COMPUTED_VALUE"""),"MOBILECARE - APP THE ANNEX")</f>
        <v>MOBILECARE - APP THE ANNEX</v>
      </c>
      <c r="D1585" s="2" t="str">
        <f>IFERROR(__xludf.DUMMYFUNCTION("""COMPUTED_VALUE"""),"Z661-55956")</f>
        <v>Z661-55956</v>
      </c>
      <c r="E1585" s="2" t="str">
        <f>IFERROR(__xludf.DUMMYFUNCTION("""COMPUTED_VALUE"""),"Logic Board, 256GB, iPhone 17 Pro Max, ROW")</f>
        <v>Logic Board, 256GB, iPhone 17 Pro Max, ROW</v>
      </c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10" t="str">
        <f t="shared" si="1"/>
        <v>February</v>
      </c>
      <c r="B1586" s="11">
        <f>IFERROR(__xludf.DUMMYFUNCTION("""COMPUTED_VALUE"""),46081.0)</f>
        <v>46081</v>
      </c>
      <c r="C1586" s="2" t="str">
        <f>IFERROR(__xludf.DUMMYFUNCTION("""COMPUTED_VALUE"""),"MOBILECARE - APP THE ANNEX")</f>
        <v>MOBILECARE - APP THE ANNEX</v>
      </c>
      <c r="D1586" s="2" t="str">
        <f>IFERROR(__xludf.DUMMYFUNCTION("""COMPUTED_VALUE"""),"661-30382")</f>
        <v>661-30382</v>
      </c>
      <c r="E1586" s="2" t="str">
        <f>IFERROR(__xludf.DUMMYFUNCTION("""COMPUTED_VALUE"""),"Battery, iPhone 14 Pro")</f>
        <v>Battery, iPhone 14 Pro</v>
      </c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10" t="str">
        <f t="shared" si="1"/>
        <v>February</v>
      </c>
      <c r="B1587" s="11">
        <f>IFERROR(__xludf.DUMMYFUNCTION("""COMPUTED_VALUE"""),46069.0)</f>
        <v>46069</v>
      </c>
      <c r="C1587" s="2" t="str">
        <f>IFERROR(__xludf.DUMMYFUNCTION("""COMPUTED_VALUE"""),"MOBILECARE - APP THE ANNEX")</f>
        <v>MOBILECARE - APP THE ANNEX</v>
      </c>
      <c r="D1587" s="2" t="str">
        <f>IFERROR(__xludf.DUMMYFUNCTION("""COMPUTED_VALUE"""),"661-21991")</f>
        <v>661-21991</v>
      </c>
      <c r="E1587" s="2" t="str">
        <f>IFERROR(__xludf.DUMMYFUNCTION("""COMPUTED_VALUE"""),"Battery, iPhone 13")</f>
        <v>Battery, iPhone 13</v>
      </c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10" t="str">
        <f t="shared" si="1"/>
        <v>June</v>
      </c>
      <c r="B1588" s="11">
        <f>IFERROR(__xludf.DUMMYFUNCTION("""COMPUTED_VALUE"""),46179.0)</f>
        <v>46179</v>
      </c>
      <c r="C1588" s="2" t="str">
        <f>IFERROR(__xludf.DUMMYFUNCTION("""COMPUTED_VALUE"""),"MOBILECARE - APP THE ANNEX")</f>
        <v>MOBILECARE - APP THE ANNEX</v>
      </c>
      <c r="D1588" s="2" t="str">
        <f>IFERROR(__xludf.DUMMYFUNCTION("""COMPUTED_VALUE"""),"661-30401")</f>
        <v>661-30401</v>
      </c>
      <c r="E1588" s="2" t="str">
        <f>IFERROR(__xludf.DUMMYFUNCTION("""COMPUTED_VALUE"""),"Display, iPhone 14 Pro Max")</f>
        <v>Display, iPhone 14 Pro Max</v>
      </c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10" t="str">
        <f t="shared" si="1"/>
        <v>April</v>
      </c>
      <c r="B1589" s="11">
        <f>IFERROR(__xludf.DUMMYFUNCTION("""COMPUTED_VALUE"""),46119.0)</f>
        <v>46119</v>
      </c>
      <c r="C1589" s="2" t="str">
        <f>IFERROR(__xludf.DUMMYFUNCTION("""COMPUTED_VALUE"""),"MOBILECARE - APP THE ANNEX")</f>
        <v>MOBILECARE - APP THE ANNEX</v>
      </c>
      <c r="D1589" s="2" t="str">
        <f>IFERROR(__xludf.DUMMYFUNCTION("""COMPUTED_VALUE"""),"661-17920")</f>
        <v>661-17920</v>
      </c>
      <c r="E1589" s="2" t="str">
        <f>IFERROR(__xludf.DUMMYFUNCTION("""COMPUTED_VALUE"""),"Battery, iPhone 12 and 12 Pro")</f>
        <v>Battery, iPhone 12 and 12 Pro</v>
      </c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10" t="str">
        <f t="shared" si="1"/>
        <v>March</v>
      </c>
      <c r="B1590" s="11">
        <f>IFERROR(__xludf.DUMMYFUNCTION("""COMPUTED_VALUE"""),46108.0)</f>
        <v>46108</v>
      </c>
      <c r="C1590" s="2" t="str">
        <f>IFERROR(__xludf.DUMMYFUNCTION("""COMPUTED_VALUE"""),"MOBILECARE - APP THE ANNEX")</f>
        <v>MOBILECARE - APP THE ANNEX</v>
      </c>
      <c r="D1590" s="2" t="str">
        <f>IFERROR(__xludf.DUMMYFUNCTION("""COMPUTED_VALUE"""),"661-21991")</f>
        <v>661-21991</v>
      </c>
      <c r="E1590" s="2" t="str">
        <f>IFERROR(__xludf.DUMMYFUNCTION("""COMPUTED_VALUE"""),"Battery, iPhone 13")</f>
        <v>Battery, iPhone 13</v>
      </c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10" t="str">
        <f t="shared" si="1"/>
        <v>June</v>
      </c>
      <c r="B1591" s="11">
        <f>IFERROR(__xludf.DUMMYFUNCTION("""COMPUTED_VALUE"""),46187.0)</f>
        <v>46187</v>
      </c>
      <c r="C1591" s="2" t="str">
        <f>IFERROR(__xludf.DUMMYFUNCTION("""COMPUTED_VALUE"""),"MOBILECARE - APP THE ANNEX")</f>
        <v>MOBILECARE - APP THE ANNEX</v>
      </c>
      <c r="D1591" s="2" t="str">
        <f>IFERROR(__xludf.DUMMYFUNCTION("""COMPUTED_VALUE"""),"661-56125")</f>
        <v>661-56125</v>
      </c>
      <c r="E1591" s="2" t="str">
        <f>IFERROR(__xludf.DUMMYFUNCTION("""COMPUTED_VALUE"""),"Display, iPhone 17 Pro")</f>
        <v>Display, iPhone 17 Pro</v>
      </c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10" t="str">
        <f t="shared" si="1"/>
        <v>May</v>
      </c>
      <c r="B1592" s="11">
        <f>IFERROR(__xludf.DUMMYFUNCTION("""COMPUTED_VALUE"""),46145.0)</f>
        <v>46145</v>
      </c>
      <c r="C1592" s="2" t="str">
        <f>IFERROR(__xludf.DUMMYFUNCTION("""COMPUTED_VALUE"""),"MOBILECARE - APP THE ANNEX")</f>
        <v>MOBILECARE - APP THE ANNEX</v>
      </c>
      <c r="D1592" s="2" t="str">
        <f>IFERROR(__xludf.DUMMYFUNCTION("""COMPUTED_VALUE"""),"661-21991")</f>
        <v>661-21991</v>
      </c>
      <c r="E1592" s="2" t="str">
        <f>IFERROR(__xludf.DUMMYFUNCTION("""COMPUTED_VALUE"""),"Battery, iPhone 13")</f>
        <v>Battery, iPhone 13</v>
      </c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10" t="str">
        <f t="shared" si="1"/>
        <v>April</v>
      </c>
      <c r="B1593" s="11">
        <f>IFERROR(__xludf.DUMMYFUNCTION("""COMPUTED_VALUE"""),46119.0)</f>
        <v>46119</v>
      </c>
      <c r="C1593" s="2" t="str">
        <f>IFERROR(__xludf.DUMMYFUNCTION("""COMPUTED_VALUE"""),"MOBILECARE - APP THE ANNEX")</f>
        <v>MOBILECARE - APP THE ANNEX</v>
      </c>
      <c r="D1593" s="2" t="str">
        <f>IFERROR(__xludf.DUMMYFUNCTION("""COMPUTED_VALUE"""),"661-13574")</f>
        <v>661-13574</v>
      </c>
      <c r="E1593" s="2" t="str">
        <f>IFERROR(__xludf.DUMMYFUNCTION("""COMPUTED_VALUE"""),"Battery, iPhone 11")</f>
        <v>Battery, iPhone 11</v>
      </c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10" t="str">
        <f t="shared" si="1"/>
        <v>April</v>
      </c>
      <c r="B1594" s="11">
        <f>IFERROR(__xludf.DUMMYFUNCTION("""COMPUTED_VALUE"""),46113.0)</f>
        <v>46113</v>
      </c>
      <c r="C1594" s="2" t="str">
        <f>IFERROR(__xludf.DUMMYFUNCTION("""COMPUTED_VALUE"""),"MOBILECARE - APP THE ANNEX")</f>
        <v>MOBILECARE - APP THE ANNEX</v>
      </c>
      <c r="D1594" s="2" t="str">
        <f>IFERROR(__xludf.DUMMYFUNCTION("""COMPUTED_VALUE"""),"661-36706")</f>
        <v>661-36706</v>
      </c>
      <c r="E1594" s="2" t="str">
        <f>IFERROR(__xludf.DUMMYFUNCTION("""COMPUTED_VALUE"""),"Display, iPhone 15")</f>
        <v>Display, iPhone 15</v>
      </c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10" t="str">
        <f t="shared" si="1"/>
        <v>March</v>
      </c>
      <c r="B1595" s="11">
        <f>IFERROR(__xludf.DUMMYFUNCTION("""COMPUTED_VALUE"""),46105.0)</f>
        <v>46105</v>
      </c>
      <c r="C1595" s="2" t="str">
        <f>IFERROR(__xludf.DUMMYFUNCTION("""COMPUTED_VALUE"""),"MOBILECARE - APP THE ANNEX")</f>
        <v>MOBILECARE - APP THE ANNEX</v>
      </c>
      <c r="D1595" s="2" t="str">
        <f>IFERROR(__xludf.DUMMYFUNCTION("""COMPUTED_VALUE"""),"923-06235")</f>
        <v>923-06235</v>
      </c>
      <c r="E1595" s="2" t="str">
        <f>IFERROR(__xludf.DUMMYFUNCTION("""COMPUTED_VALUE"""),"Bottom Speaker, iPhone 13")</f>
        <v>Bottom Speaker, iPhone 13</v>
      </c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10" t="str">
        <f t="shared" si="1"/>
        <v>May</v>
      </c>
      <c r="B1596" s="11">
        <f>IFERROR(__xludf.DUMMYFUNCTION("""COMPUTED_VALUE"""),46160.0)</f>
        <v>46160</v>
      </c>
      <c r="C1596" s="2" t="str">
        <f>IFERROR(__xludf.DUMMYFUNCTION("""COMPUTED_VALUE"""),"MOBILECARE - APP THE ANNEX")</f>
        <v>MOBILECARE - APP THE ANNEX</v>
      </c>
      <c r="D1596" s="2" t="str">
        <f>IFERROR(__xludf.DUMMYFUNCTION("""COMPUTED_VALUE"""),"661-42842")</f>
        <v>661-42842</v>
      </c>
      <c r="E1596" s="2" t="str">
        <f>IFERROR(__xludf.DUMMYFUNCTION("""COMPUTED_VALUE"""),"TealBack Glass, iPhone 16 Plus")</f>
        <v>TealBack Glass, iPhone 16 Plus</v>
      </c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10" t="str">
        <f t="shared" si="1"/>
        <v>May</v>
      </c>
      <c r="B1597" s="11">
        <f>IFERROR(__xludf.DUMMYFUNCTION("""COMPUTED_VALUE"""),46151.0)</f>
        <v>46151</v>
      </c>
      <c r="C1597" s="2" t="str">
        <f>IFERROR(__xludf.DUMMYFUNCTION("""COMPUTED_VALUE"""),"MOBILECARE - APP THE ANNEX")</f>
        <v>MOBILECARE - APP THE ANNEX</v>
      </c>
      <c r="D1597" s="2" t="str">
        <f>IFERROR(__xludf.DUMMYFUNCTION("""COMPUTED_VALUE"""),"661-21991")</f>
        <v>661-21991</v>
      </c>
      <c r="E1597" s="2" t="str">
        <f>IFERROR(__xludf.DUMMYFUNCTION("""COMPUTED_VALUE"""),"Battery, iPhone 13")</f>
        <v>Battery, iPhone 13</v>
      </c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10" t="str">
        <f t="shared" si="1"/>
        <v>June</v>
      </c>
      <c r="B1598" s="11">
        <f>IFERROR(__xludf.DUMMYFUNCTION("""COMPUTED_VALUE"""),46182.0)</f>
        <v>46182</v>
      </c>
      <c r="C1598" s="2" t="str">
        <f>IFERROR(__xludf.DUMMYFUNCTION("""COMPUTED_VALUE"""),"MOBILECARE - APP THE ANNEX")</f>
        <v>MOBILECARE - APP THE ANNEX</v>
      </c>
      <c r="D1598" s="2" t="str">
        <f>IFERROR(__xludf.DUMMYFUNCTION("""COMPUTED_VALUE"""),"661-56050")</f>
        <v>661-56050</v>
      </c>
      <c r="E1598" s="2" t="str">
        <f>IFERROR(__xludf.DUMMYFUNCTION("""COMPUTED_VALUE"""),"Display, iPhone 17 Pro Max")</f>
        <v>Display, iPhone 17 Pro Max</v>
      </c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10" t="str">
        <f t="shared" si="1"/>
        <v>April</v>
      </c>
      <c r="B1599" s="11">
        <f>IFERROR(__xludf.DUMMYFUNCTION("""COMPUTED_VALUE"""),46123.0)</f>
        <v>46123</v>
      </c>
      <c r="C1599" s="2" t="str">
        <f>IFERROR(__xludf.DUMMYFUNCTION("""COMPUTED_VALUE"""),"MOBILECARE - APP THE ANNEX")</f>
        <v>MOBILECARE - APP THE ANNEX</v>
      </c>
      <c r="D1599" s="2" t="str">
        <f>IFERROR(__xludf.DUMMYFUNCTION("""COMPUTED_VALUE"""),"661-30397")</f>
        <v>661-30397</v>
      </c>
      <c r="E1599" s="2" t="str">
        <f>IFERROR(__xludf.DUMMYFUNCTION("""COMPUTED_VALUE"""),"Battery, iPhone 14 Pro Max")</f>
        <v>Battery, iPhone 14 Pro Max</v>
      </c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10" t="str">
        <f t="shared" si="1"/>
        <v>January</v>
      </c>
      <c r="B1600" s="11">
        <f>IFERROR(__xludf.DUMMYFUNCTION("""COMPUTED_VALUE"""),46046.0)</f>
        <v>46046</v>
      </c>
      <c r="C1600" s="2" t="str">
        <f>IFERROR(__xludf.DUMMYFUNCTION("""COMPUTED_VALUE"""),"MOBILECARE - APP THE ANNEX")</f>
        <v>MOBILECARE - APP THE ANNEX</v>
      </c>
      <c r="D1600" s="2" t="str">
        <f>IFERROR(__xludf.DUMMYFUNCTION("""COMPUTED_VALUE"""),"661-22294")</f>
        <v>661-22294</v>
      </c>
      <c r="E1600" s="2" t="str">
        <f>IFERROR(__xludf.DUMMYFUNCTION("""COMPUTED_VALUE"""),"Battery, iPhone 13 Pro Max")</f>
        <v>Battery, iPhone 13 Pro Max</v>
      </c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10" t="str">
        <f t="shared" si="1"/>
        <v>May</v>
      </c>
      <c r="B1601" s="11">
        <f>IFERROR(__xludf.DUMMYFUNCTION("""COMPUTED_VALUE"""),46165.0)</f>
        <v>46165</v>
      </c>
      <c r="C1601" s="2" t="str">
        <f>IFERROR(__xludf.DUMMYFUNCTION("""COMPUTED_VALUE"""),"MOBILECARE - APP THE ANNEX")</f>
        <v>MOBILECARE - APP THE ANNEX</v>
      </c>
      <c r="D1601" s="2" t="str">
        <f>IFERROR(__xludf.DUMMYFUNCTION("""COMPUTED_VALUE"""),"661-36915")</f>
        <v>661-36915</v>
      </c>
      <c r="E1601" s="2" t="str">
        <f>IFERROR(__xludf.DUMMYFUNCTION("""COMPUTED_VALUE"""),"Display, iPhone 15 Pro Max")</f>
        <v>Display, iPhone 15 Pro Max</v>
      </c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10" t="str">
        <f t="shared" si="1"/>
        <v>June</v>
      </c>
      <c r="B1602" s="11">
        <f>IFERROR(__xludf.DUMMYFUNCTION("""COMPUTED_VALUE"""),46186.0)</f>
        <v>46186</v>
      </c>
      <c r="C1602" s="2" t="str">
        <f>IFERROR(__xludf.DUMMYFUNCTION("""COMPUTED_VALUE"""),"MOBILECARE - APP THE ANNEX")</f>
        <v>MOBILECARE - APP THE ANNEX</v>
      </c>
      <c r="D1602" s="2" t="str">
        <f>IFERROR(__xludf.DUMMYFUNCTION("""COMPUTED_VALUE"""),"661-56066")</f>
        <v>661-56066</v>
      </c>
      <c r="E1602" s="2" t="str">
        <f>IFERROR(__xludf.DUMMYFUNCTION("""COMPUTED_VALUE"""),"Front Camera, iPhone 17")</f>
        <v>Front Camera, iPhone 17</v>
      </c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10" t="str">
        <f t="shared" si="1"/>
        <v>June</v>
      </c>
      <c r="B1603" s="11">
        <f>IFERROR(__xludf.DUMMYFUNCTION("""COMPUTED_VALUE"""),46186.0)</f>
        <v>46186</v>
      </c>
      <c r="C1603" s="2" t="str">
        <f>IFERROR(__xludf.DUMMYFUNCTION("""COMPUTED_VALUE"""),"MOBILECARE - APP THE ANNEX")</f>
        <v>MOBILECARE - APP THE ANNEX</v>
      </c>
      <c r="D1603" s="2" t="str">
        <f>IFERROR(__xludf.DUMMYFUNCTION("""COMPUTED_VALUE"""),"661-56067")</f>
        <v>661-56067</v>
      </c>
      <c r="E1603" s="2" t="str">
        <f>IFERROR(__xludf.DUMMYFUNCTION("""COMPUTED_VALUE"""),"Camera, iPhone 17")</f>
        <v>Camera, iPhone 17</v>
      </c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10" t="str">
        <f t="shared" si="1"/>
        <v>June</v>
      </c>
      <c r="B1604" s="11">
        <f>IFERROR(__xludf.DUMMYFUNCTION("""COMPUTED_VALUE"""),46186.0)</f>
        <v>46186</v>
      </c>
      <c r="C1604" s="2" t="str">
        <f>IFERROR(__xludf.DUMMYFUNCTION("""COMPUTED_VALUE"""),"MOBILECARE - APP THE ANNEX")</f>
        <v>MOBILECARE - APP THE ANNEX</v>
      </c>
      <c r="D1604" s="2" t="str">
        <f>IFERROR(__xludf.DUMMYFUNCTION("""COMPUTED_VALUE"""),"Z661-56015")</f>
        <v>Z661-56015</v>
      </c>
      <c r="E1604" s="2" t="str">
        <f>IFERROR(__xludf.DUMMYFUNCTION("""COMPUTED_VALUE"""),"Logic Board, 256GB, iPhone 17, ROW")</f>
        <v>Logic Board, 256GB, iPhone 17, ROW</v>
      </c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10" t="str">
        <f t="shared" si="1"/>
        <v>June</v>
      </c>
      <c r="B1605" s="11">
        <f>IFERROR(__xludf.DUMMYFUNCTION("""COMPUTED_VALUE"""),46183.0)</f>
        <v>46183</v>
      </c>
      <c r="C1605" s="2" t="str">
        <f>IFERROR(__xludf.DUMMYFUNCTION("""COMPUTED_VALUE"""),"MOBILECARE - APP THE ANNEX")</f>
        <v>MOBILECARE - APP THE ANNEX</v>
      </c>
      <c r="D1605" s="2" t="str">
        <f>IFERROR(__xludf.DUMMYFUNCTION("""COMPUTED_VALUE"""),"Z661-55944")</f>
        <v>Z661-55944</v>
      </c>
      <c r="E1605" s="2" t="str">
        <f>IFERROR(__xludf.DUMMYFUNCTION("""COMPUTED_VALUE"""),"Logic Board, 1TB, A3523, ROW, iPhone 17 Pro")</f>
        <v>Logic Board, 1TB, A3523, ROW, iPhone 17 Pro</v>
      </c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10" t="str">
        <f t="shared" si="1"/>
        <v>May</v>
      </c>
      <c r="B1606" s="11">
        <f>IFERROR(__xludf.DUMMYFUNCTION("""COMPUTED_VALUE"""),46149.0)</f>
        <v>46149</v>
      </c>
      <c r="C1606" s="2" t="str">
        <f>IFERROR(__xludf.DUMMYFUNCTION("""COMPUTED_VALUE"""),"MOBILECARE - APP THE ANNEX")</f>
        <v>MOBILECARE - APP THE ANNEX</v>
      </c>
      <c r="D1606" s="2" t="str">
        <f>IFERROR(__xludf.DUMMYFUNCTION("""COMPUTED_VALUE"""),"661-44797")</f>
        <v>661-44797</v>
      </c>
      <c r="E1606" s="2" t="str">
        <f>IFERROR(__xludf.DUMMYFUNCTION("""COMPUTED_VALUE"""),"Display, iPhone 16")</f>
        <v>Display, iPhone 16</v>
      </c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10" t="str">
        <f t="shared" si="1"/>
        <v>April</v>
      </c>
      <c r="B1607" s="11">
        <f>IFERROR(__xludf.DUMMYFUNCTION("""COMPUTED_VALUE"""),46119.0)</f>
        <v>46119</v>
      </c>
      <c r="C1607" s="2" t="str">
        <f>IFERROR(__xludf.DUMMYFUNCTION("""COMPUTED_VALUE"""),"MOBILECARE - APP THE ANNEX")</f>
        <v>MOBILECARE - APP THE ANNEX</v>
      </c>
      <c r="D1607" s="2" t="str">
        <f>IFERROR(__xludf.DUMMYFUNCTION("""COMPUTED_VALUE"""),"661-21991")</f>
        <v>661-21991</v>
      </c>
      <c r="E1607" s="2" t="str">
        <f>IFERROR(__xludf.DUMMYFUNCTION("""COMPUTED_VALUE"""),"Battery, iPhone 13")</f>
        <v>Battery, iPhone 13</v>
      </c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10" t="str">
        <f t="shared" si="1"/>
        <v>March</v>
      </c>
      <c r="B1608" s="11">
        <f>IFERROR(__xludf.DUMMYFUNCTION("""COMPUTED_VALUE"""),46105.0)</f>
        <v>46105</v>
      </c>
      <c r="C1608" s="2" t="str">
        <f>IFERROR(__xludf.DUMMYFUNCTION("""COMPUTED_VALUE"""),"MOBILECARE - APP THE ANNEX")</f>
        <v>MOBILECARE - APP THE ANNEX</v>
      </c>
      <c r="D1608" s="2" t="str">
        <f>IFERROR(__xludf.DUMMYFUNCTION("""COMPUTED_VALUE"""),"661-21996")</f>
        <v>661-21996</v>
      </c>
      <c r="E1608" s="2" t="str">
        <f>IFERROR(__xludf.DUMMYFUNCTION("""COMPUTED_VALUE"""),"Battery, iPhone 13 Pro")</f>
        <v>Battery, iPhone 13 Pro</v>
      </c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10" t="str">
        <f t="shared" si="1"/>
        <v>March</v>
      </c>
      <c r="B1609" s="11">
        <f>IFERROR(__xludf.DUMMYFUNCTION("""COMPUTED_VALUE"""),46101.0)</f>
        <v>46101</v>
      </c>
      <c r="C1609" s="2" t="str">
        <f>IFERROR(__xludf.DUMMYFUNCTION("""COMPUTED_VALUE"""),"MOBILECARE - APP THE ANNEX")</f>
        <v>MOBILECARE - APP THE ANNEX</v>
      </c>
      <c r="D1609" s="2" t="str">
        <f>IFERROR(__xludf.DUMMYFUNCTION("""COMPUTED_VALUE"""),"661-44955")</f>
        <v>661-44955</v>
      </c>
      <c r="E1609" s="2" t="str">
        <f>IFERROR(__xludf.DUMMYFUNCTION("""COMPUTED_VALUE"""),"Display, iPhone 16 Pro Max")</f>
        <v>Display, iPhone 16 Pro Max</v>
      </c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10" t="str">
        <f t="shared" si="1"/>
        <v>February</v>
      </c>
      <c r="B1610" s="11">
        <f>IFERROR(__xludf.DUMMYFUNCTION("""COMPUTED_VALUE"""),46064.0)</f>
        <v>46064</v>
      </c>
      <c r="C1610" s="2" t="str">
        <f>IFERROR(__xludf.DUMMYFUNCTION("""COMPUTED_VALUE"""),"MOBILECARE - APP THE ANNEX")</f>
        <v>MOBILECARE - APP THE ANNEX</v>
      </c>
      <c r="D1610" s="2" t="str">
        <f>IFERROR(__xludf.DUMMYFUNCTION("""COMPUTED_VALUE"""),"661-21988")</f>
        <v>661-21988</v>
      </c>
      <c r="E1610" s="2" t="str">
        <f>IFERROR(__xludf.DUMMYFUNCTION("""COMPUTED_VALUE"""),"Display, iPhone 13")</f>
        <v>Display, iPhone 13</v>
      </c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10" t="str">
        <f t="shared" si="1"/>
        <v>January</v>
      </c>
      <c r="B1611" s="11">
        <f>IFERROR(__xludf.DUMMYFUNCTION("""COMPUTED_VALUE"""),46052.0)</f>
        <v>46052</v>
      </c>
      <c r="C1611" s="2" t="str">
        <f>IFERROR(__xludf.DUMMYFUNCTION("""COMPUTED_VALUE"""),"MOBILECARE - APP THE ANNEX")</f>
        <v>MOBILECARE - APP THE ANNEX</v>
      </c>
      <c r="D1611" s="2" t="str">
        <f>IFERROR(__xludf.DUMMYFUNCTION("""COMPUTED_VALUE"""),"661-17939")</f>
        <v>661-17939</v>
      </c>
      <c r="E1611" s="2" t="str">
        <f>IFERROR(__xludf.DUMMYFUNCTION("""COMPUTED_VALUE"""),"Battery, iPhone 12 mini")</f>
        <v>Battery, iPhone 12 mini</v>
      </c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10" t="str">
        <f t="shared" si="1"/>
        <v>June</v>
      </c>
      <c r="B1612" s="11">
        <f>IFERROR(__xludf.DUMMYFUNCTION("""COMPUTED_VALUE"""),46184.0)</f>
        <v>46184</v>
      </c>
      <c r="C1612" s="2" t="str">
        <f>IFERROR(__xludf.DUMMYFUNCTION("""COMPUTED_VALUE"""),"MOBILECARE - APP THE ANNEX")</f>
        <v>MOBILECARE - APP THE ANNEX</v>
      </c>
      <c r="D1612" s="2" t="str">
        <f>IFERROR(__xludf.DUMMYFUNCTION("""COMPUTED_VALUE"""),"PP661-22980")</f>
        <v>PP661-22980</v>
      </c>
      <c r="E1612" s="2" t="str">
        <f>IFERROR(__xludf.DUMMYFUNCTION("""COMPUTED_VALUE"""),"Midnight, 128 GB, iPhone 13, ROW, CI/AR, Philippines")</f>
        <v>Midnight, 128 GB, iPhone 13, ROW, CI/AR, Philippines</v>
      </c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10" t="str">
        <f t="shared" si="1"/>
        <v>April</v>
      </c>
      <c r="B1613" s="11">
        <f>IFERROR(__xludf.DUMMYFUNCTION("""COMPUTED_VALUE"""),46123.0)</f>
        <v>46123</v>
      </c>
      <c r="C1613" s="2" t="str">
        <f>IFERROR(__xludf.DUMMYFUNCTION("""COMPUTED_VALUE"""),"MOBILECARE - APP THE ANNEX")</f>
        <v>MOBILECARE - APP THE ANNEX</v>
      </c>
      <c r="D1613" s="2" t="str">
        <f>IFERROR(__xludf.DUMMYFUNCTION("""COMPUTED_VALUE"""),"661-22309")</f>
        <v>661-22309</v>
      </c>
      <c r="E1613" s="2" t="str">
        <f>IFERROR(__xludf.DUMMYFUNCTION("""COMPUTED_VALUE"""),"Display, iPhone 13 Pro Max")</f>
        <v>Display, iPhone 13 Pro Max</v>
      </c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10" t="str">
        <f t="shared" si="1"/>
        <v>April</v>
      </c>
      <c r="B1614" s="11">
        <f>IFERROR(__xludf.DUMMYFUNCTION("""COMPUTED_VALUE"""),46122.0)</f>
        <v>46122</v>
      </c>
      <c r="C1614" s="2" t="str">
        <f>IFERROR(__xludf.DUMMYFUNCTION("""COMPUTED_VALUE"""),"MOBILECARE - APP THE ANNEX")</f>
        <v>MOBILECARE - APP THE ANNEX</v>
      </c>
      <c r="D1614" s="2" t="str">
        <f>IFERROR(__xludf.DUMMYFUNCTION("""COMPUTED_VALUE"""),"661-22294")</f>
        <v>661-22294</v>
      </c>
      <c r="E1614" s="2" t="str">
        <f>IFERROR(__xludf.DUMMYFUNCTION("""COMPUTED_VALUE"""),"Battery, iPhone 13 Pro Max")</f>
        <v>Battery, iPhone 13 Pro Max</v>
      </c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10" t="str">
        <f t="shared" si="1"/>
        <v>March</v>
      </c>
      <c r="B1615" s="11">
        <f>IFERROR(__xludf.DUMMYFUNCTION("""COMPUTED_VALUE"""),46095.0)</f>
        <v>46095</v>
      </c>
      <c r="C1615" s="2" t="str">
        <f>IFERROR(__xludf.DUMMYFUNCTION("""COMPUTED_VALUE"""),"MOBILECARE - APP THE ANNEX")</f>
        <v>MOBILECARE - APP THE ANNEX</v>
      </c>
      <c r="D1615" s="2" t="str">
        <f>IFERROR(__xludf.DUMMYFUNCTION("""COMPUTED_VALUE"""),"661-30382")</f>
        <v>661-30382</v>
      </c>
      <c r="E1615" s="2" t="str">
        <f>IFERROR(__xludf.DUMMYFUNCTION("""COMPUTED_VALUE"""),"Battery, iPhone 14 Pro")</f>
        <v>Battery, iPhone 14 Pro</v>
      </c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10" t="str">
        <f t="shared" si="1"/>
        <v>March</v>
      </c>
      <c r="B1616" s="11">
        <f>IFERROR(__xludf.DUMMYFUNCTION("""COMPUTED_VALUE"""),46084.0)</f>
        <v>46084</v>
      </c>
      <c r="C1616" s="2" t="str">
        <f>IFERROR(__xludf.DUMMYFUNCTION("""COMPUTED_VALUE"""),"MOBILECARE - APP THE ANNEX")</f>
        <v>MOBILECARE - APP THE ANNEX</v>
      </c>
      <c r="D1616" s="2" t="str">
        <f>IFERROR(__xludf.DUMMYFUNCTION("""COMPUTED_VALUE"""),"661-21996")</f>
        <v>661-21996</v>
      </c>
      <c r="E1616" s="2" t="str">
        <f>IFERROR(__xludf.DUMMYFUNCTION("""COMPUTED_VALUE"""),"Battery, iPhone 13 Pro")</f>
        <v>Battery, iPhone 13 Pro</v>
      </c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10" t="str">
        <f t="shared" si="1"/>
        <v>May</v>
      </c>
      <c r="B1617" s="11">
        <f>IFERROR(__xludf.DUMMYFUNCTION("""COMPUTED_VALUE"""),46172.0)</f>
        <v>46172</v>
      </c>
      <c r="C1617" s="2" t="str">
        <f>IFERROR(__xludf.DUMMYFUNCTION("""COMPUTED_VALUE"""),"MOBILECARE - APP THE ANNEX")</f>
        <v>MOBILECARE - APP THE ANNEX</v>
      </c>
      <c r="D1617" s="2" t="str">
        <f>IFERROR(__xludf.DUMMYFUNCTION("""COMPUTED_VALUE"""),"661-35885")</f>
        <v>661-35885</v>
      </c>
      <c r="E1617" s="2" t="str">
        <f>IFERROR(__xludf.DUMMYFUNCTION("""COMPUTED_VALUE"""),"Battery, iPhone 15")</f>
        <v>Battery, iPhone 15</v>
      </c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10" t="str">
        <f t="shared" si="1"/>
        <v>May</v>
      </c>
      <c r="B1618" s="11">
        <f>IFERROR(__xludf.DUMMYFUNCTION("""COMPUTED_VALUE"""),46163.0)</f>
        <v>46163</v>
      </c>
      <c r="C1618" s="2" t="str">
        <f>IFERROR(__xludf.DUMMYFUNCTION("""COMPUTED_VALUE"""),"MOBILECARE - APP THE ANNEX")</f>
        <v>MOBILECARE - APP THE ANNEX</v>
      </c>
      <c r="D1618" s="2" t="str">
        <f>IFERROR(__xludf.DUMMYFUNCTION("""COMPUTED_VALUE"""),"661-30397")</f>
        <v>661-30397</v>
      </c>
      <c r="E1618" s="2" t="str">
        <f>IFERROR(__xludf.DUMMYFUNCTION("""COMPUTED_VALUE"""),"Battery, iPhone 14 Pro Max")</f>
        <v>Battery, iPhone 14 Pro Max</v>
      </c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10" t="str">
        <f t="shared" si="1"/>
        <v>May</v>
      </c>
      <c r="B1619" s="11">
        <f>IFERROR(__xludf.DUMMYFUNCTION("""COMPUTED_VALUE"""),46152.0)</f>
        <v>46152</v>
      </c>
      <c r="C1619" s="2" t="str">
        <f>IFERROR(__xludf.DUMMYFUNCTION("""COMPUTED_VALUE"""),"MOBILECARE - APP THE ANNEX")</f>
        <v>MOBILECARE - APP THE ANNEX</v>
      </c>
      <c r="D1619" s="2" t="str">
        <f>IFERROR(__xludf.DUMMYFUNCTION("""COMPUTED_VALUE"""),"661-21991")</f>
        <v>661-21991</v>
      </c>
      <c r="E1619" s="2" t="str">
        <f>IFERROR(__xludf.DUMMYFUNCTION("""COMPUTED_VALUE"""),"Battery, iPhone 13")</f>
        <v>Battery, iPhone 13</v>
      </c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10" t="str">
        <f t="shared" si="1"/>
        <v>May</v>
      </c>
      <c r="B1620" s="11">
        <f>IFERROR(__xludf.DUMMYFUNCTION("""COMPUTED_VALUE"""),46168.0)</f>
        <v>46168</v>
      </c>
      <c r="C1620" s="2" t="str">
        <f>IFERROR(__xludf.DUMMYFUNCTION("""COMPUTED_VALUE"""),"MOBILECARE - APP THE ANNEX")</f>
        <v>MOBILECARE - APP THE ANNEX</v>
      </c>
      <c r="D1620" s="2" t="str">
        <f>IFERROR(__xludf.DUMMYFUNCTION("""COMPUTED_VALUE"""),"661-56052")</f>
        <v>661-56052</v>
      </c>
      <c r="E1620" s="2" t="str">
        <f>IFERROR(__xludf.DUMMYFUNCTION("""COMPUTED_VALUE"""),"Camera, iPhone 17 Pro Max")</f>
        <v>Camera, iPhone 17 Pro Max</v>
      </c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10" t="str">
        <f t="shared" si="1"/>
        <v>May</v>
      </c>
      <c r="B1621" s="11">
        <f>IFERROR(__xludf.DUMMYFUNCTION("""COMPUTED_VALUE"""),46168.0)</f>
        <v>46168</v>
      </c>
      <c r="C1621" s="2" t="str">
        <f>IFERROR(__xludf.DUMMYFUNCTION("""COMPUTED_VALUE"""),"MOBILECARE - APP THE ANNEX")</f>
        <v>MOBILECARE - APP THE ANNEX</v>
      </c>
      <c r="D1621" s="2" t="str">
        <f>IFERROR(__xludf.DUMMYFUNCTION("""COMPUTED_VALUE"""),"661-56052")</f>
        <v>661-56052</v>
      </c>
      <c r="E1621" s="2" t="str">
        <f>IFERROR(__xludf.DUMMYFUNCTION("""COMPUTED_VALUE"""),"Camera, iPhone 17 Pro Max")</f>
        <v>Camera, iPhone 17 Pro Max</v>
      </c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10" t="str">
        <f t="shared" si="1"/>
        <v>May</v>
      </c>
      <c r="B1622" s="11">
        <f>IFERROR(__xludf.DUMMYFUNCTION("""COMPUTED_VALUE"""),46153.0)</f>
        <v>46153</v>
      </c>
      <c r="C1622" s="2" t="str">
        <f>IFERROR(__xludf.DUMMYFUNCTION("""COMPUTED_VALUE"""),"MOBILECARE - APP THE ANNEX")</f>
        <v>MOBILECARE - APP THE ANNEX</v>
      </c>
      <c r="D1622" s="2" t="str">
        <f>IFERROR(__xludf.DUMMYFUNCTION("""COMPUTED_VALUE"""),"661-56122")</f>
        <v>661-56122</v>
      </c>
      <c r="E1622" s="2" t="str">
        <f>IFERROR(__xludf.DUMMYFUNCTION("""COMPUTED_VALUE"""),"Silver, Back Glass, iPhone 17 Pro")</f>
        <v>Silver, Back Glass, iPhone 17 Pro</v>
      </c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10" t="str">
        <f t="shared" si="1"/>
        <v>May</v>
      </c>
      <c r="B1623" s="11">
        <f>IFERROR(__xludf.DUMMYFUNCTION("""COMPUTED_VALUE"""),46151.0)</f>
        <v>46151</v>
      </c>
      <c r="C1623" s="2" t="str">
        <f>IFERROR(__xludf.DUMMYFUNCTION("""COMPUTED_VALUE"""),"MOBILECARE - APP THE ANNEX")</f>
        <v>MOBILECARE - APP THE ANNEX</v>
      </c>
      <c r="D1623" s="2" t="str">
        <f>IFERROR(__xludf.DUMMYFUNCTION("""COMPUTED_VALUE"""),"661-15741")</f>
        <v>661-15741</v>
      </c>
      <c r="E1623" s="2" t="str">
        <f>IFERROR(__xludf.DUMMYFUNCTION("""COMPUTED_VALUE"""),"Battery, iPhone SE 2nd gen")</f>
        <v>Battery, iPhone SE 2nd gen</v>
      </c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10" t="str">
        <f t="shared" si="1"/>
        <v>April</v>
      </c>
      <c r="B1624" s="11">
        <f>IFERROR(__xludf.DUMMYFUNCTION("""COMPUTED_VALUE"""),46132.0)</f>
        <v>46132</v>
      </c>
      <c r="C1624" s="2" t="str">
        <f>IFERROR(__xludf.DUMMYFUNCTION("""COMPUTED_VALUE"""),"MOBILECARE - APP THE ANNEX")</f>
        <v>MOBILECARE - APP THE ANNEX</v>
      </c>
      <c r="D1624" s="2" t="str">
        <f>IFERROR(__xludf.DUMMYFUNCTION("""COMPUTED_VALUE"""),"661-35694")</f>
        <v>661-35694</v>
      </c>
      <c r="E1624" s="2" t="str">
        <f>IFERROR(__xludf.DUMMYFUNCTION("""COMPUTED_VALUE"""),"Battery, iPhone 15 Pro")</f>
        <v>Battery, iPhone 15 Pro</v>
      </c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10" t="str">
        <f t="shared" si="1"/>
        <v>April</v>
      </c>
      <c r="B1625" s="11">
        <f>IFERROR(__xludf.DUMMYFUNCTION("""COMPUTED_VALUE"""),46129.0)</f>
        <v>46129</v>
      </c>
      <c r="C1625" s="2" t="str">
        <f>IFERROR(__xludf.DUMMYFUNCTION("""COMPUTED_VALUE"""),"MOBILECARE - APP THE ANNEX")</f>
        <v>MOBILECARE - APP THE ANNEX</v>
      </c>
      <c r="D1625" s="2" t="str">
        <f>IFERROR(__xludf.DUMMYFUNCTION("""COMPUTED_VALUE"""),"661-21991")</f>
        <v>661-21991</v>
      </c>
      <c r="E1625" s="2" t="str">
        <f>IFERROR(__xludf.DUMMYFUNCTION("""COMPUTED_VALUE"""),"Battery, iPhone 13")</f>
        <v>Battery, iPhone 13</v>
      </c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10" t="str">
        <f t="shared" si="1"/>
        <v>April</v>
      </c>
      <c r="B1626" s="11">
        <f>IFERROR(__xludf.DUMMYFUNCTION("""COMPUTED_VALUE"""),46121.0)</f>
        <v>46121</v>
      </c>
      <c r="C1626" s="2" t="str">
        <f>IFERROR(__xludf.DUMMYFUNCTION("""COMPUTED_VALUE"""),"MOBILECARE - DAVAO")</f>
        <v>MOBILECARE - DAVAO</v>
      </c>
      <c r="D1626" s="2" t="str">
        <f>IFERROR(__xludf.DUMMYFUNCTION("""COMPUTED_VALUE"""),"PP661-23454")</f>
        <v>PP661-23454</v>
      </c>
      <c r="E1626" s="2" t="str">
        <f>IFERROR(__xludf.DUMMYFUNCTION("""COMPUTED_VALUE"""),"iPhone 13, Midnight, 128GB, Logic Board Assy Rear System, ROW")</f>
        <v>iPhone 13, Midnight, 128GB, Logic Board Assy Rear System, ROW</v>
      </c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10" t="str">
        <f t="shared" si="1"/>
        <v>April</v>
      </c>
      <c r="B1627" s="11">
        <f>IFERROR(__xludf.DUMMYFUNCTION("""COMPUTED_VALUE"""),46117.0)</f>
        <v>46117</v>
      </c>
      <c r="C1627" s="2" t="str">
        <f>IFERROR(__xludf.DUMMYFUNCTION("""COMPUTED_VALUE"""),"MOBILECARE - DAVAO")</f>
        <v>MOBILECARE - DAVAO</v>
      </c>
      <c r="D1627" s="2" t="str">
        <f>IFERROR(__xludf.DUMMYFUNCTION("""COMPUTED_VALUE"""),"TA661-36691")</f>
        <v>TA661-36691</v>
      </c>
      <c r="E1627" s="2" t="str">
        <f>IFERROR(__xludf.DUMMYFUNCTION("""COMPUTED_VALUE"""),"iPhone 15, Black, 128GB, Logic Board Assy Mid System, ROW")</f>
        <v>iPhone 15, Black, 128GB, Logic Board Assy Mid System, ROW</v>
      </c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10" t="str">
        <f t="shared" si="1"/>
        <v>March</v>
      </c>
      <c r="B1628" s="11">
        <f>IFERROR(__xludf.DUMMYFUNCTION("""COMPUTED_VALUE"""),46096.0)</f>
        <v>46096</v>
      </c>
      <c r="C1628" s="2" t="str">
        <f>IFERROR(__xludf.DUMMYFUNCTION("""COMPUTED_VALUE"""),"MOBILECARE - DAVAO")</f>
        <v>MOBILECARE - DAVAO</v>
      </c>
      <c r="D1628" s="2" t="str">
        <f>IFERROR(__xludf.DUMMYFUNCTION("""COMPUTED_VALUE"""),"TA661-43605")</f>
        <v>TA661-43605</v>
      </c>
      <c r="E1628" s="2" t="str">
        <f>IFERROR(__xludf.DUMMYFUNCTION("""COMPUTED_VALUE"""),"128GB, Black, ROW, iPhone 16, Logic Board Assy Mid System")</f>
        <v>128GB, Black, ROW, iPhone 16, Logic Board Assy Mid System</v>
      </c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10" t="str">
        <f t="shared" si="1"/>
        <v>February</v>
      </c>
      <c r="B1629" s="11">
        <f>IFERROR(__xludf.DUMMYFUNCTION("""COMPUTED_VALUE"""),46074.0)</f>
        <v>46074</v>
      </c>
      <c r="C1629" s="2" t="str">
        <f>IFERROR(__xludf.DUMMYFUNCTION("""COMPUTED_VALUE"""),"MOBILECARE - DAVAO")</f>
        <v>MOBILECARE - DAVAO</v>
      </c>
      <c r="D1629" s="2" t="str">
        <f>IFERROR(__xludf.DUMMYFUNCTION("""COMPUTED_VALUE"""),"661-30393")</f>
        <v>661-30393</v>
      </c>
      <c r="E1629" s="2" t="str">
        <f>IFERROR(__xludf.DUMMYFUNCTION("""COMPUTED_VALUE"""),"Camera, iPhone 14 Plus")</f>
        <v>Camera, iPhone 14 Plus</v>
      </c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10" t="str">
        <f t="shared" si="1"/>
        <v>March</v>
      </c>
      <c r="B1630" s="11">
        <f>IFERROR(__xludf.DUMMYFUNCTION("""COMPUTED_VALUE"""),46084.0)</f>
        <v>46084</v>
      </c>
      <c r="C1630" s="2" t="str">
        <f>IFERROR(__xludf.DUMMYFUNCTION("""COMPUTED_VALUE"""),"MOBILECARE - DAVAO")</f>
        <v>MOBILECARE - DAVAO</v>
      </c>
      <c r="D1630" s="2" t="str">
        <f>IFERROR(__xludf.DUMMYFUNCTION("""COMPUTED_VALUE"""),"PP661-23455")</f>
        <v>PP661-23455</v>
      </c>
      <c r="E1630" s="2" t="str">
        <f>IFERROR(__xludf.DUMMYFUNCTION("""COMPUTED_VALUE"""),"iPhone 13, Starlight, 128GB, Logic Board Assy Rear System, ROW")</f>
        <v>iPhone 13, Starlight, 128GB, Logic Board Assy Rear System, ROW</v>
      </c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10" t="str">
        <f t="shared" si="1"/>
        <v>April</v>
      </c>
      <c r="B1631" s="11">
        <f>IFERROR(__xludf.DUMMYFUNCTION("""COMPUTED_VALUE"""),46129.0)</f>
        <v>46129</v>
      </c>
      <c r="C1631" s="2" t="str">
        <f>IFERROR(__xludf.DUMMYFUNCTION("""COMPUTED_VALUE"""),"MOBILECARE - DAVAO")</f>
        <v>MOBILECARE - DAVAO</v>
      </c>
      <c r="D1631" s="2" t="str">
        <f>IFERROR(__xludf.DUMMYFUNCTION("""COMPUTED_VALUE"""),"661-13574")</f>
        <v>661-13574</v>
      </c>
      <c r="E1631" s="2" t="str">
        <f>IFERROR(__xludf.DUMMYFUNCTION("""COMPUTED_VALUE"""),"Battery, iPhone 11")</f>
        <v>Battery, iPhone 11</v>
      </c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10" t="str">
        <f t="shared" si="1"/>
        <v>February</v>
      </c>
      <c r="B1632" s="11">
        <f>IFERROR(__xludf.DUMMYFUNCTION("""COMPUTED_VALUE"""),46061.0)</f>
        <v>46061</v>
      </c>
      <c r="C1632" s="2" t="str">
        <f>IFERROR(__xludf.DUMMYFUNCTION("""COMPUTED_VALUE"""),"MOBILECARE - DAVAO")</f>
        <v>MOBILECARE - DAVAO</v>
      </c>
      <c r="D1632" s="2" t="str">
        <f>IFERROR(__xludf.DUMMYFUNCTION("""COMPUTED_VALUE"""),"661-42726")</f>
        <v>661-42726</v>
      </c>
      <c r="E1632" s="2" t="str">
        <f>IFERROR(__xludf.DUMMYFUNCTION("""COMPUTED_VALUE"""),"Display, iPhone 16 Pro")</f>
        <v>Display, iPhone 16 Pro</v>
      </c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10" t="str">
        <f t="shared" si="1"/>
        <v>May</v>
      </c>
      <c r="B1633" s="11">
        <f>IFERROR(__xludf.DUMMYFUNCTION("""COMPUTED_VALUE"""),46173.0)</f>
        <v>46173</v>
      </c>
      <c r="C1633" s="2" t="str">
        <f>IFERROR(__xludf.DUMMYFUNCTION("""COMPUTED_VALUE"""),"MOBILECARE - DAVAO")</f>
        <v>MOBILECARE - DAVAO</v>
      </c>
      <c r="D1633" s="2" t="str">
        <f>IFERROR(__xludf.DUMMYFUNCTION("""COMPUTED_VALUE"""),"661-22309")</f>
        <v>661-22309</v>
      </c>
      <c r="E1633" s="2" t="str">
        <f>IFERROR(__xludf.DUMMYFUNCTION("""COMPUTED_VALUE"""),"Display, iPhone 13 Pro Max")</f>
        <v>Display, iPhone 13 Pro Max</v>
      </c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10" t="str">
        <f t="shared" si="1"/>
        <v>May</v>
      </c>
      <c r="B1634" s="11">
        <f>IFERROR(__xludf.DUMMYFUNCTION("""COMPUTED_VALUE"""),46167.0)</f>
        <v>46167</v>
      </c>
      <c r="C1634" s="2" t="str">
        <f>IFERROR(__xludf.DUMMYFUNCTION("""COMPUTED_VALUE"""),"MOBILECARE - DAVAO")</f>
        <v>MOBILECARE - DAVAO</v>
      </c>
      <c r="D1634" s="2" t="str">
        <f>IFERROR(__xludf.DUMMYFUNCTION("""COMPUTED_VALUE"""),"661-30397")</f>
        <v>661-30397</v>
      </c>
      <c r="E1634" s="2" t="str">
        <f>IFERROR(__xludf.DUMMYFUNCTION("""COMPUTED_VALUE"""),"Battery, iPhone 14 Pro Max")</f>
        <v>Battery, iPhone 14 Pro Max</v>
      </c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10" t="str">
        <f t="shared" si="1"/>
        <v>May</v>
      </c>
      <c r="B1635" s="11">
        <f>IFERROR(__xludf.DUMMYFUNCTION("""COMPUTED_VALUE"""),46153.0)</f>
        <v>46153</v>
      </c>
      <c r="C1635" s="2" t="str">
        <f>IFERROR(__xludf.DUMMYFUNCTION("""COMPUTED_VALUE"""),"MOBILECARE - DAVAO")</f>
        <v>MOBILECARE - DAVAO</v>
      </c>
      <c r="D1635" s="2" t="str">
        <f>IFERROR(__xludf.DUMMYFUNCTION("""COMPUTED_VALUE"""),"TA661-36695")</f>
        <v>TA661-36695</v>
      </c>
      <c r="E1635" s="2" t="str">
        <f>IFERROR(__xludf.DUMMYFUNCTION("""COMPUTED_VALUE"""),"iPhone 15, Green, 128GB, Logic Board Assy Mid System, ROW")</f>
        <v>iPhone 15, Green, 128GB, Logic Board Assy Mid System, ROW</v>
      </c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10" t="str">
        <f t="shared" si="1"/>
        <v>May</v>
      </c>
      <c r="B1636" s="11">
        <f>IFERROR(__xludf.DUMMYFUNCTION("""COMPUTED_VALUE"""),46153.0)</f>
        <v>46153</v>
      </c>
      <c r="C1636" s="2" t="str">
        <f>IFERROR(__xludf.DUMMYFUNCTION("""COMPUTED_VALUE"""),"MOBILECARE - DAVAO")</f>
        <v>MOBILECARE - DAVAO</v>
      </c>
      <c r="D1636" s="2" t="str">
        <f>IFERROR(__xludf.DUMMYFUNCTION("""COMPUTED_VALUE"""),"661-36706")</f>
        <v>661-36706</v>
      </c>
      <c r="E1636" s="2" t="str">
        <f>IFERROR(__xludf.DUMMYFUNCTION("""COMPUTED_VALUE"""),"Display, iPhone 15")</f>
        <v>Display, iPhone 15</v>
      </c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10" t="str">
        <f t="shared" si="1"/>
        <v>April</v>
      </c>
      <c r="B1637" s="11">
        <f>IFERROR(__xludf.DUMMYFUNCTION("""COMPUTED_VALUE"""),46127.0)</f>
        <v>46127</v>
      </c>
      <c r="C1637" s="2" t="str">
        <f>IFERROR(__xludf.DUMMYFUNCTION("""COMPUTED_VALUE"""),"MOBILECARE - DAVAO")</f>
        <v>MOBILECARE - DAVAO</v>
      </c>
      <c r="D1637" s="2" t="str">
        <f>IFERROR(__xludf.DUMMYFUNCTION("""COMPUTED_VALUE"""),"661-30393")</f>
        <v>661-30393</v>
      </c>
      <c r="E1637" s="2" t="str">
        <f>IFERROR(__xludf.DUMMYFUNCTION("""COMPUTED_VALUE"""),"Camera, iPhone 14 Plus")</f>
        <v>Camera, iPhone 14 Plus</v>
      </c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10" t="str">
        <f t="shared" si="1"/>
        <v>March</v>
      </c>
      <c r="B1638" s="11">
        <f>IFERROR(__xludf.DUMMYFUNCTION("""COMPUTED_VALUE"""),46109.0)</f>
        <v>46109</v>
      </c>
      <c r="C1638" s="2" t="str">
        <f>IFERROR(__xludf.DUMMYFUNCTION("""COMPUTED_VALUE"""),"MOBILECARE - DAVAO")</f>
        <v>MOBILECARE - DAVAO</v>
      </c>
      <c r="D1638" s="2" t="str">
        <f>IFERROR(__xludf.DUMMYFUNCTION("""COMPUTED_VALUE"""),"PP661-28871")</f>
        <v>PP661-28871</v>
      </c>
      <c r="E1638" s="2" t="str">
        <f>IFERROR(__xludf.DUMMYFUNCTION("""COMPUTED_VALUE"""),"iPhone 14, Blue, 128GB, Logic Board Assy Mid System, ROW")</f>
        <v>iPhone 14, Blue, 128GB, Logic Board Assy Mid System, ROW</v>
      </c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10" t="str">
        <f t="shared" si="1"/>
        <v>June</v>
      </c>
      <c r="B1639" s="11">
        <f>IFERROR(__xludf.DUMMYFUNCTION("""COMPUTED_VALUE"""),46190.0)</f>
        <v>46190</v>
      </c>
      <c r="C1639" s="2" t="str">
        <f>IFERROR(__xludf.DUMMYFUNCTION("""COMPUTED_VALUE"""),"MOBILECARE - DAVAO")</f>
        <v>MOBILECARE - DAVAO</v>
      </c>
      <c r="D1639" s="2" t="str">
        <f>IFERROR(__xludf.DUMMYFUNCTION("""COMPUTED_VALUE"""),"PP661-28869")</f>
        <v>PP661-28869</v>
      </c>
      <c r="E1639" s="2" t="str">
        <f>IFERROR(__xludf.DUMMYFUNCTION("""COMPUTED_VALUE"""),"iPhone 14, Starlight, 128GB, Logic Board Assy Mid System, ROW")</f>
        <v>iPhone 14, Starlight, 128GB, Logic Board Assy Mid System, ROW</v>
      </c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10" t="str">
        <f t="shared" si="1"/>
        <v>April</v>
      </c>
      <c r="B1640" s="11">
        <f>IFERROR(__xludf.DUMMYFUNCTION("""COMPUTED_VALUE"""),46138.0)</f>
        <v>46138</v>
      </c>
      <c r="C1640" s="2" t="str">
        <f>IFERROR(__xludf.DUMMYFUNCTION("""COMPUTED_VALUE"""),"MOBILECARE - DAVAO")</f>
        <v>MOBILECARE - DAVAO</v>
      </c>
      <c r="D1640" s="2" t="str">
        <f>IFERROR(__xludf.DUMMYFUNCTION("""COMPUTED_VALUE"""),"TA661-36694")</f>
        <v>TA661-36694</v>
      </c>
      <c r="E1640" s="2" t="str">
        <f>IFERROR(__xludf.DUMMYFUNCTION("""COMPUTED_VALUE"""),"iPhone 15, Blue, 128GB, Logic Board Assy Mid System, ROW")</f>
        <v>iPhone 15, Blue, 128GB, Logic Board Assy Mid System, ROW</v>
      </c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10" t="str">
        <f t="shared" si="1"/>
        <v>April</v>
      </c>
      <c r="B1641" s="11">
        <f>IFERROR(__xludf.DUMMYFUNCTION("""COMPUTED_VALUE"""),46138.0)</f>
        <v>46138</v>
      </c>
      <c r="C1641" s="2" t="str">
        <f>IFERROR(__xludf.DUMMYFUNCTION("""COMPUTED_VALUE"""),"MOBILECARE - DAVAO")</f>
        <v>MOBILECARE - DAVAO</v>
      </c>
      <c r="D1641" s="2" t="str">
        <f>IFERROR(__xludf.DUMMYFUNCTION("""COMPUTED_VALUE"""),"TA661-43608")</f>
        <v>TA661-43608</v>
      </c>
      <c r="E1641" s="2" t="str">
        <f>IFERROR(__xludf.DUMMYFUNCTION("""COMPUTED_VALUE"""),"128GB, Ultramarine, ROW, iPhone 16, Logic Board Assy Mid System")</f>
        <v>128GB, Ultramarine, ROW, iPhone 16, Logic Board Assy Mid System</v>
      </c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10" t="str">
        <f t="shared" si="1"/>
        <v>April</v>
      </c>
      <c r="B1642" s="11">
        <f>IFERROR(__xludf.DUMMYFUNCTION("""COMPUTED_VALUE"""),46116.0)</f>
        <v>46116</v>
      </c>
      <c r="C1642" s="2" t="str">
        <f>IFERROR(__xludf.DUMMYFUNCTION("""COMPUTED_VALUE"""),"MOBILECARE - DAVAO")</f>
        <v>MOBILECARE - DAVAO</v>
      </c>
      <c r="D1642" s="2" t="str">
        <f>IFERROR(__xludf.DUMMYFUNCTION("""COMPUTED_VALUE"""),"661-56052")</f>
        <v>661-56052</v>
      </c>
      <c r="E1642" s="2" t="str">
        <f>IFERROR(__xludf.DUMMYFUNCTION("""COMPUTED_VALUE"""),"Camera, iPhone 17 Pro Max")</f>
        <v>Camera, iPhone 17 Pro Max</v>
      </c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10" t="str">
        <f t="shared" si="1"/>
        <v>March</v>
      </c>
      <c r="B1643" s="11">
        <f>IFERROR(__xludf.DUMMYFUNCTION("""COMPUTED_VALUE"""),46108.0)</f>
        <v>46108</v>
      </c>
      <c r="C1643" s="2" t="str">
        <f>IFERROR(__xludf.DUMMYFUNCTION("""COMPUTED_VALUE"""),"MOBILECARE - DAVAO")</f>
        <v>MOBILECARE - DAVAO</v>
      </c>
      <c r="D1643" s="2" t="str">
        <f>IFERROR(__xludf.DUMMYFUNCTION("""COMPUTED_VALUE"""),"661-55240")</f>
        <v>661-55240</v>
      </c>
      <c r="E1643" s="2" t="str">
        <f>IFERROR(__xludf.DUMMYFUNCTION("""COMPUTED_VALUE"""),"Display, iPhone Air")</f>
        <v>Display, iPhone Air</v>
      </c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10" t="str">
        <f t="shared" si="1"/>
        <v>February</v>
      </c>
      <c r="B1644" s="11">
        <f>IFERROR(__xludf.DUMMYFUNCTION("""COMPUTED_VALUE"""),46081.0)</f>
        <v>46081</v>
      </c>
      <c r="C1644" s="2" t="str">
        <f>IFERROR(__xludf.DUMMYFUNCTION("""COMPUTED_VALUE"""),"MOBILECARE - DAVAO")</f>
        <v>MOBILECARE - DAVAO</v>
      </c>
      <c r="D1644" s="2" t="str">
        <f>IFERROR(__xludf.DUMMYFUNCTION("""COMPUTED_VALUE"""),"TA661-36692")</f>
        <v>TA661-36692</v>
      </c>
      <c r="E1644" s="2" t="str">
        <f>IFERROR(__xludf.DUMMYFUNCTION("""COMPUTED_VALUE"""),"iPhone 15, Pink, 128GB, Logic Board Assy Mid System, ROW")</f>
        <v>iPhone 15, Pink, 128GB, Logic Board Assy Mid System, ROW</v>
      </c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10" t="str">
        <f t="shared" si="1"/>
        <v>January</v>
      </c>
      <c r="B1645" s="11">
        <f>IFERROR(__xludf.DUMMYFUNCTION("""COMPUTED_VALUE"""),46052.0)</f>
        <v>46052</v>
      </c>
      <c r="C1645" s="2" t="str">
        <f>IFERROR(__xludf.DUMMYFUNCTION("""COMPUTED_VALUE"""),"MOBILECARE - DAVAO")</f>
        <v>MOBILECARE - DAVAO</v>
      </c>
      <c r="D1645" s="2" t="str">
        <f>IFERROR(__xludf.DUMMYFUNCTION("""COMPUTED_VALUE"""),"TA661-45323")</f>
        <v>TA661-45323</v>
      </c>
      <c r="E1645" s="2" t="str">
        <f>IFERROR(__xludf.DUMMYFUNCTION("""COMPUTED_VALUE"""),"256GB, Desert Titanium, ROW, iPhone 16 Pro Max, Logic Board Assy Mid Sys")</f>
        <v>256GB, Desert Titanium, ROW, iPhone 16 Pro Max, Logic Board Assy Mid Sys</v>
      </c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10" t="str">
        <f t="shared" si="1"/>
        <v>May</v>
      </c>
      <c r="B1646" s="11">
        <f>IFERROR(__xludf.DUMMYFUNCTION("""COMPUTED_VALUE"""),46144.0)</f>
        <v>46144</v>
      </c>
      <c r="C1646" s="2" t="str">
        <f>IFERROR(__xludf.DUMMYFUNCTION("""COMPUTED_VALUE"""),"MOBILECARE - DAVAO")</f>
        <v>MOBILECARE - DAVAO</v>
      </c>
      <c r="D1646" s="2" t="str">
        <f>IFERROR(__xludf.DUMMYFUNCTION("""COMPUTED_VALUE"""),"661-21996")</f>
        <v>661-21996</v>
      </c>
      <c r="E1646" s="2" t="str">
        <f>IFERROR(__xludf.DUMMYFUNCTION("""COMPUTED_VALUE"""),"Battery, iPhone 13 Pro")</f>
        <v>Battery, iPhone 13 Pro</v>
      </c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10" t="str">
        <f t="shared" si="1"/>
        <v>May</v>
      </c>
      <c r="B1647" s="11">
        <f>IFERROR(__xludf.DUMMYFUNCTION("""COMPUTED_VALUE"""),46159.0)</f>
        <v>46159</v>
      </c>
      <c r="C1647" s="2" t="str">
        <f>IFERROR(__xludf.DUMMYFUNCTION("""COMPUTED_VALUE"""),"MOBILECARE - DAVAO")</f>
        <v>MOBILECARE - DAVAO</v>
      </c>
      <c r="D1647" s="2" t="str">
        <f>IFERROR(__xludf.DUMMYFUNCTION("""COMPUTED_VALUE"""),"TA661-44050")</f>
        <v>TA661-44050</v>
      </c>
      <c r="E1647" s="2" t="str">
        <f>IFERROR(__xludf.DUMMYFUNCTION("""COMPUTED_VALUE"""),"128GB, Black, ROW, iPhone 16 Plus, CI/AR")</f>
        <v>128GB, Black, ROW, iPhone 16 Plus, CI/AR</v>
      </c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10" t="str">
        <f t="shared" si="1"/>
        <v>March</v>
      </c>
      <c r="B1648" s="11">
        <f>IFERROR(__xludf.DUMMYFUNCTION("""COMPUTED_VALUE"""),46093.0)</f>
        <v>46093</v>
      </c>
      <c r="C1648" s="2" t="str">
        <f>IFERROR(__xludf.DUMMYFUNCTION("""COMPUTED_VALUE"""),"MOBILECARE - DAVAO")</f>
        <v>MOBILECARE - DAVAO</v>
      </c>
      <c r="D1648" s="2" t="str">
        <f>IFERROR(__xludf.DUMMYFUNCTION("""COMPUTED_VALUE"""),"TA661-43607")</f>
        <v>TA661-43607</v>
      </c>
      <c r="E1648" s="2" t="str">
        <f>IFERROR(__xludf.DUMMYFUNCTION("""COMPUTED_VALUE"""),"128GB, Pink, ROW, iPhone 16, Logic Board Assy Mid System")</f>
        <v>128GB, Pink, ROW, iPhone 16, Logic Board Assy Mid System</v>
      </c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10" t="str">
        <f t="shared" si="1"/>
        <v>February</v>
      </c>
      <c r="B1649" s="11">
        <f>IFERROR(__xludf.DUMMYFUNCTION("""COMPUTED_VALUE"""),46080.0)</f>
        <v>46080</v>
      </c>
      <c r="C1649" s="2" t="str">
        <f>IFERROR(__xludf.DUMMYFUNCTION("""COMPUTED_VALUE"""),"MOBILECARE - DAVAO")</f>
        <v>MOBILECARE - DAVAO</v>
      </c>
      <c r="D1649" s="2" t="str">
        <f>IFERROR(__xludf.DUMMYFUNCTION("""COMPUTED_VALUE"""),"661-44955")</f>
        <v>661-44955</v>
      </c>
      <c r="E1649" s="2" t="str">
        <f>IFERROR(__xludf.DUMMYFUNCTION("""COMPUTED_VALUE"""),"Display, iPhone 16 Pro Max")</f>
        <v>Display, iPhone 16 Pro Max</v>
      </c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10" t="str">
        <f t="shared" si="1"/>
        <v>January</v>
      </c>
      <c r="B1650" s="11">
        <f>IFERROR(__xludf.DUMMYFUNCTION("""COMPUTED_VALUE"""),46051.0)</f>
        <v>46051</v>
      </c>
      <c r="C1650" s="2" t="str">
        <f>IFERROR(__xludf.DUMMYFUNCTION("""COMPUTED_VALUE"""),"MOBILECARE - DAVAO")</f>
        <v>MOBILECARE - DAVAO</v>
      </c>
      <c r="D1650" s="2" t="str">
        <f>IFERROR(__xludf.DUMMYFUNCTION("""COMPUTED_VALUE"""),"661-56065")</f>
        <v>661-56065</v>
      </c>
      <c r="E1650" s="2" t="str">
        <f>IFERROR(__xludf.DUMMYFUNCTION("""COMPUTED_VALUE"""),"Display, iPhone 17")</f>
        <v>Display, iPhone 17</v>
      </c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10" t="str">
        <f t="shared" si="1"/>
        <v>June</v>
      </c>
      <c r="B1651" s="11">
        <f>IFERROR(__xludf.DUMMYFUNCTION("""COMPUTED_VALUE"""),46175.0)</f>
        <v>46175</v>
      </c>
      <c r="C1651" s="2" t="str">
        <f>IFERROR(__xludf.DUMMYFUNCTION("""COMPUTED_VALUE"""),"MOBILECARE - DAVAO")</f>
        <v>MOBILECARE - DAVAO</v>
      </c>
      <c r="D1651" s="2" t="str">
        <f>IFERROR(__xludf.DUMMYFUNCTION("""COMPUTED_VALUE"""),"661-60211")</f>
        <v>661-60211</v>
      </c>
      <c r="E1651" s="2" t="str">
        <f>IFERROR(__xludf.DUMMYFUNCTION("""COMPUTED_VALUE"""),"Display, iPhone 17e")</f>
        <v>Display, iPhone 17e</v>
      </c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10" t="str">
        <f t="shared" si="1"/>
        <v>May</v>
      </c>
      <c r="B1652" s="11">
        <f>IFERROR(__xludf.DUMMYFUNCTION("""COMPUTED_VALUE"""),46158.0)</f>
        <v>46158</v>
      </c>
      <c r="C1652" s="2" t="str">
        <f>IFERROR(__xludf.DUMMYFUNCTION("""COMPUTED_VALUE"""),"MOBILECARE - DAVAO")</f>
        <v>MOBILECARE - DAVAO</v>
      </c>
      <c r="D1652" s="2" t="str">
        <f>IFERROR(__xludf.DUMMYFUNCTION("""COMPUTED_VALUE"""),"661-21991")</f>
        <v>661-21991</v>
      </c>
      <c r="E1652" s="2" t="str">
        <f>IFERROR(__xludf.DUMMYFUNCTION("""COMPUTED_VALUE"""),"Battery, iPhone 13")</f>
        <v>Battery, iPhone 13</v>
      </c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10" t="str">
        <f t="shared" si="1"/>
        <v>May</v>
      </c>
      <c r="B1653" s="11">
        <f>IFERROR(__xludf.DUMMYFUNCTION("""COMPUTED_VALUE"""),46163.0)</f>
        <v>46163</v>
      </c>
      <c r="C1653" s="2" t="str">
        <f>IFERROR(__xludf.DUMMYFUNCTION("""COMPUTED_VALUE"""),"MOBILECARE - DAVAO")</f>
        <v>MOBILECARE - DAVAO</v>
      </c>
      <c r="D1653" s="2" t="str">
        <f>IFERROR(__xludf.DUMMYFUNCTION("""COMPUTED_VALUE"""),"661-56066")</f>
        <v>661-56066</v>
      </c>
      <c r="E1653" s="2" t="str">
        <f>IFERROR(__xludf.DUMMYFUNCTION("""COMPUTED_VALUE"""),"Front Camera, iPhone 17")</f>
        <v>Front Camera, iPhone 17</v>
      </c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10" t="str">
        <f t="shared" si="1"/>
        <v>May</v>
      </c>
      <c r="B1654" s="11">
        <f>IFERROR(__xludf.DUMMYFUNCTION("""COMPUTED_VALUE"""),46163.0)</f>
        <v>46163</v>
      </c>
      <c r="C1654" s="2" t="str">
        <f>IFERROR(__xludf.DUMMYFUNCTION("""COMPUTED_VALUE"""),"MOBILECARE - DAVAO")</f>
        <v>MOBILECARE - DAVAO</v>
      </c>
      <c r="D1654" s="2" t="str">
        <f>IFERROR(__xludf.DUMMYFUNCTION("""COMPUTED_VALUE"""),"661-56067")</f>
        <v>661-56067</v>
      </c>
      <c r="E1654" s="2" t="str">
        <f>IFERROR(__xludf.DUMMYFUNCTION("""COMPUTED_VALUE"""),"Camera, iPhone 17")</f>
        <v>Camera, iPhone 17</v>
      </c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10" t="str">
        <f t="shared" si="1"/>
        <v>May</v>
      </c>
      <c r="B1655" s="11">
        <f>IFERROR(__xludf.DUMMYFUNCTION("""COMPUTED_VALUE"""),46163.0)</f>
        <v>46163</v>
      </c>
      <c r="C1655" s="2" t="str">
        <f>IFERROR(__xludf.DUMMYFUNCTION("""COMPUTED_VALUE"""),"MOBILECARE - DAVAO")</f>
        <v>MOBILECARE - DAVAO</v>
      </c>
      <c r="D1655" s="2" t="str">
        <f>IFERROR(__xludf.DUMMYFUNCTION("""COMPUTED_VALUE"""),"661-56066")</f>
        <v>661-56066</v>
      </c>
      <c r="E1655" s="2" t="str">
        <f>IFERROR(__xludf.DUMMYFUNCTION("""COMPUTED_VALUE"""),"Front Camera, iPhone 17")</f>
        <v>Front Camera, iPhone 17</v>
      </c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10" t="str">
        <f t="shared" si="1"/>
        <v>May</v>
      </c>
      <c r="B1656" s="11">
        <f>IFERROR(__xludf.DUMMYFUNCTION("""COMPUTED_VALUE"""),46163.0)</f>
        <v>46163</v>
      </c>
      <c r="C1656" s="2" t="str">
        <f>IFERROR(__xludf.DUMMYFUNCTION("""COMPUTED_VALUE"""),"MOBILECARE - DAVAO")</f>
        <v>MOBILECARE - DAVAO</v>
      </c>
      <c r="D1656" s="2" t="str">
        <f>IFERROR(__xludf.DUMMYFUNCTION("""COMPUTED_VALUE"""),"661-56067")</f>
        <v>661-56067</v>
      </c>
      <c r="E1656" s="2" t="str">
        <f>IFERROR(__xludf.DUMMYFUNCTION("""COMPUTED_VALUE"""),"Camera, iPhone 17")</f>
        <v>Camera, iPhone 17</v>
      </c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10" t="str">
        <f t="shared" si="1"/>
        <v>May</v>
      </c>
      <c r="B1657" s="11">
        <f>IFERROR(__xludf.DUMMYFUNCTION("""COMPUTED_VALUE"""),46146.0)</f>
        <v>46146</v>
      </c>
      <c r="C1657" s="2" t="str">
        <f>IFERROR(__xludf.DUMMYFUNCTION("""COMPUTED_VALUE"""),"MOBILECARE - DAVAO")</f>
        <v>MOBILECARE - DAVAO</v>
      </c>
      <c r="D1657" s="2" t="str">
        <f>IFERROR(__xludf.DUMMYFUNCTION("""COMPUTED_VALUE"""),"PP661-28868")</f>
        <v>PP661-28868</v>
      </c>
      <c r="E1657" s="2" t="str">
        <f>IFERROR(__xludf.DUMMYFUNCTION("""COMPUTED_VALUE"""),"iPhone 14, Midnight, 128GB, Logic Board Assy Mid System, ROW")</f>
        <v>iPhone 14, Midnight, 128GB, Logic Board Assy Mid System, ROW</v>
      </c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10" t="str">
        <f t="shared" si="1"/>
        <v>April</v>
      </c>
      <c r="B1658" s="11">
        <f>IFERROR(__xludf.DUMMYFUNCTION("""COMPUTED_VALUE"""),46126.0)</f>
        <v>46126</v>
      </c>
      <c r="C1658" s="2" t="str">
        <f>IFERROR(__xludf.DUMMYFUNCTION("""COMPUTED_VALUE"""),"MOBILECARE - DAVAO")</f>
        <v>MOBILECARE - DAVAO</v>
      </c>
      <c r="D1658" s="2" t="str">
        <f>IFERROR(__xludf.DUMMYFUNCTION("""COMPUTED_VALUE"""),"661-44955")</f>
        <v>661-44955</v>
      </c>
      <c r="E1658" s="2" t="str">
        <f>IFERROR(__xludf.DUMMYFUNCTION("""COMPUTED_VALUE"""),"Display, iPhone 16 Pro Max")</f>
        <v>Display, iPhone 16 Pro Max</v>
      </c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10" t="str">
        <f t="shared" si="1"/>
        <v>March</v>
      </c>
      <c r="B1659" s="11">
        <f>IFERROR(__xludf.DUMMYFUNCTION("""COMPUTED_VALUE"""),46103.0)</f>
        <v>46103</v>
      </c>
      <c r="C1659" s="2" t="str">
        <f>IFERROR(__xludf.DUMMYFUNCTION("""COMPUTED_VALUE"""),"MOBILECARE - DAVAO")</f>
        <v>MOBILECARE - DAVAO</v>
      </c>
      <c r="D1659" s="2" t="str">
        <f>IFERROR(__xludf.DUMMYFUNCTION("""COMPUTED_VALUE"""),"PP661-23455")</f>
        <v>PP661-23455</v>
      </c>
      <c r="E1659" s="2" t="str">
        <f>IFERROR(__xludf.DUMMYFUNCTION("""COMPUTED_VALUE"""),"iPhone 13, Starlight, 128GB, Logic Board Assy Rear System, ROW")</f>
        <v>iPhone 13, Starlight, 128GB, Logic Board Assy Rear System, ROW</v>
      </c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10" t="str">
        <f t="shared" si="1"/>
        <v>March</v>
      </c>
      <c r="B1660" s="11">
        <f>IFERROR(__xludf.DUMMYFUNCTION("""COMPUTED_VALUE"""),46082.0)</f>
        <v>46082</v>
      </c>
      <c r="C1660" s="2" t="str">
        <f>IFERROR(__xludf.DUMMYFUNCTION("""COMPUTED_VALUE"""),"MOBILECARE - DAVAO")</f>
        <v>MOBILECARE - DAVAO</v>
      </c>
      <c r="D1660" s="2" t="str">
        <f>IFERROR(__xludf.DUMMYFUNCTION("""COMPUTED_VALUE"""),"PP661-23454")</f>
        <v>PP661-23454</v>
      </c>
      <c r="E1660" s="2" t="str">
        <f>IFERROR(__xludf.DUMMYFUNCTION("""COMPUTED_VALUE"""),"iPhone 13, Midnight, 128GB, Logic Board Assy Rear System, ROW")</f>
        <v>iPhone 13, Midnight, 128GB, Logic Board Assy Rear System, ROW</v>
      </c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10" t="str">
        <f t="shared" si="1"/>
        <v>February</v>
      </c>
      <c r="B1661" s="11">
        <f>IFERROR(__xludf.DUMMYFUNCTION("""COMPUTED_VALUE"""),46073.0)</f>
        <v>46073</v>
      </c>
      <c r="C1661" s="2" t="str">
        <f>IFERROR(__xludf.DUMMYFUNCTION("""COMPUTED_VALUE"""),"MOBILECARE - DAVAO")</f>
        <v>MOBILECARE - DAVAO</v>
      </c>
      <c r="D1661" s="2" t="str">
        <f>IFERROR(__xludf.DUMMYFUNCTION("""COMPUTED_VALUE"""),"PP661-22709")</f>
        <v>PP661-22709</v>
      </c>
      <c r="E1661" s="2" t="str">
        <f>IFERROR(__xludf.DUMMYFUNCTION("""COMPUTED_VALUE"""),"Sierra Blue, 256 GB, iPhone 13 Pro Max, ROW, CI/AR, Philippines")</f>
        <v>Sierra Blue, 256 GB, iPhone 13 Pro Max, ROW, CI/AR, Philippines</v>
      </c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10" t="str">
        <f t="shared" si="1"/>
        <v>May</v>
      </c>
      <c r="B1662" s="11">
        <f>IFERROR(__xludf.DUMMYFUNCTION("""COMPUTED_VALUE"""),46167.0)</f>
        <v>46167</v>
      </c>
      <c r="C1662" s="2" t="str">
        <f>IFERROR(__xludf.DUMMYFUNCTION("""COMPUTED_VALUE"""),"MOBILECARE - DAVAO")</f>
        <v>MOBILECARE - DAVAO</v>
      </c>
      <c r="D1662" s="2" t="str">
        <f>IFERROR(__xludf.DUMMYFUNCTION("""COMPUTED_VALUE"""),"661-35694")</f>
        <v>661-35694</v>
      </c>
      <c r="E1662" s="2" t="str">
        <f>IFERROR(__xludf.DUMMYFUNCTION("""COMPUTED_VALUE"""),"Battery, iPhone 15 Pro")</f>
        <v>Battery, iPhone 15 Pro</v>
      </c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10" t="str">
        <f t="shared" si="1"/>
        <v>May</v>
      </c>
      <c r="B1663" s="11">
        <f>IFERROR(__xludf.DUMMYFUNCTION("""COMPUTED_VALUE"""),46149.0)</f>
        <v>46149</v>
      </c>
      <c r="C1663" s="2" t="str">
        <f>IFERROR(__xludf.DUMMYFUNCTION("""COMPUTED_VALUE"""),"MOBILECARE - DAVAO")</f>
        <v>MOBILECARE - DAVAO</v>
      </c>
      <c r="D1663" s="2" t="str">
        <f>IFERROR(__xludf.DUMMYFUNCTION("""COMPUTED_VALUE"""),"TA661-45271")</f>
        <v>TA661-45271</v>
      </c>
      <c r="E1663" s="2" t="str">
        <f>IFERROR(__xludf.DUMMYFUNCTION("""COMPUTED_VALUE"""),"1TB, Desert Titanium, ROW, iPhone 16 Pro Max, CI/AR")</f>
        <v>1TB, Desert Titanium, ROW, iPhone 16 Pro Max, CI/AR</v>
      </c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10" t="str">
        <f t="shared" si="1"/>
        <v>April</v>
      </c>
      <c r="B1664" s="11">
        <f>IFERROR(__xludf.DUMMYFUNCTION("""COMPUTED_VALUE"""),46119.0)</f>
        <v>46119</v>
      </c>
      <c r="C1664" s="2" t="str">
        <f>IFERROR(__xludf.DUMMYFUNCTION("""COMPUTED_VALUE"""),"MOBILECARE - DAVAO")</f>
        <v>MOBILECARE - DAVAO</v>
      </c>
      <c r="D1664" s="2" t="str">
        <f>IFERROR(__xludf.DUMMYFUNCTION("""COMPUTED_VALUE"""),"661-56050")</f>
        <v>661-56050</v>
      </c>
      <c r="E1664" s="2" t="str">
        <f>IFERROR(__xludf.DUMMYFUNCTION("""COMPUTED_VALUE"""),"Display, iPhone 17 Pro Max")</f>
        <v>Display, iPhone 17 Pro Max</v>
      </c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10" t="str">
        <f t="shared" si="1"/>
        <v>April</v>
      </c>
      <c r="B1665" s="11">
        <f>IFERROR(__xludf.DUMMYFUNCTION("""COMPUTED_VALUE"""),46127.0)</f>
        <v>46127</v>
      </c>
      <c r="C1665" s="2" t="str">
        <f>IFERROR(__xludf.DUMMYFUNCTION("""COMPUTED_VALUE"""),"MOBILECARE - DAVAO")</f>
        <v>MOBILECARE - DAVAO</v>
      </c>
      <c r="D1665" s="2" t="str">
        <f>IFERROR(__xludf.DUMMYFUNCTION("""COMPUTED_VALUE"""),"ZP923-13771")</f>
        <v>ZP923-13771</v>
      </c>
      <c r="E1665" s="2" t="str">
        <f>IFERROR(__xludf.DUMMYFUNCTION("""COMPUTED_VALUE"""),"Black, Enclosure, iPhone 17, ROW")</f>
        <v>Black, Enclosure, iPhone 17, ROW</v>
      </c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10" t="str">
        <f t="shared" si="1"/>
        <v>April</v>
      </c>
      <c r="B1666" s="11">
        <f>IFERROR(__xludf.DUMMYFUNCTION("""COMPUTED_VALUE"""),46127.0)</f>
        <v>46127</v>
      </c>
      <c r="C1666" s="2" t="str">
        <f>IFERROR(__xludf.DUMMYFUNCTION("""COMPUTED_VALUE"""),"MOBILECARE - DAVAO")</f>
        <v>MOBILECARE - DAVAO</v>
      </c>
      <c r="D1666" s="2" t="str">
        <f>IFERROR(__xludf.DUMMYFUNCTION("""COMPUTED_VALUE"""),"661-56057")</f>
        <v>661-56057</v>
      </c>
      <c r="E1666" s="2" t="str">
        <f>IFERROR(__xludf.DUMMYFUNCTION("""COMPUTED_VALUE"""),"Black, Back Glass, iPhone 17")</f>
        <v>Black, Back Glass, iPhone 17</v>
      </c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10" t="str">
        <f t="shared" si="1"/>
        <v>April</v>
      </c>
      <c r="B1667" s="11">
        <f>IFERROR(__xludf.DUMMYFUNCTION("""COMPUTED_VALUE"""),46127.0)</f>
        <v>46127</v>
      </c>
      <c r="C1667" s="2" t="str">
        <f>IFERROR(__xludf.DUMMYFUNCTION("""COMPUTED_VALUE"""),"MOBILECARE - DAVAO")</f>
        <v>MOBILECARE - DAVAO</v>
      </c>
      <c r="D1667" s="2" t="str">
        <f>IFERROR(__xludf.DUMMYFUNCTION("""COMPUTED_VALUE"""),"661-56064")</f>
        <v>661-56064</v>
      </c>
      <c r="E1667" s="2" t="str">
        <f>IFERROR(__xludf.DUMMYFUNCTION("""COMPUTED_VALUE"""),"Battery, iPhone 17")</f>
        <v>Battery, iPhone 17</v>
      </c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10" t="str">
        <f t="shared" si="1"/>
        <v>February</v>
      </c>
      <c r="B1668" s="11">
        <f>IFERROR(__xludf.DUMMYFUNCTION("""COMPUTED_VALUE"""),46080.0)</f>
        <v>46080</v>
      </c>
      <c r="C1668" s="2" t="str">
        <f>IFERROR(__xludf.DUMMYFUNCTION("""COMPUTED_VALUE"""),"MOBILECARE - DAVAO")</f>
        <v>MOBILECARE - DAVAO</v>
      </c>
      <c r="D1668" s="2" t="str">
        <f>IFERROR(__xludf.DUMMYFUNCTION("""COMPUTED_VALUE"""),"PP661-23454")</f>
        <v>PP661-23454</v>
      </c>
      <c r="E1668" s="2" t="str">
        <f>IFERROR(__xludf.DUMMYFUNCTION("""COMPUTED_VALUE"""),"iPhone 13, Midnight, 128GB, Logic Board Assy Rear System, ROW")</f>
        <v>iPhone 13, Midnight, 128GB, Logic Board Assy Rear System, ROW</v>
      </c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10" t="str">
        <f t="shared" si="1"/>
        <v>February</v>
      </c>
      <c r="B1669" s="11">
        <f>IFERROR(__xludf.DUMMYFUNCTION("""COMPUTED_VALUE"""),46072.0)</f>
        <v>46072</v>
      </c>
      <c r="C1669" s="2" t="str">
        <f>IFERROR(__xludf.DUMMYFUNCTION("""COMPUTED_VALUE"""),"MOBILECARE - DAVAO")</f>
        <v>MOBILECARE - DAVAO</v>
      </c>
      <c r="D1669" s="2" t="str">
        <f>IFERROR(__xludf.DUMMYFUNCTION("""COMPUTED_VALUE"""),"661-56050")</f>
        <v>661-56050</v>
      </c>
      <c r="E1669" s="2" t="str">
        <f>IFERROR(__xludf.DUMMYFUNCTION("""COMPUTED_VALUE"""),"Display, iPhone 17 Pro Max")</f>
        <v>Display, iPhone 17 Pro Max</v>
      </c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10" t="str">
        <f t="shared" si="1"/>
        <v>February</v>
      </c>
      <c r="B1670" s="11">
        <f>IFERROR(__xludf.DUMMYFUNCTION("""COMPUTED_VALUE"""),46070.0)</f>
        <v>46070</v>
      </c>
      <c r="C1670" s="2" t="str">
        <f>IFERROR(__xludf.DUMMYFUNCTION("""COMPUTED_VALUE"""),"MOBILECARE - DAVAO")</f>
        <v>MOBILECARE - DAVAO</v>
      </c>
      <c r="D1670" s="2" t="str">
        <f>IFERROR(__xludf.DUMMYFUNCTION("""COMPUTED_VALUE"""),"661-42843")</f>
        <v>661-42843</v>
      </c>
      <c r="E1670" s="2" t="str">
        <f>IFERROR(__xludf.DUMMYFUNCTION("""COMPUTED_VALUE"""),"Display, iPhone 16 Plus")</f>
        <v>Display, iPhone 16 Plus</v>
      </c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10" t="str">
        <f t="shared" si="1"/>
        <v>January</v>
      </c>
      <c r="B1671" s="11">
        <f>IFERROR(__xludf.DUMMYFUNCTION("""COMPUTED_VALUE"""),46050.0)</f>
        <v>46050</v>
      </c>
      <c r="C1671" s="2" t="str">
        <f>IFERROR(__xludf.DUMMYFUNCTION("""COMPUTED_VALUE"""),"MOBILECARE - DAVAO")</f>
        <v>MOBILECARE - DAVAO</v>
      </c>
      <c r="D1671" s="2" t="str">
        <f>IFERROR(__xludf.DUMMYFUNCTION("""COMPUTED_VALUE"""),"661-56050")</f>
        <v>661-56050</v>
      </c>
      <c r="E1671" s="2" t="str">
        <f>IFERROR(__xludf.DUMMYFUNCTION("""COMPUTED_VALUE"""),"Display, iPhone 17 Pro Max")</f>
        <v>Display, iPhone 17 Pro Max</v>
      </c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10" t="str">
        <f t="shared" si="1"/>
        <v>June</v>
      </c>
      <c r="B1672" s="11">
        <f>IFERROR(__xludf.DUMMYFUNCTION("""COMPUTED_VALUE"""),46188.0)</f>
        <v>46188</v>
      </c>
      <c r="C1672" s="2" t="str">
        <f>IFERROR(__xludf.DUMMYFUNCTION("""COMPUTED_VALUE"""),"MOBILECARE - DAVAO")</f>
        <v>MOBILECARE - DAVAO</v>
      </c>
      <c r="D1672" s="2" t="str">
        <f>IFERROR(__xludf.DUMMYFUNCTION("""COMPUTED_VALUE"""),"TA661-36691")</f>
        <v>TA661-36691</v>
      </c>
      <c r="E1672" s="2" t="str">
        <f>IFERROR(__xludf.DUMMYFUNCTION("""COMPUTED_VALUE"""),"iPhone 15, Black, 128GB, Logic Board Assy Mid System, ROW")</f>
        <v>iPhone 15, Black, 128GB, Logic Board Assy Mid System, ROW</v>
      </c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10" t="str">
        <f t="shared" si="1"/>
        <v>May</v>
      </c>
      <c r="B1673" s="11">
        <f>IFERROR(__xludf.DUMMYFUNCTION("""COMPUTED_VALUE"""),46143.0)</f>
        <v>46143</v>
      </c>
      <c r="C1673" s="2" t="str">
        <f>IFERROR(__xludf.DUMMYFUNCTION("""COMPUTED_VALUE"""),"MOBILECARE - DAVAO")</f>
        <v>MOBILECARE - DAVAO</v>
      </c>
      <c r="D1673" s="2" t="str">
        <f>IFERROR(__xludf.DUMMYFUNCTION("""COMPUTED_VALUE"""),"Z661-55942")</f>
        <v>Z661-55942</v>
      </c>
      <c r="E1673" s="2" t="str">
        <f>IFERROR(__xludf.DUMMYFUNCTION("""COMPUTED_VALUE"""),"Logic Board, 256GB, A3523, ROW, iPhone 17 Pro")</f>
        <v>Logic Board, 256GB, A3523, ROW, iPhone 17 Pro</v>
      </c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10" t="str">
        <f t="shared" si="1"/>
        <v>May</v>
      </c>
      <c r="B1674" s="11">
        <f>IFERROR(__xludf.DUMMYFUNCTION("""COMPUTED_VALUE"""),46148.0)</f>
        <v>46148</v>
      </c>
      <c r="C1674" s="2" t="str">
        <f>IFERROR(__xludf.DUMMYFUNCTION("""COMPUTED_VALUE"""),"MOBILECARE - DAVAO")</f>
        <v>MOBILECARE - DAVAO</v>
      </c>
      <c r="D1674" s="2" t="str">
        <f>IFERROR(__xludf.DUMMYFUNCTION("""COMPUTED_VALUE"""),"PP661-28868")</f>
        <v>PP661-28868</v>
      </c>
      <c r="E1674" s="2" t="str">
        <f>IFERROR(__xludf.DUMMYFUNCTION("""COMPUTED_VALUE"""),"iPhone 14, Midnight, 128GB, Logic Board Assy Mid System, ROW")</f>
        <v>iPhone 14, Midnight, 128GB, Logic Board Assy Mid System, ROW</v>
      </c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10" t="str">
        <f t="shared" si="1"/>
        <v>April</v>
      </c>
      <c r="B1675" s="11">
        <f>IFERROR(__xludf.DUMMYFUNCTION("""COMPUTED_VALUE"""),46127.0)</f>
        <v>46127</v>
      </c>
      <c r="C1675" s="2" t="str">
        <f>IFERROR(__xludf.DUMMYFUNCTION("""COMPUTED_VALUE"""),"MOBILECARE - DAVAO")</f>
        <v>MOBILECARE - DAVAO</v>
      </c>
      <c r="D1675" s="2" t="str">
        <f>IFERROR(__xludf.DUMMYFUNCTION("""COMPUTED_VALUE"""),"TA661-55206")</f>
        <v>TA661-55206</v>
      </c>
      <c r="E1675" s="2" t="str">
        <f>IFERROR(__xludf.DUMMYFUNCTION("""COMPUTED_VALUE"""),"Silver, 256GB, iPhone 17 Pro Max, ROW, CI/AR, Taiwan")</f>
        <v>Silver, 256GB, iPhone 17 Pro Max, ROW, CI/AR, Taiwan</v>
      </c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10" t="str">
        <f t="shared" si="1"/>
        <v>March</v>
      </c>
      <c r="B1676" s="11">
        <f>IFERROR(__xludf.DUMMYFUNCTION("""COMPUTED_VALUE"""),46093.0)</f>
        <v>46093</v>
      </c>
      <c r="C1676" s="2" t="str">
        <f>IFERROR(__xludf.DUMMYFUNCTION("""COMPUTED_VALUE"""),"MOBILECARE - DAVAO")</f>
        <v>MOBILECARE - DAVAO</v>
      </c>
      <c r="D1676" s="2" t="str">
        <f>IFERROR(__xludf.DUMMYFUNCTION("""COMPUTED_VALUE"""),"PP661-23454")</f>
        <v>PP661-23454</v>
      </c>
      <c r="E1676" s="2" t="str">
        <f>IFERROR(__xludf.DUMMYFUNCTION("""COMPUTED_VALUE"""),"iPhone 13, Midnight, 128GB, Logic Board Assy Rear System, ROW")</f>
        <v>iPhone 13, Midnight, 128GB, Logic Board Assy Rear System, ROW</v>
      </c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10" t="str">
        <f t="shared" si="1"/>
        <v>April</v>
      </c>
      <c r="B1677" s="11">
        <f>IFERROR(__xludf.DUMMYFUNCTION("""COMPUTED_VALUE"""),46120.0)</f>
        <v>46120</v>
      </c>
      <c r="C1677" s="2" t="str">
        <f>IFERROR(__xludf.DUMMYFUNCTION("""COMPUTED_VALUE"""),"MOBILECARE - DAVAO")</f>
        <v>MOBILECARE - DAVAO</v>
      </c>
      <c r="D1677" s="2" t="str">
        <f>IFERROR(__xludf.DUMMYFUNCTION("""COMPUTED_VALUE"""),"PP661-23454")</f>
        <v>PP661-23454</v>
      </c>
      <c r="E1677" s="2" t="str">
        <f>IFERROR(__xludf.DUMMYFUNCTION("""COMPUTED_VALUE"""),"iPhone 13, Midnight, 128GB, Logic Board Assy Rear System, ROW")</f>
        <v>iPhone 13, Midnight, 128GB, Logic Board Assy Rear System, ROW</v>
      </c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10" t="str">
        <f t="shared" si="1"/>
        <v>February</v>
      </c>
      <c r="B1678" s="11">
        <f>IFERROR(__xludf.DUMMYFUNCTION("""COMPUTED_VALUE"""),46060.0)</f>
        <v>46060</v>
      </c>
      <c r="C1678" s="2" t="str">
        <f>IFERROR(__xludf.DUMMYFUNCTION("""COMPUTED_VALUE"""),"MOBILECARE - DAVAO")</f>
        <v>MOBILECARE - DAVAO</v>
      </c>
      <c r="D1678" s="2" t="str">
        <f>IFERROR(__xludf.DUMMYFUNCTION("""COMPUTED_VALUE"""),"661-30393")</f>
        <v>661-30393</v>
      </c>
      <c r="E1678" s="2" t="str">
        <f>IFERROR(__xludf.DUMMYFUNCTION("""COMPUTED_VALUE"""),"Camera, iPhone 14 Plus")</f>
        <v>Camera, iPhone 14 Plus</v>
      </c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10" t="str">
        <f t="shared" si="1"/>
        <v>June</v>
      </c>
      <c r="B1679" s="11">
        <f>IFERROR(__xludf.DUMMYFUNCTION("""COMPUTED_VALUE"""),46192.0)</f>
        <v>46192</v>
      </c>
      <c r="C1679" s="2" t="str">
        <f>IFERROR(__xludf.DUMMYFUNCTION("""COMPUTED_VALUE"""),"MOBILECARE - DAVAO")</f>
        <v>MOBILECARE - DAVAO</v>
      </c>
      <c r="D1679" s="2" t="str">
        <f>IFERROR(__xludf.DUMMYFUNCTION("""COMPUTED_VALUE"""),"Z661-55957")</f>
        <v>Z661-55957</v>
      </c>
      <c r="E1679" s="2" t="str">
        <f>IFERROR(__xludf.DUMMYFUNCTION("""COMPUTED_VALUE"""),"Logic Board, 512GB, iPhone 17 Pro Max, ROW")</f>
        <v>Logic Board, 512GB, iPhone 17 Pro Max, ROW</v>
      </c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10" t="str">
        <f t="shared" si="1"/>
        <v>June</v>
      </c>
      <c r="B1680" s="11">
        <f>IFERROR(__xludf.DUMMYFUNCTION("""COMPUTED_VALUE"""),46185.0)</f>
        <v>46185</v>
      </c>
      <c r="C1680" s="2" t="str">
        <f>IFERROR(__xludf.DUMMYFUNCTION("""COMPUTED_VALUE"""),"MOBILECARE - DAVAO")</f>
        <v>MOBILECARE - DAVAO</v>
      </c>
      <c r="D1680" s="2" t="str">
        <f>IFERROR(__xludf.DUMMYFUNCTION("""COMPUTED_VALUE"""),"TA661-44996")</f>
        <v>TA661-44996</v>
      </c>
      <c r="E1680" s="2" t="str">
        <f>IFERROR(__xludf.DUMMYFUNCTION("""COMPUTED_VALUE"""),"128GB, White Titanium, ROW, iPhone 16 Pro, Logic Board Assy Mid System")</f>
        <v>128GB, White Titanium, ROW, iPhone 16 Pro, Logic Board Assy Mid System</v>
      </c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10" t="str">
        <f t="shared" si="1"/>
        <v>April</v>
      </c>
      <c r="B1681" s="11">
        <f>IFERROR(__xludf.DUMMYFUNCTION("""COMPUTED_VALUE"""),46123.0)</f>
        <v>46123</v>
      </c>
      <c r="C1681" s="2" t="str">
        <f>IFERROR(__xludf.DUMMYFUNCTION("""COMPUTED_VALUE"""),"MOBILECARE - DAVAO")</f>
        <v>MOBILECARE - DAVAO</v>
      </c>
      <c r="D1681" s="2" t="str">
        <f>IFERROR(__xludf.DUMMYFUNCTION("""COMPUTED_VALUE"""),"TA661-36694")</f>
        <v>TA661-36694</v>
      </c>
      <c r="E1681" s="2" t="str">
        <f>IFERROR(__xludf.DUMMYFUNCTION("""COMPUTED_VALUE"""),"iPhone 15, Blue, 128GB, Logic Board Assy Mid System, ROW")</f>
        <v>iPhone 15, Blue, 128GB, Logic Board Assy Mid System, ROW</v>
      </c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10" t="str">
        <f t="shared" si="1"/>
        <v>March</v>
      </c>
      <c r="B1682" s="11">
        <f>IFERROR(__xludf.DUMMYFUNCTION("""COMPUTED_VALUE"""),46108.0)</f>
        <v>46108</v>
      </c>
      <c r="C1682" s="2" t="str">
        <f>IFERROR(__xludf.DUMMYFUNCTION("""COMPUTED_VALUE"""),"MOBILECARE - DAVAO")</f>
        <v>MOBILECARE - DAVAO</v>
      </c>
      <c r="D1682" s="2" t="str">
        <f>IFERROR(__xludf.DUMMYFUNCTION("""COMPUTED_VALUE"""),"661-55241")</f>
        <v>661-55241</v>
      </c>
      <c r="E1682" s="2" t="str">
        <f>IFERROR(__xludf.DUMMYFUNCTION("""COMPUTED_VALUE"""),"Front Camera, iPhone Air")</f>
        <v>Front Camera, iPhone Air</v>
      </c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10" t="str">
        <f t="shared" si="1"/>
        <v>April</v>
      </c>
      <c r="B1683" s="11">
        <f>IFERROR(__xludf.DUMMYFUNCTION("""COMPUTED_VALUE"""),46117.0)</f>
        <v>46117</v>
      </c>
      <c r="C1683" s="2" t="str">
        <f>IFERROR(__xludf.DUMMYFUNCTION("""COMPUTED_VALUE"""),"MOBILECARE - DAVAO")</f>
        <v>MOBILECARE - DAVAO</v>
      </c>
      <c r="D1683" s="2" t="str">
        <f>IFERROR(__xludf.DUMMYFUNCTION("""COMPUTED_VALUE"""),"TA661-43609")</f>
        <v>TA661-43609</v>
      </c>
      <c r="E1683" s="2" t="str">
        <f>IFERROR(__xludf.DUMMYFUNCTION("""COMPUTED_VALUE"""),"128GB, Teal, ROW, iPhone 16, Logic Board Assy Mid System")</f>
        <v>128GB, Teal, ROW, iPhone 16, Logic Board Assy Mid System</v>
      </c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10" t="str">
        <f t="shared" si="1"/>
        <v>February</v>
      </c>
      <c r="B1684" s="11">
        <f>IFERROR(__xludf.DUMMYFUNCTION("""COMPUTED_VALUE"""),46063.0)</f>
        <v>46063</v>
      </c>
      <c r="C1684" s="2" t="str">
        <f>IFERROR(__xludf.DUMMYFUNCTION("""COMPUTED_VALUE"""),"MOBILECARE - DAVAO")</f>
        <v>MOBILECARE - DAVAO</v>
      </c>
      <c r="D1684" s="2" t="str">
        <f>IFERROR(__xludf.DUMMYFUNCTION("""COMPUTED_VALUE"""),"661-22294")</f>
        <v>661-22294</v>
      </c>
      <c r="E1684" s="2" t="str">
        <f>IFERROR(__xludf.DUMMYFUNCTION("""COMPUTED_VALUE"""),"Battery, iPhone 13 Pro Max")</f>
        <v>Battery, iPhone 13 Pro Max</v>
      </c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10" t="str">
        <f t="shared" si="1"/>
        <v>March</v>
      </c>
      <c r="B1685" s="11">
        <f>IFERROR(__xludf.DUMMYFUNCTION("""COMPUTED_VALUE"""),46094.0)</f>
        <v>46094</v>
      </c>
      <c r="C1685" s="2" t="str">
        <f>IFERROR(__xludf.DUMMYFUNCTION("""COMPUTED_VALUE"""),"MOBILECARE - DAVAO")</f>
        <v>MOBILECARE - DAVAO</v>
      </c>
      <c r="D1685" s="2" t="str">
        <f>IFERROR(__xludf.DUMMYFUNCTION("""COMPUTED_VALUE"""),"PP661-23460")</f>
        <v>PP661-23460</v>
      </c>
      <c r="E1685" s="2" t="str">
        <f>IFERROR(__xludf.DUMMYFUNCTION("""COMPUTED_VALUE"""),"iPhone 13, Starlight, 256GB, Logic Board Assy Rear System, ROW")</f>
        <v>iPhone 13, Starlight, 256GB, Logic Board Assy Rear System, ROW</v>
      </c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10" t="str">
        <f t="shared" si="1"/>
        <v>March</v>
      </c>
      <c r="B1686" s="11">
        <f>IFERROR(__xludf.DUMMYFUNCTION("""COMPUTED_VALUE"""),46094.0)</f>
        <v>46094</v>
      </c>
      <c r="C1686" s="2" t="str">
        <f>IFERROR(__xludf.DUMMYFUNCTION("""COMPUTED_VALUE"""),"MOBILECARE - DAVAO")</f>
        <v>MOBILECARE - DAVAO</v>
      </c>
      <c r="D1686" s="2" t="str">
        <f>IFERROR(__xludf.DUMMYFUNCTION("""COMPUTED_VALUE"""),"PP661-23455")</f>
        <v>PP661-23455</v>
      </c>
      <c r="E1686" s="2" t="str">
        <f>IFERROR(__xludf.DUMMYFUNCTION("""COMPUTED_VALUE"""),"iPhone 13, Starlight, 128GB, Logic Board Assy Rear System, ROW")</f>
        <v>iPhone 13, Starlight, 128GB, Logic Board Assy Rear System, ROW</v>
      </c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10" t="str">
        <f t="shared" si="1"/>
        <v>April</v>
      </c>
      <c r="B1687" s="11">
        <f>IFERROR(__xludf.DUMMYFUNCTION("""COMPUTED_VALUE"""),46127.0)</f>
        <v>46127</v>
      </c>
      <c r="C1687" s="2" t="str">
        <f>IFERROR(__xludf.DUMMYFUNCTION("""COMPUTED_VALUE"""),"MOBILECARE - DAVAO")</f>
        <v>MOBILECARE - DAVAO</v>
      </c>
      <c r="D1687" s="2" t="str">
        <f>IFERROR(__xludf.DUMMYFUNCTION("""COMPUTED_VALUE"""),"PP661-22981")</f>
        <v>PP661-22981</v>
      </c>
      <c r="E1687" s="2" t="str">
        <f>IFERROR(__xludf.DUMMYFUNCTION("""COMPUTED_VALUE"""),"Starlight, 128 GB, iPhone 13, ROW, CI/AR, Philippines")</f>
        <v>Starlight, 128 GB, iPhone 13, ROW, CI/AR, Philippines</v>
      </c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10" t="str">
        <f t="shared" si="1"/>
        <v>May</v>
      </c>
      <c r="B1688" s="11">
        <f>IFERROR(__xludf.DUMMYFUNCTION("""COMPUTED_VALUE"""),46151.0)</f>
        <v>46151</v>
      </c>
      <c r="C1688" s="2" t="str">
        <f>IFERROR(__xludf.DUMMYFUNCTION("""COMPUTED_VALUE"""),"MOBILECARE - DAVAO")</f>
        <v>MOBILECARE - DAVAO</v>
      </c>
      <c r="D1688" s="2" t="str">
        <f>IFERROR(__xludf.DUMMYFUNCTION("""COMPUTED_VALUE"""),"661-56125")</f>
        <v>661-56125</v>
      </c>
      <c r="E1688" s="2" t="str">
        <f>IFERROR(__xludf.DUMMYFUNCTION("""COMPUTED_VALUE"""),"Display, iPhone 17 Pro")</f>
        <v>Display, iPhone 17 Pro</v>
      </c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10" t="str">
        <f t="shared" si="1"/>
        <v>May</v>
      </c>
      <c r="B1689" s="11">
        <f>IFERROR(__xludf.DUMMYFUNCTION("""COMPUTED_VALUE"""),46162.0)</f>
        <v>46162</v>
      </c>
      <c r="C1689" s="2" t="str">
        <f>IFERROR(__xludf.DUMMYFUNCTION("""COMPUTED_VALUE"""),"MOBILECARE - DAVAO")</f>
        <v>MOBILECARE - DAVAO</v>
      </c>
      <c r="D1689" s="2" t="str">
        <f>IFERROR(__xludf.DUMMYFUNCTION("""COMPUTED_VALUE"""),"TA661-45267")</f>
        <v>TA661-45267</v>
      </c>
      <c r="E1689" s="2" t="str">
        <f>IFERROR(__xludf.DUMMYFUNCTION("""COMPUTED_VALUE"""),"512GB, Desert Titanium, ROW, iPhone 16 Pro Max, CI/AR")</f>
        <v>512GB, Desert Titanium, ROW, iPhone 16 Pro Max, CI/AR</v>
      </c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10" t="str">
        <f t="shared" si="1"/>
        <v>April</v>
      </c>
      <c r="B1690" s="11">
        <f>IFERROR(__xludf.DUMMYFUNCTION("""COMPUTED_VALUE"""),46135.0)</f>
        <v>46135</v>
      </c>
      <c r="C1690" s="2" t="str">
        <f>IFERROR(__xludf.DUMMYFUNCTION("""COMPUTED_VALUE"""),"MOBILECARE - DAVAO")</f>
        <v>MOBILECARE - DAVAO</v>
      </c>
      <c r="D1690" s="2" t="str">
        <f>IFERROR(__xludf.DUMMYFUNCTION("""COMPUTED_VALUE"""),"661-42726")</f>
        <v>661-42726</v>
      </c>
      <c r="E1690" s="2" t="str">
        <f>IFERROR(__xludf.DUMMYFUNCTION("""COMPUTED_VALUE"""),"Display, iPhone 16 Pro")</f>
        <v>Display, iPhone 16 Pro</v>
      </c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10" t="str">
        <f t="shared" si="1"/>
        <v>April</v>
      </c>
      <c r="B1691" s="11">
        <f>IFERROR(__xludf.DUMMYFUNCTION("""COMPUTED_VALUE"""),46118.0)</f>
        <v>46118</v>
      </c>
      <c r="C1691" s="2" t="str">
        <f>IFERROR(__xludf.DUMMYFUNCTION("""COMPUTED_VALUE"""),"MOBILECARE - DAVAO")</f>
        <v>MOBILECARE - DAVAO</v>
      </c>
      <c r="D1691" s="2" t="str">
        <f>IFERROR(__xludf.DUMMYFUNCTION("""COMPUTED_VALUE"""),"661-44955")</f>
        <v>661-44955</v>
      </c>
      <c r="E1691" s="2" t="str">
        <f>IFERROR(__xludf.DUMMYFUNCTION("""COMPUTED_VALUE"""),"Display, iPhone 16 Pro Max")</f>
        <v>Display, iPhone 16 Pro Max</v>
      </c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10" t="str">
        <f t="shared" si="1"/>
        <v>April</v>
      </c>
      <c r="B1692" s="11">
        <f>IFERROR(__xludf.DUMMYFUNCTION("""COMPUTED_VALUE"""),46120.0)</f>
        <v>46120</v>
      </c>
      <c r="C1692" s="2" t="str">
        <f>IFERROR(__xludf.DUMMYFUNCTION("""COMPUTED_VALUE"""),"MOBILECARE - DAVAO")</f>
        <v>MOBILECARE - DAVAO</v>
      </c>
      <c r="D1692" s="2" t="str">
        <f>IFERROR(__xludf.DUMMYFUNCTION("""COMPUTED_VALUE"""),"PP661-23455")</f>
        <v>PP661-23455</v>
      </c>
      <c r="E1692" s="2" t="str">
        <f>IFERROR(__xludf.DUMMYFUNCTION("""COMPUTED_VALUE"""),"iPhone 13, Starlight, 128GB, Logic Board Assy Rear System, ROW")</f>
        <v>iPhone 13, Starlight, 128GB, Logic Board Assy Rear System, ROW</v>
      </c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10" t="str">
        <f t="shared" si="1"/>
        <v>March</v>
      </c>
      <c r="B1693" s="11">
        <f>IFERROR(__xludf.DUMMYFUNCTION("""COMPUTED_VALUE"""),46087.0)</f>
        <v>46087</v>
      </c>
      <c r="C1693" s="2" t="str">
        <f>IFERROR(__xludf.DUMMYFUNCTION("""COMPUTED_VALUE"""),"MOBILECARE - DAVAO")</f>
        <v>MOBILECARE - DAVAO</v>
      </c>
      <c r="D1693" s="2" t="str">
        <f>IFERROR(__xludf.DUMMYFUNCTION("""COMPUTED_VALUE"""),"661-30393")</f>
        <v>661-30393</v>
      </c>
      <c r="E1693" s="2" t="str">
        <f>IFERROR(__xludf.DUMMYFUNCTION("""COMPUTED_VALUE"""),"Camera, iPhone 14 Plus")</f>
        <v>Camera, iPhone 14 Plus</v>
      </c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10" t="str">
        <f t="shared" si="1"/>
        <v>March</v>
      </c>
      <c r="B1694" s="11">
        <f>IFERROR(__xludf.DUMMYFUNCTION("""COMPUTED_VALUE"""),46091.0)</f>
        <v>46091</v>
      </c>
      <c r="C1694" s="2" t="str">
        <f>IFERROR(__xludf.DUMMYFUNCTION("""COMPUTED_VALUE"""),"MOBILECARE - DAVAO")</f>
        <v>MOBILECARE - DAVAO</v>
      </c>
      <c r="D1694" s="2" t="str">
        <f>IFERROR(__xludf.DUMMYFUNCTION("""COMPUTED_VALUE"""),"661-36706")</f>
        <v>661-36706</v>
      </c>
      <c r="E1694" s="2" t="str">
        <f>IFERROR(__xludf.DUMMYFUNCTION("""COMPUTED_VALUE"""),"Display, iPhone 15")</f>
        <v>Display, iPhone 15</v>
      </c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10" t="str">
        <f t="shared" si="1"/>
        <v>February</v>
      </c>
      <c r="B1695" s="11">
        <f>IFERROR(__xludf.DUMMYFUNCTION("""COMPUTED_VALUE"""),46081.0)</f>
        <v>46081</v>
      </c>
      <c r="C1695" s="2" t="str">
        <f>IFERROR(__xludf.DUMMYFUNCTION("""COMPUTED_VALUE"""),"MOBILECARE - DAVAO")</f>
        <v>MOBILECARE - DAVAO</v>
      </c>
      <c r="D1695" s="2" t="str">
        <f>IFERROR(__xludf.DUMMYFUNCTION("""COMPUTED_VALUE"""),"661-30393")</f>
        <v>661-30393</v>
      </c>
      <c r="E1695" s="2" t="str">
        <f>IFERROR(__xludf.DUMMYFUNCTION("""COMPUTED_VALUE"""),"Camera, iPhone 14 Plus")</f>
        <v>Camera, iPhone 14 Plus</v>
      </c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10" t="str">
        <f t="shared" si="1"/>
        <v>February</v>
      </c>
      <c r="B1696" s="11">
        <f>IFERROR(__xludf.DUMMYFUNCTION("""COMPUTED_VALUE"""),46081.0)</f>
        <v>46081</v>
      </c>
      <c r="C1696" s="2" t="str">
        <f>IFERROR(__xludf.DUMMYFUNCTION("""COMPUTED_VALUE"""),"MOBILECARE - DAVAO")</f>
        <v>MOBILECARE - DAVAO</v>
      </c>
      <c r="D1696" s="2" t="str">
        <f>IFERROR(__xludf.DUMMYFUNCTION("""COMPUTED_VALUE"""),"661-30390")</f>
        <v>661-30390</v>
      </c>
      <c r="E1696" s="2" t="str">
        <f>IFERROR(__xludf.DUMMYFUNCTION("""COMPUTED_VALUE"""),"Display, iPhone 14 Plus")</f>
        <v>Display, iPhone 14 Plus</v>
      </c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10" t="str">
        <f t="shared" si="1"/>
        <v>February</v>
      </c>
      <c r="B1697" s="11">
        <f>IFERROR(__xludf.DUMMYFUNCTION("""COMPUTED_VALUE"""),46081.0)</f>
        <v>46081</v>
      </c>
      <c r="C1697" s="2" t="str">
        <f>IFERROR(__xludf.DUMMYFUNCTION("""COMPUTED_VALUE"""),"MOBILECARE - DAVAO")</f>
        <v>MOBILECARE - DAVAO</v>
      </c>
      <c r="D1697" s="2" t="str">
        <f>IFERROR(__xludf.DUMMYFUNCTION("""COMPUTED_VALUE"""),"661-30390")</f>
        <v>661-30390</v>
      </c>
      <c r="E1697" s="2" t="str">
        <f>IFERROR(__xludf.DUMMYFUNCTION("""COMPUTED_VALUE"""),"Display, iPhone 14 Plus")</f>
        <v>Display, iPhone 14 Plus</v>
      </c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10" t="str">
        <f t="shared" si="1"/>
        <v>February</v>
      </c>
      <c r="B1698" s="11">
        <f>IFERROR(__xludf.DUMMYFUNCTION("""COMPUTED_VALUE"""),46058.0)</f>
        <v>46058</v>
      </c>
      <c r="C1698" s="2" t="str">
        <f>IFERROR(__xludf.DUMMYFUNCTION("""COMPUTED_VALUE"""),"MOBILECARE - DAVAO")</f>
        <v>MOBILECARE - DAVAO</v>
      </c>
      <c r="D1698" s="2" t="str">
        <f>IFERROR(__xludf.DUMMYFUNCTION("""COMPUTED_VALUE"""),"661-21988")</f>
        <v>661-21988</v>
      </c>
      <c r="E1698" s="2" t="str">
        <f>IFERROR(__xludf.DUMMYFUNCTION("""COMPUTED_VALUE"""),"Display, iPhone 13")</f>
        <v>Display, iPhone 13</v>
      </c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10" t="str">
        <f t="shared" si="1"/>
        <v>February</v>
      </c>
      <c r="B1699" s="11">
        <f>IFERROR(__xludf.DUMMYFUNCTION("""COMPUTED_VALUE"""),46062.0)</f>
        <v>46062</v>
      </c>
      <c r="C1699" s="2" t="str">
        <f>IFERROR(__xludf.DUMMYFUNCTION("""COMPUTED_VALUE"""),"MOBILECARE - DAVAO")</f>
        <v>MOBILECARE - DAVAO</v>
      </c>
      <c r="D1699" s="2" t="str">
        <f>IFERROR(__xludf.DUMMYFUNCTION("""COMPUTED_VALUE"""),"661-56050")</f>
        <v>661-56050</v>
      </c>
      <c r="E1699" s="2" t="str">
        <f>IFERROR(__xludf.DUMMYFUNCTION("""COMPUTED_VALUE"""),"Display, iPhone 17 Pro Max")</f>
        <v>Display, iPhone 17 Pro Max</v>
      </c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10" t="str">
        <f t="shared" si="1"/>
        <v>February</v>
      </c>
      <c r="B1700" s="11">
        <f>IFERROR(__xludf.DUMMYFUNCTION("""COMPUTED_VALUE"""),46061.0)</f>
        <v>46061</v>
      </c>
      <c r="C1700" s="2" t="str">
        <f>IFERROR(__xludf.DUMMYFUNCTION("""COMPUTED_VALUE"""),"MOBILECARE - DAVAO")</f>
        <v>MOBILECARE - DAVAO</v>
      </c>
      <c r="D1700" s="2" t="str">
        <f>IFERROR(__xludf.DUMMYFUNCTION("""COMPUTED_VALUE"""),"TA661-45326")</f>
        <v>TA661-45326</v>
      </c>
      <c r="E1700" s="2" t="str">
        <f>IFERROR(__xludf.DUMMYFUNCTION("""COMPUTED_VALUE"""),"512GB, White Titanium, ROW, iPhone 16 Pro Max, Logic Board Assy Mid Syst")</f>
        <v>512GB, White Titanium, ROW, iPhone 16 Pro Max, Logic Board Assy Mid Syst</v>
      </c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10" t="str">
        <f t="shared" si="1"/>
        <v>January</v>
      </c>
      <c r="B1701" s="11">
        <f>IFERROR(__xludf.DUMMYFUNCTION("""COMPUTED_VALUE"""),46047.0)</f>
        <v>46047</v>
      </c>
      <c r="C1701" s="2" t="str">
        <f>IFERROR(__xludf.DUMMYFUNCTION("""COMPUTED_VALUE"""),"MOBILECARE - DAVAO")</f>
        <v>MOBILECARE - DAVAO</v>
      </c>
      <c r="D1701" s="2" t="str">
        <f>IFERROR(__xludf.DUMMYFUNCTION("""COMPUTED_VALUE"""),"661-36915")</f>
        <v>661-36915</v>
      </c>
      <c r="E1701" s="2" t="str">
        <f>IFERROR(__xludf.DUMMYFUNCTION("""COMPUTED_VALUE"""),"Display, iPhone 15 Pro Max")</f>
        <v>Display, iPhone 15 Pro Max</v>
      </c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10" t="str">
        <f t="shared" si="1"/>
        <v>May</v>
      </c>
      <c r="B1702" s="11">
        <f>IFERROR(__xludf.DUMMYFUNCTION("""COMPUTED_VALUE"""),46152.0)</f>
        <v>46152</v>
      </c>
      <c r="C1702" s="2" t="str">
        <f>IFERROR(__xludf.DUMMYFUNCTION("""COMPUTED_VALUE"""),"MOBILECARE - DAVAO")</f>
        <v>MOBILECARE - DAVAO</v>
      </c>
      <c r="D1702" s="2" t="str">
        <f>IFERROR(__xludf.DUMMYFUNCTION("""COMPUTED_VALUE"""),"661-21988")</f>
        <v>661-21988</v>
      </c>
      <c r="E1702" s="2" t="str">
        <f>IFERROR(__xludf.DUMMYFUNCTION("""COMPUTED_VALUE"""),"Display, iPhone 13")</f>
        <v>Display, iPhone 13</v>
      </c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10" t="str">
        <f t="shared" si="1"/>
        <v>March</v>
      </c>
      <c r="B1703" s="11">
        <f>IFERROR(__xludf.DUMMYFUNCTION("""COMPUTED_VALUE"""),46095.0)</f>
        <v>46095</v>
      </c>
      <c r="C1703" s="2" t="str">
        <f>IFERROR(__xludf.DUMMYFUNCTION("""COMPUTED_VALUE"""),"MOBILECARE - DAVAO")</f>
        <v>MOBILECARE - DAVAO</v>
      </c>
      <c r="D1703" s="2" t="str">
        <f>IFERROR(__xludf.DUMMYFUNCTION("""COMPUTED_VALUE"""),"661-30373")</f>
        <v>661-30373</v>
      </c>
      <c r="E1703" s="2" t="str">
        <f>IFERROR(__xludf.DUMMYFUNCTION("""COMPUTED_VALUE"""),"Battery, iPhone 14")</f>
        <v>Battery, iPhone 14</v>
      </c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10" t="str">
        <f t="shared" si="1"/>
        <v>February</v>
      </c>
      <c r="B1704" s="11">
        <f>IFERROR(__xludf.DUMMYFUNCTION("""COMPUTED_VALUE"""),46076.0)</f>
        <v>46076</v>
      </c>
      <c r="C1704" s="2" t="str">
        <f>IFERROR(__xludf.DUMMYFUNCTION("""COMPUTED_VALUE"""),"MOBILECARE - DAVAO")</f>
        <v>MOBILECARE - DAVAO</v>
      </c>
      <c r="D1704" s="2" t="str">
        <f>IFERROR(__xludf.DUMMYFUNCTION("""COMPUTED_VALUE"""),"PP661-23455")</f>
        <v>PP661-23455</v>
      </c>
      <c r="E1704" s="2" t="str">
        <f>IFERROR(__xludf.DUMMYFUNCTION("""COMPUTED_VALUE"""),"iPhone 13, Starlight, 128GB, Logic Board Assy Rear System, ROW")</f>
        <v>iPhone 13, Starlight, 128GB, Logic Board Assy Rear System, ROW</v>
      </c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10" t="str">
        <f t="shared" si="1"/>
        <v>June</v>
      </c>
      <c r="B1705" s="11">
        <f>IFERROR(__xludf.DUMMYFUNCTION("""COMPUTED_VALUE"""),46182.0)</f>
        <v>46182</v>
      </c>
      <c r="C1705" s="2" t="str">
        <f>IFERROR(__xludf.DUMMYFUNCTION("""COMPUTED_VALUE"""),"MOBILECARE - DAVAO")</f>
        <v>MOBILECARE - DAVAO</v>
      </c>
      <c r="D1705" s="2" t="str">
        <f>IFERROR(__xludf.DUMMYFUNCTION("""COMPUTED_VALUE"""),"661-21991")</f>
        <v>661-21991</v>
      </c>
      <c r="E1705" s="2" t="str">
        <f>IFERROR(__xludf.DUMMYFUNCTION("""COMPUTED_VALUE"""),"Battery, iPhone 13")</f>
        <v>Battery, iPhone 13</v>
      </c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10" t="str">
        <f t="shared" si="1"/>
        <v>April</v>
      </c>
      <c r="B1706" s="11">
        <f>IFERROR(__xludf.DUMMYFUNCTION("""COMPUTED_VALUE"""),46142.0)</f>
        <v>46142</v>
      </c>
      <c r="C1706" s="2" t="str">
        <f>IFERROR(__xludf.DUMMYFUNCTION("""COMPUTED_VALUE"""),"MOBILECARE - DAVAO")</f>
        <v>MOBILECARE - DAVAO</v>
      </c>
      <c r="D1706" s="2" t="str">
        <f>IFERROR(__xludf.DUMMYFUNCTION("""COMPUTED_VALUE"""),"661-56051")</f>
        <v>661-56051</v>
      </c>
      <c r="E1706" s="2" t="str">
        <f>IFERROR(__xludf.DUMMYFUNCTION("""COMPUTED_VALUE"""),"Front Camera, iPhone 17 Pro Max")</f>
        <v>Front Camera, iPhone 17 Pro Max</v>
      </c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10" t="str">
        <f t="shared" si="1"/>
        <v>April</v>
      </c>
      <c r="B1707" s="11">
        <f>IFERROR(__xludf.DUMMYFUNCTION("""COMPUTED_VALUE"""),46131.0)</f>
        <v>46131</v>
      </c>
      <c r="C1707" s="2" t="str">
        <f>IFERROR(__xludf.DUMMYFUNCTION("""COMPUTED_VALUE"""),"MOBILECARE - DAVAO")</f>
        <v>MOBILECARE - DAVAO</v>
      </c>
      <c r="D1707" s="2" t="str">
        <f>IFERROR(__xludf.DUMMYFUNCTION("""COMPUTED_VALUE"""),"661-30393")</f>
        <v>661-30393</v>
      </c>
      <c r="E1707" s="2" t="str">
        <f>IFERROR(__xludf.DUMMYFUNCTION("""COMPUTED_VALUE"""),"Camera, iPhone 14 Plus")</f>
        <v>Camera, iPhone 14 Plus</v>
      </c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10" t="str">
        <f t="shared" si="1"/>
        <v>March</v>
      </c>
      <c r="B1708" s="11">
        <f>IFERROR(__xludf.DUMMYFUNCTION("""COMPUTED_VALUE"""),46095.0)</f>
        <v>46095</v>
      </c>
      <c r="C1708" s="2" t="str">
        <f>IFERROR(__xludf.DUMMYFUNCTION("""COMPUTED_VALUE"""),"MOBILECARE - DAVAO")</f>
        <v>MOBILECARE - DAVAO</v>
      </c>
      <c r="D1708" s="2" t="str">
        <f>IFERROR(__xludf.DUMMYFUNCTION("""COMPUTED_VALUE"""),"TA661-55206")</f>
        <v>TA661-55206</v>
      </c>
      <c r="E1708" s="2" t="str">
        <f>IFERROR(__xludf.DUMMYFUNCTION("""COMPUTED_VALUE"""),"Silver, 256GB, iPhone 17 Pro Max, ROW, CI/AR, Taiwan")</f>
        <v>Silver, 256GB, iPhone 17 Pro Max, ROW, CI/AR, Taiwan</v>
      </c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10" t="str">
        <f t="shared" si="1"/>
        <v>February</v>
      </c>
      <c r="B1709" s="11">
        <f>IFERROR(__xludf.DUMMYFUNCTION("""COMPUTED_VALUE"""),46081.0)</f>
        <v>46081</v>
      </c>
      <c r="C1709" s="2" t="str">
        <f>IFERROR(__xludf.DUMMYFUNCTION("""COMPUTED_VALUE"""),"MOBILECARE - DAVAO")</f>
        <v>MOBILECARE - DAVAO</v>
      </c>
      <c r="D1709" s="2" t="str">
        <f>IFERROR(__xludf.DUMMYFUNCTION("""COMPUTED_VALUE"""),"PP661-28871")</f>
        <v>PP661-28871</v>
      </c>
      <c r="E1709" s="2" t="str">
        <f>IFERROR(__xludf.DUMMYFUNCTION("""COMPUTED_VALUE"""),"iPhone 14, Blue, 128GB, Logic Board Assy Mid System, ROW")</f>
        <v>iPhone 14, Blue, 128GB, Logic Board Assy Mid System, ROW</v>
      </c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10" t="str">
        <f t="shared" si="1"/>
        <v>February</v>
      </c>
      <c r="B1710" s="11">
        <f>IFERROR(__xludf.DUMMYFUNCTION("""COMPUTED_VALUE"""),46081.0)</f>
        <v>46081</v>
      </c>
      <c r="C1710" s="2" t="str">
        <f>IFERROR(__xludf.DUMMYFUNCTION("""COMPUTED_VALUE"""),"MOBILECARE - DAVAO")</f>
        <v>MOBILECARE - DAVAO</v>
      </c>
      <c r="D1710" s="2" t="str">
        <f>IFERROR(__xludf.DUMMYFUNCTION("""COMPUTED_VALUE"""),"661-21988")</f>
        <v>661-21988</v>
      </c>
      <c r="E1710" s="2" t="str">
        <f>IFERROR(__xludf.DUMMYFUNCTION("""COMPUTED_VALUE"""),"Display, iPhone 13")</f>
        <v>Display, iPhone 13</v>
      </c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10" t="str">
        <f t="shared" si="1"/>
        <v>February</v>
      </c>
      <c r="B1711" s="11">
        <f>IFERROR(__xludf.DUMMYFUNCTION("""COMPUTED_VALUE"""),46080.0)</f>
        <v>46080</v>
      </c>
      <c r="C1711" s="2" t="str">
        <f>IFERROR(__xludf.DUMMYFUNCTION("""COMPUTED_VALUE"""),"MOBILECARE - DAVAO")</f>
        <v>MOBILECARE - DAVAO</v>
      </c>
      <c r="D1711" s="2" t="str">
        <f>IFERROR(__xludf.DUMMYFUNCTION("""COMPUTED_VALUE"""),"661-21991")</f>
        <v>661-21991</v>
      </c>
      <c r="E1711" s="2" t="str">
        <f>IFERROR(__xludf.DUMMYFUNCTION("""COMPUTED_VALUE"""),"Battery, iPhone 13")</f>
        <v>Battery, iPhone 13</v>
      </c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10" t="str">
        <f t="shared" si="1"/>
        <v>June</v>
      </c>
      <c r="B1712" s="11">
        <f>IFERROR(__xludf.DUMMYFUNCTION("""COMPUTED_VALUE"""),46175.0)</f>
        <v>46175</v>
      </c>
      <c r="C1712" s="2" t="str">
        <f>IFERROR(__xludf.DUMMYFUNCTION("""COMPUTED_VALUE"""),"MOBILECARE - DAVAO")</f>
        <v>MOBILECARE - DAVAO</v>
      </c>
      <c r="D1712" s="2" t="str">
        <f>IFERROR(__xludf.DUMMYFUNCTION("""COMPUTED_VALUE"""),"ZP923-13774")</f>
        <v>ZP923-13774</v>
      </c>
      <c r="E1712" s="2" t="str">
        <f>IFERROR(__xludf.DUMMYFUNCTION("""COMPUTED_VALUE"""),"Lavender, Enclosure, iPhone 17, ROW")</f>
        <v>Lavender, Enclosure, iPhone 17, ROW</v>
      </c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10" t="str">
        <f t="shared" si="1"/>
        <v>June</v>
      </c>
      <c r="B1713" s="11">
        <f>IFERROR(__xludf.DUMMYFUNCTION("""COMPUTED_VALUE"""),46175.0)</f>
        <v>46175</v>
      </c>
      <c r="C1713" s="2" t="str">
        <f>IFERROR(__xludf.DUMMYFUNCTION("""COMPUTED_VALUE"""),"MOBILECARE - DAVAO")</f>
        <v>MOBILECARE - DAVAO</v>
      </c>
      <c r="D1713" s="2" t="str">
        <f>IFERROR(__xludf.DUMMYFUNCTION("""COMPUTED_VALUE"""),"661-56064")</f>
        <v>661-56064</v>
      </c>
      <c r="E1713" s="2" t="str">
        <f>IFERROR(__xludf.DUMMYFUNCTION("""COMPUTED_VALUE"""),"Battery, iPhone 17")</f>
        <v>Battery, iPhone 17</v>
      </c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10" t="str">
        <f t="shared" si="1"/>
        <v>May</v>
      </c>
      <c r="B1714" s="11">
        <f>IFERROR(__xludf.DUMMYFUNCTION("""COMPUTED_VALUE"""),46146.0)</f>
        <v>46146</v>
      </c>
      <c r="C1714" s="2" t="str">
        <f>IFERROR(__xludf.DUMMYFUNCTION("""COMPUTED_VALUE"""),"MOBILECARE - DAVAO")</f>
        <v>MOBILECARE - DAVAO</v>
      </c>
      <c r="D1714" s="2" t="str">
        <f>IFERROR(__xludf.DUMMYFUNCTION("""COMPUTED_VALUE"""),"661-44797")</f>
        <v>661-44797</v>
      </c>
      <c r="E1714" s="2" t="str">
        <f>IFERROR(__xludf.DUMMYFUNCTION("""COMPUTED_VALUE"""),"Display, iPhone 16")</f>
        <v>Display, iPhone 16</v>
      </c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10" t="str">
        <f t="shared" si="1"/>
        <v>April</v>
      </c>
      <c r="B1715" s="11">
        <f>IFERROR(__xludf.DUMMYFUNCTION("""COMPUTED_VALUE"""),46139.0)</f>
        <v>46139</v>
      </c>
      <c r="C1715" s="2" t="str">
        <f>IFERROR(__xludf.DUMMYFUNCTION("""COMPUTED_VALUE"""),"MOBILECARE - DAVAO")</f>
        <v>MOBILECARE - DAVAO</v>
      </c>
      <c r="D1715" s="2" t="str">
        <f>IFERROR(__xludf.DUMMYFUNCTION("""COMPUTED_VALUE"""),"Z661-56015")</f>
        <v>Z661-56015</v>
      </c>
      <c r="E1715" s="2" t="str">
        <f>IFERROR(__xludf.DUMMYFUNCTION("""COMPUTED_VALUE"""),"Logic Board, 256GB, iPhone 17, ROW")</f>
        <v>Logic Board, 256GB, iPhone 17, ROW</v>
      </c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10" t="str">
        <f t="shared" si="1"/>
        <v>June</v>
      </c>
      <c r="B1716" s="11">
        <f>IFERROR(__xludf.DUMMYFUNCTION("""COMPUTED_VALUE"""),46183.0)</f>
        <v>46183</v>
      </c>
      <c r="C1716" s="2" t="str">
        <f>IFERROR(__xludf.DUMMYFUNCTION("""COMPUTED_VALUE"""),"MOBILECARE - DAVAO")</f>
        <v>MOBILECARE - DAVAO</v>
      </c>
      <c r="D1716" s="2" t="str">
        <f>IFERROR(__xludf.DUMMYFUNCTION("""COMPUTED_VALUE"""),"TA661-55279")</f>
        <v>TA661-55279</v>
      </c>
      <c r="E1716" s="2" t="str">
        <f>IFERROR(__xludf.DUMMYFUNCTION("""COMPUTED_VALUE"""),"Black, 256GB, iPhone 17, ROW, Taiwan, CI/AR")</f>
        <v>Black, 256GB, iPhone 17, ROW, Taiwan, CI/AR</v>
      </c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10" t="str">
        <f t="shared" si="1"/>
        <v>April</v>
      </c>
      <c r="B1717" s="11">
        <f>IFERROR(__xludf.DUMMYFUNCTION("""COMPUTED_VALUE"""),46113.0)</f>
        <v>46113</v>
      </c>
      <c r="C1717" s="2" t="str">
        <f>IFERROR(__xludf.DUMMYFUNCTION("""COMPUTED_VALUE"""),"MOBILECARE - DAVAO")</f>
        <v>MOBILECARE - DAVAO</v>
      </c>
      <c r="D1717" s="2" t="str">
        <f>IFERROR(__xludf.DUMMYFUNCTION("""COMPUTED_VALUE"""),"PP661-23455")</f>
        <v>PP661-23455</v>
      </c>
      <c r="E1717" s="2" t="str">
        <f>IFERROR(__xludf.DUMMYFUNCTION("""COMPUTED_VALUE"""),"iPhone 13, Starlight, 128GB, Logic Board Assy Rear System, ROW")</f>
        <v>iPhone 13, Starlight, 128GB, Logic Board Assy Rear System, ROW</v>
      </c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10" t="str">
        <f t="shared" si="1"/>
        <v>March</v>
      </c>
      <c r="B1718" s="11">
        <f>IFERROR(__xludf.DUMMYFUNCTION("""COMPUTED_VALUE"""),46096.0)</f>
        <v>46096</v>
      </c>
      <c r="C1718" s="2" t="str">
        <f>IFERROR(__xludf.DUMMYFUNCTION("""COMPUTED_VALUE"""),"MOBILECARE - DAVAO")</f>
        <v>MOBILECARE - DAVAO</v>
      </c>
      <c r="D1718" s="2" t="str">
        <f>IFERROR(__xludf.DUMMYFUNCTION("""COMPUTED_VALUE"""),"PP661-23455")</f>
        <v>PP661-23455</v>
      </c>
      <c r="E1718" s="2" t="str">
        <f>IFERROR(__xludf.DUMMYFUNCTION("""COMPUTED_VALUE"""),"iPhone 13, Starlight, 128GB, Logic Board Assy Rear System, ROW")</f>
        <v>iPhone 13, Starlight, 128GB, Logic Board Assy Rear System, ROW</v>
      </c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10" t="str">
        <f t="shared" si="1"/>
        <v>February</v>
      </c>
      <c r="B1719" s="11">
        <f>IFERROR(__xludf.DUMMYFUNCTION("""COMPUTED_VALUE"""),46080.0)</f>
        <v>46080</v>
      </c>
      <c r="C1719" s="2" t="str">
        <f>IFERROR(__xludf.DUMMYFUNCTION("""COMPUTED_VALUE"""),"MOBILECARE - DAVAO")</f>
        <v>MOBILECARE - DAVAO</v>
      </c>
      <c r="D1719" s="2" t="str">
        <f>IFERROR(__xludf.DUMMYFUNCTION("""COMPUTED_VALUE"""),"TA661-45323")</f>
        <v>TA661-45323</v>
      </c>
      <c r="E1719" s="2" t="str">
        <f>IFERROR(__xludf.DUMMYFUNCTION("""COMPUTED_VALUE"""),"256GB, Desert Titanium, ROW, iPhone 16 Pro Max, Logic Board Assy Mid Sys")</f>
        <v>256GB, Desert Titanium, ROW, iPhone 16 Pro Max, Logic Board Assy Mid Sys</v>
      </c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10" t="str">
        <f t="shared" si="1"/>
        <v>February</v>
      </c>
      <c r="B1720" s="11">
        <f>IFERROR(__xludf.DUMMYFUNCTION("""COMPUTED_VALUE"""),46068.0)</f>
        <v>46068</v>
      </c>
      <c r="C1720" s="2" t="str">
        <f>IFERROR(__xludf.DUMMYFUNCTION("""COMPUTED_VALUE"""),"MOBILECARE - DAVAO")</f>
        <v>MOBILECARE - DAVAO</v>
      </c>
      <c r="D1720" s="2" t="str">
        <f>IFERROR(__xludf.DUMMYFUNCTION("""COMPUTED_VALUE"""),"TA661-45327")</f>
        <v>TA661-45327</v>
      </c>
      <c r="E1720" s="2" t="str">
        <f>IFERROR(__xludf.DUMMYFUNCTION("""COMPUTED_VALUE"""),"512GB, Desert Titanium, ROW, iPhone 16 Pro Max, Logic Board Assy Mid Sys")</f>
        <v>512GB, Desert Titanium, ROW, iPhone 16 Pro Max, Logic Board Assy Mid Sys</v>
      </c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10" t="str">
        <f t="shared" si="1"/>
        <v>April</v>
      </c>
      <c r="B1721" s="11">
        <f>IFERROR(__xludf.DUMMYFUNCTION("""COMPUTED_VALUE"""),46128.0)</f>
        <v>46128</v>
      </c>
      <c r="C1721" s="2" t="str">
        <f>IFERROR(__xludf.DUMMYFUNCTION("""COMPUTED_VALUE"""),"MOBILECARE - DAVAO")</f>
        <v>MOBILECARE - DAVAO</v>
      </c>
      <c r="D1721" s="2" t="str">
        <f>IFERROR(__xludf.DUMMYFUNCTION("""COMPUTED_VALUE"""),"661-22309")</f>
        <v>661-22309</v>
      </c>
      <c r="E1721" s="2" t="str">
        <f>IFERROR(__xludf.DUMMYFUNCTION("""COMPUTED_VALUE"""),"Display, iPhone 13 Pro Max")</f>
        <v>Display, iPhone 13 Pro Max</v>
      </c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10" t="str">
        <f t="shared" si="1"/>
        <v>April</v>
      </c>
      <c r="B1722" s="11">
        <f>IFERROR(__xludf.DUMMYFUNCTION("""COMPUTED_VALUE"""),46137.0)</f>
        <v>46137</v>
      </c>
      <c r="C1722" s="2" t="str">
        <f>IFERROR(__xludf.DUMMYFUNCTION("""COMPUTED_VALUE"""),"MOBILECARE - DAVAO")</f>
        <v>MOBILECARE - DAVAO</v>
      </c>
      <c r="D1722" s="2" t="str">
        <f>IFERROR(__xludf.DUMMYFUNCTION("""COMPUTED_VALUE"""),"PP661-22981")</f>
        <v>PP661-22981</v>
      </c>
      <c r="E1722" s="2" t="str">
        <f>IFERROR(__xludf.DUMMYFUNCTION("""COMPUTED_VALUE"""),"Starlight, 128 GB, iPhone 13, ROW, CI/AR, Philippines")</f>
        <v>Starlight, 128 GB, iPhone 13, ROW, CI/AR, Philippines</v>
      </c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10" t="str">
        <f t="shared" si="1"/>
        <v>January</v>
      </c>
      <c r="B1723" s="11">
        <f>IFERROR(__xludf.DUMMYFUNCTION("""COMPUTED_VALUE"""),46035.0)</f>
        <v>46035</v>
      </c>
      <c r="C1723" s="2" t="str">
        <f>IFERROR(__xludf.DUMMYFUNCTION("""COMPUTED_VALUE"""),"MOBILECARE - DAVAO")</f>
        <v>MOBILECARE - DAVAO</v>
      </c>
      <c r="D1723" s="2" t="str">
        <f>IFERROR(__xludf.DUMMYFUNCTION("""COMPUTED_VALUE"""),"661-21991")</f>
        <v>661-21991</v>
      </c>
      <c r="E1723" s="2" t="str">
        <f>IFERROR(__xludf.DUMMYFUNCTION("""COMPUTED_VALUE"""),"Battery, iPhone 13")</f>
        <v>Battery, iPhone 13</v>
      </c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10" t="str">
        <f t="shared" si="1"/>
        <v>May</v>
      </c>
      <c r="B1724" s="11">
        <f>IFERROR(__xludf.DUMMYFUNCTION("""COMPUTED_VALUE"""),46152.0)</f>
        <v>46152</v>
      </c>
      <c r="C1724" s="2" t="str">
        <f>IFERROR(__xludf.DUMMYFUNCTION("""COMPUTED_VALUE"""),"MOBILECARE - DAVAO")</f>
        <v>MOBILECARE - DAVAO</v>
      </c>
      <c r="D1724" s="2" t="str">
        <f>IFERROR(__xludf.DUMMYFUNCTION("""COMPUTED_VALUE"""),"661-56050")</f>
        <v>661-56050</v>
      </c>
      <c r="E1724" s="2" t="str">
        <f>IFERROR(__xludf.DUMMYFUNCTION("""COMPUTED_VALUE"""),"Display, iPhone 17 Pro Max")</f>
        <v>Display, iPhone 17 Pro Max</v>
      </c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10" t="str">
        <f t="shared" si="1"/>
        <v>April</v>
      </c>
      <c r="B1725" s="11">
        <f>IFERROR(__xludf.DUMMYFUNCTION("""COMPUTED_VALUE"""),46137.0)</f>
        <v>46137</v>
      </c>
      <c r="C1725" s="2" t="str">
        <f>IFERROR(__xludf.DUMMYFUNCTION("""COMPUTED_VALUE"""),"MOBILECARE - DAVAO")</f>
        <v>MOBILECARE - DAVAO</v>
      </c>
      <c r="D1725" s="2" t="str">
        <f>IFERROR(__xludf.DUMMYFUNCTION("""COMPUTED_VALUE"""),"661-35828")</f>
        <v>661-35828</v>
      </c>
      <c r="E1725" s="2" t="str">
        <f>IFERROR(__xludf.DUMMYFUNCTION("""COMPUTED_VALUE"""),"Camera, iPhone 15")</f>
        <v>Camera, iPhone 15</v>
      </c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10" t="str">
        <f t="shared" si="1"/>
        <v>April</v>
      </c>
      <c r="B1726" s="11">
        <f>IFERROR(__xludf.DUMMYFUNCTION("""COMPUTED_VALUE"""),46137.0)</f>
        <v>46137</v>
      </c>
      <c r="C1726" s="2" t="str">
        <f>IFERROR(__xludf.DUMMYFUNCTION("""COMPUTED_VALUE"""),"MOBILECARE - DAVAO")</f>
        <v>MOBILECARE - DAVAO</v>
      </c>
      <c r="D1726" s="2" t="str">
        <f>IFERROR(__xludf.DUMMYFUNCTION("""COMPUTED_VALUE"""),"661-35828")</f>
        <v>661-35828</v>
      </c>
      <c r="E1726" s="2" t="str">
        <f>IFERROR(__xludf.DUMMYFUNCTION("""COMPUTED_VALUE"""),"Camera, iPhone 15")</f>
        <v>Camera, iPhone 15</v>
      </c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10" t="str">
        <f t="shared" si="1"/>
        <v>June</v>
      </c>
      <c r="B1727" s="11">
        <f>IFERROR(__xludf.DUMMYFUNCTION("""COMPUTED_VALUE"""),46184.0)</f>
        <v>46184</v>
      </c>
      <c r="C1727" s="2" t="str">
        <f>IFERROR(__xludf.DUMMYFUNCTION("""COMPUTED_VALUE"""),"MOBILECARE - DAVAO")</f>
        <v>MOBILECARE - DAVAO</v>
      </c>
      <c r="D1727" s="2" t="str">
        <f>IFERROR(__xludf.DUMMYFUNCTION("""COMPUTED_VALUE"""),"TA661-36289")</f>
        <v>TA661-36289</v>
      </c>
      <c r="E1727" s="2" t="str">
        <f>IFERROR(__xludf.DUMMYFUNCTION("""COMPUTED_VALUE"""),"Blue, iPhone 15, 128GB, ROW, CI/AR, Taiwan")</f>
        <v>Blue, iPhone 15, 128GB, ROW, CI/AR, Taiwan</v>
      </c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10" t="str">
        <f t="shared" si="1"/>
        <v>April</v>
      </c>
      <c r="B1728" s="11">
        <f>IFERROR(__xludf.DUMMYFUNCTION("""COMPUTED_VALUE"""),46129.0)</f>
        <v>46129</v>
      </c>
      <c r="C1728" s="2" t="str">
        <f>IFERROR(__xludf.DUMMYFUNCTION("""COMPUTED_VALUE"""),"MOBILECARE - DAVAO")</f>
        <v>MOBILECARE - DAVAO</v>
      </c>
      <c r="D1728" s="2" t="str">
        <f>IFERROR(__xludf.DUMMYFUNCTION("""COMPUTED_VALUE"""),"PP661-23455")</f>
        <v>PP661-23455</v>
      </c>
      <c r="E1728" s="2" t="str">
        <f>IFERROR(__xludf.DUMMYFUNCTION("""COMPUTED_VALUE"""),"iPhone 13, Starlight, 128GB, Logic Board Assy Rear System, ROW")</f>
        <v>iPhone 13, Starlight, 128GB, Logic Board Assy Rear System, ROW</v>
      </c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10" t="str">
        <f t="shared" si="1"/>
        <v>April</v>
      </c>
      <c r="B1729" s="11">
        <f>IFERROR(__xludf.DUMMYFUNCTION("""COMPUTED_VALUE"""),46116.0)</f>
        <v>46116</v>
      </c>
      <c r="C1729" s="2" t="str">
        <f>IFERROR(__xludf.DUMMYFUNCTION("""COMPUTED_VALUE"""),"MOBILECARE - DAVAO")</f>
        <v>MOBILECARE - DAVAO</v>
      </c>
      <c r="D1729" s="2" t="str">
        <f>IFERROR(__xludf.DUMMYFUNCTION("""COMPUTED_VALUE"""),"TA661-36697")</f>
        <v>TA661-36697</v>
      </c>
      <c r="E1729" s="2" t="str">
        <f>IFERROR(__xludf.DUMMYFUNCTION("""COMPUTED_VALUE"""),"iPhone 15, Pink, 256GB, Logic Board Assy Mid System, ROW")</f>
        <v>iPhone 15, Pink, 256GB, Logic Board Assy Mid System, ROW</v>
      </c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10" t="str">
        <f t="shared" si="1"/>
        <v>March</v>
      </c>
      <c r="B1730" s="11">
        <f>IFERROR(__xludf.DUMMYFUNCTION("""COMPUTED_VALUE"""),46107.0)</f>
        <v>46107</v>
      </c>
      <c r="C1730" s="2" t="str">
        <f>IFERROR(__xludf.DUMMYFUNCTION("""COMPUTED_VALUE"""),"MOBILECARE - DAVAO")</f>
        <v>MOBILECARE - DAVAO</v>
      </c>
      <c r="D1730" s="2" t="str">
        <f>IFERROR(__xludf.DUMMYFUNCTION("""COMPUTED_VALUE"""),"TA661-45270")</f>
        <v>TA661-45270</v>
      </c>
      <c r="E1730" s="2" t="str">
        <f>IFERROR(__xludf.DUMMYFUNCTION("""COMPUTED_VALUE"""),"1TB, White Titanium, ROW, iPhone 16 Pro Max, CI/AR")</f>
        <v>1TB, White Titanium, ROW, iPhone 16 Pro Max, CI/AR</v>
      </c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10" t="str">
        <f t="shared" si="1"/>
        <v>February</v>
      </c>
      <c r="B1731" s="11">
        <f>IFERROR(__xludf.DUMMYFUNCTION("""COMPUTED_VALUE"""),46079.0)</f>
        <v>46079</v>
      </c>
      <c r="C1731" s="2" t="str">
        <f>IFERROR(__xludf.DUMMYFUNCTION("""COMPUTED_VALUE"""),"MOBILECARE - DAVAO")</f>
        <v>MOBILECARE - DAVAO</v>
      </c>
      <c r="D1731" s="2" t="str">
        <f>IFERROR(__xludf.DUMMYFUNCTION("""COMPUTED_VALUE"""),"661-21996")</f>
        <v>661-21996</v>
      </c>
      <c r="E1731" s="2" t="str">
        <f>IFERROR(__xludf.DUMMYFUNCTION("""COMPUTED_VALUE"""),"Battery, iPhone 13 Pro")</f>
        <v>Battery, iPhone 13 Pro</v>
      </c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10" t="str">
        <f t="shared" si="1"/>
        <v>March</v>
      </c>
      <c r="B1732" s="11">
        <f>IFERROR(__xludf.DUMMYFUNCTION("""COMPUTED_VALUE"""),46096.0)</f>
        <v>46096</v>
      </c>
      <c r="C1732" s="2" t="str">
        <f>IFERROR(__xludf.DUMMYFUNCTION("""COMPUTED_VALUE"""),"MOBILECARE - DAVAO")</f>
        <v>MOBILECARE - DAVAO</v>
      </c>
      <c r="D1732" s="2" t="str">
        <f>IFERROR(__xludf.DUMMYFUNCTION("""COMPUTED_VALUE"""),"TA661-55209")</f>
        <v>TA661-55209</v>
      </c>
      <c r="E1732" s="2" t="str">
        <f>IFERROR(__xludf.DUMMYFUNCTION("""COMPUTED_VALUE"""),"Silver, 512GB, iPhone 17 Pro Max, ROW, CI/AR, Taiwan")</f>
        <v>Silver, 512GB, iPhone 17 Pro Max, ROW, CI/AR, Taiwan</v>
      </c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10" t="str">
        <f t="shared" si="1"/>
        <v>March</v>
      </c>
      <c r="B1733" s="11">
        <f>IFERROR(__xludf.DUMMYFUNCTION("""COMPUTED_VALUE"""),46099.0)</f>
        <v>46099</v>
      </c>
      <c r="C1733" s="2" t="str">
        <f>IFERROR(__xludf.DUMMYFUNCTION("""COMPUTED_VALUE"""),"MOBILECARE - DAVAO")</f>
        <v>MOBILECARE - DAVAO</v>
      </c>
      <c r="D1733" s="2" t="str">
        <f>IFERROR(__xludf.DUMMYFUNCTION("""COMPUTED_VALUE"""),"PP661-23455")</f>
        <v>PP661-23455</v>
      </c>
      <c r="E1733" s="2" t="str">
        <f>IFERROR(__xludf.DUMMYFUNCTION("""COMPUTED_VALUE"""),"iPhone 13, Starlight, 128GB, Logic Board Assy Rear System, ROW")</f>
        <v>iPhone 13, Starlight, 128GB, Logic Board Assy Rear System, ROW</v>
      </c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10" t="str">
        <f t="shared" si="1"/>
        <v>February</v>
      </c>
      <c r="B1734" s="11">
        <f>IFERROR(__xludf.DUMMYFUNCTION("""COMPUTED_VALUE"""),46073.0)</f>
        <v>46073</v>
      </c>
      <c r="C1734" s="2" t="str">
        <f>IFERROR(__xludf.DUMMYFUNCTION("""COMPUTED_VALUE"""),"MOBILECARE - DAVAO")</f>
        <v>MOBILECARE - DAVAO</v>
      </c>
      <c r="D1734" s="2" t="str">
        <f>IFERROR(__xludf.DUMMYFUNCTION("""COMPUTED_VALUE"""),"661-18428")</f>
        <v>661-18428</v>
      </c>
      <c r="E1734" s="2" t="str">
        <f>IFERROR(__xludf.DUMMYFUNCTION("""COMPUTED_VALUE"""),"Battery, iPhone 12 Pro Max")</f>
        <v>Battery, iPhone 12 Pro Max</v>
      </c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10" t="str">
        <f t="shared" si="1"/>
        <v>February</v>
      </c>
      <c r="B1735" s="11">
        <f>IFERROR(__xludf.DUMMYFUNCTION("""COMPUTED_VALUE"""),46076.0)</f>
        <v>46076</v>
      </c>
      <c r="C1735" s="2" t="str">
        <f>IFERROR(__xludf.DUMMYFUNCTION("""COMPUTED_VALUE"""),"MOBILECARE - DAVAO")</f>
        <v>MOBILECARE - DAVAO</v>
      </c>
      <c r="D1735" s="2" t="str">
        <f>IFERROR(__xludf.DUMMYFUNCTION("""COMPUTED_VALUE"""),"PP661-23454")</f>
        <v>PP661-23454</v>
      </c>
      <c r="E1735" s="2" t="str">
        <f>IFERROR(__xludf.DUMMYFUNCTION("""COMPUTED_VALUE"""),"iPhone 13, Midnight, 128GB, Logic Board Assy Rear System, ROW")</f>
        <v>iPhone 13, Midnight, 128GB, Logic Board Assy Rear System, ROW</v>
      </c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10" t="str">
        <f t="shared" si="1"/>
        <v>February</v>
      </c>
      <c r="B1736" s="11">
        <f>IFERROR(__xludf.DUMMYFUNCTION("""COMPUTED_VALUE"""),46055.0)</f>
        <v>46055</v>
      </c>
      <c r="C1736" s="2" t="str">
        <f>IFERROR(__xludf.DUMMYFUNCTION("""COMPUTED_VALUE"""),"MOBILECARE - DAVAO")</f>
        <v>MOBILECARE - DAVAO</v>
      </c>
      <c r="D1736" s="2" t="str">
        <f>IFERROR(__xludf.DUMMYFUNCTION("""COMPUTED_VALUE"""),"661-22309")</f>
        <v>661-22309</v>
      </c>
      <c r="E1736" s="2" t="str">
        <f>IFERROR(__xludf.DUMMYFUNCTION("""COMPUTED_VALUE"""),"Display, iPhone 13 Pro Max")</f>
        <v>Display, iPhone 13 Pro Max</v>
      </c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10" t="str">
        <f t="shared" si="1"/>
        <v>June</v>
      </c>
      <c r="B1737" s="11">
        <f>IFERROR(__xludf.DUMMYFUNCTION("""COMPUTED_VALUE"""),46188.0)</f>
        <v>46188</v>
      </c>
      <c r="C1737" s="2" t="str">
        <f>IFERROR(__xludf.DUMMYFUNCTION("""COMPUTED_VALUE"""),"MOBILECARE - DAVAO")</f>
        <v>MOBILECARE - DAVAO</v>
      </c>
      <c r="D1737" s="2" t="str">
        <f>IFERROR(__xludf.DUMMYFUNCTION("""COMPUTED_VALUE"""),"PP661-23454")</f>
        <v>PP661-23454</v>
      </c>
      <c r="E1737" s="2" t="str">
        <f>IFERROR(__xludf.DUMMYFUNCTION("""COMPUTED_VALUE"""),"iPhone 13, Midnight, 128GB, Logic Board Assy Rear System, ROW")</f>
        <v>iPhone 13, Midnight, 128GB, Logic Board Assy Rear System, ROW</v>
      </c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10" t="str">
        <f t="shared" si="1"/>
        <v>June</v>
      </c>
      <c r="B1738" s="11">
        <f>IFERROR(__xludf.DUMMYFUNCTION("""COMPUTED_VALUE"""),46182.0)</f>
        <v>46182</v>
      </c>
      <c r="C1738" s="2" t="str">
        <f>IFERROR(__xludf.DUMMYFUNCTION("""COMPUTED_VALUE"""),"MOBILECARE - DAVAO")</f>
        <v>MOBILECARE - DAVAO</v>
      </c>
      <c r="D1738" s="2" t="str">
        <f>IFERROR(__xludf.DUMMYFUNCTION("""COMPUTED_VALUE"""),"TA661-55217")</f>
        <v>TA661-55217</v>
      </c>
      <c r="E1738" s="2" t="str">
        <f>IFERROR(__xludf.DUMMYFUNCTION("""COMPUTED_VALUE"""),"Deep Blue, 2TB, iPhone 17 Pro Max, ROW, CI/AR, Taiwan")</f>
        <v>Deep Blue, 2TB, iPhone 17 Pro Max, ROW, CI/AR, Taiwan</v>
      </c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10" t="str">
        <f t="shared" si="1"/>
        <v>May</v>
      </c>
      <c r="B1739" s="11">
        <f>IFERROR(__xludf.DUMMYFUNCTION("""COMPUTED_VALUE"""),46151.0)</f>
        <v>46151</v>
      </c>
      <c r="C1739" s="2" t="str">
        <f>IFERROR(__xludf.DUMMYFUNCTION("""COMPUTED_VALUE"""),"MOBILECARE - DAVAO")</f>
        <v>MOBILECARE - DAVAO</v>
      </c>
      <c r="D1739" s="2" t="str">
        <f>IFERROR(__xludf.DUMMYFUNCTION("""COMPUTED_VALUE"""),"TA661-36694")</f>
        <v>TA661-36694</v>
      </c>
      <c r="E1739" s="2" t="str">
        <f>IFERROR(__xludf.DUMMYFUNCTION("""COMPUTED_VALUE"""),"iPhone 15, Blue, 128GB, Logic Board Assy Mid System, ROW")</f>
        <v>iPhone 15, Blue, 128GB, Logic Board Assy Mid System, ROW</v>
      </c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10" t="str">
        <f t="shared" si="1"/>
        <v>May</v>
      </c>
      <c r="B1740" s="11">
        <f>IFERROR(__xludf.DUMMYFUNCTION("""COMPUTED_VALUE"""),46147.0)</f>
        <v>46147</v>
      </c>
      <c r="C1740" s="2" t="str">
        <f>IFERROR(__xludf.DUMMYFUNCTION("""COMPUTED_VALUE"""),"MOBILECARE - DAVAO")</f>
        <v>MOBILECARE - DAVAO</v>
      </c>
      <c r="D1740" s="2" t="str">
        <f>IFERROR(__xludf.DUMMYFUNCTION("""COMPUTED_VALUE"""),"PP661-28868")</f>
        <v>PP661-28868</v>
      </c>
      <c r="E1740" s="2" t="str">
        <f>IFERROR(__xludf.DUMMYFUNCTION("""COMPUTED_VALUE"""),"iPhone 14, Midnight, 128GB, Logic Board Assy Mid System, ROW")</f>
        <v>iPhone 14, Midnight, 128GB, Logic Board Assy Mid System, ROW</v>
      </c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10" t="str">
        <f t="shared" si="1"/>
        <v>March</v>
      </c>
      <c r="B1741" s="11">
        <f>IFERROR(__xludf.DUMMYFUNCTION("""COMPUTED_VALUE"""),46094.0)</f>
        <v>46094</v>
      </c>
      <c r="C1741" s="2" t="str">
        <f>IFERROR(__xludf.DUMMYFUNCTION("""COMPUTED_VALUE"""),"MOBILECARE - DAVAO")</f>
        <v>MOBILECARE - DAVAO</v>
      </c>
      <c r="D1741" s="2" t="str">
        <f>IFERROR(__xludf.DUMMYFUNCTION("""COMPUTED_VALUE"""),"Z661-56015")</f>
        <v>Z661-56015</v>
      </c>
      <c r="E1741" s="2" t="str">
        <f>IFERROR(__xludf.DUMMYFUNCTION("""COMPUTED_VALUE"""),"Logic Board, 256GB, iPhone 17, ROW")</f>
        <v>Logic Board, 256GB, iPhone 17, ROW</v>
      </c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10" t="str">
        <f t="shared" si="1"/>
        <v>May</v>
      </c>
      <c r="B1742" s="11">
        <f>IFERROR(__xludf.DUMMYFUNCTION("""COMPUTED_VALUE"""),46155.0)</f>
        <v>46155</v>
      </c>
      <c r="C1742" s="2" t="str">
        <f>IFERROR(__xludf.DUMMYFUNCTION("""COMPUTED_VALUE"""),"MOBILECARE - DAVAO")</f>
        <v>MOBILECARE - DAVAO</v>
      </c>
      <c r="D1742" s="2" t="str">
        <f>IFERROR(__xludf.DUMMYFUNCTION("""COMPUTED_VALUE"""),"661-36918")</f>
        <v>661-36918</v>
      </c>
      <c r="E1742" s="2" t="str">
        <f>IFERROR(__xludf.DUMMYFUNCTION("""COMPUTED_VALUE"""),"Battery, iPhone 15 Pro Max")</f>
        <v>Battery, iPhone 15 Pro Max</v>
      </c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10" t="str">
        <f t="shared" si="1"/>
        <v>April</v>
      </c>
      <c r="B1743" s="11">
        <f>IFERROR(__xludf.DUMMYFUNCTION("""COMPUTED_VALUE"""),46132.0)</f>
        <v>46132</v>
      </c>
      <c r="C1743" s="2" t="str">
        <f>IFERROR(__xludf.DUMMYFUNCTION("""COMPUTED_VALUE"""),"MOBILECARE - DAVAO")</f>
        <v>MOBILECARE - DAVAO</v>
      </c>
      <c r="D1743" s="2" t="str">
        <f>IFERROR(__xludf.DUMMYFUNCTION("""COMPUTED_VALUE"""),"661-56052")</f>
        <v>661-56052</v>
      </c>
      <c r="E1743" s="2" t="str">
        <f>IFERROR(__xludf.DUMMYFUNCTION("""COMPUTED_VALUE"""),"Camera, iPhone 17 Pro Max")</f>
        <v>Camera, iPhone 17 Pro Max</v>
      </c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10" t="str">
        <f t="shared" si="1"/>
        <v>April</v>
      </c>
      <c r="B1744" s="11">
        <f>IFERROR(__xludf.DUMMYFUNCTION("""COMPUTED_VALUE"""),46130.0)</f>
        <v>46130</v>
      </c>
      <c r="C1744" s="2" t="str">
        <f>IFERROR(__xludf.DUMMYFUNCTION("""COMPUTED_VALUE"""),"MOBILECARE - DAVAO")</f>
        <v>MOBILECARE - DAVAO</v>
      </c>
      <c r="D1744" s="2" t="str">
        <f>IFERROR(__xludf.DUMMYFUNCTION("""COMPUTED_VALUE"""),"661-35828")</f>
        <v>661-35828</v>
      </c>
      <c r="E1744" s="2" t="str">
        <f>IFERROR(__xludf.DUMMYFUNCTION("""COMPUTED_VALUE"""),"Camera, iPhone 15")</f>
        <v>Camera, iPhone 15</v>
      </c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10" t="str">
        <f t="shared" si="1"/>
        <v>May</v>
      </c>
      <c r="B1745" s="11">
        <f>IFERROR(__xludf.DUMMYFUNCTION("""COMPUTED_VALUE"""),46145.0)</f>
        <v>46145</v>
      </c>
      <c r="C1745" s="2" t="str">
        <f>IFERROR(__xludf.DUMMYFUNCTION("""COMPUTED_VALUE"""),"MOBILECARE - DAVAO")</f>
        <v>MOBILECARE - DAVAO</v>
      </c>
      <c r="D1745" s="2" t="str">
        <f>IFERROR(__xludf.DUMMYFUNCTION("""COMPUTED_VALUE"""),"PP661-23454")</f>
        <v>PP661-23454</v>
      </c>
      <c r="E1745" s="2" t="str">
        <f>IFERROR(__xludf.DUMMYFUNCTION("""COMPUTED_VALUE"""),"iPhone 13, Midnight, 128GB, Logic Board Assy Rear System, ROW")</f>
        <v>iPhone 13, Midnight, 128GB, Logic Board Assy Rear System, ROW</v>
      </c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10" t="str">
        <f t="shared" si="1"/>
        <v>April</v>
      </c>
      <c r="B1746" s="11">
        <f>IFERROR(__xludf.DUMMYFUNCTION("""COMPUTED_VALUE"""),46119.0)</f>
        <v>46119</v>
      </c>
      <c r="C1746" s="2" t="str">
        <f>IFERROR(__xludf.DUMMYFUNCTION("""COMPUTED_VALUE"""),"MOBILECARE - DAVAO")</f>
        <v>MOBILECARE - DAVAO</v>
      </c>
      <c r="D1746" s="2" t="str">
        <f>IFERROR(__xludf.DUMMYFUNCTION("""COMPUTED_VALUE"""),"661-56052")</f>
        <v>661-56052</v>
      </c>
      <c r="E1746" s="2" t="str">
        <f>IFERROR(__xludf.DUMMYFUNCTION("""COMPUTED_VALUE"""),"Camera, iPhone 17 Pro Max")</f>
        <v>Camera, iPhone 17 Pro Max</v>
      </c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10" t="str">
        <f t="shared" si="1"/>
        <v>March</v>
      </c>
      <c r="B1747" s="11">
        <f>IFERROR(__xludf.DUMMYFUNCTION("""COMPUTED_VALUE"""),46086.0)</f>
        <v>46086</v>
      </c>
      <c r="C1747" s="2" t="str">
        <f>IFERROR(__xludf.DUMMYFUNCTION("""COMPUTED_VALUE"""),"MOBILECARE - DAVAO")</f>
        <v>MOBILECARE - DAVAO</v>
      </c>
      <c r="D1747" s="2" t="str">
        <f>IFERROR(__xludf.DUMMYFUNCTION("""COMPUTED_VALUE"""),"661-21991")</f>
        <v>661-21991</v>
      </c>
      <c r="E1747" s="2" t="str">
        <f>IFERROR(__xludf.DUMMYFUNCTION("""COMPUTED_VALUE"""),"Battery, iPhone 13")</f>
        <v>Battery, iPhone 13</v>
      </c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10" t="str">
        <f t="shared" si="1"/>
        <v>March</v>
      </c>
      <c r="B1748" s="11">
        <f>IFERROR(__xludf.DUMMYFUNCTION("""COMPUTED_VALUE"""),46090.0)</f>
        <v>46090</v>
      </c>
      <c r="C1748" s="2" t="str">
        <f>IFERROR(__xludf.DUMMYFUNCTION("""COMPUTED_VALUE"""),"MOBILECARE - DAVAO")</f>
        <v>MOBILECARE - DAVAO</v>
      </c>
      <c r="D1748" s="2" t="str">
        <f>IFERROR(__xludf.DUMMYFUNCTION("""COMPUTED_VALUE"""),"661-30393")</f>
        <v>661-30393</v>
      </c>
      <c r="E1748" s="2" t="str">
        <f>IFERROR(__xludf.DUMMYFUNCTION("""COMPUTED_VALUE"""),"Camera, iPhone 14 Plus")</f>
        <v>Camera, iPhone 14 Plus</v>
      </c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10" t="str">
        <f t="shared" si="1"/>
        <v>March</v>
      </c>
      <c r="B1749" s="11">
        <f>IFERROR(__xludf.DUMMYFUNCTION("""COMPUTED_VALUE"""),46102.0)</f>
        <v>46102</v>
      </c>
      <c r="C1749" s="2" t="str">
        <f>IFERROR(__xludf.DUMMYFUNCTION("""COMPUTED_VALUE"""),"MOBILECARE - DAVAO")</f>
        <v>MOBILECARE - DAVAO</v>
      </c>
      <c r="D1749" s="2" t="str">
        <f>IFERROR(__xludf.DUMMYFUNCTION("""COMPUTED_VALUE"""),"TA661-43605")</f>
        <v>TA661-43605</v>
      </c>
      <c r="E1749" s="2" t="str">
        <f>IFERROR(__xludf.DUMMYFUNCTION("""COMPUTED_VALUE"""),"128GB, Black, ROW, iPhone 16, Logic Board Assy Mid System")</f>
        <v>128GB, Black, ROW, iPhone 16, Logic Board Assy Mid System</v>
      </c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10" t="str">
        <f t="shared" si="1"/>
        <v>February</v>
      </c>
      <c r="B1750" s="11">
        <f>IFERROR(__xludf.DUMMYFUNCTION("""COMPUTED_VALUE"""),46078.0)</f>
        <v>46078</v>
      </c>
      <c r="C1750" s="2" t="str">
        <f>IFERROR(__xludf.DUMMYFUNCTION("""COMPUTED_VALUE"""),"MOBILECARE - DAVAO")</f>
        <v>MOBILECARE - DAVAO</v>
      </c>
      <c r="D1750" s="2" t="str">
        <f>IFERROR(__xludf.DUMMYFUNCTION("""COMPUTED_VALUE"""),"661-42728")</f>
        <v>661-42728</v>
      </c>
      <c r="E1750" s="2" t="str">
        <f>IFERROR(__xludf.DUMMYFUNCTION("""COMPUTED_VALUE"""),"Camera, iPhone 16 Pro")</f>
        <v>Camera, iPhone 16 Pro</v>
      </c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10" t="str">
        <f t="shared" si="1"/>
        <v>June</v>
      </c>
      <c r="B1751" s="11">
        <f>IFERROR(__xludf.DUMMYFUNCTION("""COMPUTED_VALUE"""),46179.0)</f>
        <v>46179</v>
      </c>
      <c r="C1751" s="2" t="str">
        <f>IFERROR(__xludf.DUMMYFUNCTION("""COMPUTED_VALUE"""),"MOBILECARE - DAVAO")</f>
        <v>MOBILECARE - DAVAO</v>
      </c>
      <c r="D1751" s="2" t="str">
        <f>IFERROR(__xludf.DUMMYFUNCTION("""COMPUTED_VALUE"""),"661-21988")</f>
        <v>661-21988</v>
      </c>
      <c r="E1751" s="2" t="str">
        <f>IFERROR(__xludf.DUMMYFUNCTION("""COMPUTED_VALUE"""),"Display, iPhone 13")</f>
        <v>Display, iPhone 13</v>
      </c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10" t="str">
        <f t="shared" si="1"/>
        <v>June</v>
      </c>
      <c r="B1752" s="11">
        <f>IFERROR(__xludf.DUMMYFUNCTION("""COMPUTED_VALUE"""),46190.0)</f>
        <v>46190</v>
      </c>
      <c r="C1752" s="2" t="str">
        <f>IFERROR(__xludf.DUMMYFUNCTION("""COMPUTED_VALUE"""),"MOBILECARE - DAVAO")</f>
        <v>MOBILECARE - DAVAO</v>
      </c>
      <c r="D1752" s="2" t="str">
        <f>IFERROR(__xludf.DUMMYFUNCTION("""COMPUTED_VALUE"""),"TA661-42900")</f>
        <v>TA661-42900</v>
      </c>
      <c r="E1752" s="2" t="str">
        <f>IFERROR(__xludf.DUMMYFUNCTION("""COMPUTED_VALUE"""),"128GB, Natural Titanium, ROW, iPhone 16 Pro, CI/AR")</f>
        <v>128GB, Natural Titanium, ROW, iPhone 16 Pro, CI/AR</v>
      </c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10" t="str">
        <f t="shared" si="1"/>
        <v>May</v>
      </c>
      <c r="B1753" s="11">
        <f>IFERROR(__xludf.DUMMYFUNCTION("""COMPUTED_VALUE"""),46167.0)</f>
        <v>46167</v>
      </c>
      <c r="C1753" s="2" t="str">
        <f>IFERROR(__xludf.DUMMYFUNCTION("""COMPUTED_VALUE"""),"MOBILECARE - DAVAO")</f>
        <v>MOBILECARE - DAVAO</v>
      </c>
      <c r="D1753" s="2" t="str">
        <f>IFERROR(__xludf.DUMMYFUNCTION("""COMPUTED_VALUE"""),"661-21993")</f>
        <v>661-21993</v>
      </c>
      <c r="E1753" s="2" t="str">
        <f>IFERROR(__xludf.DUMMYFUNCTION("""COMPUTED_VALUE"""),"Display, iPhone 13 Pro")</f>
        <v>Display, iPhone 13 Pro</v>
      </c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10" t="str">
        <f t="shared" si="1"/>
        <v>April</v>
      </c>
      <c r="B1754" s="11">
        <f>IFERROR(__xludf.DUMMYFUNCTION("""COMPUTED_VALUE"""),46137.0)</f>
        <v>46137</v>
      </c>
      <c r="C1754" s="2" t="str">
        <f>IFERROR(__xludf.DUMMYFUNCTION("""COMPUTED_VALUE"""),"MOBILECARE - DAVAO")</f>
        <v>MOBILECARE - DAVAO</v>
      </c>
      <c r="D1754" s="2" t="str">
        <f>IFERROR(__xludf.DUMMYFUNCTION("""COMPUTED_VALUE"""),"661-56065")</f>
        <v>661-56065</v>
      </c>
      <c r="E1754" s="2" t="str">
        <f>IFERROR(__xludf.DUMMYFUNCTION("""COMPUTED_VALUE"""),"Display, iPhone 17")</f>
        <v>Display, iPhone 17</v>
      </c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10" t="str">
        <f t="shared" si="1"/>
        <v>April</v>
      </c>
      <c r="B1755" s="11">
        <f>IFERROR(__xludf.DUMMYFUNCTION("""COMPUTED_VALUE"""),46138.0)</f>
        <v>46138</v>
      </c>
      <c r="C1755" s="2" t="str">
        <f>IFERROR(__xludf.DUMMYFUNCTION("""COMPUTED_VALUE"""),"MOBILECARE - DAVAO")</f>
        <v>MOBILECARE - DAVAO</v>
      </c>
      <c r="D1755" s="2" t="str">
        <f>IFERROR(__xludf.DUMMYFUNCTION("""COMPUTED_VALUE"""),"Z661-55956")</f>
        <v>Z661-55956</v>
      </c>
      <c r="E1755" s="2" t="str">
        <f>IFERROR(__xludf.DUMMYFUNCTION("""COMPUTED_VALUE"""),"Logic Board, 256GB, iPhone 17 Pro Max, ROW")</f>
        <v>Logic Board, 256GB, iPhone 17 Pro Max, ROW</v>
      </c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10" t="str">
        <f t="shared" si="1"/>
        <v>April</v>
      </c>
      <c r="B1756" s="11">
        <f>IFERROR(__xludf.DUMMYFUNCTION("""COMPUTED_VALUE"""),46131.0)</f>
        <v>46131</v>
      </c>
      <c r="C1756" s="2" t="str">
        <f>IFERROR(__xludf.DUMMYFUNCTION("""COMPUTED_VALUE"""),"MOBILECARE - DAVAO")</f>
        <v>MOBILECARE - DAVAO</v>
      </c>
      <c r="D1756" s="2" t="str">
        <f>IFERROR(__xludf.DUMMYFUNCTION("""COMPUTED_VALUE"""),"661-36915")</f>
        <v>661-36915</v>
      </c>
      <c r="E1756" s="2" t="str">
        <f>IFERROR(__xludf.DUMMYFUNCTION("""COMPUTED_VALUE"""),"Display, iPhone 15 Pro Max")</f>
        <v>Display, iPhone 15 Pro Max</v>
      </c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10" t="str">
        <f t="shared" si="1"/>
        <v>March</v>
      </c>
      <c r="B1757" s="11">
        <f>IFERROR(__xludf.DUMMYFUNCTION("""COMPUTED_VALUE"""),46083.0)</f>
        <v>46083</v>
      </c>
      <c r="C1757" s="2" t="str">
        <f>IFERROR(__xludf.DUMMYFUNCTION("""COMPUTED_VALUE"""),"MOBILECARE - DAVAO")</f>
        <v>MOBILECARE - DAVAO</v>
      </c>
      <c r="D1757" s="2" t="str">
        <f>IFERROR(__xludf.DUMMYFUNCTION("""COMPUTED_VALUE"""),"661-30393")</f>
        <v>661-30393</v>
      </c>
      <c r="E1757" s="2" t="str">
        <f>IFERROR(__xludf.DUMMYFUNCTION("""COMPUTED_VALUE"""),"Camera, iPhone 14 Plus")</f>
        <v>Camera, iPhone 14 Plus</v>
      </c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10" t="str">
        <f t="shared" si="1"/>
        <v>February</v>
      </c>
      <c r="B1758" s="11">
        <f>IFERROR(__xludf.DUMMYFUNCTION("""COMPUTED_VALUE"""),46071.0)</f>
        <v>46071</v>
      </c>
      <c r="C1758" s="2" t="str">
        <f>IFERROR(__xludf.DUMMYFUNCTION("""COMPUTED_VALUE"""),"MOBILECARE - DAVAO")</f>
        <v>MOBILECARE - DAVAO</v>
      </c>
      <c r="D1758" s="2" t="str">
        <f>IFERROR(__xludf.DUMMYFUNCTION("""COMPUTED_VALUE"""),"661-42726")</f>
        <v>661-42726</v>
      </c>
      <c r="E1758" s="2" t="str">
        <f>IFERROR(__xludf.DUMMYFUNCTION("""COMPUTED_VALUE"""),"Display, iPhone 16 Pro")</f>
        <v>Display, iPhone 16 Pro</v>
      </c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10" t="str">
        <f t="shared" si="1"/>
        <v>March</v>
      </c>
      <c r="B1759" s="11">
        <f>IFERROR(__xludf.DUMMYFUNCTION("""COMPUTED_VALUE"""),46090.0)</f>
        <v>46090</v>
      </c>
      <c r="C1759" s="2" t="str">
        <f>IFERROR(__xludf.DUMMYFUNCTION("""COMPUTED_VALUE"""),"MOBILECARE - DAVAO")</f>
        <v>MOBILECARE - DAVAO</v>
      </c>
      <c r="D1759" s="2" t="str">
        <f>IFERROR(__xludf.DUMMYFUNCTION("""COMPUTED_VALUE"""),"TA661-42903")</f>
        <v>TA661-42903</v>
      </c>
      <c r="E1759" s="2" t="str">
        <f>IFERROR(__xludf.DUMMYFUNCTION("""COMPUTED_VALUE"""),"256GB, Desert Titanium, ROW, iPhone 16 Pro, CI/AR")</f>
        <v>256GB, Desert Titanium, ROW, iPhone 16 Pro, CI/AR</v>
      </c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10" t="str">
        <f t="shared" si="1"/>
        <v>May</v>
      </c>
      <c r="B1760" s="11">
        <f>IFERROR(__xludf.DUMMYFUNCTION("""COMPUTED_VALUE"""),46166.0)</f>
        <v>46166</v>
      </c>
      <c r="C1760" s="2" t="str">
        <f>IFERROR(__xludf.DUMMYFUNCTION("""COMPUTED_VALUE"""),"MOBILECARE - DAVAO")</f>
        <v>MOBILECARE - DAVAO</v>
      </c>
      <c r="D1760" s="2" t="str">
        <f>IFERROR(__xludf.DUMMYFUNCTION("""COMPUTED_VALUE"""),"661-21988")</f>
        <v>661-21988</v>
      </c>
      <c r="E1760" s="2" t="str">
        <f>IFERROR(__xludf.DUMMYFUNCTION("""COMPUTED_VALUE"""),"Display, iPhone 13")</f>
        <v>Display, iPhone 13</v>
      </c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10" t="str">
        <f t="shared" si="1"/>
        <v>March</v>
      </c>
      <c r="B1761" s="11">
        <f>IFERROR(__xludf.DUMMYFUNCTION("""COMPUTED_VALUE"""),46106.0)</f>
        <v>46106</v>
      </c>
      <c r="C1761" s="2" t="str">
        <f>IFERROR(__xludf.DUMMYFUNCTION("""COMPUTED_VALUE"""),"MOBILECARE - DAVAO")</f>
        <v>MOBILECARE - DAVAO</v>
      </c>
      <c r="D1761" s="2" t="str">
        <f>IFERROR(__xludf.DUMMYFUNCTION("""COMPUTED_VALUE"""),"Z661-55943")</f>
        <v>Z661-55943</v>
      </c>
      <c r="E1761" s="2" t="str">
        <f>IFERROR(__xludf.DUMMYFUNCTION("""COMPUTED_VALUE"""),"Logic Board, 512GB, A3523, ROW, iPhone 17 Pro")</f>
        <v>Logic Board, 512GB, A3523, ROW, iPhone 17 Pro</v>
      </c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10" t="str">
        <f t="shared" si="1"/>
        <v>March</v>
      </c>
      <c r="B1762" s="11">
        <f>IFERROR(__xludf.DUMMYFUNCTION("""COMPUTED_VALUE"""),46087.0)</f>
        <v>46087</v>
      </c>
      <c r="C1762" s="2" t="str">
        <f>IFERROR(__xludf.DUMMYFUNCTION("""COMPUTED_VALUE"""),"MOBILECARE - DAVAO")</f>
        <v>MOBILECARE - DAVAO</v>
      </c>
      <c r="D1762" s="2" t="str">
        <f>IFERROR(__xludf.DUMMYFUNCTION("""COMPUTED_VALUE"""),"661-30397")</f>
        <v>661-30397</v>
      </c>
      <c r="E1762" s="2" t="str">
        <f>IFERROR(__xludf.DUMMYFUNCTION("""COMPUTED_VALUE"""),"Battery, iPhone 14 Pro Max")</f>
        <v>Battery, iPhone 14 Pro Max</v>
      </c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10" t="str">
        <f t="shared" si="1"/>
        <v>February</v>
      </c>
      <c r="B1763" s="11">
        <f>IFERROR(__xludf.DUMMYFUNCTION("""COMPUTED_VALUE"""),46061.0)</f>
        <v>46061</v>
      </c>
      <c r="C1763" s="2" t="str">
        <f>IFERROR(__xludf.DUMMYFUNCTION("""COMPUTED_VALUE"""),"MOBILECARE - DAVAO")</f>
        <v>MOBILECARE - DAVAO</v>
      </c>
      <c r="D1763" s="2" t="str">
        <f>IFERROR(__xludf.DUMMYFUNCTION("""COMPUTED_VALUE"""),"661-56050")</f>
        <v>661-56050</v>
      </c>
      <c r="E1763" s="2" t="str">
        <f>IFERROR(__xludf.DUMMYFUNCTION("""COMPUTED_VALUE"""),"Display, iPhone 17 Pro Max")</f>
        <v>Display, iPhone 17 Pro Max</v>
      </c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10" t="str">
        <f t="shared" si="1"/>
        <v>February</v>
      </c>
      <c r="B1764" s="11">
        <f>IFERROR(__xludf.DUMMYFUNCTION("""COMPUTED_VALUE"""),46058.0)</f>
        <v>46058</v>
      </c>
      <c r="C1764" s="2" t="str">
        <f>IFERROR(__xludf.DUMMYFUNCTION("""COMPUTED_VALUE"""),"MOBILECARE - DAVAO")</f>
        <v>MOBILECARE - DAVAO</v>
      </c>
      <c r="D1764" s="2" t="str">
        <f>IFERROR(__xludf.DUMMYFUNCTION("""COMPUTED_VALUE"""),"661-22309")</f>
        <v>661-22309</v>
      </c>
      <c r="E1764" s="2" t="str">
        <f>IFERROR(__xludf.DUMMYFUNCTION("""COMPUTED_VALUE"""),"Display, iPhone 13 Pro Max")</f>
        <v>Display, iPhone 13 Pro Max</v>
      </c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10" t="str">
        <f t="shared" si="1"/>
        <v>February</v>
      </c>
      <c r="B1765" s="11">
        <f>IFERROR(__xludf.DUMMYFUNCTION("""COMPUTED_VALUE"""),46067.0)</f>
        <v>46067</v>
      </c>
      <c r="C1765" s="2" t="str">
        <f>IFERROR(__xludf.DUMMYFUNCTION("""COMPUTED_VALUE"""),"MOBILECARE - DAVAO")</f>
        <v>MOBILECARE - DAVAO</v>
      </c>
      <c r="D1765" s="2" t="str">
        <f>IFERROR(__xludf.DUMMYFUNCTION("""COMPUTED_VALUE"""),"661-56050")</f>
        <v>661-56050</v>
      </c>
      <c r="E1765" s="2" t="str">
        <f>IFERROR(__xludf.DUMMYFUNCTION("""COMPUTED_VALUE"""),"Display, iPhone 17 Pro Max")</f>
        <v>Display, iPhone 17 Pro Max</v>
      </c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10" t="str">
        <f t="shared" si="1"/>
        <v>February</v>
      </c>
      <c r="B1766" s="11">
        <f>IFERROR(__xludf.DUMMYFUNCTION("""COMPUTED_VALUE"""),46067.0)</f>
        <v>46067</v>
      </c>
      <c r="C1766" s="2" t="str">
        <f>IFERROR(__xludf.DUMMYFUNCTION("""COMPUTED_VALUE"""),"MOBILECARE - DAVAO")</f>
        <v>MOBILECARE - DAVAO</v>
      </c>
      <c r="D1766" s="2" t="str">
        <f>IFERROR(__xludf.DUMMYFUNCTION("""COMPUTED_VALUE"""),"Z661-55956")</f>
        <v>Z661-55956</v>
      </c>
      <c r="E1766" s="2" t="str">
        <f>IFERROR(__xludf.DUMMYFUNCTION("""COMPUTED_VALUE"""),"Logic Board, 256GB, iPhone 17 Pro Max, ROW")</f>
        <v>Logic Board, 256GB, iPhone 17 Pro Max, ROW</v>
      </c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10" t="str">
        <f t="shared" si="1"/>
        <v>June</v>
      </c>
      <c r="B1767" s="11">
        <f>IFERROR(__xludf.DUMMYFUNCTION("""COMPUTED_VALUE"""),46192.0)</f>
        <v>46192</v>
      </c>
      <c r="C1767" s="2" t="str">
        <f>IFERROR(__xludf.DUMMYFUNCTION("""COMPUTED_VALUE"""),"MOBILECARE - DAVAO")</f>
        <v>MOBILECARE - DAVAO</v>
      </c>
      <c r="D1767" s="2" t="str">
        <f>IFERROR(__xludf.DUMMYFUNCTION("""COMPUTED_VALUE"""),"PP661-23455")</f>
        <v>PP661-23455</v>
      </c>
      <c r="E1767" s="2" t="str">
        <f>IFERROR(__xludf.DUMMYFUNCTION("""COMPUTED_VALUE"""),"iPhone 13, Starlight, 128GB, Logic Board Assy Rear System, ROW")</f>
        <v>iPhone 13, Starlight, 128GB, Logic Board Assy Rear System, ROW</v>
      </c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10" t="str">
        <f t="shared" si="1"/>
        <v>June</v>
      </c>
      <c r="B1768" s="11">
        <f>IFERROR(__xludf.DUMMYFUNCTION("""COMPUTED_VALUE"""),46187.0)</f>
        <v>46187</v>
      </c>
      <c r="C1768" s="2" t="str">
        <f>IFERROR(__xludf.DUMMYFUNCTION("""COMPUTED_VALUE"""),"MOBILECARE - DAVAO")</f>
        <v>MOBILECARE - DAVAO</v>
      </c>
      <c r="D1768" s="2" t="str">
        <f>IFERROR(__xludf.DUMMYFUNCTION("""COMPUTED_VALUE"""),"TA661-36694")</f>
        <v>TA661-36694</v>
      </c>
      <c r="E1768" s="2" t="str">
        <f>IFERROR(__xludf.DUMMYFUNCTION("""COMPUTED_VALUE"""),"iPhone 15, Blue, 128GB, Logic Board Assy Mid System, ROW")</f>
        <v>iPhone 15, Blue, 128GB, Logic Board Assy Mid System, ROW</v>
      </c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10" t="str">
        <f t="shared" si="1"/>
        <v>March</v>
      </c>
      <c r="B1769" s="11">
        <f>IFERROR(__xludf.DUMMYFUNCTION("""COMPUTED_VALUE"""),46095.0)</f>
        <v>46095</v>
      </c>
      <c r="C1769" s="2" t="str">
        <f>IFERROR(__xludf.DUMMYFUNCTION("""COMPUTED_VALUE"""),"MOBILECARE - DAVAO")</f>
        <v>MOBILECARE - DAVAO</v>
      </c>
      <c r="D1769" s="2" t="str">
        <f>IFERROR(__xludf.DUMMYFUNCTION("""COMPUTED_VALUE"""),"661-42726")</f>
        <v>661-42726</v>
      </c>
      <c r="E1769" s="2" t="str">
        <f>IFERROR(__xludf.DUMMYFUNCTION("""COMPUTED_VALUE"""),"Display, iPhone 16 Pro")</f>
        <v>Display, iPhone 16 Pro</v>
      </c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10" t="str">
        <f t="shared" si="1"/>
        <v>February</v>
      </c>
      <c r="B1770" s="11">
        <f>IFERROR(__xludf.DUMMYFUNCTION("""COMPUTED_VALUE"""),46064.0)</f>
        <v>46064</v>
      </c>
      <c r="C1770" s="2" t="str">
        <f>IFERROR(__xludf.DUMMYFUNCTION("""COMPUTED_VALUE"""),"MOBILECARE - DAVAO")</f>
        <v>MOBILECARE - DAVAO</v>
      </c>
      <c r="D1770" s="2" t="str">
        <f>IFERROR(__xludf.DUMMYFUNCTION("""COMPUTED_VALUE"""),"661-23878")</f>
        <v>661-23878</v>
      </c>
      <c r="E1770" s="2" t="str">
        <f>IFERROR(__xludf.DUMMYFUNCTION("""COMPUTED_VALUE"""),"TrueDepth Camera, iPhone 13")</f>
        <v>TrueDepth Camera, iPhone 13</v>
      </c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10" t="str">
        <f t="shared" si="1"/>
        <v>January</v>
      </c>
      <c r="B1771" s="11">
        <f>IFERROR(__xludf.DUMMYFUNCTION("""COMPUTED_VALUE"""),46051.0)</f>
        <v>46051</v>
      </c>
      <c r="C1771" s="2" t="str">
        <f>IFERROR(__xludf.DUMMYFUNCTION("""COMPUTED_VALUE"""),"MOBILECARE - DAVAO")</f>
        <v>MOBILECARE - DAVAO</v>
      </c>
      <c r="D1771" s="2" t="str">
        <f>IFERROR(__xludf.DUMMYFUNCTION("""COMPUTED_VALUE"""),"PP661-23454")</f>
        <v>PP661-23454</v>
      </c>
      <c r="E1771" s="2" t="str">
        <f>IFERROR(__xludf.DUMMYFUNCTION("""COMPUTED_VALUE"""),"iPhone 13, Midnight, 128GB, Logic Board Assy Rear System, ROW")</f>
        <v>iPhone 13, Midnight, 128GB, Logic Board Assy Rear System, ROW</v>
      </c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10" t="str">
        <f t="shared" si="1"/>
        <v>February</v>
      </c>
      <c r="B1772" s="11">
        <f>IFERROR(__xludf.DUMMYFUNCTION("""COMPUTED_VALUE"""),46074.0)</f>
        <v>46074</v>
      </c>
      <c r="C1772" s="2" t="str">
        <f>IFERROR(__xludf.DUMMYFUNCTION("""COMPUTED_VALUE"""),"MOBILECARE - DAVAO")</f>
        <v>MOBILECARE - DAVAO</v>
      </c>
      <c r="D1772" s="2" t="str">
        <f>IFERROR(__xludf.DUMMYFUNCTION("""COMPUTED_VALUE"""),"PP661-22980")</f>
        <v>PP661-22980</v>
      </c>
      <c r="E1772" s="2" t="str">
        <f>IFERROR(__xludf.DUMMYFUNCTION("""COMPUTED_VALUE"""),"Midnight, 128 GB, iPhone 13, ROW, CI/AR, Philippines")</f>
        <v>Midnight, 128 GB, iPhone 13, ROW, CI/AR, Philippines</v>
      </c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10" t="str">
        <f t="shared" si="1"/>
        <v>June</v>
      </c>
      <c r="B1773" s="11">
        <f>IFERROR(__xludf.DUMMYFUNCTION("""COMPUTED_VALUE"""),46182.0)</f>
        <v>46182</v>
      </c>
      <c r="C1773" s="2" t="str">
        <f>IFERROR(__xludf.DUMMYFUNCTION("""COMPUTED_VALUE"""),"MOBILECARE - DAVAO")</f>
        <v>MOBILECARE - DAVAO</v>
      </c>
      <c r="D1773" s="2" t="str">
        <f>IFERROR(__xludf.DUMMYFUNCTION("""COMPUTED_VALUE"""),"661-21993")</f>
        <v>661-21993</v>
      </c>
      <c r="E1773" s="2" t="str">
        <f>IFERROR(__xludf.DUMMYFUNCTION("""COMPUTED_VALUE"""),"Display, iPhone 13 Pro")</f>
        <v>Display, iPhone 13 Pro</v>
      </c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10" t="str">
        <f t="shared" si="1"/>
        <v>June</v>
      </c>
      <c r="B1774" s="11">
        <f>IFERROR(__xludf.DUMMYFUNCTION("""COMPUTED_VALUE"""),46181.0)</f>
        <v>46181</v>
      </c>
      <c r="C1774" s="2" t="str">
        <f>IFERROR(__xludf.DUMMYFUNCTION("""COMPUTED_VALUE"""),"MOBILECARE - DAVAO")</f>
        <v>MOBILECARE - DAVAO</v>
      </c>
      <c r="D1774" s="2" t="str">
        <f>IFERROR(__xludf.DUMMYFUNCTION("""COMPUTED_VALUE"""),"Z661-55956")</f>
        <v>Z661-55956</v>
      </c>
      <c r="E1774" s="2" t="str">
        <f>IFERROR(__xludf.DUMMYFUNCTION("""COMPUTED_VALUE"""),"Logic Board, 256GB, iPhone 17 Pro Max, ROW")</f>
        <v>Logic Board, 256GB, iPhone 17 Pro Max, ROW</v>
      </c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10" t="str">
        <f t="shared" si="1"/>
        <v>April</v>
      </c>
      <c r="B1775" s="11">
        <f>IFERROR(__xludf.DUMMYFUNCTION("""COMPUTED_VALUE"""),46123.0)</f>
        <v>46123</v>
      </c>
      <c r="C1775" s="2" t="str">
        <f>IFERROR(__xludf.DUMMYFUNCTION("""COMPUTED_VALUE"""),"MOBILECARE - DAVAO")</f>
        <v>MOBILECARE - DAVAO</v>
      </c>
      <c r="D1775" s="2" t="str">
        <f>IFERROR(__xludf.DUMMYFUNCTION("""COMPUTED_VALUE"""),"PP661-23455")</f>
        <v>PP661-23455</v>
      </c>
      <c r="E1775" s="2" t="str">
        <f>IFERROR(__xludf.DUMMYFUNCTION("""COMPUTED_VALUE"""),"iPhone 13, Starlight, 128GB, Logic Board Assy Rear System, ROW")</f>
        <v>iPhone 13, Starlight, 128GB, Logic Board Assy Rear System, ROW</v>
      </c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10" t="str">
        <f t="shared" si="1"/>
        <v>February</v>
      </c>
      <c r="B1776" s="11">
        <f>IFERROR(__xludf.DUMMYFUNCTION("""COMPUTED_VALUE"""),46077.0)</f>
        <v>46077</v>
      </c>
      <c r="C1776" s="2" t="str">
        <f>IFERROR(__xludf.DUMMYFUNCTION("""COMPUTED_VALUE"""),"MOBILECARE - DAVAO")</f>
        <v>MOBILECARE - DAVAO</v>
      </c>
      <c r="D1776" s="2" t="str">
        <f>IFERROR(__xludf.DUMMYFUNCTION("""COMPUTED_VALUE"""),"661-32232")</f>
        <v>661-32232</v>
      </c>
      <c r="E1776" s="2" t="str">
        <f>IFERROR(__xludf.DUMMYFUNCTION("""COMPUTED_VALUE"""),"Rear Camera, iPhone 13/mini, MICN")</f>
        <v>Rear Camera, iPhone 13/mini, MICN</v>
      </c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10" t="str">
        <f t="shared" si="1"/>
        <v>February</v>
      </c>
      <c r="B1777" s="11">
        <f>IFERROR(__xludf.DUMMYFUNCTION("""COMPUTED_VALUE"""),46059.0)</f>
        <v>46059</v>
      </c>
      <c r="C1777" s="2" t="str">
        <f>IFERROR(__xludf.DUMMYFUNCTION("""COMPUTED_VALUE"""),"MOBILECARE - DAVAO")</f>
        <v>MOBILECARE - DAVAO</v>
      </c>
      <c r="D1777" s="2" t="str">
        <f>IFERROR(__xludf.DUMMYFUNCTION("""COMPUTED_VALUE"""),"PP661-23454")</f>
        <v>PP661-23454</v>
      </c>
      <c r="E1777" s="2" t="str">
        <f>IFERROR(__xludf.DUMMYFUNCTION("""COMPUTED_VALUE"""),"iPhone 13, Midnight, 128GB, Logic Board Assy Rear System, ROW")</f>
        <v>iPhone 13, Midnight, 128GB, Logic Board Assy Rear System, ROW</v>
      </c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10" t="str">
        <f t="shared" si="1"/>
        <v>June</v>
      </c>
      <c r="B1778" s="11">
        <f>IFERROR(__xludf.DUMMYFUNCTION("""COMPUTED_VALUE"""),46192.0)</f>
        <v>46192</v>
      </c>
      <c r="C1778" s="2" t="str">
        <f>IFERROR(__xludf.DUMMYFUNCTION("""COMPUTED_VALUE"""),"MOBILECARE - DAVAO")</f>
        <v>MOBILECARE - DAVAO</v>
      </c>
      <c r="D1778" s="2" t="str">
        <f>IFERROR(__xludf.DUMMYFUNCTION("""COMPUTED_VALUE"""),"TA661-49965")</f>
        <v>TA661-49965</v>
      </c>
      <c r="E1778" s="2" t="str">
        <f>IFERROR(__xludf.DUMMYFUNCTION("""COMPUTED_VALUE"""),"White, 128GB, Logic Board Assy Mid System, iPhone 16e, ROW")</f>
        <v>White, 128GB, Logic Board Assy Mid System, iPhone 16e, ROW</v>
      </c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10" t="str">
        <f t="shared" si="1"/>
        <v>May</v>
      </c>
      <c r="B1779" s="11">
        <f>IFERROR(__xludf.DUMMYFUNCTION("""COMPUTED_VALUE"""),46157.0)</f>
        <v>46157</v>
      </c>
      <c r="C1779" s="2" t="str">
        <f>IFERROR(__xludf.DUMMYFUNCTION("""COMPUTED_VALUE"""),"MOBILECARE - DAVAO")</f>
        <v>MOBILECARE - DAVAO</v>
      </c>
      <c r="D1779" s="2" t="str">
        <f>IFERROR(__xludf.DUMMYFUNCTION("""COMPUTED_VALUE"""),"661-30382")</f>
        <v>661-30382</v>
      </c>
      <c r="E1779" s="2" t="str">
        <f>IFERROR(__xludf.DUMMYFUNCTION("""COMPUTED_VALUE"""),"Battery, iPhone 14 Pro")</f>
        <v>Battery, iPhone 14 Pro</v>
      </c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10" t="str">
        <f t="shared" si="1"/>
        <v>March</v>
      </c>
      <c r="B1780" s="11">
        <f>IFERROR(__xludf.DUMMYFUNCTION("""COMPUTED_VALUE"""),46096.0)</f>
        <v>46096</v>
      </c>
      <c r="C1780" s="2" t="str">
        <f>IFERROR(__xludf.DUMMYFUNCTION("""COMPUTED_VALUE"""),"MOBILECARE - DAVAO")</f>
        <v>MOBILECARE - DAVAO</v>
      </c>
      <c r="D1780" s="2" t="str">
        <f>IFERROR(__xludf.DUMMYFUNCTION("""COMPUTED_VALUE"""),"Z661-55956")</f>
        <v>Z661-55956</v>
      </c>
      <c r="E1780" s="2" t="str">
        <f>IFERROR(__xludf.DUMMYFUNCTION("""COMPUTED_VALUE"""),"Logic Board, 256GB, iPhone 17 Pro Max, ROW")</f>
        <v>Logic Board, 256GB, iPhone 17 Pro Max, ROW</v>
      </c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10" t="str">
        <f t="shared" si="1"/>
        <v>February</v>
      </c>
      <c r="B1781" s="11">
        <f>IFERROR(__xludf.DUMMYFUNCTION("""COMPUTED_VALUE"""),46073.0)</f>
        <v>46073</v>
      </c>
      <c r="C1781" s="2" t="str">
        <f>IFERROR(__xludf.DUMMYFUNCTION("""COMPUTED_VALUE"""),"MOBILECARE - DAVAO")</f>
        <v>MOBILECARE - DAVAO</v>
      </c>
      <c r="D1781" s="2" t="str">
        <f>IFERROR(__xludf.DUMMYFUNCTION("""COMPUTED_VALUE"""),"PP661-23460")</f>
        <v>PP661-23460</v>
      </c>
      <c r="E1781" s="2" t="str">
        <f>IFERROR(__xludf.DUMMYFUNCTION("""COMPUTED_VALUE"""),"iPhone 13, Starlight, 256GB, Logic Board Assy Rear System, ROW")</f>
        <v>iPhone 13, Starlight, 256GB, Logic Board Assy Rear System, ROW</v>
      </c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10" t="str">
        <f t="shared" si="1"/>
        <v>June</v>
      </c>
      <c r="B1782" s="11">
        <f>IFERROR(__xludf.DUMMYFUNCTION("""COMPUTED_VALUE"""),46186.0)</f>
        <v>46186</v>
      </c>
      <c r="C1782" s="2" t="str">
        <f>IFERROR(__xludf.DUMMYFUNCTION("""COMPUTED_VALUE"""),"MOBILECARE - DAVAO")</f>
        <v>MOBILECARE - DAVAO</v>
      </c>
      <c r="D1782" s="2" t="str">
        <f>IFERROR(__xludf.DUMMYFUNCTION("""COMPUTED_VALUE"""),"TA661-45324")</f>
        <v>TA661-45324</v>
      </c>
      <c r="E1782" s="2" t="str">
        <f>IFERROR(__xludf.DUMMYFUNCTION("""COMPUTED_VALUE"""),"256GB, Natural Titanium, ROW, iPhone 16 Pro Max, Logic Board Assy Mid Sy")</f>
        <v>256GB, Natural Titanium, ROW, iPhone 16 Pro Max, Logic Board Assy Mid Sy</v>
      </c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10" t="str">
        <f t="shared" si="1"/>
        <v>April</v>
      </c>
      <c r="B1783" s="11">
        <f>IFERROR(__xludf.DUMMYFUNCTION("""COMPUTED_VALUE"""),46117.0)</f>
        <v>46117</v>
      </c>
      <c r="C1783" s="2" t="str">
        <f>IFERROR(__xludf.DUMMYFUNCTION("""COMPUTED_VALUE"""),"MOBILECARE - DAVAO")</f>
        <v>MOBILECARE - DAVAO</v>
      </c>
      <c r="D1783" s="2" t="str">
        <f>IFERROR(__xludf.DUMMYFUNCTION("""COMPUTED_VALUE"""),"TA661-36696")</f>
        <v>TA661-36696</v>
      </c>
      <c r="E1783" s="2" t="str">
        <f>IFERROR(__xludf.DUMMYFUNCTION("""COMPUTED_VALUE"""),"iPhone 15, Black, 256GB, Logic Board Assy Mid System, ROW")</f>
        <v>iPhone 15, Black, 256GB, Logic Board Assy Mid System, ROW</v>
      </c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10" t="str">
        <f t="shared" si="1"/>
        <v>March</v>
      </c>
      <c r="B1784" s="11">
        <f>IFERROR(__xludf.DUMMYFUNCTION("""COMPUTED_VALUE"""),46095.0)</f>
        <v>46095</v>
      </c>
      <c r="C1784" s="2" t="str">
        <f>IFERROR(__xludf.DUMMYFUNCTION("""COMPUTED_VALUE"""),"MOBILECARE - DAVAO")</f>
        <v>MOBILECARE - DAVAO</v>
      </c>
      <c r="D1784" s="2" t="str">
        <f>IFERROR(__xludf.DUMMYFUNCTION("""COMPUTED_VALUE"""),"PP661-23455")</f>
        <v>PP661-23455</v>
      </c>
      <c r="E1784" s="2" t="str">
        <f>IFERROR(__xludf.DUMMYFUNCTION("""COMPUTED_VALUE"""),"iPhone 13, Starlight, 128GB, Logic Board Assy Rear System, ROW")</f>
        <v>iPhone 13, Starlight, 128GB, Logic Board Assy Rear System, ROW</v>
      </c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10" t="str">
        <f t="shared" si="1"/>
        <v>February</v>
      </c>
      <c r="B1785" s="11">
        <f>IFERROR(__xludf.DUMMYFUNCTION("""COMPUTED_VALUE"""),46074.0)</f>
        <v>46074</v>
      </c>
      <c r="C1785" s="2" t="str">
        <f>IFERROR(__xludf.DUMMYFUNCTION("""COMPUTED_VALUE"""),"MOBILECARE - DAVAO")</f>
        <v>MOBILECARE - DAVAO</v>
      </c>
      <c r="D1785" s="2" t="str">
        <f>IFERROR(__xludf.DUMMYFUNCTION("""COMPUTED_VALUE"""),"661-22309")</f>
        <v>661-22309</v>
      </c>
      <c r="E1785" s="2" t="str">
        <f>IFERROR(__xludf.DUMMYFUNCTION("""COMPUTED_VALUE"""),"Display, iPhone 13 Pro Max")</f>
        <v>Display, iPhone 13 Pro Max</v>
      </c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10" t="str">
        <f t="shared" si="1"/>
        <v>February</v>
      </c>
      <c r="B1786" s="11">
        <f>IFERROR(__xludf.DUMMYFUNCTION("""COMPUTED_VALUE"""),46080.0)</f>
        <v>46080</v>
      </c>
      <c r="C1786" s="2" t="str">
        <f>IFERROR(__xludf.DUMMYFUNCTION("""COMPUTED_VALUE"""),"MOBILECARE - DAVAO")</f>
        <v>MOBILECARE - DAVAO</v>
      </c>
      <c r="D1786" s="2" t="str">
        <f>IFERROR(__xludf.DUMMYFUNCTION("""COMPUTED_VALUE"""),"661-22294")</f>
        <v>661-22294</v>
      </c>
      <c r="E1786" s="2" t="str">
        <f>IFERROR(__xludf.DUMMYFUNCTION("""COMPUTED_VALUE"""),"Battery, iPhone 13 Pro Max")</f>
        <v>Battery, iPhone 13 Pro Max</v>
      </c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10" t="str">
        <f t="shared" si="1"/>
        <v>March</v>
      </c>
      <c r="B1787" s="11">
        <f>IFERROR(__xludf.DUMMYFUNCTION("""COMPUTED_VALUE"""),46088.0)</f>
        <v>46088</v>
      </c>
      <c r="C1787" s="2" t="str">
        <f>IFERROR(__xludf.DUMMYFUNCTION("""COMPUTED_VALUE"""),"MOBILECARE - DAVAO")</f>
        <v>MOBILECARE - DAVAO</v>
      </c>
      <c r="D1787" s="2" t="str">
        <f>IFERROR(__xludf.DUMMYFUNCTION("""COMPUTED_VALUE"""),"TA661-36286")</f>
        <v>TA661-36286</v>
      </c>
      <c r="E1787" s="2" t="str">
        <f>IFERROR(__xludf.DUMMYFUNCTION("""COMPUTED_VALUE"""),"Black, iPhone 15, 128GB, ROW, CI/AR, Taiwan")</f>
        <v>Black, iPhone 15, 128GB, ROW, CI/AR, Taiwan</v>
      </c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10" t="str">
        <f t="shared" si="1"/>
        <v>February</v>
      </c>
      <c r="B1788" s="11">
        <f>IFERROR(__xludf.DUMMYFUNCTION("""COMPUTED_VALUE"""),46067.0)</f>
        <v>46067</v>
      </c>
      <c r="C1788" s="2" t="str">
        <f>IFERROR(__xludf.DUMMYFUNCTION("""COMPUTED_VALUE"""),"MOBILECARE - DAVAO")</f>
        <v>MOBILECARE - DAVAO</v>
      </c>
      <c r="D1788" s="2" t="str">
        <f>IFERROR(__xludf.DUMMYFUNCTION("""COMPUTED_VALUE"""),"PP661-23454")</f>
        <v>PP661-23454</v>
      </c>
      <c r="E1788" s="2" t="str">
        <f>IFERROR(__xludf.DUMMYFUNCTION("""COMPUTED_VALUE"""),"iPhone 13, Midnight, 128GB, Logic Board Assy Rear System, ROW")</f>
        <v>iPhone 13, Midnight, 128GB, Logic Board Assy Rear System, ROW</v>
      </c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10" t="str">
        <f t="shared" si="1"/>
        <v>June</v>
      </c>
      <c r="B1789" s="11">
        <f>IFERROR(__xludf.DUMMYFUNCTION("""COMPUTED_VALUE"""),46178.0)</f>
        <v>46178</v>
      </c>
      <c r="C1789" s="2" t="str">
        <f>IFERROR(__xludf.DUMMYFUNCTION("""COMPUTED_VALUE"""),"MOBILECARE - DAVAO")</f>
        <v>MOBILECARE - DAVAO</v>
      </c>
      <c r="D1789" s="2" t="str">
        <f>IFERROR(__xludf.DUMMYFUNCTION("""COMPUTED_VALUE"""),"661-21991")</f>
        <v>661-21991</v>
      </c>
      <c r="E1789" s="2" t="str">
        <f>IFERROR(__xludf.DUMMYFUNCTION("""COMPUTED_VALUE"""),"Battery, iPhone 13")</f>
        <v>Battery, iPhone 13</v>
      </c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10" t="str">
        <f t="shared" si="1"/>
        <v>May</v>
      </c>
      <c r="B1790" s="11">
        <f>IFERROR(__xludf.DUMMYFUNCTION("""COMPUTED_VALUE"""),46172.0)</f>
        <v>46172</v>
      </c>
      <c r="C1790" s="2" t="str">
        <f>IFERROR(__xludf.DUMMYFUNCTION("""COMPUTED_VALUE"""),"MOBILECARE - DAVAO")</f>
        <v>MOBILECARE - DAVAO</v>
      </c>
      <c r="D1790" s="2" t="str">
        <f>IFERROR(__xludf.DUMMYFUNCTION("""COMPUTED_VALUE"""),"661-56067")</f>
        <v>661-56067</v>
      </c>
      <c r="E1790" s="2" t="str">
        <f>IFERROR(__xludf.DUMMYFUNCTION("""COMPUTED_VALUE"""),"Camera, iPhone 17")</f>
        <v>Camera, iPhone 17</v>
      </c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10" t="str">
        <f t="shared" si="1"/>
        <v>May</v>
      </c>
      <c r="B1791" s="11">
        <f>IFERROR(__xludf.DUMMYFUNCTION("""COMPUTED_VALUE"""),46149.0)</f>
        <v>46149</v>
      </c>
      <c r="C1791" s="2" t="str">
        <f>IFERROR(__xludf.DUMMYFUNCTION("""COMPUTED_VALUE"""),"MOBILECARE - DAVAO")</f>
        <v>MOBILECARE - DAVAO</v>
      </c>
      <c r="D1791" s="2" t="str">
        <f>IFERROR(__xludf.DUMMYFUNCTION("""COMPUTED_VALUE"""),"PP661-23454")</f>
        <v>PP661-23454</v>
      </c>
      <c r="E1791" s="2" t="str">
        <f>IFERROR(__xludf.DUMMYFUNCTION("""COMPUTED_VALUE"""),"iPhone 13, Midnight, 128GB, Logic Board Assy Rear System, ROW")</f>
        <v>iPhone 13, Midnight, 128GB, Logic Board Assy Rear System, ROW</v>
      </c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10" t="str">
        <f t="shared" si="1"/>
        <v>March</v>
      </c>
      <c r="B1792" s="11">
        <f>IFERROR(__xludf.DUMMYFUNCTION("""COMPUTED_VALUE"""),46088.0)</f>
        <v>46088</v>
      </c>
      <c r="C1792" s="2" t="str">
        <f>IFERROR(__xludf.DUMMYFUNCTION("""COMPUTED_VALUE"""),"MOBILECARE - DAVAO")</f>
        <v>MOBILECARE - DAVAO</v>
      </c>
      <c r="D1792" s="2" t="str">
        <f>IFERROR(__xludf.DUMMYFUNCTION("""COMPUTED_VALUE"""),"661-56050")</f>
        <v>661-56050</v>
      </c>
      <c r="E1792" s="2" t="str">
        <f>IFERROR(__xludf.DUMMYFUNCTION("""COMPUTED_VALUE"""),"Display, iPhone 17 Pro Max")</f>
        <v>Display, iPhone 17 Pro Max</v>
      </c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10" t="str">
        <f t="shared" si="1"/>
        <v>March</v>
      </c>
      <c r="B1793" s="11">
        <f>IFERROR(__xludf.DUMMYFUNCTION("""COMPUTED_VALUE"""),46088.0)</f>
        <v>46088</v>
      </c>
      <c r="C1793" s="2" t="str">
        <f>IFERROR(__xludf.DUMMYFUNCTION("""COMPUTED_VALUE"""),"MOBILECARE - DAVAO")</f>
        <v>MOBILECARE - DAVAO</v>
      </c>
      <c r="D1793" s="2" t="str">
        <f>IFERROR(__xludf.DUMMYFUNCTION("""COMPUTED_VALUE"""),"661-56050")</f>
        <v>661-56050</v>
      </c>
      <c r="E1793" s="2" t="str">
        <f>IFERROR(__xludf.DUMMYFUNCTION("""COMPUTED_VALUE"""),"Display, iPhone 17 Pro Max")</f>
        <v>Display, iPhone 17 Pro Max</v>
      </c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10" t="str">
        <f t="shared" si="1"/>
        <v>April</v>
      </c>
      <c r="B1794" s="11">
        <f>IFERROR(__xludf.DUMMYFUNCTION("""COMPUTED_VALUE"""),46117.0)</f>
        <v>46117</v>
      </c>
      <c r="C1794" s="2" t="str">
        <f>IFERROR(__xludf.DUMMYFUNCTION("""COMPUTED_VALUE"""),"MOBILECARE - DAVAO")</f>
        <v>MOBILECARE - DAVAO</v>
      </c>
      <c r="D1794" s="2" t="str">
        <f>IFERROR(__xludf.DUMMYFUNCTION("""COMPUTED_VALUE"""),"TA661-55206")</f>
        <v>TA661-55206</v>
      </c>
      <c r="E1794" s="2" t="str">
        <f>IFERROR(__xludf.DUMMYFUNCTION("""COMPUTED_VALUE"""),"Silver, 256GB, iPhone 17 Pro Max, ROW, CI/AR, Taiwan")</f>
        <v>Silver, 256GB, iPhone 17 Pro Max, ROW, CI/AR, Taiwan</v>
      </c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10" t="str">
        <f t="shared" si="1"/>
        <v>February</v>
      </c>
      <c r="B1795" s="11">
        <f>IFERROR(__xludf.DUMMYFUNCTION("""COMPUTED_VALUE"""),46071.0)</f>
        <v>46071</v>
      </c>
      <c r="C1795" s="2" t="str">
        <f>IFERROR(__xludf.DUMMYFUNCTION("""COMPUTED_VALUE"""),"MOBILECARE - DAVAO")</f>
        <v>MOBILECARE - DAVAO</v>
      </c>
      <c r="D1795" s="2" t="str">
        <f>IFERROR(__xludf.DUMMYFUNCTION("""COMPUTED_VALUE"""),"661-22374")</f>
        <v>661-22374</v>
      </c>
      <c r="E1795" s="2" t="str">
        <f>IFERROR(__xludf.DUMMYFUNCTION("""COMPUTED_VALUE"""),"Battery, iPhone 13 mini")</f>
        <v>Battery, iPhone 13 mini</v>
      </c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10" t="str">
        <f t="shared" si="1"/>
        <v>March</v>
      </c>
      <c r="B1796" s="11">
        <f>IFERROR(__xludf.DUMMYFUNCTION("""COMPUTED_VALUE"""),46097.0)</f>
        <v>46097</v>
      </c>
      <c r="C1796" s="2" t="str">
        <f>IFERROR(__xludf.DUMMYFUNCTION("""COMPUTED_VALUE"""),"MOBILECARE - DAVAO")</f>
        <v>MOBILECARE - DAVAO</v>
      </c>
      <c r="D1796" s="2" t="str">
        <f>IFERROR(__xludf.DUMMYFUNCTION("""COMPUTED_VALUE"""),"PP661-22458")</f>
        <v>PP661-22458</v>
      </c>
      <c r="E1796" s="2" t="str">
        <f>IFERROR(__xludf.DUMMYFUNCTION("""COMPUTED_VALUE"""),"Starlight, 256 GB, iPhone 13 mini, ROW, CI/AR, Philippines")</f>
        <v>Starlight, 256 GB, iPhone 13 mini, ROW, CI/AR, Philippines</v>
      </c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10" t="str">
        <f t="shared" si="1"/>
        <v>March</v>
      </c>
      <c r="B1797" s="11">
        <f>IFERROR(__xludf.DUMMYFUNCTION("""COMPUTED_VALUE"""),46088.0)</f>
        <v>46088</v>
      </c>
      <c r="C1797" s="2" t="str">
        <f>IFERROR(__xludf.DUMMYFUNCTION("""COMPUTED_VALUE"""),"MOBILECARE - DAVAO")</f>
        <v>MOBILECARE - DAVAO</v>
      </c>
      <c r="D1797" s="2" t="str">
        <f>IFERROR(__xludf.DUMMYFUNCTION("""COMPUTED_VALUE"""),"PP661-28868")</f>
        <v>PP661-28868</v>
      </c>
      <c r="E1797" s="2" t="str">
        <f>IFERROR(__xludf.DUMMYFUNCTION("""COMPUTED_VALUE"""),"iPhone 14, Midnight, 128GB, Logic Board Assy Mid System, ROW")</f>
        <v>iPhone 14, Midnight, 128GB, Logic Board Assy Mid System, ROW</v>
      </c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10" t="str">
        <f t="shared" si="1"/>
        <v>February</v>
      </c>
      <c r="B1798" s="11">
        <f>IFERROR(__xludf.DUMMYFUNCTION("""COMPUTED_VALUE"""),46071.0)</f>
        <v>46071</v>
      </c>
      <c r="C1798" s="2" t="str">
        <f>IFERROR(__xludf.DUMMYFUNCTION("""COMPUTED_VALUE"""),"MOBILECARE - DAVAO")</f>
        <v>MOBILECARE - DAVAO</v>
      </c>
      <c r="D1798" s="2" t="str">
        <f>IFERROR(__xludf.DUMMYFUNCTION("""COMPUTED_VALUE"""),"661-42726")</f>
        <v>661-42726</v>
      </c>
      <c r="E1798" s="2" t="str">
        <f>IFERROR(__xludf.DUMMYFUNCTION("""COMPUTED_VALUE"""),"Display, iPhone 16 Pro")</f>
        <v>Display, iPhone 16 Pro</v>
      </c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10" t="str">
        <f t="shared" si="1"/>
        <v>February</v>
      </c>
      <c r="B1799" s="11">
        <f>IFERROR(__xludf.DUMMYFUNCTION("""COMPUTED_VALUE"""),46062.0)</f>
        <v>46062</v>
      </c>
      <c r="C1799" s="2" t="str">
        <f>IFERROR(__xludf.DUMMYFUNCTION("""COMPUTED_VALUE"""),"MOBILECARE - DAVAO")</f>
        <v>MOBILECARE - DAVAO</v>
      </c>
      <c r="D1799" s="2" t="str">
        <f>IFERROR(__xludf.DUMMYFUNCTION("""COMPUTED_VALUE"""),"661-44956")</f>
        <v>661-44956</v>
      </c>
      <c r="E1799" s="2" t="str">
        <f>IFERROR(__xludf.DUMMYFUNCTION("""COMPUTED_VALUE"""),"TrueDepth Camera, iPhone 16 Pro Max")</f>
        <v>TrueDepth Camera, iPhone 16 Pro Max</v>
      </c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10" t="str">
        <f t="shared" si="1"/>
        <v>February</v>
      </c>
      <c r="B1800" s="11">
        <f>IFERROR(__xludf.DUMMYFUNCTION("""COMPUTED_VALUE"""),46062.0)</f>
        <v>46062</v>
      </c>
      <c r="C1800" s="2" t="str">
        <f>IFERROR(__xludf.DUMMYFUNCTION("""COMPUTED_VALUE"""),"MOBILECARE - DAVAO")</f>
        <v>MOBILECARE - DAVAO</v>
      </c>
      <c r="D1800" s="2" t="str">
        <f>IFERROR(__xludf.DUMMYFUNCTION("""COMPUTED_VALUE"""),"661-44957")</f>
        <v>661-44957</v>
      </c>
      <c r="E1800" s="2" t="str">
        <f>IFERROR(__xludf.DUMMYFUNCTION("""COMPUTED_VALUE"""),"Camera, iPhone 16 Pro Max")</f>
        <v>Camera, iPhone 16 Pro Max</v>
      </c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10" t="str">
        <f t="shared" si="1"/>
        <v>February</v>
      </c>
      <c r="B1801" s="11">
        <f>IFERROR(__xludf.DUMMYFUNCTION("""COMPUTED_VALUE"""),46063.0)</f>
        <v>46063</v>
      </c>
      <c r="C1801" s="2" t="str">
        <f>IFERROR(__xludf.DUMMYFUNCTION("""COMPUTED_VALUE"""),"MOBILECARE - DAVAO")</f>
        <v>MOBILECARE - DAVAO</v>
      </c>
      <c r="D1801" s="2" t="str">
        <f>IFERROR(__xludf.DUMMYFUNCTION("""COMPUTED_VALUE"""),"661-56125")</f>
        <v>661-56125</v>
      </c>
      <c r="E1801" s="2" t="str">
        <f>IFERROR(__xludf.DUMMYFUNCTION("""COMPUTED_VALUE"""),"Display, iPhone 17 Pro")</f>
        <v>Display, iPhone 17 Pro</v>
      </c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10" t="str">
        <f t="shared" si="1"/>
        <v>March</v>
      </c>
      <c r="B1802" s="11">
        <f>IFERROR(__xludf.DUMMYFUNCTION("""COMPUTED_VALUE"""),46089.0)</f>
        <v>46089</v>
      </c>
      <c r="C1802" s="2" t="str">
        <f>IFERROR(__xludf.DUMMYFUNCTION("""COMPUTED_VALUE"""),"MOBILECARE - DAVAO")</f>
        <v>MOBILECARE - DAVAO</v>
      </c>
      <c r="D1802" s="2" t="str">
        <f>IFERROR(__xludf.DUMMYFUNCTION("""COMPUTED_VALUE"""),"TA661-55153")</f>
        <v>TA661-55153</v>
      </c>
      <c r="E1802" s="2" t="str">
        <f>IFERROR(__xludf.DUMMYFUNCTION("""COMPUTED_VALUE"""),"Cosmic Orange, 512GB, iPhone 17 Pro, ROW, CI/AR, Taiwan")</f>
        <v>Cosmic Orange, 512GB, iPhone 17 Pro, ROW, CI/AR, Taiwan</v>
      </c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10" t="str">
        <f t="shared" si="1"/>
        <v>February</v>
      </c>
      <c r="B1803" s="11">
        <f>IFERROR(__xludf.DUMMYFUNCTION("""COMPUTED_VALUE"""),46061.0)</f>
        <v>46061</v>
      </c>
      <c r="C1803" s="2" t="str">
        <f>IFERROR(__xludf.DUMMYFUNCTION("""COMPUTED_VALUE"""),"MOBILECARE - DAVAO")</f>
        <v>MOBILECARE - DAVAO</v>
      </c>
      <c r="D1803" s="2" t="str">
        <f>IFERROR(__xludf.DUMMYFUNCTION("""COMPUTED_VALUE"""),"TA661-43608")</f>
        <v>TA661-43608</v>
      </c>
      <c r="E1803" s="2" t="str">
        <f>IFERROR(__xludf.DUMMYFUNCTION("""COMPUTED_VALUE"""),"128GB, Ultramarine, ROW, iPhone 16, Logic Board Assy Mid System")</f>
        <v>128GB, Ultramarine, ROW, iPhone 16, Logic Board Assy Mid System</v>
      </c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10" t="str">
        <f t="shared" si="1"/>
        <v>January</v>
      </c>
      <c r="B1804" s="11">
        <f>IFERROR(__xludf.DUMMYFUNCTION("""COMPUTED_VALUE"""),46039.0)</f>
        <v>46039</v>
      </c>
      <c r="C1804" s="2" t="str">
        <f>IFERROR(__xludf.DUMMYFUNCTION("""COMPUTED_VALUE"""),"MOBILECARE - DAVAO")</f>
        <v>MOBILECARE - DAVAO</v>
      </c>
      <c r="D1804" s="2" t="str">
        <f>IFERROR(__xludf.DUMMYFUNCTION("""COMPUTED_VALUE"""),"661-18428")</f>
        <v>661-18428</v>
      </c>
      <c r="E1804" s="2" t="str">
        <f>IFERROR(__xludf.DUMMYFUNCTION("""COMPUTED_VALUE"""),"Battery, iPhone 12 Pro Max")</f>
        <v>Battery, iPhone 12 Pro Max</v>
      </c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10" t="str">
        <f t="shared" si="1"/>
        <v>February</v>
      </c>
      <c r="B1805" s="11">
        <f>IFERROR(__xludf.DUMMYFUNCTION("""COMPUTED_VALUE"""),46054.0)</f>
        <v>46054</v>
      </c>
      <c r="C1805" s="2" t="str">
        <f>IFERROR(__xludf.DUMMYFUNCTION("""COMPUTED_VALUE"""),"MOBILECARE - DAVAO")</f>
        <v>MOBILECARE - DAVAO</v>
      </c>
      <c r="D1805" s="2" t="str">
        <f>IFERROR(__xludf.DUMMYFUNCTION("""COMPUTED_VALUE"""),"PP661-23454")</f>
        <v>PP661-23454</v>
      </c>
      <c r="E1805" s="2" t="str">
        <f>IFERROR(__xludf.DUMMYFUNCTION("""COMPUTED_VALUE"""),"iPhone 13, Midnight, 128GB, Logic Board Assy Rear System, ROW")</f>
        <v>iPhone 13, Midnight, 128GB, Logic Board Assy Rear System, ROW</v>
      </c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10" t="str">
        <f t="shared" si="1"/>
        <v>June</v>
      </c>
      <c r="B1806" s="11">
        <f>IFERROR(__xludf.DUMMYFUNCTION("""COMPUTED_VALUE"""),46185.0)</f>
        <v>46185</v>
      </c>
      <c r="C1806" s="2" t="str">
        <f>IFERROR(__xludf.DUMMYFUNCTION("""COMPUTED_VALUE"""),"MOBILECARE - DAVAO")</f>
        <v>MOBILECARE - DAVAO</v>
      </c>
      <c r="D1806" s="2" t="str">
        <f>IFERROR(__xludf.DUMMYFUNCTION("""COMPUTED_VALUE"""),"661-42725")</f>
        <v>661-42725</v>
      </c>
      <c r="E1806" s="2" t="str">
        <f>IFERROR(__xludf.DUMMYFUNCTION("""COMPUTED_VALUE"""),"Natural Titanium, Back Glass, iPhone 16 Pro")</f>
        <v>Natural Titanium, Back Glass, iPhone 16 Pro</v>
      </c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10" t="str">
        <f t="shared" si="1"/>
        <v>June</v>
      </c>
      <c r="B1807" s="11">
        <f>IFERROR(__xludf.DUMMYFUNCTION("""COMPUTED_VALUE"""),46190.0)</f>
        <v>46190</v>
      </c>
      <c r="C1807" s="2" t="str">
        <f>IFERROR(__xludf.DUMMYFUNCTION("""COMPUTED_VALUE"""),"MOBILECARE - DAVAO")</f>
        <v>MOBILECARE - DAVAO</v>
      </c>
      <c r="D1807" s="2" t="str">
        <f>IFERROR(__xludf.DUMMYFUNCTION("""COMPUTED_VALUE"""),"PP661-23455")</f>
        <v>PP661-23455</v>
      </c>
      <c r="E1807" s="2" t="str">
        <f>IFERROR(__xludf.DUMMYFUNCTION("""COMPUTED_VALUE"""),"iPhone 13, Starlight, 128GB, Logic Board Assy Rear System, ROW")</f>
        <v>iPhone 13, Starlight, 128GB, Logic Board Assy Rear System, ROW</v>
      </c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10" t="str">
        <f t="shared" si="1"/>
        <v>May</v>
      </c>
      <c r="B1808" s="11">
        <f>IFERROR(__xludf.DUMMYFUNCTION("""COMPUTED_VALUE"""),46158.0)</f>
        <v>46158</v>
      </c>
      <c r="C1808" s="2" t="str">
        <f>IFERROR(__xludf.DUMMYFUNCTION("""COMPUTED_VALUE"""),"MOBILECARE - DAVAO")</f>
        <v>MOBILECARE - DAVAO</v>
      </c>
      <c r="D1808" s="2" t="str">
        <f>IFERROR(__xludf.DUMMYFUNCTION("""COMPUTED_VALUE"""),"661-56050")</f>
        <v>661-56050</v>
      </c>
      <c r="E1808" s="2" t="str">
        <f>IFERROR(__xludf.DUMMYFUNCTION("""COMPUTED_VALUE"""),"Display, iPhone 17 Pro Max")</f>
        <v>Display, iPhone 17 Pro Max</v>
      </c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10" t="str">
        <f t="shared" si="1"/>
        <v>May</v>
      </c>
      <c r="B1809" s="11">
        <f>IFERROR(__xludf.DUMMYFUNCTION("""COMPUTED_VALUE"""),46146.0)</f>
        <v>46146</v>
      </c>
      <c r="C1809" s="2" t="str">
        <f>IFERROR(__xludf.DUMMYFUNCTION("""COMPUTED_VALUE"""),"MOBILECARE - DAVAO")</f>
        <v>MOBILECARE - DAVAO</v>
      </c>
      <c r="D1809" s="2" t="str">
        <f>IFERROR(__xludf.DUMMYFUNCTION("""COMPUTED_VALUE"""),"661-56125")</f>
        <v>661-56125</v>
      </c>
      <c r="E1809" s="2" t="str">
        <f>IFERROR(__xludf.DUMMYFUNCTION("""COMPUTED_VALUE"""),"Display, iPhone 17 Pro")</f>
        <v>Display, iPhone 17 Pro</v>
      </c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10" t="str">
        <f t="shared" si="1"/>
        <v>April</v>
      </c>
      <c r="B1810" s="11">
        <f>IFERROR(__xludf.DUMMYFUNCTION("""COMPUTED_VALUE"""),46130.0)</f>
        <v>46130</v>
      </c>
      <c r="C1810" s="2" t="str">
        <f>IFERROR(__xludf.DUMMYFUNCTION("""COMPUTED_VALUE"""),"MOBILECARE - DAVAO")</f>
        <v>MOBILECARE - DAVAO</v>
      </c>
      <c r="D1810" s="2" t="str">
        <f>IFERROR(__xludf.DUMMYFUNCTION("""COMPUTED_VALUE"""),"661-22374")</f>
        <v>661-22374</v>
      </c>
      <c r="E1810" s="2" t="str">
        <f>IFERROR(__xludf.DUMMYFUNCTION("""COMPUTED_VALUE"""),"Battery, iPhone 13 mini")</f>
        <v>Battery, iPhone 13 mini</v>
      </c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10" t="str">
        <f t="shared" si="1"/>
        <v>April</v>
      </c>
      <c r="B1811" s="11">
        <f>IFERROR(__xludf.DUMMYFUNCTION("""COMPUTED_VALUE"""),46120.0)</f>
        <v>46120</v>
      </c>
      <c r="C1811" s="2" t="str">
        <f>IFERROR(__xludf.DUMMYFUNCTION("""COMPUTED_VALUE"""),"MOBILECARE - DAVAO")</f>
        <v>MOBILECARE - DAVAO</v>
      </c>
      <c r="D1811" s="2" t="str">
        <f>IFERROR(__xludf.DUMMYFUNCTION("""COMPUTED_VALUE"""),"661-36829")</f>
        <v>661-36829</v>
      </c>
      <c r="E1811" s="2" t="str">
        <f>IFERROR(__xludf.DUMMYFUNCTION("""COMPUTED_VALUE"""),"TrueDepth Camera, iPhone 15")</f>
        <v>TrueDepth Camera, iPhone 15</v>
      </c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10" t="str">
        <f t="shared" si="1"/>
        <v>April</v>
      </c>
      <c r="B1812" s="11">
        <f>IFERROR(__xludf.DUMMYFUNCTION("""COMPUTED_VALUE"""),46116.0)</f>
        <v>46116</v>
      </c>
      <c r="C1812" s="2" t="str">
        <f>IFERROR(__xludf.DUMMYFUNCTION("""COMPUTED_VALUE"""),"MOBILECARE - DAVAO")</f>
        <v>MOBILECARE - DAVAO</v>
      </c>
      <c r="D1812" s="2" t="str">
        <f>IFERROR(__xludf.DUMMYFUNCTION("""COMPUTED_VALUE"""),"661-56122")</f>
        <v>661-56122</v>
      </c>
      <c r="E1812" s="2" t="str">
        <f>IFERROR(__xludf.DUMMYFUNCTION("""COMPUTED_VALUE"""),"Silver, Back Glass, iPhone 17 Pro")</f>
        <v>Silver, Back Glass, iPhone 17 Pro</v>
      </c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10" t="str">
        <f t="shared" si="1"/>
        <v>March</v>
      </c>
      <c r="B1813" s="11">
        <f>IFERROR(__xludf.DUMMYFUNCTION("""COMPUTED_VALUE"""),46103.0)</f>
        <v>46103</v>
      </c>
      <c r="C1813" s="2" t="str">
        <f>IFERROR(__xludf.DUMMYFUNCTION("""COMPUTED_VALUE"""),"MOBILECARE - DAVAO")</f>
        <v>MOBILECARE - DAVAO</v>
      </c>
      <c r="D1813" s="2" t="str">
        <f>IFERROR(__xludf.DUMMYFUNCTION("""COMPUTED_VALUE"""),"661-21988")</f>
        <v>661-21988</v>
      </c>
      <c r="E1813" s="2" t="str">
        <f>IFERROR(__xludf.DUMMYFUNCTION("""COMPUTED_VALUE"""),"Display, iPhone 13")</f>
        <v>Display, iPhone 13</v>
      </c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10" t="str">
        <f t="shared" si="1"/>
        <v>March</v>
      </c>
      <c r="B1814" s="11">
        <f>IFERROR(__xludf.DUMMYFUNCTION("""COMPUTED_VALUE"""),46107.0)</f>
        <v>46107</v>
      </c>
      <c r="C1814" s="2" t="str">
        <f>IFERROR(__xludf.DUMMYFUNCTION("""COMPUTED_VALUE"""),"MOBILECARE - DAVAO")</f>
        <v>MOBILECARE - DAVAO</v>
      </c>
      <c r="D1814" s="2" t="str">
        <f>IFERROR(__xludf.DUMMYFUNCTION("""COMPUTED_VALUE"""),"Z661-55956")</f>
        <v>Z661-55956</v>
      </c>
      <c r="E1814" s="2" t="str">
        <f>IFERROR(__xludf.DUMMYFUNCTION("""COMPUTED_VALUE"""),"Logic Board, 256GB, iPhone 17 Pro Max, ROW")</f>
        <v>Logic Board, 256GB, iPhone 17 Pro Max, ROW</v>
      </c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10" t="str">
        <f t="shared" si="1"/>
        <v>March</v>
      </c>
      <c r="B1815" s="11">
        <f>IFERROR(__xludf.DUMMYFUNCTION("""COMPUTED_VALUE"""),46107.0)</f>
        <v>46107</v>
      </c>
      <c r="C1815" s="2" t="str">
        <f>IFERROR(__xludf.DUMMYFUNCTION("""COMPUTED_VALUE"""),"MOBILECARE - DAVAO")</f>
        <v>MOBILECARE - DAVAO</v>
      </c>
      <c r="D1815" s="2" t="str">
        <f>IFERROR(__xludf.DUMMYFUNCTION("""COMPUTED_VALUE"""),"661-56050")</f>
        <v>661-56050</v>
      </c>
      <c r="E1815" s="2" t="str">
        <f>IFERROR(__xludf.DUMMYFUNCTION("""COMPUTED_VALUE"""),"Display, iPhone 17 Pro Max")</f>
        <v>Display, iPhone 17 Pro Max</v>
      </c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10" t="str">
        <f t="shared" si="1"/>
        <v>March</v>
      </c>
      <c r="B1816" s="11">
        <f>IFERROR(__xludf.DUMMYFUNCTION("""COMPUTED_VALUE"""),46103.0)</f>
        <v>46103</v>
      </c>
      <c r="C1816" s="2" t="str">
        <f>IFERROR(__xludf.DUMMYFUNCTION("""COMPUTED_VALUE"""),"MOBILECARE - DAVAO")</f>
        <v>MOBILECARE - DAVAO</v>
      </c>
      <c r="D1816" s="2" t="str">
        <f>IFERROR(__xludf.DUMMYFUNCTION("""COMPUTED_VALUE"""),"TA661-45327")</f>
        <v>TA661-45327</v>
      </c>
      <c r="E1816" s="2" t="str">
        <f>IFERROR(__xludf.DUMMYFUNCTION("""COMPUTED_VALUE"""),"512GB, Desert Titanium, ROW, iPhone 16 Pro Max, Logic Board Assy Mid Sys")</f>
        <v>512GB, Desert Titanium, ROW, iPhone 16 Pro Max, Logic Board Assy Mid Sys</v>
      </c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10" t="str">
        <f t="shared" si="1"/>
        <v>June</v>
      </c>
      <c r="B1817" s="11">
        <f>IFERROR(__xludf.DUMMYFUNCTION("""COMPUTED_VALUE"""),46187.0)</f>
        <v>46187</v>
      </c>
      <c r="C1817" s="2" t="str">
        <f>IFERROR(__xludf.DUMMYFUNCTION("""COMPUTED_VALUE"""),"MOBILECARE - DAVAO")</f>
        <v>MOBILECARE - DAVAO</v>
      </c>
      <c r="D1817" s="2" t="str">
        <f>IFERROR(__xludf.DUMMYFUNCTION("""COMPUTED_VALUE"""),"TA661-36694")</f>
        <v>TA661-36694</v>
      </c>
      <c r="E1817" s="2" t="str">
        <f>IFERROR(__xludf.DUMMYFUNCTION("""COMPUTED_VALUE"""),"iPhone 15, Blue, 128GB, Logic Board Assy Mid System, ROW")</f>
        <v>iPhone 15, Blue, 128GB, Logic Board Assy Mid System, ROW</v>
      </c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10" t="str">
        <f t="shared" si="1"/>
        <v>May</v>
      </c>
      <c r="B1818" s="11">
        <f>IFERROR(__xludf.DUMMYFUNCTION("""COMPUTED_VALUE"""),46146.0)</f>
        <v>46146</v>
      </c>
      <c r="C1818" s="2" t="str">
        <f>IFERROR(__xludf.DUMMYFUNCTION("""COMPUTED_VALUE"""),"MOBILECARE - DAVAO")</f>
        <v>MOBILECARE - DAVAO</v>
      </c>
      <c r="D1818" s="2" t="str">
        <f>IFERROR(__xludf.DUMMYFUNCTION("""COMPUTED_VALUE"""),"TA661-45323")</f>
        <v>TA661-45323</v>
      </c>
      <c r="E1818" s="2" t="str">
        <f>IFERROR(__xludf.DUMMYFUNCTION("""COMPUTED_VALUE"""),"256GB, Desert Titanium, ROW, iPhone 16 Pro Max, Logic Board Assy Mid Sys")</f>
        <v>256GB, Desert Titanium, ROW, iPhone 16 Pro Max, Logic Board Assy Mid Sys</v>
      </c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10" t="str">
        <f t="shared" si="1"/>
        <v>April</v>
      </c>
      <c r="B1819" s="11">
        <f>IFERROR(__xludf.DUMMYFUNCTION("""COMPUTED_VALUE"""),46120.0)</f>
        <v>46120</v>
      </c>
      <c r="C1819" s="2" t="str">
        <f>IFERROR(__xludf.DUMMYFUNCTION("""COMPUTED_VALUE"""),"MOBILECARE - DAVAO")</f>
        <v>MOBILECARE - DAVAO</v>
      </c>
      <c r="D1819" s="2" t="str">
        <f>IFERROR(__xludf.DUMMYFUNCTION("""COMPUTED_VALUE"""),"PP661-23454")</f>
        <v>PP661-23454</v>
      </c>
      <c r="E1819" s="2" t="str">
        <f>IFERROR(__xludf.DUMMYFUNCTION("""COMPUTED_VALUE"""),"iPhone 13, Midnight, 128GB, Logic Board Assy Rear System, ROW")</f>
        <v>iPhone 13, Midnight, 128GB, Logic Board Assy Rear System, ROW</v>
      </c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10" t="str">
        <f t="shared" si="1"/>
        <v>March</v>
      </c>
      <c r="B1820" s="11">
        <f>IFERROR(__xludf.DUMMYFUNCTION("""COMPUTED_VALUE"""),46082.0)</f>
        <v>46082</v>
      </c>
      <c r="C1820" s="2" t="str">
        <f>IFERROR(__xludf.DUMMYFUNCTION("""COMPUTED_VALUE"""),"MOBILECARE - DAVAO")</f>
        <v>MOBILECARE - DAVAO</v>
      </c>
      <c r="D1820" s="2" t="str">
        <f>IFERROR(__xludf.DUMMYFUNCTION("""COMPUTED_VALUE"""),"661-42728")</f>
        <v>661-42728</v>
      </c>
      <c r="E1820" s="2" t="str">
        <f>IFERROR(__xludf.DUMMYFUNCTION("""COMPUTED_VALUE"""),"Camera, iPhone 16 Pro")</f>
        <v>Camera, iPhone 16 Pro</v>
      </c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10" t="str">
        <f t="shared" si="1"/>
        <v>February</v>
      </c>
      <c r="B1821" s="11">
        <f>IFERROR(__xludf.DUMMYFUNCTION("""COMPUTED_VALUE"""),46076.0)</f>
        <v>46076</v>
      </c>
      <c r="C1821" s="2" t="str">
        <f>IFERROR(__xludf.DUMMYFUNCTION("""COMPUTED_VALUE"""),"MOBILECARE - DAVAO")</f>
        <v>MOBILECARE - DAVAO</v>
      </c>
      <c r="D1821" s="2" t="str">
        <f>IFERROR(__xludf.DUMMYFUNCTION("""COMPUTED_VALUE"""),"TA661-36694")</f>
        <v>TA661-36694</v>
      </c>
      <c r="E1821" s="2" t="str">
        <f>IFERROR(__xludf.DUMMYFUNCTION("""COMPUTED_VALUE"""),"iPhone 15, Blue, 128GB, Logic Board Assy Mid System, ROW")</f>
        <v>iPhone 15, Blue, 128GB, Logic Board Assy Mid System, ROW</v>
      </c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10" t="str">
        <f t="shared" si="1"/>
        <v>February</v>
      </c>
      <c r="B1822" s="11">
        <f>IFERROR(__xludf.DUMMYFUNCTION("""COMPUTED_VALUE"""),46073.0)</f>
        <v>46073</v>
      </c>
      <c r="C1822" s="2" t="str">
        <f>IFERROR(__xludf.DUMMYFUNCTION("""COMPUTED_VALUE"""),"MOBILECARE - DAVAO")</f>
        <v>MOBILECARE - DAVAO</v>
      </c>
      <c r="D1822" s="2" t="str">
        <f>IFERROR(__xludf.DUMMYFUNCTION("""COMPUTED_VALUE"""),"Z661-55956")</f>
        <v>Z661-55956</v>
      </c>
      <c r="E1822" s="2" t="str">
        <f>IFERROR(__xludf.DUMMYFUNCTION("""COMPUTED_VALUE"""),"Logic Board, 256GB, iPhone 17 Pro Max, ROW")</f>
        <v>Logic Board, 256GB, iPhone 17 Pro Max, ROW</v>
      </c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10" t="str">
        <f t="shared" si="1"/>
        <v>June</v>
      </c>
      <c r="B1823" s="11">
        <f>IFERROR(__xludf.DUMMYFUNCTION("""COMPUTED_VALUE"""),46192.0)</f>
        <v>46192</v>
      </c>
      <c r="C1823" s="2" t="str">
        <f>IFERROR(__xludf.DUMMYFUNCTION("""COMPUTED_VALUE"""),"MOBILECARE - DAVAO")</f>
        <v>MOBILECARE - DAVAO</v>
      </c>
      <c r="D1823" s="2" t="str">
        <f>IFERROR(__xludf.DUMMYFUNCTION("""COMPUTED_VALUE"""),"661-21996")</f>
        <v>661-21996</v>
      </c>
      <c r="E1823" s="2" t="str">
        <f>IFERROR(__xludf.DUMMYFUNCTION("""COMPUTED_VALUE"""),"Battery, iPhone 13 Pro")</f>
        <v>Battery, iPhone 13 Pro</v>
      </c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10" t="str">
        <f t="shared" si="1"/>
        <v>April</v>
      </c>
      <c r="B1824" s="11">
        <f>IFERROR(__xludf.DUMMYFUNCTION("""COMPUTED_VALUE"""),46126.0)</f>
        <v>46126</v>
      </c>
      <c r="C1824" s="2" t="str">
        <f>IFERROR(__xludf.DUMMYFUNCTION("""COMPUTED_VALUE"""),"MOBILECARE - DAVAO")</f>
        <v>MOBILECARE - DAVAO</v>
      </c>
      <c r="D1824" s="2" t="str">
        <f>IFERROR(__xludf.DUMMYFUNCTION("""COMPUTED_VALUE"""),"Z661-55956")</f>
        <v>Z661-55956</v>
      </c>
      <c r="E1824" s="2" t="str">
        <f>IFERROR(__xludf.DUMMYFUNCTION("""COMPUTED_VALUE"""),"Logic Board, 256GB, iPhone 17 Pro Max, ROW")</f>
        <v>Logic Board, 256GB, iPhone 17 Pro Max, ROW</v>
      </c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10" t="str">
        <f t="shared" si="1"/>
        <v>June</v>
      </c>
      <c r="B1825" s="11">
        <f>IFERROR(__xludf.DUMMYFUNCTION("""COMPUTED_VALUE"""),46191.0)</f>
        <v>46191</v>
      </c>
      <c r="C1825" s="2" t="str">
        <f>IFERROR(__xludf.DUMMYFUNCTION("""COMPUTED_VALUE"""),"MOBILECARE - DAVAO")</f>
        <v>MOBILECARE - DAVAO</v>
      </c>
      <c r="D1825" s="2" t="str">
        <f>IFERROR(__xludf.DUMMYFUNCTION("""COMPUTED_VALUE"""),"TA661-55208")</f>
        <v>TA661-55208</v>
      </c>
      <c r="E1825" s="2" t="str">
        <f>IFERROR(__xludf.DUMMYFUNCTION("""COMPUTED_VALUE"""),"Deep Blue, 256GB, iPhone 17 Pro Max, ROW, CI/AR, Taiwan")</f>
        <v>Deep Blue, 256GB, iPhone 17 Pro Max, ROW, CI/AR, Taiwan</v>
      </c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10" t="str">
        <f t="shared" si="1"/>
        <v>March</v>
      </c>
      <c r="B1826" s="11">
        <f>IFERROR(__xludf.DUMMYFUNCTION("""COMPUTED_VALUE"""),46110.0)</f>
        <v>46110</v>
      </c>
      <c r="C1826" s="2" t="str">
        <f>IFERROR(__xludf.DUMMYFUNCTION("""COMPUTED_VALUE"""),"MOBILECARE - DAVAO")</f>
        <v>MOBILECARE - DAVAO</v>
      </c>
      <c r="D1826" s="2" t="str">
        <f>IFERROR(__xludf.DUMMYFUNCTION("""COMPUTED_VALUE"""),"PP661-28868")</f>
        <v>PP661-28868</v>
      </c>
      <c r="E1826" s="2" t="str">
        <f>IFERROR(__xludf.DUMMYFUNCTION("""COMPUTED_VALUE"""),"iPhone 14, Midnight, 128GB, Logic Board Assy Mid System, ROW")</f>
        <v>iPhone 14, Midnight, 128GB, Logic Board Assy Mid System, ROW</v>
      </c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10" t="str">
        <f t="shared" si="1"/>
        <v>January</v>
      </c>
      <c r="B1827" s="11">
        <f>IFERROR(__xludf.DUMMYFUNCTION("""COMPUTED_VALUE"""),46051.0)</f>
        <v>46051</v>
      </c>
      <c r="C1827" s="2" t="str">
        <f>IFERROR(__xludf.DUMMYFUNCTION("""COMPUTED_VALUE"""),"MOBILECARE - DAVAO")</f>
        <v>MOBILECARE - DAVAO</v>
      </c>
      <c r="D1827" s="2" t="str">
        <f>IFERROR(__xludf.DUMMYFUNCTION("""COMPUTED_VALUE"""),"661-21988")</f>
        <v>661-21988</v>
      </c>
      <c r="E1827" s="2" t="str">
        <f>IFERROR(__xludf.DUMMYFUNCTION("""COMPUTED_VALUE"""),"Display, iPhone 13")</f>
        <v>Display, iPhone 13</v>
      </c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10" t="str">
        <f t="shared" si="1"/>
        <v>February</v>
      </c>
      <c r="B1828" s="11">
        <f>IFERROR(__xludf.DUMMYFUNCTION("""COMPUTED_VALUE"""),46060.0)</f>
        <v>46060</v>
      </c>
      <c r="C1828" s="2" t="str">
        <f>IFERROR(__xludf.DUMMYFUNCTION("""COMPUTED_VALUE"""),"MOBILECARE - DAVAO")</f>
        <v>MOBILECARE - DAVAO</v>
      </c>
      <c r="D1828" s="2" t="str">
        <f>IFERROR(__xludf.DUMMYFUNCTION("""COMPUTED_VALUE"""),"661-56125")</f>
        <v>661-56125</v>
      </c>
      <c r="E1828" s="2" t="str">
        <f>IFERROR(__xludf.DUMMYFUNCTION("""COMPUTED_VALUE"""),"Display, iPhone 17 Pro")</f>
        <v>Display, iPhone 17 Pro</v>
      </c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10" t="str">
        <f t="shared" si="1"/>
        <v>June</v>
      </c>
      <c r="B1829" s="11">
        <f>IFERROR(__xludf.DUMMYFUNCTION("""COMPUTED_VALUE"""),46179.0)</f>
        <v>46179</v>
      </c>
      <c r="C1829" s="2" t="str">
        <f>IFERROR(__xludf.DUMMYFUNCTION("""COMPUTED_VALUE"""),"MOBILECARE - DAVAO")</f>
        <v>MOBILECARE - DAVAO</v>
      </c>
      <c r="D1829" s="2" t="str">
        <f>IFERROR(__xludf.DUMMYFUNCTION("""COMPUTED_VALUE"""),"661-44955")</f>
        <v>661-44955</v>
      </c>
      <c r="E1829" s="2" t="str">
        <f>IFERROR(__xludf.DUMMYFUNCTION("""COMPUTED_VALUE"""),"Display, iPhone 16 Pro Max")</f>
        <v>Display, iPhone 16 Pro Max</v>
      </c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10" t="str">
        <f t="shared" si="1"/>
        <v>April</v>
      </c>
      <c r="B1830" s="11">
        <f>IFERROR(__xludf.DUMMYFUNCTION("""COMPUTED_VALUE"""),46131.0)</f>
        <v>46131</v>
      </c>
      <c r="C1830" s="2" t="str">
        <f>IFERROR(__xludf.DUMMYFUNCTION("""COMPUTED_VALUE"""),"MOBILECARE - DAVAO")</f>
        <v>MOBILECARE - DAVAO</v>
      </c>
      <c r="D1830" s="2" t="str">
        <f>IFERROR(__xludf.DUMMYFUNCTION("""COMPUTED_VALUE"""),"TA661-49966")</f>
        <v>TA661-49966</v>
      </c>
      <c r="E1830" s="2" t="str">
        <f>IFERROR(__xludf.DUMMYFUNCTION("""COMPUTED_VALUE"""),"Black, 256GB, Logic Board Assy Mid System, iPhone 16e, ROW")</f>
        <v>Black, 256GB, Logic Board Assy Mid System, iPhone 16e, ROW</v>
      </c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10" t="str">
        <f t="shared" si="1"/>
        <v>April</v>
      </c>
      <c r="B1831" s="11">
        <f>IFERROR(__xludf.DUMMYFUNCTION("""COMPUTED_VALUE"""),46130.0)</f>
        <v>46130</v>
      </c>
      <c r="C1831" s="2" t="str">
        <f>IFERROR(__xludf.DUMMYFUNCTION("""COMPUTED_VALUE"""),"MOBILECARE - DAVAO")</f>
        <v>MOBILECARE - DAVAO</v>
      </c>
      <c r="D1831" s="2" t="str">
        <f>IFERROR(__xludf.DUMMYFUNCTION("""COMPUTED_VALUE"""),"PP661-23455")</f>
        <v>PP661-23455</v>
      </c>
      <c r="E1831" s="2" t="str">
        <f>IFERROR(__xludf.DUMMYFUNCTION("""COMPUTED_VALUE"""),"iPhone 13, Starlight, 128GB, Logic Board Assy Rear System, ROW")</f>
        <v>iPhone 13, Starlight, 128GB, Logic Board Assy Rear System, ROW</v>
      </c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10" t="str">
        <f t="shared" si="1"/>
        <v>March</v>
      </c>
      <c r="B1832" s="11">
        <f>IFERROR(__xludf.DUMMYFUNCTION("""COMPUTED_VALUE"""),46096.0)</f>
        <v>46096</v>
      </c>
      <c r="C1832" s="2" t="str">
        <f>IFERROR(__xludf.DUMMYFUNCTION("""COMPUTED_VALUE"""),"MOBILECARE - DAVAO")</f>
        <v>MOBILECARE - DAVAO</v>
      </c>
      <c r="D1832" s="2" t="str">
        <f>IFERROR(__xludf.DUMMYFUNCTION("""COMPUTED_VALUE"""),"661-30366")</f>
        <v>661-30366</v>
      </c>
      <c r="E1832" s="2" t="str">
        <f>IFERROR(__xludf.DUMMYFUNCTION("""COMPUTED_VALUE"""),"Display, iPhone 14")</f>
        <v>Display, iPhone 14</v>
      </c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10" t="str">
        <f t="shared" si="1"/>
        <v>March</v>
      </c>
      <c r="B1833" s="11">
        <f>IFERROR(__xludf.DUMMYFUNCTION("""COMPUTED_VALUE"""),46100.0)</f>
        <v>46100</v>
      </c>
      <c r="C1833" s="2" t="str">
        <f>IFERROR(__xludf.DUMMYFUNCTION("""COMPUTED_VALUE"""),"MOBILECARE - DAVAO")</f>
        <v>MOBILECARE - DAVAO</v>
      </c>
      <c r="D1833" s="2" t="str">
        <f>IFERROR(__xludf.DUMMYFUNCTION("""COMPUTED_VALUE"""),"661-56050")</f>
        <v>661-56050</v>
      </c>
      <c r="E1833" s="2" t="str">
        <f>IFERROR(__xludf.DUMMYFUNCTION("""COMPUTED_VALUE"""),"Display, iPhone 17 Pro Max")</f>
        <v>Display, iPhone 17 Pro Max</v>
      </c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10" t="str">
        <f t="shared" si="1"/>
        <v>March</v>
      </c>
      <c r="B1834" s="11">
        <f>IFERROR(__xludf.DUMMYFUNCTION("""COMPUTED_VALUE"""),46100.0)</f>
        <v>46100</v>
      </c>
      <c r="C1834" s="2" t="str">
        <f>IFERROR(__xludf.DUMMYFUNCTION("""COMPUTED_VALUE"""),"MOBILECARE - DAVAO")</f>
        <v>MOBILECARE - DAVAO</v>
      </c>
      <c r="D1834" s="2" t="str">
        <f>IFERROR(__xludf.DUMMYFUNCTION("""COMPUTED_VALUE"""),"661-56050")</f>
        <v>661-56050</v>
      </c>
      <c r="E1834" s="2" t="str">
        <f>IFERROR(__xludf.DUMMYFUNCTION("""COMPUTED_VALUE"""),"Display, iPhone 17 Pro Max")</f>
        <v>Display, iPhone 17 Pro Max</v>
      </c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10" t="str">
        <f t="shared" si="1"/>
        <v>April</v>
      </c>
      <c r="B1835" s="11">
        <f>IFERROR(__xludf.DUMMYFUNCTION("""COMPUTED_VALUE"""),46127.0)</f>
        <v>46127</v>
      </c>
      <c r="C1835" s="2" t="str">
        <f>IFERROR(__xludf.DUMMYFUNCTION("""COMPUTED_VALUE"""),"MOBILECARE - DAVAO")</f>
        <v>MOBILECARE - DAVAO</v>
      </c>
      <c r="D1835" s="2" t="str">
        <f>IFERROR(__xludf.DUMMYFUNCTION("""COMPUTED_VALUE"""),"TA661-55210")</f>
        <v>TA661-55210</v>
      </c>
      <c r="E1835" s="2" t="str">
        <f>IFERROR(__xludf.DUMMYFUNCTION("""COMPUTED_VALUE"""),"Cosmic Orange, 512GB, iPhone 17 Pro Max, ROW, CI/AR, Taiwan")</f>
        <v>Cosmic Orange, 512GB, iPhone 17 Pro Max, ROW, CI/AR, Taiwan</v>
      </c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10" t="str">
        <f t="shared" si="1"/>
        <v>March</v>
      </c>
      <c r="B1836" s="11">
        <f>IFERROR(__xludf.DUMMYFUNCTION("""COMPUTED_VALUE"""),46099.0)</f>
        <v>46099</v>
      </c>
      <c r="C1836" s="2" t="str">
        <f>IFERROR(__xludf.DUMMYFUNCTION("""COMPUTED_VALUE"""),"MOBILECARE - DAVAO")</f>
        <v>MOBILECARE - DAVAO</v>
      </c>
      <c r="D1836" s="2" t="str">
        <f>IFERROR(__xludf.DUMMYFUNCTION("""COMPUTED_VALUE"""),"TA661-36694")</f>
        <v>TA661-36694</v>
      </c>
      <c r="E1836" s="2" t="str">
        <f>IFERROR(__xludf.DUMMYFUNCTION("""COMPUTED_VALUE"""),"iPhone 15, Blue, 128GB, Logic Board Assy Mid System, ROW")</f>
        <v>iPhone 15, Blue, 128GB, Logic Board Assy Mid System, ROW</v>
      </c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10" t="str">
        <f t="shared" si="1"/>
        <v>March</v>
      </c>
      <c r="B1837" s="11">
        <f>IFERROR(__xludf.DUMMYFUNCTION("""COMPUTED_VALUE"""),46085.0)</f>
        <v>46085</v>
      </c>
      <c r="C1837" s="2" t="str">
        <f>IFERROR(__xludf.DUMMYFUNCTION("""COMPUTED_VALUE"""),"MOBILECARE - DAVAO")</f>
        <v>MOBILECARE - DAVAO</v>
      </c>
      <c r="D1837" s="2" t="str">
        <f>IFERROR(__xludf.DUMMYFUNCTION("""COMPUTED_VALUE"""),"661-44957")</f>
        <v>661-44957</v>
      </c>
      <c r="E1837" s="2" t="str">
        <f>IFERROR(__xludf.DUMMYFUNCTION("""COMPUTED_VALUE"""),"Camera, iPhone 16 Pro Max")</f>
        <v>Camera, iPhone 16 Pro Max</v>
      </c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10" t="str">
        <f t="shared" si="1"/>
        <v>March</v>
      </c>
      <c r="B1838" s="11">
        <f>IFERROR(__xludf.DUMMYFUNCTION("""COMPUTED_VALUE"""),46085.0)</f>
        <v>46085</v>
      </c>
      <c r="C1838" s="2" t="str">
        <f>IFERROR(__xludf.DUMMYFUNCTION("""COMPUTED_VALUE"""),"MOBILECARE - DAVAO")</f>
        <v>MOBILECARE - DAVAO</v>
      </c>
      <c r="D1838" s="2" t="str">
        <f>IFERROR(__xludf.DUMMYFUNCTION("""COMPUTED_VALUE"""),"661-44957")</f>
        <v>661-44957</v>
      </c>
      <c r="E1838" s="2" t="str">
        <f>IFERROR(__xludf.DUMMYFUNCTION("""COMPUTED_VALUE"""),"Camera, iPhone 16 Pro Max")</f>
        <v>Camera, iPhone 16 Pro Max</v>
      </c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10" t="str">
        <f t="shared" si="1"/>
        <v>March</v>
      </c>
      <c r="B1839" s="11">
        <f>IFERROR(__xludf.DUMMYFUNCTION("""COMPUTED_VALUE"""),46107.0)</f>
        <v>46107</v>
      </c>
      <c r="C1839" s="2" t="str">
        <f>IFERROR(__xludf.DUMMYFUNCTION("""COMPUTED_VALUE"""),"MOBILECARE - DAVAO")</f>
        <v>MOBILECARE - DAVAO</v>
      </c>
      <c r="D1839" s="2" t="str">
        <f>IFERROR(__xludf.DUMMYFUNCTION("""COMPUTED_VALUE"""),"TA661-45263")</f>
        <v>TA661-45263</v>
      </c>
      <c r="E1839" s="2" t="str">
        <f>IFERROR(__xludf.DUMMYFUNCTION("""COMPUTED_VALUE"""),"256GB, Desert Titanium, ROW, iPhone 16 Pro Max, CI/AR")</f>
        <v>256GB, Desert Titanium, ROW, iPhone 16 Pro Max, CI/AR</v>
      </c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10" t="str">
        <f t="shared" si="1"/>
        <v>March</v>
      </c>
      <c r="B1840" s="11">
        <f>IFERROR(__xludf.DUMMYFUNCTION("""COMPUTED_VALUE"""),46093.0)</f>
        <v>46093</v>
      </c>
      <c r="C1840" s="2" t="str">
        <f>IFERROR(__xludf.DUMMYFUNCTION("""COMPUTED_VALUE"""),"MOBILECARE - DAVAO")</f>
        <v>MOBILECARE - DAVAO</v>
      </c>
      <c r="D1840" s="2" t="str">
        <f>IFERROR(__xludf.DUMMYFUNCTION("""COMPUTED_VALUE"""),"Z661-55957")</f>
        <v>Z661-55957</v>
      </c>
      <c r="E1840" s="2" t="str">
        <f>IFERROR(__xludf.DUMMYFUNCTION("""COMPUTED_VALUE"""),"Logic Board, 512GB, iPhone 17 Pro Max, ROW")</f>
        <v>Logic Board, 512GB, iPhone 17 Pro Max, ROW</v>
      </c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10" t="str">
        <f t="shared" si="1"/>
        <v>February</v>
      </c>
      <c r="B1841" s="11">
        <f>IFERROR(__xludf.DUMMYFUNCTION("""COMPUTED_VALUE"""),46071.0)</f>
        <v>46071</v>
      </c>
      <c r="C1841" s="2" t="str">
        <f>IFERROR(__xludf.DUMMYFUNCTION("""COMPUTED_VALUE"""),"MOBILECARE - DAVAO")</f>
        <v>MOBILECARE - DAVAO</v>
      </c>
      <c r="D1841" s="2" t="str">
        <f>IFERROR(__xludf.DUMMYFUNCTION("""COMPUTED_VALUE"""),"661-42726")</f>
        <v>661-42726</v>
      </c>
      <c r="E1841" s="2" t="str">
        <f>IFERROR(__xludf.DUMMYFUNCTION("""COMPUTED_VALUE"""),"Display, iPhone 16 Pro")</f>
        <v>Display, iPhone 16 Pro</v>
      </c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10" t="str">
        <f t="shared" si="1"/>
        <v>February</v>
      </c>
      <c r="B1842" s="11">
        <f>IFERROR(__xludf.DUMMYFUNCTION("""COMPUTED_VALUE"""),46073.0)</f>
        <v>46073</v>
      </c>
      <c r="C1842" s="2" t="str">
        <f>IFERROR(__xludf.DUMMYFUNCTION("""COMPUTED_VALUE"""),"MOBILECARE - DAVAO")</f>
        <v>MOBILECARE - DAVAO</v>
      </c>
      <c r="D1842" s="2" t="str">
        <f>IFERROR(__xludf.DUMMYFUNCTION("""COMPUTED_VALUE"""),"TA661-45231")</f>
        <v>TA661-45231</v>
      </c>
      <c r="E1842" s="2" t="str">
        <f>IFERROR(__xludf.DUMMYFUNCTION("""COMPUTED_VALUE"""),"128GB, Black, ROW, iPhone 16 Plus, Logic Board Assy Mid System")</f>
        <v>128GB, Black, ROW, iPhone 16 Plus, Logic Board Assy Mid System</v>
      </c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10" t="str">
        <f t="shared" si="1"/>
        <v>January</v>
      </c>
      <c r="B1843" s="11">
        <f>IFERROR(__xludf.DUMMYFUNCTION("""COMPUTED_VALUE"""),46048.0)</f>
        <v>46048</v>
      </c>
      <c r="C1843" s="2" t="str">
        <f>IFERROR(__xludf.DUMMYFUNCTION("""COMPUTED_VALUE"""),"MOBILECARE - DAVAO")</f>
        <v>MOBILECARE - DAVAO</v>
      </c>
      <c r="D1843" s="2" t="str">
        <f>IFERROR(__xludf.DUMMYFUNCTION("""COMPUTED_VALUE"""),"661-42726")</f>
        <v>661-42726</v>
      </c>
      <c r="E1843" s="2" t="str">
        <f>IFERROR(__xludf.DUMMYFUNCTION("""COMPUTED_VALUE"""),"Display, iPhone 16 Pro")</f>
        <v>Display, iPhone 16 Pro</v>
      </c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10" t="str">
        <f t="shared" si="1"/>
        <v>February</v>
      </c>
      <c r="B1844" s="11">
        <f>IFERROR(__xludf.DUMMYFUNCTION("""COMPUTED_VALUE"""),46055.0)</f>
        <v>46055</v>
      </c>
      <c r="C1844" s="2" t="str">
        <f>IFERROR(__xludf.DUMMYFUNCTION("""COMPUTED_VALUE"""),"MOBILECARE - DAVAO")</f>
        <v>MOBILECARE - DAVAO</v>
      </c>
      <c r="D1844" s="2" t="str">
        <f>IFERROR(__xludf.DUMMYFUNCTION("""COMPUTED_VALUE"""),"TA661-36694")</f>
        <v>TA661-36694</v>
      </c>
      <c r="E1844" s="2" t="str">
        <f>IFERROR(__xludf.DUMMYFUNCTION("""COMPUTED_VALUE"""),"iPhone 15, Blue, 128GB, Logic Board Assy Mid System, ROW")</f>
        <v>iPhone 15, Blue, 128GB, Logic Board Assy Mid System, ROW</v>
      </c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10" t="str">
        <f t="shared" si="1"/>
        <v>June</v>
      </c>
      <c r="B1845" s="11">
        <f>IFERROR(__xludf.DUMMYFUNCTION("""COMPUTED_VALUE"""),46186.0)</f>
        <v>46186</v>
      </c>
      <c r="C1845" s="2" t="str">
        <f>IFERROR(__xludf.DUMMYFUNCTION("""COMPUTED_VALUE"""),"MOBILECARE - DAVAO")</f>
        <v>MOBILECARE - DAVAO</v>
      </c>
      <c r="D1845" s="2" t="str">
        <f>IFERROR(__xludf.DUMMYFUNCTION("""COMPUTED_VALUE"""),"661-17920")</f>
        <v>661-17920</v>
      </c>
      <c r="E1845" s="2" t="str">
        <f>IFERROR(__xludf.DUMMYFUNCTION("""COMPUTED_VALUE"""),"Battery, iPhone 12 and 12 Pro")</f>
        <v>Battery, iPhone 12 and 12 Pro</v>
      </c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10" t="str">
        <f t="shared" si="1"/>
        <v>June</v>
      </c>
      <c r="B1846" s="11">
        <f>IFERROR(__xludf.DUMMYFUNCTION("""COMPUTED_VALUE"""),46180.0)</f>
        <v>46180</v>
      </c>
      <c r="C1846" s="2" t="str">
        <f>IFERROR(__xludf.DUMMYFUNCTION("""COMPUTED_VALUE"""),"MOBILECARE - DAVAO")</f>
        <v>MOBILECARE - DAVAO</v>
      </c>
      <c r="D1846" s="2" t="str">
        <f>IFERROR(__xludf.DUMMYFUNCTION("""COMPUTED_VALUE"""),"PP661-23454")</f>
        <v>PP661-23454</v>
      </c>
      <c r="E1846" s="2" t="str">
        <f>IFERROR(__xludf.DUMMYFUNCTION("""COMPUTED_VALUE"""),"iPhone 13, Midnight, 128GB, Logic Board Assy Rear System, ROW")</f>
        <v>iPhone 13, Midnight, 128GB, Logic Board Assy Rear System, ROW</v>
      </c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10" t="str">
        <f t="shared" si="1"/>
        <v>June</v>
      </c>
      <c r="B1847" s="11">
        <f>IFERROR(__xludf.DUMMYFUNCTION("""COMPUTED_VALUE"""),46187.0)</f>
        <v>46187</v>
      </c>
      <c r="C1847" s="2" t="str">
        <f>IFERROR(__xludf.DUMMYFUNCTION("""COMPUTED_VALUE"""),"MOBILECARE - DAVAO")</f>
        <v>MOBILECARE - DAVAO</v>
      </c>
      <c r="D1847" s="2" t="str">
        <f>IFERROR(__xludf.DUMMYFUNCTION("""COMPUTED_VALUE"""),"PP661-28869")</f>
        <v>PP661-28869</v>
      </c>
      <c r="E1847" s="2" t="str">
        <f>IFERROR(__xludf.DUMMYFUNCTION("""COMPUTED_VALUE"""),"iPhone 14, Starlight, 128GB, Logic Board Assy Mid System, ROW")</f>
        <v>iPhone 14, Starlight, 128GB, Logic Board Assy Mid System, ROW</v>
      </c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10" t="str">
        <f t="shared" si="1"/>
        <v>June</v>
      </c>
      <c r="B1848" s="11">
        <f>IFERROR(__xludf.DUMMYFUNCTION("""COMPUTED_VALUE"""),46185.0)</f>
        <v>46185</v>
      </c>
      <c r="C1848" s="2" t="str">
        <f>IFERROR(__xludf.DUMMYFUNCTION("""COMPUTED_VALUE"""),"MOBILECARE - DAVAO")</f>
        <v>MOBILECARE - DAVAO</v>
      </c>
      <c r="D1848" s="2" t="str">
        <f>IFERROR(__xludf.DUMMYFUNCTION("""COMPUTED_VALUE"""),"PP661-23455")</f>
        <v>PP661-23455</v>
      </c>
      <c r="E1848" s="2" t="str">
        <f>IFERROR(__xludf.DUMMYFUNCTION("""COMPUTED_VALUE"""),"iPhone 13, Starlight, 128GB, Logic Board Assy Rear System, ROW")</f>
        <v>iPhone 13, Starlight, 128GB, Logic Board Assy Rear System, ROW</v>
      </c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10" t="str">
        <f t="shared" si="1"/>
        <v>May</v>
      </c>
      <c r="B1849" s="11">
        <f>IFERROR(__xludf.DUMMYFUNCTION("""COMPUTED_VALUE"""),46156.0)</f>
        <v>46156</v>
      </c>
      <c r="C1849" s="2" t="str">
        <f>IFERROR(__xludf.DUMMYFUNCTION("""COMPUTED_VALUE"""),"MOBILECARE - DAVAO")</f>
        <v>MOBILECARE - DAVAO</v>
      </c>
      <c r="D1849" s="2" t="str">
        <f>IFERROR(__xludf.DUMMYFUNCTION("""COMPUTED_VALUE"""),"PP661-28874")</f>
        <v>PP661-28874</v>
      </c>
      <c r="E1849" s="2" t="str">
        <f>IFERROR(__xludf.DUMMYFUNCTION("""COMPUTED_VALUE"""),"iPhone 14, Starlight, 256GB, Logic Board Assy Mid System, ROW")</f>
        <v>iPhone 14, Starlight, 256GB, Logic Board Assy Mid System, ROW</v>
      </c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10" t="str">
        <f t="shared" si="1"/>
        <v>March</v>
      </c>
      <c r="B1850" s="11">
        <f>IFERROR(__xludf.DUMMYFUNCTION("""COMPUTED_VALUE"""),46109.0)</f>
        <v>46109</v>
      </c>
      <c r="C1850" s="2" t="str">
        <f>IFERROR(__xludf.DUMMYFUNCTION("""COMPUTED_VALUE"""),"MOBILECARE - DAVAO")</f>
        <v>MOBILECARE - DAVAO</v>
      </c>
      <c r="D1850" s="2" t="str">
        <f>IFERROR(__xludf.DUMMYFUNCTION("""COMPUTED_VALUE"""),"661-30393")</f>
        <v>661-30393</v>
      </c>
      <c r="E1850" s="2" t="str">
        <f>IFERROR(__xludf.DUMMYFUNCTION("""COMPUTED_VALUE"""),"Camera, iPhone 14 Plus")</f>
        <v>Camera, iPhone 14 Plus</v>
      </c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10" t="str">
        <f t="shared" si="1"/>
        <v>May</v>
      </c>
      <c r="B1851" s="11">
        <f>IFERROR(__xludf.DUMMYFUNCTION("""COMPUTED_VALUE"""),46148.0)</f>
        <v>46148</v>
      </c>
      <c r="C1851" s="2" t="str">
        <f>IFERROR(__xludf.DUMMYFUNCTION("""COMPUTED_VALUE"""),"MOBILECARE - DAVAO")</f>
        <v>MOBILECARE - DAVAO</v>
      </c>
      <c r="D1851" s="2" t="str">
        <f>IFERROR(__xludf.DUMMYFUNCTION("""COMPUTED_VALUE"""),"PP661-23455")</f>
        <v>PP661-23455</v>
      </c>
      <c r="E1851" s="2" t="str">
        <f>IFERROR(__xludf.DUMMYFUNCTION("""COMPUTED_VALUE"""),"iPhone 13, Starlight, 128GB, Logic Board Assy Rear System, ROW")</f>
        <v>iPhone 13, Starlight, 128GB, Logic Board Assy Rear System, ROW</v>
      </c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10" t="str">
        <f t="shared" si="1"/>
        <v>May</v>
      </c>
      <c r="B1852" s="11">
        <f>IFERROR(__xludf.DUMMYFUNCTION("""COMPUTED_VALUE"""),46148.0)</f>
        <v>46148</v>
      </c>
      <c r="C1852" s="2" t="str">
        <f>IFERROR(__xludf.DUMMYFUNCTION("""COMPUTED_VALUE"""),"MOBILECARE - DAVAO")</f>
        <v>MOBILECARE - DAVAO</v>
      </c>
      <c r="D1852" s="2" t="str">
        <f>IFERROR(__xludf.DUMMYFUNCTION("""COMPUTED_VALUE"""),"PP661-23455")</f>
        <v>PP661-23455</v>
      </c>
      <c r="E1852" s="2" t="str">
        <f>IFERROR(__xludf.DUMMYFUNCTION("""COMPUTED_VALUE"""),"iPhone 13, Starlight, 128GB, Logic Board Assy Rear System, ROW")</f>
        <v>iPhone 13, Starlight, 128GB, Logic Board Assy Rear System, ROW</v>
      </c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10" t="str">
        <f t="shared" si="1"/>
        <v>June</v>
      </c>
      <c r="B1853" s="11">
        <f>IFERROR(__xludf.DUMMYFUNCTION("""COMPUTED_VALUE"""),46184.0)</f>
        <v>46184</v>
      </c>
      <c r="C1853" s="2" t="str">
        <f>IFERROR(__xludf.DUMMYFUNCTION("""COMPUTED_VALUE"""),"MOBILECARE - DAVAO")</f>
        <v>MOBILECARE - DAVAO</v>
      </c>
      <c r="D1853" s="2" t="str">
        <f>IFERROR(__xludf.DUMMYFUNCTION("""COMPUTED_VALUE"""),"PP661-22981")</f>
        <v>PP661-22981</v>
      </c>
      <c r="E1853" s="2" t="str">
        <f>IFERROR(__xludf.DUMMYFUNCTION("""COMPUTED_VALUE"""),"Starlight, 128 GB, iPhone 13, ROW, CI/AR, Philippines")</f>
        <v>Starlight, 128 GB, iPhone 13, ROW, CI/AR, Philippines</v>
      </c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10" t="str">
        <f t="shared" si="1"/>
        <v>March</v>
      </c>
      <c r="B1854" s="11">
        <f>IFERROR(__xludf.DUMMYFUNCTION("""COMPUTED_VALUE"""),46088.0)</f>
        <v>46088</v>
      </c>
      <c r="C1854" s="2" t="str">
        <f>IFERROR(__xludf.DUMMYFUNCTION("""COMPUTED_VALUE"""),"MOBILECARE - DAVAO")</f>
        <v>MOBILECARE - DAVAO</v>
      </c>
      <c r="D1854" s="2" t="str">
        <f>IFERROR(__xludf.DUMMYFUNCTION("""COMPUTED_VALUE"""),"PP661-23455")</f>
        <v>PP661-23455</v>
      </c>
      <c r="E1854" s="2" t="str">
        <f>IFERROR(__xludf.DUMMYFUNCTION("""COMPUTED_VALUE"""),"iPhone 13, Starlight, 128GB, Logic Board Assy Rear System, ROW")</f>
        <v>iPhone 13, Starlight, 128GB, Logic Board Assy Rear System, ROW</v>
      </c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10" t="str">
        <f t="shared" si="1"/>
        <v>March</v>
      </c>
      <c r="B1855" s="11">
        <f>IFERROR(__xludf.DUMMYFUNCTION("""COMPUTED_VALUE"""),46090.0)</f>
        <v>46090</v>
      </c>
      <c r="C1855" s="2" t="str">
        <f>IFERROR(__xludf.DUMMYFUNCTION("""COMPUTED_VALUE"""),"MOBILECARE - DAVAO")</f>
        <v>MOBILECARE - DAVAO</v>
      </c>
      <c r="D1855" s="2" t="str">
        <f>IFERROR(__xludf.DUMMYFUNCTION("""COMPUTED_VALUE"""),"PP661-23455")</f>
        <v>PP661-23455</v>
      </c>
      <c r="E1855" s="2" t="str">
        <f>IFERROR(__xludf.DUMMYFUNCTION("""COMPUTED_VALUE"""),"iPhone 13, Starlight, 128GB, Logic Board Assy Rear System, ROW")</f>
        <v>iPhone 13, Starlight, 128GB, Logic Board Assy Rear System, ROW</v>
      </c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10" t="str">
        <f t="shared" si="1"/>
        <v>February</v>
      </c>
      <c r="B1856" s="11">
        <f>IFERROR(__xludf.DUMMYFUNCTION("""COMPUTED_VALUE"""),46066.0)</f>
        <v>46066</v>
      </c>
      <c r="C1856" s="2" t="str">
        <f>IFERROR(__xludf.DUMMYFUNCTION("""COMPUTED_VALUE"""),"MOBILECARE - DAVAO")</f>
        <v>MOBILECARE - DAVAO</v>
      </c>
      <c r="D1856" s="2" t="str">
        <f>IFERROR(__xludf.DUMMYFUNCTION("""COMPUTED_VALUE"""),"661-21988")</f>
        <v>661-21988</v>
      </c>
      <c r="E1856" s="2" t="str">
        <f>IFERROR(__xludf.DUMMYFUNCTION("""COMPUTED_VALUE"""),"Display, iPhone 13")</f>
        <v>Display, iPhone 13</v>
      </c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10" t="str">
        <f t="shared" si="1"/>
        <v>June</v>
      </c>
      <c r="B1857" s="11">
        <f>IFERROR(__xludf.DUMMYFUNCTION("""COMPUTED_VALUE"""),46185.0)</f>
        <v>46185</v>
      </c>
      <c r="C1857" s="2" t="str">
        <f>IFERROR(__xludf.DUMMYFUNCTION("""COMPUTED_VALUE"""),"MOBILECARE - DAVAO")</f>
        <v>MOBILECARE - DAVAO</v>
      </c>
      <c r="D1857" s="2" t="str">
        <f>IFERROR(__xludf.DUMMYFUNCTION("""COMPUTED_VALUE"""),"661-22309")</f>
        <v>661-22309</v>
      </c>
      <c r="E1857" s="2" t="str">
        <f>IFERROR(__xludf.DUMMYFUNCTION("""COMPUTED_VALUE"""),"Display, iPhone 13 Pro Max")</f>
        <v>Display, iPhone 13 Pro Max</v>
      </c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10" t="str">
        <f t="shared" si="1"/>
        <v>May</v>
      </c>
      <c r="B1858" s="11">
        <f>IFERROR(__xludf.DUMMYFUNCTION("""COMPUTED_VALUE"""),46167.0)</f>
        <v>46167</v>
      </c>
      <c r="C1858" s="2" t="str">
        <f>IFERROR(__xludf.DUMMYFUNCTION("""COMPUTED_VALUE"""),"MOBILECARE - DAVAO")</f>
        <v>MOBILECARE - DAVAO</v>
      </c>
      <c r="D1858" s="2" t="str">
        <f>IFERROR(__xludf.DUMMYFUNCTION("""COMPUTED_VALUE"""),"661-55240")</f>
        <v>661-55240</v>
      </c>
      <c r="E1858" s="2" t="str">
        <f>IFERROR(__xludf.DUMMYFUNCTION("""COMPUTED_VALUE"""),"Display, iPhone Air")</f>
        <v>Display, iPhone Air</v>
      </c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10" t="str">
        <f t="shared" si="1"/>
        <v>June</v>
      </c>
      <c r="B1859" s="11">
        <f>IFERROR(__xludf.DUMMYFUNCTION("""COMPUTED_VALUE"""),46187.0)</f>
        <v>46187</v>
      </c>
      <c r="C1859" s="2" t="str">
        <f>IFERROR(__xludf.DUMMYFUNCTION("""COMPUTED_VALUE"""),"MOBILECARE - DAVAO")</f>
        <v>MOBILECARE - DAVAO</v>
      </c>
      <c r="D1859" s="2" t="str">
        <f>IFERROR(__xludf.DUMMYFUNCTION("""COMPUTED_VALUE"""),"PP661-28871")</f>
        <v>PP661-28871</v>
      </c>
      <c r="E1859" s="2" t="str">
        <f>IFERROR(__xludf.DUMMYFUNCTION("""COMPUTED_VALUE"""),"iPhone 14, Blue, 128GB, Logic Board Assy Mid System, ROW")</f>
        <v>iPhone 14, Blue, 128GB, Logic Board Assy Mid System, ROW</v>
      </c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10" t="str">
        <f t="shared" si="1"/>
        <v>April</v>
      </c>
      <c r="B1860" s="11">
        <f>IFERROR(__xludf.DUMMYFUNCTION("""COMPUTED_VALUE"""),46127.0)</f>
        <v>46127</v>
      </c>
      <c r="C1860" s="2" t="str">
        <f>IFERROR(__xludf.DUMMYFUNCTION("""COMPUTED_VALUE"""),"MOBILECARE - DAVAO")</f>
        <v>MOBILECARE - DAVAO</v>
      </c>
      <c r="D1860" s="2" t="str">
        <f>IFERROR(__xludf.DUMMYFUNCTION("""COMPUTED_VALUE"""),"PP661-23455")</f>
        <v>PP661-23455</v>
      </c>
      <c r="E1860" s="2" t="str">
        <f>IFERROR(__xludf.DUMMYFUNCTION("""COMPUTED_VALUE"""),"iPhone 13, Starlight, 128GB, Logic Board Assy Rear System, ROW")</f>
        <v>iPhone 13, Starlight, 128GB, Logic Board Assy Rear System, ROW</v>
      </c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10" t="str">
        <f t="shared" si="1"/>
        <v>April</v>
      </c>
      <c r="B1861" s="11">
        <f>IFERROR(__xludf.DUMMYFUNCTION("""COMPUTED_VALUE"""),46120.0)</f>
        <v>46120</v>
      </c>
      <c r="C1861" s="2" t="str">
        <f>IFERROR(__xludf.DUMMYFUNCTION("""COMPUTED_VALUE"""),"MOBILECARE - DAVAO")</f>
        <v>MOBILECARE - DAVAO</v>
      </c>
      <c r="D1861" s="2" t="str">
        <f>IFERROR(__xludf.DUMMYFUNCTION("""COMPUTED_VALUE"""),"TA661-55281")</f>
        <v>TA661-55281</v>
      </c>
      <c r="E1861" s="2" t="str">
        <f>IFERROR(__xludf.DUMMYFUNCTION("""COMPUTED_VALUE"""),"Mist Blue, 256GB, iPhone 17, ROW, Taiwan, CI/AR")</f>
        <v>Mist Blue, 256GB, iPhone 17, ROW, Taiwan, CI/AR</v>
      </c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10" t="str">
        <f t="shared" si="1"/>
        <v>March</v>
      </c>
      <c r="B1862" s="11">
        <f>IFERROR(__xludf.DUMMYFUNCTION("""COMPUTED_VALUE"""),46092.0)</f>
        <v>46092</v>
      </c>
      <c r="C1862" s="2" t="str">
        <f>IFERROR(__xludf.DUMMYFUNCTION("""COMPUTED_VALUE"""),"MOBILECARE - DAVAO")</f>
        <v>MOBILECARE - DAVAO</v>
      </c>
      <c r="D1862" s="2" t="str">
        <f>IFERROR(__xludf.DUMMYFUNCTION("""COMPUTED_VALUE"""),"661-22309")</f>
        <v>661-22309</v>
      </c>
      <c r="E1862" s="2" t="str">
        <f>IFERROR(__xludf.DUMMYFUNCTION("""COMPUTED_VALUE"""),"Display, iPhone 13 Pro Max")</f>
        <v>Display, iPhone 13 Pro Max</v>
      </c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10" t="str">
        <f t="shared" si="1"/>
        <v>March</v>
      </c>
      <c r="B1863" s="11">
        <f>IFERROR(__xludf.DUMMYFUNCTION("""COMPUTED_VALUE"""),46101.0)</f>
        <v>46101</v>
      </c>
      <c r="C1863" s="2" t="str">
        <f>IFERROR(__xludf.DUMMYFUNCTION("""COMPUTED_VALUE"""),"MOBILECARE - DAVAO")</f>
        <v>MOBILECARE - DAVAO</v>
      </c>
      <c r="D1863" s="2" t="str">
        <f>IFERROR(__xludf.DUMMYFUNCTION("""COMPUTED_VALUE"""),"PP661-28868")</f>
        <v>PP661-28868</v>
      </c>
      <c r="E1863" s="2" t="str">
        <f>IFERROR(__xludf.DUMMYFUNCTION("""COMPUTED_VALUE"""),"iPhone 14, Midnight, 128GB, Logic Board Assy Mid System, ROW")</f>
        <v>iPhone 14, Midnight, 128GB, Logic Board Assy Mid System, ROW</v>
      </c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10" t="str">
        <f t="shared" si="1"/>
        <v>February</v>
      </c>
      <c r="B1864" s="11">
        <f>IFERROR(__xludf.DUMMYFUNCTION("""COMPUTED_VALUE"""),46079.0)</f>
        <v>46079</v>
      </c>
      <c r="C1864" s="2" t="str">
        <f>IFERROR(__xludf.DUMMYFUNCTION("""COMPUTED_VALUE"""),"MOBILECARE - DAVAO")</f>
        <v>MOBILECARE - DAVAO</v>
      </c>
      <c r="D1864" s="2" t="str">
        <f>IFERROR(__xludf.DUMMYFUNCTION("""COMPUTED_VALUE"""),"661-21996")</f>
        <v>661-21996</v>
      </c>
      <c r="E1864" s="2" t="str">
        <f>IFERROR(__xludf.DUMMYFUNCTION("""COMPUTED_VALUE"""),"Battery, iPhone 13 Pro")</f>
        <v>Battery, iPhone 13 Pro</v>
      </c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10" t="str">
        <f t="shared" si="1"/>
        <v>February</v>
      </c>
      <c r="B1865" s="11">
        <f>IFERROR(__xludf.DUMMYFUNCTION("""COMPUTED_VALUE"""),46074.0)</f>
        <v>46074</v>
      </c>
      <c r="C1865" s="2" t="str">
        <f>IFERROR(__xludf.DUMMYFUNCTION("""COMPUTED_VALUE"""),"MOBILECARE - DAVAO")</f>
        <v>MOBILECARE - DAVAO</v>
      </c>
      <c r="D1865" s="2" t="str">
        <f>IFERROR(__xludf.DUMMYFUNCTION("""COMPUTED_VALUE"""),"661-42726")</f>
        <v>661-42726</v>
      </c>
      <c r="E1865" s="2" t="str">
        <f>IFERROR(__xludf.DUMMYFUNCTION("""COMPUTED_VALUE"""),"Display, iPhone 16 Pro")</f>
        <v>Display, iPhone 16 Pro</v>
      </c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10" t="str">
        <f t="shared" si="1"/>
        <v>February</v>
      </c>
      <c r="B1866" s="11">
        <f>IFERROR(__xludf.DUMMYFUNCTION("""COMPUTED_VALUE"""),46074.0)</f>
        <v>46074</v>
      </c>
      <c r="C1866" s="2" t="str">
        <f>IFERROR(__xludf.DUMMYFUNCTION("""COMPUTED_VALUE"""),"MOBILECARE - DAVAO")</f>
        <v>MOBILECARE - DAVAO</v>
      </c>
      <c r="D1866" s="2" t="str">
        <f>IFERROR(__xludf.DUMMYFUNCTION("""COMPUTED_VALUE"""),"661-42726")</f>
        <v>661-42726</v>
      </c>
      <c r="E1866" s="2" t="str">
        <f>IFERROR(__xludf.DUMMYFUNCTION("""COMPUTED_VALUE"""),"Display, iPhone 16 Pro")</f>
        <v>Display, iPhone 16 Pro</v>
      </c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10" t="str">
        <f t="shared" si="1"/>
        <v>March</v>
      </c>
      <c r="B1867" s="11">
        <f>IFERROR(__xludf.DUMMYFUNCTION("""COMPUTED_VALUE"""),46098.0)</f>
        <v>46098</v>
      </c>
      <c r="C1867" s="2" t="str">
        <f>IFERROR(__xludf.DUMMYFUNCTION("""COMPUTED_VALUE"""),"MOBILECARE - DAVAO")</f>
        <v>MOBILECARE - DAVAO</v>
      </c>
      <c r="D1867" s="2" t="str">
        <f>IFERROR(__xludf.DUMMYFUNCTION("""COMPUTED_VALUE"""),"TA661-42901")</f>
        <v>TA661-42901</v>
      </c>
      <c r="E1867" s="2" t="str">
        <f>IFERROR(__xludf.DUMMYFUNCTION("""COMPUTED_VALUE"""),"256GB, Black Titanium, ROW, iPhone 16 Pro, CI/AR")</f>
        <v>256GB, Black Titanium, ROW, iPhone 16 Pro, CI/AR</v>
      </c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10" t="str">
        <f t="shared" si="1"/>
        <v>January</v>
      </c>
      <c r="B1868" s="11">
        <f>IFERROR(__xludf.DUMMYFUNCTION("""COMPUTED_VALUE"""),46046.0)</f>
        <v>46046</v>
      </c>
      <c r="C1868" s="2" t="str">
        <f>IFERROR(__xludf.DUMMYFUNCTION("""COMPUTED_VALUE"""),"MOBILECARE - DAVAO")</f>
        <v>MOBILECARE - DAVAO</v>
      </c>
      <c r="D1868" s="2" t="str">
        <f>IFERROR(__xludf.DUMMYFUNCTION("""COMPUTED_VALUE"""),"661-22309")</f>
        <v>661-22309</v>
      </c>
      <c r="E1868" s="2" t="str">
        <f>IFERROR(__xludf.DUMMYFUNCTION("""COMPUTED_VALUE"""),"Display, iPhone 13 Pro Max")</f>
        <v>Display, iPhone 13 Pro Max</v>
      </c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10" t="str">
        <f t="shared" si="1"/>
        <v>January</v>
      </c>
      <c r="B1869" s="11">
        <f>IFERROR(__xludf.DUMMYFUNCTION("""COMPUTED_VALUE"""),46045.0)</f>
        <v>46045</v>
      </c>
      <c r="C1869" s="2" t="str">
        <f>IFERROR(__xludf.DUMMYFUNCTION("""COMPUTED_VALUE"""),"MOBILECARE - DAVAO")</f>
        <v>MOBILECARE - DAVAO</v>
      </c>
      <c r="D1869" s="2" t="str">
        <f>IFERROR(__xludf.DUMMYFUNCTION("""COMPUTED_VALUE"""),"661-17939")</f>
        <v>661-17939</v>
      </c>
      <c r="E1869" s="2" t="str">
        <f>IFERROR(__xludf.DUMMYFUNCTION("""COMPUTED_VALUE"""),"Battery, iPhone 12 mini")</f>
        <v>Battery, iPhone 12 mini</v>
      </c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10" t="str">
        <f t="shared" si="1"/>
        <v>June</v>
      </c>
      <c r="B1870" s="11">
        <f>IFERROR(__xludf.DUMMYFUNCTION("""COMPUTED_VALUE"""),46186.0)</f>
        <v>46186</v>
      </c>
      <c r="C1870" s="2" t="str">
        <f>IFERROR(__xludf.DUMMYFUNCTION("""COMPUTED_VALUE"""),"MOBILECARE - VERTIS NORTH")</f>
        <v>MOBILECARE - VERTIS NORTH</v>
      </c>
      <c r="D1870" s="2" t="str">
        <f>IFERROR(__xludf.DUMMYFUNCTION("""COMPUTED_VALUE"""),"661-30382")</f>
        <v>661-30382</v>
      </c>
      <c r="E1870" s="2" t="str">
        <f>IFERROR(__xludf.DUMMYFUNCTION("""COMPUTED_VALUE"""),"Battery, iPhone 14 Pro")</f>
        <v>Battery, iPhone 14 Pro</v>
      </c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10" t="str">
        <f t="shared" si="1"/>
        <v>June</v>
      </c>
      <c r="B1871" s="11">
        <f>IFERROR(__xludf.DUMMYFUNCTION("""COMPUTED_VALUE"""),46186.0)</f>
        <v>46186</v>
      </c>
      <c r="C1871" s="2" t="str">
        <f>IFERROR(__xludf.DUMMYFUNCTION("""COMPUTED_VALUE"""),"MOBILECARE - VERTIS NORTH")</f>
        <v>MOBILECARE - VERTIS NORTH</v>
      </c>
      <c r="D1871" s="2" t="str">
        <f>IFERROR(__xludf.DUMMYFUNCTION("""COMPUTED_VALUE"""),"661-29370")</f>
        <v>661-29370</v>
      </c>
      <c r="E1871" s="2" t="str">
        <f>IFERROR(__xludf.DUMMYFUNCTION("""COMPUTED_VALUE"""),"Display, iPhone 14 Pro")</f>
        <v>Display, iPhone 14 Pro</v>
      </c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10" t="str">
        <f t="shared" si="1"/>
        <v>June</v>
      </c>
      <c r="B1872" s="11">
        <f>IFERROR(__xludf.DUMMYFUNCTION("""COMPUTED_VALUE"""),46176.0)</f>
        <v>46176</v>
      </c>
      <c r="C1872" s="2" t="str">
        <f>IFERROR(__xludf.DUMMYFUNCTION("""COMPUTED_VALUE"""),"MOBILECARE - VERTIS NORTH")</f>
        <v>MOBILECARE - VERTIS NORTH</v>
      </c>
      <c r="D1872" s="2" t="str">
        <f>IFERROR(__xludf.DUMMYFUNCTION("""COMPUTED_VALUE"""),"661-30382")</f>
        <v>661-30382</v>
      </c>
      <c r="E1872" s="2" t="str">
        <f>IFERROR(__xludf.DUMMYFUNCTION("""COMPUTED_VALUE"""),"Battery, iPhone 14 Pro")</f>
        <v>Battery, iPhone 14 Pro</v>
      </c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10" t="str">
        <f t="shared" si="1"/>
        <v>June</v>
      </c>
      <c r="B1873" s="11">
        <f>IFERROR(__xludf.DUMMYFUNCTION("""COMPUTED_VALUE"""),46188.0)</f>
        <v>46188</v>
      </c>
      <c r="C1873" s="2" t="str">
        <f>IFERROR(__xludf.DUMMYFUNCTION("""COMPUTED_VALUE"""),"MOBILECARE - VERTIS NORTH")</f>
        <v>MOBILECARE - VERTIS NORTH</v>
      </c>
      <c r="D1873" s="2" t="str">
        <f>IFERROR(__xludf.DUMMYFUNCTION("""COMPUTED_VALUE"""),"Z661-55846")</f>
        <v>Z661-55846</v>
      </c>
      <c r="E1873" s="2" t="str">
        <f>IFERROR(__xludf.DUMMYFUNCTION("""COMPUTED_VALUE"""),"Logic Board, 256GB, iPhone Air, ROW")</f>
        <v>Logic Board, 256GB, iPhone Air, ROW</v>
      </c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10" t="str">
        <f t="shared" si="1"/>
        <v>May</v>
      </c>
      <c r="B1874" s="11">
        <f>IFERROR(__xludf.DUMMYFUNCTION("""COMPUTED_VALUE"""),46162.0)</f>
        <v>46162</v>
      </c>
      <c r="C1874" s="2" t="str">
        <f>IFERROR(__xludf.DUMMYFUNCTION("""COMPUTED_VALUE"""),"MOBILECARE - VERTIS NORTH")</f>
        <v>MOBILECARE - VERTIS NORTH</v>
      </c>
      <c r="D1874" s="2" t="str">
        <f>IFERROR(__xludf.DUMMYFUNCTION("""COMPUTED_VALUE"""),"661-23878")</f>
        <v>661-23878</v>
      </c>
      <c r="E1874" s="2" t="str">
        <f>IFERROR(__xludf.DUMMYFUNCTION("""COMPUTED_VALUE"""),"TrueDepth Camera, iPhone 13")</f>
        <v>TrueDepth Camera, iPhone 13</v>
      </c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10" t="str">
        <f t="shared" si="1"/>
        <v>May</v>
      </c>
      <c r="B1875" s="11">
        <f>IFERROR(__xludf.DUMMYFUNCTION("""COMPUTED_VALUE"""),46160.0)</f>
        <v>46160</v>
      </c>
      <c r="C1875" s="2" t="str">
        <f>IFERROR(__xludf.DUMMYFUNCTION("""COMPUTED_VALUE"""),"MOBILECARE - VERTIS NORTH")</f>
        <v>MOBILECARE - VERTIS NORTH</v>
      </c>
      <c r="D1875" s="2" t="str">
        <f>IFERROR(__xludf.DUMMYFUNCTION("""COMPUTED_VALUE"""),"661-30373")</f>
        <v>661-30373</v>
      </c>
      <c r="E1875" s="2" t="str">
        <f>IFERROR(__xludf.DUMMYFUNCTION("""COMPUTED_VALUE"""),"Battery, iPhone 14")</f>
        <v>Battery, iPhone 14</v>
      </c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10" t="str">
        <f t="shared" si="1"/>
        <v>May</v>
      </c>
      <c r="B1876" s="11">
        <f>IFERROR(__xludf.DUMMYFUNCTION("""COMPUTED_VALUE"""),46143.0)</f>
        <v>46143</v>
      </c>
      <c r="C1876" s="2" t="str">
        <f>IFERROR(__xludf.DUMMYFUNCTION("""COMPUTED_VALUE"""),"MOBILECARE - VERTIS NORTH")</f>
        <v>MOBILECARE - VERTIS NORTH</v>
      </c>
      <c r="D1876" s="2" t="str">
        <f>IFERROR(__xludf.DUMMYFUNCTION("""COMPUTED_VALUE"""),"661-35694")</f>
        <v>661-35694</v>
      </c>
      <c r="E1876" s="2" t="str">
        <f>IFERROR(__xludf.DUMMYFUNCTION("""COMPUTED_VALUE"""),"Battery, iPhone 15 Pro")</f>
        <v>Battery, iPhone 15 Pro</v>
      </c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10" t="str">
        <f t="shared" si="1"/>
        <v>June</v>
      </c>
      <c r="B1877" s="11">
        <f>IFERROR(__xludf.DUMMYFUNCTION("""COMPUTED_VALUE"""),46179.0)</f>
        <v>46179</v>
      </c>
      <c r="C1877" s="2" t="str">
        <f>IFERROR(__xludf.DUMMYFUNCTION("""COMPUTED_VALUE"""),"MOBILECARE - VERTIS NORTH")</f>
        <v>MOBILECARE - VERTIS NORTH</v>
      </c>
      <c r="D1877" s="2" t="str">
        <f>IFERROR(__xludf.DUMMYFUNCTION("""COMPUTED_VALUE"""),"661-56050")</f>
        <v>661-56050</v>
      </c>
      <c r="E1877" s="2" t="str">
        <f>IFERROR(__xludf.DUMMYFUNCTION("""COMPUTED_VALUE"""),"Display, iPhone 17 Pro Max")</f>
        <v>Display, iPhone 17 Pro Max</v>
      </c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10" t="str">
        <f t="shared" si="1"/>
        <v>June</v>
      </c>
      <c r="B1878" s="11">
        <f>IFERROR(__xludf.DUMMYFUNCTION("""COMPUTED_VALUE"""),46179.0)</f>
        <v>46179</v>
      </c>
      <c r="C1878" s="2" t="str">
        <f>IFERROR(__xludf.DUMMYFUNCTION("""COMPUTED_VALUE"""),"MOBILECARE - VERTIS NORTH")</f>
        <v>MOBILECARE - VERTIS NORTH</v>
      </c>
      <c r="D1878" s="2" t="str">
        <f>IFERROR(__xludf.DUMMYFUNCTION("""COMPUTED_VALUE"""),"Z661-55958")</f>
        <v>Z661-55958</v>
      </c>
      <c r="E1878" s="2" t="str">
        <f>IFERROR(__xludf.DUMMYFUNCTION("""COMPUTED_VALUE"""),"Logic Board, 1TB, iPhone 17 Pro Max, ROW")</f>
        <v>Logic Board, 1TB, iPhone 17 Pro Max, ROW</v>
      </c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10" t="str">
        <f t="shared" si="1"/>
        <v>April</v>
      </c>
      <c r="B1879" s="11">
        <f>IFERROR(__xludf.DUMMYFUNCTION("""COMPUTED_VALUE"""),46130.0)</f>
        <v>46130</v>
      </c>
      <c r="C1879" s="2" t="str">
        <f>IFERROR(__xludf.DUMMYFUNCTION("""COMPUTED_VALUE"""),"MOBILECARE - VERTIS NORTH")</f>
        <v>MOBILECARE - VERTIS NORTH</v>
      </c>
      <c r="D1879" s="2" t="str">
        <f>IFERROR(__xludf.DUMMYFUNCTION("""COMPUTED_VALUE"""),"661-23878")</f>
        <v>661-23878</v>
      </c>
      <c r="E1879" s="2" t="str">
        <f>IFERROR(__xludf.DUMMYFUNCTION("""COMPUTED_VALUE"""),"TrueDepth Camera, iPhone 13")</f>
        <v>TrueDepth Camera, iPhone 13</v>
      </c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10" t="str">
        <f t="shared" si="1"/>
        <v>April</v>
      </c>
      <c r="B1880" s="11">
        <f>IFERROR(__xludf.DUMMYFUNCTION("""COMPUTED_VALUE"""),46120.0)</f>
        <v>46120</v>
      </c>
      <c r="C1880" s="2" t="str">
        <f>IFERROR(__xludf.DUMMYFUNCTION("""COMPUTED_VALUE"""),"MOBILECARE - VERTIS NORTH")</f>
        <v>MOBILECARE - VERTIS NORTH</v>
      </c>
      <c r="D1880" s="2" t="str">
        <f>IFERROR(__xludf.DUMMYFUNCTION("""COMPUTED_VALUE"""),"Z661-56015")</f>
        <v>Z661-56015</v>
      </c>
      <c r="E1880" s="2" t="str">
        <f>IFERROR(__xludf.DUMMYFUNCTION("""COMPUTED_VALUE"""),"Logic Board, 256GB, iPhone 17, ROW")</f>
        <v>Logic Board, 256GB, iPhone 17, ROW</v>
      </c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10" t="str">
        <f t="shared" si="1"/>
        <v>March</v>
      </c>
      <c r="B1881" s="11">
        <f>IFERROR(__xludf.DUMMYFUNCTION("""COMPUTED_VALUE"""),46101.0)</f>
        <v>46101</v>
      </c>
      <c r="C1881" s="2" t="str">
        <f>IFERROR(__xludf.DUMMYFUNCTION("""COMPUTED_VALUE"""),"MOBILECARE - VERTIS NORTH")</f>
        <v>MOBILECARE - VERTIS NORTH</v>
      </c>
      <c r="D1881" s="2" t="str">
        <f>IFERROR(__xludf.DUMMYFUNCTION("""COMPUTED_VALUE"""),"661-30397")</f>
        <v>661-30397</v>
      </c>
      <c r="E1881" s="2" t="str">
        <f>IFERROR(__xludf.DUMMYFUNCTION("""COMPUTED_VALUE"""),"Battery, iPhone 14 Pro Max")</f>
        <v>Battery, iPhone 14 Pro Max</v>
      </c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10" t="str">
        <f t="shared" si="1"/>
        <v>February</v>
      </c>
      <c r="B1882" s="11">
        <f>IFERROR(__xludf.DUMMYFUNCTION("""COMPUTED_VALUE"""),46078.0)</f>
        <v>46078</v>
      </c>
      <c r="C1882" s="2" t="str">
        <f>IFERROR(__xludf.DUMMYFUNCTION("""COMPUTED_VALUE"""),"MOBILECARE - VERTIS NORTH")</f>
        <v>MOBILECARE - VERTIS NORTH</v>
      </c>
      <c r="D1882" s="2" t="str">
        <f>IFERROR(__xludf.DUMMYFUNCTION("""COMPUTED_VALUE"""),"661-13574")</f>
        <v>661-13574</v>
      </c>
      <c r="E1882" s="2" t="str">
        <f>IFERROR(__xludf.DUMMYFUNCTION("""COMPUTED_VALUE"""),"Battery, iPhone 11")</f>
        <v>Battery, iPhone 11</v>
      </c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10" t="str">
        <f t="shared" si="1"/>
        <v>February</v>
      </c>
      <c r="B1883" s="11">
        <f>IFERROR(__xludf.DUMMYFUNCTION("""COMPUTED_VALUE"""),46057.0)</f>
        <v>46057</v>
      </c>
      <c r="C1883" s="2" t="str">
        <f>IFERROR(__xludf.DUMMYFUNCTION("""COMPUTED_VALUE"""),"MOBILECARE - VERTIS NORTH")</f>
        <v>MOBILECARE - VERTIS NORTH</v>
      </c>
      <c r="D1883" s="2" t="str">
        <f>IFERROR(__xludf.DUMMYFUNCTION("""COMPUTED_VALUE"""),"661-30397")</f>
        <v>661-30397</v>
      </c>
      <c r="E1883" s="2" t="str">
        <f>IFERROR(__xludf.DUMMYFUNCTION("""COMPUTED_VALUE"""),"Battery, iPhone 14 Pro Max")</f>
        <v>Battery, iPhone 14 Pro Max</v>
      </c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10" t="str">
        <f t="shared" si="1"/>
        <v>January</v>
      </c>
      <c r="B1884" s="11">
        <f>IFERROR(__xludf.DUMMYFUNCTION("""COMPUTED_VALUE"""),46051.0)</f>
        <v>46051</v>
      </c>
      <c r="C1884" s="2" t="str">
        <f>IFERROR(__xludf.DUMMYFUNCTION("""COMPUTED_VALUE"""),"MOBILECARE - VERTIS NORTH")</f>
        <v>MOBILECARE - VERTIS NORTH</v>
      </c>
      <c r="D1884" s="2" t="str">
        <f>IFERROR(__xludf.DUMMYFUNCTION("""COMPUTED_VALUE"""),"661-30382")</f>
        <v>661-30382</v>
      </c>
      <c r="E1884" s="2" t="str">
        <f>IFERROR(__xludf.DUMMYFUNCTION("""COMPUTED_VALUE"""),"Battery, iPhone 14 Pro")</f>
        <v>Battery, iPhone 14 Pro</v>
      </c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10" t="str">
        <f t="shared" si="1"/>
        <v>January</v>
      </c>
      <c r="B1885" s="11">
        <f>IFERROR(__xludf.DUMMYFUNCTION("""COMPUTED_VALUE"""),46045.0)</f>
        <v>46045</v>
      </c>
      <c r="C1885" s="2" t="str">
        <f>IFERROR(__xludf.DUMMYFUNCTION("""COMPUTED_VALUE"""),"MOBILECARE - VERTIS NORTH")</f>
        <v>MOBILECARE - VERTIS NORTH</v>
      </c>
      <c r="D1885" s="2" t="str">
        <f>IFERROR(__xludf.DUMMYFUNCTION("""COMPUTED_VALUE"""),"661-13574")</f>
        <v>661-13574</v>
      </c>
      <c r="E1885" s="2" t="str">
        <f>IFERROR(__xludf.DUMMYFUNCTION("""COMPUTED_VALUE"""),"Battery, iPhone 11")</f>
        <v>Battery, iPhone 11</v>
      </c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10" t="str">
        <f t="shared" si="1"/>
        <v>June</v>
      </c>
      <c r="B1886" s="11">
        <f>IFERROR(__xludf.DUMMYFUNCTION("""COMPUTED_VALUE"""),46187.0)</f>
        <v>46187</v>
      </c>
      <c r="C1886" s="2" t="str">
        <f>IFERROR(__xludf.DUMMYFUNCTION("""COMPUTED_VALUE"""),"MOBILECARE - VERTIS NORTH")</f>
        <v>MOBILECARE - VERTIS NORTH</v>
      </c>
      <c r="D1886" s="2" t="str">
        <f>IFERROR(__xludf.DUMMYFUNCTION("""COMPUTED_VALUE"""),"ZP923-13786")</f>
        <v>ZP923-13786</v>
      </c>
      <c r="E1886" s="2" t="str">
        <f>IFERROR(__xludf.DUMMYFUNCTION("""COMPUTED_VALUE"""),"Cosmic Orange, Enclosure, iPhone 17 Pro Max, ROW")</f>
        <v>Cosmic Orange, Enclosure, iPhone 17 Pro Max, ROW</v>
      </c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10" t="str">
        <f t="shared" si="1"/>
        <v>June</v>
      </c>
      <c r="B1887" s="11">
        <f>IFERROR(__xludf.DUMMYFUNCTION("""COMPUTED_VALUE"""),46190.0)</f>
        <v>46190</v>
      </c>
      <c r="C1887" s="2" t="str">
        <f>IFERROR(__xludf.DUMMYFUNCTION("""COMPUTED_VALUE"""),"MOBILECARE - VERTIS NORTH")</f>
        <v>MOBILECARE - VERTIS NORTH</v>
      </c>
      <c r="D1887" s="2" t="str">
        <f>IFERROR(__xludf.DUMMYFUNCTION("""COMPUTED_VALUE"""),"Z661-55956")</f>
        <v>Z661-55956</v>
      </c>
      <c r="E1887" s="2" t="str">
        <f>IFERROR(__xludf.DUMMYFUNCTION("""COMPUTED_VALUE"""),"Logic Board, 256GB, iPhone 17 Pro Max, ROW")</f>
        <v>Logic Board, 256GB, iPhone 17 Pro Max, ROW</v>
      </c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10" t="str">
        <f t="shared" si="1"/>
        <v>May</v>
      </c>
      <c r="B1888" s="11">
        <f>IFERROR(__xludf.DUMMYFUNCTION("""COMPUTED_VALUE"""),46155.0)</f>
        <v>46155</v>
      </c>
      <c r="C1888" s="2" t="str">
        <f>IFERROR(__xludf.DUMMYFUNCTION("""COMPUTED_VALUE"""),"MOBILECARE - VERTIS NORTH")</f>
        <v>MOBILECARE - VERTIS NORTH</v>
      </c>
      <c r="D1888" s="2" t="str">
        <f>IFERROR(__xludf.DUMMYFUNCTION("""COMPUTED_VALUE"""),"661-30394")</f>
        <v>661-30394</v>
      </c>
      <c r="E1888" s="2" t="str">
        <f>IFERROR(__xludf.DUMMYFUNCTION("""COMPUTED_VALUE"""),"Battery, iPhone 14 Plus")</f>
        <v>Battery, iPhone 14 Plus</v>
      </c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10" t="str">
        <f t="shared" si="1"/>
        <v>May</v>
      </c>
      <c r="B1889" s="11">
        <f>IFERROR(__xludf.DUMMYFUNCTION("""COMPUTED_VALUE"""),46146.0)</f>
        <v>46146</v>
      </c>
      <c r="C1889" s="2" t="str">
        <f>IFERROR(__xludf.DUMMYFUNCTION("""COMPUTED_VALUE"""),"MOBILECARE - VERTIS NORTH")</f>
        <v>MOBILECARE - VERTIS NORTH</v>
      </c>
      <c r="D1889" s="2" t="str">
        <f>IFERROR(__xludf.DUMMYFUNCTION("""COMPUTED_VALUE"""),"661-44797")</f>
        <v>661-44797</v>
      </c>
      <c r="E1889" s="2" t="str">
        <f>IFERROR(__xludf.DUMMYFUNCTION("""COMPUTED_VALUE"""),"Display, iPhone 16")</f>
        <v>Display, iPhone 16</v>
      </c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10" t="str">
        <f t="shared" si="1"/>
        <v>May</v>
      </c>
      <c r="B1890" s="11">
        <f>IFERROR(__xludf.DUMMYFUNCTION("""COMPUTED_VALUE"""),46143.0)</f>
        <v>46143</v>
      </c>
      <c r="C1890" s="2" t="str">
        <f>IFERROR(__xludf.DUMMYFUNCTION("""COMPUTED_VALUE"""),"MOBILECARE - VERTIS NORTH")</f>
        <v>MOBILECARE - VERTIS NORTH</v>
      </c>
      <c r="D1890" s="2" t="str">
        <f>IFERROR(__xludf.DUMMYFUNCTION("""COMPUTED_VALUE"""),"661-30393")</f>
        <v>661-30393</v>
      </c>
      <c r="E1890" s="2" t="str">
        <f>IFERROR(__xludf.DUMMYFUNCTION("""COMPUTED_VALUE"""),"Camera, iPhone 14 Plus")</f>
        <v>Camera, iPhone 14 Plus</v>
      </c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10" t="str">
        <f t="shared" si="1"/>
        <v>April</v>
      </c>
      <c r="B1891" s="11">
        <f>IFERROR(__xludf.DUMMYFUNCTION("""COMPUTED_VALUE"""),46130.0)</f>
        <v>46130</v>
      </c>
      <c r="C1891" s="2" t="str">
        <f>IFERROR(__xludf.DUMMYFUNCTION("""COMPUTED_VALUE"""),"MOBILECARE - VERTIS NORTH")</f>
        <v>MOBILECARE - VERTIS NORTH</v>
      </c>
      <c r="D1891" s="2" t="str">
        <f>IFERROR(__xludf.DUMMYFUNCTION("""COMPUTED_VALUE"""),"661-30373")</f>
        <v>661-30373</v>
      </c>
      <c r="E1891" s="2" t="str">
        <f>IFERROR(__xludf.DUMMYFUNCTION("""COMPUTED_VALUE"""),"Battery, iPhone 14")</f>
        <v>Battery, iPhone 14</v>
      </c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10" t="str">
        <f t="shared" si="1"/>
        <v>April</v>
      </c>
      <c r="B1892" s="11">
        <f>IFERROR(__xludf.DUMMYFUNCTION("""COMPUTED_VALUE"""),46134.0)</f>
        <v>46134</v>
      </c>
      <c r="C1892" s="2" t="str">
        <f>IFERROR(__xludf.DUMMYFUNCTION("""COMPUTED_VALUE"""),"MOBILECARE - VERTIS NORTH")</f>
        <v>MOBILECARE - VERTIS NORTH</v>
      </c>
      <c r="D1892" s="2" t="str">
        <f>IFERROR(__xludf.DUMMYFUNCTION("""COMPUTED_VALUE"""),"Z661-55956")</f>
        <v>Z661-55956</v>
      </c>
      <c r="E1892" s="2" t="str">
        <f>IFERROR(__xludf.DUMMYFUNCTION("""COMPUTED_VALUE"""),"Logic Board, 256GB, iPhone 17 Pro Max, ROW")</f>
        <v>Logic Board, 256GB, iPhone 17 Pro Max, ROW</v>
      </c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10" t="str">
        <f t="shared" si="1"/>
        <v>March</v>
      </c>
      <c r="B1893" s="11">
        <f>IFERROR(__xludf.DUMMYFUNCTION("""COMPUTED_VALUE"""),46112.0)</f>
        <v>46112</v>
      </c>
      <c r="C1893" s="2" t="str">
        <f>IFERROR(__xludf.DUMMYFUNCTION("""COMPUTED_VALUE"""),"MOBILECARE - VERTIS NORTH")</f>
        <v>MOBILECARE - VERTIS NORTH</v>
      </c>
      <c r="D1893" s="2" t="str">
        <f>IFERROR(__xludf.DUMMYFUNCTION("""COMPUTED_VALUE"""),"661-21991")</f>
        <v>661-21991</v>
      </c>
      <c r="E1893" s="2" t="str">
        <f>IFERROR(__xludf.DUMMYFUNCTION("""COMPUTED_VALUE"""),"Battery, iPhone 13")</f>
        <v>Battery, iPhone 13</v>
      </c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10" t="str">
        <f t="shared" si="1"/>
        <v>February</v>
      </c>
      <c r="B1894" s="11">
        <f>IFERROR(__xludf.DUMMYFUNCTION("""COMPUTED_VALUE"""),46073.0)</f>
        <v>46073</v>
      </c>
      <c r="C1894" s="2" t="str">
        <f>IFERROR(__xludf.DUMMYFUNCTION("""COMPUTED_VALUE"""),"MOBILECARE - VERTIS NORTH")</f>
        <v>MOBILECARE - VERTIS NORTH</v>
      </c>
      <c r="D1894" s="2" t="str">
        <f>IFERROR(__xludf.DUMMYFUNCTION("""COMPUTED_VALUE"""),"661-22374")</f>
        <v>661-22374</v>
      </c>
      <c r="E1894" s="2" t="str">
        <f>IFERROR(__xludf.DUMMYFUNCTION("""COMPUTED_VALUE"""),"Battery, iPhone 13 mini")</f>
        <v>Battery, iPhone 13 mini</v>
      </c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10" t="str">
        <f t="shared" si="1"/>
        <v>February</v>
      </c>
      <c r="B1895" s="11">
        <f>IFERROR(__xludf.DUMMYFUNCTION("""COMPUTED_VALUE"""),46076.0)</f>
        <v>46076</v>
      </c>
      <c r="C1895" s="2" t="str">
        <f>IFERROR(__xludf.DUMMYFUNCTION("""COMPUTED_VALUE"""),"MOBILECARE - VERTIS NORTH")</f>
        <v>MOBILECARE - VERTIS NORTH</v>
      </c>
      <c r="D1895" s="2" t="str">
        <f>IFERROR(__xludf.DUMMYFUNCTION("""COMPUTED_VALUE"""),"661-36918")</f>
        <v>661-36918</v>
      </c>
      <c r="E1895" s="2" t="str">
        <f>IFERROR(__xludf.DUMMYFUNCTION("""COMPUTED_VALUE"""),"Battery, iPhone 15 Pro Max")</f>
        <v>Battery, iPhone 15 Pro Max</v>
      </c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10" t="str">
        <f t="shared" si="1"/>
        <v>January</v>
      </c>
      <c r="B1896" s="11">
        <f>IFERROR(__xludf.DUMMYFUNCTION("""COMPUTED_VALUE"""),46053.0)</f>
        <v>46053</v>
      </c>
      <c r="C1896" s="2" t="str">
        <f>IFERROR(__xludf.DUMMYFUNCTION("""COMPUTED_VALUE"""),"MOBILECARE - VERTIS NORTH")</f>
        <v>MOBILECARE - VERTIS NORTH</v>
      </c>
      <c r="D1896" s="2" t="str">
        <f>IFERROR(__xludf.DUMMYFUNCTION("""COMPUTED_VALUE"""),"661-44955")</f>
        <v>661-44955</v>
      </c>
      <c r="E1896" s="2" t="str">
        <f>IFERROR(__xludf.DUMMYFUNCTION("""COMPUTED_VALUE"""),"Display, iPhone 16 Pro Max")</f>
        <v>Display, iPhone 16 Pro Max</v>
      </c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10" t="str">
        <f t="shared" si="1"/>
        <v>January</v>
      </c>
      <c r="B1897" s="11">
        <f>IFERROR(__xludf.DUMMYFUNCTION("""COMPUTED_VALUE"""),46053.0)</f>
        <v>46053</v>
      </c>
      <c r="C1897" s="2" t="str">
        <f>IFERROR(__xludf.DUMMYFUNCTION("""COMPUTED_VALUE"""),"MOBILECARE - VERTIS NORTH")</f>
        <v>MOBILECARE - VERTIS NORTH</v>
      </c>
      <c r="D1897" s="2" t="str">
        <f>IFERROR(__xludf.DUMMYFUNCTION("""COMPUTED_VALUE"""),"661-30382")</f>
        <v>661-30382</v>
      </c>
      <c r="E1897" s="2" t="str">
        <f>IFERROR(__xludf.DUMMYFUNCTION("""COMPUTED_VALUE"""),"Battery, iPhone 14 Pro")</f>
        <v>Battery, iPhone 14 Pro</v>
      </c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10" t="str">
        <f t="shared" si="1"/>
        <v>January</v>
      </c>
      <c r="B1898" s="11">
        <f>IFERROR(__xludf.DUMMYFUNCTION("""COMPUTED_VALUE"""),46049.0)</f>
        <v>46049</v>
      </c>
      <c r="C1898" s="2" t="str">
        <f>IFERROR(__xludf.DUMMYFUNCTION("""COMPUTED_VALUE"""),"MOBILECARE - VERTIS NORTH")</f>
        <v>MOBILECARE - VERTIS NORTH</v>
      </c>
      <c r="D1898" s="2" t="str">
        <f>IFERROR(__xludf.DUMMYFUNCTION("""COMPUTED_VALUE"""),"661-21988")</f>
        <v>661-21988</v>
      </c>
      <c r="E1898" s="2" t="str">
        <f>IFERROR(__xludf.DUMMYFUNCTION("""COMPUTED_VALUE"""),"Display, iPhone 13")</f>
        <v>Display, iPhone 13</v>
      </c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10" t="str">
        <f t="shared" si="1"/>
        <v>January</v>
      </c>
      <c r="B1899" s="11">
        <f>IFERROR(__xludf.DUMMYFUNCTION("""COMPUTED_VALUE"""),46046.0)</f>
        <v>46046</v>
      </c>
      <c r="C1899" s="2" t="str">
        <f>IFERROR(__xludf.DUMMYFUNCTION("""COMPUTED_VALUE"""),"MOBILECARE - VERTIS NORTH")</f>
        <v>MOBILECARE - VERTIS NORTH</v>
      </c>
      <c r="D1899" s="2" t="str">
        <f>IFERROR(__xludf.DUMMYFUNCTION("""COMPUTED_VALUE"""),"661-42728")</f>
        <v>661-42728</v>
      </c>
      <c r="E1899" s="2" t="str">
        <f>IFERROR(__xludf.DUMMYFUNCTION("""COMPUTED_VALUE"""),"Camera, iPhone 16 Pro")</f>
        <v>Camera, iPhone 16 Pro</v>
      </c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10" t="str">
        <f t="shared" si="1"/>
        <v>January</v>
      </c>
      <c r="B1900" s="11">
        <f>IFERROR(__xludf.DUMMYFUNCTION("""COMPUTED_VALUE"""),46046.0)</f>
        <v>46046</v>
      </c>
      <c r="C1900" s="2" t="str">
        <f>IFERROR(__xludf.DUMMYFUNCTION("""COMPUTED_VALUE"""),"MOBILECARE - VERTIS NORTH")</f>
        <v>MOBILECARE - VERTIS NORTH</v>
      </c>
      <c r="D1900" s="2" t="str">
        <f>IFERROR(__xludf.DUMMYFUNCTION("""COMPUTED_VALUE"""),"661-42728")</f>
        <v>661-42728</v>
      </c>
      <c r="E1900" s="2" t="str">
        <f>IFERROR(__xludf.DUMMYFUNCTION("""COMPUTED_VALUE"""),"Camera, iPhone 16 Pro")</f>
        <v>Camera, iPhone 16 Pro</v>
      </c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10" t="str">
        <f t="shared" si="1"/>
        <v>June</v>
      </c>
      <c r="B1901" s="11">
        <f>IFERROR(__xludf.DUMMYFUNCTION("""COMPUTED_VALUE"""),46189.0)</f>
        <v>46189</v>
      </c>
      <c r="C1901" s="2" t="str">
        <f>IFERROR(__xludf.DUMMYFUNCTION("""COMPUTED_VALUE"""),"MOBILECARE - VERTIS NORTH")</f>
        <v>MOBILECARE - VERTIS NORTH</v>
      </c>
      <c r="D1901" s="2" t="str">
        <f>IFERROR(__xludf.DUMMYFUNCTION("""COMPUTED_VALUE"""),"661-21991")</f>
        <v>661-21991</v>
      </c>
      <c r="E1901" s="2" t="str">
        <f>IFERROR(__xludf.DUMMYFUNCTION("""COMPUTED_VALUE"""),"Battery, iPhone 13")</f>
        <v>Battery, iPhone 13</v>
      </c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10" t="str">
        <f t="shared" si="1"/>
        <v>June</v>
      </c>
      <c r="B1902" s="11">
        <f>IFERROR(__xludf.DUMMYFUNCTION("""COMPUTED_VALUE"""),46192.0)</f>
        <v>46192</v>
      </c>
      <c r="C1902" s="2" t="str">
        <f>IFERROR(__xludf.DUMMYFUNCTION("""COMPUTED_VALUE"""),"MOBILECARE - VERTIS NORTH")</f>
        <v>MOBILECARE - VERTIS NORTH</v>
      </c>
      <c r="D1902" s="2" t="str">
        <f>IFERROR(__xludf.DUMMYFUNCTION("""COMPUTED_VALUE"""),"661-15741")</f>
        <v>661-15741</v>
      </c>
      <c r="E1902" s="2" t="str">
        <f>IFERROR(__xludf.DUMMYFUNCTION("""COMPUTED_VALUE"""),"Battery, iPhone SE 2nd gen")</f>
        <v>Battery, iPhone SE 2nd gen</v>
      </c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10" t="str">
        <f t="shared" si="1"/>
        <v>June</v>
      </c>
      <c r="B1903" s="11">
        <f>IFERROR(__xludf.DUMMYFUNCTION("""COMPUTED_VALUE"""),46185.0)</f>
        <v>46185</v>
      </c>
      <c r="C1903" s="2" t="str">
        <f>IFERROR(__xludf.DUMMYFUNCTION("""COMPUTED_VALUE"""),"MOBILECARE - VERTIS NORTH")</f>
        <v>MOBILECARE - VERTIS NORTH</v>
      </c>
      <c r="D1903" s="2" t="str">
        <f>IFERROR(__xludf.DUMMYFUNCTION("""COMPUTED_VALUE"""),"661-13574")</f>
        <v>661-13574</v>
      </c>
      <c r="E1903" s="2" t="str">
        <f>IFERROR(__xludf.DUMMYFUNCTION("""COMPUTED_VALUE"""),"Battery, iPhone 11")</f>
        <v>Battery, iPhone 11</v>
      </c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10" t="str">
        <f t="shared" si="1"/>
        <v>June</v>
      </c>
      <c r="B1904" s="11">
        <f>IFERROR(__xludf.DUMMYFUNCTION("""COMPUTED_VALUE"""),46190.0)</f>
        <v>46190</v>
      </c>
      <c r="C1904" s="2" t="str">
        <f>IFERROR(__xludf.DUMMYFUNCTION("""COMPUTED_VALUE"""),"MOBILECARE - VERTIS NORTH")</f>
        <v>MOBILECARE - VERTIS NORTH</v>
      </c>
      <c r="D1904" s="2" t="str">
        <f>IFERROR(__xludf.DUMMYFUNCTION("""COMPUTED_VALUE"""),"661-18428")</f>
        <v>661-18428</v>
      </c>
      <c r="E1904" s="2" t="str">
        <f>IFERROR(__xludf.DUMMYFUNCTION("""COMPUTED_VALUE"""),"Battery, iPhone 12 Pro Max")</f>
        <v>Battery, iPhone 12 Pro Max</v>
      </c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10" t="str">
        <f t="shared" si="1"/>
        <v>June</v>
      </c>
      <c r="B1905" s="11">
        <f>IFERROR(__xludf.DUMMYFUNCTION("""COMPUTED_VALUE"""),46185.0)</f>
        <v>46185</v>
      </c>
      <c r="C1905" s="2" t="str">
        <f>IFERROR(__xludf.DUMMYFUNCTION("""COMPUTED_VALUE"""),"MOBILECARE - VERTIS NORTH")</f>
        <v>MOBILECARE - VERTIS NORTH</v>
      </c>
      <c r="D1905" s="2" t="str">
        <f>IFERROR(__xludf.DUMMYFUNCTION("""COMPUTED_VALUE"""),"661-56050")</f>
        <v>661-56050</v>
      </c>
      <c r="E1905" s="2" t="str">
        <f>IFERROR(__xludf.DUMMYFUNCTION("""COMPUTED_VALUE"""),"Display, iPhone 17 Pro Max")</f>
        <v>Display, iPhone 17 Pro Max</v>
      </c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10" t="str">
        <f t="shared" si="1"/>
        <v>May</v>
      </c>
      <c r="B1906" s="11">
        <f>IFERROR(__xludf.DUMMYFUNCTION("""COMPUTED_VALUE"""),46173.0)</f>
        <v>46173</v>
      </c>
      <c r="C1906" s="2" t="str">
        <f>IFERROR(__xludf.DUMMYFUNCTION("""COMPUTED_VALUE"""),"MOBILECARE - VERTIS NORTH")</f>
        <v>MOBILECARE - VERTIS NORTH</v>
      </c>
      <c r="D1906" s="2" t="str">
        <f>IFERROR(__xludf.DUMMYFUNCTION("""COMPUTED_VALUE"""),"661-18428")</f>
        <v>661-18428</v>
      </c>
      <c r="E1906" s="2" t="str">
        <f>IFERROR(__xludf.DUMMYFUNCTION("""COMPUTED_VALUE"""),"Battery, iPhone 12 Pro Max")</f>
        <v>Battery, iPhone 12 Pro Max</v>
      </c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10" t="str">
        <f t="shared" si="1"/>
        <v>June</v>
      </c>
      <c r="B1907" s="11">
        <f>IFERROR(__xludf.DUMMYFUNCTION("""COMPUTED_VALUE"""),46180.0)</f>
        <v>46180</v>
      </c>
      <c r="C1907" s="2" t="str">
        <f>IFERROR(__xludf.DUMMYFUNCTION("""COMPUTED_VALUE"""),"MOBILECARE - VERTIS NORTH")</f>
        <v>MOBILECARE - VERTIS NORTH</v>
      </c>
      <c r="D1907" s="2" t="str">
        <f>IFERROR(__xludf.DUMMYFUNCTION("""COMPUTED_VALUE"""),"661-21991")</f>
        <v>661-21991</v>
      </c>
      <c r="E1907" s="2" t="str">
        <f>IFERROR(__xludf.DUMMYFUNCTION("""COMPUTED_VALUE"""),"Battery, iPhone 13")</f>
        <v>Battery, iPhone 13</v>
      </c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10" t="str">
        <f t="shared" si="1"/>
        <v>May</v>
      </c>
      <c r="B1908" s="11">
        <f>IFERROR(__xludf.DUMMYFUNCTION("""COMPUTED_VALUE"""),46167.0)</f>
        <v>46167</v>
      </c>
      <c r="C1908" s="2" t="str">
        <f>IFERROR(__xludf.DUMMYFUNCTION("""COMPUTED_VALUE"""),"MOBILECARE - VERTIS NORTH")</f>
        <v>MOBILECARE - VERTIS NORTH</v>
      </c>
      <c r="D1908" s="2" t="str">
        <f>IFERROR(__xludf.DUMMYFUNCTION("""COMPUTED_VALUE"""),"661-44798")</f>
        <v>661-44798</v>
      </c>
      <c r="E1908" s="2" t="str">
        <f>IFERROR(__xludf.DUMMYFUNCTION("""COMPUTED_VALUE"""),"TrueDepth Camera, iPhone 16")</f>
        <v>TrueDepth Camera, iPhone 16</v>
      </c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10" t="str">
        <f t="shared" si="1"/>
        <v>May</v>
      </c>
      <c r="B1909" s="11">
        <f>IFERROR(__xludf.DUMMYFUNCTION("""COMPUTED_VALUE"""),46158.0)</f>
        <v>46158</v>
      </c>
      <c r="C1909" s="2" t="str">
        <f>IFERROR(__xludf.DUMMYFUNCTION("""COMPUTED_VALUE"""),"MOBILECARE - VERTIS NORTH")</f>
        <v>MOBILECARE - VERTIS NORTH</v>
      </c>
      <c r="D1909" s="2" t="str">
        <f>IFERROR(__xludf.DUMMYFUNCTION("""COMPUTED_VALUE"""),"661-56125")</f>
        <v>661-56125</v>
      </c>
      <c r="E1909" s="2" t="str">
        <f>IFERROR(__xludf.DUMMYFUNCTION("""COMPUTED_VALUE"""),"Display, iPhone 17 Pro")</f>
        <v>Display, iPhone 17 Pro</v>
      </c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10" t="str">
        <f t="shared" si="1"/>
        <v>May</v>
      </c>
      <c r="B1910" s="11">
        <f>IFERROR(__xludf.DUMMYFUNCTION("""COMPUTED_VALUE"""),46152.0)</f>
        <v>46152</v>
      </c>
      <c r="C1910" s="2" t="str">
        <f>IFERROR(__xludf.DUMMYFUNCTION("""COMPUTED_VALUE"""),"MOBILECARE - VERTIS NORTH")</f>
        <v>MOBILECARE - VERTIS NORTH</v>
      </c>
      <c r="D1910" s="2" t="str">
        <f>IFERROR(__xludf.DUMMYFUNCTION("""COMPUTED_VALUE"""),"661-21991")</f>
        <v>661-21991</v>
      </c>
      <c r="E1910" s="2" t="str">
        <f>IFERROR(__xludf.DUMMYFUNCTION("""COMPUTED_VALUE"""),"Battery, iPhone 13")</f>
        <v>Battery, iPhone 13</v>
      </c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10" t="str">
        <f t="shared" si="1"/>
        <v>March</v>
      </c>
      <c r="B1911" s="11">
        <f>IFERROR(__xludf.DUMMYFUNCTION("""COMPUTED_VALUE"""),46107.0)</f>
        <v>46107</v>
      </c>
      <c r="C1911" s="2" t="str">
        <f>IFERROR(__xludf.DUMMYFUNCTION("""COMPUTED_VALUE"""),"MOBILECARE - VERTIS NORTH")</f>
        <v>MOBILECARE - VERTIS NORTH</v>
      </c>
      <c r="D1911" s="2" t="str">
        <f>IFERROR(__xludf.DUMMYFUNCTION("""COMPUTED_VALUE"""),"661-42726")</f>
        <v>661-42726</v>
      </c>
      <c r="E1911" s="2" t="str">
        <f>IFERROR(__xludf.DUMMYFUNCTION("""COMPUTED_VALUE"""),"Display, iPhone 16 Pro")</f>
        <v>Display, iPhone 16 Pro</v>
      </c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10" t="str">
        <f t="shared" si="1"/>
        <v>March</v>
      </c>
      <c r="B1912" s="11">
        <f>IFERROR(__xludf.DUMMYFUNCTION("""COMPUTED_VALUE"""),46099.0)</f>
        <v>46099</v>
      </c>
      <c r="C1912" s="2" t="str">
        <f>IFERROR(__xludf.DUMMYFUNCTION("""COMPUTED_VALUE"""),"MOBILECARE - VERTIS NORTH")</f>
        <v>MOBILECARE - VERTIS NORTH</v>
      </c>
      <c r="D1912" s="2" t="str">
        <f>IFERROR(__xludf.DUMMYFUNCTION("""COMPUTED_VALUE"""),"ZP923-13785")</f>
        <v>ZP923-13785</v>
      </c>
      <c r="E1912" s="2" t="str">
        <f>IFERROR(__xludf.DUMMYFUNCTION("""COMPUTED_VALUE"""),"Silver, Enclosure, iPhone 17 Pro Max, ROW")</f>
        <v>Silver, Enclosure, iPhone 17 Pro Max, ROW</v>
      </c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10" t="str">
        <f t="shared" si="1"/>
        <v>March</v>
      </c>
      <c r="B1913" s="11">
        <f>IFERROR(__xludf.DUMMYFUNCTION("""COMPUTED_VALUE"""),46085.0)</f>
        <v>46085</v>
      </c>
      <c r="C1913" s="2" t="str">
        <f>IFERROR(__xludf.DUMMYFUNCTION("""COMPUTED_VALUE"""),"MOBILECARE - VERTIS NORTH")</f>
        <v>MOBILECARE - VERTIS NORTH</v>
      </c>
      <c r="D1913" s="2" t="str">
        <f>IFERROR(__xludf.DUMMYFUNCTION("""COMPUTED_VALUE"""),"661-30397")</f>
        <v>661-30397</v>
      </c>
      <c r="E1913" s="2" t="str">
        <f>IFERROR(__xludf.DUMMYFUNCTION("""COMPUTED_VALUE"""),"Battery, iPhone 14 Pro Max")</f>
        <v>Battery, iPhone 14 Pro Max</v>
      </c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10" t="str">
        <f t="shared" si="1"/>
        <v>February</v>
      </c>
      <c r="B1914" s="11">
        <f>IFERROR(__xludf.DUMMYFUNCTION("""COMPUTED_VALUE"""),46054.0)</f>
        <v>46054</v>
      </c>
      <c r="C1914" s="2" t="str">
        <f>IFERROR(__xludf.DUMMYFUNCTION("""COMPUTED_VALUE"""),"MOBILECARE - VERTIS NORTH")</f>
        <v>MOBILECARE - VERTIS NORTH</v>
      </c>
      <c r="D1914" s="2" t="str">
        <f>IFERROR(__xludf.DUMMYFUNCTION("""COMPUTED_VALUE"""),"661-36829")</f>
        <v>661-36829</v>
      </c>
      <c r="E1914" s="2" t="str">
        <f>IFERROR(__xludf.DUMMYFUNCTION("""COMPUTED_VALUE"""),"TrueDepth Camera, iPhone 15")</f>
        <v>TrueDepth Camera, iPhone 15</v>
      </c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10" t="str">
        <f t="shared" si="1"/>
        <v>January</v>
      </c>
      <c r="B1915" s="11">
        <f>IFERROR(__xludf.DUMMYFUNCTION("""COMPUTED_VALUE"""),46046.0)</f>
        <v>46046</v>
      </c>
      <c r="C1915" s="2" t="str">
        <f>IFERROR(__xludf.DUMMYFUNCTION("""COMPUTED_VALUE"""),"MOBILECARE - VERTIS NORTH")</f>
        <v>MOBILECARE - VERTIS NORTH</v>
      </c>
      <c r="D1915" s="2" t="str">
        <f>IFERROR(__xludf.DUMMYFUNCTION("""COMPUTED_VALUE"""),"661-56125")</f>
        <v>661-56125</v>
      </c>
      <c r="E1915" s="2" t="str">
        <f>IFERROR(__xludf.DUMMYFUNCTION("""COMPUTED_VALUE"""),"Display, iPhone 17 Pro")</f>
        <v>Display, iPhone 17 Pro</v>
      </c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10" t="str">
        <f t="shared" si="1"/>
        <v>January</v>
      </c>
      <c r="B1916" s="11">
        <f>IFERROR(__xludf.DUMMYFUNCTION("""COMPUTED_VALUE"""),46037.0)</f>
        <v>46037</v>
      </c>
      <c r="C1916" s="2" t="str">
        <f>IFERROR(__xludf.DUMMYFUNCTION("""COMPUTED_VALUE"""),"MOBILECARE - VERTIS NORTH")</f>
        <v>MOBILECARE - VERTIS NORTH</v>
      </c>
      <c r="D1916" s="2" t="str">
        <f>IFERROR(__xludf.DUMMYFUNCTION("""COMPUTED_VALUE"""),"661-44956")</f>
        <v>661-44956</v>
      </c>
      <c r="E1916" s="2" t="str">
        <f>IFERROR(__xludf.DUMMYFUNCTION("""COMPUTED_VALUE"""),"TrueDepth Camera, iPhone 16 Pro Max")</f>
        <v>TrueDepth Camera, iPhone 16 Pro Max</v>
      </c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10" t="str">
        <f t="shared" si="1"/>
        <v>June</v>
      </c>
      <c r="B1917" s="11">
        <f>IFERROR(__xludf.DUMMYFUNCTION("""COMPUTED_VALUE"""),46177.0)</f>
        <v>46177</v>
      </c>
      <c r="C1917" s="2" t="str">
        <f>IFERROR(__xludf.DUMMYFUNCTION("""COMPUTED_VALUE"""),"MOBILECARE - VERTIS NORTH")</f>
        <v>MOBILECARE - VERTIS NORTH</v>
      </c>
      <c r="D1917" s="2" t="str">
        <f>IFERROR(__xludf.DUMMYFUNCTION("""COMPUTED_VALUE"""),"661-42726")</f>
        <v>661-42726</v>
      </c>
      <c r="E1917" s="2" t="str">
        <f>IFERROR(__xludf.DUMMYFUNCTION("""COMPUTED_VALUE"""),"Display, iPhone 16 Pro")</f>
        <v>Display, iPhone 16 Pro</v>
      </c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10" t="str">
        <f t="shared" si="1"/>
        <v>June</v>
      </c>
      <c r="B1918" s="11">
        <f>IFERROR(__xludf.DUMMYFUNCTION("""COMPUTED_VALUE"""),46177.0)</f>
        <v>46177</v>
      </c>
      <c r="C1918" s="2" t="str">
        <f>IFERROR(__xludf.DUMMYFUNCTION("""COMPUTED_VALUE"""),"MOBILECARE - VERTIS NORTH")</f>
        <v>MOBILECARE - VERTIS NORTH</v>
      </c>
      <c r="D1918" s="2" t="str">
        <f>IFERROR(__xludf.DUMMYFUNCTION("""COMPUTED_VALUE"""),"661-30397")</f>
        <v>661-30397</v>
      </c>
      <c r="E1918" s="2" t="str">
        <f>IFERROR(__xludf.DUMMYFUNCTION("""COMPUTED_VALUE"""),"Battery, iPhone 14 Pro Max")</f>
        <v>Battery, iPhone 14 Pro Max</v>
      </c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10" t="str">
        <f t="shared" si="1"/>
        <v>May</v>
      </c>
      <c r="B1919" s="11">
        <f>IFERROR(__xludf.DUMMYFUNCTION("""COMPUTED_VALUE"""),46172.0)</f>
        <v>46172</v>
      </c>
      <c r="C1919" s="2" t="str">
        <f>IFERROR(__xludf.DUMMYFUNCTION("""COMPUTED_VALUE"""),"MOBILECARE - VERTIS NORTH")</f>
        <v>MOBILECARE - VERTIS NORTH</v>
      </c>
      <c r="D1919" s="2" t="str">
        <f>IFERROR(__xludf.DUMMYFUNCTION("""COMPUTED_VALUE"""),"661-22374")</f>
        <v>661-22374</v>
      </c>
      <c r="E1919" s="2" t="str">
        <f>IFERROR(__xludf.DUMMYFUNCTION("""COMPUTED_VALUE"""),"Battery, iPhone 13 mini")</f>
        <v>Battery, iPhone 13 mini</v>
      </c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10" t="str">
        <f t="shared" si="1"/>
        <v>May</v>
      </c>
      <c r="B1920" s="11">
        <f>IFERROR(__xludf.DUMMYFUNCTION("""COMPUTED_VALUE"""),46157.0)</f>
        <v>46157</v>
      </c>
      <c r="C1920" s="2" t="str">
        <f>IFERROR(__xludf.DUMMYFUNCTION("""COMPUTED_VALUE"""),"MOBILECARE - VERTIS NORTH")</f>
        <v>MOBILECARE - VERTIS NORTH</v>
      </c>
      <c r="D1920" s="2" t="str">
        <f>IFERROR(__xludf.DUMMYFUNCTION("""COMPUTED_VALUE"""),"661-21991")</f>
        <v>661-21991</v>
      </c>
      <c r="E1920" s="2" t="str">
        <f>IFERROR(__xludf.DUMMYFUNCTION("""COMPUTED_VALUE"""),"Battery, iPhone 13")</f>
        <v>Battery, iPhone 13</v>
      </c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10" t="str">
        <f t="shared" si="1"/>
        <v>May</v>
      </c>
      <c r="B1921" s="11">
        <f>IFERROR(__xludf.DUMMYFUNCTION("""COMPUTED_VALUE"""),46147.0)</f>
        <v>46147</v>
      </c>
      <c r="C1921" s="2" t="str">
        <f>IFERROR(__xludf.DUMMYFUNCTION("""COMPUTED_VALUE"""),"MOBILECARE - VERTIS NORTH")</f>
        <v>MOBILECARE - VERTIS NORTH</v>
      </c>
      <c r="D1921" s="2" t="str">
        <f>IFERROR(__xludf.DUMMYFUNCTION("""COMPUTED_VALUE"""),"661-18428")</f>
        <v>661-18428</v>
      </c>
      <c r="E1921" s="2" t="str">
        <f>IFERROR(__xludf.DUMMYFUNCTION("""COMPUTED_VALUE"""),"Battery, iPhone 12 Pro Max")</f>
        <v>Battery, iPhone 12 Pro Max</v>
      </c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10" t="str">
        <f t="shared" si="1"/>
        <v>April</v>
      </c>
      <c r="B1922" s="11">
        <f>IFERROR(__xludf.DUMMYFUNCTION("""COMPUTED_VALUE"""),46142.0)</f>
        <v>46142</v>
      </c>
      <c r="C1922" s="2" t="str">
        <f>IFERROR(__xludf.DUMMYFUNCTION("""COMPUTED_VALUE"""),"MOBILECARE - VERTIS NORTH")</f>
        <v>MOBILECARE - VERTIS NORTH</v>
      </c>
      <c r="D1922" s="2" t="str">
        <f>IFERROR(__xludf.DUMMYFUNCTION("""COMPUTED_VALUE"""),"661-56052")</f>
        <v>661-56052</v>
      </c>
      <c r="E1922" s="2" t="str">
        <f>IFERROR(__xludf.DUMMYFUNCTION("""COMPUTED_VALUE"""),"Camera, iPhone 17 Pro Max")</f>
        <v>Camera, iPhone 17 Pro Max</v>
      </c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10" t="str">
        <f t="shared" si="1"/>
        <v>April</v>
      </c>
      <c r="B1923" s="11">
        <f>IFERROR(__xludf.DUMMYFUNCTION("""COMPUTED_VALUE"""),46135.0)</f>
        <v>46135</v>
      </c>
      <c r="C1923" s="2" t="str">
        <f>IFERROR(__xludf.DUMMYFUNCTION("""COMPUTED_VALUE"""),"MOBILECARE - VERTIS NORTH")</f>
        <v>MOBILECARE - VERTIS NORTH</v>
      </c>
      <c r="D1923" s="2" t="str">
        <f>IFERROR(__xludf.DUMMYFUNCTION("""COMPUTED_VALUE"""),"661-56050")</f>
        <v>661-56050</v>
      </c>
      <c r="E1923" s="2" t="str">
        <f>IFERROR(__xludf.DUMMYFUNCTION("""COMPUTED_VALUE"""),"Display, iPhone 17 Pro Max")</f>
        <v>Display, iPhone 17 Pro Max</v>
      </c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10" t="str">
        <f t="shared" si="1"/>
        <v>March</v>
      </c>
      <c r="B1924" s="11">
        <f>IFERROR(__xludf.DUMMYFUNCTION("""COMPUTED_VALUE"""),46101.0)</f>
        <v>46101</v>
      </c>
      <c r="C1924" s="2" t="str">
        <f>IFERROR(__xludf.DUMMYFUNCTION("""COMPUTED_VALUE"""),"MOBILECARE - VERTIS NORTH")</f>
        <v>MOBILECARE - VERTIS NORTH</v>
      </c>
      <c r="D1924" s="2" t="str">
        <f>IFERROR(__xludf.DUMMYFUNCTION("""COMPUTED_VALUE"""),"661-21991")</f>
        <v>661-21991</v>
      </c>
      <c r="E1924" s="2" t="str">
        <f>IFERROR(__xludf.DUMMYFUNCTION("""COMPUTED_VALUE"""),"Battery, iPhone 13")</f>
        <v>Battery, iPhone 13</v>
      </c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10" t="str">
        <f t="shared" si="1"/>
        <v>March</v>
      </c>
      <c r="B1925" s="11">
        <f>IFERROR(__xludf.DUMMYFUNCTION("""COMPUTED_VALUE"""),46097.0)</f>
        <v>46097</v>
      </c>
      <c r="C1925" s="2" t="str">
        <f>IFERROR(__xludf.DUMMYFUNCTION("""COMPUTED_VALUE"""),"MOBILECARE - VERTIS NORTH")</f>
        <v>MOBILECARE - VERTIS NORTH</v>
      </c>
      <c r="D1925" s="2" t="str">
        <f>IFERROR(__xludf.DUMMYFUNCTION("""COMPUTED_VALUE"""),"661-30394")</f>
        <v>661-30394</v>
      </c>
      <c r="E1925" s="2" t="str">
        <f>IFERROR(__xludf.DUMMYFUNCTION("""COMPUTED_VALUE"""),"Battery, iPhone 14 Plus")</f>
        <v>Battery, iPhone 14 Plus</v>
      </c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10" t="str">
        <f t="shared" si="1"/>
        <v>March</v>
      </c>
      <c r="B1926" s="11">
        <f>IFERROR(__xludf.DUMMYFUNCTION("""COMPUTED_VALUE"""),46096.0)</f>
        <v>46096</v>
      </c>
      <c r="C1926" s="2" t="str">
        <f>IFERROR(__xludf.DUMMYFUNCTION("""COMPUTED_VALUE"""),"MOBILECARE - VERTIS NORTH")</f>
        <v>MOBILECARE - VERTIS NORTH</v>
      </c>
      <c r="D1926" s="2" t="str">
        <f>IFERROR(__xludf.DUMMYFUNCTION("""COMPUTED_VALUE"""),"661-17920")</f>
        <v>661-17920</v>
      </c>
      <c r="E1926" s="2" t="str">
        <f>IFERROR(__xludf.DUMMYFUNCTION("""COMPUTED_VALUE"""),"Battery, iPhone 12 and 12 Pro")</f>
        <v>Battery, iPhone 12 and 12 Pro</v>
      </c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10" t="str">
        <f t="shared" si="1"/>
        <v>March</v>
      </c>
      <c r="B1927" s="11">
        <f>IFERROR(__xludf.DUMMYFUNCTION("""COMPUTED_VALUE"""),46094.0)</f>
        <v>46094</v>
      </c>
      <c r="C1927" s="2" t="str">
        <f>IFERROR(__xludf.DUMMYFUNCTION("""COMPUTED_VALUE"""),"MOBILECARE - VERTIS NORTH")</f>
        <v>MOBILECARE - VERTIS NORTH</v>
      </c>
      <c r="D1927" s="2" t="str">
        <f>IFERROR(__xludf.DUMMYFUNCTION("""COMPUTED_VALUE"""),"661-36706")</f>
        <v>661-36706</v>
      </c>
      <c r="E1927" s="2" t="str">
        <f>IFERROR(__xludf.DUMMYFUNCTION("""COMPUTED_VALUE"""),"Display, iPhone 15")</f>
        <v>Display, iPhone 15</v>
      </c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10" t="str">
        <f t="shared" si="1"/>
        <v>March</v>
      </c>
      <c r="B1928" s="11">
        <f>IFERROR(__xludf.DUMMYFUNCTION("""COMPUTED_VALUE"""),46084.0)</f>
        <v>46084</v>
      </c>
      <c r="C1928" s="2" t="str">
        <f>IFERROR(__xludf.DUMMYFUNCTION("""COMPUTED_VALUE"""),"MOBILECARE - VERTIS NORTH")</f>
        <v>MOBILECARE - VERTIS NORTH</v>
      </c>
      <c r="D1928" s="2" t="str">
        <f>IFERROR(__xludf.DUMMYFUNCTION("""COMPUTED_VALUE"""),"661-36918")</f>
        <v>661-36918</v>
      </c>
      <c r="E1928" s="2" t="str">
        <f>IFERROR(__xludf.DUMMYFUNCTION("""COMPUTED_VALUE"""),"Battery, iPhone 15 Pro Max")</f>
        <v>Battery, iPhone 15 Pro Max</v>
      </c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10" t="str">
        <f t="shared" si="1"/>
        <v>February</v>
      </c>
      <c r="B1929" s="11">
        <f>IFERROR(__xludf.DUMMYFUNCTION("""COMPUTED_VALUE"""),46078.0)</f>
        <v>46078</v>
      </c>
      <c r="C1929" s="2" t="str">
        <f>IFERROR(__xludf.DUMMYFUNCTION("""COMPUTED_VALUE"""),"MOBILECARE - VERTIS NORTH")</f>
        <v>MOBILECARE - VERTIS NORTH</v>
      </c>
      <c r="D1929" s="2" t="str">
        <f>IFERROR(__xludf.DUMMYFUNCTION("""COMPUTED_VALUE"""),"661-56052")</f>
        <v>661-56052</v>
      </c>
      <c r="E1929" s="2" t="str">
        <f>IFERROR(__xludf.DUMMYFUNCTION("""COMPUTED_VALUE"""),"Camera, iPhone 17 Pro Max")</f>
        <v>Camera, iPhone 17 Pro Max</v>
      </c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10" t="str">
        <f t="shared" si="1"/>
        <v>February</v>
      </c>
      <c r="B1930" s="11">
        <f>IFERROR(__xludf.DUMMYFUNCTION("""COMPUTED_VALUE"""),46073.0)</f>
        <v>46073</v>
      </c>
      <c r="C1930" s="2" t="str">
        <f>IFERROR(__xludf.DUMMYFUNCTION("""COMPUTED_VALUE"""),"MOBILECARE - VERTIS NORTH")</f>
        <v>MOBILECARE - VERTIS NORTH</v>
      </c>
      <c r="D1930" s="2" t="str">
        <f>IFERROR(__xludf.DUMMYFUNCTION("""COMPUTED_VALUE"""),"661-22309")</f>
        <v>661-22309</v>
      </c>
      <c r="E1930" s="2" t="str">
        <f>IFERROR(__xludf.DUMMYFUNCTION("""COMPUTED_VALUE"""),"Display, iPhone 13 Pro Max")</f>
        <v>Display, iPhone 13 Pro Max</v>
      </c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10" t="str">
        <f t="shared" si="1"/>
        <v>February</v>
      </c>
      <c r="B1931" s="11">
        <f>IFERROR(__xludf.DUMMYFUNCTION("""COMPUTED_VALUE"""),46056.0)</f>
        <v>46056</v>
      </c>
      <c r="C1931" s="2" t="str">
        <f>IFERROR(__xludf.DUMMYFUNCTION("""COMPUTED_VALUE"""),"MOBILECARE - VERTIS NORTH")</f>
        <v>MOBILECARE - VERTIS NORTH</v>
      </c>
      <c r="D1931" s="2" t="str">
        <f>IFERROR(__xludf.DUMMYFUNCTION("""COMPUTED_VALUE"""),"661-21991")</f>
        <v>661-21991</v>
      </c>
      <c r="E1931" s="2" t="str">
        <f>IFERROR(__xludf.DUMMYFUNCTION("""COMPUTED_VALUE"""),"Battery, iPhone 13")</f>
        <v>Battery, iPhone 13</v>
      </c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10" t="str">
        <f t="shared" si="1"/>
        <v>January</v>
      </c>
      <c r="B1932" s="11">
        <f>IFERROR(__xludf.DUMMYFUNCTION("""COMPUTED_VALUE"""),46047.0)</f>
        <v>46047</v>
      </c>
      <c r="C1932" s="2" t="str">
        <f>IFERROR(__xludf.DUMMYFUNCTION("""COMPUTED_VALUE"""),"MOBILECARE - VERTIS NORTH")</f>
        <v>MOBILECARE - VERTIS NORTH</v>
      </c>
      <c r="D1932" s="2" t="str">
        <f>IFERROR(__xludf.DUMMYFUNCTION("""COMPUTED_VALUE"""),"661-22294")</f>
        <v>661-22294</v>
      </c>
      <c r="E1932" s="2" t="str">
        <f>IFERROR(__xludf.DUMMYFUNCTION("""COMPUTED_VALUE"""),"Battery, iPhone 13 Pro Max")</f>
        <v>Battery, iPhone 13 Pro Max</v>
      </c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10" t="str">
        <f t="shared" si="1"/>
        <v>June</v>
      </c>
      <c r="B1933" s="11">
        <f>IFERROR(__xludf.DUMMYFUNCTION("""COMPUTED_VALUE"""),46189.0)</f>
        <v>46189</v>
      </c>
      <c r="C1933" s="2" t="str">
        <f>IFERROR(__xludf.DUMMYFUNCTION("""COMPUTED_VALUE"""),"MOBILECARE - VERTIS NORTH")</f>
        <v>MOBILECARE - VERTIS NORTH</v>
      </c>
      <c r="D1933" s="2" t="str">
        <f>IFERROR(__xludf.DUMMYFUNCTION("""COMPUTED_VALUE"""),"661-35694")</f>
        <v>661-35694</v>
      </c>
      <c r="E1933" s="2" t="str">
        <f>IFERROR(__xludf.DUMMYFUNCTION("""COMPUTED_VALUE"""),"Battery, iPhone 15 Pro")</f>
        <v>Battery, iPhone 15 Pro</v>
      </c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10" t="str">
        <f t="shared" si="1"/>
        <v>June</v>
      </c>
      <c r="B1934" s="11">
        <f>IFERROR(__xludf.DUMMYFUNCTION("""COMPUTED_VALUE"""),46181.0)</f>
        <v>46181</v>
      </c>
      <c r="C1934" s="2" t="str">
        <f>IFERROR(__xludf.DUMMYFUNCTION("""COMPUTED_VALUE"""),"MOBILECARE - VERTIS NORTH")</f>
        <v>MOBILECARE - VERTIS NORTH</v>
      </c>
      <c r="D1934" s="2" t="str">
        <f>IFERROR(__xludf.DUMMYFUNCTION("""COMPUTED_VALUE"""),"661-30366")</f>
        <v>661-30366</v>
      </c>
      <c r="E1934" s="2" t="str">
        <f>IFERROR(__xludf.DUMMYFUNCTION("""COMPUTED_VALUE"""),"Display, iPhone 14")</f>
        <v>Display, iPhone 14</v>
      </c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10" t="str">
        <f t="shared" si="1"/>
        <v>June</v>
      </c>
      <c r="B1935" s="11">
        <f>IFERROR(__xludf.DUMMYFUNCTION("""COMPUTED_VALUE"""),46180.0)</f>
        <v>46180</v>
      </c>
      <c r="C1935" s="2" t="str">
        <f>IFERROR(__xludf.DUMMYFUNCTION("""COMPUTED_VALUE"""),"MOBILECARE - VERTIS NORTH")</f>
        <v>MOBILECARE - VERTIS NORTH</v>
      </c>
      <c r="D1935" s="2" t="str">
        <f>IFERROR(__xludf.DUMMYFUNCTION("""COMPUTED_VALUE"""),"661-22309")</f>
        <v>661-22309</v>
      </c>
      <c r="E1935" s="2" t="str">
        <f>IFERROR(__xludf.DUMMYFUNCTION("""COMPUTED_VALUE"""),"Display, iPhone 13 Pro Max")</f>
        <v>Display, iPhone 13 Pro Max</v>
      </c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10" t="str">
        <f t="shared" si="1"/>
        <v>May</v>
      </c>
      <c r="B1936" s="11">
        <f>IFERROR(__xludf.DUMMYFUNCTION("""COMPUTED_VALUE"""),46156.0)</f>
        <v>46156</v>
      </c>
      <c r="C1936" s="2" t="str">
        <f>IFERROR(__xludf.DUMMYFUNCTION("""COMPUTED_VALUE"""),"MOBILECARE - VERTIS NORTH")</f>
        <v>MOBILECARE - VERTIS NORTH</v>
      </c>
      <c r="D1936" s="2" t="str">
        <f>IFERROR(__xludf.DUMMYFUNCTION("""COMPUTED_VALUE"""),"661-56065")</f>
        <v>661-56065</v>
      </c>
      <c r="E1936" s="2" t="str">
        <f>IFERROR(__xludf.DUMMYFUNCTION("""COMPUTED_VALUE"""),"Display, iPhone 17")</f>
        <v>Display, iPhone 17</v>
      </c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10" t="str">
        <f t="shared" si="1"/>
        <v>May</v>
      </c>
      <c r="B1937" s="11">
        <f>IFERROR(__xludf.DUMMYFUNCTION("""COMPUTED_VALUE"""),46170.0)</f>
        <v>46170</v>
      </c>
      <c r="C1937" s="2" t="str">
        <f>IFERROR(__xludf.DUMMYFUNCTION("""COMPUTED_VALUE"""),"MOBILECARE - VERTIS NORTH")</f>
        <v>MOBILECARE - VERTIS NORTH</v>
      </c>
      <c r="D1937" s="2" t="str">
        <f>IFERROR(__xludf.DUMMYFUNCTION("""COMPUTED_VALUE"""),"661-30393")</f>
        <v>661-30393</v>
      </c>
      <c r="E1937" s="2" t="str">
        <f>IFERROR(__xludf.DUMMYFUNCTION("""COMPUTED_VALUE"""),"Camera, iPhone 14 Plus")</f>
        <v>Camera, iPhone 14 Plus</v>
      </c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10" t="str">
        <f t="shared" si="1"/>
        <v>June</v>
      </c>
      <c r="B1938" s="11">
        <f>IFERROR(__xludf.DUMMYFUNCTION("""COMPUTED_VALUE"""),46178.0)</f>
        <v>46178</v>
      </c>
      <c r="C1938" s="2" t="str">
        <f>IFERROR(__xludf.DUMMYFUNCTION("""COMPUTED_VALUE"""),"MOBILECARE - VERTIS NORTH")</f>
        <v>MOBILECARE - VERTIS NORTH</v>
      </c>
      <c r="D1938" s="2" t="str">
        <f>IFERROR(__xludf.DUMMYFUNCTION("""COMPUTED_VALUE"""),"661-10850")</f>
        <v>661-10850</v>
      </c>
      <c r="E1938" s="2" t="str">
        <f>IFERROR(__xludf.DUMMYFUNCTION("""COMPUTED_VALUE"""),"Battery, iPhone XR")</f>
        <v>Battery, iPhone XR</v>
      </c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10" t="str">
        <f t="shared" si="1"/>
        <v>June</v>
      </c>
      <c r="B1939" s="11">
        <f>IFERROR(__xludf.DUMMYFUNCTION("""COMPUTED_VALUE"""),46178.0)</f>
        <v>46178</v>
      </c>
      <c r="C1939" s="2" t="str">
        <f>IFERROR(__xludf.DUMMYFUNCTION("""COMPUTED_VALUE"""),"MOBILECARE - VERTIS NORTH")</f>
        <v>MOBILECARE - VERTIS NORTH</v>
      </c>
      <c r="D1939" s="2" t="str">
        <f>IFERROR(__xludf.DUMMYFUNCTION("""COMPUTED_VALUE"""),"923-02609")</f>
        <v>923-02609</v>
      </c>
      <c r="E1939" s="2" t="str">
        <f>IFERROR(__xludf.DUMMYFUNCTION("""COMPUTED_VALUE"""),"Speaker, iPhone XR")</f>
        <v>Speaker, iPhone XR</v>
      </c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10" t="str">
        <f t="shared" si="1"/>
        <v>April</v>
      </c>
      <c r="B1940" s="11">
        <f>IFERROR(__xludf.DUMMYFUNCTION("""COMPUTED_VALUE"""),46141.0)</f>
        <v>46141</v>
      </c>
      <c r="C1940" s="2" t="str">
        <f>IFERROR(__xludf.DUMMYFUNCTION("""COMPUTED_VALUE"""),"MOBILECARE - VERTIS NORTH")</f>
        <v>MOBILECARE - VERTIS NORTH</v>
      </c>
      <c r="D1940" s="2" t="str">
        <f>IFERROR(__xludf.DUMMYFUNCTION("""COMPUTED_VALUE"""),"661-56065")</f>
        <v>661-56065</v>
      </c>
      <c r="E1940" s="2" t="str">
        <f>IFERROR(__xludf.DUMMYFUNCTION("""COMPUTED_VALUE"""),"Display, iPhone 17")</f>
        <v>Display, iPhone 17</v>
      </c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10" t="str">
        <f t="shared" si="1"/>
        <v>April</v>
      </c>
      <c r="B1941" s="11">
        <f>IFERROR(__xludf.DUMMYFUNCTION("""COMPUTED_VALUE"""),46129.0)</f>
        <v>46129</v>
      </c>
      <c r="C1941" s="2" t="str">
        <f>IFERROR(__xludf.DUMMYFUNCTION("""COMPUTED_VALUE"""),"MOBILECARE - VERTIS NORTH")</f>
        <v>MOBILECARE - VERTIS NORTH</v>
      </c>
      <c r="D1941" s="2" t="str">
        <f>IFERROR(__xludf.DUMMYFUNCTION("""COMPUTED_VALUE"""),"661-21988")</f>
        <v>661-21988</v>
      </c>
      <c r="E1941" s="2" t="str">
        <f>IFERROR(__xludf.DUMMYFUNCTION("""COMPUTED_VALUE"""),"Display, iPhone 13")</f>
        <v>Display, iPhone 13</v>
      </c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10" t="str">
        <f t="shared" si="1"/>
        <v>April</v>
      </c>
      <c r="B1942" s="11">
        <f>IFERROR(__xludf.DUMMYFUNCTION("""COMPUTED_VALUE"""),46129.0)</f>
        <v>46129</v>
      </c>
      <c r="C1942" s="2" t="str">
        <f>IFERROR(__xludf.DUMMYFUNCTION("""COMPUTED_VALUE"""),"MOBILECARE - VERTIS NORTH")</f>
        <v>MOBILECARE - VERTIS NORTH</v>
      </c>
      <c r="D1942" s="2" t="str">
        <f>IFERROR(__xludf.DUMMYFUNCTION("""COMPUTED_VALUE"""),"661-21988")</f>
        <v>661-21988</v>
      </c>
      <c r="E1942" s="2" t="str">
        <f>IFERROR(__xludf.DUMMYFUNCTION("""COMPUTED_VALUE"""),"Display, iPhone 13")</f>
        <v>Display, iPhone 13</v>
      </c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10" t="str">
        <f t="shared" si="1"/>
        <v>April</v>
      </c>
      <c r="B1943" s="11">
        <f>IFERROR(__xludf.DUMMYFUNCTION("""COMPUTED_VALUE"""),46126.0)</f>
        <v>46126</v>
      </c>
      <c r="C1943" s="2" t="str">
        <f>IFERROR(__xludf.DUMMYFUNCTION("""COMPUTED_VALUE"""),"MOBILECARE - VERTIS NORTH")</f>
        <v>MOBILECARE - VERTIS NORTH</v>
      </c>
      <c r="D1943" s="2" t="str">
        <f>IFERROR(__xludf.DUMMYFUNCTION("""COMPUTED_VALUE"""),"661-36918")</f>
        <v>661-36918</v>
      </c>
      <c r="E1943" s="2" t="str">
        <f>IFERROR(__xludf.DUMMYFUNCTION("""COMPUTED_VALUE"""),"Battery, iPhone 15 Pro Max")</f>
        <v>Battery, iPhone 15 Pro Max</v>
      </c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10" t="str">
        <f t="shared" si="1"/>
        <v>April</v>
      </c>
      <c r="B1944" s="11">
        <f>IFERROR(__xludf.DUMMYFUNCTION("""COMPUTED_VALUE"""),46138.0)</f>
        <v>46138</v>
      </c>
      <c r="C1944" s="2" t="str">
        <f>IFERROR(__xludf.DUMMYFUNCTION("""COMPUTED_VALUE"""),"MOBILECARE - VERTIS NORTH")</f>
        <v>MOBILECARE - VERTIS NORTH</v>
      </c>
      <c r="D1944" s="2" t="str">
        <f>IFERROR(__xludf.DUMMYFUNCTION("""COMPUTED_VALUE"""),"661-56052")</f>
        <v>661-56052</v>
      </c>
      <c r="E1944" s="2" t="str">
        <f>IFERROR(__xludf.DUMMYFUNCTION("""COMPUTED_VALUE"""),"Camera, iPhone 17 Pro Max")</f>
        <v>Camera, iPhone 17 Pro Max</v>
      </c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10" t="str">
        <f t="shared" si="1"/>
        <v>April</v>
      </c>
      <c r="B1945" s="11">
        <f>IFERROR(__xludf.DUMMYFUNCTION("""COMPUTED_VALUE"""),46138.0)</f>
        <v>46138</v>
      </c>
      <c r="C1945" s="2" t="str">
        <f>IFERROR(__xludf.DUMMYFUNCTION("""COMPUTED_VALUE"""),"MOBILECARE - VERTIS NORTH")</f>
        <v>MOBILECARE - VERTIS NORTH</v>
      </c>
      <c r="D1945" s="2" t="str">
        <f>IFERROR(__xludf.DUMMYFUNCTION("""COMPUTED_VALUE"""),"661-56051")</f>
        <v>661-56051</v>
      </c>
      <c r="E1945" s="2" t="str">
        <f>IFERROR(__xludf.DUMMYFUNCTION("""COMPUTED_VALUE"""),"Front Camera, iPhone 17 Pro Max")</f>
        <v>Front Camera, iPhone 17 Pro Max</v>
      </c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10" t="str">
        <f t="shared" si="1"/>
        <v>April</v>
      </c>
      <c r="B1946" s="11">
        <f>IFERROR(__xludf.DUMMYFUNCTION("""COMPUTED_VALUE"""),46138.0)</f>
        <v>46138</v>
      </c>
      <c r="C1946" s="2" t="str">
        <f>IFERROR(__xludf.DUMMYFUNCTION("""COMPUTED_VALUE"""),"MOBILECARE - VERTIS NORTH")</f>
        <v>MOBILECARE - VERTIS NORTH</v>
      </c>
      <c r="D1946" s="2" t="str">
        <f>IFERROR(__xludf.DUMMYFUNCTION("""COMPUTED_VALUE"""),"661-56052")</f>
        <v>661-56052</v>
      </c>
      <c r="E1946" s="2" t="str">
        <f>IFERROR(__xludf.DUMMYFUNCTION("""COMPUTED_VALUE"""),"Camera, iPhone 17 Pro Max")</f>
        <v>Camera, iPhone 17 Pro Max</v>
      </c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10" t="str">
        <f t="shared" si="1"/>
        <v>April</v>
      </c>
      <c r="B1947" s="11">
        <f>IFERROR(__xludf.DUMMYFUNCTION("""COMPUTED_VALUE"""),46138.0)</f>
        <v>46138</v>
      </c>
      <c r="C1947" s="2" t="str">
        <f>IFERROR(__xludf.DUMMYFUNCTION("""COMPUTED_VALUE"""),"MOBILECARE - VERTIS NORTH")</f>
        <v>MOBILECARE - VERTIS NORTH</v>
      </c>
      <c r="D1947" s="2" t="str">
        <f>IFERROR(__xludf.DUMMYFUNCTION("""COMPUTED_VALUE"""),"661-56051")</f>
        <v>661-56051</v>
      </c>
      <c r="E1947" s="2" t="str">
        <f>IFERROR(__xludf.DUMMYFUNCTION("""COMPUTED_VALUE"""),"Front Camera, iPhone 17 Pro Max")</f>
        <v>Front Camera, iPhone 17 Pro Max</v>
      </c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10" t="str">
        <f t="shared" si="1"/>
        <v>April</v>
      </c>
      <c r="B1948" s="11">
        <f>IFERROR(__xludf.DUMMYFUNCTION("""COMPUTED_VALUE"""),46138.0)</f>
        <v>46138</v>
      </c>
      <c r="C1948" s="2" t="str">
        <f>IFERROR(__xludf.DUMMYFUNCTION("""COMPUTED_VALUE"""),"MOBILECARE - VERTIS NORTH")</f>
        <v>MOBILECARE - VERTIS NORTH</v>
      </c>
      <c r="D1948" s="2" t="str">
        <f>IFERROR(__xludf.DUMMYFUNCTION("""COMPUTED_VALUE"""),"Z661-55956")</f>
        <v>Z661-55956</v>
      </c>
      <c r="E1948" s="2" t="str">
        <f>IFERROR(__xludf.DUMMYFUNCTION("""COMPUTED_VALUE"""),"Logic Board, 256GB, iPhone 17 Pro Max, ROW")</f>
        <v>Logic Board, 256GB, iPhone 17 Pro Max, ROW</v>
      </c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10" t="str">
        <f t="shared" si="1"/>
        <v>March</v>
      </c>
      <c r="B1949" s="11">
        <f>IFERROR(__xludf.DUMMYFUNCTION("""COMPUTED_VALUE"""),46095.0)</f>
        <v>46095</v>
      </c>
      <c r="C1949" s="2" t="str">
        <f>IFERROR(__xludf.DUMMYFUNCTION("""COMPUTED_VALUE"""),"MOBILECARE - VERTIS NORTH")</f>
        <v>MOBILECARE - VERTIS NORTH</v>
      </c>
      <c r="D1949" s="2" t="str">
        <f>IFERROR(__xludf.DUMMYFUNCTION("""COMPUTED_VALUE"""),"661-22309")</f>
        <v>661-22309</v>
      </c>
      <c r="E1949" s="2" t="str">
        <f>IFERROR(__xludf.DUMMYFUNCTION("""COMPUTED_VALUE"""),"Display, iPhone 13 Pro Max")</f>
        <v>Display, iPhone 13 Pro Max</v>
      </c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10" t="str">
        <f t="shared" si="1"/>
        <v>March</v>
      </c>
      <c r="B1950" s="11">
        <f>IFERROR(__xludf.DUMMYFUNCTION("""COMPUTED_VALUE"""),46094.0)</f>
        <v>46094</v>
      </c>
      <c r="C1950" s="2" t="str">
        <f>IFERROR(__xludf.DUMMYFUNCTION("""COMPUTED_VALUE"""),"MOBILECARE - VERTIS NORTH")</f>
        <v>MOBILECARE - VERTIS NORTH</v>
      </c>
      <c r="D1950" s="2" t="str">
        <f>IFERROR(__xludf.DUMMYFUNCTION("""COMPUTED_VALUE"""),"661-21993")</f>
        <v>661-21993</v>
      </c>
      <c r="E1950" s="2" t="str">
        <f>IFERROR(__xludf.DUMMYFUNCTION("""COMPUTED_VALUE"""),"Display, iPhone 13 Pro")</f>
        <v>Display, iPhone 13 Pro</v>
      </c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10" t="str">
        <f t="shared" si="1"/>
        <v>March</v>
      </c>
      <c r="B1951" s="11">
        <f>IFERROR(__xludf.DUMMYFUNCTION("""COMPUTED_VALUE"""),46092.0)</f>
        <v>46092</v>
      </c>
      <c r="C1951" s="2" t="str">
        <f>IFERROR(__xludf.DUMMYFUNCTION("""COMPUTED_VALUE"""),"MOBILECARE - VERTIS NORTH")</f>
        <v>MOBILECARE - VERTIS NORTH</v>
      </c>
      <c r="D1951" s="2" t="str">
        <f>IFERROR(__xludf.DUMMYFUNCTION("""COMPUTED_VALUE"""),"661-30382")</f>
        <v>661-30382</v>
      </c>
      <c r="E1951" s="2" t="str">
        <f>IFERROR(__xludf.DUMMYFUNCTION("""COMPUTED_VALUE"""),"Battery, iPhone 14 Pro")</f>
        <v>Battery, iPhone 14 Pro</v>
      </c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10" t="str">
        <f t="shared" si="1"/>
        <v>February</v>
      </c>
      <c r="B1952" s="11">
        <f>IFERROR(__xludf.DUMMYFUNCTION("""COMPUTED_VALUE"""),46059.0)</f>
        <v>46059</v>
      </c>
      <c r="C1952" s="2" t="str">
        <f>IFERROR(__xludf.DUMMYFUNCTION("""COMPUTED_VALUE"""),"MOBILECARE - VERTIS NORTH")</f>
        <v>MOBILECARE - VERTIS NORTH</v>
      </c>
      <c r="D1952" s="2" t="str">
        <f>IFERROR(__xludf.DUMMYFUNCTION("""COMPUTED_VALUE"""),"661-44799")</f>
        <v>661-44799</v>
      </c>
      <c r="E1952" s="2" t="str">
        <f>IFERROR(__xludf.DUMMYFUNCTION("""COMPUTED_VALUE"""),"Camera, iPhone 16")</f>
        <v>Camera, iPhone 16</v>
      </c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10" t="str">
        <f t="shared" si="1"/>
        <v>June</v>
      </c>
      <c r="B1953" s="11">
        <f>IFERROR(__xludf.DUMMYFUNCTION("""COMPUTED_VALUE"""),46189.0)</f>
        <v>46189</v>
      </c>
      <c r="C1953" s="2" t="str">
        <f>IFERROR(__xludf.DUMMYFUNCTION("""COMPUTED_VALUE"""),"MOBILECARE - VERTIS NORTH")</f>
        <v>MOBILECARE - VERTIS NORTH</v>
      </c>
      <c r="D1953" s="2" t="str">
        <f>IFERROR(__xludf.DUMMYFUNCTION("""COMPUTED_VALUE"""),"661-21993")</f>
        <v>661-21993</v>
      </c>
      <c r="E1953" s="2" t="str">
        <f>IFERROR(__xludf.DUMMYFUNCTION("""COMPUTED_VALUE"""),"Display, iPhone 13 Pro")</f>
        <v>Display, iPhone 13 Pro</v>
      </c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10" t="str">
        <f t="shared" si="1"/>
        <v>June</v>
      </c>
      <c r="B1954" s="11">
        <f>IFERROR(__xludf.DUMMYFUNCTION("""COMPUTED_VALUE"""),46186.0)</f>
        <v>46186</v>
      </c>
      <c r="C1954" s="2" t="str">
        <f>IFERROR(__xludf.DUMMYFUNCTION("""COMPUTED_VALUE"""),"MOBILECARE - VERTIS NORTH")</f>
        <v>MOBILECARE - VERTIS NORTH</v>
      </c>
      <c r="D1954" s="2" t="str">
        <f>IFERROR(__xludf.DUMMYFUNCTION("""COMPUTED_VALUE"""),"661-22374")</f>
        <v>661-22374</v>
      </c>
      <c r="E1954" s="2" t="str">
        <f>IFERROR(__xludf.DUMMYFUNCTION("""COMPUTED_VALUE"""),"Battery, iPhone 13 mini")</f>
        <v>Battery, iPhone 13 mini</v>
      </c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10" t="str">
        <f t="shared" si="1"/>
        <v>June</v>
      </c>
      <c r="B1955" s="11">
        <f>IFERROR(__xludf.DUMMYFUNCTION("""COMPUTED_VALUE"""),46174.0)</f>
        <v>46174</v>
      </c>
      <c r="C1955" s="2" t="str">
        <f>IFERROR(__xludf.DUMMYFUNCTION("""COMPUTED_VALUE"""),"MOBILECARE - VERTIS NORTH")</f>
        <v>MOBILECARE - VERTIS NORTH</v>
      </c>
      <c r="D1955" s="2" t="str">
        <f>IFERROR(__xludf.DUMMYFUNCTION("""COMPUTED_VALUE"""),"661-18428")</f>
        <v>661-18428</v>
      </c>
      <c r="E1955" s="2" t="str">
        <f>IFERROR(__xludf.DUMMYFUNCTION("""COMPUTED_VALUE"""),"Battery, iPhone 12 Pro Max")</f>
        <v>Battery, iPhone 12 Pro Max</v>
      </c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A1956" s="10" t="str">
        <f t="shared" si="1"/>
        <v>May</v>
      </c>
      <c r="B1956" s="11">
        <f>IFERROR(__xludf.DUMMYFUNCTION("""COMPUTED_VALUE"""),46162.0)</f>
        <v>46162</v>
      </c>
      <c r="C1956" s="2" t="str">
        <f>IFERROR(__xludf.DUMMYFUNCTION("""COMPUTED_VALUE"""),"MOBILECARE - VERTIS NORTH")</f>
        <v>MOBILECARE - VERTIS NORTH</v>
      </c>
      <c r="D1956" s="2" t="str">
        <f>IFERROR(__xludf.DUMMYFUNCTION("""COMPUTED_VALUE"""),"661-42726")</f>
        <v>661-42726</v>
      </c>
      <c r="E1956" s="2" t="str">
        <f>IFERROR(__xludf.DUMMYFUNCTION("""COMPUTED_VALUE"""),"Display, iPhone 16 Pro")</f>
        <v>Display, iPhone 16 Pro</v>
      </c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A1957" s="10" t="str">
        <f t="shared" si="1"/>
        <v>May</v>
      </c>
      <c r="B1957" s="11">
        <f>IFERROR(__xludf.DUMMYFUNCTION("""COMPUTED_VALUE"""),46151.0)</f>
        <v>46151</v>
      </c>
      <c r="C1957" s="2" t="str">
        <f>IFERROR(__xludf.DUMMYFUNCTION("""COMPUTED_VALUE"""),"MOBILECARE - VERTIS NORTH")</f>
        <v>MOBILECARE - VERTIS NORTH</v>
      </c>
      <c r="D1957" s="2" t="str">
        <f>IFERROR(__xludf.DUMMYFUNCTION("""COMPUTED_VALUE"""),"661-21991")</f>
        <v>661-21991</v>
      </c>
      <c r="E1957" s="2" t="str">
        <f>IFERROR(__xludf.DUMMYFUNCTION("""COMPUTED_VALUE"""),"Battery, iPhone 13")</f>
        <v>Battery, iPhone 13</v>
      </c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A1958" s="10" t="str">
        <f t="shared" si="1"/>
        <v>May</v>
      </c>
      <c r="B1958" s="11">
        <f>IFERROR(__xludf.DUMMYFUNCTION("""COMPUTED_VALUE"""),46145.0)</f>
        <v>46145</v>
      </c>
      <c r="C1958" s="2" t="str">
        <f>IFERROR(__xludf.DUMMYFUNCTION("""COMPUTED_VALUE"""),"MOBILECARE - VERTIS NORTH")</f>
        <v>MOBILECARE - VERTIS NORTH</v>
      </c>
      <c r="D1958" s="2" t="str">
        <f>IFERROR(__xludf.DUMMYFUNCTION("""COMPUTED_VALUE"""),"661-21991")</f>
        <v>661-21991</v>
      </c>
      <c r="E1958" s="2" t="str">
        <f>IFERROR(__xludf.DUMMYFUNCTION("""COMPUTED_VALUE"""),"Battery, iPhone 13")</f>
        <v>Battery, iPhone 13</v>
      </c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A1959" s="10" t="str">
        <f t="shared" si="1"/>
        <v>April</v>
      </c>
      <c r="B1959" s="11">
        <f>IFERROR(__xludf.DUMMYFUNCTION("""COMPUTED_VALUE"""),46124.0)</f>
        <v>46124</v>
      </c>
      <c r="C1959" s="2" t="str">
        <f>IFERROR(__xludf.DUMMYFUNCTION("""COMPUTED_VALUE"""),"MOBILECARE - VERTIS NORTH")</f>
        <v>MOBILECARE - VERTIS NORTH</v>
      </c>
      <c r="D1959" s="2" t="str">
        <f>IFERROR(__xludf.DUMMYFUNCTION("""COMPUTED_VALUE"""),"661-21991")</f>
        <v>661-21991</v>
      </c>
      <c r="E1959" s="2" t="str">
        <f>IFERROR(__xludf.DUMMYFUNCTION("""COMPUTED_VALUE"""),"Battery, iPhone 13")</f>
        <v>Battery, iPhone 13</v>
      </c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A1960" s="10" t="str">
        <f t="shared" si="1"/>
        <v>March</v>
      </c>
      <c r="B1960" s="11">
        <f>IFERROR(__xludf.DUMMYFUNCTION("""COMPUTED_VALUE"""),46106.0)</f>
        <v>46106</v>
      </c>
      <c r="C1960" s="2" t="str">
        <f>IFERROR(__xludf.DUMMYFUNCTION("""COMPUTED_VALUE"""),"MOBILECARE - VERTIS NORTH")</f>
        <v>MOBILECARE - VERTIS NORTH</v>
      </c>
      <c r="D1960" s="2" t="str">
        <f>IFERROR(__xludf.DUMMYFUNCTION("""COMPUTED_VALUE"""),"661-13574")</f>
        <v>661-13574</v>
      </c>
      <c r="E1960" s="2" t="str">
        <f>IFERROR(__xludf.DUMMYFUNCTION("""COMPUTED_VALUE"""),"Battery, iPhone 11")</f>
        <v>Battery, iPhone 11</v>
      </c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A1961" s="10" t="str">
        <f t="shared" si="1"/>
        <v>March</v>
      </c>
      <c r="B1961" s="11">
        <f>IFERROR(__xludf.DUMMYFUNCTION("""COMPUTED_VALUE"""),46101.0)</f>
        <v>46101</v>
      </c>
      <c r="C1961" s="2" t="str">
        <f>IFERROR(__xludf.DUMMYFUNCTION("""COMPUTED_VALUE"""),"MOBILECARE - VERTIS NORTH")</f>
        <v>MOBILECARE - VERTIS NORTH</v>
      </c>
      <c r="D1961" s="2" t="str">
        <f>IFERROR(__xludf.DUMMYFUNCTION("""COMPUTED_VALUE"""),"661-56052")</f>
        <v>661-56052</v>
      </c>
      <c r="E1961" s="2" t="str">
        <f>IFERROR(__xludf.DUMMYFUNCTION("""COMPUTED_VALUE"""),"Camera, iPhone 17 Pro Max")</f>
        <v>Camera, iPhone 17 Pro Max</v>
      </c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A1962" s="10" t="str">
        <f t="shared" si="1"/>
        <v>February</v>
      </c>
      <c r="B1962" s="11">
        <f>IFERROR(__xludf.DUMMYFUNCTION("""COMPUTED_VALUE"""),46075.0)</f>
        <v>46075</v>
      </c>
      <c r="C1962" s="2" t="str">
        <f>IFERROR(__xludf.DUMMYFUNCTION("""COMPUTED_VALUE"""),"MOBILECARE - VERTIS NORTH")</f>
        <v>MOBILECARE - VERTIS NORTH</v>
      </c>
      <c r="D1962" s="2" t="str">
        <f>IFERROR(__xludf.DUMMYFUNCTION("""COMPUTED_VALUE"""),"661-36915")</f>
        <v>661-36915</v>
      </c>
      <c r="E1962" s="2" t="str">
        <f>IFERROR(__xludf.DUMMYFUNCTION("""COMPUTED_VALUE"""),"Display, iPhone 15 Pro Max")</f>
        <v>Display, iPhone 15 Pro Max</v>
      </c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A1963" s="10" t="str">
        <f t="shared" si="1"/>
        <v>February</v>
      </c>
      <c r="B1963" s="11">
        <f>IFERROR(__xludf.DUMMYFUNCTION("""COMPUTED_VALUE"""),46075.0)</f>
        <v>46075</v>
      </c>
      <c r="C1963" s="2" t="str">
        <f>IFERROR(__xludf.DUMMYFUNCTION("""COMPUTED_VALUE"""),"MOBILECARE - VERTIS NORTH")</f>
        <v>MOBILECARE - VERTIS NORTH</v>
      </c>
      <c r="D1963" s="2" t="str">
        <f>IFERROR(__xludf.DUMMYFUNCTION("""COMPUTED_VALUE"""),"661-36918")</f>
        <v>661-36918</v>
      </c>
      <c r="E1963" s="2" t="str">
        <f>IFERROR(__xludf.DUMMYFUNCTION("""COMPUTED_VALUE"""),"Battery, iPhone 15 Pro Max")</f>
        <v>Battery, iPhone 15 Pro Max</v>
      </c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A1964" s="10" t="str">
        <f t="shared" si="1"/>
        <v>February</v>
      </c>
      <c r="B1964" s="11">
        <f>IFERROR(__xludf.DUMMYFUNCTION("""COMPUTED_VALUE"""),46070.0)</f>
        <v>46070</v>
      </c>
      <c r="C1964" s="2" t="str">
        <f>IFERROR(__xludf.DUMMYFUNCTION("""COMPUTED_VALUE"""),"MOBILECARE - VERTIS NORTH")</f>
        <v>MOBILECARE - VERTIS NORTH</v>
      </c>
      <c r="D1964" s="2" t="str">
        <f>IFERROR(__xludf.DUMMYFUNCTION("""COMPUTED_VALUE"""),"661-30382")</f>
        <v>661-30382</v>
      </c>
      <c r="E1964" s="2" t="str">
        <f>IFERROR(__xludf.DUMMYFUNCTION("""COMPUTED_VALUE"""),"Battery, iPhone 14 Pro")</f>
        <v>Battery, iPhone 14 Pro</v>
      </c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A1965" s="10" t="str">
        <f t="shared" si="1"/>
        <v>February</v>
      </c>
      <c r="B1965" s="11">
        <f>IFERROR(__xludf.DUMMYFUNCTION("""COMPUTED_VALUE"""),46059.0)</f>
        <v>46059</v>
      </c>
      <c r="C1965" s="2" t="str">
        <f>IFERROR(__xludf.DUMMYFUNCTION("""COMPUTED_VALUE"""),"MOBILECARE - VERTIS NORTH")</f>
        <v>MOBILECARE - VERTIS NORTH</v>
      </c>
      <c r="D1965" s="2" t="str">
        <f>IFERROR(__xludf.DUMMYFUNCTION("""COMPUTED_VALUE"""),"661-42844")</f>
        <v>661-42844</v>
      </c>
      <c r="E1965" s="2" t="str">
        <f>IFERROR(__xludf.DUMMYFUNCTION("""COMPUTED_VALUE"""),"TrueDepth Camera, iPhone 16 Plus")</f>
        <v>TrueDepth Camera, iPhone 16 Plus</v>
      </c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A1966" s="10" t="str">
        <f t="shared" si="1"/>
        <v>February</v>
      </c>
      <c r="B1966" s="11">
        <f>IFERROR(__xludf.DUMMYFUNCTION("""COMPUTED_VALUE"""),46056.0)</f>
        <v>46056</v>
      </c>
      <c r="C1966" s="2" t="str">
        <f>IFERROR(__xludf.DUMMYFUNCTION("""COMPUTED_VALUE"""),"MOBILECARE - VERTIS NORTH")</f>
        <v>MOBILECARE - VERTIS NORTH</v>
      </c>
      <c r="D1966" s="2" t="str">
        <f>IFERROR(__xludf.DUMMYFUNCTION("""COMPUTED_VALUE"""),"661-30382")</f>
        <v>661-30382</v>
      </c>
      <c r="E1966" s="2" t="str">
        <f>IFERROR(__xludf.DUMMYFUNCTION("""COMPUTED_VALUE"""),"Battery, iPhone 14 Pro")</f>
        <v>Battery, iPhone 14 Pro</v>
      </c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A1967" s="10" t="str">
        <f t="shared" si="1"/>
        <v>January</v>
      </c>
      <c r="B1967" s="11">
        <f>IFERROR(__xludf.DUMMYFUNCTION("""COMPUTED_VALUE"""),46052.0)</f>
        <v>46052</v>
      </c>
      <c r="C1967" s="2" t="str">
        <f>IFERROR(__xludf.DUMMYFUNCTION("""COMPUTED_VALUE"""),"MOBILECARE - VERTIS NORTH")</f>
        <v>MOBILECARE - VERTIS NORTH</v>
      </c>
      <c r="D1967" s="2" t="str">
        <f>IFERROR(__xludf.DUMMYFUNCTION("""COMPUTED_VALUE"""),"661-36706")</f>
        <v>661-36706</v>
      </c>
      <c r="E1967" s="2" t="str">
        <f>IFERROR(__xludf.DUMMYFUNCTION("""COMPUTED_VALUE"""),"Display, iPhone 15")</f>
        <v>Display, iPhone 15</v>
      </c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A1968" s="10" t="str">
        <f t="shared" si="1"/>
        <v>January</v>
      </c>
      <c r="B1968" s="11">
        <f>IFERROR(__xludf.DUMMYFUNCTION("""COMPUTED_VALUE"""),46045.0)</f>
        <v>46045</v>
      </c>
      <c r="C1968" s="2" t="str">
        <f>IFERROR(__xludf.DUMMYFUNCTION("""COMPUTED_VALUE"""),"MOBILECARE - VERTIS NORTH")</f>
        <v>MOBILECARE - VERTIS NORTH</v>
      </c>
      <c r="D1968" s="2" t="str">
        <f>IFERROR(__xludf.DUMMYFUNCTION("""COMPUTED_VALUE"""),"661-56125")</f>
        <v>661-56125</v>
      </c>
      <c r="E1968" s="2" t="str">
        <f>IFERROR(__xludf.DUMMYFUNCTION("""COMPUTED_VALUE"""),"Display, iPhone 17 Pro")</f>
        <v>Display, iPhone 17 Pro</v>
      </c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A1969" s="10" t="str">
        <f t="shared" si="1"/>
        <v>June</v>
      </c>
      <c r="B1969" s="11">
        <f>IFERROR(__xludf.DUMMYFUNCTION("""COMPUTED_VALUE"""),46192.0)</f>
        <v>46192</v>
      </c>
      <c r="C1969" s="2" t="str">
        <f>IFERROR(__xludf.DUMMYFUNCTION("""COMPUTED_VALUE"""),"MOBILECARE - VERTIS NORTH")</f>
        <v>MOBILECARE - VERTIS NORTH</v>
      </c>
      <c r="D1969" s="2" t="str">
        <f>IFERROR(__xludf.DUMMYFUNCTION("""COMPUTED_VALUE"""),"661-56065")</f>
        <v>661-56065</v>
      </c>
      <c r="E1969" s="2" t="str">
        <f>IFERROR(__xludf.DUMMYFUNCTION("""COMPUTED_VALUE"""),"Display, iPhone 17")</f>
        <v>Display, iPhone 17</v>
      </c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A1970" s="10" t="str">
        <f t="shared" si="1"/>
        <v>June</v>
      </c>
      <c r="B1970" s="11">
        <f>IFERROR(__xludf.DUMMYFUNCTION("""COMPUTED_VALUE"""),46185.0)</f>
        <v>46185</v>
      </c>
      <c r="C1970" s="2" t="str">
        <f>IFERROR(__xludf.DUMMYFUNCTION("""COMPUTED_VALUE"""),"MOBILECARE - VERTIS NORTH")</f>
        <v>MOBILECARE - VERTIS NORTH</v>
      </c>
      <c r="D1970" s="2" t="str">
        <f>IFERROR(__xludf.DUMMYFUNCTION("""COMPUTED_VALUE"""),"661-21991")</f>
        <v>661-21991</v>
      </c>
      <c r="E1970" s="2" t="str">
        <f>IFERROR(__xludf.DUMMYFUNCTION("""COMPUTED_VALUE"""),"Battery, iPhone 13")</f>
        <v>Battery, iPhone 13</v>
      </c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A1971" s="10" t="str">
        <f t="shared" si="1"/>
        <v>May</v>
      </c>
      <c r="B1971" s="11">
        <f>IFERROR(__xludf.DUMMYFUNCTION("""COMPUTED_VALUE"""),46164.0)</f>
        <v>46164</v>
      </c>
      <c r="C1971" s="2" t="str">
        <f>IFERROR(__xludf.DUMMYFUNCTION("""COMPUTED_VALUE"""),"MOBILECARE - VERTIS NORTH")</f>
        <v>MOBILECARE - VERTIS NORTH</v>
      </c>
      <c r="D1971" s="2" t="str">
        <f>IFERROR(__xludf.DUMMYFUNCTION("""COMPUTED_VALUE"""),"661-17920")</f>
        <v>661-17920</v>
      </c>
      <c r="E1971" s="2" t="str">
        <f>IFERROR(__xludf.DUMMYFUNCTION("""COMPUTED_VALUE"""),"Battery, iPhone 12 and 12 Pro")</f>
        <v>Battery, iPhone 12 and 12 Pro</v>
      </c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A1972" s="10" t="str">
        <f t="shared" si="1"/>
        <v>May</v>
      </c>
      <c r="B1972" s="11">
        <f>IFERROR(__xludf.DUMMYFUNCTION("""COMPUTED_VALUE"""),46164.0)</f>
        <v>46164</v>
      </c>
      <c r="C1972" s="2" t="str">
        <f>IFERROR(__xludf.DUMMYFUNCTION("""COMPUTED_VALUE"""),"MOBILECARE - VERTIS NORTH")</f>
        <v>MOBILECARE - VERTIS NORTH</v>
      </c>
      <c r="D1972" s="2" t="str">
        <f>IFERROR(__xludf.DUMMYFUNCTION("""COMPUTED_VALUE"""),"661-18503")</f>
        <v>661-18503</v>
      </c>
      <c r="E1972" s="2" t="str">
        <f>IFERROR(__xludf.DUMMYFUNCTION("""COMPUTED_VALUE"""),"Display, iPhone 12")</f>
        <v>Display, iPhone 12</v>
      </c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A1973" s="10" t="str">
        <f t="shared" si="1"/>
        <v>May</v>
      </c>
      <c r="B1973" s="11">
        <f>IFERROR(__xludf.DUMMYFUNCTION("""COMPUTED_VALUE"""),46162.0)</f>
        <v>46162</v>
      </c>
      <c r="C1973" s="2" t="str">
        <f>IFERROR(__xludf.DUMMYFUNCTION("""COMPUTED_VALUE"""),"MOBILECARE - VERTIS NORTH")</f>
        <v>MOBILECARE - VERTIS NORTH</v>
      </c>
      <c r="D1973" s="2" t="str">
        <f>IFERROR(__xludf.DUMMYFUNCTION("""COMPUTED_VALUE"""),"661-21991")</f>
        <v>661-21991</v>
      </c>
      <c r="E1973" s="2" t="str">
        <f>IFERROR(__xludf.DUMMYFUNCTION("""COMPUTED_VALUE"""),"Battery, iPhone 13")</f>
        <v>Battery, iPhone 13</v>
      </c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A1974" s="10" t="str">
        <f t="shared" si="1"/>
        <v>May</v>
      </c>
      <c r="B1974" s="11">
        <f>IFERROR(__xludf.DUMMYFUNCTION("""COMPUTED_VALUE"""),46169.0)</f>
        <v>46169</v>
      </c>
      <c r="C1974" s="2" t="str">
        <f>IFERROR(__xludf.DUMMYFUNCTION("""COMPUTED_VALUE"""),"MOBILECARE - VERTIS NORTH")</f>
        <v>MOBILECARE - VERTIS NORTH</v>
      </c>
      <c r="D1974" s="2" t="str">
        <f>IFERROR(__xludf.DUMMYFUNCTION("""COMPUTED_VALUE"""),"661-30393")</f>
        <v>661-30393</v>
      </c>
      <c r="E1974" s="2" t="str">
        <f>IFERROR(__xludf.DUMMYFUNCTION("""COMPUTED_VALUE"""),"Camera, iPhone 14 Plus")</f>
        <v>Camera, iPhone 14 Plus</v>
      </c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A1975" s="10" t="str">
        <f t="shared" si="1"/>
        <v>May</v>
      </c>
      <c r="B1975" s="11">
        <f>IFERROR(__xludf.DUMMYFUNCTION("""COMPUTED_VALUE"""),46149.0)</f>
        <v>46149</v>
      </c>
      <c r="C1975" s="2" t="str">
        <f>IFERROR(__xludf.DUMMYFUNCTION("""COMPUTED_VALUE"""),"MOBILECARE - VERTIS NORTH")</f>
        <v>MOBILECARE - VERTIS NORTH</v>
      </c>
      <c r="D1975" s="2" t="str">
        <f>IFERROR(__xludf.DUMMYFUNCTION("""COMPUTED_VALUE"""),"661-42726")</f>
        <v>661-42726</v>
      </c>
      <c r="E1975" s="2" t="str">
        <f>IFERROR(__xludf.DUMMYFUNCTION("""COMPUTED_VALUE"""),"Display, iPhone 16 Pro")</f>
        <v>Display, iPhone 16 Pro</v>
      </c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A1976" s="10" t="str">
        <f t="shared" si="1"/>
        <v>May</v>
      </c>
      <c r="B1976" s="11">
        <f>IFERROR(__xludf.DUMMYFUNCTION("""COMPUTED_VALUE"""),46147.0)</f>
        <v>46147</v>
      </c>
      <c r="C1976" s="2" t="str">
        <f>IFERROR(__xludf.DUMMYFUNCTION("""COMPUTED_VALUE"""),"MOBILECARE - VERTIS NORTH")</f>
        <v>MOBILECARE - VERTIS NORTH</v>
      </c>
      <c r="D1976" s="2" t="str">
        <f>IFERROR(__xludf.DUMMYFUNCTION("""COMPUTED_VALUE"""),"661-56066")</f>
        <v>661-56066</v>
      </c>
      <c r="E1976" s="2" t="str">
        <f>IFERROR(__xludf.DUMMYFUNCTION("""COMPUTED_VALUE"""),"Front Camera, iPhone 17")</f>
        <v>Front Camera, iPhone 17</v>
      </c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A1977" s="10" t="str">
        <f t="shared" si="1"/>
        <v>May</v>
      </c>
      <c r="B1977" s="11">
        <f>IFERROR(__xludf.DUMMYFUNCTION("""COMPUTED_VALUE"""),46144.0)</f>
        <v>46144</v>
      </c>
      <c r="C1977" s="2" t="str">
        <f>IFERROR(__xludf.DUMMYFUNCTION("""COMPUTED_VALUE"""),"MOBILECARE - VERTIS NORTH")</f>
        <v>MOBILECARE - VERTIS NORTH</v>
      </c>
      <c r="D1977" s="2" t="str">
        <f>IFERROR(__xludf.DUMMYFUNCTION("""COMPUTED_VALUE"""),"661-21991")</f>
        <v>661-21991</v>
      </c>
      <c r="E1977" s="2" t="str">
        <f>IFERROR(__xludf.DUMMYFUNCTION("""COMPUTED_VALUE"""),"Battery, iPhone 13")</f>
        <v>Battery, iPhone 13</v>
      </c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A1978" s="10" t="str">
        <f t="shared" si="1"/>
        <v>April</v>
      </c>
      <c r="B1978" s="11">
        <f>IFERROR(__xludf.DUMMYFUNCTION("""COMPUTED_VALUE"""),46134.0)</f>
        <v>46134</v>
      </c>
      <c r="C1978" s="2" t="str">
        <f>IFERROR(__xludf.DUMMYFUNCTION("""COMPUTED_VALUE"""),"MOBILECARE - VERTIS NORTH")</f>
        <v>MOBILECARE - VERTIS NORTH</v>
      </c>
      <c r="D1978" s="2" t="str">
        <f>IFERROR(__xludf.DUMMYFUNCTION("""COMPUTED_VALUE"""),"661-21988")</f>
        <v>661-21988</v>
      </c>
      <c r="E1978" s="2" t="str">
        <f>IFERROR(__xludf.DUMMYFUNCTION("""COMPUTED_VALUE"""),"Display, iPhone 13")</f>
        <v>Display, iPhone 13</v>
      </c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A1979" s="10" t="str">
        <f t="shared" si="1"/>
        <v>April</v>
      </c>
      <c r="B1979" s="11">
        <f>IFERROR(__xludf.DUMMYFUNCTION("""COMPUTED_VALUE"""),46129.0)</f>
        <v>46129</v>
      </c>
      <c r="C1979" s="2" t="str">
        <f>IFERROR(__xludf.DUMMYFUNCTION("""COMPUTED_VALUE"""),"MOBILECARE - VERTIS NORTH")</f>
        <v>MOBILECARE - VERTIS NORTH</v>
      </c>
      <c r="D1979" s="2" t="str">
        <f>IFERROR(__xludf.DUMMYFUNCTION("""COMPUTED_VALUE"""),"661-22294")</f>
        <v>661-22294</v>
      </c>
      <c r="E1979" s="2" t="str">
        <f>IFERROR(__xludf.DUMMYFUNCTION("""COMPUTED_VALUE"""),"Battery, iPhone 13 Pro Max")</f>
        <v>Battery, iPhone 13 Pro Max</v>
      </c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A1980" s="10" t="str">
        <f t="shared" si="1"/>
        <v>March</v>
      </c>
      <c r="B1980" s="11">
        <f>IFERROR(__xludf.DUMMYFUNCTION("""COMPUTED_VALUE"""),46094.0)</f>
        <v>46094</v>
      </c>
      <c r="C1980" s="2" t="str">
        <f>IFERROR(__xludf.DUMMYFUNCTION("""COMPUTED_VALUE"""),"MOBILECARE - VERTIS NORTH")</f>
        <v>MOBILECARE - VERTIS NORTH</v>
      </c>
      <c r="D1980" s="2" t="str">
        <f>IFERROR(__xludf.DUMMYFUNCTION("""COMPUTED_VALUE"""),"661-22309")</f>
        <v>661-22309</v>
      </c>
      <c r="E1980" s="2" t="str">
        <f>IFERROR(__xludf.DUMMYFUNCTION("""COMPUTED_VALUE"""),"Display, iPhone 13 Pro Max")</f>
        <v>Display, iPhone 13 Pro Max</v>
      </c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A1981" s="10" t="str">
        <f t="shared" si="1"/>
        <v>March</v>
      </c>
      <c r="B1981" s="11">
        <f>IFERROR(__xludf.DUMMYFUNCTION("""COMPUTED_VALUE"""),46088.0)</f>
        <v>46088</v>
      </c>
      <c r="C1981" s="2" t="str">
        <f>IFERROR(__xludf.DUMMYFUNCTION("""COMPUTED_VALUE"""),"MOBILECARE - VERTIS NORTH")</f>
        <v>MOBILECARE - VERTIS NORTH</v>
      </c>
      <c r="D1981" s="2" t="str">
        <f>IFERROR(__xludf.DUMMYFUNCTION("""COMPUTED_VALUE"""),"661-21996")</f>
        <v>661-21996</v>
      </c>
      <c r="E1981" s="2" t="str">
        <f>IFERROR(__xludf.DUMMYFUNCTION("""COMPUTED_VALUE"""),"Battery, iPhone 13 Pro")</f>
        <v>Battery, iPhone 13 Pro</v>
      </c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A1982" s="10" t="str">
        <f t="shared" si="1"/>
        <v>March</v>
      </c>
      <c r="B1982" s="11">
        <f>IFERROR(__xludf.DUMMYFUNCTION("""COMPUTED_VALUE"""),46093.0)</f>
        <v>46093</v>
      </c>
      <c r="C1982" s="2" t="str">
        <f>IFERROR(__xludf.DUMMYFUNCTION("""COMPUTED_VALUE"""),"MOBILECARE - VERTIS NORTH")</f>
        <v>MOBILECARE - VERTIS NORTH</v>
      </c>
      <c r="D1982" s="2" t="str">
        <f>IFERROR(__xludf.DUMMYFUNCTION("""COMPUTED_VALUE"""),"661-56125")</f>
        <v>661-56125</v>
      </c>
      <c r="E1982" s="2" t="str">
        <f>IFERROR(__xludf.DUMMYFUNCTION("""COMPUTED_VALUE"""),"Display, iPhone 17 Pro")</f>
        <v>Display, iPhone 17 Pro</v>
      </c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A1983" s="10" t="str">
        <f t="shared" si="1"/>
        <v>February</v>
      </c>
      <c r="B1983" s="11">
        <f>IFERROR(__xludf.DUMMYFUNCTION("""COMPUTED_VALUE"""),46063.0)</f>
        <v>46063</v>
      </c>
      <c r="C1983" s="2" t="str">
        <f>IFERROR(__xludf.DUMMYFUNCTION("""COMPUTED_VALUE"""),"MOBILECARE - VERTIS NORTH")</f>
        <v>MOBILECARE - VERTIS NORTH</v>
      </c>
      <c r="D1983" s="2" t="str">
        <f>IFERROR(__xludf.DUMMYFUNCTION("""COMPUTED_VALUE"""),"661-30373")</f>
        <v>661-30373</v>
      </c>
      <c r="E1983" s="2" t="str">
        <f>IFERROR(__xludf.DUMMYFUNCTION("""COMPUTED_VALUE"""),"Battery, iPhone 14")</f>
        <v>Battery, iPhone 14</v>
      </c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A1984" s="10" t="str">
        <f t="shared" si="1"/>
        <v>January</v>
      </c>
      <c r="B1984" s="11">
        <f>IFERROR(__xludf.DUMMYFUNCTION("""COMPUTED_VALUE"""),46051.0)</f>
        <v>46051</v>
      </c>
      <c r="C1984" s="2" t="str">
        <f>IFERROR(__xludf.DUMMYFUNCTION("""COMPUTED_VALUE"""),"MOBILECARE - VERTIS NORTH")</f>
        <v>MOBILECARE - VERTIS NORTH</v>
      </c>
      <c r="D1984" s="2" t="str">
        <f>IFERROR(__xludf.DUMMYFUNCTION("""COMPUTED_VALUE"""),"661-56050")</f>
        <v>661-56050</v>
      </c>
      <c r="E1984" s="2" t="str">
        <f>IFERROR(__xludf.DUMMYFUNCTION("""COMPUTED_VALUE"""),"Display, iPhone 17 Pro Max")</f>
        <v>Display, iPhone 17 Pro Max</v>
      </c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>
      <c r="A1985" s="10" t="str">
        <f t="shared" si="1"/>
        <v>June</v>
      </c>
      <c r="B1985" s="11">
        <f>IFERROR(__xludf.DUMMYFUNCTION("""COMPUTED_VALUE"""),46193.0)</f>
        <v>46193</v>
      </c>
      <c r="C1985" s="2" t="str">
        <f>IFERROR(__xludf.DUMMYFUNCTION("""COMPUTED_VALUE"""),"MOBILECARE - VERTIS NORTH")</f>
        <v>MOBILECARE - VERTIS NORTH</v>
      </c>
      <c r="D1985" s="2" t="str">
        <f>IFERROR(__xludf.DUMMYFUNCTION("""COMPUTED_VALUE"""),"661-21991")</f>
        <v>661-21991</v>
      </c>
      <c r="E1985" s="2" t="str">
        <f>IFERROR(__xludf.DUMMYFUNCTION("""COMPUTED_VALUE"""),"Battery, iPhone 13")</f>
        <v>Battery, iPhone 13</v>
      </c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>
      <c r="A1986" s="10" t="str">
        <f t="shared" si="1"/>
        <v>June</v>
      </c>
      <c r="B1986" s="11">
        <f>IFERROR(__xludf.DUMMYFUNCTION("""COMPUTED_VALUE"""),46193.0)</f>
        <v>46193</v>
      </c>
      <c r="C1986" s="2" t="str">
        <f>IFERROR(__xludf.DUMMYFUNCTION("""COMPUTED_VALUE"""),"MOBILECARE - VERTIS NORTH")</f>
        <v>MOBILECARE - VERTIS NORTH</v>
      </c>
      <c r="D1986" s="2" t="str">
        <f>IFERROR(__xludf.DUMMYFUNCTION("""COMPUTED_VALUE"""),"661-30373")</f>
        <v>661-30373</v>
      </c>
      <c r="E1986" s="2" t="str">
        <f>IFERROR(__xludf.DUMMYFUNCTION("""COMPUTED_VALUE"""),"Battery, iPhone 14")</f>
        <v>Battery, iPhone 14</v>
      </c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>
      <c r="A1987" s="10" t="str">
        <f t="shared" si="1"/>
        <v>June</v>
      </c>
      <c r="B1987" s="11">
        <f>IFERROR(__xludf.DUMMYFUNCTION("""COMPUTED_VALUE"""),46182.0)</f>
        <v>46182</v>
      </c>
      <c r="C1987" s="2" t="str">
        <f>IFERROR(__xludf.DUMMYFUNCTION("""COMPUTED_VALUE"""),"MOBILECARE - VERTIS NORTH")</f>
        <v>MOBILECARE - VERTIS NORTH</v>
      </c>
      <c r="D1987" s="2" t="str">
        <f>IFERROR(__xludf.DUMMYFUNCTION("""COMPUTED_VALUE"""),"661-56052")</f>
        <v>661-56052</v>
      </c>
      <c r="E1987" s="2" t="str">
        <f>IFERROR(__xludf.DUMMYFUNCTION("""COMPUTED_VALUE"""),"Camera, iPhone 17 Pro Max")</f>
        <v>Camera, iPhone 17 Pro Max</v>
      </c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>
      <c r="A1988" s="10" t="str">
        <f t="shared" si="1"/>
        <v>May</v>
      </c>
      <c r="B1988" s="11">
        <f>IFERROR(__xludf.DUMMYFUNCTION("""COMPUTED_VALUE"""),46165.0)</f>
        <v>46165</v>
      </c>
      <c r="C1988" s="2" t="str">
        <f>IFERROR(__xludf.DUMMYFUNCTION("""COMPUTED_VALUE"""),"MOBILECARE - VERTIS NORTH")</f>
        <v>MOBILECARE - VERTIS NORTH</v>
      </c>
      <c r="D1988" s="2" t="str">
        <f>IFERROR(__xludf.DUMMYFUNCTION("""COMPUTED_VALUE"""),"661-13574")</f>
        <v>661-13574</v>
      </c>
      <c r="E1988" s="2" t="str">
        <f>IFERROR(__xludf.DUMMYFUNCTION("""COMPUTED_VALUE"""),"Battery, iPhone 11")</f>
        <v>Battery, iPhone 11</v>
      </c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>
      <c r="A1989" s="10" t="str">
        <f t="shared" si="1"/>
        <v>May</v>
      </c>
      <c r="B1989" s="11">
        <f>IFERROR(__xludf.DUMMYFUNCTION("""COMPUTED_VALUE"""),46156.0)</f>
        <v>46156</v>
      </c>
      <c r="C1989" s="2" t="str">
        <f>IFERROR(__xludf.DUMMYFUNCTION("""COMPUTED_VALUE"""),"MOBILECARE - VERTIS NORTH")</f>
        <v>MOBILECARE - VERTIS NORTH</v>
      </c>
      <c r="D1989" s="2" t="str">
        <f>IFERROR(__xludf.DUMMYFUNCTION("""COMPUTED_VALUE"""),"661-35699")</f>
        <v>661-35699</v>
      </c>
      <c r="E1989" s="2" t="str">
        <f>IFERROR(__xludf.DUMMYFUNCTION("""COMPUTED_VALUE"""),"Display, iPhone 15 Pro")</f>
        <v>Display, iPhone 15 Pro</v>
      </c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>
      <c r="A1990" s="10" t="str">
        <f t="shared" si="1"/>
        <v>May</v>
      </c>
      <c r="B1990" s="11">
        <f>IFERROR(__xludf.DUMMYFUNCTION("""COMPUTED_VALUE"""),46144.0)</f>
        <v>46144</v>
      </c>
      <c r="C1990" s="2" t="str">
        <f>IFERROR(__xludf.DUMMYFUNCTION("""COMPUTED_VALUE"""),"MOBILECARE - VERTIS NORTH")</f>
        <v>MOBILECARE - VERTIS NORTH</v>
      </c>
      <c r="D1990" s="2" t="str">
        <f>IFERROR(__xludf.DUMMYFUNCTION("""COMPUTED_VALUE"""),"661-21991")</f>
        <v>661-21991</v>
      </c>
      <c r="E1990" s="2" t="str">
        <f>IFERROR(__xludf.DUMMYFUNCTION("""COMPUTED_VALUE"""),"Battery, iPhone 13")</f>
        <v>Battery, iPhone 13</v>
      </c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>
      <c r="A1991" s="10" t="str">
        <f t="shared" si="1"/>
        <v>April</v>
      </c>
      <c r="B1991" s="11">
        <f>IFERROR(__xludf.DUMMYFUNCTION("""COMPUTED_VALUE"""),46118.0)</f>
        <v>46118</v>
      </c>
      <c r="C1991" s="2" t="str">
        <f>IFERROR(__xludf.DUMMYFUNCTION("""COMPUTED_VALUE"""),"MOBILECARE - VERTIS NORTH")</f>
        <v>MOBILECARE - VERTIS NORTH</v>
      </c>
      <c r="D1991" s="2" t="str">
        <f>IFERROR(__xludf.DUMMYFUNCTION("""COMPUTED_VALUE"""),"661-44955")</f>
        <v>661-44955</v>
      </c>
      <c r="E1991" s="2" t="str">
        <f>IFERROR(__xludf.DUMMYFUNCTION("""COMPUTED_VALUE"""),"Display, iPhone 16 Pro Max")</f>
        <v>Display, iPhone 16 Pro Max</v>
      </c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>
      <c r="A1992" s="10" t="str">
        <f t="shared" si="1"/>
        <v>April</v>
      </c>
      <c r="B1992" s="11">
        <f>IFERROR(__xludf.DUMMYFUNCTION("""COMPUTED_VALUE"""),46119.0)</f>
        <v>46119</v>
      </c>
      <c r="C1992" s="2" t="str">
        <f>IFERROR(__xludf.DUMMYFUNCTION("""COMPUTED_VALUE"""),"MOBILECARE - VERTIS NORTH")</f>
        <v>MOBILECARE - VERTIS NORTH</v>
      </c>
      <c r="D1992" s="2" t="str">
        <f>IFERROR(__xludf.DUMMYFUNCTION("""COMPUTED_VALUE"""),"661-30393")</f>
        <v>661-30393</v>
      </c>
      <c r="E1992" s="2" t="str">
        <f>IFERROR(__xludf.DUMMYFUNCTION("""COMPUTED_VALUE"""),"Camera, iPhone 14 Plus")</f>
        <v>Camera, iPhone 14 Plus</v>
      </c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>
      <c r="A1993" s="10" t="str">
        <f t="shared" si="1"/>
        <v>March</v>
      </c>
      <c r="B1993" s="11">
        <f>IFERROR(__xludf.DUMMYFUNCTION("""COMPUTED_VALUE"""),46107.0)</f>
        <v>46107</v>
      </c>
      <c r="C1993" s="2" t="str">
        <f>IFERROR(__xludf.DUMMYFUNCTION("""COMPUTED_VALUE"""),"MOBILECARE - VERTIS NORTH")</f>
        <v>MOBILECARE - VERTIS NORTH</v>
      </c>
      <c r="D1993" s="2" t="str">
        <f>IFERROR(__xludf.DUMMYFUNCTION("""COMPUTED_VALUE"""),"661-36918")</f>
        <v>661-36918</v>
      </c>
      <c r="E1993" s="2" t="str">
        <f>IFERROR(__xludf.DUMMYFUNCTION("""COMPUTED_VALUE"""),"Battery, iPhone 15 Pro Max")</f>
        <v>Battery, iPhone 15 Pro Max</v>
      </c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>
      <c r="A1994" s="10" t="str">
        <f t="shared" si="1"/>
        <v>March</v>
      </c>
      <c r="B1994" s="11">
        <f>IFERROR(__xludf.DUMMYFUNCTION("""COMPUTED_VALUE"""),46091.0)</f>
        <v>46091</v>
      </c>
      <c r="C1994" s="2" t="str">
        <f>IFERROR(__xludf.DUMMYFUNCTION("""COMPUTED_VALUE"""),"MOBILECARE - VERTIS NORTH")</f>
        <v>MOBILECARE - VERTIS NORTH</v>
      </c>
      <c r="D1994" s="2" t="str">
        <f>IFERROR(__xludf.DUMMYFUNCTION("""COMPUTED_VALUE"""),"661-30397")</f>
        <v>661-30397</v>
      </c>
      <c r="E1994" s="2" t="str">
        <f>IFERROR(__xludf.DUMMYFUNCTION("""COMPUTED_VALUE"""),"Battery, iPhone 14 Pro Max")</f>
        <v>Battery, iPhone 14 Pro Max</v>
      </c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>
      <c r="A1995" s="10" t="str">
        <f t="shared" si="1"/>
        <v>March</v>
      </c>
      <c r="B1995" s="11">
        <f>IFERROR(__xludf.DUMMYFUNCTION("""COMPUTED_VALUE"""),46083.0)</f>
        <v>46083</v>
      </c>
      <c r="C1995" s="2" t="str">
        <f>IFERROR(__xludf.DUMMYFUNCTION("""COMPUTED_VALUE"""),"MOBILECARE - VERTIS NORTH")</f>
        <v>MOBILECARE - VERTIS NORTH</v>
      </c>
      <c r="D1995" s="2" t="str">
        <f>IFERROR(__xludf.DUMMYFUNCTION("""COMPUTED_VALUE"""),"661-21991")</f>
        <v>661-21991</v>
      </c>
      <c r="E1995" s="2" t="str">
        <f>IFERROR(__xludf.DUMMYFUNCTION("""COMPUTED_VALUE"""),"Battery, iPhone 13")</f>
        <v>Battery, iPhone 13</v>
      </c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>
      <c r="A1996" s="10" t="str">
        <f t="shared" si="1"/>
        <v>February</v>
      </c>
      <c r="B1996" s="11">
        <f>IFERROR(__xludf.DUMMYFUNCTION("""COMPUTED_VALUE"""),46081.0)</f>
        <v>46081</v>
      </c>
      <c r="C1996" s="2" t="str">
        <f>IFERROR(__xludf.DUMMYFUNCTION("""COMPUTED_VALUE"""),"MOBILECARE - VERTIS NORTH")</f>
        <v>MOBILECARE - VERTIS NORTH</v>
      </c>
      <c r="D1996" s="2" t="str">
        <f>IFERROR(__xludf.DUMMYFUNCTION("""COMPUTED_VALUE"""),"661-17920")</f>
        <v>661-17920</v>
      </c>
      <c r="E1996" s="2" t="str">
        <f>IFERROR(__xludf.DUMMYFUNCTION("""COMPUTED_VALUE"""),"Battery, iPhone 12 and 12 Pro")</f>
        <v>Battery, iPhone 12 and 12 Pro</v>
      </c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>
      <c r="A1997" s="10" t="str">
        <f t="shared" si="1"/>
        <v>January</v>
      </c>
      <c r="B1997" s="11">
        <f>IFERROR(__xludf.DUMMYFUNCTION("""COMPUTED_VALUE"""),46046.0)</f>
        <v>46046</v>
      </c>
      <c r="C1997" s="2" t="str">
        <f>IFERROR(__xludf.DUMMYFUNCTION("""COMPUTED_VALUE"""),"MOBILECARE - VERTIS NORTH")</f>
        <v>MOBILECARE - VERTIS NORTH</v>
      </c>
      <c r="D1997" s="2" t="str">
        <f>IFERROR(__xludf.DUMMYFUNCTION("""COMPUTED_VALUE"""),"661-44957")</f>
        <v>661-44957</v>
      </c>
      <c r="E1997" s="2" t="str">
        <f>IFERROR(__xludf.DUMMYFUNCTION("""COMPUTED_VALUE"""),"Camera, iPhone 16 Pro Max")</f>
        <v>Camera, iPhone 16 Pro Max</v>
      </c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>
      <c r="A1998" s="10" t="str">
        <f t="shared" si="1"/>
        <v>January</v>
      </c>
      <c r="B1998" s="11">
        <f>IFERROR(__xludf.DUMMYFUNCTION("""COMPUTED_VALUE"""),46034.0)</f>
        <v>46034</v>
      </c>
      <c r="C1998" s="2" t="str">
        <f>IFERROR(__xludf.DUMMYFUNCTION("""COMPUTED_VALUE"""),"MOBILECARE - VERTIS NORTH")</f>
        <v>MOBILECARE - VERTIS NORTH</v>
      </c>
      <c r="D1998" s="2" t="str">
        <f>IFERROR(__xludf.DUMMYFUNCTION("""COMPUTED_VALUE"""),"661-21988")</f>
        <v>661-21988</v>
      </c>
      <c r="E1998" s="2" t="str">
        <f>IFERROR(__xludf.DUMMYFUNCTION("""COMPUTED_VALUE"""),"Display, iPhone 13")</f>
        <v>Display, iPhone 13</v>
      </c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>
      <c r="A1999" s="10" t="str">
        <f t="shared" si="1"/>
        <v>June</v>
      </c>
      <c r="B1999" s="11">
        <f>IFERROR(__xludf.DUMMYFUNCTION("""COMPUTED_VALUE"""),46186.0)</f>
        <v>46186</v>
      </c>
      <c r="C1999" s="2" t="str">
        <f>IFERROR(__xludf.DUMMYFUNCTION("""COMPUTED_VALUE"""),"MOBILECARE - VERTIS NORTH")</f>
        <v>MOBILECARE - VERTIS NORTH</v>
      </c>
      <c r="D1999" s="2" t="str">
        <f>IFERROR(__xludf.DUMMYFUNCTION("""COMPUTED_VALUE"""),"661-21996")</f>
        <v>661-21996</v>
      </c>
      <c r="E1999" s="2" t="str">
        <f>IFERROR(__xludf.DUMMYFUNCTION("""COMPUTED_VALUE"""),"Battery, iPhone 13 Pro")</f>
        <v>Battery, iPhone 13 Pro</v>
      </c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A2000" s="10" t="str">
        <f t="shared" si="1"/>
        <v>May</v>
      </c>
      <c r="B2000" s="11">
        <f>IFERROR(__xludf.DUMMYFUNCTION("""COMPUTED_VALUE"""),46167.0)</f>
        <v>46167</v>
      </c>
      <c r="C2000" s="2" t="str">
        <f>IFERROR(__xludf.DUMMYFUNCTION("""COMPUTED_VALUE"""),"MOBILECARE - VERTIS NORTH")</f>
        <v>MOBILECARE - VERTIS NORTH</v>
      </c>
      <c r="D2000" s="2" t="str">
        <f>IFERROR(__xludf.DUMMYFUNCTION("""COMPUTED_VALUE"""),"661-36915")</f>
        <v>661-36915</v>
      </c>
      <c r="E2000" s="2" t="str">
        <f>IFERROR(__xludf.DUMMYFUNCTION("""COMPUTED_VALUE"""),"Display, iPhone 15 Pro Max")</f>
        <v>Display, iPhone 15 Pro Max</v>
      </c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>
      <c r="A2001" s="10" t="str">
        <f t="shared" si="1"/>
        <v>May</v>
      </c>
      <c r="B2001" s="11">
        <f>IFERROR(__xludf.DUMMYFUNCTION("""COMPUTED_VALUE"""),46164.0)</f>
        <v>46164</v>
      </c>
      <c r="C2001" s="2" t="str">
        <f>IFERROR(__xludf.DUMMYFUNCTION("""COMPUTED_VALUE"""),"MOBILECARE - VERTIS NORTH")</f>
        <v>MOBILECARE - VERTIS NORTH</v>
      </c>
      <c r="D2001" s="2" t="str">
        <f>IFERROR(__xludf.DUMMYFUNCTION("""COMPUTED_VALUE"""),"661-22374")</f>
        <v>661-22374</v>
      </c>
      <c r="E2001" s="2" t="str">
        <f>IFERROR(__xludf.DUMMYFUNCTION("""COMPUTED_VALUE"""),"Battery, iPhone 13 mini")</f>
        <v>Battery, iPhone 13 mini</v>
      </c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>
      <c r="A2002" s="10" t="str">
        <f t="shared" si="1"/>
        <v>May</v>
      </c>
      <c r="B2002" s="11">
        <f>IFERROR(__xludf.DUMMYFUNCTION("""COMPUTED_VALUE"""),46150.0)</f>
        <v>46150</v>
      </c>
      <c r="C2002" s="2" t="str">
        <f>IFERROR(__xludf.DUMMYFUNCTION("""COMPUTED_VALUE"""),"MOBILECARE - VERTIS NORTH")</f>
        <v>MOBILECARE - VERTIS NORTH</v>
      </c>
      <c r="D2002" s="2" t="str">
        <f>IFERROR(__xludf.DUMMYFUNCTION("""COMPUTED_VALUE"""),"661-22294")</f>
        <v>661-22294</v>
      </c>
      <c r="E2002" s="2" t="str">
        <f>IFERROR(__xludf.DUMMYFUNCTION("""COMPUTED_VALUE"""),"Battery, iPhone 13 Pro Max")</f>
        <v>Battery, iPhone 13 Pro Max</v>
      </c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>
      <c r="A2003" s="10" t="str">
        <f t="shared" si="1"/>
        <v>May</v>
      </c>
      <c r="B2003" s="11">
        <f>IFERROR(__xludf.DUMMYFUNCTION("""COMPUTED_VALUE"""),46145.0)</f>
        <v>46145</v>
      </c>
      <c r="C2003" s="2" t="str">
        <f>IFERROR(__xludf.DUMMYFUNCTION("""COMPUTED_VALUE"""),"MOBILECARE - VERTIS NORTH")</f>
        <v>MOBILECARE - VERTIS NORTH</v>
      </c>
      <c r="D2003" s="2" t="str">
        <f>IFERROR(__xludf.DUMMYFUNCTION("""COMPUTED_VALUE"""),"661-21991")</f>
        <v>661-21991</v>
      </c>
      <c r="E2003" s="2" t="str">
        <f>IFERROR(__xludf.DUMMYFUNCTION("""COMPUTED_VALUE"""),"Battery, iPhone 13")</f>
        <v>Battery, iPhone 13</v>
      </c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>
      <c r="A2004" s="10" t="str">
        <f t="shared" si="1"/>
        <v>April</v>
      </c>
      <c r="B2004" s="11">
        <f>IFERROR(__xludf.DUMMYFUNCTION("""COMPUTED_VALUE"""),46137.0)</f>
        <v>46137</v>
      </c>
      <c r="C2004" s="2" t="str">
        <f>IFERROR(__xludf.DUMMYFUNCTION("""COMPUTED_VALUE"""),"MOBILECARE - VERTIS NORTH")</f>
        <v>MOBILECARE - VERTIS NORTH</v>
      </c>
      <c r="D2004" s="2" t="str">
        <f>IFERROR(__xludf.DUMMYFUNCTION("""COMPUTED_VALUE"""),"661-30382")</f>
        <v>661-30382</v>
      </c>
      <c r="E2004" s="2" t="str">
        <f>IFERROR(__xludf.DUMMYFUNCTION("""COMPUTED_VALUE"""),"Battery, iPhone 14 Pro")</f>
        <v>Battery, iPhone 14 Pro</v>
      </c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>
      <c r="A2005" s="10" t="str">
        <f t="shared" si="1"/>
        <v>April</v>
      </c>
      <c r="B2005" s="11">
        <f>IFERROR(__xludf.DUMMYFUNCTION("""COMPUTED_VALUE"""),46128.0)</f>
        <v>46128</v>
      </c>
      <c r="C2005" s="2" t="str">
        <f>IFERROR(__xludf.DUMMYFUNCTION("""COMPUTED_VALUE"""),"MOBILECARE - VERTIS NORTH")</f>
        <v>MOBILECARE - VERTIS NORTH</v>
      </c>
      <c r="D2005" s="2" t="str">
        <f>IFERROR(__xludf.DUMMYFUNCTION("""COMPUTED_VALUE"""),"661-42726")</f>
        <v>661-42726</v>
      </c>
      <c r="E2005" s="2" t="str">
        <f>IFERROR(__xludf.DUMMYFUNCTION("""COMPUTED_VALUE"""),"Display, iPhone 16 Pro")</f>
        <v>Display, iPhone 16 Pro</v>
      </c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>
      <c r="A2006" s="10" t="str">
        <f t="shared" si="1"/>
        <v>April</v>
      </c>
      <c r="B2006" s="11">
        <f>IFERROR(__xludf.DUMMYFUNCTION("""COMPUTED_VALUE"""),46122.0)</f>
        <v>46122</v>
      </c>
      <c r="C2006" s="2" t="str">
        <f>IFERROR(__xludf.DUMMYFUNCTION("""COMPUTED_VALUE"""),"MOBILECARE - VERTIS NORTH")</f>
        <v>MOBILECARE - VERTIS NORTH</v>
      </c>
      <c r="D2006" s="2" t="str">
        <f>IFERROR(__xludf.DUMMYFUNCTION("""COMPUTED_VALUE"""),"661-56050")</f>
        <v>661-56050</v>
      </c>
      <c r="E2006" s="2" t="str">
        <f>IFERROR(__xludf.DUMMYFUNCTION("""COMPUTED_VALUE"""),"Display, iPhone 17 Pro Max")</f>
        <v>Display, iPhone 17 Pro Max</v>
      </c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>
      <c r="A2007" s="10" t="str">
        <f t="shared" si="1"/>
        <v>March</v>
      </c>
      <c r="B2007" s="11">
        <f>IFERROR(__xludf.DUMMYFUNCTION("""COMPUTED_VALUE"""),46103.0)</f>
        <v>46103</v>
      </c>
      <c r="C2007" s="2" t="str">
        <f>IFERROR(__xludf.DUMMYFUNCTION("""COMPUTED_VALUE"""),"MOBILECARE - VERTIS NORTH")</f>
        <v>MOBILECARE - VERTIS NORTH</v>
      </c>
      <c r="D2007" s="2" t="str">
        <f>IFERROR(__xludf.DUMMYFUNCTION("""COMPUTED_VALUE"""),"661-56050")</f>
        <v>661-56050</v>
      </c>
      <c r="E2007" s="2" t="str">
        <f>IFERROR(__xludf.DUMMYFUNCTION("""COMPUTED_VALUE"""),"Display, iPhone 17 Pro Max")</f>
        <v>Display, iPhone 17 Pro Max</v>
      </c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>
      <c r="A2008" s="10" t="str">
        <f t="shared" si="1"/>
        <v>March</v>
      </c>
      <c r="B2008" s="11">
        <f>IFERROR(__xludf.DUMMYFUNCTION("""COMPUTED_VALUE"""),46094.0)</f>
        <v>46094</v>
      </c>
      <c r="C2008" s="2" t="str">
        <f>IFERROR(__xludf.DUMMYFUNCTION("""COMPUTED_VALUE"""),"MOBILECARE - VERTIS NORTH")</f>
        <v>MOBILECARE - VERTIS NORTH</v>
      </c>
      <c r="D2008" s="2" t="str">
        <f>IFERROR(__xludf.DUMMYFUNCTION("""COMPUTED_VALUE"""),"661-21991")</f>
        <v>661-21991</v>
      </c>
      <c r="E2008" s="2" t="str">
        <f>IFERROR(__xludf.DUMMYFUNCTION("""COMPUTED_VALUE"""),"Battery, iPhone 13")</f>
        <v>Battery, iPhone 13</v>
      </c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>
      <c r="A2009" s="10" t="str">
        <f t="shared" si="1"/>
        <v>February</v>
      </c>
      <c r="B2009" s="11">
        <f>IFERROR(__xludf.DUMMYFUNCTION("""COMPUTED_VALUE"""),46066.0)</f>
        <v>46066</v>
      </c>
      <c r="C2009" s="2" t="str">
        <f>IFERROR(__xludf.DUMMYFUNCTION("""COMPUTED_VALUE"""),"MOBILECARE - VERTIS NORTH")</f>
        <v>MOBILECARE - VERTIS NORTH</v>
      </c>
      <c r="D2009" s="2" t="str">
        <f>IFERROR(__xludf.DUMMYFUNCTION("""COMPUTED_VALUE"""),"661-44799")</f>
        <v>661-44799</v>
      </c>
      <c r="E2009" s="2" t="str">
        <f>IFERROR(__xludf.DUMMYFUNCTION("""COMPUTED_VALUE"""),"Camera, iPhone 16")</f>
        <v>Camera, iPhone 16</v>
      </c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>
      <c r="A2010" s="10" t="str">
        <f t="shared" si="1"/>
        <v>February</v>
      </c>
      <c r="B2010" s="11">
        <f>IFERROR(__xludf.DUMMYFUNCTION("""COMPUTED_VALUE"""),46081.0)</f>
        <v>46081</v>
      </c>
      <c r="C2010" s="2" t="str">
        <f>IFERROR(__xludf.DUMMYFUNCTION("""COMPUTED_VALUE"""),"MOBILECARE - VERTIS NORTH")</f>
        <v>MOBILECARE - VERTIS NORTH</v>
      </c>
      <c r="D2010" s="2" t="str">
        <f>IFERROR(__xludf.DUMMYFUNCTION("""COMPUTED_VALUE"""),"TA661-44057")</f>
        <v>TA661-44057</v>
      </c>
      <c r="E2010" s="2" t="str">
        <f>IFERROR(__xludf.DUMMYFUNCTION("""COMPUTED_VALUE"""),"256GB, Pink, ROW, iPhone 16 Plus, CI/AR")</f>
        <v>256GB, Pink, ROW, iPhone 16 Plus, CI/AR</v>
      </c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>
      <c r="A2011" s="10" t="str">
        <f t="shared" si="1"/>
        <v>February</v>
      </c>
      <c r="B2011" s="11">
        <f>IFERROR(__xludf.DUMMYFUNCTION("""COMPUTED_VALUE"""),46058.0)</f>
        <v>46058</v>
      </c>
      <c r="C2011" s="2" t="str">
        <f>IFERROR(__xludf.DUMMYFUNCTION("""COMPUTED_VALUE"""),"MOBILECARE - VERTIS NORTH")</f>
        <v>MOBILECARE - VERTIS NORTH</v>
      </c>
      <c r="D2011" s="2" t="str">
        <f>IFERROR(__xludf.DUMMYFUNCTION("""COMPUTED_VALUE"""),"661-22309")</f>
        <v>661-22309</v>
      </c>
      <c r="E2011" s="2" t="str">
        <f>IFERROR(__xludf.DUMMYFUNCTION("""COMPUTED_VALUE"""),"Display, iPhone 13 Pro Max")</f>
        <v>Display, iPhone 13 Pro Max</v>
      </c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>
      <c r="A2012" s="10" t="str">
        <f t="shared" si="1"/>
        <v>February</v>
      </c>
      <c r="B2012" s="11">
        <f>IFERROR(__xludf.DUMMYFUNCTION("""COMPUTED_VALUE"""),46061.0)</f>
        <v>46061</v>
      </c>
      <c r="C2012" s="2" t="str">
        <f>IFERROR(__xludf.DUMMYFUNCTION("""COMPUTED_VALUE"""),"MOBILECARE - VERTIS NORTH")</f>
        <v>MOBILECARE - VERTIS NORTH</v>
      </c>
      <c r="D2012" s="2" t="str">
        <f>IFERROR(__xludf.DUMMYFUNCTION("""COMPUTED_VALUE"""),"661-36706")</f>
        <v>661-36706</v>
      </c>
      <c r="E2012" s="2" t="str">
        <f>IFERROR(__xludf.DUMMYFUNCTION("""COMPUTED_VALUE"""),"Display, iPhone 15")</f>
        <v>Display, iPhone 15</v>
      </c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>
      <c r="A2013" s="10" t="str">
        <f t="shared" si="1"/>
        <v>January</v>
      </c>
      <c r="B2013" s="11">
        <f>IFERROR(__xludf.DUMMYFUNCTION("""COMPUTED_VALUE"""),46047.0)</f>
        <v>46047</v>
      </c>
      <c r="C2013" s="2" t="str">
        <f>IFERROR(__xludf.DUMMYFUNCTION("""COMPUTED_VALUE"""),"MOBILECARE - VERTIS NORTH")</f>
        <v>MOBILECARE - VERTIS NORTH</v>
      </c>
      <c r="D2013" s="2" t="str">
        <f>IFERROR(__xludf.DUMMYFUNCTION("""COMPUTED_VALUE"""),"661-56050")</f>
        <v>661-56050</v>
      </c>
      <c r="E2013" s="2" t="str">
        <f>IFERROR(__xludf.DUMMYFUNCTION("""COMPUTED_VALUE"""),"Display, iPhone 17 Pro Max")</f>
        <v>Display, iPhone 17 Pro Max</v>
      </c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>
      <c r="A2014" s="10" t="str">
        <f t="shared" si="1"/>
        <v>January</v>
      </c>
      <c r="B2014" s="11">
        <f>IFERROR(__xludf.DUMMYFUNCTION("""COMPUTED_VALUE"""),46046.0)</f>
        <v>46046</v>
      </c>
      <c r="C2014" s="2" t="str">
        <f>IFERROR(__xludf.DUMMYFUNCTION("""COMPUTED_VALUE"""),"MOBILECARE - VERTIS NORTH")</f>
        <v>MOBILECARE - VERTIS NORTH</v>
      </c>
      <c r="D2014" s="2" t="str">
        <f>IFERROR(__xludf.DUMMYFUNCTION("""COMPUTED_VALUE"""),"661-42728")</f>
        <v>661-42728</v>
      </c>
      <c r="E2014" s="2" t="str">
        <f>IFERROR(__xludf.DUMMYFUNCTION("""COMPUTED_VALUE"""),"Camera, iPhone 16 Pro")</f>
        <v>Camera, iPhone 16 Pro</v>
      </c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>
      <c r="A2015" s="10" t="str">
        <f t="shared" si="1"/>
        <v>June</v>
      </c>
      <c r="B2015" s="11">
        <f>IFERROR(__xludf.DUMMYFUNCTION("""COMPUTED_VALUE"""),46189.0)</f>
        <v>46189</v>
      </c>
      <c r="C2015" s="2" t="str">
        <f>IFERROR(__xludf.DUMMYFUNCTION("""COMPUTED_VALUE"""),"MOBILECARE - VERTIS NORTH")</f>
        <v>MOBILECARE - VERTIS NORTH</v>
      </c>
      <c r="D2015" s="2" t="str">
        <f>IFERROR(__xludf.DUMMYFUNCTION("""COMPUTED_VALUE"""),"661-44798")</f>
        <v>661-44798</v>
      </c>
      <c r="E2015" s="2" t="str">
        <f>IFERROR(__xludf.DUMMYFUNCTION("""COMPUTED_VALUE"""),"TrueDepth Camera, iPhone 16")</f>
        <v>TrueDepth Camera, iPhone 16</v>
      </c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>
      <c r="A2016" s="10" t="str">
        <f t="shared" si="1"/>
        <v>May</v>
      </c>
      <c r="B2016" s="11">
        <f>IFERROR(__xludf.DUMMYFUNCTION("""COMPUTED_VALUE"""),46160.0)</f>
        <v>46160</v>
      </c>
      <c r="C2016" s="2" t="str">
        <f>IFERROR(__xludf.DUMMYFUNCTION("""COMPUTED_VALUE"""),"MOBILECARE - VERTIS NORTH")</f>
        <v>MOBILECARE - VERTIS NORTH</v>
      </c>
      <c r="D2016" s="2" t="str">
        <f>IFERROR(__xludf.DUMMYFUNCTION("""COMPUTED_VALUE"""),"661-21996")</f>
        <v>661-21996</v>
      </c>
      <c r="E2016" s="2" t="str">
        <f>IFERROR(__xludf.DUMMYFUNCTION("""COMPUTED_VALUE"""),"Battery, iPhone 13 Pro")</f>
        <v>Battery, iPhone 13 Pro</v>
      </c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>
      <c r="A2017" s="10" t="str">
        <f t="shared" si="1"/>
        <v>April</v>
      </c>
      <c r="B2017" s="11">
        <f>IFERROR(__xludf.DUMMYFUNCTION("""COMPUTED_VALUE"""),46133.0)</f>
        <v>46133</v>
      </c>
      <c r="C2017" s="2" t="str">
        <f>IFERROR(__xludf.DUMMYFUNCTION("""COMPUTED_VALUE"""),"MOBILECARE - VERTIS NORTH")</f>
        <v>MOBILECARE - VERTIS NORTH</v>
      </c>
      <c r="D2017" s="2" t="str">
        <f>IFERROR(__xludf.DUMMYFUNCTION("""COMPUTED_VALUE"""),"661-21988")</f>
        <v>661-21988</v>
      </c>
      <c r="E2017" s="2" t="str">
        <f>IFERROR(__xludf.DUMMYFUNCTION("""COMPUTED_VALUE"""),"Display, iPhone 13")</f>
        <v>Display, iPhone 13</v>
      </c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>
      <c r="A2018" s="10" t="str">
        <f t="shared" si="1"/>
        <v>April</v>
      </c>
      <c r="B2018" s="11">
        <f>IFERROR(__xludf.DUMMYFUNCTION("""COMPUTED_VALUE"""),46135.0)</f>
        <v>46135</v>
      </c>
      <c r="C2018" s="2" t="str">
        <f>IFERROR(__xludf.DUMMYFUNCTION("""COMPUTED_VALUE"""),"MOBILECARE - VERTIS NORTH")</f>
        <v>MOBILECARE - VERTIS NORTH</v>
      </c>
      <c r="D2018" s="2" t="str">
        <f>IFERROR(__xludf.DUMMYFUNCTION("""COMPUTED_VALUE"""),"661-42727")</f>
        <v>661-42727</v>
      </c>
      <c r="E2018" s="2" t="str">
        <f>IFERROR(__xludf.DUMMYFUNCTION("""COMPUTED_VALUE"""),"TrueDepth Camera, iPhone 16 Pro")</f>
        <v>TrueDepth Camera, iPhone 16 Pro</v>
      </c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>
      <c r="A2019" s="10" t="str">
        <f t="shared" si="1"/>
        <v>April</v>
      </c>
      <c r="B2019" s="11">
        <f>IFERROR(__xludf.DUMMYFUNCTION("""COMPUTED_VALUE"""),46118.0)</f>
        <v>46118</v>
      </c>
      <c r="C2019" s="2" t="str">
        <f>IFERROR(__xludf.DUMMYFUNCTION("""COMPUTED_VALUE"""),"MOBILECARE - VERTIS NORTH")</f>
        <v>MOBILECARE - VERTIS NORTH</v>
      </c>
      <c r="D2019" s="2" t="str">
        <f>IFERROR(__xludf.DUMMYFUNCTION("""COMPUTED_VALUE"""),"661-22294")</f>
        <v>661-22294</v>
      </c>
      <c r="E2019" s="2" t="str">
        <f>IFERROR(__xludf.DUMMYFUNCTION("""COMPUTED_VALUE"""),"Battery, iPhone 13 Pro Max")</f>
        <v>Battery, iPhone 13 Pro Max</v>
      </c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>
      <c r="A2020" s="10" t="str">
        <f t="shared" si="1"/>
        <v>April</v>
      </c>
      <c r="B2020" s="11">
        <f>IFERROR(__xludf.DUMMYFUNCTION("""COMPUTED_VALUE"""),46116.0)</f>
        <v>46116</v>
      </c>
      <c r="C2020" s="2" t="str">
        <f>IFERROR(__xludf.DUMMYFUNCTION("""COMPUTED_VALUE"""),"MOBILECARE - VERTIS NORTH")</f>
        <v>MOBILECARE - VERTIS NORTH</v>
      </c>
      <c r="D2020" s="2" t="str">
        <f>IFERROR(__xludf.DUMMYFUNCTION("""COMPUTED_VALUE"""),"661-42722")</f>
        <v>661-42722</v>
      </c>
      <c r="E2020" s="2" t="str">
        <f>IFERROR(__xludf.DUMMYFUNCTION("""COMPUTED_VALUE"""),"Black Titanium, Back Glass, iPhone 16 Pro")</f>
        <v>Black Titanium, Back Glass, iPhone 16 Pro</v>
      </c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>
      <c r="A2021" s="10" t="str">
        <f t="shared" si="1"/>
        <v>April</v>
      </c>
      <c r="B2021" s="11">
        <f>IFERROR(__xludf.DUMMYFUNCTION("""COMPUTED_VALUE"""),46122.0)</f>
        <v>46122</v>
      </c>
      <c r="C2021" s="2" t="str">
        <f>IFERROR(__xludf.DUMMYFUNCTION("""COMPUTED_VALUE"""),"MOBILECARE - VERTIS NORTH")</f>
        <v>MOBILECARE - VERTIS NORTH</v>
      </c>
      <c r="D2021" s="2" t="str">
        <f>IFERROR(__xludf.DUMMYFUNCTION("""COMPUTED_VALUE"""),"661-36918")</f>
        <v>661-36918</v>
      </c>
      <c r="E2021" s="2" t="str">
        <f>IFERROR(__xludf.DUMMYFUNCTION("""COMPUTED_VALUE"""),"Battery, iPhone 15 Pro Max")</f>
        <v>Battery, iPhone 15 Pro Max</v>
      </c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>
      <c r="A2022" s="10" t="str">
        <f t="shared" si="1"/>
        <v>March</v>
      </c>
      <c r="B2022" s="11">
        <f>IFERROR(__xludf.DUMMYFUNCTION("""COMPUTED_VALUE"""),46109.0)</f>
        <v>46109</v>
      </c>
      <c r="C2022" s="2" t="str">
        <f>IFERROR(__xludf.DUMMYFUNCTION("""COMPUTED_VALUE"""),"MOBILECARE - VERTIS NORTH")</f>
        <v>MOBILECARE - VERTIS NORTH</v>
      </c>
      <c r="D2022" s="2" t="str">
        <f>IFERROR(__xludf.DUMMYFUNCTION("""COMPUTED_VALUE"""),"661-21991")</f>
        <v>661-21991</v>
      </c>
      <c r="E2022" s="2" t="str">
        <f>IFERROR(__xludf.DUMMYFUNCTION("""COMPUTED_VALUE"""),"Battery, iPhone 13")</f>
        <v>Battery, iPhone 13</v>
      </c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>
      <c r="A2023" s="10" t="str">
        <f t="shared" si="1"/>
        <v>March</v>
      </c>
      <c r="B2023" s="11">
        <f>IFERROR(__xludf.DUMMYFUNCTION("""COMPUTED_VALUE"""),46088.0)</f>
        <v>46088</v>
      </c>
      <c r="C2023" s="2" t="str">
        <f>IFERROR(__xludf.DUMMYFUNCTION("""COMPUTED_VALUE"""),"MOBILECARE - VERTIS NORTH")</f>
        <v>MOBILECARE - VERTIS NORTH</v>
      </c>
      <c r="D2023" s="2" t="str">
        <f>IFERROR(__xludf.DUMMYFUNCTION("""COMPUTED_VALUE"""),"661-21991")</f>
        <v>661-21991</v>
      </c>
      <c r="E2023" s="2" t="str">
        <f>IFERROR(__xludf.DUMMYFUNCTION("""COMPUTED_VALUE"""),"Battery, iPhone 13")</f>
        <v>Battery, iPhone 13</v>
      </c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>
      <c r="A2024" s="10" t="str">
        <f t="shared" si="1"/>
        <v>February</v>
      </c>
      <c r="B2024" s="11">
        <f>IFERROR(__xludf.DUMMYFUNCTION("""COMPUTED_VALUE"""),46069.0)</f>
        <v>46069</v>
      </c>
      <c r="C2024" s="2" t="str">
        <f>IFERROR(__xludf.DUMMYFUNCTION("""COMPUTED_VALUE"""),"MOBILECARE - VERTIS NORTH")</f>
        <v>MOBILECARE - VERTIS NORTH</v>
      </c>
      <c r="D2024" s="2" t="str">
        <f>IFERROR(__xludf.DUMMYFUNCTION("""COMPUTED_VALUE"""),"661-18428")</f>
        <v>661-18428</v>
      </c>
      <c r="E2024" s="2" t="str">
        <f>IFERROR(__xludf.DUMMYFUNCTION("""COMPUTED_VALUE"""),"Battery, iPhone 12 Pro Max")</f>
        <v>Battery, iPhone 12 Pro Max</v>
      </c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>
      <c r="A2025" s="10" t="str">
        <f t="shared" si="1"/>
        <v>February</v>
      </c>
      <c r="B2025" s="11">
        <f>IFERROR(__xludf.DUMMYFUNCTION("""COMPUTED_VALUE"""),46057.0)</f>
        <v>46057</v>
      </c>
      <c r="C2025" s="2" t="str">
        <f>IFERROR(__xludf.DUMMYFUNCTION("""COMPUTED_VALUE"""),"MOBILECARE - VERTIS NORTH")</f>
        <v>MOBILECARE - VERTIS NORTH</v>
      </c>
      <c r="D2025" s="2" t="str">
        <f>IFERROR(__xludf.DUMMYFUNCTION("""COMPUTED_VALUE"""),"661-30398")</f>
        <v>661-30398</v>
      </c>
      <c r="E2025" s="2" t="str">
        <f>IFERROR(__xludf.DUMMYFUNCTION("""COMPUTED_VALUE"""),"Camera, iPhone 14 Pro Max")</f>
        <v>Camera, iPhone 14 Pro Max</v>
      </c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>
      <c r="A2026" s="10" t="str">
        <f t="shared" si="1"/>
        <v>February</v>
      </c>
      <c r="B2026" s="11">
        <f>IFERROR(__xludf.DUMMYFUNCTION("""COMPUTED_VALUE"""),46057.0)</f>
        <v>46057</v>
      </c>
      <c r="C2026" s="2" t="str">
        <f>IFERROR(__xludf.DUMMYFUNCTION("""COMPUTED_VALUE"""),"MOBILECARE - VERTIS NORTH")</f>
        <v>MOBILECARE - VERTIS NORTH</v>
      </c>
      <c r="D2026" s="2" t="str">
        <f>IFERROR(__xludf.DUMMYFUNCTION("""COMPUTED_VALUE"""),"661-30397")</f>
        <v>661-30397</v>
      </c>
      <c r="E2026" s="2" t="str">
        <f>IFERROR(__xludf.DUMMYFUNCTION("""COMPUTED_VALUE"""),"Battery, iPhone 14 Pro Max")</f>
        <v>Battery, iPhone 14 Pro Max</v>
      </c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>
      <c r="A2027" s="10" t="str">
        <f t="shared" si="1"/>
        <v>January</v>
      </c>
      <c r="B2027" s="11">
        <f>IFERROR(__xludf.DUMMYFUNCTION("""COMPUTED_VALUE"""),46047.0)</f>
        <v>46047</v>
      </c>
      <c r="C2027" s="2" t="str">
        <f>IFERROR(__xludf.DUMMYFUNCTION("""COMPUTED_VALUE"""),"MOBILECARE - VERTIS NORTH")</f>
        <v>MOBILECARE - VERTIS NORTH</v>
      </c>
      <c r="D2027" s="2" t="str">
        <f>IFERROR(__xludf.DUMMYFUNCTION("""COMPUTED_VALUE"""),"661-21991")</f>
        <v>661-21991</v>
      </c>
      <c r="E2027" s="2" t="str">
        <f>IFERROR(__xludf.DUMMYFUNCTION("""COMPUTED_VALUE"""),"Battery, iPhone 13")</f>
        <v>Battery, iPhone 13</v>
      </c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>
      <c r="A2028" s="10" t="str">
        <f t="shared" si="1"/>
        <v>January</v>
      </c>
      <c r="B2028" s="11">
        <f>IFERROR(__xludf.DUMMYFUNCTION("""COMPUTED_VALUE"""),46036.0)</f>
        <v>46036</v>
      </c>
      <c r="C2028" s="2" t="str">
        <f>IFERROR(__xludf.DUMMYFUNCTION("""COMPUTED_VALUE"""),"MOBILECARE - VERTIS NORTH")</f>
        <v>MOBILECARE - VERTIS NORTH</v>
      </c>
      <c r="D2028" s="2" t="str">
        <f>IFERROR(__xludf.DUMMYFUNCTION("""COMPUTED_VALUE"""),"661-13574")</f>
        <v>661-13574</v>
      </c>
      <c r="E2028" s="2" t="str">
        <f>IFERROR(__xludf.DUMMYFUNCTION("""COMPUTED_VALUE"""),"Battery, iPhone 11")</f>
        <v>Battery, iPhone 11</v>
      </c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>
      <c r="A2029" s="10" t="str">
        <f t="shared" si="1"/>
        <v>June</v>
      </c>
      <c r="B2029" s="11">
        <f>IFERROR(__xludf.DUMMYFUNCTION("""COMPUTED_VALUE"""),46186.0)</f>
        <v>46186</v>
      </c>
      <c r="C2029" s="2" t="str">
        <f>IFERROR(__xludf.DUMMYFUNCTION("""COMPUTED_VALUE"""),"MOBILECARE - VERTIS NORTH")</f>
        <v>MOBILECARE - VERTIS NORTH</v>
      </c>
      <c r="D2029" s="2" t="str">
        <f>IFERROR(__xludf.DUMMYFUNCTION("""COMPUTED_VALUE"""),"661-42720")</f>
        <v>661-42720</v>
      </c>
      <c r="E2029" s="2" t="str">
        <f>IFERROR(__xludf.DUMMYFUNCTION("""COMPUTED_VALUE"""),"Battery, iPhone 16 Pro")</f>
        <v>Battery, iPhone 16 Pro</v>
      </c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>
      <c r="A2030" s="10" t="str">
        <f t="shared" si="1"/>
        <v>June</v>
      </c>
      <c r="B2030" s="11">
        <f>IFERROR(__xludf.DUMMYFUNCTION("""COMPUTED_VALUE"""),46183.0)</f>
        <v>46183</v>
      </c>
      <c r="C2030" s="2" t="str">
        <f>IFERROR(__xludf.DUMMYFUNCTION("""COMPUTED_VALUE"""),"MOBILECARE - VERTIS NORTH")</f>
        <v>MOBILECARE - VERTIS NORTH</v>
      </c>
      <c r="D2030" s="2" t="str">
        <f>IFERROR(__xludf.DUMMYFUNCTION("""COMPUTED_VALUE"""),"661-21991")</f>
        <v>661-21991</v>
      </c>
      <c r="E2030" s="2" t="str">
        <f>IFERROR(__xludf.DUMMYFUNCTION("""COMPUTED_VALUE"""),"Battery, iPhone 13")</f>
        <v>Battery, iPhone 13</v>
      </c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>
      <c r="A2031" s="10" t="str">
        <f t="shared" si="1"/>
        <v>May</v>
      </c>
      <c r="B2031" s="11">
        <f>IFERROR(__xludf.DUMMYFUNCTION("""COMPUTED_VALUE"""),46163.0)</f>
        <v>46163</v>
      </c>
      <c r="C2031" s="2" t="str">
        <f>IFERROR(__xludf.DUMMYFUNCTION("""COMPUTED_VALUE"""),"MOBILECARE - VERTIS NORTH")</f>
        <v>MOBILECARE - VERTIS NORTH</v>
      </c>
      <c r="D2031" s="2" t="str">
        <f>IFERROR(__xludf.DUMMYFUNCTION("""COMPUTED_VALUE"""),"661-18428")</f>
        <v>661-18428</v>
      </c>
      <c r="E2031" s="2" t="str">
        <f>IFERROR(__xludf.DUMMYFUNCTION("""COMPUTED_VALUE"""),"Battery, iPhone 12 Pro Max")</f>
        <v>Battery, iPhone 12 Pro Max</v>
      </c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>
      <c r="A2032" s="10" t="str">
        <f t="shared" si="1"/>
        <v>May</v>
      </c>
      <c r="B2032" s="11">
        <f>IFERROR(__xludf.DUMMYFUNCTION("""COMPUTED_VALUE"""),46157.0)</f>
        <v>46157</v>
      </c>
      <c r="C2032" s="2" t="str">
        <f>IFERROR(__xludf.DUMMYFUNCTION("""COMPUTED_VALUE"""),"MOBILECARE - VERTIS NORTH")</f>
        <v>MOBILECARE - VERTIS NORTH</v>
      </c>
      <c r="D2032" s="2" t="str">
        <f>IFERROR(__xludf.DUMMYFUNCTION("""COMPUTED_VALUE"""),"661-21991")</f>
        <v>661-21991</v>
      </c>
      <c r="E2032" s="2" t="str">
        <f>IFERROR(__xludf.DUMMYFUNCTION("""COMPUTED_VALUE"""),"Battery, iPhone 13")</f>
        <v>Battery, iPhone 13</v>
      </c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>
      <c r="A2033" s="10" t="str">
        <f t="shared" si="1"/>
        <v>May</v>
      </c>
      <c r="B2033" s="11">
        <f>IFERROR(__xludf.DUMMYFUNCTION("""COMPUTED_VALUE"""),46159.0)</f>
        <v>46159</v>
      </c>
      <c r="C2033" s="2" t="str">
        <f>IFERROR(__xludf.DUMMYFUNCTION("""COMPUTED_VALUE"""),"MOBILECARE - VERTIS NORTH")</f>
        <v>MOBILECARE - VERTIS NORTH</v>
      </c>
      <c r="D2033" s="2" t="str">
        <f>IFERROR(__xludf.DUMMYFUNCTION("""COMPUTED_VALUE"""),"661-44956")</f>
        <v>661-44956</v>
      </c>
      <c r="E2033" s="2" t="str">
        <f>IFERROR(__xludf.DUMMYFUNCTION("""COMPUTED_VALUE"""),"TrueDepth Camera, iPhone 16 Pro Max")</f>
        <v>TrueDepth Camera, iPhone 16 Pro Max</v>
      </c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>
      <c r="A2034" s="10" t="str">
        <f t="shared" si="1"/>
        <v>May</v>
      </c>
      <c r="B2034" s="11">
        <f>IFERROR(__xludf.DUMMYFUNCTION("""COMPUTED_VALUE"""),46159.0)</f>
        <v>46159</v>
      </c>
      <c r="C2034" s="2" t="str">
        <f>IFERROR(__xludf.DUMMYFUNCTION("""COMPUTED_VALUE"""),"MOBILECARE - VERTIS NORTH")</f>
        <v>MOBILECARE - VERTIS NORTH</v>
      </c>
      <c r="D2034" s="2" t="str">
        <f>IFERROR(__xludf.DUMMYFUNCTION("""COMPUTED_VALUE"""),"661-44961")</f>
        <v>661-44961</v>
      </c>
      <c r="E2034" s="2" t="str">
        <f>IFERROR(__xludf.DUMMYFUNCTION("""COMPUTED_VALUE"""),"Natural Titanium, Back Glass, iPhone 16 Pro Max")</f>
        <v>Natural Titanium, Back Glass, iPhone 16 Pro Max</v>
      </c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>
      <c r="A2035" s="10" t="str">
        <f t="shared" si="1"/>
        <v>May</v>
      </c>
      <c r="B2035" s="11">
        <f>IFERROR(__xludf.DUMMYFUNCTION("""COMPUTED_VALUE"""),46151.0)</f>
        <v>46151</v>
      </c>
      <c r="C2035" s="2" t="str">
        <f>IFERROR(__xludf.DUMMYFUNCTION("""COMPUTED_VALUE"""),"MOBILECARE - VERTIS NORTH")</f>
        <v>MOBILECARE - VERTIS NORTH</v>
      </c>
      <c r="D2035" s="2" t="str">
        <f>IFERROR(__xludf.DUMMYFUNCTION("""COMPUTED_VALUE"""),"661-22294")</f>
        <v>661-22294</v>
      </c>
      <c r="E2035" s="2" t="str">
        <f>IFERROR(__xludf.DUMMYFUNCTION("""COMPUTED_VALUE"""),"Battery, iPhone 13 Pro Max")</f>
        <v>Battery, iPhone 13 Pro Max</v>
      </c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>
      <c r="A2036" s="10" t="str">
        <f t="shared" si="1"/>
        <v>April</v>
      </c>
      <c r="B2036" s="11">
        <f>IFERROR(__xludf.DUMMYFUNCTION("""COMPUTED_VALUE"""),46124.0)</f>
        <v>46124</v>
      </c>
      <c r="C2036" s="2" t="str">
        <f>IFERROR(__xludf.DUMMYFUNCTION("""COMPUTED_VALUE"""),"MOBILECARE - VERTIS NORTH")</f>
        <v>MOBILECARE - VERTIS NORTH</v>
      </c>
      <c r="D2036" s="2" t="str">
        <f>IFERROR(__xludf.DUMMYFUNCTION("""COMPUTED_VALUE"""),"661-21996")</f>
        <v>661-21996</v>
      </c>
      <c r="E2036" s="2" t="str">
        <f>IFERROR(__xludf.DUMMYFUNCTION("""COMPUTED_VALUE"""),"Battery, iPhone 13 Pro")</f>
        <v>Battery, iPhone 13 Pro</v>
      </c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>
      <c r="A2037" s="10" t="str">
        <f t="shared" si="1"/>
        <v>March</v>
      </c>
      <c r="B2037" s="11">
        <f>IFERROR(__xludf.DUMMYFUNCTION("""COMPUTED_VALUE"""),46111.0)</f>
        <v>46111</v>
      </c>
      <c r="C2037" s="2" t="str">
        <f>IFERROR(__xludf.DUMMYFUNCTION("""COMPUTED_VALUE"""),"MOBILECARE - VERTIS NORTH")</f>
        <v>MOBILECARE - VERTIS NORTH</v>
      </c>
      <c r="D2037" s="2" t="str">
        <f>IFERROR(__xludf.DUMMYFUNCTION("""COMPUTED_VALUE"""),"Z661-56015")</f>
        <v>Z661-56015</v>
      </c>
      <c r="E2037" s="2" t="str">
        <f>IFERROR(__xludf.DUMMYFUNCTION("""COMPUTED_VALUE"""),"Logic Board, 256GB, iPhone 17, ROW")</f>
        <v>Logic Board, 256GB, iPhone 17, ROW</v>
      </c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>
      <c r="A2038" s="10" t="str">
        <f t="shared" si="1"/>
        <v>March</v>
      </c>
      <c r="B2038" s="11">
        <f>IFERROR(__xludf.DUMMYFUNCTION("""COMPUTED_VALUE"""),46091.0)</f>
        <v>46091</v>
      </c>
      <c r="C2038" s="2" t="str">
        <f>IFERROR(__xludf.DUMMYFUNCTION("""COMPUTED_VALUE"""),"MOBILECARE - VERTIS NORTH")</f>
        <v>MOBILECARE - VERTIS NORTH</v>
      </c>
      <c r="D2038" s="2" t="str">
        <f>IFERROR(__xludf.DUMMYFUNCTION("""COMPUTED_VALUE"""),"661-21991")</f>
        <v>661-21991</v>
      </c>
      <c r="E2038" s="2" t="str">
        <f>IFERROR(__xludf.DUMMYFUNCTION("""COMPUTED_VALUE"""),"Battery, iPhone 13")</f>
        <v>Battery, iPhone 13</v>
      </c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>
      <c r="A2039" s="10" t="str">
        <f t="shared" si="1"/>
        <v>March</v>
      </c>
      <c r="B2039" s="11">
        <f>IFERROR(__xludf.DUMMYFUNCTION("""COMPUTED_VALUE"""),46083.0)</f>
        <v>46083</v>
      </c>
      <c r="C2039" s="2" t="str">
        <f>IFERROR(__xludf.DUMMYFUNCTION("""COMPUTED_VALUE"""),"MOBILECARE - VERTIS NORTH")</f>
        <v>MOBILECARE - VERTIS NORTH</v>
      </c>
      <c r="D2039" s="2" t="str">
        <f>IFERROR(__xludf.DUMMYFUNCTION("""COMPUTED_VALUE"""),"661-13574")</f>
        <v>661-13574</v>
      </c>
      <c r="E2039" s="2" t="str">
        <f>IFERROR(__xludf.DUMMYFUNCTION("""COMPUTED_VALUE"""),"Battery, iPhone 11")</f>
        <v>Battery, iPhone 11</v>
      </c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>
      <c r="A2040" s="10" t="str">
        <f t="shared" si="1"/>
        <v>March</v>
      </c>
      <c r="B2040" s="11">
        <f>IFERROR(__xludf.DUMMYFUNCTION("""COMPUTED_VALUE"""),46085.0)</f>
        <v>46085</v>
      </c>
      <c r="C2040" s="2" t="str">
        <f>IFERROR(__xludf.DUMMYFUNCTION("""COMPUTED_VALUE"""),"MOBILECARE - VERTIS NORTH")</f>
        <v>MOBILECARE - VERTIS NORTH</v>
      </c>
      <c r="D2040" s="2" t="str">
        <f>IFERROR(__xludf.DUMMYFUNCTION("""COMPUTED_VALUE"""),"661-56067")</f>
        <v>661-56067</v>
      </c>
      <c r="E2040" s="2" t="str">
        <f>IFERROR(__xludf.DUMMYFUNCTION("""COMPUTED_VALUE"""),"Camera, iPhone 17")</f>
        <v>Camera, iPhone 17</v>
      </c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>
      <c r="A2041" s="10" t="str">
        <f t="shared" si="1"/>
        <v>February</v>
      </c>
      <c r="B2041" s="11">
        <f>IFERROR(__xludf.DUMMYFUNCTION("""COMPUTED_VALUE"""),46079.0)</f>
        <v>46079</v>
      </c>
      <c r="C2041" s="2" t="str">
        <f>IFERROR(__xludf.DUMMYFUNCTION("""COMPUTED_VALUE"""),"MOBILECARE - VERTIS NORTH")</f>
        <v>MOBILECARE - VERTIS NORTH</v>
      </c>
      <c r="D2041" s="2" t="str">
        <f>IFERROR(__xludf.DUMMYFUNCTION("""COMPUTED_VALUE"""),"661-21991")</f>
        <v>661-21991</v>
      </c>
      <c r="E2041" s="2" t="str">
        <f>IFERROR(__xludf.DUMMYFUNCTION("""COMPUTED_VALUE"""),"Battery, iPhone 13")</f>
        <v>Battery, iPhone 13</v>
      </c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>
      <c r="A2042" s="10" t="str">
        <f t="shared" si="1"/>
        <v>February</v>
      </c>
      <c r="B2042" s="11">
        <f>IFERROR(__xludf.DUMMYFUNCTION("""COMPUTED_VALUE"""),46054.0)</f>
        <v>46054</v>
      </c>
      <c r="C2042" s="2" t="str">
        <f>IFERROR(__xludf.DUMMYFUNCTION("""COMPUTED_VALUE"""),"MOBILECARE - VERTIS NORTH")</f>
        <v>MOBILECARE - VERTIS NORTH</v>
      </c>
      <c r="D2042" s="2" t="str">
        <f>IFERROR(__xludf.DUMMYFUNCTION("""COMPUTED_VALUE"""),"661-25890")</f>
        <v>661-25890</v>
      </c>
      <c r="E2042" s="2" t="str">
        <f>IFERROR(__xludf.DUMMYFUNCTION("""COMPUTED_VALUE"""),"Battery, iPhone SE 3rd generation")</f>
        <v>Battery, iPhone SE 3rd generation</v>
      </c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>
      <c r="A2043" s="10" t="str">
        <f t="shared" si="1"/>
        <v>May</v>
      </c>
      <c r="B2043" s="11">
        <f>IFERROR(__xludf.DUMMYFUNCTION("""COMPUTED_VALUE"""),46155.0)</f>
        <v>46155</v>
      </c>
      <c r="C2043" s="2" t="str">
        <f>IFERROR(__xludf.DUMMYFUNCTION("""COMPUTED_VALUE"""),"MOBILECARE - VERTIS NORTH")</f>
        <v>MOBILECARE - VERTIS NORTH</v>
      </c>
      <c r="D2043" s="2" t="str">
        <f>IFERROR(__xludf.DUMMYFUNCTION("""COMPUTED_VALUE"""),"661-36829")</f>
        <v>661-36829</v>
      </c>
      <c r="E2043" s="2" t="str">
        <f>IFERROR(__xludf.DUMMYFUNCTION("""COMPUTED_VALUE"""),"TrueDepth Camera, iPhone 15")</f>
        <v>TrueDepth Camera, iPhone 15</v>
      </c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>
      <c r="A2044" s="10" t="str">
        <f t="shared" si="1"/>
        <v>May</v>
      </c>
      <c r="B2044" s="11">
        <f>IFERROR(__xludf.DUMMYFUNCTION("""COMPUTED_VALUE"""),46155.0)</f>
        <v>46155</v>
      </c>
      <c r="C2044" s="2" t="str">
        <f>IFERROR(__xludf.DUMMYFUNCTION("""COMPUTED_VALUE"""),"MOBILECARE - VERTIS NORTH")</f>
        <v>MOBILECARE - VERTIS NORTH</v>
      </c>
      <c r="D2044" s="2" t="str">
        <f>IFERROR(__xludf.DUMMYFUNCTION("""COMPUTED_VALUE"""),"661-36829")</f>
        <v>661-36829</v>
      </c>
      <c r="E2044" s="2" t="str">
        <f>IFERROR(__xludf.DUMMYFUNCTION("""COMPUTED_VALUE"""),"TrueDepth Camera, iPhone 15")</f>
        <v>TrueDepth Camera, iPhone 15</v>
      </c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>
      <c r="A2045" s="10" t="str">
        <f t="shared" si="1"/>
        <v>May</v>
      </c>
      <c r="B2045" s="11">
        <f>IFERROR(__xludf.DUMMYFUNCTION("""COMPUTED_VALUE"""),46146.0)</f>
        <v>46146</v>
      </c>
      <c r="C2045" s="2" t="str">
        <f>IFERROR(__xludf.DUMMYFUNCTION("""COMPUTED_VALUE"""),"MOBILECARE - VERTIS NORTH")</f>
        <v>MOBILECARE - VERTIS NORTH</v>
      </c>
      <c r="D2045" s="2" t="str">
        <f>IFERROR(__xludf.DUMMYFUNCTION("""COMPUTED_VALUE"""),"661-22294")</f>
        <v>661-22294</v>
      </c>
      <c r="E2045" s="2" t="str">
        <f>IFERROR(__xludf.DUMMYFUNCTION("""COMPUTED_VALUE"""),"Battery, iPhone 13 Pro Max")</f>
        <v>Battery, iPhone 13 Pro Max</v>
      </c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>
      <c r="A2046" s="10" t="str">
        <f t="shared" si="1"/>
        <v>April</v>
      </c>
      <c r="B2046" s="11">
        <f>IFERROR(__xludf.DUMMYFUNCTION("""COMPUTED_VALUE"""),46128.0)</f>
        <v>46128</v>
      </c>
      <c r="C2046" s="2" t="str">
        <f>IFERROR(__xludf.DUMMYFUNCTION("""COMPUTED_VALUE"""),"MOBILECARE - VERTIS NORTH")</f>
        <v>MOBILECARE - VERTIS NORTH</v>
      </c>
      <c r="D2046" s="2" t="str">
        <f>IFERROR(__xludf.DUMMYFUNCTION("""COMPUTED_VALUE"""),"661-21991")</f>
        <v>661-21991</v>
      </c>
      <c r="E2046" s="2" t="str">
        <f>IFERROR(__xludf.DUMMYFUNCTION("""COMPUTED_VALUE"""),"Battery, iPhone 13")</f>
        <v>Battery, iPhone 13</v>
      </c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>
      <c r="A2047" s="10" t="str">
        <f t="shared" si="1"/>
        <v>April</v>
      </c>
      <c r="B2047" s="11">
        <f>IFERROR(__xludf.DUMMYFUNCTION("""COMPUTED_VALUE"""),46125.0)</f>
        <v>46125</v>
      </c>
      <c r="C2047" s="2" t="str">
        <f>IFERROR(__xludf.DUMMYFUNCTION("""COMPUTED_VALUE"""),"MOBILECARE - VERTIS NORTH")</f>
        <v>MOBILECARE - VERTIS NORTH</v>
      </c>
      <c r="D2047" s="2" t="str">
        <f>IFERROR(__xludf.DUMMYFUNCTION("""COMPUTED_VALUE"""),"661-36706")</f>
        <v>661-36706</v>
      </c>
      <c r="E2047" s="2" t="str">
        <f>IFERROR(__xludf.DUMMYFUNCTION("""COMPUTED_VALUE"""),"Display, iPhone 15")</f>
        <v>Display, iPhone 15</v>
      </c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>
      <c r="A2048" s="10" t="str">
        <f t="shared" si="1"/>
        <v>April</v>
      </c>
      <c r="B2048" s="11">
        <f>IFERROR(__xludf.DUMMYFUNCTION("""COMPUTED_VALUE"""),46125.0)</f>
        <v>46125</v>
      </c>
      <c r="C2048" s="2" t="str">
        <f>IFERROR(__xludf.DUMMYFUNCTION("""COMPUTED_VALUE"""),"MOBILECARE - VERTIS NORTH")</f>
        <v>MOBILECARE - VERTIS NORTH</v>
      </c>
      <c r="D2048" s="2" t="str">
        <f>IFERROR(__xludf.DUMMYFUNCTION("""COMPUTED_VALUE"""),"661-36706")</f>
        <v>661-36706</v>
      </c>
      <c r="E2048" s="2" t="str">
        <f>IFERROR(__xludf.DUMMYFUNCTION("""COMPUTED_VALUE"""),"Display, iPhone 15")</f>
        <v>Display, iPhone 15</v>
      </c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>
      <c r="A2049" s="10" t="str">
        <f t="shared" si="1"/>
        <v>March</v>
      </c>
      <c r="B2049" s="11">
        <f>IFERROR(__xludf.DUMMYFUNCTION("""COMPUTED_VALUE"""),46100.0)</f>
        <v>46100</v>
      </c>
      <c r="C2049" s="2" t="str">
        <f>IFERROR(__xludf.DUMMYFUNCTION("""COMPUTED_VALUE"""),"MOBILECARE - VERTIS NORTH")</f>
        <v>MOBILECARE - VERTIS NORTH</v>
      </c>
      <c r="D2049" s="2" t="str">
        <f>IFERROR(__xludf.DUMMYFUNCTION("""COMPUTED_VALUE"""),"661-21991")</f>
        <v>661-21991</v>
      </c>
      <c r="E2049" s="2" t="str">
        <f>IFERROR(__xludf.DUMMYFUNCTION("""COMPUTED_VALUE"""),"Battery, iPhone 13")</f>
        <v>Battery, iPhone 13</v>
      </c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>
      <c r="A2050" s="10" t="str">
        <f t="shared" si="1"/>
        <v>March</v>
      </c>
      <c r="B2050" s="11">
        <f>IFERROR(__xludf.DUMMYFUNCTION("""COMPUTED_VALUE"""),46099.0)</f>
        <v>46099</v>
      </c>
      <c r="C2050" s="2" t="str">
        <f>IFERROR(__xludf.DUMMYFUNCTION("""COMPUTED_VALUE"""),"MOBILECARE - VERTIS NORTH")</f>
        <v>MOBILECARE - VERTIS NORTH</v>
      </c>
      <c r="D2050" s="2" t="str">
        <f>IFERROR(__xludf.DUMMYFUNCTION("""COMPUTED_VALUE"""),"661-37207")</f>
        <v>661-37207</v>
      </c>
      <c r="E2050" s="2" t="str">
        <f>IFERROR(__xludf.DUMMYFUNCTION("""COMPUTED_VALUE"""),"Battery, iPhone 15 Plus")</f>
        <v>Battery, iPhone 15 Plus</v>
      </c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>
      <c r="A2051" s="10" t="str">
        <f t="shared" si="1"/>
        <v>March</v>
      </c>
      <c r="B2051" s="11">
        <f>IFERROR(__xludf.DUMMYFUNCTION("""COMPUTED_VALUE"""),46085.0)</f>
        <v>46085</v>
      </c>
      <c r="C2051" s="2" t="str">
        <f>IFERROR(__xludf.DUMMYFUNCTION("""COMPUTED_VALUE"""),"MOBILECARE - VERTIS NORTH")</f>
        <v>MOBILECARE - VERTIS NORTH</v>
      </c>
      <c r="D2051" s="2" t="str">
        <f>IFERROR(__xludf.DUMMYFUNCTION("""COMPUTED_VALUE"""),"661-21988")</f>
        <v>661-21988</v>
      </c>
      <c r="E2051" s="2" t="str">
        <f>IFERROR(__xludf.DUMMYFUNCTION("""COMPUTED_VALUE"""),"Display, iPhone 13")</f>
        <v>Display, iPhone 13</v>
      </c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>
      <c r="A2052" s="10" t="str">
        <f t="shared" si="1"/>
        <v>February</v>
      </c>
      <c r="B2052" s="11">
        <f>IFERROR(__xludf.DUMMYFUNCTION("""COMPUTED_VALUE"""),46068.0)</f>
        <v>46068</v>
      </c>
      <c r="C2052" s="2" t="str">
        <f>IFERROR(__xludf.DUMMYFUNCTION("""COMPUTED_VALUE"""),"MOBILECARE - VERTIS NORTH")</f>
        <v>MOBILECARE - VERTIS NORTH</v>
      </c>
      <c r="D2052" s="2" t="str">
        <f>IFERROR(__xludf.DUMMYFUNCTION("""COMPUTED_VALUE"""),"661-22294")</f>
        <v>661-22294</v>
      </c>
      <c r="E2052" s="2" t="str">
        <f>IFERROR(__xludf.DUMMYFUNCTION("""COMPUTED_VALUE"""),"Battery, iPhone 13 Pro Max")</f>
        <v>Battery, iPhone 13 Pro Max</v>
      </c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>
      <c r="A2053" s="10" t="str">
        <f t="shared" si="1"/>
        <v>February</v>
      </c>
      <c r="B2053" s="11">
        <f>IFERROR(__xludf.DUMMYFUNCTION("""COMPUTED_VALUE"""),46054.0)</f>
        <v>46054</v>
      </c>
      <c r="C2053" s="2" t="str">
        <f>IFERROR(__xludf.DUMMYFUNCTION("""COMPUTED_VALUE"""),"MOBILECARE - VERTIS NORTH")</f>
        <v>MOBILECARE - VERTIS NORTH</v>
      </c>
      <c r="D2053" s="2" t="str">
        <f>IFERROR(__xludf.DUMMYFUNCTION("""COMPUTED_VALUE"""),"661-30397")</f>
        <v>661-30397</v>
      </c>
      <c r="E2053" s="2" t="str">
        <f>IFERROR(__xludf.DUMMYFUNCTION("""COMPUTED_VALUE"""),"Battery, iPhone 14 Pro Max")</f>
        <v>Battery, iPhone 14 Pro Max</v>
      </c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>
      <c r="A2054" s="10" t="str">
        <f t="shared" si="1"/>
        <v>January</v>
      </c>
      <c r="B2054" s="11">
        <f>IFERROR(__xludf.DUMMYFUNCTION("""COMPUTED_VALUE"""),46037.0)</f>
        <v>46037</v>
      </c>
      <c r="C2054" s="2" t="str">
        <f>IFERROR(__xludf.DUMMYFUNCTION("""COMPUTED_VALUE"""),"MOBILECARE - VERTIS NORTH")</f>
        <v>MOBILECARE - VERTIS NORTH</v>
      </c>
      <c r="D2054" s="2" t="str">
        <f>IFERROR(__xludf.DUMMYFUNCTION("""COMPUTED_VALUE"""),"661-44959")</f>
        <v>661-44959</v>
      </c>
      <c r="E2054" s="2" t="str">
        <f>IFERROR(__xludf.DUMMYFUNCTION("""COMPUTED_VALUE"""),"White Titanium, Back Glass, iPhone 16 Pro Max")</f>
        <v>White Titanium, Back Glass, iPhone 16 Pro Max</v>
      </c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>
      <c r="A2055" s="10" t="str">
        <f t="shared" si="1"/>
        <v>June</v>
      </c>
      <c r="B2055" s="11">
        <f>IFERROR(__xludf.DUMMYFUNCTION("""COMPUTED_VALUE"""),46187.0)</f>
        <v>46187</v>
      </c>
      <c r="C2055" s="2" t="str">
        <f>IFERROR(__xludf.DUMMYFUNCTION("""COMPUTED_VALUE"""),"MOBILECARE - VERTIS NORTH")</f>
        <v>MOBILECARE - VERTIS NORTH</v>
      </c>
      <c r="D2055" s="2" t="str">
        <f>IFERROR(__xludf.DUMMYFUNCTION("""COMPUTED_VALUE"""),"661-21988")</f>
        <v>661-21988</v>
      </c>
      <c r="E2055" s="2" t="str">
        <f>IFERROR(__xludf.DUMMYFUNCTION("""COMPUTED_VALUE"""),"Display, iPhone 13")</f>
        <v>Display, iPhone 13</v>
      </c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>
      <c r="A2056" s="10" t="str">
        <f t="shared" si="1"/>
        <v>June</v>
      </c>
      <c r="B2056" s="11">
        <f>IFERROR(__xludf.DUMMYFUNCTION("""COMPUTED_VALUE"""),46187.0)</f>
        <v>46187</v>
      </c>
      <c r="C2056" s="2" t="str">
        <f>IFERROR(__xludf.DUMMYFUNCTION("""COMPUTED_VALUE"""),"MOBILECARE - VERTIS NORTH")</f>
        <v>MOBILECARE - VERTIS NORTH</v>
      </c>
      <c r="D2056" s="2" t="str">
        <f>IFERROR(__xludf.DUMMYFUNCTION("""COMPUTED_VALUE"""),"661-21991")</f>
        <v>661-21991</v>
      </c>
      <c r="E2056" s="2" t="str">
        <f>IFERROR(__xludf.DUMMYFUNCTION("""COMPUTED_VALUE"""),"Battery, iPhone 13")</f>
        <v>Battery, iPhone 13</v>
      </c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>
      <c r="A2057" s="10" t="str">
        <f t="shared" si="1"/>
        <v>May</v>
      </c>
      <c r="B2057" s="11">
        <f>IFERROR(__xludf.DUMMYFUNCTION("""COMPUTED_VALUE"""),46150.0)</f>
        <v>46150</v>
      </c>
      <c r="C2057" s="2" t="str">
        <f>IFERROR(__xludf.DUMMYFUNCTION("""COMPUTED_VALUE"""),"MOBILECARE - VERTIS NORTH")</f>
        <v>MOBILECARE - VERTIS NORTH</v>
      </c>
      <c r="D2057" s="2" t="str">
        <f>IFERROR(__xludf.DUMMYFUNCTION("""COMPUTED_VALUE"""),"661-21991")</f>
        <v>661-21991</v>
      </c>
      <c r="E2057" s="2" t="str">
        <f>IFERROR(__xludf.DUMMYFUNCTION("""COMPUTED_VALUE"""),"Battery, iPhone 13")</f>
        <v>Battery, iPhone 13</v>
      </c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>
      <c r="A2058" s="10" t="str">
        <f t="shared" si="1"/>
        <v>April</v>
      </c>
      <c r="B2058" s="11">
        <f>IFERROR(__xludf.DUMMYFUNCTION("""COMPUTED_VALUE"""),46142.0)</f>
        <v>46142</v>
      </c>
      <c r="C2058" s="2" t="str">
        <f>IFERROR(__xludf.DUMMYFUNCTION("""COMPUTED_VALUE"""),"MOBILECARE - VERTIS NORTH")</f>
        <v>MOBILECARE - VERTIS NORTH</v>
      </c>
      <c r="D2058" s="2" t="str">
        <f>IFERROR(__xludf.DUMMYFUNCTION("""COMPUTED_VALUE"""),"661-21991")</f>
        <v>661-21991</v>
      </c>
      <c r="E2058" s="2" t="str">
        <f>IFERROR(__xludf.DUMMYFUNCTION("""COMPUTED_VALUE"""),"Battery, iPhone 13")</f>
        <v>Battery, iPhone 13</v>
      </c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>
      <c r="A2059" s="10" t="str">
        <f t="shared" si="1"/>
        <v>June</v>
      </c>
      <c r="B2059" s="11">
        <f>IFERROR(__xludf.DUMMYFUNCTION("""COMPUTED_VALUE"""),46176.0)</f>
        <v>46176</v>
      </c>
      <c r="C2059" s="2" t="str">
        <f>IFERROR(__xludf.DUMMYFUNCTION("""COMPUTED_VALUE"""),"MOBILECARE - VERTIS NORTH")</f>
        <v>MOBILECARE - VERTIS NORTH</v>
      </c>
      <c r="D2059" s="2" t="str">
        <f>IFERROR(__xludf.DUMMYFUNCTION("""COMPUTED_VALUE"""),"Z661-55956")</f>
        <v>Z661-55956</v>
      </c>
      <c r="E2059" s="2" t="str">
        <f>IFERROR(__xludf.DUMMYFUNCTION("""COMPUTED_VALUE"""),"Logic Board, 256GB, iPhone 17 Pro Max, ROW")</f>
        <v>Logic Board, 256GB, iPhone 17 Pro Max, ROW</v>
      </c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>
      <c r="A2060" s="10" t="str">
        <f t="shared" si="1"/>
        <v>April</v>
      </c>
      <c r="B2060" s="11">
        <f>IFERROR(__xludf.DUMMYFUNCTION("""COMPUTED_VALUE"""),46122.0)</f>
        <v>46122</v>
      </c>
      <c r="C2060" s="2" t="str">
        <f>IFERROR(__xludf.DUMMYFUNCTION("""COMPUTED_VALUE"""),"MOBILECARE - VERTIS NORTH")</f>
        <v>MOBILECARE - VERTIS NORTH</v>
      </c>
      <c r="D2060" s="2" t="str">
        <f>IFERROR(__xludf.DUMMYFUNCTION("""COMPUTED_VALUE"""),"661-44954")</f>
        <v>661-44954</v>
      </c>
      <c r="E2060" s="2" t="str">
        <f>IFERROR(__xludf.DUMMYFUNCTION("""COMPUTED_VALUE"""),"Battery, iPhone 16 Pro Max")</f>
        <v>Battery, iPhone 16 Pro Max</v>
      </c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>
      <c r="A2061" s="10" t="str">
        <f t="shared" si="1"/>
        <v>April</v>
      </c>
      <c r="B2061" s="11">
        <f>IFERROR(__xludf.DUMMYFUNCTION("""COMPUTED_VALUE"""),46121.0)</f>
        <v>46121</v>
      </c>
      <c r="C2061" s="2" t="str">
        <f>IFERROR(__xludf.DUMMYFUNCTION("""COMPUTED_VALUE"""),"MOBILECARE - VERTIS NORTH")</f>
        <v>MOBILECARE - VERTIS NORTH</v>
      </c>
      <c r="D2061" s="2" t="str">
        <f>IFERROR(__xludf.DUMMYFUNCTION("""COMPUTED_VALUE"""),"661-21988")</f>
        <v>661-21988</v>
      </c>
      <c r="E2061" s="2" t="str">
        <f>IFERROR(__xludf.DUMMYFUNCTION("""COMPUTED_VALUE"""),"Display, iPhone 13")</f>
        <v>Display, iPhone 13</v>
      </c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>
      <c r="A2062" s="10" t="str">
        <f t="shared" si="1"/>
        <v>March</v>
      </c>
      <c r="B2062" s="11">
        <f>IFERROR(__xludf.DUMMYFUNCTION("""COMPUTED_VALUE"""),46109.0)</f>
        <v>46109</v>
      </c>
      <c r="C2062" s="2" t="str">
        <f>IFERROR(__xludf.DUMMYFUNCTION("""COMPUTED_VALUE"""),"MOBILECARE - VERTIS NORTH")</f>
        <v>MOBILECARE - VERTIS NORTH</v>
      </c>
      <c r="D2062" s="2" t="str">
        <f>IFERROR(__xludf.DUMMYFUNCTION("""COMPUTED_VALUE"""),"661-56051")</f>
        <v>661-56051</v>
      </c>
      <c r="E2062" s="2" t="str">
        <f>IFERROR(__xludf.DUMMYFUNCTION("""COMPUTED_VALUE"""),"Front Camera, iPhone 17 Pro Max")</f>
        <v>Front Camera, iPhone 17 Pro Max</v>
      </c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>
      <c r="A2063" s="10" t="str">
        <f t="shared" si="1"/>
        <v>March</v>
      </c>
      <c r="B2063" s="11">
        <f>IFERROR(__xludf.DUMMYFUNCTION("""COMPUTED_VALUE"""),46109.0)</f>
        <v>46109</v>
      </c>
      <c r="C2063" s="2" t="str">
        <f>IFERROR(__xludf.DUMMYFUNCTION("""COMPUTED_VALUE"""),"MOBILECARE - VERTIS NORTH")</f>
        <v>MOBILECARE - VERTIS NORTH</v>
      </c>
      <c r="D2063" s="2" t="str">
        <f>IFERROR(__xludf.DUMMYFUNCTION("""COMPUTED_VALUE"""),"661-56051")</f>
        <v>661-56051</v>
      </c>
      <c r="E2063" s="2" t="str">
        <f>IFERROR(__xludf.DUMMYFUNCTION("""COMPUTED_VALUE"""),"Front Camera, iPhone 17 Pro Max")</f>
        <v>Front Camera, iPhone 17 Pro Max</v>
      </c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>
      <c r="A2064" s="10" t="str">
        <f t="shared" si="1"/>
        <v>March</v>
      </c>
      <c r="B2064" s="11">
        <f>IFERROR(__xludf.DUMMYFUNCTION("""COMPUTED_VALUE"""),46102.0)</f>
        <v>46102</v>
      </c>
      <c r="C2064" s="2" t="str">
        <f>IFERROR(__xludf.DUMMYFUNCTION("""COMPUTED_VALUE"""),"MOBILECARE - VERTIS NORTH")</f>
        <v>MOBILECARE - VERTIS NORTH</v>
      </c>
      <c r="D2064" s="2" t="str">
        <f>IFERROR(__xludf.DUMMYFUNCTION("""COMPUTED_VALUE"""),"661-36918")</f>
        <v>661-36918</v>
      </c>
      <c r="E2064" s="2" t="str">
        <f>IFERROR(__xludf.DUMMYFUNCTION("""COMPUTED_VALUE"""),"Battery, iPhone 15 Pro Max")</f>
        <v>Battery, iPhone 15 Pro Max</v>
      </c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>
      <c r="A2065" s="10" t="str">
        <f t="shared" si="1"/>
        <v>March</v>
      </c>
      <c r="B2065" s="11">
        <f>IFERROR(__xludf.DUMMYFUNCTION("""COMPUTED_VALUE"""),46090.0)</f>
        <v>46090</v>
      </c>
      <c r="C2065" s="2" t="str">
        <f>IFERROR(__xludf.DUMMYFUNCTION("""COMPUTED_VALUE"""),"MOBILECARE - VERTIS NORTH")</f>
        <v>MOBILECARE - VERTIS NORTH</v>
      </c>
      <c r="D2065" s="2" t="str">
        <f>IFERROR(__xludf.DUMMYFUNCTION("""COMPUTED_VALUE"""),"661-21991")</f>
        <v>661-21991</v>
      </c>
      <c r="E2065" s="2" t="str">
        <f>IFERROR(__xludf.DUMMYFUNCTION("""COMPUTED_VALUE"""),"Battery, iPhone 13")</f>
        <v>Battery, iPhone 13</v>
      </c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>
      <c r="A2066" s="10" t="str">
        <f t="shared" si="1"/>
        <v>February</v>
      </c>
      <c r="B2066" s="11">
        <f>IFERROR(__xludf.DUMMYFUNCTION("""COMPUTED_VALUE"""),46055.0)</f>
        <v>46055</v>
      </c>
      <c r="C2066" s="2" t="str">
        <f>IFERROR(__xludf.DUMMYFUNCTION("""COMPUTED_VALUE"""),"MOBILECARE - VERTIS NORTH")</f>
        <v>MOBILECARE - VERTIS NORTH</v>
      </c>
      <c r="D2066" s="2" t="str">
        <f>IFERROR(__xludf.DUMMYFUNCTION("""COMPUTED_VALUE"""),"661-22294")</f>
        <v>661-22294</v>
      </c>
      <c r="E2066" s="2" t="str">
        <f>IFERROR(__xludf.DUMMYFUNCTION("""COMPUTED_VALUE"""),"Battery, iPhone 13 Pro Max")</f>
        <v>Battery, iPhone 13 Pro Max</v>
      </c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>
      <c r="A2067" s="10" t="str">
        <f t="shared" si="1"/>
        <v>January</v>
      </c>
      <c r="B2067" s="11">
        <f>IFERROR(__xludf.DUMMYFUNCTION("""COMPUTED_VALUE"""),46046.0)</f>
        <v>46046</v>
      </c>
      <c r="C2067" s="2" t="str">
        <f>IFERROR(__xludf.DUMMYFUNCTION("""COMPUTED_VALUE"""),"MOBILECARE - VERTIS NORTH")</f>
        <v>MOBILECARE - VERTIS NORTH</v>
      </c>
      <c r="D2067" s="2" t="str">
        <f>IFERROR(__xludf.DUMMYFUNCTION("""COMPUTED_VALUE"""),"661-18428")</f>
        <v>661-18428</v>
      </c>
      <c r="E2067" s="2" t="str">
        <f>IFERROR(__xludf.DUMMYFUNCTION("""COMPUTED_VALUE"""),"Battery, iPhone 12 Pro Max")</f>
        <v>Battery, iPhone 12 Pro Max</v>
      </c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>
      <c r="A2068" s="10" t="str">
        <f t="shared" si="1"/>
        <v>June</v>
      </c>
      <c r="B2068" s="11">
        <f>IFERROR(__xludf.DUMMYFUNCTION("""COMPUTED_VALUE"""),46189.0)</f>
        <v>46189</v>
      </c>
      <c r="C2068" s="2" t="str">
        <f>IFERROR(__xludf.DUMMYFUNCTION("""COMPUTED_VALUE"""),"MOBILECARE - VERTIS NORTH")</f>
        <v>MOBILECARE - VERTIS NORTH</v>
      </c>
      <c r="D2068" s="2" t="str">
        <f>IFERROR(__xludf.DUMMYFUNCTION("""COMPUTED_VALUE"""),"661-21991")</f>
        <v>661-21991</v>
      </c>
      <c r="E2068" s="2" t="str">
        <f>IFERROR(__xludf.DUMMYFUNCTION("""COMPUTED_VALUE"""),"Battery, iPhone 13")</f>
        <v>Battery, iPhone 13</v>
      </c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>
      <c r="A2069" s="10" t="str">
        <f t="shared" si="1"/>
        <v>June</v>
      </c>
      <c r="B2069" s="11">
        <f>IFERROR(__xludf.DUMMYFUNCTION("""COMPUTED_VALUE"""),46188.0)</f>
        <v>46188</v>
      </c>
      <c r="C2069" s="2" t="str">
        <f>IFERROR(__xludf.DUMMYFUNCTION("""COMPUTED_VALUE"""),"MOBILECARE - VERTIS NORTH")</f>
        <v>MOBILECARE - VERTIS NORTH</v>
      </c>
      <c r="D2069" s="2" t="str">
        <f>IFERROR(__xludf.DUMMYFUNCTION("""COMPUTED_VALUE"""),"661-36918")</f>
        <v>661-36918</v>
      </c>
      <c r="E2069" s="2" t="str">
        <f>IFERROR(__xludf.DUMMYFUNCTION("""COMPUTED_VALUE"""),"Battery, iPhone 15 Pro Max")</f>
        <v>Battery, iPhone 15 Pro Max</v>
      </c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>
      <c r="A2070" s="10" t="str">
        <f t="shared" si="1"/>
        <v>June</v>
      </c>
      <c r="B2070" s="11">
        <f>IFERROR(__xludf.DUMMYFUNCTION("""COMPUTED_VALUE"""),46183.0)</f>
        <v>46183</v>
      </c>
      <c r="C2070" s="2" t="str">
        <f>IFERROR(__xludf.DUMMYFUNCTION("""COMPUTED_VALUE"""),"MOBILECARE - VERTIS NORTH")</f>
        <v>MOBILECARE - VERTIS NORTH</v>
      </c>
      <c r="D2070" s="2" t="str">
        <f>IFERROR(__xludf.DUMMYFUNCTION("""COMPUTED_VALUE"""),"661-56065")</f>
        <v>661-56065</v>
      </c>
      <c r="E2070" s="2" t="str">
        <f>IFERROR(__xludf.DUMMYFUNCTION("""COMPUTED_VALUE"""),"Display, iPhone 17")</f>
        <v>Display, iPhone 17</v>
      </c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>
      <c r="A2071" s="10" t="str">
        <f t="shared" si="1"/>
        <v>June</v>
      </c>
      <c r="B2071" s="11">
        <f>IFERROR(__xludf.DUMMYFUNCTION("""COMPUTED_VALUE"""),46185.0)</f>
        <v>46185</v>
      </c>
      <c r="C2071" s="2" t="str">
        <f>IFERROR(__xludf.DUMMYFUNCTION("""COMPUTED_VALUE"""),"MOBILECARE - VERTIS NORTH")</f>
        <v>MOBILECARE - VERTIS NORTH</v>
      </c>
      <c r="D2071" s="2" t="str">
        <f>IFERROR(__xludf.DUMMYFUNCTION("""COMPUTED_VALUE"""),"661-30382")</f>
        <v>661-30382</v>
      </c>
      <c r="E2071" s="2" t="str">
        <f>IFERROR(__xludf.DUMMYFUNCTION("""COMPUTED_VALUE"""),"Battery, iPhone 14 Pro")</f>
        <v>Battery, iPhone 14 Pro</v>
      </c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>
      <c r="A2072" s="10" t="str">
        <f t="shared" si="1"/>
        <v>May</v>
      </c>
      <c r="B2072" s="11">
        <f>IFERROR(__xludf.DUMMYFUNCTION("""COMPUTED_VALUE"""),46168.0)</f>
        <v>46168</v>
      </c>
      <c r="C2072" s="2" t="str">
        <f>IFERROR(__xludf.DUMMYFUNCTION("""COMPUTED_VALUE"""),"MOBILECARE - VERTIS NORTH")</f>
        <v>MOBILECARE - VERTIS NORTH</v>
      </c>
      <c r="D2072" s="2" t="str">
        <f>IFERROR(__xludf.DUMMYFUNCTION("""COMPUTED_VALUE"""),"661-44955")</f>
        <v>661-44955</v>
      </c>
      <c r="E2072" s="2" t="str">
        <f>IFERROR(__xludf.DUMMYFUNCTION("""COMPUTED_VALUE"""),"Display, iPhone 16 Pro Max")</f>
        <v>Display, iPhone 16 Pro Max</v>
      </c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>
      <c r="A2073" s="10" t="str">
        <f t="shared" si="1"/>
        <v>June</v>
      </c>
      <c r="B2073" s="11">
        <f>IFERROR(__xludf.DUMMYFUNCTION("""COMPUTED_VALUE"""),46192.0)</f>
        <v>46192</v>
      </c>
      <c r="C2073" s="2" t="str">
        <f>IFERROR(__xludf.DUMMYFUNCTION("""COMPUTED_VALUE"""),"MOBILECARE - VERTIS NORTH")</f>
        <v>MOBILECARE - VERTIS NORTH</v>
      </c>
      <c r="D2073" s="2" t="str">
        <f>IFERROR(__xludf.DUMMYFUNCTION("""COMPUTED_VALUE"""),"661-56050")</f>
        <v>661-56050</v>
      </c>
      <c r="E2073" s="2" t="str">
        <f>IFERROR(__xludf.DUMMYFUNCTION("""COMPUTED_VALUE"""),"Display, iPhone 17 Pro Max")</f>
        <v>Display, iPhone 17 Pro Max</v>
      </c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>
      <c r="A2074" s="10" t="str">
        <f t="shared" si="1"/>
        <v>June</v>
      </c>
      <c r="B2074" s="11">
        <f>IFERROR(__xludf.DUMMYFUNCTION("""COMPUTED_VALUE"""),46192.0)</f>
        <v>46192</v>
      </c>
      <c r="C2074" s="2" t="str">
        <f>IFERROR(__xludf.DUMMYFUNCTION("""COMPUTED_VALUE"""),"MOBILECARE - VERTIS NORTH")</f>
        <v>MOBILECARE - VERTIS NORTH</v>
      </c>
      <c r="D2074" s="2" t="str">
        <f>IFERROR(__xludf.DUMMYFUNCTION("""COMPUTED_VALUE"""),"Z661-55956")</f>
        <v>Z661-55956</v>
      </c>
      <c r="E2074" s="2" t="str">
        <f>IFERROR(__xludf.DUMMYFUNCTION("""COMPUTED_VALUE"""),"Logic Board, 256GB, iPhone 17 Pro Max, ROW")</f>
        <v>Logic Board, 256GB, iPhone 17 Pro Max, ROW</v>
      </c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>
      <c r="A2075" s="10" t="str">
        <f t="shared" si="1"/>
        <v>June</v>
      </c>
      <c r="B2075" s="11">
        <f>IFERROR(__xludf.DUMMYFUNCTION("""COMPUTED_VALUE"""),46191.0)</f>
        <v>46191</v>
      </c>
      <c r="C2075" s="2" t="str">
        <f>IFERROR(__xludf.DUMMYFUNCTION("""COMPUTED_VALUE"""),"MOBILECARE - VERTIS NORTH")</f>
        <v>MOBILECARE - VERTIS NORTH</v>
      </c>
      <c r="D2075" s="2" t="str">
        <f>IFERROR(__xludf.DUMMYFUNCTION("""COMPUTED_VALUE"""),"PP661-29408")</f>
        <v>PP661-29408</v>
      </c>
      <c r="E2075" s="2" t="str">
        <f>IFERROR(__xludf.DUMMYFUNCTION("""COMPUTED_VALUE"""),"Midnight, iPhone 14 Plus, 256GB, ROW, CI/AR, Philippines")</f>
        <v>Midnight, iPhone 14 Plus, 256GB, ROW, CI/AR, Philippines</v>
      </c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>
      <c r="A2076" s="10" t="str">
        <f t="shared" si="1"/>
        <v>June</v>
      </c>
      <c r="B2076" s="11">
        <f>IFERROR(__xludf.DUMMYFUNCTION("""COMPUTED_VALUE"""),46175.0)</f>
        <v>46175</v>
      </c>
      <c r="C2076" s="2" t="str">
        <f>IFERROR(__xludf.DUMMYFUNCTION("""COMPUTED_VALUE"""),"MOBILECARE - VERTIS NORTH")</f>
        <v>MOBILECARE - VERTIS NORTH</v>
      </c>
      <c r="D2076" s="2" t="str">
        <f>IFERROR(__xludf.DUMMYFUNCTION("""COMPUTED_VALUE"""),"661-21991")</f>
        <v>661-21991</v>
      </c>
      <c r="E2076" s="2" t="str">
        <f>IFERROR(__xludf.DUMMYFUNCTION("""COMPUTED_VALUE"""),"Battery, iPhone 13")</f>
        <v>Battery, iPhone 13</v>
      </c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>
      <c r="A2077" s="10" t="str">
        <f t="shared" si="1"/>
        <v>April</v>
      </c>
      <c r="B2077" s="11">
        <f>IFERROR(__xludf.DUMMYFUNCTION("""COMPUTED_VALUE"""),46137.0)</f>
        <v>46137</v>
      </c>
      <c r="C2077" s="2" t="str">
        <f>IFERROR(__xludf.DUMMYFUNCTION("""COMPUTED_VALUE"""),"MOBILECARE - VERTIS NORTH")</f>
        <v>MOBILECARE - VERTIS NORTH</v>
      </c>
      <c r="D2077" s="2" t="str">
        <f>IFERROR(__xludf.DUMMYFUNCTION("""COMPUTED_VALUE"""),"661-56127")</f>
        <v>661-56127</v>
      </c>
      <c r="E2077" s="2" t="str">
        <f>IFERROR(__xludf.DUMMYFUNCTION("""COMPUTED_VALUE"""),"Camera, iPhone 17 Pro")</f>
        <v>Camera, iPhone 17 Pro</v>
      </c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>
      <c r="A2078" s="10" t="str">
        <f t="shared" si="1"/>
        <v>April</v>
      </c>
      <c r="B2078" s="11">
        <f>IFERROR(__xludf.DUMMYFUNCTION("""COMPUTED_VALUE"""),46134.0)</f>
        <v>46134</v>
      </c>
      <c r="C2078" s="2" t="str">
        <f>IFERROR(__xludf.DUMMYFUNCTION("""COMPUTED_VALUE"""),"MOBILECARE - VERTIS NORTH")</f>
        <v>MOBILECARE - VERTIS NORTH</v>
      </c>
      <c r="D2078" s="2" t="str">
        <f>IFERROR(__xludf.DUMMYFUNCTION("""COMPUTED_VALUE"""),"661-22309")</f>
        <v>661-22309</v>
      </c>
      <c r="E2078" s="2" t="str">
        <f>IFERROR(__xludf.DUMMYFUNCTION("""COMPUTED_VALUE"""),"Display, iPhone 13 Pro Max")</f>
        <v>Display, iPhone 13 Pro Max</v>
      </c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>
      <c r="A2079" s="10" t="str">
        <f t="shared" si="1"/>
        <v>April</v>
      </c>
      <c r="B2079" s="11">
        <f>IFERROR(__xludf.DUMMYFUNCTION("""COMPUTED_VALUE"""),46123.0)</f>
        <v>46123</v>
      </c>
      <c r="C2079" s="2" t="str">
        <f>IFERROR(__xludf.DUMMYFUNCTION("""COMPUTED_VALUE"""),"MOBILECARE - VERTIS NORTH")</f>
        <v>MOBILECARE - VERTIS NORTH</v>
      </c>
      <c r="D2079" s="2" t="str">
        <f>IFERROR(__xludf.DUMMYFUNCTION("""COMPUTED_VALUE"""),"661-56127")</f>
        <v>661-56127</v>
      </c>
      <c r="E2079" s="2" t="str">
        <f>IFERROR(__xludf.DUMMYFUNCTION("""COMPUTED_VALUE"""),"Camera, iPhone 17 Pro")</f>
        <v>Camera, iPhone 17 Pro</v>
      </c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>
      <c r="A2080" s="10" t="str">
        <f t="shared" si="1"/>
        <v>March</v>
      </c>
      <c r="B2080" s="11">
        <f>IFERROR(__xludf.DUMMYFUNCTION("""COMPUTED_VALUE"""),46102.0)</f>
        <v>46102</v>
      </c>
      <c r="C2080" s="2" t="str">
        <f>IFERROR(__xludf.DUMMYFUNCTION("""COMPUTED_VALUE"""),"MOBILECARE - VERTIS NORTH")</f>
        <v>MOBILECARE - VERTIS NORTH</v>
      </c>
      <c r="D2080" s="2" t="str">
        <f>IFERROR(__xludf.DUMMYFUNCTION("""COMPUTED_VALUE"""),"661-21991")</f>
        <v>661-21991</v>
      </c>
      <c r="E2080" s="2" t="str">
        <f>IFERROR(__xludf.DUMMYFUNCTION("""COMPUTED_VALUE"""),"Battery, iPhone 13")</f>
        <v>Battery, iPhone 13</v>
      </c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>
      <c r="A2081" s="10" t="str">
        <f t="shared" si="1"/>
        <v>March</v>
      </c>
      <c r="B2081" s="11">
        <f>IFERROR(__xludf.DUMMYFUNCTION("""COMPUTED_VALUE"""),46095.0)</f>
        <v>46095</v>
      </c>
      <c r="C2081" s="2" t="str">
        <f>IFERROR(__xludf.DUMMYFUNCTION("""COMPUTED_VALUE"""),"MOBILECARE - VERTIS NORTH")</f>
        <v>MOBILECARE - VERTIS NORTH</v>
      </c>
      <c r="D2081" s="2" t="str">
        <f>IFERROR(__xludf.DUMMYFUNCTION("""COMPUTED_VALUE"""),"661-22294")</f>
        <v>661-22294</v>
      </c>
      <c r="E2081" s="2" t="str">
        <f>IFERROR(__xludf.DUMMYFUNCTION("""COMPUTED_VALUE"""),"Battery, iPhone 13 Pro Max")</f>
        <v>Battery, iPhone 13 Pro Max</v>
      </c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>
      <c r="A2082" s="10" t="str">
        <f t="shared" si="1"/>
        <v>March</v>
      </c>
      <c r="B2082" s="11">
        <f>IFERROR(__xludf.DUMMYFUNCTION("""COMPUTED_VALUE"""),46082.0)</f>
        <v>46082</v>
      </c>
      <c r="C2082" s="2" t="str">
        <f>IFERROR(__xludf.DUMMYFUNCTION("""COMPUTED_VALUE"""),"MOBILECARE - VERTIS NORTH")</f>
        <v>MOBILECARE - VERTIS NORTH</v>
      </c>
      <c r="D2082" s="2" t="str">
        <f>IFERROR(__xludf.DUMMYFUNCTION("""COMPUTED_VALUE"""),"661-13574")</f>
        <v>661-13574</v>
      </c>
      <c r="E2082" s="2" t="str">
        <f>IFERROR(__xludf.DUMMYFUNCTION("""COMPUTED_VALUE"""),"Battery, iPhone 11")</f>
        <v>Battery, iPhone 11</v>
      </c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>
      <c r="A2083" s="10" t="str">
        <f t="shared" si="1"/>
        <v>February</v>
      </c>
      <c r="B2083" s="11">
        <f>IFERROR(__xludf.DUMMYFUNCTION("""COMPUTED_VALUE"""),46076.0)</f>
        <v>46076</v>
      </c>
      <c r="C2083" s="2" t="str">
        <f>IFERROR(__xludf.DUMMYFUNCTION("""COMPUTED_VALUE"""),"MOBILECARE - VERTIS NORTH")</f>
        <v>MOBILECARE - VERTIS NORTH</v>
      </c>
      <c r="D2083" s="2" t="str">
        <f>IFERROR(__xludf.DUMMYFUNCTION("""COMPUTED_VALUE"""),"661-21991")</f>
        <v>661-21991</v>
      </c>
      <c r="E2083" s="2" t="str">
        <f>IFERROR(__xludf.DUMMYFUNCTION("""COMPUTED_VALUE"""),"Battery, iPhone 13")</f>
        <v>Battery, iPhone 13</v>
      </c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>
      <c r="A2084" s="10" t="str">
        <f t="shared" si="1"/>
        <v>February</v>
      </c>
      <c r="B2084" s="11">
        <f>IFERROR(__xludf.DUMMYFUNCTION("""COMPUTED_VALUE"""),46063.0)</f>
        <v>46063</v>
      </c>
      <c r="C2084" s="2" t="str">
        <f>IFERROR(__xludf.DUMMYFUNCTION("""COMPUTED_VALUE"""),"MOBILECARE - VERTIS NORTH")</f>
        <v>MOBILECARE - VERTIS NORTH</v>
      </c>
      <c r="D2084" s="2" t="str">
        <f>IFERROR(__xludf.DUMMYFUNCTION("""COMPUTED_VALUE"""),"661-37207")</f>
        <v>661-37207</v>
      </c>
      <c r="E2084" s="2" t="str">
        <f>IFERROR(__xludf.DUMMYFUNCTION("""COMPUTED_VALUE"""),"Battery, iPhone 15 Plus")</f>
        <v>Battery, iPhone 15 Plus</v>
      </c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>
      <c r="A2085" s="10" t="str">
        <f t="shared" si="1"/>
        <v>January</v>
      </c>
      <c r="B2085" s="11">
        <f>IFERROR(__xludf.DUMMYFUNCTION("""COMPUTED_VALUE"""),46046.0)</f>
        <v>46046</v>
      </c>
      <c r="C2085" s="2" t="str">
        <f>IFERROR(__xludf.DUMMYFUNCTION("""COMPUTED_VALUE"""),"MOBILECARE - VERTIS NORTH")</f>
        <v>MOBILECARE - VERTIS NORTH</v>
      </c>
      <c r="D2085" s="2" t="str">
        <f>IFERROR(__xludf.DUMMYFUNCTION("""COMPUTED_VALUE"""),"661-30401")</f>
        <v>661-30401</v>
      </c>
      <c r="E2085" s="2" t="str">
        <f>IFERROR(__xludf.DUMMYFUNCTION("""COMPUTED_VALUE"""),"Display, iPhone 14 Pro Max")</f>
        <v>Display, iPhone 14 Pro Max</v>
      </c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>
      <c r="A2086" s="10" t="str">
        <f t="shared" si="1"/>
        <v>January</v>
      </c>
      <c r="B2086" s="11">
        <f>IFERROR(__xludf.DUMMYFUNCTION("""COMPUTED_VALUE"""),46036.0)</f>
        <v>46036</v>
      </c>
      <c r="C2086" s="2" t="str">
        <f>IFERROR(__xludf.DUMMYFUNCTION("""COMPUTED_VALUE"""),"MOBILECARE - VERTIS NORTH")</f>
        <v>MOBILECARE - VERTIS NORTH</v>
      </c>
      <c r="D2086" s="2" t="str">
        <f>IFERROR(__xludf.DUMMYFUNCTION("""COMPUTED_VALUE"""),"661-21988")</f>
        <v>661-21988</v>
      </c>
      <c r="E2086" s="2" t="str">
        <f>IFERROR(__xludf.DUMMYFUNCTION("""COMPUTED_VALUE"""),"Display, iPhone 13")</f>
        <v>Display, iPhone 13</v>
      </c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>
      <c r="A2087" s="10" t="str">
        <f t="shared" si="1"/>
        <v>January</v>
      </c>
      <c r="B2087" s="11">
        <f>IFERROR(__xludf.DUMMYFUNCTION("""COMPUTED_VALUE"""),46042.0)</f>
        <v>46042</v>
      </c>
      <c r="C2087" s="2" t="str">
        <f>IFERROR(__xludf.DUMMYFUNCTION("""COMPUTED_VALUE"""),"MOBILECARE - VERTIS NORTH")</f>
        <v>MOBILECARE - VERTIS NORTH</v>
      </c>
      <c r="D2087" s="2" t="str">
        <f>IFERROR(__xludf.DUMMYFUNCTION("""COMPUTED_VALUE"""),"661-30382")</f>
        <v>661-30382</v>
      </c>
      <c r="E2087" s="2" t="str">
        <f>IFERROR(__xludf.DUMMYFUNCTION("""COMPUTED_VALUE"""),"Battery, iPhone 14 Pro")</f>
        <v>Battery, iPhone 14 Pro</v>
      </c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>
      <c r="A2088" s="10" t="str">
        <f t="shared" si="1"/>
        <v>June</v>
      </c>
      <c r="B2088" s="11">
        <f>IFERROR(__xludf.DUMMYFUNCTION("""COMPUTED_VALUE"""),46176.0)</f>
        <v>46176</v>
      </c>
      <c r="C2088" s="2" t="str">
        <f>IFERROR(__xludf.DUMMYFUNCTION("""COMPUTED_VALUE"""),"MOBILECARE - VERTIS NORTH")</f>
        <v>MOBILECARE - VERTIS NORTH</v>
      </c>
      <c r="D2088" s="2" t="str">
        <f>IFERROR(__xludf.DUMMYFUNCTION("""COMPUTED_VALUE"""),"661-21991")</f>
        <v>661-21991</v>
      </c>
      <c r="E2088" s="2" t="str">
        <f>IFERROR(__xludf.DUMMYFUNCTION("""COMPUTED_VALUE"""),"Battery, iPhone 13")</f>
        <v>Battery, iPhone 13</v>
      </c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>
      <c r="A2089" s="10" t="str">
        <f t="shared" si="1"/>
        <v>May</v>
      </c>
      <c r="B2089" s="11">
        <f>IFERROR(__xludf.DUMMYFUNCTION("""COMPUTED_VALUE"""),46158.0)</f>
        <v>46158</v>
      </c>
      <c r="C2089" s="2" t="str">
        <f>IFERROR(__xludf.DUMMYFUNCTION("""COMPUTED_VALUE"""),"MOBILECARE - VERTIS NORTH")</f>
        <v>MOBILECARE - VERTIS NORTH</v>
      </c>
      <c r="D2089" s="2" t="str">
        <f>IFERROR(__xludf.DUMMYFUNCTION("""COMPUTED_VALUE"""),"661-21996")</f>
        <v>661-21996</v>
      </c>
      <c r="E2089" s="2" t="str">
        <f>IFERROR(__xludf.DUMMYFUNCTION("""COMPUTED_VALUE"""),"Battery, iPhone 13 Pro")</f>
        <v>Battery, iPhone 13 Pro</v>
      </c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>
      <c r="A2090" s="10" t="str">
        <f t="shared" si="1"/>
        <v>June</v>
      </c>
      <c r="B2090" s="11">
        <f>IFERROR(__xludf.DUMMYFUNCTION("""COMPUTED_VALUE"""),46178.0)</f>
        <v>46178</v>
      </c>
      <c r="C2090" s="2" t="str">
        <f>IFERROR(__xludf.DUMMYFUNCTION("""COMPUTED_VALUE"""),"MOBILECARE - VERTIS NORTH")</f>
        <v>MOBILECARE - VERTIS NORTH</v>
      </c>
      <c r="D2090" s="2" t="str">
        <f>IFERROR(__xludf.DUMMYFUNCTION("""COMPUTED_VALUE"""),"Z661-56015")</f>
        <v>Z661-56015</v>
      </c>
      <c r="E2090" s="2" t="str">
        <f>IFERROR(__xludf.DUMMYFUNCTION("""COMPUTED_VALUE"""),"Logic Board, 256GB, iPhone 17, ROW")</f>
        <v>Logic Board, 256GB, iPhone 17, ROW</v>
      </c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>
      <c r="A2091" s="10" t="str">
        <f t="shared" si="1"/>
        <v>April</v>
      </c>
      <c r="B2091" s="11">
        <f>IFERROR(__xludf.DUMMYFUNCTION("""COMPUTED_VALUE"""),46141.0)</f>
        <v>46141</v>
      </c>
      <c r="C2091" s="2" t="str">
        <f>IFERROR(__xludf.DUMMYFUNCTION("""COMPUTED_VALUE"""),"MOBILECARE - VERTIS NORTH")</f>
        <v>MOBILECARE - VERTIS NORTH</v>
      </c>
      <c r="D2091" s="2" t="str">
        <f>IFERROR(__xludf.DUMMYFUNCTION("""COMPUTED_VALUE"""),"661-44956")</f>
        <v>661-44956</v>
      </c>
      <c r="E2091" s="2" t="str">
        <f>IFERROR(__xludf.DUMMYFUNCTION("""COMPUTED_VALUE"""),"TrueDepth Camera, iPhone 16 Pro Max")</f>
        <v>TrueDepth Camera, iPhone 16 Pro Max</v>
      </c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>
      <c r="A2092" s="10" t="str">
        <f t="shared" si="1"/>
        <v>April</v>
      </c>
      <c r="B2092" s="11">
        <f>IFERROR(__xludf.DUMMYFUNCTION("""COMPUTED_VALUE"""),46133.0)</f>
        <v>46133</v>
      </c>
      <c r="C2092" s="2" t="str">
        <f>IFERROR(__xludf.DUMMYFUNCTION("""COMPUTED_VALUE"""),"MOBILECARE - VERTIS NORTH")</f>
        <v>MOBILECARE - VERTIS NORTH</v>
      </c>
      <c r="D2092" s="2" t="str">
        <f>IFERROR(__xludf.DUMMYFUNCTION("""COMPUTED_VALUE"""),"661-30382")</f>
        <v>661-30382</v>
      </c>
      <c r="E2092" s="2" t="str">
        <f>IFERROR(__xludf.DUMMYFUNCTION("""COMPUTED_VALUE"""),"Battery, iPhone 14 Pro")</f>
        <v>Battery, iPhone 14 Pro</v>
      </c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>
      <c r="A2093" s="10" t="str">
        <f t="shared" si="1"/>
        <v>April</v>
      </c>
      <c r="B2093" s="11">
        <f>IFERROR(__xludf.DUMMYFUNCTION("""COMPUTED_VALUE"""),46133.0)</f>
        <v>46133</v>
      </c>
      <c r="C2093" s="2" t="str">
        <f>IFERROR(__xludf.DUMMYFUNCTION("""COMPUTED_VALUE"""),"MOBILECARE - VERTIS NORTH")</f>
        <v>MOBILECARE - VERTIS NORTH</v>
      </c>
      <c r="D2093" s="2" t="str">
        <f>IFERROR(__xludf.DUMMYFUNCTION("""COMPUTED_VALUE"""),"661-29370")</f>
        <v>661-29370</v>
      </c>
      <c r="E2093" s="2" t="str">
        <f>IFERROR(__xludf.DUMMYFUNCTION("""COMPUTED_VALUE"""),"Display, iPhone 14 Pro")</f>
        <v>Display, iPhone 14 Pro</v>
      </c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>
      <c r="A2094" s="10" t="str">
        <f t="shared" si="1"/>
        <v>February</v>
      </c>
      <c r="B2094" s="11">
        <f>IFERROR(__xludf.DUMMYFUNCTION("""COMPUTED_VALUE"""),46060.0)</f>
        <v>46060</v>
      </c>
      <c r="C2094" s="2" t="str">
        <f>IFERROR(__xludf.DUMMYFUNCTION("""COMPUTED_VALUE"""),"MOBILECARE - VERTIS NORTH")</f>
        <v>MOBILECARE - VERTIS NORTH</v>
      </c>
      <c r="D2094" s="2" t="str">
        <f>IFERROR(__xludf.DUMMYFUNCTION("""COMPUTED_VALUE"""),"661-42726")</f>
        <v>661-42726</v>
      </c>
      <c r="E2094" s="2" t="str">
        <f>IFERROR(__xludf.DUMMYFUNCTION("""COMPUTED_VALUE"""),"Display, iPhone 16 Pro")</f>
        <v>Display, iPhone 16 Pro</v>
      </c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>
      <c r="A2095" s="10" t="str">
        <f t="shared" si="1"/>
        <v>January</v>
      </c>
      <c r="B2095" s="11">
        <f>IFERROR(__xludf.DUMMYFUNCTION("""COMPUTED_VALUE"""),46049.0)</f>
        <v>46049</v>
      </c>
      <c r="C2095" s="2" t="str">
        <f>IFERROR(__xludf.DUMMYFUNCTION("""COMPUTED_VALUE"""),"MOBILECARE - VERTIS NORTH")</f>
        <v>MOBILECARE - VERTIS NORTH</v>
      </c>
      <c r="D2095" s="2" t="str">
        <f>IFERROR(__xludf.DUMMYFUNCTION("""COMPUTED_VALUE"""),"661-36918")</f>
        <v>661-36918</v>
      </c>
      <c r="E2095" s="2" t="str">
        <f>IFERROR(__xludf.DUMMYFUNCTION("""COMPUTED_VALUE"""),"Battery, iPhone 15 Pro Max")</f>
        <v>Battery, iPhone 15 Pro Max</v>
      </c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>
      <c r="A2096" s="10" t="str">
        <f t="shared" si="1"/>
        <v>January</v>
      </c>
      <c r="B2096" s="11">
        <f>IFERROR(__xludf.DUMMYFUNCTION("""COMPUTED_VALUE"""),46039.0)</f>
        <v>46039</v>
      </c>
      <c r="C2096" s="2" t="str">
        <f>IFERROR(__xludf.DUMMYFUNCTION("""COMPUTED_VALUE"""),"MOBILECARE - VERTIS NORTH")</f>
        <v>MOBILECARE - VERTIS NORTH</v>
      </c>
      <c r="D2096" s="2" t="str">
        <f>IFERROR(__xludf.DUMMYFUNCTION("""COMPUTED_VALUE"""),"661-30366")</f>
        <v>661-30366</v>
      </c>
      <c r="E2096" s="2" t="str">
        <f>IFERROR(__xludf.DUMMYFUNCTION("""COMPUTED_VALUE"""),"Display, iPhone 14")</f>
        <v>Display, iPhone 14</v>
      </c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>
      <c r="A2097" s="10" t="str">
        <f t="shared" si="1"/>
        <v>June</v>
      </c>
      <c r="B2097" s="11">
        <f>IFERROR(__xludf.DUMMYFUNCTION("""COMPUTED_VALUE"""),46182.0)</f>
        <v>46182</v>
      </c>
      <c r="C2097" s="2" t="str">
        <f>IFERROR(__xludf.DUMMYFUNCTION("""COMPUTED_VALUE"""),"MOBILECARE - VERTIS NORTH")</f>
        <v>MOBILECARE - VERTIS NORTH</v>
      </c>
      <c r="D2097" s="2" t="str">
        <f>IFERROR(__xludf.DUMMYFUNCTION("""COMPUTED_VALUE"""),"661-18466")</f>
        <v>661-18466</v>
      </c>
      <c r="E2097" s="2" t="str">
        <f>IFERROR(__xludf.DUMMYFUNCTION("""COMPUTED_VALUE"""),"Display, iPhone 12 Pro Max")</f>
        <v>Display, iPhone 12 Pro Max</v>
      </c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>
      <c r="A2098" s="10" t="str">
        <f t="shared" si="1"/>
        <v>June</v>
      </c>
      <c r="B2098" s="11">
        <f>IFERROR(__xludf.DUMMYFUNCTION("""COMPUTED_VALUE"""),46178.0)</f>
        <v>46178</v>
      </c>
      <c r="C2098" s="2" t="str">
        <f>IFERROR(__xludf.DUMMYFUNCTION("""COMPUTED_VALUE"""),"MOBILECARE - VERTIS NORTH")</f>
        <v>MOBILECARE - VERTIS NORTH</v>
      </c>
      <c r="D2098" s="2" t="str">
        <f>IFERROR(__xludf.DUMMYFUNCTION("""COMPUTED_VALUE"""),"661-56067")</f>
        <v>661-56067</v>
      </c>
      <c r="E2098" s="2" t="str">
        <f>IFERROR(__xludf.DUMMYFUNCTION("""COMPUTED_VALUE"""),"Camera, iPhone 17")</f>
        <v>Camera, iPhone 17</v>
      </c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>
      <c r="A2099" s="10" t="str">
        <f t="shared" si="1"/>
        <v>June</v>
      </c>
      <c r="B2099" s="11">
        <f>IFERROR(__xludf.DUMMYFUNCTION("""COMPUTED_VALUE"""),46178.0)</f>
        <v>46178</v>
      </c>
      <c r="C2099" s="2" t="str">
        <f>IFERROR(__xludf.DUMMYFUNCTION("""COMPUTED_VALUE"""),"MOBILECARE - VERTIS NORTH")</f>
        <v>MOBILECARE - VERTIS NORTH</v>
      </c>
      <c r="D2099" s="2" t="str">
        <f>IFERROR(__xludf.DUMMYFUNCTION("""COMPUTED_VALUE"""),"661-56066")</f>
        <v>661-56066</v>
      </c>
      <c r="E2099" s="2" t="str">
        <f>IFERROR(__xludf.DUMMYFUNCTION("""COMPUTED_VALUE"""),"Front Camera, iPhone 17")</f>
        <v>Front Camera, iPhone 17</v>
      </c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>
      <c r="A2100" s="10" t="str">
        <f t="shared" si="1"/>
        <v>June</v>
      </c>
      <c r="B2100" s="11">
        <f>IFERROR(__xludf.DUMMYFUNCTION("""COMPUTED_VALUE"""),46186.0)</f>
        <v>46186</v>
      </c>
      <c r="C2100" s="2" t="str">
        <f>IFERROR(__xludf.DUMMYFUNCTION("""COMPUTED_VALUE"""),"MOBILECARE - VERTIS NORTH")</f>
        <v>MOBILECARE - VERTIS NORTH</v>
      </c>
      <c r="D2100" s="2" t="str">
        <f>IFERROR(__xludf.DUMMYFUNCTION("""COMPUTED_VALUE"""),"Z661-55846")</f>
        <v>Z661-55846</v>
      </c>
      <c r="E2100" s="2" t="str">
        <f>IFERROR(__xludf.DUMMYFUNCTION("""COMPUTED_VALUE"""),"Logic Board, 256GB, iPhone Air, ROW")</f>
        <v>Logic Board, 256GB, iPhone Air, ROW</v>
      </c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>
      <c r="A2101" s="10" t="str">
        <f t="shared" si="1"/>
        <v>May</v>
      </c>
      <c r="B2101" s="11">
        <f>IFERROR(__xludf.DUMMYFUNCTION("""COMPUTED_VALUE"""),46144.0)</f>
        <v>46144</v>
      </c>
      <c r="C2101" s="2" t="str">
        <f>IFERROR(__xludf.DUMMYFUNCTION("""COMPUTED_VALUE"""),"MOBILECARE - VERTIS NORTH")</f>
        <v>MOBILECARE - VERTIS NORTH</v>
      </c>
      <c r="D2101" s="2" t="str">
        <f>IFERROR(__xludf.DUMMYFUNCTION("""COMPUTED_VALUE"""),"661-30382")</f>
        <v>661-30382</v>
      </c>
      <c r="E2101" s="2" t="str">
        <f>IFERROR(__xludf.DUMMYFUNCTION("""COMPUTED_VALUE"""),"Battery, iPhone 14 Pro")</f>
        <v>Battery, iPhone 14 Pro</v>
      </c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>
      <c r="A2102" s="10" t="str">
        <f t="shared" si="1"/>
        <v>May</v>
      </c>
      <c r="B2102" s="11">
        <f>IFERROR(__xludf.DUMMYFUNCTION("""COMPUTED_VALUE"""),46144.0)</f>
        <v>46144</v>
      </c>
      <c r="C2102" s="2" t="str">
        <f>IFERROR(__xludf.DUMMYFUNCTION("""COMPUTED_VALUE"""),"MOBILECARE - VERTIS NORTH")</f>
        <v>MOBILECARE - VERTIS NORTH</v>
      </c>
      <c r="D2102" s="2" t="str">
        <f>IFERROR(__xludf.DUMMYFUNCTION("""COMPUTED_VALUE"""),"661-56064")</f>
        <v>661-56064</v>
      </c>
      <c r="E2102" s="2" t="str">
        <f>IFERROR(__xludf.DUMMYFUNCTION("""COMPUTED_VALUE"""),"Battery, iPhone 17")</f>
        <v>Battery, iPhone 17</v>
      </c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>
      <c r="A2103" s="10" t="str">
        <f t="shared" si="1"/>
        <v>March</v>
      </c>
      <c r="B2103" s="11">
        <f>IFERROR(__xludf.DUMMYFUNCTION("""COMPUTED_VALUE"""),46085.0)</f>
        <v>46085</v>
      </c>
      <c r="C2103" s="2" t="str">
        <f>IFERROR(__xludf.DUMMYFUNCTION("""COMPUTED_VALUE"""),"MOBILECARE - VERTIS NORTH")</f>
        <v>MOBILECARE - VERTIS NORTH</v>
      </c>
      <c r="D2103" s="2" t="str">
        <f>IFERROR(__xludf.DUMMYFUNCTION("""COMPUTED_VALUE"""),"661-21991")</f>
        <v>661-21991</v>
      </c>
      <c r="E2103" s="2" t="str">
        <f>IFERROR(__xludf.DUMMYFUNCTION("""COMPUTED_VALUE"""),"Battery, iPhone 13")</f>
        <v>Battery, iPhone 13</v>
      </c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>
      <c r="A2104" s="10" t="str">
        <f t="shared" si="1"/>
        <v>March</v>
      </c>
      <c r="B2104" s="11">
        <f>IFERROR(__xludf.DUMMYFUNCTION("""COMPUTED_VALUE"""),46084.0)</f>
        <v>46084</v>
      </c>
      <c r="C2104" s="2" t="str">
        <f>IFERROR(__xludf.DUMMYFUNCTION("""COMPUTED_VALUE"""),"MOBILECARE - VERTIS NORTH")</f>
        <v>MOBILECARE - VERTIS NORTH</v>
      </c>
      <c r="D2104" s="2" t="str">
        <f>IFERROR(__xludf.DUMMYFUNCTION("""COMPUTED_VALUE"""),"661-22309")</f>
        <v>661-22309</v>
      </c>
      <c r="E2104" s="2" t="str">
        <f>IFERROR(__xludf.DUMMYFUNCTION("""COMPUTED_VALUE"""),"Display, iPhone 13 Pro Max")</f>
        <v>Display, iPhone 13 Pro Max</v>
      </c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>
      <c r="A2105" s="10" t="str">
        <f t="shared" si="1"/>
        <v>March</v>
      </c>
      <c r="B2105" s="11">
        <f>IFERROR(__xludf.DUMMYFUNCTION("""COMPUTED_VALUE"""),46088.0)</f>
        <v>46088</v>
      </c>
      <c r="C2105" s="2" t="str">
        <f>IFERROR(__xludf.DUMMYFUNCTION("""COMPUTED_VALUE"""),"MOBILECARE - VERTIS NORTH")</f>
        <v>MOBILECARE - VERTIS NORTH</v>
      </c>
      <c r="D2105" s="2" t="str">
        <f>IFERROR(__xludf.DUMMYFUNCTION("""COMPUTED_VALUE"""),"661-56050")</f>
        <v>661-56050</v>
      </c>
      <c r="E2105" s="2" t="str">
        <f>IFERROR(__xludf.DUMMYFUNCTION("""COMPUTED_VALUE"""),"Display, iPhone 17 Pro Max")</f>
        <v>Display, iPhone 17 Pro Max</v>
      </c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>
      <c r="A2106" s="10" t="str">
        <f t="shared" si="1"/>
        <v>February</v>
      </c>
      <c r="B2106" s="11">
        <f>IFERROR(__xludf.DUMMYFUNCTION("""COMPUTED_VALUE"""),46070.0)</f>
        <v>46070</v>
      </c>
      <c r="C2106" s="2" t="str">
        <f>IFERROR(__xludf.DUMMYFUNCTION("""COMPUTED_VALUE"""),"MOBILECARE - VERTIS NORTH")</f>
        <v>MOBILECARE - VERTIS NORTH</v>
      </c>
      <c r="D2106" s="2" t="str">
        <f>IFERROR(__xludf.DUMMYFUNCTION("""COMPUTED_VALUE"""),"661-22294")</f>
        <v>661-22294</v>
      </c>
      <c r="E2106" s="2" t="str">
        <f>IFERROR(__xludf.DUMMYFUNCTION("""COMPUTED_VALUE"""),"Battery, iPhone 13 Pro Max")</f>
        <v>Battery, iPhone 13 Pro Max</v>
      </c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>
      <c r="A2107" s="10" t="str">
        <f t="shared" si="1"/>
        <v>January</v>
      </c>
      <c r="B2107" s="11">
        <f>IFERROR(__xludf.DUMMYFUNCTION("""COMPUTED_VALUE"""),46040.0)</f>
        <v>46040</v>
      </c>
      <c r="C2107" s="2" t="str">
        <f>IFERROR(__xludf.DUMMYFUNCTION("""COMPUTED_VALUE"""),"MOBILECARE - VERTIS NORTH")</f>
        <v>MOBILECARE - VERTIS NORTH</v>
      </c>
      <c r="D2107" s="2" t="str">
        <f>IFERROR(__xludf.DUMMYFUNCTION("""COMPUTED_VALUE"""),"661-21988")</f>
        <v>661-21988</v>
      </c>
      <c r="E2107" s="2" t="str">
        <f>IFERROR(__xludf.DUMMYFUNCTION("""COMPUTED_VALUE"""),"Display, iPhone 13")</f>
        <v>Display, iPhone 13</v>
      </c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>
      <c r="A2108" s="10" t="str">
        <f t="shared" si="1"/>
        <v>June</v>
      </c>
      <c r="B2108" s="11">
        <f>IFERROR(__xludf.DUMMYFUNCTION("""COMPUTED_VALUE"""),46191.0)</f>
        <v>46191</v>
      </c>
      <c r="C2108" s="2" t="str">
        <f>IFERROR(__xludf.DUMMYFUNCTION("""COMPUTED_VALUE"""),"MOBILECARE - VERTIS NORTH")</f>
        <v>MOBILECARE - VERTIS NORTH</v>
      </c>
      <c r="D2108" s="2" t="str">
        <f>IFERROR(__xludf.DUMMYFUNCTION("""COMPUTED_VALUE"""),"661-30397")</f>
        <v>661-30397</v>
      </c>
      <c r="E2108" s="2" t="str">
        <f>IFERROR(__xludf.DUMMYFUNCTION("""COMPUTED_VALUE"""),"Battery, iPhone 14 Pro Max")</f>
        <v>Battery, iPhone 14 Pro Max</v>
      </c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>
      <c r="A2109" s="10" t="str">
        <f t="shared" si="1"/>
        <v>June</v>
      </c>
      <c r="B2109" s="11">
        <f>IFERROR(__xludf.DUMMYFUNCTION("""COMPUTED_VALUE"""),46191.0)</f>
        <v>46191</v>
      </c>
      <c r="C2109" s="2" t="str">
        <f>IFERROR(__xludf.DUMMYFUNCTION("""COMPUTED_VALUE"""),"MOBILECARE - VERTIS NORTH")</f>
        <v>MOBILECARE - VERTIS NORTH</v>
      </c>
      <c r="D2109" s="2" t="str">
        <f>IFERROR(__xludf.DUMMYFUNCTION("""COMPUTED_VALUE"""),"661-42726")</f>
        <v>661-42726</v>
      </c>
      <c r="E2109" s="2" t="str">
        <f>IFERROR(__xludf.DUMMYFUNCTION("""COMPUTED_VALUE"""),"Display, iPhone 16 Pro")</f>
        <v>Display, iPhone 16 Pro</v>
      </c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>
      <c r="A2110" s="10" t="str">
        <f t="shared" si="1"/>
        <v>June</v>
      </c>
      <c r="B2110" s="11">
        <f>IFERROR(__xludf.DUMMYFUNCTION("""COMPUTED_VALUE"""),46185.0)</f>
        <v>46185</v>
      </c>
      <c r="C2110" s="2" t="str">
        <f>IFERROR(__xludf.DUMMYFUNCTION("""COMPUTED_VALUE"""),"MOBILECARE - VERTIS NORTH")</f>
        <v>MOBILECARE - VERTIS NORTH</v>
      </c>
      <c r="D2110" s="2" t="str">
        <f>IFERROR(__xludf.DUMMYFUNCTION("""COMPUTED_VALUE"""),"661-56065")</f>
        <v>661-56065</v>
      </c>
      <c r="E2110" s="2" t="str">
        <f>IFERROR(__xludf.DUMMYFUNCTION("""COMPUTED_VALUE"""),"Display, iPhone 17")</f>
        <v>Display, iPhone 17</v>
      </c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>
      <c r="A2111" s="10" t="str">
        <f t="shared" si="1"/>
        <v>June</v>
      </c>
      <c r="B2111" s="11">
        <f>IFERROR(__xludf.DUMMYFUNCTION("""COMPUTED_VALUE"""),46175.0)</f>
        <v>46175</v>
      </c>
      <c r="C2111" s="2" t="str">
        <f>IFERROR(__xludf.DUMMYFUNCTION("""COMPUTED_VALUE"""),"MOBILECARE - VERTIS NORTH")</f>
        <v>MOBILECARE - VERTIS NORTH</v>
      </c>
      <c r="D2111" s="2" t="str">
        <f>IFERROR(__xludf.DUMMYFUNCTION("""COMPUTED_VALUE"""),"661-21991")</f>
        <v>661-21991</v>
      </c>
      <c r="E2111" s="2" t="str">
        <f>IFERROR(__xludf.DUMMYFUNCTION("""COMPUTED_VALUE"""),"Battery, iPhone 13")</f>
        <v>Battery, iPhone 13</v>
      </c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>
      <c r="A2112" s="10" t="str">
        <f t="shared" si="1"/>
        <v>May</v>
      </c>
      <c r="B2112" s="11">
        <f>IFERROR(__xludf.DUMMYFUNCTION("""COMPUTED_VALUE"""),46164.0)</f>
        <v>46164</v>
      </c>
      <c r="C2112" s="2" t="str">
        <f>IFERROR(__xludf.DUMMYFUNCTION("""COMPUTED_VALUE"""),"MOBILECARE - VERTIS NORTH")</f>
        <v>MOBILECARE - VERTIS NORTH</v>
      </c>
      <c r="D2112" s="2" t="str">
        <f>IFERROR(__xludf.DUMMYFUNCTION("""COMPUTED_VALUE"""),"661-56049")</f>
        <v>661-56049</v>
      </c>
      <c r="E2112" s="2" t="str">
        <f>IFERROR(__xludf.DUMMYFUNCTION("""COMPUTED_VALUE"""),"Battery, pSIM, iPhone 17 Pro Max")</f>
        <v>Battery, pSIM, iPhone 17 Pro Max</v>
      </c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>
      <c r="A2113" s="10" t="str">
        <f t="shared" si="1"/>
        <v>May</v>
      </c>
      <c r="B2113" s="11">
        <f>IFERROR(__xludf.DUMMYFUNCTION("""COMPUTED_VALUE"""),46161.0)</f>
        <v>46161</v>
      </c>
      <c r="C2113" s="2" t="str">
        <f>IFERROR(__xludf.DUMMYFUNCTION("""COMPUTED_VALUE"""),"MOBILECARE - VERTIS NORTH")</f>
        <v>MOBILECARE - VERTIS NORTH</v>
      </c>
      <c r="D2113" s="2" t="str">
        <f>IFERROR(__xludf.DUMMYFUNCTION("""COMPUTED_VALUE"""),"661-44799")</f>
        <v>661-44799</v>
      </c>
      <c r="E2113" s="2" t="str">
        <f>IFERROR(__xludf.DUMMYFUNCTION("""COMPUTED_VALUE"""),"Camera, iPhone 16")</f>
        <v>Camera, iPhone 16</v>
      </c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>
      <c r="A2114" s="10" t="str">
        <f t="shared" si="1"/>
        <v>May</v>
      </c>
      <c r="B2114" s="11">
        <f>IFERROR(__xludf.DUMMYFUNCTION("""COMPUTED_VALUE"""),46158.0)</f>
        <v>46158</v>
      </c>
      <c r="C2114" s="2" t="str">
        <f>IFERROR(__xludf.DUMMYFUNCTION("""COMPUTED_VALUE"""),"MOBILECARE - VERTIS NORTH")</f>
        <v>MOBILECARE - VERTIS NORTH</v>
      </c>
      <c r="D2114" s="2" t="str">
        <f>IFERROR(__xludf.DUMMYFUNCTION("""COMPUTED_VALUE"""),"661-13574")</f>
        <v>661-13574</v>
      </c>
      <c r="E2114" s="2" t="str">
        <f>IFERROR(__xludf.DUMMYFUNCTION("""COMPUTED_VALUE"""),"Battery, iPhone 11")</f>
        <v>Battery, iPhone 11</v>
      </c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>
      <c r="A2115" s="10" t="str">
        <f t="shared" si="1"/>
        <v>April</v>
      </c>
      <c r="B2115" s="11">
        <f>IFERROR(__xludf.DUMMYFUNCTION("""COMPUTED_VALUE"""),46127.0)</f>
        <v>46127</v>
      </c>
      <c r="C2115" s="2" t="str">
        <f>IFERROR(__xludf.DUMMYFUNCTION("""COMPUTED_VALUE"""),"MOBILECARE - VERTIS NORTH")</f>
        <v>MOBILECARE - VERTIS NORTH</v>
      </c>
      <c r="D2115" s="2" t="str">
        <f>IFERROR(__xludf.DUMMYFUNCTION("""COMPUTED_VALUE"""),"661-56050")</f>
        <v>661-56050</v>
      </c>
      <c r="E2115" s="2" t="str">
        <f>IFERROR(__xludf.DUMMYFUNCTION("""COMPUTED_VALUE"""),"Display, iPhone 17 Pro Max")</f>
        <v>Display, iPhone 17 Pro Max</v>
      </c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>
      <c r="A2116" s="10" t="str">
        <f t="shared" si="1"/>
        <v>March</v>
      </c>
      <c r="B2116" s="11">
        <f>IFERROR(__xludf.DUMMYFUNCTION("""COMPUTED_VALUE"""),46109.0)</f>
        <v>46109</v>
      </c>
      <c r="C2116" s="2" t="str">
        <f>IFERROR(__xludf.DUMMYFUNCTION("""COMPUTED_VALUE"""),"MOBILECARE - VERTIS NORTH")</f>
        <v>MOBILECARE - VERTIS NORTH</v>
      </c>
      <c r="D2116" s="2" t="str">
        <f>IFERROR(__xludf.DUMMYFUNCTION("""COMPUTED_VALUE"""),"661-21996")</f>
        <v>661-21996</v>
      </c>
      <c r="E2116" s="2" t="str">
        <f>IFERROR(__xludf.DUMMYFUNCTION("""COMPUTED_VALUE"""),"Battery, iPhone 13 Pro")</f>
        <v>Battery, iPhone 13 Pro</v>
      </c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>
      <c r="A2117" s="10" t="str">
        <f t="shared" si="1"/>
        <v>March</v>
      </c>
      <c r="B2117" s="11">
        <f>IFERROR(__xludf.DUMMYFUNCTION("""COMPUTED_VALUE"""),46101.0)</f>
        <v>46101</v>
      </c>
      <c r="C2117" s="2" t="str">
        <f>IFERROR(__xludf.DUMMYFUNCTION("""COMPUTED_VALUE"""),"MOBILECARE - VERTIS NORTH")</f>
        <v>MOBILECARE - VERTIS NORTH</v>
      </c>
      <c r="D2117" s="2" t="str">
        <f>IFERROR(__xludf.DUMMYFUNCTION("""COMPUTED_VALUE"""),"661-22294")</f>
        <v>661-22294</v>
      </c>
      <c r="E2117" s="2" t="str">
        <f>IFERROR(__xludf.DUMMYFUNCTION("""COMPUTED_VALUE"""),"Battery, iPhone 13 Pro Max")</f>
        <v>Battery, iPhone 13 Pro Max</v>
      </c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>
      <c r="A2118" s="10" t="str">
        <f t="shared" si="1"/>
        <v>March</v>
      </c>
      <c r="B2118" s="11">
        <f>IFERROR(__xludf.DUMMYFUNCTION("""COMPUTED_VALUE"""),46084.0)</f>
        <v>46084</v>
      </c>
      <c r="C2118" s="2" t="str">
        <f>IFERROR(__xludf.DUMMYFUNCTION("""COMPUTED_VALUE"""),"MOBILECARE - VERTIS NORTH")</f>
        <v>MOBILECARE - VERTIS NORTH</v>
      </c>
      <c r="D2118" s="2" t="str">
        <f>IFERROR(__xludf.DUMMYFUNCTION("""COMPUTED_VALUE"""),"661-13574")</f>
        <v>661-13574</v>
      </c>
      <c r="E2118" s="2" t="str">
        <f>IFERROR(__xludf.DUMMYFUNCTION("""COMPUTED_VALUE"""),"Battery, iPhone 11")</f>
        <v>Battery, iPhone 11</v>
      </c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>
      <c r="A2119" s="10" t="str">
        <f t="shared" si="1"/>
        <v>February</v>
      </c>
      <c r="B2119" s="11">
        <f>IFERROR(__xludf.DUMMYFUNCTION("""COMPUTED_VALUE"""),46074.0)</f>
        <v>46074</v>
      </c>
      <c r="C2119" s="2" t="str">
        <f>IFERROR(__xludf.DUMMYFUNCTION("""COMPUTED_VALUE"""),"MOBILECARE - VERTIS NORTH")</f>
        <v>MOBILECARE - VERTIS NORTH</v>
      </c>
      <c r="D2119" s="2" t="str">
        <f>IFERROR(__xludf.DUMMYFUNCTION("""COMPUTED_VALUE"""),"661-56050")</f>
        <v>661-56050</v>
      </c>
      <c r="E2119" s="2" t="str">
        <f>IFERROR(__xludf.DUMMYFUNCTION("""COMPUTED_VALUE"""),"Display, iPhone 17 Pro Max")</f>
        <v>Display, iPhone 17 Pro Max</v>
      </c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>
      <c r="A2120" s="10" t="str">
        <f t="shared" si="1"/>
        <v>February</v>
      </c>
      <c r="B2120" s="11">
        <f>IFERROR(__xludf.DUMMYFUNCTION("""COMPUTED_VALUE"""),46067.0)</f>
        <v>46067</v>
      </c>
      <c r="C2120" s="2" t="str">
        <f>IFERROR(__xludf.DUMMYFUNCTION("""COMPUTED_VALUE"""),"MOBILECARE - VERTIS NORTH")</f>
        <v>MOBILECARE - VERTIS NORTH</v>
      </c>
      <c r="D2120" s="2" t="str">
        <f>IFERROR(__xludf.DUMMYFUNCTION("""COMPUTED_VALUE"""),"661-44955")</f>
        <v>661-44955</v>
      </c>
      <c r="E2120" s="2" t="str">
        <f>IFERROR(__xludf.DUMMYFUNCTION("""COMPUTED_VALUE"""),"Display, iPhone 16 Pro Max")</f>
        <v>Display, iPhone 16 Pro Max</v>
      </c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>
      <c r="A2121" s="10" t="str">
        <f t="shared" si="1"/>
        <v>February</v>
      </c>
      <c r="B2121" s="11">
        <f>IFERROR(__xludf.DUMMYFUNCTION("""COMPUTED_VALUE"""),46066.0)</f>
        <v>46066</v>
      </c>
      <c r="C2121" s="2" t="str">
        <f>IFERROR(__xludf.DUMMYFUNCTION("""COMPUTED_VALUE"""),"MOBILECARE - VERTIS NORTH")</f>
        <v>MOBILECARE - VERTIS NORTH</v>
      </c>
      <c r="D2121" s="2" t="str">
        <f>IFERROR(__xludf.DUMMYFUNCTION("""COMPUTED_VALUE"""),"661-21988")</f>
        <v>661-21988</v>
      </c>
      <c r="E2121" s="2" t="str">
        <f>IFERROR(__xludf.DUMMYFUNCTION("""COMPUTED_VALUE"""),"Display, iPhone 13")</f>
        <v>Display, iPhone 13</v>
      </c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>
      <c r="A2122" s="10" t="str">
        <f t="shared" si="1"/>
        <v>February</v>
      </c>
      <c r="B2122" s="11">
        <f>IFERROR(__xludf.DUMMYFUNCTION("""COMPUTED_VALUE"""),46059.0)</f>
        <v>46059</v>
      </c>
      <c r="C2122" s="2" t="str">
        <f>IFERROR(__xludf.DUMMYFUNCTION("""COMPUTED_VALUE"""),"MOBILECARE - VERTIS NORTH")</f>
        <v>MOBILECARE - VERTIS NORTH</v>
      </c>
      <c r="D2122" s="2" t="str">
        <f>IFERROR(__xludf.DUMMYFUNCTION("""COMPUTED_VALUE"""),"661-36918")</f>
        <v>661-36918</v>
      </c>
      <c r="E2122" s="2" t="str">
        <f>IFERROR(__xludf.DUMMYFUNCTION("""COMPUTED_VALUE"""),"Battery, iPhone 15 Pro Max")</f>
        <v>Battery, iPhone 15 Pro Max</v>
      </c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>
      <c r="A2123" s="10" t="str">
        <f t="shared" si="1"/>
        <v>January</v>
      </c>
      <c r="B2123" s="11">
        <f>IFERROR(__xludf.DUMMYFUNCTION("""COMPUTED_VALUE"""),46050.0)</f>
        <v>46050</v>
      </c>
      <c r="C2123" s="2" t="str">
        <f>IFERROR(__xludf.DUMMYFUNCTION("""COMPUTED_VALUE"""),"MOBILECARE - VERTIS NORTH")</f>
        <v>MOBILECARE - VERTIS NORTH</v>
      </c>
      <c r="D2123" s="2" t="str">
        <f>IFERROR(__xludf.DUMMYFUNCTION("""COMPUTED_VALUE"""),"661-22309")</f>
        <v>661-22309</v>
      </c>
      <c r="E2123" s="2" t="str">
        <f>IFERROR(__xludf.DUMMYFUNCTION("""COMPUTED_VALUE"""),"Display, iPhone 13 Pro Max")</f>
        <v>Display, iPhone 13 Pro Max</v>
      </c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>
      <c r="A2124" s="10" t="str">
        <f t="shared" si="1"/>
        <v>January</v>
      </c>
      <c r="B2124" s="11">
        <f>IFERROR(__xludf.DUMMYFUNCTION("""COMPUTED_VALUE"""),46040.0)</f>
        <v>46040</v>
      </c>
      <c r="C2124" s="2" t="str">
        <f>IFERROR(__xludf.DUMMYFUNCTION("""COMPUTED_VALUE"""),"MOBILECARE - VERTIS NORTH")</f>
        <v>MOBILECARE - VERTIS NORTH</v>
      </c>
      <c r="D2124" s="2" t="str">
        <f>IFERROR(__xludf.DUMMYFUNCTION("""COMPUTED_VALUE"""),"661-56065")</f>
        <v>661-56065</v>
      </c>
      <c r="E2124" s="2" t="str">
        <f>IFERROR(__xludf.DUMMYFUNCTION("""COMPUTED_VALUE"""),"Display, iPhone 17")</f>
        <v>Display, iPhone 17</v>
      </c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>
      <c r="A2125" s="10" t="str">
        <f t="shared" si="1"/>
        <v>June</v>
      </c>
      <c r="B2125" s="11">
        <f>IFERROR(__xludf.DUMMYFUNCTION("""COMPUTED_VALUE"""),46184.0)</f>
        <v>46184</v>
      </c>
      <c r="C2125" s="2" t="str">
        <f>IFERROR(__xludf.DUMMYFUNCTION("""COMPUTED_VALUE"""),"MOBILECARE - VERTIS NORTH")</f>
        <v>MOBILECARE - VERTIS NORTH</v>
      </c>
      <c r="D2125" s="2" t="str">
        <f>IFERROR(__xludf.DUMMYFUNCTION("""COMPUTED_VALUE"""),"661-56050")</f>
        <v>661-56050</v>
      </c>
      <c r="E2125" s="2" t="str">
        <f>IFERROR(__xludf.DUMMYFUNCTION("""COMPUTED_VALUE"""),"Display, iPhone 17 Pro Max")</f>
        <v>Display, iPhone 17 Pro Max</v>
      </c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>
      <c r="A2126" s="10" t="str">
        <f t="shared" si="1"/>
        <v>June</v>
      </c>
      <c r="B2126" s="11">
        <f>IFERROR(__xludf.DUMMYFUNCTION("""COMPUTED_VALUE"""),46191.0)</f>
        <v>46191</v>
      </c>
      <c r="C2126" s="2" t="str">
        <f>IFERROR(__xludf.DUMMYFUNCTION("""COMPUTED_VALUE"""),"MOBILECARE - VERTIS NORTH")</f>
        <v>MOBILECARE - VERTIS NORTH</v>
      </c>
      <c r="D2126" s="2" t="str">
        <f>IFERROR(__xludf.DUMMYFUNCTION("""COMPUTED_VALUE"""),"661-22309")</f>
        <v>661-22309</v>
      </c>
      <c r="E2126" s="2" t="str">
        <f>IFERROR(__xludf.DUMMYFUNCTION("""COMPUTED_VALUE"""),"Display, iPhone 13 Pro Max")</f>
        <v>Display, iPhone 13 Pro Max</v>
      </c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>
      <c r="A2127" s="10" t="str">
        <f t="shared" si="1"/>
        <v>June</v>
      </c>
      <c r="B2127" s="11">
        <f>IFERROR(__xludf.DUMMYFUNCTION("""COMPUTED_VALUE"""),46178.0)</f>
        <v>46178</v>
      </c>
      <c r="C2127" s="2" t="str">
        <f>IFERROR(__xludf.DUMMYFUNCTION("""COMPUTED_VALUE"""),"MOBILECARE - VERTIS NORTH")</f>
        <v>MOBILECARE - VERTIS NORTH</v>
      </c>
      <c r="D2127" s="2" t="str">
        <f>IFERROR(__xludf.DUMMYFUNCTION("""COMPUTED_VALUE"""),"661-22309")</f>
        <v>661-22309</v>
      </c>
      <c r="E2127" s="2" t="str">
        <f>IFERROR(__xludf.DUMMYFUNCTION("""COMPUTED_VALUE"""),"Display, iPhone 13 Pro Max")</f>
        <v>Display, iPhone 13 Pro Max</v>
      </c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>
      <c r="A2128" s="10" t="str">
        <f t="shared" si="1"/>
        <v>May</v>
      </c>
      <c r="B2128" s="11">
        <f>IFERROR(__xludf.DUMMYFUNCTION("""COMPUTED_VALUE"""),46167.0)</f>
        <v>46167</v>
      </c>
      <c r="C2128" s="2" t="str">
        <f>IFERROR(__xludf.DUMMYFUNCTION("""COMPUTED_VALUE"""),"MOBILECARE - VERTIS NORTH")</f>
        <v>MOBILECARE - VERTIS NORTH</v>
      </c>
      <c r="D2128" s="2" t="str">
        <f>IFERROR(__xludf.DUMMYFUNCTION("""COMPUTED_VALUE"""),"661-44797")</f>
        <v>661-44797</v>
      </c>
      <c r="E2128" s="2" t="str">
        <f>IFERROR(__xludf.DUMMYFUNCTION("""COMPUTED_VALUE"""),"Display, iPhone 16")</f>
        <v>Display, iPhone 16</v>
      </c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>
      <c r="A2129" s="10" t="str">
        <f t="shared" si="1"/>
        <v>May</v>
      </c>
      <c r="B2129" s="11">
        <f>IFERROR(__xludf.DUMMYFUNCTION("""COMPUTED_VALUE"""),46144.0)</f>
        <v>46144</v>
      </c>
      <c r="C2129" s="2" t="str">
        <f>IFERROR(__xludf.DUMMYFUNCTION("""COMPUTED_VALUE"""),"MOBILECARE - VERTIS NORTH")</f>
        <v>MOBILECARE - VERTIS NORTH</v>
      </c>
      <c r="D2129" s="2" t="str">
        <f>IFERROR(__xludf.DUMMYFUNCTION("""COMPUTED_VALUE"""),"661-56050")</f>
        <v>661-56050</v>
      </c>
      <c r="E2129" s="2" t="str">
        <f>IFERROR(__xludf.DUMMYFUNCTION("""COMPUTED_VALUE"""),"Display, iPhone 17 Pro Max")</f>
        <v>Display, iPhone 17 Pro Max</v>
      </c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>
      <c r="A2130" s="10" t="str">
        <f t="shared" si="1"/>
        <v>April</v>
      </c>
      <c r="B2130" s="11">
        <f>IFERROR(__xludf.DUMMYFUNCTION("""COMPUTED_VALUE"""),46140.0)</f>
        <v>46140</v>
      </c>
      <c r="C2130" s="2" t="str">
        <f>IFERROR(__xludf.DUMMYFUNCTION("""COMPUTED_VALUE"""),"MOBILECARE - VERTIS NORTH")</f>
        <v>MOBILECARE - VERTIS NORTH</v>
      </c>
      <c r="D2130" s="2" t="str">
        <f>IFERROR(__xludf.DUMMYFUNCTION("""COMPUTED_VALUE"""),"661-30397")</f>
        <v>661-30397</v>
      </c>
      <c r="E2130" s="2" t="str">
        <f>IFERROR(__xludf.DUMMYFUNCTION("""COMPUTED_VALUE"""),"Battery, iPhone 14 Pro Max")</f>
        <v>Battery, iPhone 14 Pro Max</v>
      </c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>
      <c r="A2131" s="10" t="str">
        <f t="shared" si="1"/>
        <v>March</v>
      </c>
      <c r="B2131" s="11">
        <f>IFERROR(__xludf.DUMMYFUNCTION("""COMPUTED_VALUE"""),46087.0)</f>
        <v>46087</v>
      </c>
      <c r="C2131" s="2" t="str">
        <f>IFERROR(__xludf.DUMMYFUNCTION("""COMPUTED_VALUE"""),"MOBILECARE - VERTIS NORTH")</f>
        <v>MOBILECARE - VERTIS NORTH</v>
      </c>
      <c r="D2131" s="2" t="str">
        <f>IFERROR(__xludf.DUMMYFUNCTION("""COMPUTED_VALUE"""),"661-22294")</f>
        <v>661-22294</v>
      </c>
      <c r="E2131" s="2" t="str">
        <f>IFERROR(__xludf.DUMMYFUNCTION("""COMPUTED_VALUE"""),"Battery, iPhone 13 Pro Max")</f>
        <v>Battery, iPhone 13 Pro Max</v>
      </c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>
      <c r="A2132" s="10" t="str">
        <f t="shared" si="1"/>
        <v>February</v>
      </c>
      <c r="B2132" s="11">
        <f>IFERROR(__xludf.DUMMYFUNCTION("""COMPUTED_VALUE"""),46070.0)</f>
        <v>46070</v>
      </c>
      <c r="C2132" s="2" t="str">
        <f>IFERROR(__xludf.DUMMYFUNCTION("""COMPUTED_VALUE"""),"MOBILECARE - VERTIS NORTH")</f>
        <v>MOBILECARE - VERTIS NORTH</v>
      </c>
      <c r="D2132" s="2" t="str">
        <f>IFERROR(__xludf.DUMMYFUNCTION("""COMPUTED_VALUE"""),"661-21991")</f>
        <v>661-21991</v>
      </c>
      <c r="E2132" s="2" t="str">
        <f>IFERROR(__xludf.DUMMYFUNCTION("""COMPUTED_VALUE"""),"Battery, iPhone 13")</f>
        <v>Battery, iPhone 13</v>
      </c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>
      <c r="A2133" s="10" t="str">
        <f t="shared" si="1"/>
        <v>February</v>
      </c>
      <c r="B2133" s="11">
        <f>IFERROR(__xludf.DUMMYFUNCTION("""COMPUTED_VALUE"""),46059.0)</f>
        <v>46059</v>
      </c>
      <c r="C2133" s="2" t="str">
        <f>IFERROR(__xludf.DUMMYFUNCTION("""COMPUTED_VALUE"""),"MOBILECARE - VERTIS NORTH")</f>
        <v>MOBILECARE - VERTIS NORTH</v>
      </c>
      <c r="D2133" s="2" t="str">
        <f>IFERROR(__xludf.DUMMYFUNCTION("""COMPUTED_VALUE"""),"661-44796")</f>
        <v>661-44796</v>
      </c>
      <c r="E2133" s="2" t="str">
        <f>IFERROR(__xludf.DUMMYFUNCTION("""COMPUTED_VALUE"""),"Battery, iPhone 16")</f>
        <v>Battery, iPhone 16</v>
      </c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>
      <c r="A2134" s="10" t="str">
        <f t="shared" si="1"/>
        <v>January</v>
      </c>
      <c r="B2134" s="11">
        <f>IFERROR(__xludf.DUMMYFUNCTION("""COMPUTED_VALUE"""),46038.0)</f>
        <v>46038</v>
      </c>
      <c r="C2134" s="2" t="str">
        <f>IFERROR(__xludf.DUMMYFUNCTION("""COMPUTED_VALUE"""),"MOBILECARE - VERTIS NORTH")</f>
        <v>MOBILECARE - VERTIS NORTH</v>
      </c>
      <c r="D2134" s="2" t="str">
        <f>IFERROR(__xludf.DUMMYFUNCTION("""COMPUTED_VALUE"""),"661-21988")</f>
        <v>661-21988</v>
      </c>
      <c r="E2134" s="2" t="str">
        <f>IFERROR(__xludf.DUMMYFUNCTION("""COMPUTED_VALUE"""),"Display, iPhone 13")</f>
        <v>Display, iPhone 13</v>
      </c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>
      <c r="A2135" s="10" t="str">
        <f t="shared" si="1"/>
        <v>June</v>
      </c>
      <c r="B2135" s="11">
        <f>IFERROR(__xludf.DUMMYFUNCTION("""COMPUTED_VALUE"""),46185.0)</f>
        <v>46185</v>
      </c>
      <c r="C2135" s="2" t="str">
        <f>IFERROR(__xludf.DUMMYFUNCTION("""COMPUTED_VALUE"""),"MOBILECARE - VERTIS NORTH")</f>
        <v>MOBILECARE - VERTIS NORTH</v>
      </c>
      <c r="D2135" s="2" t="str">
        <f>IFERROR(__xludf.DUMMYFUNCTION("""COMPUTED_VALUE"""),"661-30397")</f>
        <v>661-30397</v>
      </c>
      <c r="E2135" s="2" t="str">
        <f>IFERROR(__xludf.DUMMYFUNCTION("""COMPUTED_VALUE"""),"Battery, iPhone 14 Pro Max")</f>
        <v>Battery, iPhone 14 Pro Max</v>
      </c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>
      <c r="A2136" s="10" t="str">
        <f t="shared" si="1"/>
        <v>June</v>
      </c>
      <c r="B2136" s="11">
        <f>IFERROR(__xludf.DUMMYFUNCTION("""COMPUTED_VALUE"""),46185.0)</f>
        <v>46185</v>
      </c>
      <c r="C2136" s="2" t="str">
        <f>IFERROR(__xludf.DUMMYFUNCTION("""COMPUTED_VALUE"""),"MOBILECARE - VERTIS NORTH")</f>
        <v>MOBILECARE - VERTIS NORTH</v>
      </c>
      <c r="D2136" s="2" t="str">
        <f>IFERROR(__xludf.DUMMYFUNCTION("""COMPUTED_VALUE"""),"661-30398")</f>
        <v>661-30398</v>
      </c>
      <c r="E2136" s="2" t="str">
        <f>IFERROR(__xludf.DUMMYFUNCTION("""COMPUTED_VALUE"""),"Camera, iPhone 14 Pro Max")</f>
        <v>Camera, iPhone 14 Pro Max</v>
      </c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>
      <c r="A2137" s="10" t="str">
        <f t="shared" si="1"/>
        <v>May</v>
      </c>
      <c r="B2137" s="11">
        <f>IFERROR(__xludf.DUMMYFUNCTION("""COMPUTED_VALUE"""),46166.0)</f>
        <v>46166</v>
      </c>
      <c r="C2137" s="2" t="str">
        <f>IFERROR(__xludf.DUMMYFUNCTION("""COMPUTED_VALUE"""),"MOBILECARE - VERTIS NORTH")</f>
        <v>MOBILECARE - VERTIS NORTH</v>
      </c>
      <c r="D2137" s="2" t="str">
        <f>IFERROR(__xludf.DUMMYFUNCTION("""COMPUTED_VALUE"""),"661-35694")</f>
        <v>661-35694</v>
      </c>
      <c r="E2137" s="2" t="str">
        <f>IFERROR(__xludf.DUMMYFUNCTION("""COMPUTED_VALUE"""),"Battery, iPhone 15 Pro")</f>
        <v>Battery, iPhone 15 Pro</v>
      </c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>
      <c r="A2138" s="10" t="str">
        <f t="shared" si="1"/>
        <v>May</v>
      </c>
      <c r="B2138" s="11">
        <f>IFERROR(__xludf.DUMMYFUNCTION("""COMPUTED_VALUE"""),46163.0)</f>
        <v>46163</v>
      </c>
      <c r="C2138" s="2" t="str">
        <f>IFERROR(__xludf.DUMMYFUNCTION("""COMPUTED_VALUE"""),"MOBILECARE - VERTIS NORTH")</f>
        <v>MOBILECARE - VERTIS NORTH</v>
      </c>
      <c r="D2138" s="2" t="str">
        <f>IFERROR(__xludf.DUMMYFUNCTION("""COMPUTED_VALUE"""),"661-22309")</f>
        <v>661-22309</v>
      </c>
      <c r="E2138" s="2" t="str">
        <f>IFERROR(__xludf.DUMMYFUNCTION("""COMPUTED_VALUE"""),"Display, iPhone 13 Pro Max")</f>
        <v>Display, iPhone 13 Pro Max</v>
      </c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>
      <c r="A2139" s="10" t="str">
        <f t="shared" si="1"/>
        <v>May</v>
      </c>
      <c r="B2139" s="11">
        <f>IFERROR(__xludf.DUMMYFUNCTION("""COMPUTED_VALUE"""),46160.0)</f>
        <v>46160</v>
      </c>
      <c r="C2139" s="2" t="str">
        <f>IFERROR(__xludf.DUMMYFUNCTION("""COMPUTED_VALUE"""),"MOBILECARE - VERTIS NORTH")</f>
        <v>MOBILECARE - VERTIS NORTH</v>
      </c>
      <c r="D2139" s="2" t="str">
        <f>IFERROR(__xludf.DUMMYFUNCTION("""COMPUTED_VALUE"""),"661-30366")</f>
        <v>661-30366</v>
      </c>
      <c r="E2139" s="2" t="str">
        <f>IFERROR(__xludf.DUMMYFUNCTION("""COMPUTED_VALUE"""),"Display, iPhone 14")</f>
        <v>Display, iPhone 14</v>
      </c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>
      <c r="A2140" s="10" t="str">
        <f t="shared" si="1"/>
        <v>June</v>
      </c>
      <c r="B2140" s="11">
        <f>IFERROR(__xludf.DUMMYFUNCTION("""COMPUTED_VALUE"""),46179.0)</f>
        <v>46179</v>
      </c>
      <c r="C2140" s="2" t="str">
        <f>IFERROR(__xludf.DUMMYFUNCTION("""COMPUTED_VALUE"""),"MOBILECARE - VERTIS NORTH")</f>
        <v>MOBILECARE - VERTIS NORTH</v>
      </c>
      <c r="D2140" s="2" t="str">
        <f>IFERROR(__xludf.DUMMYFUNCTION("""COMPUTED_VALUE"""),"Z661-55956")</f>
        <v>Z661-55956</v>
      </c>
      <c r="E2140" s="2" t="str">
        <f>IFERROR(__xludf.DUMMYFUNCTION("""COMPUTED_VALUE"""),"Logic Board, 256GB, iPhone 17 Pro Max, ROW")</f>
        <v>Logic Board, 256GB, iPhone 17 Pro Max, ROW</v>
      </c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>
      <c r="A2141" s="10" t="str">
        <f t="shared" si="1"/>
        <v>April</v>
      </c>
      <c r="B2141" s="11">
        <f>IFERROR(__xludf.DUMMYFUNCTION("""COMPUTED_VALUE"""),46125.0)</f>
        <v>46125</v>
      </c>
      <c r="C2141" s="2" t="str">
        <f>IFERROR(__xludf.DUMMYFUNCTION("""COMPUTED_VALUE"""),"MOBILECARE - VERTIS NORTH")</f>
        <v>MOBILECARE - VERTIS NORTH</v>
      </c>
      <c r="D2141" s="2" t="str">
        <f>IFERROR(__xludf.DUMMYFUNCTION("""COMPUTED_VALUE"""),"661-56050")</f>
        <v>661-56050</v>
      </c>
      <c r="E2141" s="2" t="str">
        <f>IFERROR(__xludf.DUMMYFUNCTION("""COMPUTED_VALUE"""),"Display, iPhone 17 Pro Max")</f>
        <v>Display, iPhone 17 Pro Max</v>
      </c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>
      <c r="A2142" s="10" t="str">
        <f t="shared" si="1"/>
        <v>April</v>
      </c>
      <c r="B2142" s="11">
        <f>IFERROR(__xludf.DUMMYFUNCTION("""COMPUTED_VALUE"""),46123.0)</f>
        <v>46123</v>
      </c>
      <c r="C2142" s="2" t="str">
        <f>IFERROR(__xludf.DUMMYFUNCTION("""COMPUTED_VALUE"""),"MOBILECARE - VERTIS NORTH")</f>
        <v>MOBILECARE - VERTIS NORTH</v>
      </c>
      <c r="D2142" s="2" t="str">
        <f>IFERROR(__xludf.DUMMYFUNCTION("""COMPUTED_VALUE"""),"661-30397")</f>
        <v>661-30397</v>
      </c>
      <c r="E2142" s="2" t="str">
        <f>IFERROR(__xludf.DUMMYFUNCTION("""COMPUTED_VALUE"""),"Battery, iPhone 14 Pro Max")</f>
        <v>Battery, iPhone 14 Pro Max</v>
      </c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>
      <c r="A2143" s="10" t="str">
        <f t="shared" si="1"/>
        <v>April</v>
      </c>
      <c r="B2143" s="11">
        <f>IFERROR(__xludf.DUMMYFUNCTION("""COMPUTED_VALUE"""),46133.0)</f>
        <v>46133</v>
      </c>
      <c r="C2143" s="2" t="str">
        <f>IFERROR(__xludf.DUMMYFUNCTION("""COMPUTED_VALUE"""),"MOBILECARE - VERTIS NORTH")</f>
        <v>MOBILECARE - VERTIS NORTH</v>
      </c>
      <c r="D2143" s="2" t="str">
        <f>IFERROR(__xludf.DUMMYFUNCTION("""COMPUTED_VALUE"""),"Z661-55956")</f>
        <v>Z661-55956</v>
      </c>
      <c r="E2143" s="2" t="str">
        <f>IFERROR(__xludf.DUMMYFUNCTION("""COMPUTED_VALUE"""),"Logic Board, 256GB, iPhone 17 Pro Max, ROW")</f>
        <v>Logic Board, 256GB, iPhone 17 Pro Max, ROW</v>
      </c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>
      <c r="A2144" s="10" t="str">
        <f t="shared" si="1"/>
        <v>March</v>
      </c>
      <c r="B2144" s="11">
        <f>IFERROR(__xludf.DUMMYFUNCTION("""COMPUTED_VALUE"""),46109.0)</f>
        <v>46109</v>
      </c>
      <c r="C2144" s="2" t="str">
        <f>IFERROR(__xludf.DUMMYFUNCTION("""COMPUTED_VALUE"""),"MOBILECARE - VERTIS NORTH")</f>
        <v>MOBILECARE - VERTIS NORTH</v>
      </c>
      <c r="D2144" s="2" t="str">
        <f>IFERROR(__xludf.DUMMYFUNCTION("""COMPUTED_VALUE"""),"661-35885")</f>
        <v>661-35885</v>
      </c>
      <c r="E2144" s="2" t="str">
        <f>IFERROR(__xludf.DUMMYFUNCTION("""COMPUTED_VALUE"""),"Battery, iPhone 15")</f>
        <v>Battery, iPhone 15</v>
      </c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>
      <c r="A2145" s="10" t="str">
        <f t="shared" si="1"/>
        <v>March</v>
      </c>
      <c r="B2145" s="11">
        <f>IFERROR(__xludf.DUMMYFUNCTION("""COMPUTED_VALUE"""),46112.0)</f>
        <v>46112</v>
      </c>
      <c r="C2145" s="2" t="str">
        <f>IFERROR(__xludf.DUMMYFUNCTION("""COMPUTED_VALUE"""),"MOBILECARE - VERTIS NORTH")</f>
        <v>MOBILECARE - VERTIS NORTH</v>
      </c>
      <c r="D2145" s="2" t="str">
        <f>IFERROR(__xludf.DUMMYFUNCTION("""COMPUTED_VALUE"""),"661-56052")</f>
        <v>661-56052</v>
      </c>
      <c r="E2145" s="2" t="str">
        <f>IFERROR(__xludf.DUMMYFUNCTION("""COMPUTED_VALUE"""),"Camera, iPhone 17 Pro Max")</f>
        <v>Camera, iPhone 17 Pro Max</v>
      </c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>
      <c r="A2146" s="10" t="str">
        <f t="shared" si="1"/>
        <v>March</v>
      </c>
      <c r="B2146" s="11">
        <f>IFERROR(__xludf.DUMMYFUNCTION("""COMPUTED_VALUE"""),46109.0)</f>
        <v>46109</v>
      </c>
      <c r="C2146" s="2" t="str">
        <f>IFERROR(__xludf.DUMMYFUNCTION("""COMPUTED_VALUE"""),"MOBILECARE - VERTIS NORTH")</f>
        <v>MOBILECARE - VERTIS NORTH</v>
      </c>
      <c r="D2146" s="2" t="str">
        <f>IFERROR(__xludf.DUMMYFUNCTION("""COMPUTED_VALUE"""),"661-13574")</f>
        <v>661-13574</v>
      </c>
      <c r="E2146" s="2" t="str">
        <f>IFERROR(__xludf.DUMMYFUNCTION("""COMPUTED_VALUE"""),"Battery, iPhone 11")</f>
        <v>Battery, iPhone 11</v>
      </c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>
      <c r="A2147" s="10" t="str">
        <f t="shared" si="1"/>
        <v>March</v>
      </c>
      <c r="B2147" s="11">
        <f>IFERROR(__xludf.DUMMYFUNCTION("""COMPUTED_VALUE"""),46098.0)</f>
        <v>46098</v>
      </c>
      <c r="C2147" s="2" t="str">
        <f>IFERROR(__xludf.DUMMYFUNCTION("""COMPUTED_VALUE"""),"MOBILECARE - VERTIS NORTH")</f>
        <v>MOBILECARE - VERTIS NORTH</v>
      </c>
      <c r="D2147" s="2" t="str">
        <f>IFERROR(__xludf.DUMMYFUNCTION("""COMPUTED_VALUE"""),"661-42844")</f>
        <v>661-42844</v>
      </c>
      <c r="E2147" s="2" t="str">
        <f>IFERROR(__xludf.DUMMYFUNCTION("""COMPUTED_VALUE"""),"TrueDepth Camera, iPhone 16 Plus")</f>
        <v>TrueDepth Camera, iPhone 16 Plus</v>
      </c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>
      <c r="A2148" s="10" t="str">
        <f t="shared" si="1"/>
        <v>March</v>
      </c>
      <c r="B2148" s="11">
        <f>IFERROR(__xludf.DUMMYFUNCTION("""COMPUTED_VALUE"""),46098.0)</f>
        <v>46098</v>
      </c>
      <c r="C2148" s="2" t="str">
        <f>IFERROR(__xludf.DUMMYFUNCTION("""COMPUTED_VALUE"""),"MOBILECARE - VERTIS NORTH")</f>
        <v>MOBILECARE - VERTIS NORTH</v>
      </c>
      <c r="D2148" s="2" t="str">
        <f>IFERROR(__xludf.DUMMYFUNCTION("""COMPUTED_VALUE"""),"661-30382")</f>
        <v>661-30382</v>
      </c>
      <c r="E2148" s="2" t="str">
        <f>IFERROR(__xludf.DUMMYFUNCTION("""COMPUTED_VALUE"""),"Battery, iPhone 14 Pro")</f>
        <v>Battery, iPhone 14 Pro</v>
      </c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>
      <c r="A2149" s="10" t="str">
        <f t="shared" si="1"/>
        <v>February</v>
      </c>
      <c r="B2149" s="11">
        <f>IFERROR(__xludf.DUMMYFUNCTION("""COMPUTED_VALUE"""),46080.0)</f>
        <v>46080</v>
      </c>
      <c r="C2149" s="2" t="str">
        <f>IFERROR(__xludf.DUMMYFUNCTION("""COMPUTED_VALUE"""),"MOBILECARE - VERTIS NORTH")</f>
        <v>MOBILECARE - VERTIS NORTH</v>
      </c>
      <c r="D2149" s="2" t="str">
        <f>IFERROR(__xludf.DUMMYFUNCTION("""COMPUTED_VALUE"""),"661-44957")</f>
        <v>661-44957</v>
      </c>
      <c r="E2149" s="2" t="str">
        <f>IFERROR(__xludf.DUMMYFUNCTION("""COMPUTED_VALUE"""),"Camera, iPhone 16 Pro Max")</f>
        <v>Camera, iPhone 16 Pro Max</v>
      </c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>
      <c r="A2150" s="10" t="str">
        <f t="shared" si="1"/>
        <v>February</v>
      </c>
      <c r="B2150" s="11">
        <f>IFERROR(__xludf.DUMMYFUNCTION("""COMPUTED_VALUE"""),46076.0)</f>
        <v>46076</v>
      </c>
      <c r="C2150" s="2" t="str">
        <f>IFERROR(__xludf.DUMMYFUNCTION("""COMPUTED_VALUE"""),"MOBILECARE - VERTIS NORTH")</f>
        <v>MOBILECARE - VERTIS NORTH</v>
      </c>
      <c r="D2150" s="2" t="str">
        <f>IFERROR(__xludf.DUMMYFUNCTION("""COMPUTED_VALUE"""),"661-56052")</f>
        <v>661-56052</v>
      </c>
      <c r="E2150" s="2" t="str">
        <f>IFERROR(__xludf.DUMMYFUNCTION("""COMPUTED_VALUE"""),"Camera, iPhone 17 Pro Max")</f>
        <v>Camera, iPhone 17 Pro Max</v>
      </c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>
      <c r="A2151" s="10" t="str">
        <f t="shared" si="1"/>
        <v>February</v>
      </c>
      <c r="B2151" s="11">
        <f>IFERROR(__xludf.DUMMYFUNCTION("""COMPUTED_VALUE"""),46076.0)</f>
        <v>46076</v>
      </c>
      <c r="C2151" s="2" t="str">
        <f>IFERROR(__xludf.DUMMYFUNCTION("""COMPUTED_VALUE"""),"MOBILECARE - VERTIS NORTH")</f>
        <v>MOBILECARE - VERTIS NORTH</v>
      </c>
      <c r="D2151" s="2" t="str">
        <f>IFERROR(__xludf.DUMMYFUNCTION("""COMPUTED_VALUE"""),"661-56051")</f>
        <v>661-56051</v>
      </c>
      <c r="E2151" s="2" t="str">
        <f>IFERROR(__xludf.DUMMYFUNCTION("""COMPUTED_VALUE"""),"Front Camera, iPhone 17 Pro Max")</f>
        <v>Front Camera, iPhone 17 Pro Max</v>
      </c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>
      <c r="A2152" s="10" t="str">
        <f t="shared" si="1"/>
        <v>January</v>
      </c>
      <c r="B2152" s="11">
        <f>IFERROR(__xludf.DUMMYFUNCTION("""COMPUTED_VALUE"""),46040.0)</f>
        <v>46040</v>
      </c>
      <c r="C2152" s="2" t="str">
        <f>IFERROR(__xludf.DUMMYFUNCTION("""COMPUTED_VALUE"""),"MOBILECARE - VERTIS NORTH")</f>
        <v>MOBILECARE - VERTIS NORTH</v>
      </c>
      <c r="D2152" s="2" t="str">
        <f>IFERROR(__xludf.DUMMYFUNCTION("""COMPUTED_VALUE"""),"661-22294")</f>
        <v>661-22294</v>
      </c>
      <c r="E2152" s="2" t="str">
        <f>IFERROR(__xludf.DUMMYFUNCTION("""COMPUTED_VALUE"""),"Battery, iPhone 13 Pro Max")</f>
        <v>Battery, iPhone 13 Pro Max</v>
      </c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>
      <c r="A2153" s="10" t="str">
        <f t="shared" si="1"/>
        <v>January</v>
      </c>
      <c r="B2153" s="11">
        <f>IFERROR(__xludf.DUMMYFUNCTION("""COMPUTED_VALUE"""),46038.0)</f>
        <v>46038</v>
      </c>
      <c r="C2153" s="2" t="str">
        <f>IFERROR(__xludf.DUMMYFUNCTION("""COMPUTED_VALUE"""),"MOBILECARE - VERTIS NORTH")</f>
        <v>MOBILECARE - VERTIS NORTH</v>
      </c>
      <c r="D2153" s="2" t="str">
        <f>IFERROR(__xludf.DUMMYFUNCTION("""COMPUTED_VALUE"""),"661-22294")</f>
        <v>661-22294</v>
      </c>
      <c r="E2153" s="2" t="str">
        <f>IFERROR(__xludf.DUMMYFUNCTION("""COMPUTED_VALUE"""),"Battery, iPhone 13 Pro Max")</f>
        <v>Battery, iPhone 13 Pro Max</v>
      </c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>
      <c r="A2154" s="10" t="str">
        <f t="shared" si="1"/>
        <v>June</v>
      </c>
      <c r="B2154" s="11">
        <f>IFERROR(__xludf.DUMMYFUNCTION("""COMPUTED_VALUE"""),46176.0)</f>
        <v>46176</v>
      </c>
      <c r="C2154" s="2" t="str">
        <f>IFERROR(__xludf.DUMMYFUNCTION("""COMPUTED_VALUE"""),"MOBILECARE - VERTIS NORTH")</f>
        <v>MOBILECARE - VERTIS NORTH</v>
      </c>
      <c r="D2154" s="2" t="str">
        <f>IFERROR(__xludf.DUMMYFUNCTION("""COMPUTED_VALUE"""),"661-21991")</f>
        <v>661-21991</v>
      </c>
      <c r="E2154" s="2" t="str">
        <f>IFERROR(__xludf.DUMMYFUNCTION("""COMPUTED_VALUE"""),"Battery, iPhone 13")</f>
        <v>Battery, iPhone 13</v>
      </c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>
      <c r="A2155" s="10" t="str">
        <f t="shared" si="1"/>
        <v>May</v>
      </c>
      <c r="B2155" s="11">
        <f>IFERROR(__xludf.DUMMYFUNCTION("""COMPUTED_VALUE"""),46160.0)</f>
        <v>46160</v>
      </c>
      <c r="C2155" s="2" t="str">
        <f>IFERROR(__xludf.DUMMYFUNCTION("""COMPUTED_VALUE"""),"MOBILECARE - VERTIS NORTH")</f>
        <v>MOBILECARE - VERTIS NORTH</v>
      </c>
      <c r="D2155" s="2" t="str">
        <f>IFERROR(__xludf.DUMMYFUNCTION("""COMPUTED_VALUE"""),"661-22294")</f>
        <v>661-22294</v>
      </c>
      <c r="E2155" s="2" t="str">
        <f>IFERROR(__xludf.DUMMYFUNCTION("""COMPUTED_VALUE"""),"Battery, iPhone 13 Pro Max")</f>
        <v>Battery, iPhone 13 Pro Max</v>
      </c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>
      <c r="A2156" s="10" t="str">
        <f t="shared" si="1"/>
        <v>May</v>
      </c>
      <c r="B2156" s="11">
        <f>IFERROR(__xludf.DUMMYFUNCTION("""COMPUTED_VALUE"""),46143.0)</f>
        <v>46143</v>
      </c>
      <c r="C2156" s="2" t="str">
        <f>IFERROR(__xludf.DUMMYFUNCTION("""COMPUTED_VALUE"""),"MOBILECARE - VERTIS NORTH")</f>
        <v>MOBILECARE - VERTIS NORTH</v>
      </c>
      <c r="D2156" s="2" t="str">
        <f>IFERROR(__xludf.DUMMYFUNCTION("""COMPUTED_VALUE"""),"661-30397")</f>
        <v>661-30397</v>
      </c>
      <c r="E2156" s="2" t="str">
        <f>IFERROR(__xludf.DUMMYFUNCTION("""COMPUTED_VALUE"""),"Battery, iPhone 14 Pro Max")</f>
        <v>Battery, iPhone 14 Pro Max</v>
      </c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>
      <c r="A2157" s="10" t="str">
        <f t="shared" si="1"/>
        <v>May</v>
      </c>
      <c r="B2157" s="11">
        <f>IFERROR(__xludf.DUMMYFUNCTION("""COMPUTED_VALUE"""),46147.0)</f>
        <v>46147</v>
      </c>
      <c r="C2157" s="2" t="str">
        <f>IFERROR(__xludf.DUMMYFUNCTION("""COMPUTED_VALUE"""),"MOBILECARE - VERTIS NORTH")</f>
        <v>MOBILECARE - VERTIS NORTH</v>
      </c>
      <c r="D2157" s="2" t="str">
        <f>IFERROR(__xludf.DUMMYFUNCTION("""COMPUTED_VALUE"""),"661-21991")</f>
        <v>661-21991</v>
      </c>
      <c r="E2157" s="2" t="str">
        <f>IFERROR(__xludf.DUMMYFUNCTION("""COMPUTED_VALUE"""),"Battery, iPhone 13")</f>
        <v>Battery, iPhone 13</v>
      </c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>
      <c r="A2158" s="10" t="str">
        <f t="shared" si="1"/>
        <v>April</v>
      </c>
      <c r="B2158" s="11">
        <f>IFERROR(__xludf.DUMMYFUNCTION("""COMPUTED_VALUE"""),46139.0)</f>
        <v>46139</v>
      </c>
      <c r="C2158" s="2" t="str">
        <f>IFERROR(__xludf.DUMMYFUNCTION("""COMPUTED_VALUE"""),"MOBILECARE - VERTIS NORTH")</f>
        <v>MOBILECARE - VERTIS NORTH</v>
      </c>
      <c r="D2158" s="2" t="str">
        <f>IFERROR(__xludf.DUMMYFUNCTION("""COMPUTED_VALUE"""),"Z661-55942")</f>
        <v>Z661-55942</v>
      </c>
      <c r="E2158" s="2" t="str">
        <f>IFERROR(__xludf.DUMMYFUNCTION("""COMPUTED_VALUE"""),"Logic Board, 256GB, A3523, ROW, iPhone 17 Pro")</f>
        <v>Logic Board, 256GB, A3523, ROW, iPhone 17 Pro</v>
      </c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>
      <c r="A2159" s="10" t="str">
        <f t="shared" si="1"/>
        <v>March</v>
      </c>
      <c r="B2159" s="11">
        <f>IFERROR(__xludf.DUMMYFUNCTION("""COMPUTED_VALUE"""),46101.0)</f>
        <v>46101</v>
      </c>
      <c r="C2159" s="2" t="str">
        <f>IFERROR(__xludf.DUMMYFUNCTION("""COMPUTED_VALUE"""),"MOBILECARE - VERTIS NORTH")</f>
        <v>MOBILECARE - VERTIS NORTH</v>
      </c>
      <c r="D2159" s="2" t="str">
        <f>IFERROR(__xludf.DUMMYFUNCTION("""COMPUTED_VALUE"""),"661-44954")</f>
        <v>661-44954</v>
      </c>
      <c r="E2159" s="2" t="str">
        <f>IFERROR(__xludf.DUMMYFUNCTION("""COMPUTED_VALUE"""),"Battery, iPhone 16 Pro Max")</f>
        <v>Battery, iPhone 16 Pro Max</v>
      </c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>
      <c r="A2160" s="10" t="str">
        <f t="shared" si="1"/>
        <v>March</v>
      </c>
      <c r="B2160" s="11">
        <f>IFERROR(__xludf.DUMMYFUNCTION("""COMPUTED_VALUE"""),46099.0)</f>
        <v>46099</v>
      </c>
      <c r="C2160" s="2" t="str">
        <f>IFERROR(__xludf.DUMMYFUNCTION("""COMPUTED_VALUE"""),"MOBILECARE - VERTIS NORTH")</f>
        <v>MOBILECARE - VERTIS NORTH</v>
      </c>
      <c r="D2160" s="2" t="str">
        <f>IFERROR(__xludf.DUMMYFUNCTION("""COMPUTED_VALUE"""),"Z661-56015")</f>
        <v>Z661-56015</v>
      </c>
      <c r="E2160" s="2" t="str">
        <f>IFERROR(__xludf.DUMMYFUNCTION("""COMPUTED_VALUE"""),"Logic Board, 256GB, iPhone 17, ROW")</f>
        <v>Logic Board, 256GB, iPhone 17, ROW</v>
      </c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>
      <c r="A2161" s="10" t="str">
        <f t="shared" si="1"/>
        <v>March</v>
      </c>
      <c r="B2161" s="11">
        <f>IFERROR(__xludf.DUMMYFUNCTION("""COMPUTED_VALUE"""),46084.0)</f>
        <v>46084</v>
      </c>
      <c r="C2161" s="2" t="str">
        <f>IFERROR(__xludf.DUMMYFUNCTION("""COMPUTED_VALUE"""),"MOBILECARE - VERTIS NORTH")</f>
        <v>MOBILECARE - VERTIS NORTH</v>
      </c>
      <c r="D2161" s="2" t="str">
        <f>IFERROR(__xludf.DUMMYFUNCTION("""COMPUTED_VALUE"""),"661-56051")</f>
        <v>661-56051</v>
      </c>
      <c r="E2161" s="2" t="str">
        <f>IFERROR(__xludf.DUMMYFUNCTION("""COMPUTED_VALUE"""),"Front Camera, iPhone 17 Pro Max")</f>
        <v>Front Camera, iPhone 17 Pro Max</v>
      </c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>
      <c r="A2162" s="10" t="str">
        <f t="shared" si="1"/>
        <v>March</v>
      </c>
      <c r="B2162" s="11">
        <f>IFERROR(__xludf.DUMMYFUNCTION("""COMPUTED_VALUE"""),46082.0)</f>
        <v>46082</v>
      </c>
      <c r="C2162" s="2" t="str">
        <f>IFERROR(__xludf.DUMMYFUNCTION("""COMPUTED_VALUE"""),"MOBILECARE - VERTIS NORTH")</f>
        <v>MOBILECARE - VERTIS NORTH</v>
      </c>
      <c r="D2162" s="2" t="str">
        <f>IFERROR(__xludf.DUMMYFUNCTION("""COMPUTED_VALUE"""),"661-56066")</f>
        <v>661-56066</v>
      </c>
      <c r="E2162" s="2" t="str">
        <f>IFERROR(__xludf.DUMMYFUNCTION("""COMPUTED_VALUE"""),"Front Camera, iPhone 17")</f>
        <v>Front Camera, iPhone 17</v>
      </c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>
      <c r="A2163" s="10" t="str">
        <f t="shared" si="1"/>
        <v>February</v>
      </c>
      <c r="B2163" s="11">
        <f>IFERROR(__xludf.DUMMYFUNCTION("""COMPUTED_VALUE"""),46060.0)</f>
        <v>46060</v>
      </c>
      <c r="C2163" s="2" t="str">
        <f>IFERROR(__xludf.DUMMYFUNCTION("""COMPUTED_VALUE"""),"MOBILECARE - VERTIS NORTH")</f>
        <v>MOBILECARE - VERTIS NORTH</v>
      </c>
      <c r="D2163" s="2" t="str">
        <f>IFERROR(__xludf.DUMMYFUNCTION("""COMPUTED_VALUE"""),"661-56051")</f>
        <v>661-56051</v>
      </c>
      <c r="E2163" s="2" t="str">
        <f>IFERROR(__xludf.DUMMYFUNCTION("""COMPUTED_VALUE"""),"Front Camera, iPhone 17 Pro Max")</f>
        <v>Front Camera, iPhone 17 Pro Max</v>
      </c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>
      <c r="A2164" s="10" t="str">
        <f t="shared" si="1"/>
        <v>February</v>
      </c>
      <c r="B2164" s="11">
        <f>IFERROR(__xludf.DUMMYFUNCTION("""COMPUTED_VALUE"""),46054.0)</f>
        <v>46054</v>
      </c>
      <c r="C2164" s="2" t="str">
        <f>IFERROR(__xludf.DUMMYFUNCTION("""COMPUTED_VALUE"""),"MOBILECARE - VERTIS NORTH")</f>
        <v>MOBILECARE - VERTIS NORTH</v>
      </c>
      <c r="D2164" s="2" t="str">
        <f>IFERROR(__xludf.DUMMYFUNCTION("""COMPUTED_VALUE"""),"661-30382")</f>
        <v>661-30382</v>
      </c>
      <c r="E2164" s="2" t="str">
        <f>IFERROR(__xludf.DUMMYFUNCTION("""COMPUTED_VALUE"""),"Battery, iPhone 14 Pro")</f>
        <v>Battery, iPhone 14 Pro</v>
      </c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>
      <c r="A2165" s="10" t="str">
        <f t="shared" si="1"/>
        <v>February</v>
      </c>
      <c r="B2165" s="11">
        <f>IFERROR(__xludf.DUMMYFUNCTION("""COMPUTED_VALUE"""),46054.0)</f>
        <v>46054</v>
      </c>
      <c r="C2165" s="2" t="str">
        <f>IFERROR(__xludf.DUMMYFUNCTION("""COMPUTED_VALUE"""),"MOBILECARE - VERTIS NORTH")</f>
        <v>MOBILECARE - VERTIS NORTH</v>
      </c>
      <c r="D2165" s="2" t="str">
        <f>IFERROR(__xludf.DUMMYFUNCTION("""COMPUTED_VALUE"""),"661-17920")</f>
        <v>661-17920</v>
      </c>
      <c r="E2165" s="2" t="str">
        <f>IFERROR(__xludf.DUMMYFUNCTION("""COMPUTED_VALUE"""),"Battery, iPhone 12 and 12 Pro")</f>
        <v>Battery, iPhone 12 and 12 Pro</v>
      </c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>
      <c r="A2166" s="10" t="str">
        <f t="shared" si="1"/>
        <v>February</v>
      </c>
      <c r="B2166" s="11">
        <f>IFERROR(__xludf.DUMMYFUNCTION("""COMPUTED_VALUE"""),46054.0)</f>
        <v>46054</v>
      </c>
      <c r="C2166" s="2" t="str">
        <f>IFERROR(__xludf.DUMMYFUNCTION("""COMPUTED_VALUE"""),"MOBILECARE - VERTIS NORTH")</f>
        <v>MOBILECARE - VERTIS NORTH</v>
      </c>
      <c r="D2166" s="2" t="str">
        <f>IFERROR(__xludf.DUMMYFUNCTION("""COMPUTED_VALUE"""),"661-18503")</f>
        <v>661-18503</v>
      </c>
      <c r="E2166" s="2" t="str">
        <f>IFERROR(__xludf.DUMMYFUNCTION("""COMPUTED_VALUE"""),"Display, iPhone 12")</f>
        <v>Display, iPhone 12</v>
      </c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>
      <c r="A2167" s="10" t="str">
        <f t="shared" si="1"/>
        <v>February</v>
      </c>
      <c r="B2167" s="11">
        <f>IFERROR(__xludf.DUMMYFUNCTION("""COMPUTED_VALUE"""),46064.0)</f>
        <v>46064</v>
      </c>
      <c r="C2167" s="2" t="str">
        <f>IFERROR(__xludf.DUMMYFUNCTION("""COMPUTED_VALUE"""),"MOBILECARE - VERTIS NORTH")</f>
        <v>MOBILECARE - VERTIS NORTH</v>
      </c>
      <c r="D2167" s="2" t="str">
        <f>IFERROR(__xludf.DUMMYFUNCTION("""COMPUTED_VALUE"""),"TA661-55208")</f>
        <v>TA661-55208</v>
      </c>
      <c r="E2167" s="2" t="str">
        <f>IFERROR(__xludf.DUMMYFUNCTION("""COMPUTED_VALUE"""),"Deep Blue, 256GB, iPhone 17 Pro Max, ROW, CI/AR, Taiwan")</f>
        <v>Deep Blue, 256GB, iPhone 17 Pro Max, ROW, CI/AR, Taiwan</v>
      </c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>
      <c r="A2168" s="10" t="str">
        <f t="shared" si="1"/>
        <v>January</v>
      </c>
      <c r="B2168" s="11">
        <f>IFERROR(__xludf.DUMMYFUNCTION("""COMPUTED_VALUE"""),46034.0)</f>
        <v>46034</v>
      </c>
      <c r="C2168" s="2" t="str">
        <f>IFERROR(__xludf.DUMMYFUNCTION("""COMPUTED_VALUE"""),"MOBILECARE - VERTIS NORTH")</f>
        <v>MOBILECARE - VERTIS NORTH</v>
      </c>
      <c r="D2168" s="2" t="str">
        <f>IFERROR(__xludf.DUMMYFUNCTION("""COMPUTED_VALUE"""),"661-22309")</f>
        <v>661-22309</v>
      </c>
      <c r="E2168" s="2" t="str">
        <f>IFERROR(__xludf.DUMMYFUNCTION("""COMPUTED_VALUE"""),"Display, iPhone 13 Pro Max")</f>
        <v>Display, iPhone 13 Pro Max</v>
      </c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>
      <c r="A2169" s="10" t="str">
        <f t="shared" si="1"/>
        <v>June</v>
      </c>
      <c r="B2169" s="11">
        <f>IFERROR(__xludf.DUMMYFUNCTION("""COMPUTED_VALUE"""),46190.0)</f>
        <v>46190</v>
      </c>
      <c r="C2169" s="2" t="str">
        <f>IFERROR(__xludf.DUMMYFUNCTION("""COMPUTED_VALUE"""),"MOBILECARE - VERTIS NORTH")</f>
        <v>MOBILECARE - VERTIS NORTH</v>
      </c>
      <c r="D2169" s="2" t="str">
        <f>IFERROR(__xludf.DUMMYFUNCTION("""COMPUTED_VALUE"""),"661-21991")</f>
        <v>661-21991</v>
      </c>
      <c r="E2169" s="2" t="str">
        <f>IFERROR(__xludf.DUMMYFUNCTION("""COMPUTED_VALUE"""),"Battery, iPhone 13")</f>
        <v>Battery, iPhone 13</v>
      </c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>
      <c r="A2170" s="10" t="str">
        <f t="shared" si="1"/>
        <v>June</v>
      </c>
      <c r="B2170" s="11">
        <f>IFERROR(__xludf.DUMMYFUNCTION("""COMPUTED_VALUE"""),46182.0)</f>
        <v>46182</v>
      </c>
      <c r="C2170" s="2" t="str">
        <f>IFERROR(__xludf.DUMMYFUNCTION("""COMPUTED_VALUE"""),"MOBILECARE - VERTIS NORTH")</f>
        <v>MOBILECARE - VERTIS NORTH</v>
      </c>
      <c r="D2170" s="2" t="str">
        <f>IFERROR(__xludf.DUMMYFUNCTION("""COMPUTED_VALUE"""),"661-36918")</f>
        <v>661-36918</v>
      </c>
      <c r="E2170" s="2" t="str">
        <f>IFERROR(__xludf.DUMMYFUNCTION("""COMPUTED_VALUE"""),"Battery, iPhone 15 Pro Max")</f>
        <v>Battery, iPhone 15 Pro Max</v>
      </c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>
      <c r="A2171" s="10" t="str">
        <f t="shared" si="1"/>
        <v>May</v>
      </c>
      <c r="B2171" s="11">
        <f>IFERROR(__xludf.DUMMYFUNCTION("""COMPUTED_VALUE"""),46168.0)</f>
        <v>46168</v>
      </c>
      <c r="C2171" s="2" t="str">
        <f>IFERROR(__xludf.DUMMYFUNCTION("""COMPUTED_VALUE"""),"MOBILECARE - VERTIS NORTH")</f>
        <v>MOBILECARE - VERTIS NORTH</v>
      </c>
      <c r="D2171" s="2" t="str">
        <f>IFERROR(__xludf.DUMMYFUNCTION("""COMPUTED_VALUE"""),"923-06234")</f>
        <v>923-06234</v>
      </c>
      <c r="E2171" s="2" t="str">
        <f>IFERROR(__xludf.DUMMYFUNCTION("""COMPUTED_VALUE"""),"Top Speaker, iPhone 13")</f>
        <v>Top Speaker, iPhone 13</v>
      </c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>
      <c r="A2172" s="10" t="str">
        <f t="shared" si="1"/>
        <v>May</v>
      </c>
      <c r="B2172" s="11">
        <f>IFERROR(__xludf.DUMMYFUNCTION("""COMPUTED_VALUE"""),46143.0)</f>
        <v>46143</v>
      </c>
      <c r="C2172" s="2" t="str">
        <f>IFERROR(__xludf.DUMMYFUNCTION("""COMPUTED_VALUE"""),"MOBILECARE - VERTIS NORTH")</f>
        <v>MOBILECARE - VERTIS NORTH</v>
      </c>
      <c r="D2172" s="2" t="str">
        <f>IFERROR(__xludf.DUMMYFUNCTION("""COMPUTED_VALUE"""),"661-21996")</f>
        <v>661-21996</v>
      </c>
      <c r="E2172" s="2" t="str">
        <f>IFERROR(__xludf.DUMMYFUNCTION("""COMPUTED_VALUE"""),"Battery, iPhone 13 Pro")</f>
        <v>Battery, iPhone 13 Pro</v>
      </c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>
      <c r="A2173" s="10" t="str">
        <f t="shared" si="1"/>
        <v>April</v>
      </c>
      <c r="B2173" s="11">
        <f>IFERROR(__xludf.DUMMYFUNCTION("""COMPUTED_VALUE"""),46141.0)</f>
        <v>46141</v>
      </c>
      <c r="C2173" s="2" t="str">
        <f>IFERROR(__xludf.DUMMYFUNCTION("""COMPUTED_VALUE"""),"MOBILECARE - VERTIS NORTH")</f>
        <v>MOBILECARE - VERTIS NORTH</v>
      </c>
      <c r="D2173" s="2" t="str">
        <f>IFERROR(__xludf.DUMMYFUNCTION("""COMPUTED_VALUE"""),"923-13582")</f>
        <v>923-13582</v>
      </c>
      <c r="E2173" s="2" t="str">
        <f>IFERROR(__xludf.DUMMYFUNCTION("""COMPUTED_VALUE"""),"Main Microphone, pSIM, iPhone 17 Pro Max")</f>
        <v>Main Microphone, pSIM, iPhone 17 Pro Max</v>
      </c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>
      <c r="A2174" s="10" t="str">
        <f t="shared" si="1"/>
        <v>April</v>
      </c>
      <c r="B2174" s="11">
        <f>IFERROR(__xludf.DUMMYFUNCTION("""COMPUTED_VALUE"""),46141.0)</f>
        <v>46141</v>
      </c>
      <c r="C2174" s="2" t="str">
        <f>IFERROR(__xludf.DUMMYFUNCTION("""COMPUTED_VALUE"""),"MOBILECARE - VERTIS NORTH")</f>
        <v>MOBILECARE - VERTIS NORTH</v>
      </c>
      <c r="D2174" s="2" t="str">
        <f>IFERROR(__xludf.DUMMYFUNCTION("""COMPUTED_VALUE"""),"Z661-55956")</f>
        <v>Z661-55956</v>
      </c>
      <c r="E2174" s="2" t="str">
        <f>IFERROR(__xludf.DUMMYFUNCTION("""COMPUTED_VALUE"""),"Logic Board, 256GB, iPhone 17 Pro Max, ROW")</f>
        <v>Logic Board, 256GB, iPhone 17 Pro Max, ROW</v>
      </c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>
      <c r="A2175" s="10" t="str">
        <f t="shared" si="1"/>
        <v>April</v>
      </c>
      <c r="B2175" s="11">
        <f>IFERROR(__xludf.DUMMYFUNCTION("""COMPUTED_VALUE"""),46128.0)</f>
        <v>46128</v>
      </c>
      <c r="C2175" s="2" t="str">
        <f>IFERROR(__xludf.DUMMYFUNCTION("""COMPUTED_VALUE"""),"MOBILECARE - VERTIS NORTH")</f>
        <v>MOBILECARE - VERTIS NORTH</v>
      </c>
      <c r="D2175" s="2" t="str">
        <f>IFERROR(__xludf.DUMMYFUNCTION("""COMPUTED_VALUE"""),"661-21991")</f>
        <v>661-21991</v>
      </c>
      <c r="E2175" s="2" t="str">
        <f>IFERROR(__xludf.DUMMYFUNCTION("""COMPUTED_VALUE"""),"Battery, iPhone 13")</f>
        <v>Battery, iPhone 13</v>
      </c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>
      <c r="A2176" s="10" t="str">
        <f t="shared" si="1"/>
        <v>April</v>
      </c>
      <c r="B2176" s="11">
        <f>IFERROR(__xludf.DUMMYFUNCTION("""COMPUTED_VALUE"""),46123.0)</f>
        <v>46123</v>
      </c>
      <c r="C2176" s="2" t="str">
        <f>IFERROR(__xludf.DUMMYFUNCTION("""COMPUTED_VALUE"""),"MOBILECARE - VERTIS NORTH")</f>
        <v>MOBILECARE - VERTIS NORTH</v>
      </c>
      <c r="D2176" s="2" t="str">
        <f>IFERROR(__xludf.DUMMYFUNCTION("""COMPUTED_VALUE"""),"661-30382")</f>
        <v>661-30382</v>
      </c>
      <c r="E2176" s="2" t="str">
        <f>IFERROR(__xludf.DUMMYFUNCTION("""COMPUTED_VALUE"""),"Battery, iPhone 14 Pro")</f>
        <v>Battery, iPhone 14 Pro</v>
      </c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>
      <c r="A2177" s="10" t="str">
        <f t="shared" si="1"/>
        <v>April</v>
      </c>
      <c r="B2177" s="11">
        <f>IFERROR(__xludf.DUMMYFUNCTION("""COMPUTED_VALUE"""),46120.0)</f>
        <v>46120</v>
      </c>
      <c r="C2177" s="2" t="str">
        <f>IFERROR(__xludf.DUMMYFUNCTION("""COMPUTED_VALUE"""),"MOBILECARE - VERTIS NORTH")</f>
        <v>MOBILECARE - VERTIS NORTH</v>
      </c>
      <c r="D2177" s="2" t="str">
        <f>IFERROR(__xludf.DUMMYFUNCTION("""COMPUTED_VALUE"""),"661-21991")</f>
        <v>661-21991</v>
      </c>
      <c r="E2177" s="2" t="str">
        <f>IFERROR(__xludf.DUMMYFUNCTION("""COMPUTED_VALUE"""),"Battery, iPhone 13")</f>
        <v>Battery, iPhone 13</v>
      </c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>
      <c r="A2178" s="10" t="str">
        <f t="shared" si="1"/>
        <v>March</v>
      </c>
      <c r="B2178" s="11">
        <f>IFERROR(__xludf.DUMMYFUNCTION("""COMPUTED_VALUE"""),46090.0)</f>
        <v>46090</v>
      </c>
      <c r="C2178" s="2" t="str">
        <f>IFERROR(__xludf.DUMMYFUNCTION("""COMPUTED_VALUE"""),"MOBILECARE - VERTIS NORTH")</f>
        <v>MOBILECARE - VERTIS NORTH</v>
      </c>
      <c r="D2178" s="2" t="str">
        <f>IFERROR(__xludf.DUMMYFUNCTION("""COMPUTED_VALUE"""),"661-36918")</f>
        <v>661-36918</v>
      </c>
      <c r="E2178" s="2" t="str">
        <f>IFERROR(__xludf.DUMMYFUNCTION("""COMPUTED_VALUE"""),"Battery, iPhone 15 Pro Max")</f>
        <v>Battery, iPhone 15 Pro Max</v>
      </c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>
      <c r="A2179" s="10" t="str">
        <f t="shared" si="1"/>
        <v>February</v>
      </c>
      <c r="B2179" s="11">
        <f>IFERROR(__xludf.DUMMYFUNCTION("""COMPUTED_VALUE"""),46070.0)</f>
        <v>46070</v>
      </c>
      <c r="C2179" s="2" t="str">
        <f>IFERROR(__xludf.DUMMYFUNCTION("""COMPUTED_VALUE"""),"MOBILECARE - VERTIS NORTH")</f>
        <v>MOBILECARE - VERTIS NORTH</v>
      </c>
      <c r="D2179" s="2" t="str">
        <f>IFERROR(__xludf.DUMMYFUNCTION("""COMPUTED_VALUE"""),"661-21991")</f>
        <v>661-21991</v>
      </c>
      <c r="E2179" s="2" t="str">
        <f>IFERROR(__xludf.DUMMYFUNCTION("""COMPUTED_VALUE"""),"Battery, iPhone 13")</f>
        <v>Battery, iPhone 13</v>
      </c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>
      <c r="A2180" s="10" t="str">
        <f t="shared" si="1"/>
        <v>February</v>
      </c>
      <c r="B2180" s="11">
        <f>IFERROR(__xludf.DUMMYFUNCTION("""COMPUTED_VALUE"""),46071.0)</f>
        <v>46071</v>
      </c>
      <c r="C2180" s="2" t="str">
        <f>IFERROR(__xludf.DUMMYFUNCTION("""COMPUTED_VALUE"""),"MOBILECARE - VERTIS NORTH")</f>
        <v>MOBILECARE - VERTIS NORTH</v>
      </c>
      <c r="D2180" s="2" t="str">
        <f>IFERROR(__xludf.DUMMYFUNCTION("""COMPUTED_VALUE"""),"661-30373")</f>
        <v>661-30373</v>
      </c>
      <c r="E2180" s="2" t="str">
        <f>IFERROR(__xludf.DUMMYFUNCTION("""COMPUTED_VALUE"""),"Battery, iPhone 14")</f>
        <v>Battery, iPhone 14</v>
      </c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>
      <c r="A2181" s="10" t="str">
        <f t="shared" si="1"/>
        <v>February</v>
      </c>
      <c r="B2181" s="11">
        <f>IFERROR(__xludf.DUMMYFUNCTION("""COMPUTED_VALUE"""),46072.0)</f>
        <v>46072</v>
      </c>
      <c r="C2181" s="2" t="str">
        <f>IFERROR(__xludf.DUMMYFUNCTION("""COMPUTED_VALUE"""),"MOBILECARE - VERTIS NORTH")</f>
        <v>MOBILECARE - VERTIS NORTH</v>
      </c>
      <c r="D2181" s="2" t="str">
        <f>IFERROR(__xludf.DUMMYFUNCTION("""COMPUTED_VALUE"""),"661-44798")</f>
        <v>661-44798</v>
      </c>
      <c r="E2181" s="2" t="str">
        <f>IFERROR(__xludf.DUMMYFUNCTION("""COMPUTED_VALUE"""),"TrueDepth Camera, iPhone 16")</f>
        <v>TrueDepth Camera, iPhone 16</v>
      </c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>
      <c r="A2182" s="10" t="str">
        <f t="shared" si="1"/>
        <v>February</v>
      </c>
      <c r="B2182" s="11">
        <f>IFERROR(__xludf.DUMMYFUNCTION("""COMPUTED_VALUE"""),46054.0)</f>
        <v>46054</v>
      </c>
      <c r="C2182" s="2" t="str">
        <f>IFERROR(__xludf.DUMMYFUNCTION("""COMPUTED_VALUE"""),"MOBILECARE - VERTIS NORTH")</f>
        <v>MOBILECARE - VERTIS NORTH</v>
      </c>
      <c r="D2182" s="2" t="str">
        <f>IFERROR(__xludf.DUMMYFUNCTION("""COMPUTED_VALUE"""),"661-21991")</f>
        <v>661-21991</v>
      </c>
      <c r="E2182" s="2" t="str">
        <f>IFERROR(__xludf.DUMMYFUNCTION("""COMPUTED_VALUE"""),"Battery, iPhone 13")</f>
        <v>Battery, iPhone 13</v>
      </c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>
      <c r="A2183" s="10" t="str">
        <f t="shared" si="1"/>
        <v>June</v>
      </c>
      <c r="B2183" s="11">
        <f>IFERROR(__xludf.DUMMYFUNCTION("""COMPUTED_VALUE"""),46181.0)</f>
        <v>46181</v>
      </c>
      <c r="C2183" s="2" t="str">
        <f>IFERROR(__xludf.DUMMYFUNCTION("""COMPUTED_VALUE"""),"MOBILECARE - VERTIS NORTH")</f>
        <v>MOBILECARE - VERTIS NORTH</v>
      </c>
      <c r="D2183" s="2" t="str">
        <f>IFERROR(__xludf.DUMMYFUNCTION("""COMPUTED_VALUE"""),"661-21991")</f>
        <v>661-21991</v>
      </c>
      <c r="E2183" s="2" t="str">
        <f>IFERROR(__xludf.DUMMYFUNCTION("""COMPUTED_VALUE"""),"Battery, iPhone 13")</f>
        <v>Battery, iPhone 13</v>
      </c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>
      <c r="A2184" s="10" t="str">
        <f t="shared" si="1"/>
        <v>June</v>
      </c>
      <c r="B2184" s="11">
        <f>IFERROR(__xludf.DUMMYFUNCTION("""COMPUTED_VALUE"""),46193.0)</f>
        <v>46193</v>
      </c>
      <c r="C2184" s="2" t="str">
        <f>IFERROR(__xludf.DUMMYFUNCTION("""COMPUTED_VALUE"""),"MOBILECARE - VERTIS NORTH")</f>
        <v>MOBILECARE - VERTIS NORTH</v>
      </c>
      <c r="D2184" s="2" t="str">
        <f>IFERROR(__xludf.DUMMYFUNCTION("""COMPUTED_VALUE"""),"661-56051")</f>
        <v>661-56051</v>
      </c>
      <c r="E2184" s="2" t="str">
        <f>IFERROR(__xludf.DUMMYFUNCTION("""COMPUTED_VALUE"""),"Front Camera, iPhone 17 Pro Max")</f>
        <v>Front Camera, iPhone 17 Pro Max</v>
      </c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>
      <c r="A2185" s="10" t="str">
        <f t="shared" si="1"/>
        <v>June</v>
      </c>
      <c r="B2185" s="11">
        <f>IFERROR(__xludf.DUMMYFUNCTION("""COMPUTED_VALUE"""),46193.0)</f>
        <v>46193</v>
      </c>
      <c r="C2185" s="2" t="str">
        <f>IFERROR(__xludf.DUMMYFUNCTION("""COMPUTED_VALUE"""),"MOBILECARE - VERTIS NORTH")</f>
        <v>MOBILECARE - VERTIS NORTH</v>
      </c>
      <c r="D2185" s="2" t="str">
        <f>IFERROR(__xludf.DUMMYFUNCTION("""COMPUTED_VALUE"""),"661-56052")</f>
        <v>661-56052</v>
      </c>
      <c r="E2185" s="2" t="str">
        <f>IFERROR(__xludf.DUMMYFUNCTION("""COMPUTED_VALUE"""),"Camera, iPhone 17 Pro Max")</f>
        <v>Camera, iPhone 17 Pro Max</v>
      </c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>
      <c r="A2186" s="10" t="str">
        <f t="shared" si="1"/>
        <v>June</v>
      </c>
      <c r="B2186" s="11">
        <f>IFERROR(__xludf.DUMMYFUNCTION("""COMPUTED_VALUE"""),46193.0)</f>
        <v>46193</v>
      </c>
      <c r="C2186" s="2" t="str">
        <f>IFERROR(__xludf.DUMMYFUNCTION("""COMPUTED_VALUE"""),"MOBILECARE - VERTIS NORTH")</f>
        <v>MOBILECARE - VERTIS NORTH</v>
      </c>
      <c r="D2186" s="2" t="str">
        <f>IFERROR(__xludf.DUMMYFUNCTION("""COMPUTED_VALUE"""),"661-56051")</f>
        <v>661-56051</v>
      </c>
      <c r="E2186" s="2" t="str">
        <f>IFERROR(__xludf.DUMMYFUNCTION("""COMPUTED_VALUE"""),"Front Camera, iPhone 17 Pro Max")</f>
        <v>Front Camera, iPhone 17 Pro Max</v>
      </c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>
      <c r="A2187" s="10" t="str">
        <f t="shared" si="1"/>
        <v>June</v>
      </c>
      <c r="B2187" s="11">
        <f>IFERROR(__xludf.DUMMYFUNCTION("""COMPUTED_VALUE"""),46193.0)</f>
        <v>46193</v>
      </c>
      <c r="C2187" s="2" t="str">
        <f>IFERROR(__xludf.DUMMYFUNCTION("""COMPUTED_VALUE"""),"MOBILECARE - VERTIS NORTH")</f>
        <v>MOBILECARE - VERTIS NORTH</v>
      </c>
      <c r="D2187" s="2" t="str">
        <f>IFERROR(__xludf.DUMMYFUNCTION("""COMPUTED_VALUE"""),"661-56052")</f>
        <v>661-56052</v>
      </c>
      <c r="E2187" s="2" t="str">
        <f>IFERROR(__xludf.DUMMYFUNCTION("""COMPUTED_VALUE"""),"Camera, iPhone 17 Pro Max")</f>
        <v>Camera, iPhone 17 Pro Max</v>
      </c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>
      <c r="A2188" s="10" t="str">
        <f t="shared" si="1"/>
        <v>June</v>
      </c>
      <c r="B2188" s="11">
        <f>IFERROR(__xludf.DUMMYFUNCTION("""COMPUTED_VALUE"""),46193.0)</f>
        <v>46193</v>
      </c>
      <c r="C2188" s="2" t="str">
        <f>IFERROR(__xludf.DUMMYFUNCTION("""COMPUTED_VALUE"""),"MOBILECARE - VERTIS NORTH")</f>
        <v>MOBILECARE - VERTIS NORTH</v>
      </c>
      <c r="D2188" s="2" t="str">
        <f>IFERROR(__xludf.DUMMYFUNCTION("""COMPUTED_VALUE"""),"Z661-55956")</f>
        <v>Z661-55956</v>
      </c>
      <c r="E2188" s="2" t="str">
        <f>IFERROR(__xludf.DUMMYFUNCTION("""COMPUTED_VALUE"""),"Logic Board, 256GB, iPhone 17 Pro Max, ROW")</f>
        <v>Logic Board, 256GB, iPhone 17 Pro Max, ROW</v>
      </c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>
      <c r="A2189" s="10" t="str">
        <f t="shared" si="1"/>
        <v>May</v>
      </c>
      <c r="B2189" s="11">
        <f>IFERROR(__xludf.DUMMYFUNCTION("""COMPUTED_VALUE"""),46146.0)</f>
        <v>46146</v>
      </c>
      <c r="C2189" s="2" t="str">
        <f>IFERROR(__xludf.DUMMYFUNCTION("""COMPUTED_VALUE"""),"MOBILECARE - VERTIS NORTH")</f>
        <v>MOBILECARE - VERTIS NORTH</v>
      </c>
      <c r="D2189" s="2" t="str">
        <f>IFERROR(__xludf.DUMMYFUNCTION("""COMPUTED_VALUE"""),"661-21991")</f>
        <v>661-21991</v>
      </c>
      <c r="E2189" s="2" t="str">
        <f>IFERROR(__xludf.DUMMYFUNCTION("""COMPUTED_VALUE"""),"Battery, iPhone 13")</f>
        <v>Battery, iPhone 13</v>
      </c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>
      <c r="A2190" s="10" t="str">
        <f t="shared" si="1"/>
        <v>May</v>
      </c>
      <c r="B2190" s="11">
        <f>IFERROR(__xludf.DUMMYFUNCTION("""COMPUTED_VALUE"""),46145.0)</f>
        <v>46145</v>
      </c>
      <c r="C2190" s="2" t="str">
        <f>IFERROR(__xludf.DUMMYFUNCTION("""COMPUTED_VALUE"""),"MOBILECARE - VERTIS NORTH")</f>
        <v>MOBILECARE - VERTIS NORTH</v>
      </c>
      <c r="D2190" s="2" t="str">
        <f>IFERROR(__xludf.DUMMYFUNCTION("""COMPUTED_VALUE"""),"661-22294")</f>
        <v>661-22294</v>
      </c>
      <c r="E2190" s="2" t="str">
        <f>IFERROR(__xludf.DUMMYFUNCTION("""COMPUTED_VALUE"""),"Battery, iPhone 13 Pro Max")</f>
        <v>Battery, iPhone 13 Pro Max</v>
      </c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>
      <c r="A2191" s="10" t="str">
        <f t="shared" si="1"/>
        <v>May</v>
      </c>
      <c r="B2191" s="11">
        <f>IFERROR(__xludf.DUMMYFUNCTION("""COMPUTED_VALUE"""),46145.0)</f>
        <v>46145</v>
      </c>
      <c r="C2191" s="2" t="str">
        <f>IFERROR(__xludf.DUMMYFUNCTION("""COMPUTED_VALUE"""),"MOBILECARE - VERTIS NORTH")</f>
        <v>MOBILECARE - VERTIS NORTH</v>
      </c>
      <c r="D2191" s="2" t="str">
        <f>IFERROR(__xludf.DUMMYFUNCTION("""COMPUTED_VALUE"""),"661-22293")</f>
        <v>661-22293</v>
      </c>
      <c r="E2191" s="2" t="str">
        <f>IFERROR(__xludf.DUMMYFUNCTION("""COMPUTED_VALUE"""),"Camera, iPhone 13 Pro and 13 Pro Max")</f>
        <v>Camera, iPhone 13 Pro and 13 Pro Max</v>
      </c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>
      <c r="A2192" s="10" t="str">
        <f t="shared" si="1"/>
        <v>April</v>
      </c>
      <c r="B2192" s="11">
        <f>IFERROR(__xludf.DUMMYFUNCTION("""COMPUTED_VALUE"""),46141.0)</f>
        <v>46141</v>
      </c>
      <c r="C2192" s="2" t="str">
        <f>IFERROR(__xludf.DUMMYFUNCTION("""COMPUTED_VALUE"""),"MOBILECARE - VERTIS NORTH")</f>
        <v>MOBILECARE - VERTIS NORTH</v>
      </c>
      <c r="D2192" s="2" t="str">
        <f>IFERROR(__xludf.DUMMYFUNCTION("""COMPUTED_VALUE"""),"661-30373")</f>
        <v>661-30373</v>
      </c>
      <c r="E2192" s="2" t="str">
        <f>IFERROR(__xludf.DUMMYFUNCTION("""COMPUTED_VALUE"""),"Battery, iPhone 14")</f>
        <v>Battery, iPhone 14</v>
      </c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>
      <c r="A2193" s="10" t="str">
        <f t="shared" si="1"/>
        <v>April</v>
      </c>
      <c r="B2193" s="11">
        <f>IFERROR(__xludf.DUMMYFUNCTION("""COMPUTED_VALUE"""),46133.0)</f>
        <v>46133</v>
      </c>
      <c r="C2193" s="2" t="str">
        <f>IFERROR(__xludf.DUMMYFUNCTION("""COMPUTED_VALUE"""),"MOBILECARE - VERTIS NORTH")</f>
        <v>MOBILECARE - VERTIS NORTH</v>
      </c>
      <c r="D2193" s="2" t="str">
        <f>IFERROR(__xludf.DUMMYFUNCTION("""COMPUTED_VALUE"""),"661-21988")</f>
        <v>661-21988</v>
      </c>
      <c r="E2193" s="2" t="str">
        <f>IFERROR(__xludf.DUMMYFUNCTION("""COMPUTED_VALUE"""),"Display, iPhone 13")</f>
        <v>Display, iPhone 13</v>
      </c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>
      <c r="A2194" s="10" t="str">
        <f t="shared" si="1"/>
        <v>April</v>
      </c>
      <c r="B2194" s="11">
        <f>IFERROR(__xludf.DUMMYFUNCTION("""COMPUTED_VALUE"""),46130.0)</f>
        <v>46130</v>
      </c>
      <c r="C2194" s="2" t="str">
        <f>IFERROR(__xludf.DUMMYFUNCTION("""COMPUTED_VALUE"""),"MOBILECARE - VERTIS NORTH")</f>
        <v>MOBILECARE - VERTIS NORTH</v>
      </c>
      <c r="D2194" s="2" t="str">
        <f>IFERROR(__xludf.DUMMYFUNCTION("""COMPUTED_VALUE"""),"661-21996")</f>
        <v>661-21996</v>
      </c>
      <c r="E2194" s="2" t="str">
        <f>IFERROR(__xludf.DUMMYFUNCTION("""COMPUTED_VALUE"""),"Battery, iPhone 13 Pro")</f>
        <v>Battery, iPhone 13 Pro</v>
      </c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>
      <c r="A2195" s="10" t="str">
        <f t="shared" si="1"/>
        <v>April</v>
      </c>
      <c r="B2195" s="11">
        <f>IFERROR(__xludf.DUMMYFUNCTION("""COMPUTED_VALUE"""),46131.0)</f>
        <v>46131</v>
      </c>
      <c r="C2195" s="2" t="str">
        <f>IFERROR(__xludf.DUMMYFUNCTION("""COMPUTED_VALUE"""),"MOBILECARE - VERTIS NORTH")</f>
        <v>MOBILECARE - VERTIS NORTH</v>
      </c>
      <c r="D2195" s="2" t="str">
        <f>IFERROR(__xludf.DUMMYFUNCTION("""COMPUTED_VALUE"""),"661-36706")</f>
        <v>661-36706</v>
      </c>
      <c r="E2195" s="2" t="str">
        <f>IFERROR(__xludf.DUMMYFUNCTION("""COMPUTED_VALUE"""),"Display, iPhone 15")</f>
        <v>Display, iPhone 15</v>
      </c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>
      <c r="A2196" s="10" t="str">
        <f t="shared" si="1"/>
        <v>April</v>
      </c>
      <c r="B2196" s="11">
        <f>IFERROR(__xludf.DUMMYFUNCTION("""COMPUTED_VALUE"""),46137.0)</f>
        <v>46137</v>
      </c>
      <c r="C2196" s="2" t="str">
        <f>IFERROR(__xludf.DUMMYFUNCTION("""COMPUTED_VALUE"""),"MOBILECARE - VERTIS NORTH")</f>
        <v>MOBILECARE - VERTIS NORTH</v>
      </c>
      <c r="D2196" s="2" t="str">
        <f>IFERROR(__xludf.DUMMYFUNCTION("""COMPUTED_VALUE"""),"Z661-55957")</f>
        <v>Z661-55957</v>
      </c>
      <c r="E2196" s="2" t="str">
        <f>IFERROR(__xludf.DUMMYFUNCTION("""COMPUTED_VALUE"""),"Logic Board, 512GB, iPhone 17 Pro Max, ROW")</f>
        <v>Logic Board, 512GB, iPhone 17 Pro Max, ROW</v>
      </c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>
      <c r="A2197" s="10" t="str">
        <f t="shared" si="1"/>
        <v>April</v>
      </c>
      <c r="B2197" s="11">
        <f>IFERROR(__xludf.DUMMYFUNCTION("""COMPUTED_VALUE"""),46137.0)</f>
        <v>46137</v>
      </c>
      <c r="C2197" s="2" t="str">
        <f>IFERROR(__xludf.DUMMYFUNCTION("""COMPUTED_VALUE"""),"MOBILECARE - VERTIS NORTH")</f>
        <v>MOBILECARE - VERTIS NORTH</v>
      </c>
      <c r="D2197" s="2" t="str">
        <f>IFERROR(__xludf.DUMMYFUNCTION("""COMPUTED_VALUE"""),"Z661-55957")</f>
        <v>Z661-55957</v>
      </c>
      <c r="E2197" s="2" t="str">
        <f>IFERROR(__xludf.DUMMYFUNCTION("""COMPUTED_VALUE"""),"Logic Board, 512GB, iPhone 17 Pro Max, ROW")</f>
        <v>Logic Board, 512GB, iPhone 17 Pro Max, ROW</v>
      </c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>
      <c r="A2198" s="10" t="str">
        <f t="shared" si="1"/>
        <v>April</v>
      </c>
      <c r="B2198" s="11">
        <f>IFERROR(__xludf.DUMMYFUNCTION("""COMPUTED_VALUE"""),46137.0)</f>
        <v>46137</v>
      </c>
      <c r="C2198" s="2" t="str">
        <f>IFERROR(__xludf.DUMMYFUNCTION("""COMPUTED_VALUE"""),"MOBILECARE - VERTIS NORTH")</f>
        <v>MOBILECARE - VERTIS NORTH</v>
      </c>
      <c r="D2198" s="2" t="str">
        <f>IFERROR(__xludf.DUMMYFUNCTION("""COMPUTED_VALUE"""),"923-13582")</f>
        <v>923-13582</v>
      </c>
      <c r="E2198" s="2" t="str">
        <f>IFERROR(__xludf.DUMMYFUNCTION("""COMPUTED_VALUE"""),"Main Microphone, pSIM, iPhone 17 Pro Max")</f>
        <v>Main Microphone, pSIM, iPhone 17 Pro Max</v>
      </c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>
      <c r="A2199" s="10" t="str">
        <f t="shared" si="1"/>
        <v>February</v>
      </c>
      <c r="B2199" s="11">
        <f>IFERROR(__xludf.DUMMYFUNCTION("""COMPUTED_VALUE"""),46071.0)</f>
        <v>46071</v>
      </c>
      <c r="C2199" s="2" t="str">
        <f>IFERROR(__xludf.DUMMYFUNCTION("""COMPUTED_VALUE"""),"MOBILECARE - VERTIS NORTH")</f>
        <v>MOBILECARE - VERTIS NORTH</v>
      </c>
      <c r="D2199" s="2" t="str">
        <f>IFERROR(__xludf.DUMMYFUNCTION("""COMPUTED_VALUE"""),"661-22294")</f>
        <v>661-22294</v>
      </c>
      <c r="E2199" s="2" t="str">
        <f>IFERROR(__xludf.DUMMYFUNCTION("""COMPUTED_VALUE"""),"Battery, iPhone 13 Pro Max")</f>
        <v>Battery, iPhone 13 Pro Max</v>
      </c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>
      <c r="A2200" s="10" t="str">
        <f t="shared" si="1"/>
        <v>January</v>
      </c>
      <c r="B2200" s="11">
        <f>IFERROR(__xludf.DUMMYFUNCTION("""COMPUTED_VALUE"""),46043.0)</f>
        <v>46043</v>
      </c>
      <c r="C2200" s="2" t="str">
        <f>IFERROR(__xludf.DUMMYFUNCTION("""COMPUTED_VALUE"""),"MOBILECARE - VERTIS NORTH")</f>
        <v>MOBILECARE - VERTIS NORTH</v>
      </c>
      <c r="D2200" s="2" t="str">
        <f>IFERROR(__xludf.DUMMYFUNCTION("""COMPUTED_VALUE"""),"661-22294")</f>
        <v>661-22294</v>
      </c>
      <c r="E2200" s="2" t="str">
        <f>IFERROR(__xludf.DUMMYFUNCTION("""COMPUTED_VALUE"""),"Battery, iPhone 13 Pro Max")</f>
        <v>Battery, iPhone 13 Pro Max</v>
      </c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>
      <c r="A2201" s="10" t="str">
        <f t="shared" si="1"/>
        <v>June</v>
      </c>
      <c r="B2201" s="11">
        <f>IFERROR(__xludf.DUMMYFUNCTION("""COMPUTED_VALUE"""),46185.0)</f>
        <v>46185</v>
      </c>
      <c r="C2201" s="2" t="str">
        <f>IFERROR(__xludf.DUMMYFUNCTION("""COMPUTED_VALUE"""),"MOBILECARE - VERTIS NORTH")</f>
        <v>MOBILECARE - VERTIS NORTH</v>
      </c>
      <c r="D2201" s="2" t="str">
        <f>IFERROR(__xludf.DUMMYFUNCTION("""COMPUTED_VALUE"""),"661-42726")</f>
        <v>661-42726</v>
      </c>
      <c r="E2201" s="2" t="str">
        <f>IFERROR(__xludf.DUMMYFUNCTION("""COMPUTED_VALUE"""),"Display, iPhone 16 Pro")</f>
        <v>Display, iPhone 16 Pro</v>
      </c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>
      <c r="A2202" s="10" t="str">
        <f t="shared" si="1"/>
        <v>June</v>
      </c>
      <c r="B2202" s="11">
        <f>IFERROR(__xludf.DUMMYFUNCTION("""COMPUTED_VALUE"""),46178.0)</f>
        <v>46178</v>
      </c>
      <c r="C2202" s="2" t="str">
        <f>IFERROR(__xludf.DUMMYFUNCTION("""COMPUTED_VALUE"""),"MOBILECARE - VERTIS NORTH")</f>
        <v>MOBILECARE - VERTIS NORTH</v>
      </c>
      <c r="D2202" s="2" t="str">
        <f>IFERROR(__xludf.DUMMYFUNCTION("""COMPUTED_VALUE"""),"661-21991")</f>
        <v>661-21991</v>
      </c>
      <c r="E2202" s="2" t="str">
        <f>IFERROR(__xludf.DUMMYFUNCTION("""COMPUTED_VALUE"""),"Battery, iPhone 13")</f>
        <v>Battery, iPhone 13</v>
      </c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>
      <c r="A2203" s="10" t="str">
        <f t="shared" si="1"/>
        <v>June</v>
      </c>
      <c r="B2203" s="11">
        <f>IFERROR(__xludf.DUMMYFUNCTION("""COMPUTED_VALUE"""),46178.0)</f>
        <v>46178</v>
      </c>
      <c r="C2203" s="2" t="str">
        <f>IFERROR(__xludf.DUMMYFUNCTION("""COMPUTED_VALUE"""),"MOBILECARE - VERTIS NORTH")</f>
        <v>MOBILECARE - VERTIS NORTH</v>
      </c>
      <c r="D2203" s="2" t="str">
        <f>IFERROR(__xludf.DUMMYFUNCTION("""COMPUTED_VALUE"""),"661-35694")</f>
        <v>661-35694</v>
      </c>
      <c r="E2203" s="2" t="str">
        <f>IFERROR(__xludf.DUMMYFUNCTION("""COMPUTED_VALUE"""),"Battery, iPhone 15 Pro")</f>
        <v>Battery, iPhone 15 Pro</v>
      </c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>
      <c r="A2204" s="10" t="str">
        <f t="shared" si="1"/>
        <v>June</v>
      </c>
      <c r="B2204" s="11">
        <f>IFERROR(__xludf.DUMMYFUNCTION("""COMPUTED_VALUE"""),46179.0)</f>
        <v>46179</v>
      </c>
      <c r="C2204" s="2" t="str">
        <f>IFERROR(__xludf.DUMMYFUNCTION("""COMPUTED_VALUE"""),"MOBILECARE - VERTIS NORTH")</f>
        <v>MOBILECARE - VERTIS NORTH</v>
      </c>
      <c r="D2204" s="2" t="str">
        <f>IFERROR(__xludf.DUMMYFUNCTION("""COMPUTED_VALUE"""),"661-44798")</f>
        <v>661-44798</v>
      </c>
      <c r="E2204" s="2" t="str">
        <f>IFERROR(__xludf.DUMMYFUNCTION("""COMPUTED_VALUE"""),"TrueDepth Camera, iPhone 16")</f>
        <v>TrueDepth Camera, iPhone 16</v>
      </c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>
      <c r="A2205" s="10" t="str">
        <f t="shared" si="1"/>
        <v>June</v>
      </c>
      <c r="B2205" s="11">
        <f>IFERROR(__xludf.DUMMYFUNCTION("""COMPUTED_VALUE"""),46179.0)</f>
        <v>46179</v>
      </c>
      <c r="C2205" s="2" t="str">
        <f>IFERROR(__xludf.DUMMYFUNCTION("""COMPUTED_VALUE"""),"MOBILECARE - VERTIS NORTH")</f>
        <v>MOBILECARE - VERTIS NORTH</v>
      </c>
      <c r="D2205" s="2" t="str">
        <f>IFERROR(__xludf.DUMMYFUNCTION("""COMPUTED_VALUE"""),"661-44799")</f>
        <v>661-44799</v>
      </c>
      <c r="E2205" s="2" t="str">
        <f>IFERROR(__xludf.DUMMYFUNCTION("""COMPUTED_VALUE"""),"Camera, iPhone 16")</f>
        <v>Camera, iPhone 16</v>
      </c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>
      <c r="A2206" s="10" t="str">
        <f t="shared" si="1"/>
        <v>June</v>
      </c>
      <c r="B2206" s="11">
        <f>IFERROR(__xludf.DUMMYFUNCTION("""COMPUTED_VALUE"""),46187.0)</f>
        <v>46187</v>
      </c>
      <c r="C2206" s="2" t="str">
        <f>IFERROR(__xludf.DUMMYFUNCTION("""COMPUTED_VALUE"""),"MOBILECARE - VERTIS NORTH")</f>
        <v>MOBILECARE - VERTIS NORTH</v>
      </c>
      <c r="D2206" s="2" t="str">
        <f>IFERROR(__xludf.DUMMYFUNCTION("""COMPUTED_VALUE"""),"Z661-55956")</f>
        <v>Z661-55956</v>
      </c>
      <c r="E2206" s="2" t="str">
        <f>IFERROR(__xludf.DUMMYFUNCTION("""COMPUTED_VALUE"""),"Logic Board, 256GB, iPhone 17 Pro Max, ROW")</f>
        <v>Logic Board, 256GB, iPhone 17 Pro Max, ROW</v>
      </c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>
      <c r="A2207" s="10" t="str">
        <f t="shared" si="1"/>
        <v>May</v>
      </c>
      <c r="B2207" s="11">
        <f>IFERROR(__xludf.DUMMYFUNCTION("""COMPUTED_VALUE"""),46150.0)</f>
        <v>46150</v>
      </c>
      <c r="C2207" s="2" t="str">
        <f>IFERROR(__xludf.DUMMYFUNCTION("""COMPUTED_VALUE"""),"MOBILECARE - VERTIS NORTH")</f>
        <v>MOBILECARE - VERTIS NORTH</v>
      </c>
      <c r="D2207" s="2" t="str">
        <f>IFERROR(__xludf.DUMMYFUNCTION("""COMPUTED_VALUE"""),"661-22294")</f>
        <v>661-22294</v>
      </c>
      <c r="E2207" s="2" t="str">
        <f>IFERROR(__xludf.DUMMYFUNCTION("""COMPUTED_VALUE"""),"Battery, iPhone 13 Pro Max")</f>
        <v>Battery, iPhone 13 Pro Max</v>
      </c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>
      <c r="A2208" s="10" t="str">
        <f t="shared" si="1"/>
        <v>April</v>
      </c>
      <c r="B2208" s="11">
        <f>IFERROR(__xludf.DUMMYFUNCTION("""COMPUTED_VALUE"""),46140.0)</f>
        <v>46140</v>
      </c>
      <c r="C2208" s="2" t="str">
        <f>IFERROR(__xludf.DUMMYFUNCTION("""COMPUTED_VALUE"""),"MOBILECARE - VERTIS NORTH")</f>
        <v>MOBILECARE - VERTIS NORTH</v>
      </c>
      <c r="D2208" s="2" t="str">
        <f>IFERROR(__xludf.DUMMYFUNCTION("""COMPUTED_VALUE"""),"661-42726")</f>
        <v>661-42726</v>
      </c>
      <c r="E2208" s="2" t="str">
        <f>IFERROR(__xludf.DUMMYFUNCTION("""COMPUTED_VALUE"""),"Display, iPhone 16 Pro")</f>
        <v>Display, iPhone 16 Pro</v>
      </c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>
      <c r="A2209" s="10" t="str">
        <f t="shared" si="1"/>
        <v>April</v>
      </c>
      <c r="B2209" s="11">
        <f>IFERROR(__xludf.DUMMYFUNCTION("""COMPUTED_VALUE"""),46135.0)</f>
        <v>46135</v>
      </c>
      <c r="C2209" s="2" t="str">
        <f>IFERROR(__xludf.DUMMYFUNCTION("""COMPUTED_VALUE"""),"MOBILECARE - VERTIS NORTH")</f>
        <v>MOBILECARE - VERTIS NORTH</v>
      </c>
      <c r="D2209" s="2" t="str">
        <f>IFERROR(__xludf.DUMMYFUNCTION("""COMPUTED_VALUE"""),"661-36706")</f>
        <v>661-36706</v>
      </c>
      <c r="E2209" s="2" t="str">
        <f>IFERROR(__xludf.DUMMYFUNCTION("""COMPUTED_VALUE"""),"Display, iPhone 15")</f>
        <v>Display, iPhone 15</v>
      </c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>
      <c r="A2210" s="10" t="str">
        <f t="shared" si="1"/>
        <v>April</v>
      </c>
      <c r="B2210" s="11">
        <f>IFERROR(__xludf.DUMMYFUNCTION("""COMPUTED_VALUE"""),46139.0)</f>
        <v>46139</v>
      </c>
      <c r="C2210" s="2" t="str">
        <f>IFERROR(__xludf.DUMMYFUNCTION("""COMPUTED_VALUE"""),"MOBILECARE - VERTIS NORTH")</f>
        <v>MOBILECARE - VERTIS NORTH</v>
      </c>
      <c r="D2210" s="2" t="str">
        <f>IFERROR(__xludf.DUMMYFUNCTION("""COMPUTED_VALUE"""),"661-21991")</f>
        <v>661-21991</v>
      </c>
      <c r="E2210" s="2" t="str">
        <f>IFERROR(__xludf.DUMMYFUNCTION("""COMPUTED_VALUE"""),"Battery, iPhone 13")</f>
        <v>Battery, iPhone 13</v>
      </c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>
      <c r="A2211" s="10" t="str">
        <f t="shared" si="1"/>
        <v>April</v>
      </c>
      <c r="B2211" s="11">
        <f>IFERROR(__xludf.DUMMYFUNCTION("""COMPUTED_VALUE"""),46129.0)</f>
        <v>46129</v>
      </c>
      <c r="C2211" s="2" t="str">
        <f>IFERROR(__xludf.DUMMYFUNCTION("""COMPUTED_VALUE"""),"MOBILECARE - VERTIS NORTH")</f>
        <v>MOBILECARE - VERTIS NORTH</v>
      </c>
      <c r="D2211" s="2" t="str">
        <f>IFERROR(__xludf.DUMMYFUNCTION("""COMPUTED_VALUE"""),"661-35694")</f>
        <v>661-35694</v>
      </c>
      <c r="E2211" s="2" t="str">
        <f>IFERROR(__xludf.DUMMYFUNCTION("""COMPUTED_VALUE"""),"Battery, iPhone 15 Pro")</f>
        <v>Battery, iPhone 15 Pro</v>
      </c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>
      <c r="A2212" s="10" t="str">
        <f t="shared" si="1"/>
        <v>April</v>
      </c>
      <c r="B2212" s="11">
        <f>IFERROR(__xludf.DUMMYFUNCTION("""COMPUTED_VALUE"""),46117.0)</f>
        <v>46117</v>
      </c>
      <c r="C2212" s="2" t="str">
        <f>IFERROR(__xludf.DUMMYFUNCTION("""COMPUTED_VALUE"""),"MOBILECARE - VERTIS NORTH")</f>
        <v>MOBILECARE - VERTIS NORTH</v>
      </c>
      <c r="D2212" s="2" t="str">
        <f>IFERROR(__xludf.DUMMYFUNCTION("""COMPUTED_VALUE"""),"661-44797")</f>
        <v>661-44797</v>
      </c>
      <c r="E2212" s="2" t="str">
        <f>IFERROR(__xludf.DUMMYFUNCTION("""COMPUTED_VALUE"""),"Display, iPhone 16")</f>
        <v>Display, iPhone 16</v>
      </c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>
      <c r="A2213" s="10" t="str">
        <f t="shared" si="1"/>
        <v>April</v>
      </c>
      <c r="B2213" s="11">
        <f>IFERROR(__xludf.DUMMYFUNCTION("""COMPUTED_VALUE"""),46113.0)</f>
        <v>46113</v>
      </c>
      <c r="C2213" s="2" t="str">
        <f>IFERROR(__xludf.DUMMYFUNCTION("""COMPUTED_VALUE"""),"MOBILECARE - VERTIS NORTH")</f>
        <v>MOBILECARE - VERTIS NORTH</v>
      </c>
      <c r="D2213" s="2" t="str">
        <f>IFERROR(__xludf.DUMMYFUNCTION("""COMPUTED_VALUE"""),"661-35828")</f>
        <v>661-35828</v>
      </c>
      <c r="E2213" s="2" t="str">
        <f>IFERROR(__xludf.DUMMYFUNCTION("""COMPUTED_VALUE"""),"Camera, iPhone 15")</f>
        <v>Camera, iPhone 15</v>
      </c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>
      <c r="A2214" s="10" t="str">
        <f t="shared" si="1"/>
        <v>March</v>
      </c>
      <c r="B2214" s="11">
        <f>IFERROR(__xludf.DUMMYFUNCTION("""COMPUTED_VALUE"""),46092.0)</f>
        <v>46092</v>
      </c>
      <c r="C2214" s="2" t="str">
        <f>IFERROR(__xludf.DUMMYFUNCTION("""COMPUTED_VALUE"""),"MOBILECARE - VERTIS NORTH")</f>
        <v>MOBILECARE - VERTIS NORTH</v>
      </c>
      <c r="D2214" s="2" t="str">
        <f>IFERROR(__xludf.DUMMYFUNCTION("""COMPUTED_VALUE"""),"661-44955")</f>
        <v>661-44955</v>
      </c>
      <c r="E2214" s="2" t="str">
        <f>IFERROR(__xludf.DUMMYFUNCTION("""COMPUTED_VALUE"""),"Display, iPhone 16 Pro Max")</f>
        <v>Display, iPhone 16 Pro Max</v>
      </c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>
      <c r="A2215" s="10" t="str">
        <f t="shared" si="1"/>
        <v>March</v>
      </c>
      <c r="B2215" s="11">
        <f>IFERROR(__xludf.DUMMYFUNCTION("""COMPUTED_VALUE"""),46090.0)</f>
        <v>46090</v>
      </c>
      <c r="C2215" s="2" t="str">
        <f>IFERROR(__xludf.DUMMYFUNCTION("""COMPUTED_VALUE"""),"MOBILECARE - VERTIS NORTH")</f>
        <v>MOBILECARE - VERTIS NORTH</v>
      </c>
      <c r="D2215" s="2" t="str">
        <f>IFERROR(__xludf.DUMMYFUNCTION("""COMPUTED_VALUE"""),"661-36706")</f>
        <v>661-36706</v>
      </c>
      <c r="E2215" s="2" t="str">
        <f>IFERROR(__xludf.DUMMYFUNCTION("""COMPUTED_VALUE"""),"Display, iPhone 15")</f>
        <v>Display, iPhone 15</v>
      </c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>
      <c r="A2216" s="10" t="str">
        <f t="shared" si="1"/>
        <v>March</v>
      </c>
      <c r="B2216" s="11">
        <f>IFERROR(__xludf.DUMMYFUNCTION("""COMPUTED_VALUE"""),46086.0)</f>
        <v>46086</v>
      </c>
      <c r="C2216" s="2" t="str">
        <f>IFERROR(__xludf.DUMMYFUNCTION("""COMPUTED_VALUE"""),"MOBILECARE - VERTIS NORTH")</f>
        <v>MOBILECARE - VERTIS NORTH</v>
      </c>
      <c r="D2216" s="2" t="str">
        <f>IFERROR(__xludf.DUMMYFUNCTION("""COMPUTED_VALUE"""),"661-22309")</f>
        <v>661-22309</v>
      </c>
      <c r="E2216" s="2" t="str">
        <f>IFERROR(__xludf.DUMMYFUNCTION("""COMPUTED_VALUE"""),"Display, iPhone 13 Pro Max")</f>
        <v>Display, iPhone 13 Pro Max</v>
      </c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>
      <c r="A2217" s="10" t="str">
        <f t="shared" si="1"/>
        <v>March</v>
      </c>
      <c r="B2217" s="11">
        <f>IFERROR(__xludf.DUMMYFUNCTION("""COMPUTED_VALUE"""),46086.0)</f>
        <v>46086</v>
      </c>
      <c r="C2217" s="2" t="str">
        <f>IFERROR(__xludf.DUMMYFUNCTION("""COMPUTED_VALUE"""),"MOBILECARE - VERTIS NORTH")</f>
        <v>MOBILECARE - VERTIS NORTH</v>
      </c>
      <c r="D2217" s="2" t="str">
        <f>IFERROR(__xludf.DUMMYFUNCTION("""COMPUTED_VALUE"""),"661-22294")</f>
        <v>661-22294</v>
      </c>
      <c r="E2217" s="2" t="str">
        <f>IFERROR(__xludf.DUMMYFUNCTION("""COMPUTED_VALUE"""),"Battery, iPhone 13 Pro Max")</f>
        <v>Battery, iPhone 13 Pro Max</v>
      </c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>
      <c r="A2218" s="10" t="str">
        <f t="shared" si="1"/>
        <v>March</v>
      </c>
      <c r="B2218" s="11">
        <f>IFERROR(__xludf.DUMMYFUNCTION("""COMPUTED_VALUE"""),46086.0)</f>
        <v>46086</v>
      </c>
      <c r="C2218" s="2" t="str">
        <f>IFERROR(__xludf.DUMMYFUNCTION("""COMPUTED_VALUE"""),"MOBILECARE - VERTIS NORTH")</f>
        <v>MOBILECARE - VERTIS NORTH</v>
      </c>
      <c r="D2218" s="2" t="str">
        <f>IFERROR(__xludf.DUMMYFUNCTION("""COMPUTED_VALUE"""),"661-22309")</f>
        <v>661-22309</v>
      </c>
      <c r="E2218" s="2" t="str">
        <f>IFERROR(__xludf.DUMMYFUNCTION("""COMPUTED_VALUE"""),"Display, iPhone 13 Pro Max")</f>
        <v>Display, iPhone 13 Pro Max</v>
      </c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>
      <c r="A2219" s="10" t="str">
        <f t="shared" si="1"/>
        <v>February</v>
      </c>
      <c r="B2219" s="11">
        <f>IFERROR(__xludf.DUMMYFUNCTION("""COMPUTED_VALUE"""),46071.0)</f>
        <v>46071</v>
      </c>
      <c r="C2219" s="2" t="str">
        <f>IFERROR(__xludf.DUMMYFUNCTION("""COMPUTED_VALUE"""),"MOBILECARE - VERTIS NORTH")</f>
        <v>MOBILECARE - VERTIS NORTH</v>
      </c>
      <c r="D2219" s="2" t="str">
        <f>IFERROR(__xludf.DUMMYFUNCTION("""COMPUTED_VALUE"""),"661-13574")</f>
        <v>661-13574</v>
      </c>
      <c r="E2219" s="2" t="str">
        <f>IFERROR(__xludf.DUMMYFUNCTION("""COMPUTED_VALUE"""),"Battery, iPhone 11")</f>
        <v>Battery, iPhone 11</v>
      </c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>
      <c r="A2220" s="10" t="str">
        <f t="shared" si="1"/>
        <v>January</v>
      </c>
      <c r="B2220" s="11">
        <f>IFERROR(__xludf.DUMMYFUNCTION("""COMPUTED_VALUE"""),46045.0)</f>
        <v>46045</v>
      </c>
      <c r="C2220" s="2" t="str">
        <f>IFERROR(__xludf.DUMMYFUNCTION("""COMPUTED_VALUE"""),"MOBILECARE - VERTIS NORTH")</f>
        <v>MOBILECARE - VERTIS NORTH</v>
      </c>
      <c r="D2220" s="2" t="str">
        <f>IFERROR(__xludf.DUMMYFUNCTION("""COMPUTED_VALUE"""),"661-44797")</f>
        <v>661-44797</v>
      </c>
      <c r="E2220" s="2" t="str">
        <f>IFERROR(__xludf.DUMMYFUNCTION("""COMPUTED_VALUE"""),"Display, iPhone 16")</f>
        <v>Display, iPhone 16</v>
      </c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>
      <c r="A2221" s="10" t="str">
        <f t="shared" si="1"/>
        <v>June</v>
      </c>
      <c r="B2221" s="11">
        <f>IFERROR(__xludf.DUMMYFUNCTION("""COMPUTED_VALUE"""),46181.0)</f>
        <v>46181</v>
      </c>
      <c r="C2221" s="2" t="str">
        <f>IFERROR(__xludf.DUMMYFUNCTION("""COMPUTED_VALUE"""),"MOBILECARE - VERTIS NORTH")</f>
        <v>MOBILECARE - VERTIS NORTH</v>
      </c>
      <c r="D2221" s="2" t="str">
        <f>IFERROR(__xludf.DUMMYFUNCTION("""COMPUTED_VALUE"""),"661-36918")</f>
        <v>661-36918</v>
      </c>
      <c r="E2221" s="2" t="str">
        <f>IFERROR(__xludf.DUMMYFUNCTION("""COMPUTED_VALUE"""),"Battery, iPhone 15 Pro Max")</f>
        <v>Battery, iPhone 15 Pro Max</v>
      </c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>
      <c r="A2222" s="10" t="str">
        <f t="shared" si="1"/>
        <v>May</v>
      </c>
      <c r="B2222" s="11">
        <f>IFERROR(__xludf.DUMMYFUNCTION("""COMPUTED_VALUE"""),46169.0)</f>
        <v>46169</v>
      </c>
      <c r="C2222" s="2" t="str">
        <f>IFERROR(__xludf.DUMMYFUNCTION("""COMPUTED_VALUE"""),"MOBILECARE - VERTIS NORTH")</f>
        <v>MOBILECARE - VERTIS NORTH</v>
      </c>
      <c r="D2222" s="2" t="str">
        <f>IFERROR(__xludf.DUMMYFUNCTION("""COMPUTED_VALUE"""),"661-56051")</f>
        <v>661-56051</v>
      </c>
      <c r="E2222" s="2" t="str">
        <f>IFERROR(__xludf.DUMMYFUNCTION("""COMPUTED_VALUE"""),"Front Camera, iPhone 17 Pro Max")</f>
        <v>Front Camera, iPhone 17 Pro Max</v>
      </c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>
      <c r="A2223" s="10" t="str">
        <f t="shared" si="1"/>
        <v>May</v>
      </c>
      <c r="B2223" s="11">
        <f>IFERROR(__xludf.DUMMYFUNCTION("""COMPUTED_VALUE"""),46169.0)</f>
        <v>46169</v>
      </c>
      <c r="C2223" s="2" t="str">
        <f>IFERROR(__xludf.DUMMYFUNCTION("""COMPUTED_VALUE"""),"MOBILECARE - VERTIS NORTH")</f>
        <v>MOBILECARE - VERTIS NORTH</v>
      </c>
      <c r="D2223" s="2" t="str">
        <f>IFERROR(__xludf.DUMMYFUNCTION("""COMPUTED_VALUE"""),"661-56052")</f>
        <v>661-56052</v>
      </c>
      <c r="E2223" s="2" t="str">
        <f>IFERROR(__xludf.DUMMYFUNCTION("""COMPUTED_VALUE"""),"Camera, iPhone 17 Pro Max")</f>
        <v>Camera, iPhone 17 Pro Max</v>
      </c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>
      <c r="A2224" s="10" t="str">
        <f t="shared" si="1"/>
        <v>June</v>
      </c>
      <c r="B2224" s="11">
        <f>IFERROR(__xludf.DUMMYFUNCTION("""COMPUTED_VALUE"""),46182.0)</f>
        <v>46182</v>
      </c>
      <c r="C2224" s="2" t="str">
        <f>IFERROR(__xludf.DUMMYFUNCTION("""COMPUTED_VALUE"""),"MOBILECARE - VERTIS NORTH")</f>
        <v>MOBILECARE - VERTIS NORTH</v>
      </c>
      <c r="D2224" s="2" t="str">
        <f>IFERROR(__xludf.DUMMYFUNCTION("""COMPUTED_VALUE"""),"Z661-55956")</f>
        <v>Z661-55956</v>
      </c>
      <c r="E2224" s="2" t="str">
        <f>IFERROR(__xludf.DUMMYFUNCTION("""COMPUTED_VALUE"""),"Logic Board, 256GB, iPhone 17 Pro Max, ROW")</f>
        <v>Logic Board, 256GB, iPhone 17 Pro Max, ROW</v>
      </c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>
      <c r="A2225" s="10" t="str">
        <f t="shared" si="1"/>
        <v>May</v>
      </c>
      <c r="B2225" s="11">
        <f>IFERROR(__xludf.DUMMYFUNCTION("""COMPUTED_VALUE"""),46145.0)</f>
        <v>46145</v>
      </c>
      <c r="C2225" s="2" t="str">
        <f>IFERROR(__xludf.DUMMYFUNCTION("""COMPUTED_VALUE"""),"MOBILECARE - VERTIS NORTH")</f>
        <v>MOBILECARE - VERTIS NORTH</v>
      </c>
      <c r="D2225" s="2" t="str">
        <f>IFERROR(__xludf.DUMMYFUNCTION("""COMPUTED_VALUE"""),"661-30401")</f>
        <v>661-30401</v>
      </c>
      <c r="E2225" s="2" t="str">
        <f>IFERROR(__xludf.DUMMYFUNCTION("""COMPUTED_VALUE"""),"Display, iPhone 14 Pro Max")</f>
        <v>Display, iPhone 14 Pro Max</v>
      </c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>
      <c r="A2226" s="10" t="str">
        <f t="shared" si="1"/>
        <v>May</v>
      </c>
      <c r="B2226" s="11">
        <f>IFERROR(__xludf.DUMMYFUNCTION("""COMPUTED_VALUE"""),46143.0)</f>
        <v>46143</v>
      </c>
      <c r="C2226" s="2" t="str">
        <f>IFERROR(__xludf.DUMMYFUNCTION("""COMPUTED_VALUE"""),"MOBILECARE - VERTIS NORTH")</f>
        <v>MOBILECARE - VERTIS NORTH</v>
      </c>
      <c r="D2226" s="2" t="str">
        <f>IFERROR(__xludf.DUMMYFUNCTION("""COMPUTED_VALUE"""),"661-30373")</f>
        <v>661-30373</v>
      </c>
      <c r="E2226" s="2" t="str">
        <f>IFERROR(__xludf.DUMMYFUNCTION("""COMPUTED_VALUE"""),"Battery, iPhone 14")</f>
        <v>Battery, iPhone 14</v>
      </c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>
      <c r="A2227" s="10" t="str">
        <f t="shared" si="1"/>
        <v>April</v>
      </c>
      <c r="B2227" s="11">
        <f>IFERROR(__xludf.DUMMYFUNCTION("""COMPUTED_VALUE"""),46140.0)</f>
        <v>46140</v>
      </c>
      <c r="C2227" s="2" t="str">
        <f>IFERROR(__xludf.DUMMYFUNCTION("""COMPUTED_VALUE"""),"MOBILECARE - VERTIS NORTH")</f>
        <v>MOBILECARE - VERTIS NORTH</v>
      </c>
      <c r="D2227" s="2" t="str">
        <f>IFERROR(__xludf.DUMMYFUNCTION("""COMPUTED_VALUE"""),"661-21996")</f>
        <v>661-21996</v>
      </c>
      <c r="E2227" s="2" t="str">
        <f>IFERROR(__xludf.DUMMYFUNCTION("""COMPUTED_VALUE"""),"Battery, iPhone 13 Pro")</f>
        <v>Battery, iPhone 13 Pro</v>
      </c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>
      <c r="A2228" s="10" t="str">
        <f t="shared" si="1"/>
        <v>June</v>
      </c>
      <c r="B2228" s="11">
        <f>IFERROR(__xludf.DUMMYFUNCTION("""COMPUTED_VALUE"""),46178.0)</f>
        <v>46178</v>
      </c>
      <c r="C2228" s="2" t="str">
        <f>IFERROR(__xludf.DUMMYFUNCTION("""COMPUTED_VALUE"""),"MOBILECARE - VERTIS NORTH")</f>
        <v>MOBILECARE - VERTIS NORTH</v>
      </c>
      <c r="D2228" s="2" t="str">
        <f>IFERROR(__xludf.DUMMYFUNCTION("""COMPUTED_VALUE"""),"Z661-55957")</f>
        <v>Z661-55957</v>
      </c>
      <c r="E2228" s="2" t="str">
        <f>IFERROR(__xludf.DUMMYFUNCTION("""COMPUTED_VALUE"""),"Logic Board, 512GB, iPhone 17 Pro Max, ROW")</f>
        <v>Logic Board, 512GB, iPhone 17 Pro Max, ROW</v>
      </c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>
      <c r="A2229" s="10" t="str">
        <f t="shared" si="1"/>
        <v>April</v>
      </c>
      <c r="B2229" s="11">
        <f>IFERROR(__xludf.DUMMYFUNCTION("""COMPUTED_VALUE"""),46134.0)</f>
        <v>46134</v>
      </c>
      <c r="C2229" s="2" t="str">
        <f>IFERROR(__xludf.DUMMYFUNCTION("""COMPUTED_VALUE"""),"MOBILECARE - VERTIS NORTH")</f>
        <v>MOBILECARE - VERTIS NORTH</v>
      </c>
      <c r="D2229" s="2" t="str">
        <f>IFERROR(__xludf.DUMMYFUNCTION("""COMPUTED_VALUE"""),"661-21996")</f>
        <v>661-21996</v>
      </c>
      <c r="E2229" s="2" t="str">
        <f>IFERROR(__xludf.DUMMYFUNCTION("""COMPUTED_VALUE"""),"Battery, iPhone 13 Pro")</f>
        <v>Battery, iPhone 13 Pro</v>
      </c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>
      <c r="A2230" s="10" t="str">
        <f t="shared" si="1"/>
        <v>April</v>
      </c>
      <c r="B2230" s="11">
        <f>IFERROR(__xludf.DUMMYFUNCTION("""COMPUTED_VALUE"""),46127.0)</f>
        <v>46127</v>
      </c>
      <c r="C2230" s="2" t="str">
        <f>IFERROR(__xludf.DUMMYFUNCTION("""COMPUTED_VALUE"""),"MOBILECARE - VERTIS NORTH")</f>
        <v>MOBILECARE - VERTIS NORTH</v>
      </c>
      <c r="D2230" s="2" t="str">
        <f>IFERROR(__xludf.DUMMYFUNCTION("""COMPUTED_VALUE"""),"661-21988")</f>
        <v>661-21988</v>
      </c>
      <c r="E2230" s="2" t="str">
        <f>IFERROR(__xludf.DUMMYFUNCTION("""COMPUTED_VALUE"""),"Display, iPhone 13")</f>
        <v>Display, iPhone 13</v>
      </c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>
      <c r="A2231" s="10" t="str">
        <f t="shared" si="1"/>
        <v>March</v>
      </c>
      <c r="B2231" s="11">
        <f>IFERROR(__xludf.DUMMYFUNCTION("""COMPUTED_VALUE"""),46101.0)</f>
        <v>46101</v>
      </c>
      <c r="C2231" s="2" t="str">
        <f>IFERROR(__xludf.DUMMYFUNCTION("""COMPUTED_VALUE"""),"MOBILECARE - VERTIS NORTH")</f>
        <v>MOBILECARE - VERTIS NORTH</v>
      </c>
      <c r="D2231" s="2" t="str">
        <f>IFERROR(__xludf.DUMMYFUNCTION("""COMPUTED_VALUE"""),"661-56050")</f>
        <v>661-56050</v>
      </c>
      <c r="E2231" s="2" t="str">
        <f>IFERROR(__xludf.DUMMYFUNCTION("""COMPUTED_VALUE"""),"Display, iPhone 17 Pro Max")</f>
        <v>Display, iPhone 17 Pro Max</v>
      </c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>
      <c r="A2232" s="10" t="str">
        <f t="shared" si="1"/>
        <v>March</v>
      </c>
      <c r="B2232" s="11">
        <f>IFERROR(__xludf.DUMMYFUNCTION("""COMPUTED_VALUE"""),46097.0)</f>
        <v>46097</v>
      </c>
      <c r="C2232" s="2" t="str">
        <f>IFERROR(__xludf.DUMMYFUNCTION("""COMPUTED_VALUE"""),"MOBILECARE - VERTIS NORTH")</f>
        <v>MOBILECARE - VERTIS NORTH</v>
      </c>
      <c r="D2232" s="2" t="str">
        <f>IFERROR(__xludf.DUMMYFUNCTION("""COMPUTED_VALUE"""),"661-30382")</f>
        <v>661-30382</v>
      </c>
      <c r="E2232" s="2" t="str">
        <f>IFERROR(__xludf.DUMMYFUNCTION("""COMPUTED_VALUE"""),"Battery, iPhone 14 Pro")</f>
        <v>Battery, iPhone 14 Pro</v>
      </c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>
      <c r="A2233" s="10" t="str">
        <f t="shared" si="1"/>
        <v>March</v>
      </c>
      <c r="B2233" s="11">
        <f>IFERROR(__xludf.DUMMYFUNCTION("""COMPUTED_VALUE"""),46100.0)</f>
        <v>46100</v>
      </c>
      <c r="C2233" s="2" t="str">
        <f>IFERROR(__xludf.DUMMYFUNCTION("""COMPUTED_VALUE"""),"MOBILECARE - VERTIS NORTH")</f>
        <v>MOBILECARE - VERTIS NORTH</v>
      </c>
      <c r="D2233" s="2" t="str">
        <f>IFERROR(__xludf.DUMMYFUNCTION("""COMPUTED_VALUE"""),"661-21991")</f>
        <v>661-21991</v>
      </c>
      <c r="E2233" s="2" t="str">
        <f>IFERROR(__xludf.DUMMYFUNCTION("""COMPUTED_VALUE"""),"Battery, iPhone 13")</f>
        <v>Battery, iPhone 13</v>
      </c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>
      <c r="A2234" s="10" t="str">
        <f t="shared" si="1"/>
        <v>March</v>
      </c>
      <c r="B2234" s="11">
        <f>IFERROR(__xludf.DUMMYFUNCTION("""COMPUTED_VALUE"""),46088.0)</f>
        <v>46088</v>
      </c>
      <c r="C2234" s="2" t="str">
        <f>IFERROR(__xludf.DUMMYFUNCTION("""COMPUTED_VALUE"""),"MOBILECARE - VERTIS NORTH")</f>
        <v>MOBILECARE - VERTIS NORTH</v>
      </c>
      <c r="D2234" s="2" t="str">
        <f>IFERROR(__xludf.DUMMYFUNCTION("""COMPUTED_VALUE"""),"661-21996")</f>
        <v>661-21996</v>
      </c>
      <c r="E2234" s="2" t="str">
        <f>IFERROR(__xludf.DUMMYFUNCTION("""COMPUTED_VALUE"""),"Battery, iPhone 13 Pro")</f>
        <v>Battery, iPhone 13 Pro</v>
      </c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>
      <c r="A2235" s="10" t="str">
        <f t="shared" si="1"/>
        <v>March</v>
      </c>
      <c r="B2235" s="11">
        <f>IFERROR(__xludf.DUMMYFUNCTION("""COMPUTED_VALUE"""),46083.0)</f>
        <v>46083</v>
      </c>
      <c r="C2235" s="2" t="str">
        <f>IFERROR(__xludf.DUMMYFUNCTION("""COMPUTED_VALUE"""),"MOBILECARE - VERTIS NORTH")</f>
        <v>MOBILECARE - VERTIS NORTH</v>
      </c>
      <c r="D2235" s="2" t="str">
        <f>IFERROR(__xludf.DUMMYFUNCTION("""COMPUTED_VALUE"""),"661-30373")</f>
        <v>661-30373</v>
      </c>
      <c r="E2235" s="2" t="str">
        <f>IFERROR(__xludf.DUMMYFUNCTION("""COMPUTED_VALUE"""),"Battery, iPhone 14")</f>
        <v>Battery, iPhone 14</v>
      </c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>
      <c r="A2236" s="10" t="str">
        <f t="shared" si="1"/>
        <v>February</v>
      </c>
      <c r="B2236" s="11">
        <f>IFERROR(__xludf.DUMMYFUNCTION("""COMPUTED_VALUE"""),46079.0)</f>
        <v>46079</v>
      </c>
      <c r="C2236" s="2" t="str">
        <f>IFERROR(__xludf.DUMMYFUNCTION("""COMPUTED_VALUE"""),"MOBILECARE - VERTIS NORTH")</f>
        <v>MOBILECARE - VERTIS NORTH</v>
      </c>
      <c r="D2236" s="2" t="str">
        <f>IFERROR(__xludf.DUMMYFUNCTION("""COMPUTED_VALUE"""),"661-30382")</f>
        <v>661-30382</v>
      </c>
      <c r="E2236" s="2" t="str">
        <f>IFERROR(__xludf.DUMMYFUNCTION("""COMPUTED_VALUE"""),"Battery, iPhone 14 Pro")</f>
        <v>Battery, iPhone 14 Pro</v>
      </c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>
      <c r="A2237" s="10" t="str">
        <f t="shared" si="1"/>
        <v>February</v>
      </c>
      <c r="B2237" s="11">
        <f>IFERROR(__xludf.DUMMYFUNCTION("""COMPUTED_VALUE"""),46071.0)</f>
        <v>46071</v>
      </c>
      <c r="C2237" s="2" t="str">
        <f>IFERROR(__xludf.DUMMYFUNCTION("""COMPUTED_VALUE"""),"MOBILECARE - VERTIS NORTH")</f>
        <v>MOBILECARE - VERTIS NORTH</v>
      </c>
      <c r="D2237" s="2" t="str">
        <f>IFERROR(__xludf.DUMMYFUNCTION("""COMPUTED_VALUE"""),"661-21996")</f>
        <v>661-21996</v>
      </c>
      <c r="E2237" s="2" t="str">
        <f>IFERROR(__xludf.DUMMYFUNCTION("""COMPUTED_VALUE"""),"Battery, iPhone 13 Pro")</f>
        <v>Battery, iPhone 13 Pro</v>
      </c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>
      <c r="A2238" s="10" t="str">
        <f t="shared" si="1"/>
        <v>February</v>
      </c>
      <c r="B2238" s="11">
        <f>IFERROR(__xludf.DUMMYFUNCTION("""COMPUTED_VALUE"""),46069.0)</f>
        <v>46069</v>
      </c>
      <c r="C2238" s="2" t="str">
        <f>IFERROR(__xludf.DUMMYFUNCTION("""COMPUTED_VALUE"""),"MOBILECARE - VERTIS NORTH")</f>
        <v>MOBILECARE - VERTIS NORTH</v>
      </c>
      <c r="D2238" s="2" t="str">
        <f>IFERROR(__xludf.DUMMYFUNCTION("""COMPUTED_VALUE"""),"661-36918")</f>
        <v>661-36918</v>
      </c>
      <c r="E2238" s="2" t="str">
        <f>IFERROR(__xludf.DUMMYFUNCTION("""COMPUTED_VALUE"""),"Battery, iPhone 15 Pro Max")</f>
        <v>Battery, iPhone 15 Pro Max</v>
      </c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>
      <c r="A2239" s="10" t="str">
        <f t="shared" si="1"/>
        <v>January</v>
      </c>
      <c r="B2239" s="11">
        <f>IFERROR(__xludf.DUMMYFUNCTION("""COMPUTED_VALUE"""),46053.0)</f>
        <v>46053</v>
      </c>
      <c r="C2239" s="2" t="str">
        <f>IFERROR(__xludf.DUMMYFUNCTION("""COMPUTED_VALUE"""),"MOBILECARE - VERTIS NORTH")</f>
        <v>MOBILECARE - VERTIS NORTH</v>
      </c>
      <c r="D2239" s="2" t="str">
        <f>IFERROR(__xludf.DUMMYFUNCTION("""COMPUTED_VALUE"""),"661-22294")</f>
        <v>661-22294</v>
      </c>
      <c r="E2239" s="2" t="str">
        <f>IFERROR(__xludf.DUMMYFUNCTION("""COMPUTED_VALUE"""),"Battery, iPhone 13 Pro Max")</f>
        <v>Battery, iPhone 13 Pro Max</v>
      </c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>
      <c r="A2240" s="10" t="str">
        <f t="shared" si="1"/>
        <v>January</v>
      </c>
      <c r="B2240" s="11">
        <f>IFERROR(__xludf.DUMMYFUNCTION("""COMPUTED_VALUE"""),46042.0)</f>
        <v>46042</v>
      </c>
      <c r="C2240" s="2" t="str">
        <f>IFERROR(__xludf.DUMMYFUNCTION("""COMPUTED_VALUE"""),"MOBILECARE - VERTIS NORTH")</f>
        <v>MOBILECARE - VERTIS NORTH</v>
      </c>
      <c r="D2240" s="2" t="str">
        <f>IFERROR(__xludf.DUMMYFUNCTION("""COMPUTED_VALUE"""),"661-18428")</f>
        <v>661-18428</v>
      </c>
      <c r="E2240" s="2" t="str">
        <f>IFERROR(__xludf.DUMMYFUNCTION("""COMPUTED_VALUE"""),"Battery, iPhone 12 Pro Max")</f>
        <v>Battery, iPhone 12 Pro Max</v>
      </c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>
      <c r="A2241" s="10" t="str">
        <f t="shared" si="1"/>
        <v>June</v>
      </c>
      <c r="B2241" s="11">
        <f>IFERROR(__xludf.DUMMYFUNCTION("""COMPUTED_VALUE"""),46192.0)</f>
        <v>46192</v>
      </c>
      <c r="C2241" s="2" t="str">
        <f>IFERROR(__xludf.DUMMYFUNCTION("""COMPUTED_VALUE"""),"MOBILECARE - VERTIS NORTH")</f>
        <v>MOBILECARE - VERTIS NORTH</v>
      </c>
      <c r="D2241" s="2" t="str">
        <f>IFERROR(__xludf.DUMMYFUNCTION("""COMPUTED_VALUE"""),"661-21991")</f>
        <v>661-21991</v>
      </c>
      <c r="E2241" s="2" t="str">
        <f>IFERROR(__xludf.DUMMYFUNCTION("""COMPUTED_VALUE"""),"Battery, iPhone 13")</f>
        <v>Battery, iPhone 13</v>
      </c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>
      <c r="A2242" s="10" t="str">
        <f t="shared" si="1"/>
        <v>June</v>
      </c>
      <c r="B2242" s="11">
        <f>IFERROR(__xludf.DUMMYFUNCTION("""COMPUTED_VALUE"""),46182.0)</f>
        <v>46182</v>
      </c>
      <c r="C2242" s="2" t="str">
        <f>IFERROR(__xludf.DUMMYFUNCTION("""COMPUTED_VALUE"""),"MOBILECARE - VERTIS NORTH")</f>
        <v>MOBILECARE - VERTIS NORTH</v>
      </c>
      <c r="D2242" s="2" t="str">
        <f>IFERROR(__xludf.DUMMYFUNCTION("""COMPUTED_VALUE"""),"TA661-45272")</f>
        <v>TA661-45272</v>
      </c>
      <c r="E2242" s="2" t="str">
        <f>IFERROR(__xludf.DUMMYFUNCTION("""COMPUTED_VALUE"""),"1TB, Natural Titanium, ROW, iPhone 16 Pro Max, CI/AR")</f>
        <v>1TB, Natural Titanium, ROW, iPhone 16 Pro Max, CI/AR</v>
      </c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>
      <c r="A2243" s="10" t="str">
        <f t="shared" si="1"/>
        <v>May</v>
      </c>
      <c r="B2243" s="11">
        <f>IFERROR(__xludf.DUMMYFUNCTION("""COMPUTED_VALUE"""),46150.0)</f>
        <v>46150</v>
      </c>
      <c r="C2243" s="2" t="str">
        <f>IFERROR(__xludf.DUMMYFUNCTION("""COMPUTED_VALUE"""),"MOBILECARE - VERTIS NORTH")</f>
        <v>MOBILECARE - VERTIS NORTH</v>
      </c>
      <c r="D2243" s="2" t="str">
        <f>IFERROR(__xludf.DUMMYFUNCTION("""COMPUTED_VALUE"""),"661-21991")</f>
        <v>661-21991</v>
      </c>
      <c r="E2243" s="2" t="str">
        <f>IFERROR(__xludf.DUMMYFUNCTION("""COMPUTED_VALUE"""),"Battery, iPhone 13")</f>
        <v>Battery, iPhone 13</v>
      </c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>
      <c r="A2244" s="10" t="str">
        <f t="shared" si="1"/>
        <v>May</v>
      </c>
      <c r="B2244" s="11">
        <f>IFERROR(__xludf.DUMMYFUNCTION("""COMPUTED_VALUE"""),46153.0)</f>
        <v>46153</v>
      </c>
      <c r="C2244" s="2" t="str">
        <f>IFERROR(__xludf.DUMMYFUNCTION("""COMPUTED_VALUE"""),"MOBILECARE - VERTIS NORTH")</f>
        <v>MOBILECARE - VERTIS NORTH</v>
      </c>
      <c r="D2244" s="2" t="str">
        <f>IFERROR(__xludf.DUMMYFUNCTION("""COMPUTED_VALUE"""),"ZP923-13786")</f>
        <v>ZP923-13786</v>
      </c>
      <c r="E2244" s="2" t="str">
        <f>IFERROR(__xludf.DUMMYFUNCTION("""COMPUTED_VALUE"""),"Cosmic Orange, Enclosure, iPhone 17 Pro Max, ROW")</f>
        <v>Cosmic Orange, Enclosure, iPhone 17 Pro Max, ROW</v>
      </c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>
      <c r="A2245" s="10" t="str">
        <f t="shared" si="1"/>
        <v>May</v>
      </c>
      <c r="B2245" s="11">
        <f>IFERROR(__xludf.DUMMYFUNCTION("""COMPUTED_VALUE"""),46153.0)</f>
        <v>46153</v>
      </c>
      <c r="C2245" s="2" t="str">
        <f>IFERROR(__xludf.DUMMYFUNCTION("""COMPUTED_VALUE"""),"MOBILECARE - VERTIS NORTH")</f>
        <v>MOBILECARE - VERTIS NORTH</v>
      </c>
      <c r="D2245" s="2" t="str">
        <f>IFERROR(__xludf.DUMMYFUNCTION("""COMPUTED_VALUE"""),"661-56050")</f>
        <v>661-56050</v>
      </c>
      <c r="E2245" s="2" t="str">
        <f>IFERROR(__xludf.DUMMYFUNCTION("""COMPUTED_VALUE"""),"Display, iPhone 17 Pro Max")</f>
        <v>Display, iPhone 17 Pro Max</v>
      </c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>
      <c r="A2246" s="10" t="str">
        <f t="shared" si="1"/>
        <v>May</v>
      </c>
      <c r="B2246" s="11">
        <f>IFERROR(__xludf.DUMMYFUNCTION("""COMPUTED_VALUE"""),46149.0)</f>
        <v>46149</v>
      </c>
      <c r="C2246" s="2" t="str">
        <f>IFERROR(__xludf.DUMMYFUNCTION("""COMPUTED_VALUE"""),"MOBILECARE - VERTIS NORTH")</f>
        <v>MOBILECARE - VERTIS NORTH</v>
      </c>
      <c r="D2246" s="2" t="str">
        <f>IFERROR(__xludf.DUMMYFUNCTION("""COMPUTED_VALUE"""),"661-21991")</f>
        <v>661-21991</v>
      </c>
      <c r="E2246" s="2" t="str">
        <f>IFERROR(__xludf.DUMMYFUNCTION("""COMPUTED_VALUE"""),"Battery, iPhone 13")</f>
        <v>Battery, iPhone 13</v>
      </c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>
      <c r="A2247" s="10" t="str">
        <f t="shared" si="1"/>
        <v>May</v>
      </c>
      <c r="B2247" s="11">
        <f>IFERROR(__xludf.DUMMYFUNCTION("""COMPUTED_VALUE"""),46143.0)</f>
        <v>46143</v>
      </c>
      <c r="C2247" s="2" t="str">
        <f>IFERROR(__xludf.DUMMYFUNCTION("""COMPUTED_VALUE"""),"MOBILECARE - VERTIS NORTH")</f>
        <v>MOBILECARE - VERTIS NORTH</v>
      </c>
      <c r="D2247" s="2" t="str">
        <f>IFERROR(__xludf.DUMMYFUNCTION("""COMPUTED_VALUE"""),"661-21991")</f>
        <v>661-21991</v>
      </c>
      <c r="E2247" s="2" t="str">
        <f>IFERROR(__xludf.DUMMYFUNCTION("""COMPUTED_VALUE"""),"Battery, iPhone 13")</f>
        <v>Battery, iPhone 13</v>
      </c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>
      <c r="A2248" s="10" t="str">
        <f t="shared" si="1"/>
        <v>March</v>
      </c>
      <c r="B2248" s="11">
        <f>IFERROR(__xludf.DUMMYFUNCTION("""COMPUTED_VALUE"""),46112.0)</f>
        <v>46112</v>
      </c>
      <c r="C2248" s="2" t="str">
        <f>IFERROR(__xludf.DUMMYFUNCTION("""COMPUTED_VALUE"""),"MOBILECARE - VERTIS NORTH")</f>
        <v>MOBILECARE - VERTIS NORTH</v>
      </c>
      <c r="D2248" s="2" t="str">
        <f>IFERROR(__xludf.DUMMYFUNCTION("""COMPUTED_VALUE"""),"661-21991")</f>
        <v>661-21991</v>
      </c>
      <c r="E2248" s="2" t="str">
        <f>IFERROR(__xludf.DUMMYFUNCTION("""COMPUTED_VALUE"""),"Battery, iPhone 13")</f>
        <v>Battery, iPhone 13</v>
      </c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>
      <c r="A2249" s="10" t="str">
        <f t="shared" si="1"/>
        <v>March</v>
      </c>
      <c r="B2249" s="11">
        <f>IFERROR(__xludf.DUMMYFUNCTION("""COMPUTED_VALUE"""),46107.0)</f>
        <v>46107</v>
      </c>
      <c r="C2249" s="2" t="str">
        <f>IFERROR(__xludf.DUMMYFUNCTION("""COMPUTED_VALUE"""),"MOBILECARE - VERTIS NORTH")</f>
        <v>MOBILECARE - VERTIS NORTH</v>
      </c>
      <c r="D2249" s="2" t="str">
        <f>IFERROR(__xludf.DUMMYFUNCTION("""COMPUTED_VALUE"""),"661-21991")</f>
        <v>661-21991</v>
      </c>
      <c r="E2249" s="2" t="str">
        <f>IFERROR(__xludf.DUMMYFUNCTION("""COMPUTED_VALUE"""),"Battery, iPhone 13")</f>
        <v>Battery, iPhone 13</v>
      </c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>
      <c r="A2250" s="10" t="str">
        <f t="shared" si="1"/>
        <v>March</v>
      </c>
      <c r="B2250" s="11">
        <f>IFERROR(__xludf.DUMMYFUNCTION("""COMPUTED_VALUE"""),46094.0)</f>
        <v>46094</v>
      </c>
      <c r="C2250" s="2" t="str">
        <f>IFERROR(__xludf.DUMMYFUNCTION("""COMPUTED_VALUE"""),"MOBILECARE - VERTIS NORTH")</f>
        <v>MOBILECARE - VERTIS NORTH</v>
      </c>
      <c r="D2250" s="2" t="str">
        <f>IFERROR(__xludf.DUMMYFUNCTION("""COMPUTED_VALUE"""),"661-36918")</f>
        <v>661-36918</v>
      </c>
      <c r="E2250" s="2" t="str">
        <f>IFERROR(__xludf.DUMMYFUNCTION("""COMPUTED_VALUE"""),"Battery, iPhone 15 Pro Max")</f>
        <v>Battery, iPhone 15 Pro Max</v>
      </c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>
      <c r="A2251" s="10" t="str">
        <f t="shared" si="1"/>
        <v>March</v>
      </c>
      <c r="B2251" s="11">
        <f>IFERROR(__xludf.DUMMYFUNCTION("""COMPUTED_VALUE"""),46089.0)</f>
        <v>46089</v>
      </c>
      <c r="C2251" s="2" t="str">
        <f>IFERROR(__xludf.DUMMYFUNCTION("""COMPUTED_VALUE"""),"MOBILECARE - VERTIS NORTH")</f>
        <v>MOBILECARE - VERTIS NORTH</v>
      </c>
      <c r="D2251" s="2" t="str">
        <f>IFERROR(__xludf.DUMMYFUNCTION("""COMPUTED_VALUE"""),"661-22294")</f>
        <v>661-22294</v>
      </c>
      <c r="E2251" s="2" t="str">
        <f>IFERROR(__xludf.DUMMYFUNCTION("""COMPUTED_VALUE"""),"Battery, iPhone 13 Pro Max")</f>
        <v>Battery, iPhone 13 Pro Max</v>
      </c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>
      <c r="A2252" s="10" t="str">
        <f t="shared" si="1"/>
        <v>March</v>
      </c>
      <c r="B2252" s="11">
        <f>IFERROR(__xludf.DUMMYFUNCTION("""COMPUTED_VALUE"""),46084.0)</f>
        <v>46084</v>
      </c>
      <c r="C2252" s="2" t="str">
        <f>IFERROR(__xludf.DUMMYFUNCTION("""COMPUTED_VALUE"""),"MOBILECARE - VERTIS NORTH")</f>
        <v>MOBILECARE - VERTIS NORTH</v>
      </c>
      <c r="D2252" s="2" t="str">
        <f>IFERROR(__xludf.DUMMYFUNCTION("""COMPUTED_VALUE"""),"TA661-36287")</f>
        <v>TA661-36287</v>
      </c>
      <c r="E2252" s="2" t="str">
        <f>IFERROR(__xludf.DUMMYFUNCTION("""COMPUTED_VALUE"""),"Pink, iPhone 15, 128GB, ROW, CI/AR, Taiwan")</f>
        <v>Pink, iPhone 15, 128GB, ROW, CI/AR, Taiwan</v>
      </c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>
      <c r="A2253" s="10" t="str">
        <f t="shared" si="1"/>
        <v>January</v>
      </c>
      <c r="B2253" s="11">
        <f>IFERROR(__xludf.DUMMYFUNCTION("""COMPUTED_VALUE"""),46049.0)</f>
        <v>46049</v>
      </c>
      <c r="C2253" s="2" t="str">
        <f>IFERROR(__xludf.DUMMYFUNCTION("""COMPUTED_VALUE"""),"MOBILECARE - VERTIS NORTH")</f>
        <v>MOBILECARE - VERTIS NORTH</v>
      </c>
      <c r="D2253" s="2" t="str">
        <f>IFERROR(__xludf.DUMMYFUNCTION("""COMPUTED_VALUE"""),"923-08211")</f>
        <v>923-08211</v>
      </c>
      <c r="E2253" s="2" t="str">
        <f>IFERROR(__xludf.DUMMYFUNCTION("""COMPUTED_VALUE"""),"Top Speaker, iPhone 14")</f>
        <v>Top Speaker, iPhone 14</v>
      </c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>
      <c r="A2254" s="10" t="str">
        <f t="shared" si="1"/>
        <v>January</v>
      </c>
      <c r="B2254" s="11">
        <f>IFERROR(__xludf.DUMMYFUNCTION("""COMPUTED_VALUE"""),46049.0)</f>
        <v>46049</v>
      </c>
      <c r="C2254" s="2" t="str">
        <f>IFERROR(__xludf.DUMMYFUNCTION("""COMPUTED_VALUE"""),"MOBILECARE - VERTIS NORTH")</f>
        <v>MOBILECARE - VERTIS NORTH</v>
      </c>
      <c r="D2254" s="2" t="str">
        <f>IFERROR(__xludf.DUMMYFUNCTION("""COMPUTED_VALUE"""),"661-30373")</f>
        <v>661-30373</v>
      </c>
      <c r="E2254" s="2" t="str">
        <f>IFERROR(__xludf.DUMMYFUNCTION("""COMPUTED_VALUE"""),"Battery, iPhone 14")</f>
        <v>Battery, iPhone 14</v>
      </c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>
      <c r="A2255" s="10" t="str">
        <f t="shared" si="1"/>
        <v>January</v>
      </c>
      <c r="B2255" s="11">
        <f>IFERROR(__xludf.DUMMYFUNCTION("""COMPUTED_VALUE"""),46039.0)</f>
        <v>46039</v>
      </c>
      <c r="C2255" s="2" t="str">
        <f>IFERROR(__xludf.DUMMYFUNCTION("""COMPUTED_VALUE"""),"MOBILECARE - VERTIS NORTH")</f>
        <v>MOBILECARE - VERTIS NORTH</v>
      </c>
      <c r="D2255" s="2" t="str">
        <f>IFERROR(__xludf.DUMMYFUNCTION("""COMPUTED_VALUE"""),"661-17920")</f>
        <v>661-17920</v>
      </c>
      <c r="E2255" s="2" t="str">
        <f>IFERROR(__xludf.DUMMYFUNCTION("""COMPUTED_VALUE"""),"Battery, iPhone 12 and 12 Pro")</f>
        <v>Battery, iPhone 12 and 12 Pro</v>
      </c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>
      <c r="A2256" s="10" t="str">
        <f t="shared" si="1"/>
        <v>January</v>
      </c>
      <c r="B2256" s="11">
        <f>IFERROR(__xludf.DUMMYFUNCTION("""COMPUTED_VALUE"""),46043.0)</f>
        <v>46043</v>
      </c>
      <c r="C2256" s="2" t="str">
        <f>IFERROR(__xludf.DUMMYFUNCTION("""COMPUTED_VALUE"""),"MOBILECARE - VERTIS NORTH")</f>
        <v>MOBILECARE - VERTIS NORTH</v>
      </c>
      <c r="D2256" s="2" t="str">
        <f>IFERROR(__xludf.DUMMYFUNCTION("""COMPUTED_VALUE"""),"661-35828")</f>
        <v>661-35828</v>
      </c>
      <c r="E2256" s="2" t="str">
        <f>IFERROR(__xludf.DUMMYFUNCTION("""COMPUTED_VALUE"""),"Camera, iPhone 15")</f>
        <v>Camera, iPhone 15</v>
      </c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>
      <c r="A2257" s="10" t="str">
        <f t="shared" si="1"/>
        <v>June</v>
      </c>
      <c r="B2257" s="11">
        <f>IFERROR(__xludf.DUMMYFUNCTION("""COMPUTED_VALUE"""),46190.0)</f>
        <v>46190</v>
      </c>
      <c r="C2257" s="2" t="str">
        <f>IFERROR(__xludf.DUMMYFUNCTION("""COMPUTED_VALUE"""),"MOBILECARE - VERTIS NORTH")</f>
        <v>MOBILECARE - VERTIS NORTH</v>
      </c>
      <c r="D2257" s="2" t="str">
        <f>IFERROR(__xludf.DUMMYFUNCTION("""COMPUTED_VALUE"""),"661-21991")</f>
        <v>661-21991</v>
      </c>
      <c r="E2257" s="2" t="str">
        <f>IFERROR(__xludf.DUMMYFUNCTION("""COMPUTED_VALUE"""),"Battery, iPhone 13")</f>
        <v>Battery, iPhone 13</v>
      </c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>
      <c r="A2258" s="10" t="str">
        <f t="shared" si="1"/>
        <v>June</v>
      </c>
      <c r="B2258" s="11">
        <f>IFERROR(__xludf.DUMMYFUNCTION("""COMPUTED_VALUE"""),46174.0)</f>
        <v>46174</v>
      </c>
      <c r="C2258" s="2" t="str">
        <f>IFERROR(__xludf.DUMMYFUNCTION("""COMPUTED_VALUE"""),"MOBILECARE - VERTIS NORTH")</f>
        <v>MOBILECARE - VERTIS NORTH</v>
      </c>
      <c r="D2258" s="2" t="str">
        <f>IFERROR(__xludf.DUMMYFUNCTION("""COMPUTED_VALUE"""),"661-22293")</f>
        <v>661-22293</v>
      </c>
      <c r="E2258" s="2" t="str">
        <f>IFERROR(__xludf.DUMMYFUNCTION("""COMPUTED_VALUE"""),"Camera, iPhone 13 Pro and 13 Pro Max")</f>
        <v>Camera, iPhone 13 Pro and 13 Pro Max</v>
      </c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>
      <c r="A2259" s="10" t="str">
        <f t="shared" si="1"/>
        <v>May</v>
      </c>
      <c r="B2259" s="11">
        <f>IFERROR(__xludf.DUMMYFUNCTION("""COMPUTED_VALUE"""),46164.0)</f>
        <v>46164</v>
      </c>
      <c r="C2259" s="2" t="str">
        <f>IFERROR(__xludf.DUMMYFUNCTION("""COMPUTED_VALUE"""),"MOBILECARE - VERTIS NORTH")</f>
        <v>MOBILECARE - VERTIS NORTH</v>
      </c>
      <c r="D2259" s="2" t="str">
        <f>IFERROR(__xludf.DUMMYFUNCTION("""COMPUTED_VALUE"""),"661-30382")</f>
        <v>661-30382</v>
      </c>
      <c r="E2259" s="2" t="str">
        <f>IFERROR(__xludf.DUMMYFUNCTION("""COMPUTED_VALUE"""),"Battery, iPhone 14 Pro")</f>
        <v>Battery, iPhone 14 Pro</v>
      </c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>
      <c r="A2260" s="10" t="str">
        <f t="shared" si="1"/>
        <v>May</v>
      </c>
      <c r="B2260" s="11">
        <f>IFERROR(__xludf.DUMMYFUNCTION("""COMPUTED_VALUE"""),46147.0)</f>
        <v>46147</v>
      </c>
      <c r="C2260" s="2" t="str">
        <f>IFERROR(__xludf.DUMMYFUNCTION("""COMPUTED_VALUE"""),"MOBILECARE - VERTIS NORTH")</f>
        <v>MOBILECARE - VERTIS NORTH</v>
      </c>
      <c r="D2260" s="2" t="str">
        <f>IFERROR(__xludf.DUMMYFUNCTION("""COMPUTED_VALUE"""),"661-35885")</f>
        <v>661-35885</v>
      </c>
      <c r="E2260" s="2" t="str">
        <f>IFERROR(__xludf.DUMMYFUNCTION("""COMPUTED_VALUE"""),"Battery, iPhone 15")</f>
        <v>Battery, iPhone 15</v>
      </c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>
      <c r="A2261" s="10" t="str">
        <f t="shared" si="1"/>
        <v>May</v>
      </c>
      <c r="B2261" s="11">
        <f>IFERROR(__xludf.DUMMYFUNCTION("""COMPUTED_VALUE"""),46144.0)</f>
        <v>46144</v>
      </c>
      <c r="C2261" s="2" t="str">
        <f>IFERROR(__xludf.DUMMYFUNCTION("""COMPUTED_VALUE"""),"MOBILECARE - VERTIS NORTH")</f>
        <v>MOBILECARE - VERTIS NORTH</v>
      </c>
      <c r="D2261" s="2" t="str">
        <f>IFERROR(__xludf.DUMMYFUNCTION("""COMPUTED_VALUE"""),"661-35694")</f>
        <v>661-35694</v>
      </c>
      <c r="E2261" s="2" t="str">
        <f>IFERROR(__xludf.DUMMYFUNCTION("""COMPUTED_VALUE"""),"Battery, iPhone 15 Pro")</f>
        <v>Battery, iPhone 15 Pro</v>
      </c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>
      <c r="A2262" s="10" t="str">
        <f t="shared" si="1"/>
        <v>April</v>
      </c>
      <c r="B2262" s="11">
        <f>IFERROR(__xludf.DUMMYFUNCTION("""COMPUTED_VALUE"""),46138.0)</f>
        <v>46138</v>
      </c>
      <c r="C2262" s="2" t="str">
        <f>IFERROR(__xludf.DUMMYFUNCTION("""COMPUTED_VALUE"""),"MOBILECARE - VERTIS NORTH")</f>
        <v>MOBILECARE - VERTIS NORTH</v>
      </c>
      <c r="D2262" s="2" t="str">
        <f>IFERROR(__xludf.DUMMYFUNCTION("""COMPUTED_VALUE"""),"661-21991")</f>
        <v>661-21991</v>
      </c>
      <c r="E2262" s="2" t="str">
        <f>IFERROR(__xludf.DUMMYFUNCTION("""COMPUTED_VALUE"""),"Battery, iPhone 13")</f>
        <v>Battery, iPhone 13</v>
      </c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>
      <c r="A2263" s="10" t="str">
        <f t="shared" si="1"/>
        <v>April</v>
      </c>
      <c r="B2263" s="11">
        <f>IFERROR(__xludf.DUMMYFUNCTION("""COMPUTED_VALUE"""),46133.0)</f>
        <v>46133</v>
      </c>
      <c r="C2263" s="2" t="str">
        <f>IFERROR(__xludf.DUMMYFUNCTION("""COMPUTED_VALUE"""),"MOBILECARE - VERTIS NORTH")</f>
        <v>MOBILECARE - VERTIS NORTH</v>
      </c>
      <c r="D2263" s="2" t="str">
        <f>IFERROR(__xludf.DUMMYFUNCTION("""COMPUTED_VALUE"""),"661-32232")</f>
        <v>661-32232</v>
      </c>
      <c r="E2263" s="2" t="str">
        <f>IFERROR(__xludf.DUMMYFUNCTION("""COMPUTED_VALUE"""),"Rear Camera, iPhone 13/mini, MICN")</f>
        <v>Rear Camera, iPhone 13/mini, MICN</v>
      </c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>
      <c r="A2264" s="10" t="str">
        <f t="shared" si="1"/>
        <v>April</v>
      </c>
      <c r="B2264" s="11">
        <f>IFERROR(__xludf.DUMMYFUNCTION("""COMPUTED_VALUE"""),46126.0)</f>
        <v>46126</v>
      </c>
      <c r="C2264" s="2" t="str">
        <f>IFERROR(__xludf.DUMMYFUNCTION("""COMPUTED_VALUE"""),"MOBILECARE - VERTIS NORTH")</f>
        <v>MOBILECARE - VERTIS NORTH</v>
      </c>
      <c r="D2264" s="2" t="str">
        <f>IFERROR(__xludf.DUMMYFUNCTION("""COMPUTED_VALUE"""),"661-36918")</f>
        <v>661-36918</v>
      </c>
      <c r="E2264" s="2" t="str">
        <f>IFERROR(__xludf.DUMMYFUNCTION("""COMPUTED_VALUE"""),"Battery, iPhone 15 Pro Max")</f>
        <v>Battery, iPhone 15 Pro Max</v>
      </c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>
      <c r="A2265" s="10" t="str">
        <f t="shared" si="1"/>
        <v>April</v>
      </c>
      <c r="B2265" s="11">
        <f>IFERROR(__xludf.DUMMYFUNCTION("""COMPUTED_VALUE"""),46119.0)</f>
        <v>46119</v>
      </c>
      <c r="C2265" s="2" t="str">
        <f>IFERROR(__xludf.DUMMYFUNCTION("""COMPUTED_VALUE"""),"MOBILECARE - VERTIS NORTH")</f>
        <v>MOBILECARE - VERTIS NORTH</v>
      </c>
      <c r="D2265" s="2" t="str">
        <f>IFERROR(__xludf.DUMMYFUNCTION("""COMPUTED_VALUE"""),"661-36918")</f>
        <v>661-36918</v>
      </c>
      <c r="E2265" s="2" t="str">
        <f>IFERROR(__xludf.DUMMYFUNCTION("""COMPUTED_VALUE"""),"Battery, iPhone 15 Pro Max")</f>
        <v>Battery, iPhone 15 Pro Max</v>
      </c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>
      <c r="A2266" s="10" t="str">
        <f t="shared" si="1"/>
        <v>April</v>
      </c>
      <c r="B2266" s="11">
        <f>IFERROR(__xludf.DUMMYFUNCTION("""COMPUTED_VALUE"""),46113.0)</f>
        <v>46113</v>
      </c>
      <c r="C2266" s="2" t="str">
        <f>IFERROR(__xludf.DUMMYFUNCTION("""COMPUTED_VALUE"""),"MOBILECARE - VERTIS NORTH")</f>
        <v>MOBILECARE - VERTIS NORTH</v>
      </c>
      <c r="D2266" s="2" t="str">
        <f>IFERROR(__xludf.DUMMYFUNCTION("""COMPUTED_VALUE"""),"661-30382")</f>
        <v>661-30382</v>
      </c>
      <c r="E2266" s="2" t="str">
        <f>IFERROR(__xludf.DUMMYFUNCTION("""COMPUTED_VALUE"""),"Battery, iPhone 14 Pro")</f>
        <v>Battery, iPhone 14 Pro</v>
      </c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>
      <c r="A2267" s="10" t="str">
        <f t="shared" si="1"/>
        <v>March</v>
      </c>
      <c r="B2267" s="11">
        <f>IFERROR(__xludf.DUMMYFUNCTION("""COMPUTED_VALUE"""),46107.0)</f>
        <v>46107</v>
      </c>
      <c r="C2267" s="2" t="str">
        <f>IFERROR(__xludf.DUMMYFUNCTION("""COMPUTED_VALUE"""),"MOBILECARE - VERTIS NORTH")</f>
        <v>MOBILECARE - VERTIS NORTH</v>
      </c>
      <c r="D2267" s="2" t="str">
        <f>IFERROR(__xludf.DUMMYFUNCTION("""COMPUTED_VALUE"""),"661-21991")</f>
        <v>661-21991</v>
      </c>
      <c r="E2267" s="2" t="str">
        <f>IFERROR(__xludf.DUMMYFUNCTION("""COMPUTED_VALUE"""),"Battery, iPhone 13")</f>
        <v>Battery, iPhone 13</v>
      </c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>
      <c r="A2268" s="10" t="str">
        <f t="shared" si="1"/>
        <v>March</v>
      </c>
      <c r="B2268" s="11">
        <f>IFERROR(__xludf.DUMMYFUNCTION("""COMPUTED_VALUE"""),46104.0)</f>
        <v>46104</v>
      </c>
      <c r="C2268" s="2" t="str">
        <f>IFERROR(__xludf.DUMMYFUNCTION("""COMPUTED_VALUE"""),"MOBILECARE - VERTIS NORTH")</f>
        <v>MOBILECARE - VERTIS NORTH</v>
      </c>
      <c r="D2268" s="2" t="str">
        <f>IFERROR(__xludf.DUMMYFUNCTION("""COMPUTED_VALUE"""),"661-42726")</f>
        <v>661-42726</v>
      </c>
      <c r="E2268" s="2" t="str">
        <f>IFERROR(__xludf.DUMMYFUNCTION("""COMPUTED_VALUE"""),"Display, iPhone 16 Pro")</f>
        <v>Display, iPhone 16 Pro</v>
      </c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>
      <c r="A2269" s="10" t="str">
        <f t="shared" si="1"/>
        <v>March</v>
      </c>
      <c r="B2269" s="11">
        <f>IFERROR(__xludf.DUMMYFUNCTION("""COMPUTED_VALUE"""),46105.0)</f>
        <v>46105</v>
      </c>
      <c r="C2269" s="2" t="str">
        <f>IFERROR(__xludf.DUMMYFUNCTION("""COMPUTED_VALUE"""),"MOBILECARE - VERTIS NORTH")</f>
        <v>MOBILECARE - VERTIS NORTH</v>
      </c>
      <c r="D2269" s="2" t="str">
        <f>IFERROR(__xludf.DUMMYFUNCTION("""COMPUTED_VALUE"""),"661-17920")</f>
        <v>661-17920</v>
      </c>
      <c r="E2269" s="2" t="str">
        <f>IFERROR(__xludf.DUMMYFUNCTION("""COMPUTED_VALUE"""),"Battery, iPhone 12 and 12 Pro")</f>
        <v>Battery, iPhone 12 and 12 Pro</v>
      </c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>
      <c r="A2270" s="10" t="str">
        <f t="shared" si="1"/>
        <v>March</v>
      </c>
      <c r="B2270" s="11">
        <f>IFERROR(__xludf.DUMMYFUNCTION("""COMPUTED_VALUE"""),46098.0)</f>
        <v>46098</v>
      </c>
      <c r="C2270" s="2" t="str">
        <f>IFERROR(__xludf.DUMMYFUNCTION("""COMPUTED_VALUE"""),"MOBILECARE - VERTIS NORTH")</f>
        <v>MOBILECARE - VERTIS NORTH</v>
      </c>
      <c r="D2270" s="2" t="str">
        <f>IFERROR(__xludf.DUMMYFUNCTION("""COMPUTED_VALUE"""),"661-35694")</f>
        <v>661-35694</v>
      </c>
      <c r="E2270" s="2" t="str">
        <f>IFERROR(__xludf.DUMMYFUNCTION("""COMPUTED_VALUE"""),"Battery, iPhone 15 Pro")</f>
        <v>Battery, iPhone 15 Pro</v>
      </c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>
      <c r="A2271" s="10" t="str">
        <f t="shared" si="1"/>
        <v>March</v>
      </c>
      <c r="B2271" s="11">
        <f>IFERROR(__xludf.DUMMYFUNCTION("""COMPUTED_VALUE"""),46091.0)</f>
        <v>46091</v>
      </c>
      <c r="C2271" s="2" t="str">
        <f>IFERROR(__xludf.DUMMYFUNCTION("""COMPUTED_VALUE"""),"MOBILECARE - VERTIS NORTH")</f>
        <v>MOBILECARE - VERTIS NORTH</v>
      </c>
      <c r="D2271" s="2" t="str">
        <f>IFERROR(__xludf.DUMMYFUNCTION("""COMPUTED_VALUE"""),"661-35694")</f>
        <v>661-35694</v>
      </c>
      <c r="E2271" s="2" t="str">
        <f>IFERROR(__xludf.DUMMYFUNCTION("""COMPUTED_VALUE"""),"Battery, iPhone 15 Pro")</f>
        <v>Battery, iPhone 15 Pro</v>
      </c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>
      <c r="A2272" s="10" t="str">
        <f t="shared" si="1"/>
        <v>March</v>
      </c>
      <c r="B2272" s="11">
        <f>IFERROR(__xludf.DUMMYFUNCTION("""COMPUTED_VALUE"""),46085.0)</f>
        <v>46085</v>
      </c>
      <c r="C2272" s="2" t="str">
        <f>IFERROR(__xludf.DUMMYFUNCTION("""COMPUTED_VALUE"""),"MOBILECARE - VERTIS NORTH")</f>
        <v>MOBILECARE - VERTIS NORTH</v>
      </c>
      <c r="D2272" s="2" t="str">
        <f>IFERROR(__xludf.DUMMYFUNCTION("""COMPUTED_VALUE"""),"661-42726")</f>
        <v>661-42726</v>
      </c>
      <c r="E2272" s="2" t="str">
        <f>IFERROR(__xludf.DUMMYFUNCTION("""COMPUTED_VALUE"""),"Display, iPhone 16 Pro")</f>
        <v>Display, iPhone 16 Pro</v>
      </c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>
      <c r="A2273" s="10" t="str">
        <f t="shared" si="1"/>
        <v>February</v>
      </c>
      <c r="B2273" s="11">
        <f>IFERROR(__xludf.DUMMYFUNCTION("""COMPUTED_VALUE"""),46081.0)</f>
        <v>46081</v>
      </c>
      <c r="C2273" s="2" t="str">
        <f>IFERROR(__xludf.DUMMYFUNCTION("""COMPUTED_VALUE"""),"MOBILECARE - VERTIS NORTH")</f>
        <v>MOBILECARE - VERTIS NORTH</v>
      </c>
      <c r="D2273" s="2" t="str">
        <f>IFERROR(__xludf.DUMMYFUNCTION("""COMPUTED_VALUE"""),"661-30366")</f>
        <v>661-30366</v>
      </c>
      <c r="E2273" s="2" t="str">
        <f>IFERROR(__xludf.DUMMYFUNCTION("""COMPUTED_VALUE"""),"Display, iPhone 14")</f>
        <v>Display, iPhone 14</v>
      </c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>
      <c r="A2274" s="10" t="str">
        <f t="shared" si="1"/>
        <v>February</v>
      </c>
      <c r="B2274" s="11">
        <f>IFERROR(__xludf.DUMMYFUNCTION("""COMPUTED_VALUE"""),46078.0)</f>
        <v>46078</v>
      </c>
      <c r="C2274" s="2" t="str">
        <f>IFERROR(__xludf.DUMMYFUNCTION("""COMPUTED_VALUE"""),"MOBILECARE - VERTIS NORTH")</f>
        <v>MOBILECARE - VERTIS NORTH</v>
      </c>
      <c r="D2274" s="2" t="str">
        <f>IFERROR(__xludf.DUMMYFUNCTION("""COMPUTED_VALUE"""),"661-42845")</f>
        <v>661-42845</v>
      </c>
      <c r="E2274" s="2" t="str">
        <f>IFERROR(__xludf.DUMMYFUNCTION("""COMPUTED_VALUE"""),"Camera, iPhone 16 Plus")</f>
        <v>Camera, iPhone 16 Plus</v>
      </c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>
      <c r="A2275" s="10" t="str">
        <f t="shared" si="1"/>
        <v>March</v>
      </c>
      <c r="B2275" s="11">
        <f>IFERROR(__xludf.DUMMYFUNCTION("""COMPUTED_VALUE"""),46086.0)</f>
        <v>46086</v>
      </c>
      <c r="C2275" s="2" t="str">
        <f>IFERROR(__xludf.DUMMYFUNCTION("""COMPUTED_VALUE"""),"MOBILECARE - VERTIS NORTH")</f>
        <v>MOBILECARE - VERTIS NORTH</v>
      </c>
      <c r="D2275" s="2" t="str">
        <f>IFERROR(__xludf.DUMMYFUNCTION("""COMPUTED_VALUE"""),"Z661-55956")</f>
        <v>Z661-55956</v>
      </c>
      <c r="E2275" s="2" t="str">
        <f>IFERROR(__xludf.DUMMYFUNCTION("""COMPUTED_VALUE"""),"Logic Board, 256GB, iPhone 17 Pro Max, ROW")</f>
        <v>Logic Board, 256GB, iPhone 17 Pro Max, ROW</v>
      </c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>
      <c r="A2276" s="10" t="str">
        <f t="shared" si="1"/>
        <v>February</v>
      </c>
      <c r="B2276" s="11">
        <f>IFERROR(__xludf.DUMMYFUNCTION("""COMPUTED_VALUE"""),46078.0)</f>
        <v>46078</v>
      </c>
      <c r="C2276" s="2" t="str">
        <f>IFERROR(__xludf.DUMMYFUNCTION("""COMPUTED_VALUE"""),"MOBILECARE - VERTIS NORTH")</f>
        <v>MOBILECARE - VERTIS NORTH</v>
      </c>
      <c r="D2276" s="2" t="str">
        <f>IFERROR(__xludf.DUMMYFUNCTION("""COMPUTED_VALUE"""),"661-30382")</f>
        <v>661-30382</v>
      </c>
      <c r="E2276" s="2" t="str">
        <f>IFERROR(__xludf.DUMMYFUNCTION("""COMPUTED_VALUE"""),"Battery, iPhone 14 Pro")</f>
        <v>Battery, iPhone 14 Pro</v>
      </c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>
      <c r="A2277" s="10" t="str">
        <f t="shared" si="1"/>
        <v>March</v>
      </c>
      <c r="B2277" s="11">
        <f>IFERROR(__xludf.DUMMYFUNCTION("""COMPUTED_VALUE"""),46086.0)</f>
        <v>46086</v>
      </c>
      <c r="C2277" s="2" t="str">
        <f>IFERROR(__xludf.DUMMYFUNCTION("""COMPUTED_VALUE"""),"MOBILECARE - VERTIS NORTH")</f>
        <v>MOBILECARE - VERTIS NORTH</v>
      </c>
      <c r="D2277" s="2" t="str">
        <f>IFERROR(__xludf.DUMMYFUNCTION("""COMPUTED_VALUE"""),"PP661-22980")</f>
        <v>PP661-22980</v>
      </c>
      <c r="E2277" s="2" t="str">
        <f>IFERROR(__xludf.DUMMYFUNCTION("""COMPUTED_VALUE"""),"Midnight, 128 GB, iPhone 13, ROW, CI/AR, Philippines")</f>
        <v>Midnight, 128 GB, iPhone 13, ROW, CI/AR, Philippines</v>
      </c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>
      <c r="A2278" s="10" t="str">
        <f t="shared" si="1"/>
        <v>May</v>
      </c>
      <c r="B2278" s="11">
        <f>IFERROR(__xludf.DUMMYFUNCTION("""COMPUTED_VALUE"""),46173.0)</f>
        <v>46173</v>
      </c>
      <c r="C2278" s="2" t="str">
        <f>IFERROR(__xludf.DUMMYFUNCTION("""COMPUTED_VALUE"""),"MOBILECARE - VERTIS NORTH")</f>
        <v>MOBILECARE - VERTIS NORTH</v>
      </c>
      <c r="D2278" s="2" t="str">
        <f>IFERROR(__xludf.DUMMYFUNCTION("""COMPUTED_VALUE"""),"661-56050")</f>
        <v>661-56050</v>
      </c>
      <c r="E2278" s="2" t="str">
        <f>IFERROR(__xludf.DUMMYFUNCTION("""COMPUTED_VALUE"""),"Display, iPhone 17 Pro Max")</f>
        <v>Display, iPhone 17 Pro Max</v>
      </c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>
      <c r="A2279" s="10" t="str">
        <f t="shared" si="1"/>
        <v>June</v>
      </c>
      <c r="B2279" s="11">
        <f>IFERROR(__xludf.DUMMYFUNCTION("""COMPUTED_VALUE"""),46176.0)</f>
        <v>46176</v>
      </c>
      <c r="C2279" s="2" t="str">
        <f>IFERROR(__xludf.DUMMYFUNCTION("""COMPUTED_VALUE"""),"MOBILECARE - VERTIS NORTH")</f>
        <v>MOBILECARE - VERTIS NORTH</v>
      </c>
      <c r="D2279" s="2" t="str">
        <f>IFERROR(__xludf.DUMMYFUNCTION("""COMPUTED_VALUE"""),"661-21991")</f>
        <v>661-21991</v>
      </c>
      <c r="E2279" s="2" t="str">
        <f>IFERROR(__xludf.DUMMYFUNCTION("""COMPUTED_VALUE"""),"Battery, iPhone 13")</f>
        <v>Battery, iPhone 13</v>
      </c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>
      <c r="A2280" s="10" t="str">
        <f t="shared" si="1"/>
        <v>April</v>
      </c>
      <c r="B2280" s="11">
        <f>IFERROR(__xludf.DUMMYFUNCTION("""COMPUTED_VALUE"""),46142.0)</f>
        <v>46142</v>
      </c>
      <c r="C2280" s="2" t="str">
        <f>IFERROR(__xludf.DUMMYFUNCTION("""COMPUTED_VALUE"""),"MOBILECARE - VERTIS NORTH")</f>
        <v>MOBILECARE - VERTIS NORTH</v>
      </c>
      <c r="D2280" s="2" t="str">
        <f>IFERROR(__xludf.DUMMYFUNCTION("""COMPUTED_VALUE"""),"661-21991")</f>
        <v>661-21991</v>
      </c>
      <c r="E2280" s="2" t="str">
        <f>IFERROR(__xludf.DUMMYFUNCTION("""COMPUTED_VALUE"""),"Battery, iPhone 13")</f>
        <v>Battery, iPhone 13</v>
      </c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>
      <c r="A2281" s="10" t="str">
        <f t="shared" si="1"/>
        <v>April</v>
      </c>
      <c r="B2281" s="11">
        <f>IFERROR(__xludf.DUMMYFUNCTION("""COMPUTED_VALUE"""),46130.0)</f>
        <v>46130</v>
      </c>
      <c r="C2281" s="2" t="str">
        <f>IFERROR(__xludf.DUMMYFUNCTION("""COMPUTED_VALUE"""),"MOBILECARE - VERTIS NORTH")</f>
        <v>MOBILECARE - VERTIS NORTH</v>
      </c>
      <c r="D2281" s="2" t="str">
        <f>IFERROR(__xludf.DUMMYFUNCTION("""COMPUTED_VALUE"""),"661-21991")</f>
        <v>661-21991</v>
      </c>
      <c r="E2281" s="2" t="str">
        <f>IFERROR(__xludf.DUMMYFUNCTION("""COMPUTED_VALUE"""),"Battery, iPhone 13")</f>
        <v>Battery, iPhone 13</v>
      </c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>
      <c r="A2282" s="10" t="str">
        <f t="shared" si="1"/>
        <v>March</v>
      </c>
      <c r="B2282" s="11">
        <f>IFERROR(__xludf.DUMMYFUNCTION("""COMPUTED_VALUE"""),46107.0)</f>
        <v>46107</v>
      </c>
      <c r="C2282" s="2" t="str">
        <f>IFERROR(__xludf.DUMMYFUNCTION("""COMPUTED_VALUE"""),"MOBILECARE - VERTIS NORTH")</f>
        <v>MOBILECARE - VERTIS NORTH</v>
      </c>
      <c r="D2282" s="2" t="str">
        <f>IFERROR(__xludf.DUMMYFUNCTION("""COMPUTED_VALUE"""),"661-22294")</f>
        <v>661-22294</v>
      </c>
      <c r="E2282" s="2" t="str">
        <f>IFERROR(__xludf.DUMMYFUNCTION("""COMPUTED_VALUE"""),"Battery, iPhone 13 Pro Max")</f>
        <v>Battery, iPhone 13 Pro Max</v>
      </c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>
      <c r="A2283" s="10" t="str">
        <f t="shared" si="1"/>
        <v>March</v>
      </c>
      <c r="B2283" s="11">
        <f>IFERROR(__xludf.DUMMYFUNCTION("""COMPUTED_VALUE"""),46112.0)</f>
        <v>46112</v>
      </c>
      <c r="C2283" s="2" t="str">
        <f>IFERROR(__xludf.DUMMYFUNCTION("""COMPUTED_VALUE"""),"MOBILECARE - VERTIS NORTH")</f>
        <v>MOBILECARE - VERTIS NORTH</v>
      </c>
      <c r="D2283" s="2" t="str">
        <f>IFERROR(__xludf.DUMMYFUNCTION("""COMPUTED_VALUE"""),"661-13574")</f>
        <v>661-13574</v>
      </c>
      <c r="E2283" s="2" t="str">
        <f>IFERROR(__xludf.DUMMYFUNCTION("""COMPUTED_VALUE"""),"Battery, iPhone 11")</f>
        <v>Battery, iPhone 11</v>
      </c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>
      <c r="A2284" s="10" t="str">
        <f t="shared" si="1"/>
        <v>April</v>
      </c>
      <c r="B2284" s="11">
        <f>IFERROR(__xludf.DUMMYFUNCTION("""COMPUTED_VALUE"""),46120.0)</f>
        <v>46120</v>
      </c>
      <c r="C2284" s="2" t="str">
        <f>IFERROR(__xludf.DUMMYFUNCTION("""COMPUTED_VALUE"""),"MOBILECARE - VERTIS NORTH")</f>
        <v>MOBILECARE - VERTIS NORTH</v>
      </c>
      <c r="D2284" s="2" t="str">
        <f>IFERROR(__xludf.DUMMYFUNCTION("""COMPUTED_VALUE"""),"Z661-55942")</f>
        <v>Z661-55942</v>
      </c>
      <c r="E2284" s="2" t="str">
        <f>IFERROR(__xludf.DUMMYFUNCTION("""COMPUTED_VALUE"""),"Logic Board, 256GB, A3523, ROW, iPhone 17 Pro")</f>
        <v>Logic Board, 256GB, A3523, ROW, iPhone 17 Pro</v>
      </c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>
      <c r="A2285" s="10" t="str">
        <f t="shared" si="1"/>
        <v>March</v>
      </c>
      <c r="B2285" s="11">
        <f>IFERROR(__xludf.DUMMYFUNCTION("""COMPUTED_VALUE"""),46097.0)</f>
        <v>46097</v>
      </c>
      <c r="C2285" s="2" t="str">
        <f>IFERROR(__xludf.DUMMYFUNCTION("""COMPUTED_VALUE"""),"MOBILECARE - VERTIS NORTH")</f>
        <v>MOBILECARE - VERTIS NORTH</v>
      </c>
      <c r="D2285" s="2" t="str">
        <f>IFERROR(__xludf.DUMMYFUNCTION("""COMPUTED_VALUE"""),"661-22374")</f>
        <v>661-22374</v>
      </c>
      <c r="E2285" s="2" t="str">
        <f>IFERROR(__xludf.DUMMYFUNCTION("""COMPUTED_VALUE"""),"Battery, iPhone 13 mini")</f>
        <v>Battery, iPhone 13 mini</v>
      </c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>
      <c r="A2286" s="10" t="str">
        <f t="shared" si="1"/>
        <v>June</v>
      </c>
      <c r="B2286" s="11">
        <f>IFERROR(__xludf.DUMMYFUNCTION("""COMPUTED_VALUE"""),46190.0)</f>
        <v>46190</v>
      </c>
      <c r="C2286" s="2" t="str">
        <f>IFERROR(__xludf.DUMMYFUNCTION("""COMPUTED_VALUE"""),"MOBILECARE - VERTIS NORTH")</f>
        <v>MOBILECARE - VERTIS NORTH</v>
      </c>
      <c r="D2286" s="2" t="str">
        <f>IFERROR(__xludf.DUMMYFUNCTION("""COMPUTED_VALUE"""),"661-22294")</f>
        <v>661-22294</v>
      </c>
      <c r="E2286" s="2" t="str">
        <f>IFERROR(__xludf.DUMMYFUNCTION("""COMPUTED_VALUE"""),"Battery, iPhone 13 Pro Max")</f>
        <v>Battery, iPhone 13 Pro Max</v>
      </c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>
      <c r="A2287" s="10" t="str">
        <f t="shared" si="1"/>
        <v>April</v>
      </c>
      <c r="B2287" s="11">
        <f>IFERROR(__xludf.DUMMYFUNCTION("""COMPUTED_VALUE"""),46129.0)</f>
        <v>46129</v>
      </c>
      <c r="C2287" s="2" t="str">
        <f>IFERROR(__xludf.DUMMYFUNCTION("""COMPUTED_VALUE"""),"MOBILECARE - VERTIS NORTH")</f>
        <v>MOBILECARE - VERTIS NORTH</v>
      </c>
      <c r="D2287" s="2" t="str">
        <f>IFERROR(__xludf.DUMMYFUNCTION("""COMPUTED_VALUE"""),"661-21991")</f>
        <v>661-21991</v>
      </c>
      <c r="E2287" s="2" t="str">
        <f>IFERROR(__xludf.DUMMYFUNCTION("""COMPUTED_VALUE"""),"Battery, iPhone 13")</f>
        <v>Battery, iPhone 13</v>
      </c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>
      <c r="A2288" s="10" t="str">
        <f t="shared" si="1"/>
        <v>April</v>
      </c>
      <c r="B2288" s="11">
        <f>IFERROR(__xludf.DUMMYFUNCTION("""COMPUTED_VALUE"""),46127.0)</f>
        <v>46127</v>
      </c>
      <c r="C2288" s="2" t="str">
        <f>IFERROR(__xludf.DUMMYFUNCTION("""COMPUTED_VALUE"""),"MOBILECARE - VERTIS NORTH")</f>
        <v>MOBILECARE - VERTIS NORTH</v>
      </c>
      <c r="D2288" s="2" t="str">
        <f>IFERROR(__xludf.DUMMYFUNCTION("""COMPUTED_VALUE"""),"661-21991")</f>
        <v>661-21991</v>
      </c>
      <c r="E2288" s="2" t="str">
        <f>IFERROR(__xludf.DUMMYFUNCTION("""COMPUTED_VALUE"""),"Battery, iPhone 13")</f>
        <v>Battery, iPhone 13</v>
      </c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>
      <c r="A2289" s="10" t="str">
        <f t="shared" si="1"/>
        <v>March</v>
      </c>
      <c r="B2289" s="11">
        <f>IFERROR(__xludf.DUMMYFUNCTION("""COMPUTED_VALUE"""),46112.0)</f>
        <v>46112</v>
      </c>
      <c r="C2289" s="2" t="str">
        <f>IFERROR(__xludf.DUMMYFUNCTION("""COMPUTED_VALUE"""),"MOBILECARE - VERTIS NORTH")</f>
        <v>MOBILECARE - VERTIS NORTH</v>
      </c>
      <c r="D2289" s="2" t="str">
        <f>IFERROR(__xludf.DUMMYFUNCTION("""COMPUTED_VALUE"""),"661-21991")</f>
        <v>661-21991</v>
      </c>
      <c r="E2289" s="2" t="str">
        <f>IFERROR(__xludf.DUMMYFUNCTION("""COMPUTED_VALUE"""),"Battery, iPhone 13")</f>
        <v>Battery, iPhone 13</v>
      </c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>
      <c r="A2290" s="10" t="str">
        <f t="shared" si="1"/>
        <v>February</v>
      </c>
      <c r="B2290" s="11">
        <f>IFERROR(__xludf.DUMMYFUNCTION("""COMPUTED_VALUE"""),46060.0)</f>
        <v>46060</v>
      </c>
      <c r="C2290" s="2" t="str">
        <f>IFERROR(__xludf.DUMMYFUNCTION("""COMPUTED_VALUE"""),"MOBILECARE - VERTIS NORTH")</f>
        <v>MOBILECARE - VERTIS NORTH</v>
      </c>
      <c r="D2290" s="2" t="str">
        <f>IFERROR(__xludf.DUMMYFUNCTION("""COMPUTED_VALUE"""),"661-30382")</f>
        <v>661-30382</v>
      </c>
      <c r="E2290" s="2" t="str">
        <f>IFERROR(__xludf.DUMMYFUNCTION("""COMPUTED_VALUE"""),"Battery, iPhone 14 Pro")</f>
        <v>Battery, iPhone 14 Pro</v>
      </c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>
      <c r="A2291" s="10" t="str">
        <f t="shared" si="1"/>
        <v>January</v>
      </c>
      <c r="B2291" s="11">
        <f>IFERROR(__xludf.DUMMYFUNCTION("""COMPUTED_VALUE"""),46051.0)</f>
        <v>46051</v>
      </c>
      <c r="C2291" s="2" t="str">
        <f>IFERROR(__xludf.DUMMYFUNCTION("""COMPUTED_VALUE"""),"MOBILECARE - VERTIS NORTH")</f>
        <v>MOBILECARE - VERTIS NORTH</v>
      </c>
      <c r="D2291" s="2" t="str">
        <f>IFERROR(__xludf.DUMMYFUNCTION("""COMPUTED_VALUE"""),"661-44957")</f>
        <v>661-44957</v>
      </c>
      <c r="E2291" s="2" t="str">
        <f>IFERROR(__xludf.DUMMYFUNCTION("""COMPUTED_VALUE"""),"Camera, iPhone 16 Pro Max")</f>
        <v>Camera, iPhone 16 Pro Max</v>
      </c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>
      <c r="A2292" s="10" t="str">
        <f t="shared" si="1"/>
        <v>June</v>
      </c>
      <c r="B2292" s="11">
        <f>IFERROR(__xludf.DUMMYFUNCTION("""COMPUTED_VALUE"""),46190.0)</f>
        <v>46190</v>
      </c>
      <c r="C2292" s="2" t="str">
        <f>IFERROR(__xludf.DUMMYFUNCTION("""COMPUTED_VALUE"""),"MOBILECARE - VERTIS NORTH")</f>
        <v>MOBILECARE - VERTIS NORTH</v>
      </c>
      <c r="D2292" s="2" t="str">
        <f>IFERROR(__xludf.DUMMYFUNCTION("""COMPUTED_VALUE"""),"661-21991")</f>
        <v>661-21991</v>
      </c>
      <c r="E2292" s="2" t="str">
        <f>IFERROR(__xludf.DUMMYFUNCTION("""COMPUTED_VALUE"""),"Battery, iPhone 13")</f>
        <v>Battery, iPhone 13</v>
      </c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>
      <c r="A2293" s="10" t="str">
        <f t="shared" si="1"/>
        <v>June</v>
      </c>
      <c r="B2293" s="11">
        <f>IFERROR(__xludf.DUMMYFUNCTION("""COMPUTED_VALUE"""),46191.0)</f>
        <v>46191</v>
      </c>
      <c r="C2293" s="2" t="str">
        <f>IFERROR(__xludf.DUMMYFUNCTION("""COMPUTED_VALUE"""),"MOBILECARE - VERTIS NORTH")</f>
        <v>MOBILECARE - VERTIS NORTH</v>
      </c>
      <c r="D2293" s="2" t="str">
        <f>IFERROR(__xludf.DUMMYFUNCTION("""COMPUTED_VALUE"""),"661-56050")</f>
        <v>661-56050</v>
      </c>
      <c r="E2293" s="2" t="str">
        <f>IFERROR(__xludf.DUMMYFUNCTION("""COMPUTED_VALUE"""),"Display, iPhone 17 Pro Max")</f>
        <v>Display, iPhone 17 Pro Max</v>
      </c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>
      <c r="A2294" s="10" t="str">
        <f t="shared" si="1"/>
        <v>June</v>
      </c>
      <c r="B2294" s="11">
        <f>IFERROR(__xludf.DUMMYFUNCTION("""COMPUTED_VALUE"""),46185.0)</f>
        <v>46185</v>
      </c>
      <c r="C2294" s="2" t="str">
        <f>IFERROR(__xludf.DUMMYFUNCTION("""COMPUTED_VALUE"""),"MOBILECARE - VERTIS NORTH")</f>
        <v>MOBILECARE - VERTIS NORTH</v>
      </c>
      <c r="D2294" s="2" t="str">
        <f>IFERROR(__xludf.DUMMYFUNCTION("""COMPUTED_VALUE"""),"661-21991")</f>
        <v>661-21991</v>
      </c>
      <c r="E2294" s="2" t="str">
        <f>IFERROR(__xludf.DUMMYFUNCTION("""COMPUTED_VALUE"""),"Battery, iPhone 13")</f>
        <v>Battery, iPhone 13</v>
      </c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>
      <c r="A2295" s="10" t="str">
        <f t="shared" si="1"/>
        <v>June</v>
      </c>
      <c r="B2295" s="11">
        <f>IFERROR(__xludf.DUMMYFUNCTION("""COMPUTED_VALUE"""),46180.0)</f>
        <v>46180</v>
      </c>
      <c r="C2295" s="2" t="str">
        <f>IFERROR(__xludf.DUMMYFUNCTION("""COMPUTED_VALUE"""),"MOBILECARE - VERTIS NORTH")</f>
        <v>MOBILECARE - VERTIS NORTH</v>
      </c>
      <c r="D2295" s="2" t="str">
        <f>IFERROR(__xludf.DUMMYFUNCTION("""COMPUTED_VALUE"""),"661-18428")</f>
        <v>661-18428</v>
      </c>
      <c r="E2295" s="2" t="str">
        <f>IFERROR(__xludf.DUMMYFUNCTION("""COMPUTED_VALUE"""),"Battery, iPhone 12 Pro Max")</f>
        <v>Battery, iPhone 12 Pro Max</v>
      </c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>
      <c r="A2296" s="10" t="str">
        <f t="shared" si="1"/>
        <v>June</v>
      </c>
      <c r="B2296" s="11">
        <f>IFERROR(__xludf.DUMMYFUNCTION("""COMPUTED_VALUE"""),46174.0)</f>
        <v>46174</v>
      </c>
      <c r="C2296" s="2" t="str">
        <f>IFERROR(__xludf.DUMMYFUNCTION("""COMPUTED_VALUE"""),"MOBILECARE - VERTIS NORTH")</f>
        <v>MOBILECARE - VERTIS NORTH</v>
      </c>
      <c r="D2296" s="2" t="str">
        <f>IFERROR(__xludf.DUMMYFUNCTION("""COMPUTED_VALUE"""),"661-22309")</f>
        <v>661-22309</v>
      </c>
      <c r="E2296" s="2" t="str">
        <f>IFERROR(__xludf.DUMMYFUNCTION("""COMPUTED_VALUE"""),"Display, iPhone 13 Pro Max")</f>
        <v>Display, iPhone 13 Pro Max</v>
      </c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>
      <c r="A2297" s="10" t="str">
        <f t="shared" si="1"/>
        <v>May</v>
      </c>
      <c r="B2297" s="11">
        <f>IFERROR(__xludf.DUMMYFUNCTION("""COMPUTED_VALUE"""),46164.0)</f>
        <v>46164</v>
      </c>
      <c r="C2297" s="2" t="str">
        <f>IFERROR(__xludf.DUMMYFUNCTION("""COMPUTED_VALUE"""),"MOBILECARE - VERTIS NORTH")</f>
        <v>MOBILECARE - VERTIS NORTH</v>
      </c>
      <c r="D2297" s="2" t="str">
        <f>IFERROR(__xludf.DUMMYFUNCTION("""COMPUTED_VALUE"""),"661-17920")</f>
        <v>661-17920</v>
      </c>
      <c r="E2297" s="2" t="str">
        <f>IFERROR(__xludf.DUMMYFUNCTION("""COMPUTED_VALUE"""),"Battery, iPhone 12 and 12 Pro")</f>
        <v>Battery, iPhone 12 and 12 Pro</v>
      </c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>
      <c r="A2298" s="10" t="str">
        <f t="shared" si="1"/>
        <v>May</v>
      </c>
      <c r="B2298" s="11">
        <f>IFERROR(__xludf.DUMMYFUNCTION("""COMPUTED_VALUE"""),46155.0)</f>
        <v>46155</v>
      </c>
      <c r="C2298" s="2" t="str">
        <f>IFERROR(__xludf.DUMMYFUNCTION("""COMPUTED_VALUE"""),"MOBILECARE - VERTIS NORTH")</f>
        <v>MOBILECARE - VERTIS NORTH</v>
      </c>
      <c r="D2298" s="2" t="str">
        <f>IFERROR(__xludf.DUMMYFUNCTION("""COMPUTED_VALUE"""),"661-22374")</f>
        <v>661-22374</v>
      </c>
      <c r="E2298" s="2" t="str">
        <f>IFERROR(__xludf.DUMMYFUNCTION("""COMPUTED_VALUE"""),"Battery, iPhone 13 mini")</f>
        <v>Battery, iPhone 13 mini</v>
      </c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>
      <c r="A2299" s="10" t="str">
        <f t="shared" si="1"/>
        <v>March</v>
      </c>
      <c r="B2299" s="11">
        <f>IFERROR(__xludf.DUMMYFUNCTION("""COMPUTED_VALUE"""),46110.0)</f>
        <v>46110</v>
      </c>
      <c r="C2299" s="2" t="str">
        <f>IFERROR(__xludf.DUMMYFUNCTION("""COMPUTED_VALUE"""),"MOBILECARE - VERTIS NORTH")</f>
        <v>MOBILECARE - VERTIS NORTH</v>
      </c>
      <c r="D2299" s="2" t="str">
        <f>IFERROR(__xludf.DUMMYFUNCTION("""COMPUTED_VALUE"""),"661-30373")</f>
        <v>661-30373</v>
      </c>
      <c r="E2299" s="2" t="str">
        <f>IFERROR(__xludf.DUMMYFUNCTION("""COMPUTED_VALUE"""),"Battery, iPhone 14")</f>
        <v>Battery, iPhone 14</v>
      </c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>
      <c r="A2300" s="10" t="str">
        <f t="shared" si="1"/>
        <v>March</v>
      </c>
      <c r="B2300" s="11">
        <f>IFERROR(__xludf.DUMMYFUNCTION("""COMPUTED_VALUE"""),46101.0)</f>
        <v>46101</v>
      </c>
      <c r="C2300" s="2" t="str">
        <f>IFERROR(__xludf.DUMMYFUNCTION("""COMPUTED_VALUE"""),"MOBILECARE - VERTIS NORTH")</f>
        <v>MOBILECARE - VERTIS NORTH</v>
      </c>
      <c r="D2300" s="2" t="str">
        <f>IFERROR(__xludf.DUMMYFUNCTION("""COMPUTED_VALUE"""),"661-21988")</f>
        <v>661-21988</v>
      </c>
      <c r="E2300" s="2" t="str">
        <f>IFERROR(__xludf.DUMMYFUNCTION("""COMPUTED_VALUE"""),"Display, iPhone 13")</f>
        <v>Display, iPhone 13</v>
      </c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>
      <c r="A2301" s="10" t="str">
        <f t="shared" si="1"/>
        <v>March</v>
      </c>
      <c r="B2301" s="11">
        <f>IFERROR(__xludf.DUMMYFUNCTION("""COMPUTED_VALUE"""),46105.0)</f>
        <v>46105</v>
      </c>
      <c r="C2301" s="2" t="str">
        <f>IFERROR(__xludf.DUMMYFUNCTION("""COMPUTED_VALUE"""),"MOBILECARE - VERTIS NORTH")</f>
        <v>MOBILECARE - VERTIS NORTH</v>
      </c>
      <c r="D2301" s="2" t="str">
        <f>IFERROR(__xludf.DUMMYFUNCTION("""COMPUTED_VALUE"""),"661-21988")</f>
        <v>661-21988</v>
      </c>
      <c r="E2301" s="2" t="str">
        <f>IFERROR(__xludf.DUMMYFUNCTION("""COMPUTED_VALUE"""),"Display, iPhone 13")</f>
        <v>Display, iPhone 13</v>
      </c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>
      <c r="A2302" s="10" t="str">
        <f t="shared" si="1"/>
        <v>March</v>
      </c>
      <c r="B2302" s="11">
        <f>IFERROR(__xludf.DUMMYFUNCTION("""COMPUTED_VALUE"""),46091.0)</f>
        <v>46091</v>
      </c>
      <c r="C2302" s="2" t="str">
        <f>IFERROR(__xludf.DUMMYFUNCTION("""COMPUTED_VALUE"""),"MOBILECARE - VERTIS NORTH")</f>
        <v>MOBILECARE - VERTIS NORTH</v>
      </c>
      <c r="D2302" s="2" t="str">
        <f>IFERROR(__xludf.DUMMYFUNCTION("""COMPUTED_VALUE"""),"661-21991")</f>
        <v>661-21991</v>
      </c>
      <c r="E2302" s="2" t="str">
        <f>IFERROR(__xludf.DUMMYFUNCTION("""COMPUTED_VALUE"""),"Battery, iPhone 13")</f>
        <v>Battery, iPhone 13</v>
      </c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>
      <c r="A2303" s="10" t="str">
        <f t="shared" si="1"/>
        <v>March</v>
      </c>
      <c r="B2303" s="11">
        <f>IFERROR(__xludf.DUMMYFUNCTION("""COMPUTED_VALUE"""),46099.0)</f>
        <v>46099</v>
      </c>
      <c r="C2303" s="2" t="str">
        <f>IFERROR(__xludf.DUMMYFUNCTION("""COMPUTED_VALUE"""),"MOBILECARE - VERTIS NORTH")</f>
        <v>MOBILECARE - VERTIS NORTH</v>
      </c>
      <c r="D2303" s="2" t="str">
        <f>IFERROR(__xludf.DUMMYFUNCTION("""COMPUTED_VALUE"""),"661-17920")</f>
        <v>661-17920</v>
      </c>
      <c r="E2303" s="2" t="str">
        <f>IFERROR(__xludf.DUMMYFUNCTION("""COMPUTED_VALUE"""),"Battery, iPhone 12 and 12 Pro")</f>
        <v>Battery, iPhone 12 and 12 Pro</v>
      </c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>
      <c r="A2304" s="10" t="str">
        <f t="shared" si="1"/>
        <v>March</v>
      </c>
      <c r="B2304" s="11">
        <f>IFERROR(__xludf.DUMMYFUNCTION("""COMPUTED_VALUE"""),46095.0)</f>
        <v>46095</v>
      </c>
      <c r="C2304" s="2" t="str">
        <f>IFERROR(__xludf.DUMMYFUNCTION("""COMPUTED_VALUE"""),"MOBILECARE - VERTIS NORTH")</f>
        <v>MOBILECARE - VERTIS NORTH</v>
      </c>
      <c r="D2304" s="2" t="str">
        <f>IFERROR(__xludf.DUMMYFUNCTION("""COMPUTED_VALUE"""),"661-56067")</f>
        <v>661-56067</v>
      </c>
      <c r="E2304" s="2" t="str">
        <f>IFERROR(__xludf.DUMMYFUNCTION("""COMPUTED_VALUE"""),"Camera, iPhone 17")</f>
        <v>Camera, iPhone 17</v>
      </c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>
      <c r="A2305" s="10" t="str">
        <f t="shared" si="1"/>
        <v>February</v>
      </c>
      <c r="B2305" s="11">
        <f>IFERROR(__xludf.DUMMYFUNCTION("""COMPUTED_VALUE"""),46059.0)</f>
        <v>46059</v>
      </c>
      <c r="C2305" s="2" t="str">
        <f>IFERROR(__xludf.DUMMYFUNCTION("""COMPUTED_VALUE"""),"MOBILECARE - VERTIS NORTH")</f>
        <v>MOBILECARE - VERTIS NORTH</v>
      </c>
      <c r="D2305" s="2" t="str">
        <f>IFERROR(__xludf.DUMMYFUNCTION("""COMPUTED_VALUE"""),"661-17920")</f>
        <v>661-17920</v>
      </c>
      <c r="E2305" s="2" t="str">
        <f>IFERROR(__xludf.DUMMYFUNCTION("""COMPUTED_VALUE"""),"Battery, iPhone 12 and 12 Pro")</f>
        <v>Battery, iPhone 12 and 12 Pro</v>
      </c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>
      <c r="A2306" s="10" t="str">
        <f t="shared" si="1"/>
        <v>January</v>
      </c>
      <c r="B2306" s="11">
        <f>IFERROR(__xludf.DUMMYFUNCTION("""COMPUTED_VALUE"""),46039.0)</f>
        <v>46039</v>
      </c>
      <c r="C2306" s="2" t="str">
        <f>IFERROR(__xludf.DUMMYFUNCTION("""COMPUTED_VALUE"""),"MOBILECARE - VERTIS NORTH")</f>
        <v>MOBILECARE - VERTIS NORTH</v>
      </c>
      <c r="D2306" s="2" t="str">
        <f>IFERROR(__xludf.DUMMYFUNCTION("""COMPUTED_VALUE"""),"661-21993")</f>
        <v>661-21993</v>
      </c>
      <c r="E2306" s="2" t="str">
        <f>IFERROR(__xludf.DUMMYFUNCTION("""COMPUTED_VALUE"""),"Display, iPhone 13 Pro")</f>
        <v>Display, iPhone 13 Pro</v>
      </c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>
      <c r="A2307" s="10" t="str">
        <f t="shared" si="1"/>
        <v>June</v>
      </c>
      <c r="B2307" s="11">
        <f>IFERROR(__xludf.DUMMYFUNCTION("""COMPUTED_VALUE"""),46193.0)</f>
        <v>46193</v>
      </c>
      <c r="C2307" s="2" t="str">
        <f>IFERROR(__xludf.DUMMYFUNCTION("""COMPUTED_VALUE"""),"MOBILECARE - VERTIS NORTH")</f>
        <v>MOBILECARE - VERTIS NORTH</v>
      </c>
      <c r="D2307" s="2" t="str">
        <f>IFERROR(__xludf.DUMMYFUNCTION("""COMPUTED_VALUE"""),"661-30382")</f>
        <v>661-30382</v>
      </c>
      <c r="E2307" s="2" t="str">
        <f>IFERROR(__xludf.DUMMYFUNCTION("""COMPUTED_VALUE"""),"Battery, iPhone 14 Pro")</f>
        <v>Battery, iPhone 14 Pro</v>
      </c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>
      <c r="A2308" s="10" t="str">
        <f t="shared" si="1"/>
        <v>June</v>
      </c>
      <c r="B2308" s="11">
        <f>IFERROR(__xludf.DUMMYFUNCTION("""COMPUTED_VALUE"""),46189.0)</f>
        <v>46189</v>
      </c>
      <c r="C2308" s="2" t="str">
        <f>IFERROR(__xludf.DUMMYFUNCTION("""COMPUTED_VALUE"""),"MOBILECARE - VERTIS NORTH")</f>
        <v>MOBILECARE - VERTIS NORTH</v>
      </c>
      <c r="D2308" s="2" t="str">
        <f>IFERROR(__xludf.DUMMYFUNCTION("""COMPUTED_VALUE"""),"661-30397")</f>
        <v>661-30397</v>
      </c>
      <c r="E2308" s="2" t="str">
        <f>IFERROR(__xludf.DUMMYFUNCTION("""COMPUTED_VALUE"""),"Battery, iPhone 14 Pro Max")</f>
        <v>Battery, iPhone 14 Pro Max</v>
      </c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>
      <c r="A2309" s="10" t="str">
        <f t="shared" si="1"/>
        <v>May</v>
      </c>
      <c r="B2309" s="11">
        <f>IFERROR(__xludf.DUMMYFUNCTION("""COMPUTED_VALUE"""),46152.0)</f>
        <v>46152</v>
      </c>
      <c r="C2309" s="2" t="str">
        <f>IFERROR(__xludf.DUMMYFUNCTION("""COMPUTED_VALUE"""),"MOBILECARE - VERTIS NORTH")</f>
        <v>MOBILECARE - VERTIS NORTH</v>
      </c>
      <c r="D2309" s="2" t="str">
        <f>IFERROR(__xludf.DUMMYFUNCTION("""COMPUTED_VALUE"""),"661-21991")</f>
        <v>661-21991</v>
      </c>
      <c r="E2309" s="2" t="str">
        <f>IFERROR(__xludf.DUMMYFUNCTION("""COMPUTED_VALUE"""),"Battery, iPhone 13")</f>
        <v>Battery, iPhone 13</v>
      </c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>
      <c r="A2310" s="10" t="str">
        <f t="shared" si="1"/>
        <v>April</v>
      </c>
      <c r="B2310" s="11">
        <f>IFERROR(__xludf.DUMMYFUNCTION("""COMPUTED_VALUE"""),46138.0)</f>
        <v>46138</v>
      </c>
      <c r="C2310" s="2" t="str">
        <f>IFERROR(__xludf.DUMMYFUNCTION("""COMPUTED_VALUE"""),"MOBILECARE - VERTIS NORTH")</f>
        <v>MOBILECARE - VERTIS NORTH</v>
      </c>
      <c r="D2310" s="2" t="str">
        <f>IFERROR(__xludf.DUMMYFUNCTION("""COMPUTED_VALUE"""),"661-21991")</f>
        <v>661-21991</v>
      </c>
      <c r="E2310" s="2" t="str">
        <f>IFERROR(__xludf.DUMMYFUNCTION("""COMPUTED_VALUE"""),"Battery, iPhone 13")</f>
        <v>Battery, iPhone 13</v>
      </c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>
      <c r="A2311" s="10" t="str">
        <f t="shared" si="1"/>
        <v>April</v>
      </c>
      <c r="B2311" s="11">
        <f>IFERROR(__xludf.DUMMYFUNCTION("""COMPUTED_VALUE"""),46137.0)</f>
        <v>46137</v>
      </c>
      <c r="C2311" s="2" t="str">
        <f>IFERROR(__xludf.DUMMYFUNCTION("""COMPUTED_VALUE"""),"MOBILECARE - VERTIS NORTH")</f>
        <v>MOBILECARE - VERTIS NORTH</v>
      </c>
      <c r="D2311" s="2" t="str">
        <f>IFERROR(__xludf.DUMMYFUNCTION("""COMPUTED_VALUE"""),"661-22374")</f>
        <v>661-22374</v>
      </c>
      <c r="E2311" s="2" t="str">
        <f>IFERROR(__xludf.DUMMYFUNCTION("""COMPUTED_VALUE"""),"Battery, iPhone 13 mini")</f>
        <v>Battery, iPhone 13 mini</v>
      </c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>
      <c r="A2312" s="10" t="str">
        <f t="shared" si="1"/>
        <v>April</v>
      </c>
      <c r="B2312" s="11">
        <f>IFERROR(__xludf.DUMMYFUNCTION("""COMPUTED_VALUE"""),46130.0)</f>
        <v>46130</v>
      </c>
      <c r="C2312" s="2" t="str">
        <f>IFERROR(__xludf.DUMMYFUNCTION("""COMPUTED_VALUE"""),"MOBILECARE - VERTIS NORTH")</f>
        <v>MOBILECARE - VERTIS NORTH</v>
      </c>
      <c r="D2312" s="2" t="str">
        <f>IFERROR(__xludf.DUMMYFUNCTION("""COMPUTED_VALUE"""),"661-22294")</f>
        <v>661-22294</v>
      </c>
      <c r="E2312" s="2" t="str">
        <f>IFERROR(__xludf.DUMMYFUNCTION("""COMPUTED_VALUE"""),"Battery, iPhone 13 Pro Max")</f>
        <v>Battery, iPhone 13 Pro Max</v>
      </c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>
      <c r="A2313" s="10" t="str">
        <f t="shared" si="1"/>
        <v>March</v>
      </c>
      <c r="B2313" s="11">
        <f>IFERROR(__xludf.DUMMYFUNCTION("""COMPUTED_VALUE"""),46093.0)</f>
        <v>46093</v>
      </c>
      <c r="C2313" s="2" t="str">
        <f>IFERROR(__xludf.DUMMYFUNCTION("""COMPUTED_VALUE"""),"MOBILECARE - VERTIS NORTH")</f>
        <v>MOBILECARE - VERTIS NORTH</v>
      </c>
      <c r="D2313" s="2" t="str">
        <f>IFERROR(__xludf.DUMMYFUNCTION("""COMPUTED_VALUE"""),"661-21991")</f>
        <v>661-21991</v>
      </c>
      <c r="E2313" s="2" t="str">
        <f>IFERROR(__xludf.DUMMYFUNCTION("""COMPUTED_VALUE"""),"Battery, iPhone 13")</f>
        <v>Battery, iPhone 13</v>
      </c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>
      <c r="A2314" s="10" t="str">
        <f t="shared" si="1"/>
        <v>March</v>
      </c>
      <c r="B2314" s="11">
        <f>IFERROR(__xludf.DUMMYFUNCTION("""COMPUTED_VALUE"""),46083.0)</f>
        <v>46083</v>
      </c>
      <c r="C2314" s="2" t="str">
        <f>IFERROR(__xludf.DUMMYFUNCTION("""COMPUTED_VALUE"""),"MOBILECARE - VERTIS NORTH")</f>
        <v>MOBILECARE - VERTIS NORTH</v>
      </c>
      <c r="D2314" s="2" t="str">
        <f>IFERROR(__xludf.DUMMYFUNCTION("""COMPUTED_VALUE"""),"661-22374")</f>
        <v>661-22374</v>
      </c>
      <c r="E2314" s="2" t="str">
        <f>IFERROR(__xludf.DUMMYFUNCTION("""COMPUTED_VALUE"""),"Battery, iPhone 13 mini")</f>
        <v>Battery, iPhone 13 mini</v>
      </c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>
      <c r="A2315" s="10" t="str">
        <f t="shared" si="1"/>
        <v>February</v>
      </c>
      <c r="B2315" s="11">
        <f>IFERROR(__xludf.DUMMYFUNCTION("""COMPUTED_VALUE"""),46072.0)</f>
        <v>46072</v>
      </c>
      <c r="C2315" s="2" t="str">
        <f>IFERROR(__xludf.DUMMYFUNCTION("""COMPUTED_VALUE"""),"MOBILECARE - VERTIS NORTH")</f>
        <v>MOBILECARE - VERTIS NORTH</v>
      </c>
      <c r="D2315" s="2" t="str">
        <f>IFERROR(__xludf.DUMMYFUNCTION("""COMPUTED_VALUE"""),"661-22309")</f>
        <v>661-22309</v>
      </c>
      <c r="E2315" s="2" t="str">
        <f>IFERROR(__xludf.DUMMYFUNCTION("""COMPUTED_VALUE"""),"Display, iPhone 13 Pro Max")</f>
        <v>Display, iPhone 13 Pro Max</v>
      </c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>
      <c r="A2316" s="10" t="str">
        <f t="shared" si="1"/>
        <v>February</v>
      </c>
      <c r="B2316" s="11">
        <f>IFERROR(__xludf.DUMMYFUNCTION("""COMPUTED_VALUE"""),46075.0)</f>
        <v>46075</v>
      </c>
      <c r="C2316" s="2" t="str">
        <f>IFERROR(__xludf.DUMMYFUNCTION("""COMPUTED_VALUE"""),"MOBILECARE - VERTIS NORTH")</f>
        <v>MOBILECARE - VERTIS NORTH</v>
      </c>
      <c r="D2316" s="2" t="str">
        <f>IFERROR(__xludf.DUMMYFUNCTION("""COMPUTED_VALUE"""),"661-36706")</f>
        <v>661-36706</v>
      </c>
      <c r="E2316" s="2" t="str">
        <f>IFERROR(__xludf.DUMMYFUNCTION("""COMPUTED_VALUE"""),"Display, iPhone 15")</f>
        <v>Display, iPhone 15</v>
      </c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>
      <c r="A2317" s="10" t="str">
        <f t="shared" si="1"/>
        <v>March</v>
      </c>
      <c r="B2317" s="11">
        <f>IFERROR(__xludf.DUMMYFUNCTION("""COMPUTED_VALUE"""),46086.0)</f>
        <v>46086</v>
      </c>
      <c r="C2317" s="2" t="str">
        <f>IFERROR(__xludf.DUMMYFUNCTION("""COMPUTED_VALUE"""),"MOBILECARE - VERTIS NORTH")</f>
        <v>MOBILECARE - VERTIS NORTH</v>
      </c>
      <c r="D2317" s="2" t="str">
        <f>IFERROR(__xludf.DUMMYFUNCTION("""COMPUTED_VALUE"""),"Z661-55942")</f>
        <v>Z661-55942</v>
      </c>
      <c r="E2317" s="2" t="str">
        <f>IFERROR(__xludf.DUMMYFUNCTION("""COMPUTED_VALUE"""),"Logic Board, 256GB, A3523, ROW, iPhone 17 Pro")</f>
        <v>Logic Board, 256GB, A3523, ROW, iPhone 17 Pro</v>
      </c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>
      <c r="A2318" s="10" t="str">
        <f t="shared" si="1"/>
        <v>February</v>
      </c>
      <c r="B2318" s="11">
        <f>IFERROR(__xludf.DUMMYFUNCTION("""COMPUTED_VALUE"""),46068.0)</f>
        <v>46068</v>
      </c>
      <c r="C2318" s="2" t="str">
        <f>IFERROR(__xludf.DUMMYFUNCTION("""COMPUTED_VALUE"""),"MOBILECARE - VERTIS NORTH")</f>
        <v>MOBILECARE - VERTIS NORTH</v>
      </c>
      <c r="D2318" s="2" t="str">
        <f>IFERROR(__xludf.DUMMYFUNCTION("""COMPUTED_VALUE"""),"661-35694")</f>
        <v>661-35694</v>
      </c>
      <c r="E2318" s="2" t="str">
        <f>IFERROR(__xludf.DUMMYFUNCTION("""COMPUTED_VALUE"""),"Battery, iPhone 15 Pro")</f>
        <v>Battery, iPhone 15 Pro</v>
      </c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>
      <c r="A2319" s="10" t="str">
        <f t="shared" si="1"/>
        <v>February</v>
      </c>
      <c r="B2319" s="11">
        <f>IFERROR(__xludf.DUMMYFUNCTION("""COMPUTED_VALUE"""),46076.0)</f>
        <v>46076</v>
      </c>
      <c r="C2319" s="2" t="str">
        <f>IFERROR(__xludf.DUMMYFUNCTION("""COMPUTED_VALUE"""),"MOBILECARE - VERTIS NORTH")</f>
        <v>MOBILECARE - VERTIS NORTH</v>
      </c>
      <c r="D2319" s="2" t="str">
        <f>IFERROR(__xludf.DUMMYFUNCTION("""COMPUTED_VALUE"""),"TA661-36895")</f>
        <v>TA661-36895</v>
      </c>
      <c r="E2319" s="2" t="str">
        <f>IFERROR(__xludf.DUMMYFUNCTION("""COMPUTED_VALUE"""),"White, iPhone 15 Pro Max, 256GB, ROW, CI/AR, Taiwan")</f>
        <v>White, iPhone 15 Pro Max, 256GB, ROW, CI/AR, Taiwan</v>
      </c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>
      <c r="A2320" s="10" t="str">
        <f t="shared" si="1"/>
        <v>January</v>
      </c>
      <c r="B2320" s="11">
        <f>IFERROR(__xludf.DUMMYFUNCTION("""COMPUTED_VALUE"""),46046.0)</f>
        <v>46046</v>
      </c>
      <c r="C2320" s="2" t="str">
        <f>IFERROR(__xludf.DUMMYFUNCTION("""COMPUTED_VALUE"""),"MOBILECARE - VERTIS NORTH")</f>
        <v>MOBILECARE - VERTIS NORTH</v>
      </c>
      <c r="D2320" s="2" t="str">
        <f>IFERROR(__xludf.DUMMYFUNCTION("""COMPUTED_VALUE"""),"661-18428")</f>
        <v>661-18428</v>
      </c>
      <c r="E2320" s="2" t="str">
        <f>IFERROR(__xludf.DUMMYFUNCTION("""COMPUTED_VALUE"""),"Battery, iPhone 12 Pro Max")</f>
        <v>Battery, iPhone 12 Pro Max</v>
      </c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>
      <c r="A2321" s="10" t="str">
        <f t="shared" si="1"/>
        <v>January</v>
      </c>
      <c r="B2321" s="11">
        <f>IFERROR(__xludf.DUMMYFUNCTION("""COMPUTED_VALUE"""),46048.0)</f>
        <v>46048</v>
      </c>
      <c r="C2321" s="2" t="str">
        <f>IFERROR(__xludf.DUMMYFUNCTION("""COMPUTED_VALUE"""),"MOBILECARE - VERTIS NORTH")</f>
        <v>MOBILECARE - VERTIS NORTH</v>
      </c>
      <c r="D2321" s="2" t="str">
        <f>IFERROR(__xludf.DUMMYFUNCTION("""COMPUTED_VALUE"""),"661-44955")</f>
        <v>661-44955</v>
      </c>
      <c r="E2321" s="2" t="str">
        <f>IFERROR(__xludf.DUMMYFUNCTION("""COMPUTED_VALUE"""),"Display, iPhone 16 Pro Max")</f>
        <v>Display, iPhone 16 Pro Max</v>
      </c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>
      <c r="A2322" s="10" t="str">
        <f t="shared" si="1"/>
        <v>June</v>
      </c>
      <c r="B2322" s="11">
        <f>IFERROR(__xludf.DUMMYFUNCTION("""COMPUTED_VALUE"""),46187.0)</f>
        <v>46187</v>
      </c>
      <c r="C2322" s="2" t="str">
        <f>IFERROR(__xludf.DUMMYFUNCTION("""COMPUTED_VALUE"""),"MOBILECARE - VERTIS NORTH")</f>
        <v>MOBILECARE - VERTIS NORTH</v>
      </c>
      <c r="D2322" s="2" t="str">
        <f>IFERROR(__xludf.DUMMYFUNCTION("""COMPUTED_VALUE"""),"661-21991")</f>
        <v>661-21991</v>
      </c>
      <c r="E2322" s="2" t="str">
        <f>IFERROR(__xludf.DUMMYFUNCTION("""COMPUTED_VALUE"""),"Battery, iPhone 13")</f>
        <v>Battery, iPhone 13</v>
      </c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>
      <c r="A2323" s="10" t="str">
        <f t="shared" si="1"/>
        <v>May</v>
      </c>
      <c r="B2323" s="11">
        <f>IFERROR(__xludf.DUMMYFUNCTION("""COMPUTED_VALUE"""),46173.0)</f>
        <v>46173</v>
      </c>
      <c r="C2323" s="2" t="str">
        <f>IFERROR(__xludf.DUMMYFUNCTION("""COMPUTED_VALUE"""),"MOBILECARE - VERTIS NORTH")</f>
        <v>MOBILECARE - VERTIS NORTH</v>
      </c>
      <c r="D2323" s="2" t="str">
        <f>IFERROR(__xludf.DUMMYFUNCTION("""COMPUTED_VALUE"""),"661-22309")</f>
        <v>661-22309</v>
      </c>
      <c r="E2323" s="2" t="str">
        <f>IFERROR(__xludf.DUMMYFUNCTION("""COMPUTED_VALUE"""),"Display, iPhone 13 Pro Max")</f>
        <v>Display, iPhone 13 Pro Max</v>
      </c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>
      <c r="A2324" s="10" t="str">
        <f t="shared" si="1"/>
        <v>May</v>
      </c>
      <c r="B2324" s="11">
        <f>IFERROR(__xludf.DUMMYFUNCTION("""COMPUTED_VALUE"""),46151.0)</f>
        <v>46151</v>
      </c>
      <c r="C2324" s="2" t="str">
        <f>IFERROR(__xludf.DUMMYFUNCTION("""COMPUTED_VALUE"""),"MOBILECARE - VERTIS NORTH")</f>
        <v>MOBILECARE - VERTIS NORTH</v>
      </c>
      <c r="D2324" s="2" t="str">
        <f>IFERROR(__xludf.DUMMYFUNCTION("""COMPUTED_VALUE"""),"661-21991")</f>
        <v>661-21991</v>
      </c>
      <c r="E2324" s="2" t="str">
        <f>IFERROR(__xludf.DUMMYFUNCTION("""COMPUTED_VALUE"""),"Battery, iPhone 13")</f>
        <v>Battery, iPhone 13</v>
      </c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>
      <c r="A2325" s="10" t="str">
        <f t="shared" si="1"/>
        <v>May</v>
      </c>
      <c r="B2325" s="11">
        <f>IFERROR(__xludf.DUMMYFUNCTION("""COMPUTED_VALUE"""),46151.0)</f>
        <v>46151</v>
      </c>
      <c r="C2325" s="2" t="str">
        <f>IFERROR(__xludf.DUMMYFUNCTION("""COMPUTED_VALUE"""),"MOBILECARE - VERTIS NORTH")</f>
        <v>MOBILECARE - VERTIS NORTH</v>
      </c>
      <c r="D2325" s="2" t="str">
        <f>IFERROR(__xludf.DUMMYFUNCTION("""COMPUTED_VALUE"""),"661-14098")</f>
        <v>661-14098</v>
      </c>
      <c r="E2325" s="2" t="str">
        <f>IFERROR(__xludf.DUMMYFUNCTION("""COMPUTED_VALUE"""),"Display, iPhone 11")</f>
        <v>Display, iPhone 11</v>
      </c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>
      <c r="A2326" s="10" t="str">
        <f t="shared" si="1"/>
        <v>May</v>
      </c>
      <c r="B2326" s="11">
        <f>IFERROR(__xludf.DUMMYFUNCTION("""COMPUTED_VALUE"""),46151.0)</f>
        <v>46151</v>
      </c>
      <c r="C2326" s="2" t="str">
        <f>IFERROR(__xludf.DUMMYFUNCTION("""COMPUTED_VALUE"""),"MOBILECARE - VERTIS NORTH")</f>
        <v>MOBILECARE - VERTIS NORTH</v>
      </c>
      <c r="D2326" s="2" t="str">
        <f>IFERROR(__xludf.DUMMYFUNCTION("""COMPUTED_VALUE"""),"661-13574")</f>
        <v>661-13574</v>
      </c>
      <c r="E2326" s="2" t="str">
        <f>IFERROR(__xludf.DUMMYFUNCTION("""COMPUTED_VALUE"""),"Battery, iPhone 11")</f>
        <v>Battery, iPhone 11</v>
      </c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>
      <c r="A2327" s="10" t="str">
        <f t="shared" si="1"/>
        <v>May</v>
      </c>
      <c r="B2327" s="11">
        <f>IFERROR(__xludf.DUMMYFUNCTION("""COMPUTED_VALUE"""),46145.0)</f>
        <v>46145</v>
      </c>
      <c r="C2327" s="2" t="str">
        <f>IFERROR(__xludf.DUMMYFUNCTION("""COMPUTED_VALUE"""),"MOBILECARE - VERTIS NORTH")</f>
        <v>MOBILECARE - VERTIS NORTH</v>
      </c>
      <c r="D2327" s="2" t="str">
        <f>IFERROR(__xludf.DUMMYFUNCTION("""COMPUTED_VALUE"""),"661-42844")</f>
        <v>661-42844</v>
      </c>
      <c r="E2327" s="2" t="str">
        <f>IFERROR(__xludf.DUMMYFUNCTION("""COMPUTED_VALUE"""),"TrueDepth Camera, iPhone 16 Plus")</f>
        <v>TrueDepth Camera, iPhone 16 Plus</v>
      </c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>
      <c r="A2328" s="10" t="str">
        <f t="shared" si="1"/>
        <v>April</v>
      </c>
      <c r="B2328" s="11">
        <f>IFERROR(__xludf.DUMMYFUNCTION("""COMPUTED_VALUE"""),46135.0)</f>
        <v>46135</v>
      </c>
      <c r="C2328" s="2" t="str">
        <f>IFERROR(__xludf.DUMMYFUNCTION("""COMPUTED_VALUE"""),"MOBILECARE - VERTIS NORTH")</f>
        <v>MOBILECARE - VERTIS NORTH</v>
      </c>
      <c r="D2328" s="2" t="str">
        <f>IFERROR(__xludf.DUMMYFUNCTION("""COMPUTED_VALUE"""),"661-21988")</f>
        <v>661-21988</v>
      </c>
      <c r="E2328" s="2" t="str">
        <f>IFERROR(__xludf.DUMMYFUNCTION("""COMPUTED_VALUE"""),"Display, iPhone 13")</f>
        <v>Display, iPhone 13</v>
      </c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>
      <c r="A2329" s="10" t="str">
        <f t="shared" si="1"/>
        <v>April</v>
      </c>
      <c r="B2329" s="11">
        <f>IFERROR(__xludf.DUMMYFUNCTION("""COMPUTED_VALUE"""),46135.0)</f>
        <v>46135</v>
      </c>
      <c r="C2329" s="2" t="str">
        <f>IFERROR(__xludf.DUMMYFUNCTION("""COMPUTED_VALUE"""),"MOBILECARE - VERTIS NORTH")</f>
        <v>MOBILECARE - VERTIS NORTH</v>
      </c>
      <c r="D2329" s="2" t="str">
        <f>IFERROR(__xludf.DUMMYFUNCTION("""COMPUTED_VALUE"""),"661-21991")</f>
        <v>661-21991</v>
      </c>
      <c r="E2329" s="2" t="str">
        <f>IFERROR(__xludf.DUMMYFUNCTION("""COMPUTED_VALUE"""),"Battery, iPhone 13")</f>
        <v>Battery, iPhone 13</v>
      </c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>
      <c r="A2330" s="10" t="str">
        <f t="shared" si="1"/>
        <v>April</v>
      </c>
      <c r="B2330" s="11">
        <f>IFERROR(__xludf.DUMMYFUNCTION("""COMPUTED_VALUE"""),46130.0)</f>
        <v>46130</v>
      </c>
      <c r="C2330" s="2" t="str">
        <f>IFERROR(__xludf.DUMMYFUNCTION("""COMPUTED_VALUE"""),"MOBILECARE - VERTIS NORTH")</f>
        <v>MOBILECARE - VERTIS NORTH</v>
      </c>
      <c r="D2330" s="2" t="str">
        <f>IFERROR(__xludf.DUMMYFUNCTION("""COMPUTED_VALUE"""),"661-56050")</f>
        <v>661-56050</v>
      </c>
      <c r="E2330" s="2" t="str">
        <f>IFERROR(__xludf.DUMMYFUNCTION("""COMPUTED_VALUE"""),"Display, iPhone 17 Pro Max")</f>
        <v>Display, iPhone 17 Pro Max</v>
      </c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>
      <c r="A2331" s="10" t="str">
        <f t="shared" si="1"/>
        <v>April</v>
      </c>
      <c r="B2331" s="11">
        <f>IFERROR(__xludf.DUMMYFUNCTION("""COMPUTED_VALUE"""),46124.0)</f>
        <v>46124</v>
      </c>
      <c r="C2331" s="2" t="str">
        <f>IFERROR(__xludf.DUMMYFUNCTION("""COMPUTED_VALUE"""),"MOBILECARE - VERTIS NORTH")</f>
        <v>MOBILECARE - VERTIS NORTH</v>
      </c>
      <c r="D2331" s="2" t="str">
        <f>IFERROR(__xludf.DUMMYFUNCTION("""COMPUTED_VALUE"""),"661-56052")</f>
        <v>661-56052</v>
      </c>
      <c r="E2331" s="2" t="str">
        <f>IFERROR(__xludf.DUMMYFUNCTION("""COMPUTED_VALUE"""),"Camera, iPhone 17 Pro Max")</f>
        <v>Camera, iPhone 17 Pro Max</v>
      </c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>
      <c r="A2332" s="10" t="str">
        <f t="shared" si="1"/>
        <v>April</v>
      </c>
      <c r="B2332" s="11">
        <f>IFERROR(__xludf.DUMMYFUNCTION("""COMPUTED_VALUE"""),46120.0)</f>
        <v>46120</v>
      </c>
      <c r="C2332" s="2" t="str">
        <f>IFERROR(__xludf.DUMMYFUNCTION("""COMPUTED_VALUE"""),"MOBILECARE - VERTIS NORTH")</f>
        <v>MOBILECARE - VERTIS NORTH</v>
      </c>
      <c r="D2332" s="2" t="str">
        <f>IFERROR(__xludf.DUMMYFUNCTION("""COMPUTED_VALUE"""),"661-22309")</f>
        <v>661-22309</v>
      </c>
      <c r="E2332" s="2" t="str">
        <f>IFERROR(__xludf.DUMMYFUNCTION("""COMPUTED_VALUE"""),"Display, iPhone 13 Pro Max")</f>
        <v>Display, iPhone 13 Pro Max</v>
      </c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>
      <c r="A2333" s="10" t="str">
        <f t="shared" si="1"/>
        <v>March</v>
      </c>
      <c r="B2333" s="11">
        <f>IFERROR(__xludf.DUMMYFUNCTION("""COMPUTED_VALUE"""),46101.0)</f>
        <v>46101</v>
      </c>
      <c r="C2333" s="2" t="str">
        <f>IFERROR(__xludf.DUMMYFUNCTION("""COMPUTED_VALUE"""),"MOBILECARE - VERTIS NORTH")</f>
        <v>MOBILECARE - VERTIS NORTH</v>
      </c>
      <c r="D2333" s="2" t="str">
        <f>IFERROR(__xludf.DUMMYFUNCTION("""COMPUTED_VALUE"""),"661-21996")</f>
        <v>661-21996</v>
      </c>
      <c r="E2333" s="2" t="str">
        <f>IFERROR(__xludf.DUMMYFUNCTION("""COMPUTED_VALUE"""),"Battery, iPhone 13 Pro")</f>
        <v>Battery, iPhone 13 Pro</v>
      </c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>
      <c r="A2334" s="10" t="str">
        <f t="shared" si="1"/>
        <v>March</v>
      </c>
      <c r="B2334" s="11">
        <f>IFERROR(__xludf.DUMMYFUNCTION("""COMPUTED_VALUE"""),46101.0)</f>
        <v>46101</v>
      </c>
      <c r="C2334" s="2" t="str">
        <f>IFERROR(__xludf.DUMMYFUNCTION("""COMPUTED_VALUE"""),"MOBILECARE - VERTIS NORTH")</f>
        <v>MOBILECARE - VERTIS NORTH</v>
      </c>
      <c r="D2334" s="2" t="str">
        <f>IFERROR(__xludf.DUMMYFUNCTION("""COMPUTED_VALUE"""),"661-36918")</f>
        <v>661-36918</v>
      </c>
      <c r="E2334" s="2" t="str">
        <f>IFERROR(__xludf.DUMMYFUNCTION("""COMPUTED_VALUE"""),"Battery, iPhone 15 Pro Max")</f>
        <v>Battery, iPhone 15 Pro Max</v>
      </c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>
      <c r="A2335" s="10" t="str">
        <f t="shared" si="1"/>
        <v>February</v>
      </c>
      <c r="B2335" s="11">
        <f>IFERROR(__xludf.DUMMYFUNCTION("""COMPUTED_VALUE"""),46072.0)</f>
        <v>46072</v>
      </c>
      <c r="C2335" s="2" t="str">
        <f>IFERROR(__xludf.DUMMYFUNCTION("""COMPUTED_VALUE"""),"MOBILECARE - VERTIS NORTH")</f>
        <v>MOBILECARE - VERTIS NORTH</v>
      </c>
      <c r="D2335" s="2" t="str">
        <f>IFERROR(__xludf.DUMMYFUNCTION("""COMPUTED_VALUE"""),"661-18428")</f>
        <v>661-18428</v>
      </c>
      <c r="E2335" s="2" t="str">
        <f>IFERROR(__xludf.DUMMYFUNCTION("""COMPUTED_VALUE"""),"Battery, iPhone 12 Pro Max")</f>
        <v>Battery, iPhone 12 Pro Max</v>
      </c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>
      <c r="A2336" s="10" t="str">
        <f t="shared" si="1"/>
        <v>January</v>
      </c>
      <c r="B2336" s="11">
        <f>IFERROR(__xludf.DUMMYFUNCTION("""COMPUTED_VALUE"""),46053.0)</f>
        <v>46053</v>
      </c>
      <c r="C2336" s="2" t="str">
        <f>IFERROR(__xludf.DUMMYFUNCTION("""COMPUTED_VALUE"""),"MOBILECARE - VERTIS NORTH")</f>
        <v>MOBILECARE - VERTIS NORTH</v>
      </c>
      <c r="D2336" s="2" t="str">
        <f>IFERROR(__xludf.DUMMYFUNCTION("""COMPUTED_VALUE"""),"661-30397")</f>
        <v>661-30397</v>
      </c>
      <c r="E2336" s="2" t="str">
        <f>IFERROR(__xludf.DUMMYFUNCTION("""COMPUTED_VALUE"""),"Battery, iPhone 14 Pro Max")</f>
        <v>Battery, iPhone 14 Pro Max</v>
      </c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>
      <c r="A2337" s="10" t="str">
        <f t="shared" si="1"/>
        <v>January</v>
      </c>
      <c r="B2337" s="11">
        <f>IFERROR(__xludf.DUMMYFUNCTION("""COMPUTED_VALUE"""),46049.0)</f>
        <v>46049</v>
      </c>
      <c r="C2337" s="2" t="str">
        <f>IFERROR(__xludf.DUMMYFUNCTION("""COMPUTED_VALUE"""),"MOBILECARE - VERTIS NORTH")</f>
        <v>MOBILECARE - VERTIS NORTH</v>
      </c>
      <c r="D2337" s="2" t="str">
        <f>IFERROR(__xludf.DUMMYFUNCTION("""COMPUTED_VALUE"""),"661-56050")</f>
        <v>661-56050</v>
      </c>
      <c r="E2337" s="2" t="str">
        <f>IFERROR(__xludf.DUMMYFUNCTION("""COMPUTED_VALUE"""),"Display, iPhone 17 Pro Max")</f>
        <v>Display, iPhone 17 Pro Max</v>
      </c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>
      <c r="A2338" s="10" t="str">
        <f t="shared" si="1"/>
        <v>January</v>
      </c>
      <c r="B2338" s="11">
        <f>IFERROR(__xludf.DUMMYFUNCTION("""COMPUTED_VALUE"""),46040.0)</f>
        <v>46040</v>
      </c>
      <c r="C2338" s="2" t="str">
        <f>IFERROR(__xludf.DUMMYFUNCTION("""COMPUTED_VALUE"""),"MOBILECARE - VERTIS NORTH")</f>
        <v>MOBILECARE - VERTIS NORTH</v>
      </c>
      <c r="D2338" s="2" t="str">
        <f>IFERROR(__xludf.DUMMYFUNCTION("""COMPUTED_VALUE"""),"661-44955")</f>
        <v>661-44955</v>
      </c>
      <c r="E2338" s="2" t="str">
        <f>IFERROR(__xludf.DUMMYFUNCTION("""COMPUTED_VALUE"""),"Display, iPhone 16 Pro Max")</f>
        <v>Display, iPhone 16 Pro Max</v>
      </c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>
      <c r="A2339" s="10" t="str">
        <f t="shared" si="1"/>
        <v>June</v>
      </c>
      <c r="B2339" s="11">
        <f>IFERROR(__xludf.DUMMYFUNCTION("""COMPUTED_VALUE"""),46178.0)</f>
        <v>46178</v>
      </c>
      <c r="C2339" s="2" t="str">
        <f>IFERROR(__xludf.DUMMYFUNCTION("""COMPUTED_VALUE"""),"MOBILECARE - CAGAYAN DE ORO")</f>
        <v>MOBILECARE - CAGAYAN DE ORO</v>
      </c>
      <c r="D2339" s="2" t="str">
        <f>IFERROR(__xludf.DUMMYFUNCTION("""COMPUTED_VALUE"""),"661-21988")</f>
        <v>661-21988</v>
      </c>
      <c r="E2339" s="2" t="str">
        <f>IFERROR(__xludf.DUMMYFUNCTION("""COMPUTED_VALUE"""),"Display, iPhone 13")</f>
        <v>Display, iPhone 13</v>
      </c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>
      <c r="A2340" s="10" t="str">
        <f t="shared" si="1"/>
        <v>February</v>
      </c>
      <c r="B2340" s="11">
        <f>IFERROR(__xludf.DUMMYFUNCTION("""COMPUTED_VALUE"""),46065.0)</f>
        <v>46065</v>
      </c>
      <c r="C2340" s="2" t="str">
        <f>IFERROR(__xludf.DUMMYFUNCTION("""COMPUTED_VALUE"""),"MOBILECARE - CAGAYAN DE ORO")</f>
        <v>MOBILECARE - CAGAYAN DE ORO</v>
      </c>
      <c r="D2340" s="2" t="str">
        <f>IFERROR(__xludf.DUMMYFUNCTION("""COMPUTED_VALUE"""),"PP661-23455")</f>
        <v>PP661-23455</v>
      </c>
      <c r="E2340" s="2" t="str">
        <f>IFERROR(__xludf.DUMMYFUNCTION("""COMPUTED_VALUE"""),"iPhone 13, Starlight, 128GB, Logic Board Assy Rear System, ROW")</f>
        <v>iPhone 13, Starlight, 128GB, Logic Board Assy Rear System, ROW</v>
      </c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>
      <c r="A2341" s="10" t="str">
        <f t="shared" si="1"/>
        <v>February</v>
      </c>
      <c r="B2341" s="11">
        <f>IFERROR(__xludf.DUMMYFUNCTION("""COMPUTED_VALUE"""),46065.0)</f>
        <v>46065</v>
      </c>
      <c r="C2341" s="2" t="str">
        <f>IFERROR(__xludf.DUMMYFUNCTION("""COMPUTED_VALUE"""),"MOBILECARE - CAGAYAN DE ORO")</f>
        <v>MOBILECARE - CAGAYAN DE ORO</v>
      </c>
      <c r="D2341" s="2" t="str">
        <f>IFERROR(__xludf.DUMMYFUNCTION("""COMPUTED_VALUE"""),"661-21988")</f>
        <v>661-21988</v>
      </c>
      <c r="E2341" s="2" t="str">
        <f>IFERROR(__xludf.DUMMYFUNCTION("""COMPUTED_VALUE"""),"Display, iPhone 13")</f>
        <v>Display, iPhone 13</v>
      </c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>
      <c r="A2342" s="10" t="str">
        <f t="shared" si="1"/>
        <v>March</v>
      </c>
      <c r="B2342" s="11">
        <f>IFERROR(__xludf.DUMMYFUNCTION("""COMPUTED_VALUE"""),46112.0)</f>
        <v>46112</v>
      </c>
      <c r="C2342" s="2" t="str">
        <f>IFERROR(__xludf.DUMMYFUNCTION("""COMPUTED_VALUE"""),"MOBILECARE - CAGAYAN DE ORO")</f>
        <v>MOBILECARE - CAGAYAN DE ORO</v>
      </c>
      <c r="D2342" s="2" t="str">
        <f>IFERROR(__xludf.DUMMYFUNCTION("""COMPUTED_VALUE"""),"TA661-36694")</f>
        <v>TA661-36694</v>
      </c>
      <c r="E2342" s="2" t="str">
        <f>IFERROR(__xludf.DUMMYFUNCTION("""COMPUTED_VALUE"""),"iPhone 15, Blue, 128GB, Logic Board Assy Mid System, ROW")</f>
        <v>iPhone 15, Blue, 128GB, Logic Board Assy Mid System, ROW</v>
      </c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>
      <c r="A2343" s="10" t="str">
        <f t="shared" si="1"/>
        <v>February</v>
      </c>
      <c r="B2343" s="11">
        <f>IFERROR(__xludf.DUMMYFUNCTION("""COMPUTED_VALUE"""),46065.0)</f>
        <v>46065</v>
      </c>
      <c r="C2343" s="2" t="str">
        <f>IFERROR(__xludf.DUMMYFUNCTION("""COMPUTED_VALUE"""),"MOBILECARE - CAGAYAN DE ORO")</f>
        <v>MOBILECARE - CAGAYAN DE ORO</v>
      </c>
      <c r="D2343" s="2" t="str">
        <f>IFERROR(__xludf.DUMMYFUNCTION("""COMPUTED_VALUE"""),"661-42840")</f>
        <v>661-42840</v>
      </c>
      <c r="E2343" s="2" t="str">
        <f>IFERROR(__xludf.DUMMYFUNCTION("""COMPUTED_VALUE"""),"PinkBack Glass, iPhone 16 Plus")</f>
        <v>PinkBack Glass, iPhone 16 Plus</v>
      </c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>
      <c r="A2344" s="10" t="str">
        <f t="shared" si="1"/>
        <v>February</v>
      </c>
      <c r="B2344" s="11">
        <f>IFERROR(__xludf.DUMMYFUNCTION("""COMPUTED_VALUE"""),46065.0)</f>
        <v>46065</v>
      </c>
      <c r="C2344" s="2" t="str">
        <f>IFERROR(__xludf.DUMMYFUNCTION("""COMPUTED_VALUE"""),"MOBILECARE - CAGAYAN DE ORO")</f>
        <v>MOBILECARE - CAGAYAN DE ORO</v>
      </c>
      <c r="D2344" s="2" t="str">
        <f>IFERROR(__xludf.DUMMYFUNCTION("""COMPUTED_VALUE"""),"661-42844")</f>
        <v>661-42844</v>
      </c>
      <c r="E2344" s="2" t="str">
        <f>IFERROR(__xludf.DUMMYFUNCTION("""COMPUTED_VALUE"""),"TrueDepth Camera, iPhone 16 Plus")</f>
        <v>TrueDepth Camera, iPhone 16 Plus</v>
      </c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>
      <c r="A2345" s="10" t="str">
        <f t="shared" si="1"/>
        <v>June</v>
      </c>
      <c r="B2345" s="11">
        <f>IFERROR(__xludf.DUMMYFUNCTION("""COMPUTED_VALUE"""),46186.0)</f>
        <v>46186</v>
      </c>
      <c r="C2345" s="2" t="str">
        <f>IFERROR(__xludf.DUMMYFUNCTION("""COMPUTED_VALUE"""),"MOBILECARE - CAGAYAN DE ORO")</f>
        <v>MOBILECARE - CAGAYAN DE ORO</v>
      </c>
      <c r="D2345" s="2" t="str">
        <f>IFERROR(__xludf.DUMMYFUNCTION("""COMPUTED_VALUE"""),"TA661-45323")</f>
        <v>TA661-45323</v>
      </c>
      <c r="E2345" s="2" t="str">
        <f>IFERROR(__xludf.DUMMYFUNCTION("""COMPUTED_VALUE"""),"256GB, Desert Titanium, ROW, iPhone 16 Pro Max, Logic Board Assy Mid Sys")</f>
        <v>256GB, Desert Titanium, ROW, iPhone 16 Pro Max, Logic Board Assy Mid Sys</v>
      </c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>
      <c r="A2346" s="10" t="str">
        <f t="shared" si="1"/>
        <v>April</v>
      </c>
      <c r="B2346" s="11">
        <f>IFERROR(__xludf.DUMMYFUNCTION("""COMPUTED_VALUE"""),46130.0)</f>
        <v>46130</v>
      </c>
      <c r="C2346" s="2" t="str">
        <f>IFERROR(__xludf.DUMMYFUNCTION("""COMPUTED_VALUE"""),"MOBILECARE - CAGAYAN DE ORO")</f>
        <v>MOBILECARE - CAGAYAN DE ORO</v>
      </c>
      <c r="D2346" s="2" t="str">
        <f>IFERROR(__xludf.DUMMYFUNCTION("""COMPUTED_VALUE"""),"661-30382")</f>
        <v>661-30382</v>
      </c>
      <c r="E2346" s="2" t="str">
        <f>IFERROR(__xludf.DUMMYFUNCTION("""COMPUTED_VALUE"""),"Battery, iPhone 14 Pro")</f>
        <v>Battery, iPhone 14 Pro</v>
      </c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>
      <c r="A2347" s="10" t="str">
        <f t="shared" si="1"/>
        <v>May</v>
      </c>
      <c r="B2347" s="11">
        <f>IFERROR(__xludf.DUMMYFUNCTION("""COMPUTED_VALUE"""),46170.0)</f>
        <v>46170</v>
      </c>
      <c r="C2347" s="2" t="str">
        <f>IFERROR(__xludf.DUMMYFUNCTION("""COMPUTED_VALUE"""),"MOBILECARE - CAGAYAN DE ORO")</f>
        <v>MOBILECARE - CAGAYAN DE ORO</v>
      </c>
      <c r="D2347" s="2" t="str">
        <f>IFERROR(__xludf.DUMMYFUNCTION("""COMPUTED_VALUE"""),"661-44955")</f>
        <v>661-44955</v>
      </c>
      <c r="E2347" s="2" t="str">
        <f>IFERROR(__xludf.DUMMYFUNCTION("""COMPUTED_VALUE"""),"Display, iPhone 16 Pro Max")</f>
        <v>Display, iPhone 16 Pro Max</v>
      </c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>
      <c r="A2348" s="10" t="str">
        <f t="shared" si="1"/>
        <v>May</v>
      </c>
      <c r="B2348" s="11">
        <f>IFERROR(__xludf.DUMMYFUNCTION("""COMPUTED_VALUE"""),46170.0)</f>
        <v>46170</v>
      </c>
      <c r="C2348" s="2" t="str">
        <f>IFERROR(__xludf.DUMMYFUNCTION("""COMPUTED_VALUE"""),"MOBILECARE - CAGAYAN DE ORO")</f>
        <v>MOBILECARE - CAGAYAN DE ORO</v>
      </c>
      <c r="D2348" s="2" t="str">
        <f>IFERROR(__xludf.DUMMYFUNCTION("""COMPUTED_VALUE"""),"661-44955")</f>
        <v>661-44955</v>
      </c>
      <c r="E2348" s="2" t="str">
        <f>IFERROR(__xludf.DUMMYFUNCTION("""COMPUTED_VALUE"""),"Display, iPhone 16 Pro Max")</f>
        <v>Display, iPhone 16 Pro Max</v>
      </c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>
      <c r="A2349" s="10" t="str">
        <f t="shared" si="1"/>
        <v>March</v>
      </c>
      <c r="B2349" s="11">
        <f>IFERROR(__xludf.DUMMYFUNCTION("""COMPUTED_VALUE"""),46101.0)</f>
        <v>46101</v>
      </c>
      <c r="C2349" s="2" t="str">
        <f>IFERROR(__xludf.DUMMYFUNCTION("""COMPUTED_VALUE"""),"MOBILECARE - CAGAYAN DE ORO")</f>
        <v>MOBILECARE - CAGAYAN DE ORO</v>
      </c>
      <c r="D2349" s="2" t="str">
        <f>IFERROR(__xludf.DUMMYFUNCTION("""COMPUTED_VALUE"""),"PP661-28868")</f>
        <v>PP661-28868</v>
      </c>
      <c r="E2349" s="2" t="str">
        <f>IFERROR(__xludf.DUMMYFUNCTION("""COMPUTED_VALUE"""),"iPhone 14, Midnight, 128GB, Logic Board Assy Mid System, ROW")</f>
        <v>iPhone 14, Midnight, 128GB, Logic Board Assy Mid System, ROW</v>
      </c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>
      <c r="A2350" s="10" t="str">
        <f t="shared" si="1"/>
        <v>February</v>
      </c>
      <c r="B2350" s="11">
        <f>IFERROR(__xludf.DUMMYFUNCTION("""COMPUTED_VALUE"""),46057.0)</f>
        <v>46057</v>
      </c>
      <c r="C2350" s="2" t="str">
        <f>IFERROR(__xludf.DUMMYFUNCTION("""COMPUTED_VALUE"""),"MOBILECARE - CAGAYAN DE ORO")</f>
        <v>MOBILECARE - CAGAYAN DE ORO</v>
      </c>
      <c r="D2350" s="2" t="str">
        <f>IFERROR(__xludf.DUMMYFUNCTION("""COMPUTED_VALUE"""),"661-42726")</f>
        <v>661-42726</v>
      </c>
      <c r="E2350" s="2" t="str">
        <f>IFERROR(__xludf.DUMMYFUNCTION("""COMPUTED_VALUE"""),"Display, iPhone 16 Pro")</f>
        <v>Display, iPhone 16 Pro</v>
      </c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>
      <c r="A2351" s="10" t="str">
        <f t="shared" si="1"/>
        <v>June</v>
      </c>
      <c r="B2351" s="11">
        <f>IFERROR(__xludf.DUMMYFUNCTION("""COMPUTED_VALUE"""),46193.0)</f>
        <v>46193</v>
      </c>
      <c r="C2351" s="2" t="str">
        <f>IFERROR(__xludf.DUMMYFUNCTION("""COMPUTED_VALUE"""),"MOBILECARE - CAGAYAN DE ORO")</f>
        <v>MOBILECARE - CAGAYAN DE ORO</v>
      </c>
      <c r="D2351" s="2" t="str">
        <f>IFERROR(__xludf.DUMMYFUNCTION("""COMPUTED_VALUE"""),"TA661-36694")</f>
        <v>TA661-36694</v>
      </c>
      <c r="E2351" s="2" t="str">
        <f>IFERROR(__xludf.DUMMYFUNCTION("""COMPUTED_VALUE"""),"iPhone 15, Blue, 128GB, Logic Board Assy Mid System, ROW")</f>
        <v>iPhone 15, Blue, 128GB, Logic Board Assy Mid System, ROW</v>
      </c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>
      <c r="A2352" s="10" t="str">
        <f t="shared" si="1"/>
        <v>April</v>
      </c>
      <c r="B2352" s="11">
        <f>IFERROR(__xludf.DUMMYFUNCTION("""COMPUTED_VALUE"""),46136.0)</f>
        <v>46136</v>
      </c>
      <c r="C2352" s="2" t="str">
        <f>IFERROR(__xludf.DUMMYFUNCTION("""COMPUTED_VALUE"""),"MOBILECARE - CAGAYAN DE ORO")</f>
        <v>MOBILECARE - CAGAYAN DE ORO</v>
      </c>
      <c r="D2352" s="2" t="str">
        <f>IFERROR(__xludf.DUMMYFUNCTION("""COMPUTED_VALUE"""),"661-44957")</f>
        <v>661-44957</v>
      </c>
      <c r="E2352" s="2" t="str">
        <f>IFERROR(__xludf.DUMMYFUNCTION("""COMPUTED_VALUE"""),"Camera, iPhone 16 Pro Max")</f>
        <v>Camera, iPhone 16 Pro Max</v>
      </c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>
      <c r="A2353" s="10" t="str">
        <f t="shared" si="1"/>
        <v>April</v>
      </c>
      <c r="B2353" s="11">
        <f>IFERROR(__xludf.DUMMYFUNCTION("""COMPUTED_VALUE"""),46136.0)</f>
        <v>46136</v>
      </c>
      <c r="C2353" s="2" t="str">
        <f>IFERROR(__xludf.DUMMYFUNCTION("""COMPUTED_VALUE"""),"MOBILECARE - CAGAYAN DE ORO")</f>
        <v>MOBILECARE - CAGAYAN DE ORO</v>
      </c>
      <c r="D2353" s="2" t="str">
        <f>IFERROR(__xludf.DUMMYFUNCTION("""COMPUTED_VALUE"""),"661-44957")</f>
        <v>661-44957</v>
      </c>
      <c r="E2353" s="2" t="str">
        <f>IFERROR(__xludf.DUMMYFUNCTION("""COMPUTED_VALUE"""),"Camera, iPhone 16 Pro Max")</f>
        <v>Camera, iPhone 16 Pro Max</v>
      </c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>
      <c r="A2354" s="10" t="str">
        <f t="shared" si="1"/>
        <v>February</v>
      </c>
      <c r="B2354" s="11">
        <f>IFERROR(__xludf.DUMMYFUNCTION("""COMPUTED_VALUE"""),46060.0)</f>
        <v>46060</v>
      </c>
      <c r="C2354" s="2" t="str">
        <f>IFERROR(__xludf.DUMMYFUNCTION("""COMPUTED_VALUE"""),"MOBILECARE - CAGAYAN DE ORO")</f>
        <v>MOBILECARE - CAGAYAN DE ORO</v>
      </c>
      <c r="D2354" s="2" t="str">
        <f>IFERROR(__xludf.DUMMYFUNCTION("""COMPUTED_VALUE"""),"661-56125")</f>
        <v>661-56125</v>
      </c>
      <c r="E2354" s="2" t="str">
        <f>IFERROR(__xludf.DUMMYFUNCTION("""COMPUTED_VALUE"""),"Display, iPhone 17 Pro")</f>
        <v>Display, iPhone 17 Pro</v>
      </c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>
      <c r="A2355" s="10" t="str">
        <f t="shared" si="1"/>
        <v>April</v>
      </c>
      <c r="B2355" s="11">
        <f>IFERROR(__xludf.DUMMYFUNCTION("""COMPUTED_VALUE"""),46128.0)</f>
        <v>46128</v>
      </c>
      <c r="C2355" s="2" t="str">
        <f>IFERROR(__xludf.DUMMYFUNCTION("""COMPUTED_VALUE"""),"MOBILECARE - CAGAYAN DE ORO")</f>
        <v>MOBILECARE - CAGAYAN DE ORO</v>
      </c>
      <c r="D2355" s="2" t="str">
        <f>IFERROR(__xludf.DUMMYFUNCTION("""COMPUTED_VALUE"""),"661-44955")</f>
        <v>661-44955</v>
      </c>
      <c r="E2355" s="2" t="str">
        <f>IFERROR(__xludf.DUMMYFUNCTION("""COMPUTED_VALUE"""),"Display, iPhone 16 Pro Max")</f>
        <v>Display, iPhone 16 Pro Max</v>
      </c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>
      <c r="A2356" s="10" t="str">
        <f t="shared" si="1"/>
        <v>March</v>
      </c>
      <c r="B2356" s="11">
        <f>IFERROR(__xludf.DUMMYFUNCTION("""COMPUTED_VALUE"""),46097.0)</f>
        <v>46097</v>
      </c>
      <c r="C2356" s="2" t="str">
        <f>IFERROR(__xludf.DUMMYFUNCTION("""COMPUTED_VALUE"""),"MOBILECARE - CAGAYAN DE ORO")</f>
        <v>MOBILECARE - CAGAYAN DE ORO</v>
      </c>
      <c r="D2356" s="2" t="str">
        <f>IFERROR(__xludf.DUMMYFUNCTION("""COMPUTED_VALUE"""),"661-44955")</f>
        <v>661-44955</v>
      </c>
      <c r="E2356" s="2" t="str">
        <f>IFERROR(__xludf.DUMMYFUNCTION("""COMPUTED_VALUE"""),"Display, iPhone 16 Pro Max")</f>
        <v>Display, iPhone 16 Pro Max</v>
      </c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>
      <c r="A2357" s="10" t="str">
        <f t="shared" si="1"/>
        <v>March</v>
      </c>
      <c r="B2357" s="11">
        <f>IFERROR(__xludf.DUMMYFUNCTION("""COMPUTED_VALUE"""),46102.0)</f>
        <v>46102</v>
      </c>
      <c r="C2357" s="2" t="str">
        <f>IFERROR(__xludf.DUMMYFUNCTION("""COMPUTED_VALUE"""),"MOBILECARE - CAGAYAN DE ORO")</f>
        <v>MOBILECARE - CAGAYAN DE ORO</v>
      </c>
      <c r="D2357" s="2" t="str">
        <f>IFERROR(__xludf.DUMMYFUNCTION("""COMPUTED_VALUE"""),"TA661-36692")</f>
        <v>TA661-36692</v>
      </c>
      <c r="E2357" s="2" t="str">
        <f>IFERROR(__xludf.DUMMYFUNCTION("""COMPUTED_VALUE"""),"iPhone 15, Pink, 128GB, Logic Board Assy Mid System, ROW")</f>
        <v>iPhone 15, Pink, 128GB, Logic Board Assy Mid System, ROW</v>
      </c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>
      <c r="A2358" s="10" t="str">
        <f t="shared" si="1"/>
        <v>February</v>
      </c>
      <c r="B2358" s="11">
        <f>IFERROR(__xludf.DUMMYFUNCTION("""COMPUTED_VALUE"""),46063.0)</f>
        <v>46063</v>
      </c>
      <c r="C2358" s="2" t="str">
        <f>IFERROR(__xludf.DUMMYFUNCTION("""COMPUTED_VALUE"""),"MOBILECARE - CAGAYAN DE ORO")</f>
        <v>MOBILECARE - CAGAYAN DE ORO</v>
      </c>
      <c r="D2358" s="2" t="str">
        <f>IFERROR(__xludf.DUMMYFUNCTION("""COMPUTED_VALUE"""),"TA661-45327")</f>
        <v>TA661-45327</v>
      </c>
      <c r="E2358" s="2" t="str">
        <f>IFERROR(__xludf.DUMMYFUNCTION("""COMPUTED_VALUE"""),"512GB, Desert Titanium, ROW, iPhone 16 Pro Max, Logic Board Assy Mid Sys")</f>
        <v>512GB, Desert Titanium, ROW, iPhone 16 Pro Max, Logic Board Assy Mid Sys</v>
      </c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>
      <c r="A2359" s="10" t="str">
        <f t="shared" si="1"/>
        <v>January</v>
      </c>
      <c r="B2359" s="11">
        <f>IFERROR(__xludf.DUMMYFUNCTION("""COMPUTED_VALUE"""),46045.0)</f>
        <v>46045</v>
      </c>
      <c r="C2359" s="2" t="str">
        <f>IFERROR(__xludf.DUMMYFUNCTION("""COMPUTED_VALUE"""),"MOBILECARE - CAGAYAN DE ORO")</f>
        <v>MOBILECARE - CAGAYAN DE ORO</v>
      </c>
      <c r="D2359" s="2" t="str">
        <f>IFERROR(__xludf.DUMMYFUNCTION("""COMPUTED_VALUE"""),"923-08212")</f>
        <v>923-08212</v>
      </c>
      <c r="E2359" s="2" t="str">
        <f>IFERROR(__xludf.DUMMYFUNCTION("""COMPUTED_VALUE"""),"Bottom Speaker, iPhone 14")</f>
        <v>Bottom Speaker, iPhone 14</v>
      </c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>
      <c r="A2360" s="10" t="str">
        <f t="shared" si="1"/>
        <v>January</v>
      </c>
      <c r="B2360" s="11">
        <f>IFERROR(__xludf.DUMMYFUNCTION("""COMPUTED_VALUE"""),46045.0)</f>
        <v>46045</v>
      </c>
      <c r="C2360" s="2" t="str">
        <f>IFERROR(__xludf.DUMMYFUNCTION("""COMPUTED_VALUE"""),"MOBILECARE - CAGAYAN DE ORO")</f>
        <v>MOBILECARE - CAGAYAN DE ORO</v>
      </c>
      <c r="D2360" s="2" t="str">
        <f>IFERROR(__xludf.DUMMYFUNCTION("""COMPUTED_VALUE"""),"923-08212")</f>
        <v>923-08212</v>
      </c>
      <c r="E2360" s="2" t="str">
        <f>IFERROR(__xludf.DUMMYFUNCTION("""COMPUTED_VALUE"""),"Bottom Speaker, iPhone 14")</f>
        <v>Bottom Speaker, iPhone 14</v>
      </c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>
      <c r="A2361" s="10" t="str">
        <f t="shared" si="1"/>
        <v>June</v>
      </c>
      <c r="B2361" s="11">
        <f>IFERROR(__xludf.DUMMYFUNCTION("""COMPUTED_VALUE"""),46193.0)</f>
        <v>46193</v>
      </c>
      <c r="C2361" s="2" t="str">
        <f>IFERROR(__xludf.DUMMYFUNCTION("""COMPUTED_VALUE"""),"MOBILECARE - CAGAYAN DE ORO")</f>
        <v>MOBILECARE - CAGAYAN DE ORO</v>
      </c>
      <c r="D2361" s="2" t="str">
        <f>IFERROR(__xludf.DUMMYFUNCTION("""COMPUTED_VALUE"""),"661-21991")</f>
        <v>661-21991</v>
      </c>
      <c r="E2361" s="2" t="str">
        <f>IFERROR(__xludf.DUMMYFUNCTION("""COMPUTED_VALUE"""),"Battery, iPhone 13")</f>
        <v>Battery, iPhone 13</v>
      </c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>
      <c r="A2362" s="10" t="str">
        <f t="shared" si="1"/>
        <v>June</v>
      </c>
      <c r="B2362" s="11">
        <f>IFERROR(__xludf.DUMMYFUNCTION("""COMPUTED_VALUE"""),46192.0)</f>
        <v>46192</v>
      </c>
      <c r="C2362" s="2" t="str">
        <f>IFERROR(__xludf.DUMMYFUNCTION("""COMPUTED_VALUE"""),"MOBILECARE - CAGAYAN DE ORO")</f>
        <v>MOBILECARE - CAGAYAN DE ORO</v>
      </c>
      <c r="D2362" s="2" t="str">
        <f>IFERROR(__xludf.DUMMYFUNCTION("""COMPUTED_VALUE"""),"Z661-55942")</f>
        <v>Z661-55942</v>
      </c>
      <c r="E2362" s="2" t="str">
        <f>IFERROR(__xludf.DUMMYFUNCTION("""COMPUTED_VALUE"""),"Logic Board, 256GB, A3523, ROW, iPhone 17 Pro")</f>
        <v>Logic Board, 256GB, A3523, ROW, iPhone 17 Pro</v>
      </c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>
      <c r="A2363" s="10" t="str">
        <f t="shared" si="1"/>
        <v>June</v>
      </c>
      <c r="B2363" s="11">
        <f>IFERROR(__xludf.DUMMYFUNCTION("""COMPUTED_VALUE"""),46192.0)</f>
        <v>46192</v>
      </c>
      <c r="C2363" s="2" t="str">
        <f>IFERROR(__xludf.DUMMYFUNCTION("""COMPUTED_VALUE"""),"MOBILECARE - CAGAYAN DE ORO")</f>
        <v>MOBILECARE - CAGAYAN DE ORO</v>
      </c>
      <c r="D2363" s="2" t="str">
        <f>IFERROR(__xludf.DUMMYFUNCTION("""COMPUTED_VALUE"""),"ZP923-13640")</f>
        <v>ZP923-13640</v>
      </c>
      <c r="E2363" s="2" t="str">
        <f>IFERROR(__xludf.DUMMYFUNCTION("""COMPUTED_VALUE"""),"Deep Blue, Enclosure, ROW, iPhone 17 Pro")</f>
        <v>Deep Blue, Enclosure, ROW, iPhone 17 Pro</v>
      </c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>
      <c r="A2364" s="10" t="str">
        <f t="shared" si="1"/>
        <v>March</v>
      </c>
      <c r="B2364" s="11">
        <f>IFERROR(__xludf.DUMMYFUNCTION("""COMPUTED_VALUE"""),46101.0)</f>
        <v>46101</v>
      </c>
      <c r="C2364" s="2" t="str">
        <f>IFERROR(__xludf.DUMMYFUNCTION("""COMPUTED_VALUE"""),"MOBILECARE - CAGAYAN DE ORO")</f>
        <v>MOBILECARE - CAGAYAN DE ORO</v>
      </c>
      <c r="D2364" s="2" t="str">
        <f>IFERROR(__xludf.DUMMYFUNCTION("""COMPUTED_VALUE"""),"661-56125")</f>
        <v>661-56125</v>
      </c>
      <c r="E2364" s="2" t="str">
        <f>IFERROR(__xludf.DUMMYFUNCTION("""COMPUTED_VALUE"""),"Display, iPhone 17 Pro")</f>
        <v>Display, iPhone 17 Pro</v>
      </c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>
      <c r="A2365" s="10" t="str">
        <f t="shared" si="1"/>
        <v>March</v>
      </c>
      <c r="B2365" s="11">
        <f>IFERROR(__xludf.DUMMYFUNCTION("""COMPUTED_VALUE"""),46104.0)</f>
        <v>46104</v>
      </c>
      <c r="C2365" s="2" t="str">
        <f>IFERROR(__xludf.DUMMYFUNCTION("""COMPUTED_VALUE"""),"MOBILECARE - CAGAYAN DE ORO")</f>
        <v>MOBILECARE - CAGAYAN DE ORO</v>
      </c>
      <c r="D2365" s="2" t="str">
        <f>IFERROR(__xludf.DUMMYFUNCTION("""COMPUTED_VALUE"""),"661-42726")</f>
        <v>661-42726</v>
      </c>
      <c r="E2365" s="2" t="str">
        <f>IFERROR(__xludf.DUMMYFUNCTION("""COMPUTED_VALUE"""),"Display, iPhone 16 Pro")</f>
        <v>Display, iPhone 16 Pro</v>
      </c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>
      <c r="A2366" s="10" t="str">
        <f t="shared" si="1"/>
        <v>February</v>
      </c>
      <c r="B2366" s="11">
        <f>IFERROR(__xludf.DUMMYFUNCTION("""COMPUTED_VALUE"""),46070.0)</f>
        <v>46070</v>
      </c>
      <c r="C2366" s="2" t="str">
        <f>IFERROR(__xludf.DUMMYFUNCTION("""COMPUTED_VALUE"""),"MOBILECARE - CAGAYAN DE ORO")</f>
        <v>MOBILECARE - CAGAYAN DE ORO</v>
      </c>
      <c r="D2366" s="2" t="str">
        <f>IFERROR(__xludf.DUMMYFUNCTION("""COMPUTED_VALUE"""),"TA661-45262")</f>
        <v>TA661-45262</v>
      </c>
      <c r="E2366" s="2" t="str">
        <f>IFERROR(__xludf.DUMMYFUNCTION("""COMPUTED_VALUE"""),"256GB, White Titanium, ROW, iPhone 16 Pro Max, CI/AR")</f>
        <v>256GB, White Titanium, ROW, iPhone 16 Pro Max, CI/AR</v>
      </c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>
      <c r="A2367" s="10" t="str">
        <f t="shared" si="1"/>
        <v>January</v>
      </c>
      <c r="B2367" s="11">
        <f>IFERROR(__xludf.DUMMYFUNCTION("""COMPUTED_VALUE"""),46047.0)</f>
        <v>46047</v>
      </c>
      <c r="C2367" s="2" t="str">
        <f>IFERROR(__xludf.DUMMYFUNCTION("""COMPUTED_VALUE"""),"MOBILECARE - CAGAYAN DE ORO")</f>
        <v>MOBILECARE - CAGAYAN DE ORO</v>
      </c>
      <c r="D2367" s="2" t="str">
        <f>IFERROR(__xludf.DUMMYFUNCTION("""COMPUTED_VALUE"""),"661-44955")</f>
        <v>661-44955</v>
      </c>
      <c r="E2367" s="2" t="str">
        <f>IFERROR(__xludf.DUMMYFUNCTION("""COMPUTED_VALUE"""),"Display, iPhone 16 Pro Max")</f>
        <v>Display, iPhone 16 Pro Max</v>
      </c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>
      <c r="A2368" s="10" t="str">
        <f t="shared" si="1"/>
        <v>February</v>
      </c>
      <c r="B2368" s="11">
        <f>IFERROR(__xludf.DUMMYFUNCTION("""COMPUTED_VALUE"""),46064.0)</f>
        <v>46064</v>
      </c>
      <c r="C2368" s="2" t="str">
        <f>IFERROR(__xludf.DUMMYFUNCTION("""COMPUTED_VALUE"""),"MOBILECARE - CAGAYAN DE ORO")</f>
        <v>MOBILECARE - CAGAYAN DE ORO</v>
      </c>
      <c r="D2368" s="2" t="str">
        <f>IFERROR(__xludf.DUMMYFUNCTION("""COMPUTED_VALUE"""),"PP661-28882")</f>
        <v>PP661-28882</v>
      </c>
      <c r="E2368" s="2" t="str">
        <f>IFERROR(__xludf.DUMMYFUNCTION("""COMPUTED_VALUE"""),"iPhone 14, Purple, 512GB, Logic Board Assy Mid System, ROW")</f>
        <v>iPhone 14, Purple, 512GB, Logic Board Assy Mid System, ROW</v>
      </c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>
      <c r="A2369" s="10" t="str">
        <f t="shared" si="1"/>
        <v>April</v>
      </c>
      <c r="B2369" s="11">
        <f>IFERROR(__xludf.DUMMYFUNCTION("""COMPUTED_VALUE"""),46139.0)</f>
        <v>46139</v>
      </c>
      <c r="C2369" s="2" t="str">
        <f>IFERROR(__xludf.DUMMYFUNCTION("""COMPUTED_VALUE"""),"MOBILECARE - CAGAYAN DE ORO")</f>
        <v>MOBILECARE - CAGAYAN DE ORO</v>
      </c>
      <c r="D2369" s="2" t="str">
        <f>IFERROR(__xludf.DUMMYFUNCTION("""COMPUTED_VALUE"""),"TA661-36696")</f>
        <v>TA661-36696</v>
      </c>
      <c r="E2369" s="2" t="str">
        <f>IFERROR(__xludf.DUMMYFUNCTION("""COMPUTED_VALUE"""),"iPhone 15, Black, 256GB, Logic Board Assy Mid System, ROW")</f>
        <v>iPhone 15, Black, 256GB, Logic Board Assy Mid System, ROW</v>
      </c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>
      <c r="A2370" s="10" t="str">
        <f t="shared" si="1"/>
        <v>March</v>
      </c>
      <c r="B2370" s="11">
        <f>IFERROR(__xludf.DUMMYFUNCTION("""COMPUTED_VALUE"""),46082.0)</f>
        <v>46082</v>
      </c>
      <c r="C2370" s="2" t="str">
        <f>IFERROR(__xludf.DUMMYFUNCTION("""COMPUTED_VALUE"""),"MOBILECARE - CAGAYAN DE ORO")</f>
        <v>MOBILECARE - CAGAYAN DE ORO</v>
      </c>
      <c r="D2370" s="2" t="str">
        <f>IFERROR(__xludf.DUMMYFUNCTION("""COMPUTED_VALUE"""),"661-56067")</f>
        <v>661-56067</v>
      </c>
      <c r="E2370" s="2" t="str">
        <f>IFERROR(__xludf.DUMMYFUNCTION("""COMPUTED_VALUE"""),"Camera, iPhone 17")</f>
        <v>Camera, iPhone 17</v>
      </c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>
      <c r="A2371" s="10" t="str">
        <f t="shared" si="1"/>
        <v>March</v>
      </c>
      <c r="B2371" s="11">
        <f>IFERROR(__xludf.DUMMYFUNCTION("""COMPUTED_VALUE"""),46090.0)</f>
        <v>46090</v>
      </c>
      <c r="C2371" s="2" t="str">
        <f>IFERROR(__xludf.DUMMYFUNCTION("""COMPUTED_VALUE"""),"MOBILECARE - CAGAYAN DE ORO")</f>
        <v>MOBILECARE - CAGAYAN DE ORO</v>
      </c>
      <c r="D2371" s="2" t="str">
        <f>IFERROR(__xludf.DUMMYFUNCTION("""COMPUTED_VALUE"""),"PP661-23455")</f>
        <v>PP661-23455</v>
      </c>
      <c r="E2371" s="2" t="str">
        <f>IFERROR(__xludf.DUMMYFUNCTION("""COMPUTED_VALUE"""),"iPhone 13, Starlight, 128GB, Logic Board Assy Rear System, ROW")</f>
        <v>iPhone 13, Starlight, 128GB, Logic Board Assy Rear System, ROW</v>
      </c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>
      <c r="A2372" s="10" t="str">
        <f t="shared" si="1"/>
        <v>May</v>
      </c>
      <c r="B2372" s="11">
        <f>IFERROR(__xludf.DUMMYFUNCTION("""COMPUTED_VALUE"""),46151.0)</f>
        <v>46151</v>
      </c>
      <c r="C2372" s="2" t="str">
        <f>IFERROR(__xludf.DUMMYFUNCTION("""COMPUTED_VALUE"""),"MOBILECARE - CAGAYAN DE ORO")</f>
        <v>MOBILECARE - CAGAYAN DE ORO</v>
      </c>
      <c r="D2372" s="2" t="str">
        <f>IFERROR(__xludf.DUMMYFUNCTION("""COMPUTED_VALUE"""),"TA661-36694")</f>
        <v>TA661-36694</v>
      </c>
      <c r="E2372" s="2" t="str">
        <f>IFERROR(__xludf.DUMMYFUNCTION("""COMPUTED_VALUE"""),"iPhone 15, Blue, 128GB, Logic Board Assy Mid System, ROW")</f>
        <v>iPhone 15, Blue, 128GB, Logic Board Assy Mid System, ROW</v>
      </c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>
      <c r="A2373" s="10" t="str">
        <f t="shared" si="1"/>
        <v>March</v>
      </c>
      <c r="B2373" s="11">
        <f>IFERROR(__xludf.DUMMYFUNCTION("""COMPUTED_VALUE"""),46094.0)</f>
        <v>46094</v>
      </c>
      <c r="C2373" s="2" t="str">
        <f>IFERROR(__xludf.DUMMYFUNCTION("""COMPUTED_VALUE"""),"MOBILECARE - CAGAYAN DE ORO")</f>
        <v>MOBILECARE - CAGAYAN DE ORO</v>
      </c>
      <c r="D2373" s="2" t="str">
        <f>IFERROR(__xludf.DUMMYFUNCTION("""COMPUTED_VALUE"""),"661-44956")</f>
        <v>661-44956</v>
      </c>
      <c r="E2373" s="2" t="str">
        <f>IFERROR(__xludf.DUMMYFUNCTION("""COMPUTED_VALUE"""),"TrueDepth Camera, iPhone 16 Pro Max")</f>
        <v>TrueDepth Camera, iPhone 16 Pro Max</v>
      </c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>
      <c r="A2374" s="10" t="str">
        <f t="shared" si="1"/>
        <v>April</v>
      </c>
      <c r="B2374" s="11">
        <f>IFERROR(__xludf.DUMMYFUNCTION("""COMPUTED_VALUE"""),46116.0)</f>
        <v>46116</v>
      </c>
      <c r="C2374" s="2" t="str">
        <f>IFERROR(__xludf.DUMMYFUNCTION("""COMPUTED_VALUE"""),"MOBILECARE - CAGAYAN DE ORO")</f>
        <v>MOBILECARE - CAGAYAN DE ORO</v>
      </c>
      <c r="D2374" s="2" t="str">
        <f>IFERROR(__xludf.DUMMYFUNCTION("""COMPUTED_VALUE"""),"PP661-23455")</f>
        <v>PP661-23455</v>
      </c>
      <c r="E2374" s="2" t="str">
        <f>IFERROR(__xludf.DUMMYFUNCTION("""COMPUTED_VALUE"""),"iPhone 13, Starlight, 128GB, Logic Board Assy Rear System, ROW")</f>
        <v>iPhone 13, Starlight, 128GB, Logic Board Assy Rear System, ROW</v>
      </c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>
      <c r="A2375" s="10" t="str">
        <f t="shared" si="1"/>
        <v>March</v>
      </c>
      <c r="B2375" s="11">
        <f>IFERROR(__xludf.DUMMYFUNCTION("""COMPUTED_VALUE"""),46091.0)</f>
        <v>46091</v>
      </c>
      <c r="C2375" s="2" t="str">
        <f>IFERROR(__xludf.DUMMYFUNCTION("""COMPUTED_VALUE"""),"MOBILECARE - CAGAYAN DE ORO")</f>
        <v>MOBILECARE - CAGAYAN DE ORO</v>
      </c>
      <c r="D2375" s="2" t="str">
        <f>IFERROR(__xludf.DUMMYFUNCTION("""COMPUTED_VALUE"""),"PP661-23455")</f>
        <v>PP661-23455</v>
      </c>
      <c r="E2375" s="2" t="str">
        <f>IFERROR(__xludf.DUMMYFUNCTION("""COMPUTED_VALUE"""),"iPhone 13, Starlight, 128GB, Logic Board Assy Rear System, ROW")</f>
        <v>iPhone 13, Starlight, 128GB, Logic Board Assy Rear System, ROW</v>
      </c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>
      <c r="A2376" s="10" t="str">
        <f t="shared" si="1"/>
        <v>April</v>
      </c>
      <c r="B2376" s="11">
        <f>IFERROR(__xludf.DUMMYFUNCTION("""COMPUTED_VALUE"""),46137.0)</f>
        <v>46137</v>
      </c>
      <c r="C2376" s="2" t="str">
        <f>IFERROR(__xludf.DUMMYFUNCTION("""COMPUTED_VALUE"""),"MOBILECARE - CAGAYAN DE ORO")</f>
        <v>MOBILECARE - CAGAYAN DE ORO</v>
      </c>
      <c r="D2376" s="2" t="str">
        <f>IFERROR(__xludf.DUMMYFUNCTION("""COMPUTED_VALUE"""),"Z661-56015")</f>
        <v>Z661-56015</v>
      </c>
      <c r="E2376" s="2" t="str">
        <f>IFERROR(__xludf.DUMMYFUNCTION("""COMPUTED_VALUE"""),"Logic Board, 256GB, iPhone 17, ROW")</f>
        <v>Logic Board, 256GB, iPhone 17, ROW</v>
      </c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>
      <c r="A2377" s="10" t="str">
        <f t="shared" si="1"/>
        <v>April</v>
      </c>
      <c r="B2377" s="11">
        <f>IFERROR(__xludf.DUMMYFUNCTION("""COMPUTED_VALUE"""),46131.0)</f>
        <v>46131</v>
      </c>
      <c r="C2377" s="2" t="str">
        <f>IFERROR(__xludf.DUMMYFUNCTION("""COMPUTED_VALUE"""),"MOBILECARE - CAGAYAN DE ORO")</f>
        <v>MOBILECARE - CAGAYAN DE ORO</v>
      </c>
      <c r="D2377" s="2" t="str">
        <f>IFERROR(__xludf.DUMMYFUNCTION("""COMPUTED_VALUE"""),"PP661-28871")</f>
        <v>PP661-28871</v>
      </c>
      <c r="E2377" s="2" t="str">
        <f>IFERROR(__xludf.DUMMYFUNCTION("""COMPUTED_VALUE"""),"iPhone 14, Blue, 128GB, Logic Board Assy Mid System, ROW")</f>
        <v>iPhone 14, Blue, 128GB, Logic Board Assy Mid System, ROW</v>
      </c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>
      <c r="A2378" s="10" t="str">
        <f t="shared" si="1"/>
        <v>February</v>
      </c>
      <c r="B2378" s="11">
        <f>IFERROR(__xludf.DUMMYFUNCTION("""COMPUTED_VALUE"""),46070.0)</f>
        <v>46070</v>
      </c>
      <c r="C2378" s="2" t="str">
        <f>IFERROR(__xludf.DUMMYFUNCTION("""COMPUTED_VALUE"""),"MOBILECARE - CAGAYAN DE ORO")</f>
        <v>MOBILECARE - CAGAYAN DE ORO</v>
      </c>
      <c r="D2378" s="2" t="str">
        <f>IFERROR(__xludf.DUMMYFUNCTION("""COMPUTED_VALUE"""),"TA661-45323")</f>
        <v>TA661-45323</v>
      </c>
      <c r="E2378" s="2" t="str">
        <f>IFERROR(__xludf.DUMMYFUNCTION("""COMPUTED_VALUE"""),"256GB, Desert Titanium, ROW, iPhone 16 Pro Max, Logic Board Assy Mid Sys")</f>
        <v>256GB, Desert Titanium, ROW, iPhone 16 Pro Max, Logic Board Assy Mid Sys</v>
      </c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>
      <c r="A2379" s="10" t="str">
        <f t="shared" si="1"/>
        <v>January</v>
      </c>
      <c r="B2379" s="11">
        <f>IFERROR(__xludf.DUMMYFUNCTION("""COMPUTED_VALUE"""),46052.0)</f>
        <v>46052</v>
      </c>
      <c r="C2379" s="2" t="str">
        <f>IFERROR(__xludf.DUMMYFUNCTION("""COMPUTED_VALUE"""),"MOBILECARE - CAGAYAN DE ORO")</f>
        <v>MOBILECARE - CAGAYAN DE ORO</v>
      </c>
      <c r="D2379" s="2" t="str">
        <f>IFERROR(__xludf.DUMMYFUNCTION("""COMPUTED_VALUE"""),"661-22309")</f>
        <v>661-22309</v>
      </c>
      <c r="E2379" s="2" t="str">
        <f>IFERROR(__xludf.DUMMYFUNCTION("""COMPUTED_VALUE"""),"Display, iPhone 13 Pro Max")</f>
        <v>Display, iPhone 13 Pro Max</v>
      </c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>
      <c r="A2380" s="10" t="str">
        <f t="shared" si="1"/>
        <v>February</v>
      </c>
      <c r="B2380" s="11">
        <f>IFERROR(__xludf.DUMMYFUNCTION("""COMPUTED_VALUE"""),46066.0)</f>
        <v>46066</v>
      </c>
      <c r="C2380" s="2" t="str">
        <f>IFERROR(__xludf.DUMMYFUNCTION("""COMPUTED_VALUE"""),"MOBILECARE - CAGAYAN DE ORO")</f>
        <v>MOBILECARE - CAGAYAN DE ORO</v>
      </c>
      <c r="D2380" s="2" t="str">
        <f>IFERROR(__xludf.DUMMYFUNCTION("""COMPUTED_VALUE"""),"PP661-28869")</f>
        <v>PP661-28869</v>
      </c>
      <c r="E2380" s="2" t="str">
        <f>IFERROR(__xludf.DUMMYFUNCTION("""COMPUTED_VALUE"""),"iPhone 14, Starlight, 128GB, Logic Board Assy Mid System, ROW")</f>
        <v>iPhone 14, Starlight, 128GB, Logic Board Assy Mid System, ROW</v>
      </c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>
      <c r="A2381" s="10" t="str">
        <f t="shared" si="1"/>
        <v>January</v>
      </c>
      <c r="B2381" s="11">
        <f>IFERROR(__xludf.DUMMYFUNCTION("""COMPUTED_VALUE"""),46050.0)</f>
        <v>46050</v>
      </c>
      <c r="C2381" s="2" t="str">
        <f>IFERROR(__xludf.DUMMYFUNCTION("""COMPUTED_VALUE"""),"MOBILECARE - CAGAYAN DE ORO")</f>
        <v>MOBILECARE - CAGAYAN DE ORO</v>
      </c>
      <c r="D2381" s="2" t="str">
        <f>IFERROR(__xludf.DUMMYFUNCTION("""COMPUTED_VALUE"""),"PP661-23455")</f>
        <v>PP661-23455</v>
      </c>
      <c r="E2381" s="2" t="str">
        <f>IFERROR(__xludf.DUMMYFUNCTION("""COMPUTED_VALUE"""),"iPhone 13, Starlight, 128GB, Logic Board Assy Rear System, ROW")</f>
        <v>iPhone 13, Starlight, 128GB, Logic Board Assy Rear System, ROW</v>
      </c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>
      <c r="A2382" s="10" t="str">
        <f t="shared" si="1"/>
        <v>April</v>
      </c>
      <c r="B2382" s="11">
        <f>IFERROR(__xludf.DUMMYFUNCTION("""COMPUTED_VALUE"""),46141.0)</f>
        <v>46141</v>
      </c>
      <c r="C2382" s="2" t="str">
        <f>IFERROR(__xludf.DUMMYFUNCTION("""COMPUTED_VALUE"""),"MOBILECARE - CAGAYAN DE ORO")</f>
        <v>MOBILECARE - CAGAYAN DE ORO</v>
      </c>
      <c r="D2382" s="2" t="str">
        <f>IFERROR(__xludf.DUMMYFUNCTION("""COMPUTED_VALUE"""),"TA661-36287")</f>
        <v>TA661-36287</v>
      </c>
      <c r="E2382" s="2" t="str">
        <f>IFERROR(__xludf.DUMMYFUNCTION("""COMPUTED_VALUE"""),"Pink, iPhone 15, 128GB, ROW, CI/AR, Taiwan")</f>
        <v>Pink, iPhone 15, 128GB, ROW, CI/AR, Taiwan</v>
      </c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>
      <c r="A2383" s="10" t="str">
        <f t="shared" si="1"/>
        <v>April</v>
      </c>
      <c r="B2383" s="11">
        <f>IFERROR(__xludf.DUMMYFUNCTION("""COMPUTED_VALUE"""),46116.0)</f>
        <v>46116</v>
      </c>
      <c r="C2383" s="2" t="str">
        <f>IFERROR(__xludf.DUMMYFUNCTION("""COMPUTED_VALUE"""),"MOBILECARE - CAGAYAN DE ORO")</f>
        <v>MOBILECARE - CAGAYAN DE ORO</v>
      </c>
      <c r="D2383" s="2" t="str">
        <f>IFERROR(__xludf.DUMMYFUNCTION("""COMPUTED_VALUE"""),"PP661-22704")</f>
        <v>PP661-22704</v>
      </c>
      <c r="E2383" s="2" t="str">
        <f>IFERROR(__xludf.DUMMYFUNCTION("""COMPUTED_VALUE"""),"Gold, 128 GB, iPhone 13 Pro Max, ROW, CI/AR, Philippines")</f>
        <v>Gold, 128 GB, iPhone 13 Pro Max, ROW, CI/AR, Philippines</v>
      </c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>
      <c r="A2384" s="10" t="str">
        <f t="shared" si="1"/>
        <v>June</v>
      </c>
      <c r="B2384" s="11">
        <f>IFERROR(__xludf.DUMMYFUNCTION("""COMPUTED_VALUE"""),46188.0)</f>
        <v>46188</v>
      </c>
      <c r="C2384" s="2" t="str">
        <f>IFERROR(__xludf.DUMMYFUNCTION("""COMPUTED_VALUE"""),"MOBILECARE - CAGAYAN DE ORO")</f>
        <v>MOBILECARE - CAGAYAN DE ORO</v>
      </c>
      <c r="D2384" s="2" t="str">
        <f>IFERROR(__xludf.DUMMYFUNCTION("""COMPUTED_VALUE"""),"Z661-55956")</f>
        <v>Z661-55956</v>
      </c>
      <c r="E2384" s="2" t="str">
        <f>IFERROR(__xludf.DUMMYFUNCTION("""COMPUTED_VALUE"""),"Logic Board, 256GB, iPhone 17 Pro Max, ROW")</f>
        <v>Logic Board, 256GB, iPhone 17 Pro Max, ROW</v>
      </c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>
      <c r="A2385" s="10" t="str">
        <f t="shared" si="1"/>
        <v>February</v>
      </c>
      <c r="B2385" s="11">
        <f>IFERROR(__xludf.DUMMYFUNCTION("""COMPUTED_VALUE"""),46065.0)</f>
        <v>46065</v>
      </c>
      <c r="C2385" s="2" t="str">
        <f>IFERROR(__xludf.DUMMYFUNCTION("""COMPUTED_VALUE"""),"MOBILECARE - CAGAYAN DE ORO")</f>
        <v>MOBILECARE - CAGAYAN DE ORO</v>
      </c>
      <c r="D2385" s="2" t="str">
        <f>IFERROR(__xludf.DUMMYFUNCTION("""COMPUTED_VALUE"""),"TA661-36694")</f>
        <v>TA661-36694</v>
      </c>
      <c r="E2385" s="2" t="str">
        <f>IFERROR(__xludf.DUMMYFUNCTION("""COMPUTED_VALUE"""),"iPhone 15, Blue, 128GB, Logic Board Assy Mid System, ROW")</f>
        <v>iPhone 15, Blue, 128GB, Logic Board Assy Mid System, ROW</v>
      </c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>
      <c r="A2386" s="10" t="str">
        <f t="shared" si="1"/>
        <v>May</v>
      </c>
      <c r="B2386" s="11">
        <f>IFERROR(__xludf.DUMMYFUNCTION("""COMPUTED_VALUE"""),46143.0)</f>
        <v>46143</v>
      </c>
      <c r="C2386" s="2" t="str">
        <f>IFERROR(__xludf.DUMMYFUNCTION("""COMPUTED_VALUE"""),"MOBILECARE - CAGAYAN DE ORO")</f>
        <v>MOBILECARE - CAGAYAN DE ORO</v>
      </c>
      <c r="D2386" s="2" t="str">
        <f>IFERROR(__xludf.DUMMYFUNCTION("""COMPUTED_VALUE"""),"661-44955")</f>
        <v>661-44955</v>
      </c>
      <c r="E2386" s="2" t="str">
        <f>IFERROR(__xludf.DUMMYFUNCTION("""COMPUTED_VALUE"""),"Display, iPhone 16 Pro Max")</f>
        <v>Display, iPhone 16 Pro Max</v>
      </c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>
      <c r="A2387" s="10" t="str">
        <f t="shared" si="1"/>
        <v>February</v>
      </c>
      <c r="B2387" s="11">
        <f>IFERROR(__xludf.DUMMYFUNCTION("""COMPUTED_VALUE"""),46080.0)</f>
        <v>46080</v>
      </c>
      <c r="C2387" s="2" t="str">
        <f>IFERROR(__xludf.DUMMYFUNCTION("""COMPUTED_VALUE"""),"MOBILECARE - CAGAYAN DE ORO")</f>
        <v>MOBILECARE - CAGAYAN DE ORO</v>
      </c>
      <c r="D2387" s="2" t="str">
        <f>IFERROR(__xludf.DUMMYFUNCTION("""COMPUTED_VALUE"""),"PP661-22981")</f>
        <v>PP661-22981</v>
      </c>
      <c r="E2387" s="2" t="str">
        <f>IFERROR(__xludf.DUMMYFUNCTION("""COMPUTED_VALUE"""),"Starlight, 128 GB, iPhone 13, ROW, CI/AR, Philippines")</f>
        <v>Starlight, 128 GB, iPhone 13, ROW, CI/AR, Philippines</v>
      </c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>
      <c r="A2388" s="10" t="str">
        <f t="shared" si="1"/>
        <v>June</v>
      </c>
      <c r="B2388" s="11">
        <f>IFERROR(__xludf.DUMMYFUNCTION("""COMPUTED_VALUE"""),46187.0)</f>
        <v>46187</v>
      </c>
      <c r="C2388" s="2" t="str">
        <f>IFERROR(__xludf.DUMMYFUNCTION("""COMPUTED_VALUE"""),"MOBILECARE - CAGAYAN DE ORO")</f>
        <v>MOBILECARE - CAGAYAN DE ORO</v>
      </c>
      <c r="D2388" s="2" t="str">
        <f>IFERROR(__xludf.DUMMYFUNCTION("""COMPUTED_VALUE"""),"TA661-45262")</f>
        <v>TA661-45262</v>
      </c>
      <c r="E2388" s="2" t="str">
        <f>IFERROR(__xludf.DUMMYFUNCTION("""COMPUTED_VALUE"""),"256GB, White Titanium, ROW, iPhone 16 Pro Max, CI/AR")</f>
        <v>256GB, White Titanium, ROW, iPhone 16 Pro Max, CI/AR</v>
      </c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>
      <c r="A2389" s="10" t="str">
        <f t="shared" si="1"/>
        <v>April</v>
      </c>
      <c r="B2389" s="11">
        <f>IFERROR(__xludf.DUMMYFUNCTION("""COMPUTED_VALUE"""),46124.0)</f>
        <v>46124</v>
      </c>
      <c r="C2389" s="2" t="str">
        <f>IFERROR(__xludf.DUMMYFUNCTION("""COMPUTED_VALUE"""),"MOBILECARE - CAGAYAN DE ORO")</f>
        <v>MOBILECARE - CAGAYAN DE ORO</v>
      </c>
      <c r="D2389" s="2" t="str">
        <f>IFERROR(__xludf.DUMMYFUNCTION("""COMPUTED_VALUE"""),"661-21988")</f>
        <v>661-21988</v>
      </c>
      <c r="E2389" s="2" t="str">
        <f>IFERROR(__xludf.DUMMYFUNCTION("""COMPUTED_VALUE"""),"Display, iPhone 13")</f>
        <v>Display, iPhone 13</v>
      </c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>
      <c r="A2390" s="10" t="str">
        <f t="shared" si="1"/>
        <v>January</v>
      </c>
      <c r="B2390" s="11">
        <f>IFERROR(__xludf.DUMMYFUNCTION("""COMPUTED_VALUE"""),46049.0)</f>
        <v>46049</v>
      </c>
      <c r="C2390" s="2" t="str">
        <f>IFERROR(__xludf.DUMMYFUNCTION("""COMPUTED_VALUE"""),"MOBILECARE - CAGAYAN DE ORO")</f>
        <v>MOBILECARE - CAGAYAN DE ORO</v>
      </c>
      <c r="D2390" s="2" t="str">
        <f>IFERROR(__xludf.DUMMYFUNCTION("""COMPUTED_VALUE"""),"661-44955")</f>
        <v>661-44955</v>
      </c>
      <c r="E2390" s="2" t="str">
        <f>IFERROR(__xludf.DUMMYFUNCTION("""COMPUTED_VALUE"""),"Display, iPhone 16 Pro Max")</f>
        <v>Display, iPhone 16 Pro Max</v>
      </c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>
      <c r="A2391" s="10" t="str">
        <f t="shared" si="1"/>
        <v>January</v>
      </c>
      <c r="B2391" s="11">
        <f>IFERROR(__xludf.DUMMYFUNCTION("""COMPUTED_VALUE"""),46049.0)</f>
        <v>46049</v>
      </c>
      <c r="C2391" s="2" t="str">
        <f>IFERROR(__xludf.DUMMYFUNCTION("""COMPUTED_VALUE"""),"MOBILECARE - CAGAYAN DE ORO")</f>
        <v>MOBILECARE - CAGAYAN DE ORO</v>
      </c>
      <c r="D2391" s="2" t="str">
        <f>IFERROR(__xludf.DUMMYFUNCTION("""COMPUTED_VALUE"""),"661-44955")</f>
        <v>661-44955</v>
      </c>
      <c r="E2391" s="2" t="str">
        <f>IFERROR(__xludf.DUMMYFUNCTION("""COMPUTED_VALUE"""),"Display, iPhone 16 Pro Max")</f>
        <v>Display, iPhone 16 Pro Max</v>
      </c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>
      <c r="A2392" s="10" t="str">
        <f t="shared" si="1"/>
        <v>January</v>
      </c>
      <c r="B2392" s="11">
        <f>IFERROR(__xludf.DUMMYFUNCTION("""COMPUTED_VALUE"""),46046.0)</f>
        <v>46046</v>
      </c>
      <c r="C2392" s="2" t="str">
        <f>IFERROR(__xludf.DUMMYFUNCTION("""COMPUTED_VALUE"""),"MOBILECARE - CAGAYAN DE ORO")</f>
        <v>MOBILECARE - CAGAYAN DE ORO</v>
      </c>
      <c r="D2392" s="2" t="str">
        <f>IFERROR(__xludf.DUMMYFUNCTION("""COMPUTED_VALUE"""),"661-44955")</f>
        <v>661-44955</v>
      </c>
      <c r="E2392" s="2" t="str">
        <f>IFERROR(__xludf.DUMMYFUNCTION("""COMPUTED_VALUE"""),"Display, iPhone 16 Pro Max")</f>
        <v>Display, iPhone 16 Pro Max</v>
      </c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>
      <c r="A2393" s="10" t="str">
        <f t="shared" si="1"/>
        <v>May</v>
      </c>
      <c r="B2393" s="11">
        <f>IFERROR(__xludf.DUMMYFUNCTION("""COMPUTED_VALUE"""),46143.0)</f>
        <v>46143</v>
      </c>
      <c r="C2393" s="2" t="str">
        <f>IFERROR(__xludf.DUMMYFUNCTION("""COMPUTED_VALUE"""),"MOBILECARE - CAGAYAN DE ORO")</f>
        <v>MOBILECARE - CAGAYAN DE ORO</v>
      </c>
      <c r="D2393" s="2" t="str">
        <f>IFERROR(__xludf.DUMMYFUNCTION("""COMPUTED_VALUE"""),"661-22309")</f>
        <v>661-22309</v>
      </c>
      <c r="E2393" s="2" t="str">
        <f>IFERROR(__xludf.DUMMYFUNCTION("""COMPUTED_VALUE"""),"Display, iPhone 13 Pro Max")</f>
        <v>Display, iPhone 13 Pro Max</v>
      </c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>
      <c r="A2394" s="10" t="str">
        <f t="shared" si="1"/>
        <v>May</v>
      </c>
      <c r="B2394" s="11">
        <f>IFERROR(__xludf.DUMMYFUNCTION("""COMPUTED_VALUE"""),46154.0)</f>
        <v>46154</v>
      </c>
      <c r="C2394" s="2" t="str">
        <f>IFERROR(__xludf.DUMMYFUNCTION("""COMPUTED_VALUE"""),"MOBILECARE - CAGAYAN DE ORO")</f>
        <v>MOBILECARE - CAGAYAN DE ORO</v>
      </c>
      <c r="D2394" s="2" t="str">
        <f>IFERROR(__xludf.DUMMYFUNCTION("""COMPUTED_VALUE"""),"TA661-45001")</f>
        <v>TA661-45001</v>
      </c>
      <c r="E2394" s="2" t="str">
        <f>IFERROR(__xludf.DUMMYFUNCTION("""COMPUTED_VALUE"""),"256GB, Desert Titanium, ROW, iPhone 16 Pro, Logic Board Assy Mid System")</f>
        <v>256GB, Desert Titanium, ROW, iPhone 16 Pro, Logic Board Assy Mid System</v>
      </c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>
      <c r="A2395" s="10" t="str">
        <f t="shared" si="1"/>
        <v>April</v>
      </c>
      <c r="B2395" s="11">
        <f>IFERROR(__xludf.DUMMYFUNCTION("""COMPUTED_VALUE"""),46117.0)</f>
        <v>46117</v>
      </c>
      <c r="C2395" s="2" t="str">
        <f>IFERROR(__xludf.DUMMYFUNCTION("""COMPUTED_VALUE"""),"MOBILECARE - CAGAYAN DE ORO")</f>
        <v>MOBILECARE - CAGAYAN DE ORO</v>
      </c>
      <c r="D2395" s="2" t="str">
        <f>IFERROR(__xludf.DUMMYFUNCTION("""COMPUTED_VALUE"""),"PP661-23454")</f>
        <v>PP661-23454</v>
      </c>
      <c r="E2395" s="2" t="str">
        <f>IFERROR(__xludf.DUMMYFUNCTION("""COMPUTED_VALUE"""),"iPhone 13, Midnight, 128GB, Logic Board Assy Rear System, ROW")</f>
        <v>iPhone 13, Midnight, 128GB, Logic Board Assy Rear System, ROW</v>
      </c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>
      <c r="A2396" s="10" t="str">
        <f t="shared" si="1"/>
        <v>March</v>
      </c>
      <c r="B2396" s="11">
        <f>IFERROR(__xludf.DUMMYFUNCTION("""COMPUTED_VALUE"""),46112.0)</f>
        <v>46112</v>
      </c>
      <c r="C2396" s="2" t="str">
        <f>IFERROR(__xludf.DUMMYFUNCTION("""COMPUTED_VALUE"""),"MOBILECARE - CAGAYAN DE ORO")</f>
        <v>MOBILECARE - CAGAYAN DE ORO</v>
      </c>
      <c r="D2396" s="2" t="str">
        <f>IFERROR(__xludf.DUMMYFUNCTION("""COMPUTED_VALUE"""),"TA661-45322")</f>
        <v>TA661-45322</v>
      </c>
      <c r="E2396" s="2" t="str">
        <f>IFERROR(__xludf.DUMMYFUNCTION("""COMPUTED_VALUE"""),"256GB, White Titanium, ROW, iPhone 16 Pro Max, Logic Board Assy Mid Syst")</f>
        <v>256GB, White Titanium, ROW, iPhone 16 Pro Max, Logic Board Assy Mid Syst</v>
      </c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>
      <c r="A2397" s="10" t="str">
        <f t="shared" si="1"/>
        <v>March</v>
      </c>
      <c r="B2397" s="11">
        <f>IFERROR(__xludf.DUMMYFUNCTION("""COMPUTED_VALUE"""),46112.0)</f>
        <v>46112</v>
      </c>
      <c r="C2397" s="2" t="str">
        <f>IFERROR(__xludf.DUMMYFUNCTION("""COMPUTED_VALUE"""),"MOBILECARE - CAGAYAN DE ORO")</f>
        <v>MOBILECARE - CAGAYAN DE ORO</v>
      </c>
      <c r="D2397" s="2" t="str">
        <f>IFERROR(__xludf.DUMMYFUNCTION("""COMPUTED_VALUE"""),"661-56127")</f>
        <v>661-56127</v>
      </c>
      <c r="E2397" s="2" t="str">
        <f>IFERROR(__xludf.DUMMYFUNCTION("""COMPUTED_VALUE"""),"Camera, iPhone 17 Pro")</f>
        <v>Camera, iPhone 17 Pro</v>
      </c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>
      <c r="A2398" s="10" t="str">
        <f t="shared" si="1"/>
        <v>March</v>
      </c>
      <c r="B2398" s="11">
        <f>IFERROR(__xludf.DUMMYFUNCTION("""COMPUTED_VALUE"""),46112.0)</f>
        <v>46112</v>
      </c>
      <c r="C2398" s="2" t="str">
        <f>IFERROR(__xludf.DUMMYFUNCTION("""COMPUTED_VALUE"""),"MOBILECARE - CAGAYAN DE ORO")</f>
        <v>MOBILECARE - CAGAYAN DE ORO</v>
      </c>
      <c r="D2398" s="2" t="str">
        <f>IFERROR(__xludf.DUMMYFUNCTION("""COMPUTED_VALUE"""),"661-56126")</f>
        <v>661-56126</v>
      </c>
      <c r="E2398" s="2" t="str">
        <f>IFERROR(__xludf.DUMMYFUNCTION("""COMPUTED_VALUE"""),"Front Camera, iPhone 17 Pro")</f>
        <v>Front Camera, iPhone 17 Pro</v>
      </c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>
      <c r="A2399" s="10" t="str">
        <f t="shared" si="1"/>
        <v>March</v>
      </c>
      <c r="B2399" s="11">
        <f>IFERROR(__xludf.DUMMYFUNCTION("""COMPUTED_VALUE"""),46112.0)</f>
        <v>46112</v>
      </c>
      <c r="C2399" s="2" t="str">
        <f>IFERROR(__xludf.DUMMYFUNCTION("""COMPUTED_VALUE"""),"MOBILECARE - CAGAYAN DE ORO")</f>
        <v>MOBILECARE - CAGAYAN DE ORO</v>
      </c>
      <c r="D2399" s="2" t="str">
        <f>IFERROR(__xludf.DUMMYFUNCTION("""COMPUTED_VALUE"""),"TA661-36692")</f>
        <v>TA661-36692</v>
      </c>
      <c r="E2399" s="2" t="str">
        <f>IFERROR(__xludf.DUMMYFUNCTION("""COMPUTED_VALUE"""),"iPhone 15, Pink, 128GB, Logic Board Assy Mid System, ROW")</f>
        <v>iPhone 15, Pink, 128GB, Logic Board Assy Mid System, ROW</v>
      </c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>
      <c r="A2400" s="10" t="str">
        <f t="shared" si="1"/>
        <v>March</v>
      </c>
      <c r="B2400" s="11">
        <f>IFERROR(__xludf.DUMMYFUNCTION("""COMPUTED_VALUE"""),46095.0)</f>
        <v>46095</v>
      </c>
      <c r="C2400" s="2" t="str">
        <f>IFERROR(__xludf.DUMMYFUNCTION("""COMPUTED_VALUE"""),"MOBILECARE - CAGAYAN DE ORO")</f>
        <v>MOBILECARE - CAGAYAN DE ORO</v>
      </c>
      <c r="D2400" s="2" t="str">
        <f>IFERROR(__xludf.DUMMYFUNCTION("""COMPUTED_VALUE"""),"661-36829")</f>
        <v>661-36829</v>
      </c>
      <c r="E2400" s="2" t="str">
        <f>IFERROR(__xludf.DUMMYFUNCTION("""COMPUTED_VALUE"""),"TrueDepth Camera, iPhone 15")</f>
        <v>TrueDepth Camera, iPhone 15</v>
      </c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>
      <c r="A2401" s="10" t="str">
        <f t="shared" si="1"/>
        <v>February</v>
      </c>
      <c r="B2401" s="11">
        <f>IFERROR(__xludf.DUMMYFUNCTION("""COMPUTED_VALUE"""),46078.0)</f>
        <v>46078</v>
      </c>
      <c r="C2401" s="2" t="str">
        <f>IFERROR(__xludf.DUMMYFUNCTION("""COMPUTED_VALUE"""),"MOBILECARE - CAGAYAN DE ORO")</f>
        <v>MOBILECARE - CAGAYAN DE ORO</v>
      </c>
      <c r="D2401" s="2" t="str">
        <f>IFERROR(__xludf.DUMMYFUNCTION("""COMPUTED_VALUE"""),"661-56052")</f>
        <v>661-56052</v>
      </c>
      <c r="E2401" s="2" t="str">
        <f>IFERROR(__xludf.DUMMYFUNCTION("""COMPUTED_VALUE"""),"Camera, iPhone 17 Pro Max")</f>
        <v>Camera, iPhone 17 Pro Max</v>
      </c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>
      <c r="A2402" s="10" t="str">
        <f t="shared" si="1"/>
        <v>January</v>
      </c>
      <c r="B2402" s="11">
        <f>IFERROR(__xludf.DUMMYFUNCTION("""COMPUTED_VALUE"""),46052.0)</f>
        <v>46052</v>
      </c>
      <c r="C2402" s="2" t="str">
        <f>IFERROR(__xludf.DUMMYFUNCTION("""COMPUTED_VALUE"""),"MOBILECARE - CAGAYAN DE ORO")</f>
        <v>MOBILECARE - CAGAYAN DE ORO</v>
      </c>
      <c r="D2402" s="2" t="str">
        <f>IFERROR(__xludf.DUMMYFUNCTION("""COMPUTED_VALUE"""),"661-42844")</f>
        <v>661-42844</v>
      </c>
      <c r="E2402" s="2" t="str">
        <f>IFERROR(__xludf.DUMMYFUNCTION("""COMPUTED_VALUE"""),"TrueDepth Camera, iPhone 16 Plus")</f>
        <v>TrueDepth Camera, iPhone 16 Plus</v>
      </c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>
      <c r="A2403" s="10" t="str">
        <f t="shared" si="1"/>
        <v>March</v>
      </c>
      <c r="B2403" s="11">
        <f>IFERROR(__xludf.DUMMYFUNCTION("""COMPUTED_VALUE"""),46083.0)</f>
        <v>46083</v>
      </c>
      <c r="C2403" s="2" t="str">
        <f>IFERROR(__xludf.DUMMYFUNCTION("""COMPUTED_VALUE"""),"MOBILECARE - CAGAYAN DE ORO")</f>
        <v>MOBILECARE - CAGAYAN DE ORO</v>
      </c>
      <c r="D2403" s="2" t="str">
        <f>IFERROR(__xludf.DUMMYFUNCTION("""COMPUTED_VALUE"""),"661-22309")</f>
        <v>661-22309</v>
      </c>
      <c r="E2403" s="2" t="str">
        <f>IFERROR(__xludf.DUMMYFUNCTION("""COMPUTED_VALUE"""),"Display, iPhone 13 Pro Max")</f>
        <v>Display, iPhone 13 Pro Max</v>
      </c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>
      <c r="A2404" s="10" t="str">
        <f t="shared" si="1"/>
        <v>March</v>
      </c>
      <c r="B2404" s="11">
        <f>IFERROR(__xludf.DUMMYFUNCTION("""COMPUTED_VALUE"""),46083.0)</f>
        <v>46083</v>
      </c>
      <c r="C2404" s="2" t="str">
        <f>IFERROR(__xludf.DUMMYFUNCTION("""COMPUTED_VALUE"""),"MOBILECARE - CAGAYAN DE ORO")</f>
        <v>MOBILECARE - CAGAYAN DE ORO</v>
      </c>
      <c r="D2404" s="2" t="str">
        <f>IFERROR(__xludf.DUMMYFUNCTION("""COMPUTED_VALUE"""),"661-22309")</f>
        <v>661-22309</v>
      </c>
      <c r="E2404" s="2" t="str">
        <f>IFERROR(__xludf.DUMMYFUNCTION("""COMPUTED_VALUE"""),"Display, iPhone 13 Pro Max")</f>
        <v>Display, iPhone 13 Pro Max</v>
      </c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>
      <c r="A2405" s="10" t="str">
        <f t="shared" si="1"/>
        <v>February</v>
      </c>
      <c r="B2405" s="11">
        <f>IFERROR(__xludf.DUMMYFUNCTION("""COMPUTED_VALUE"""),46077.0)</f>
        <v>46077</v>
      </c>
      <c r="C2405" s="2" t="str">
        <f>IFERROR(__xludf.DUMMYFUNCTION("""COMPUTED_VALUE"""),"MOBILECARE - CAGAYAN DE ORO")</f>
        <v>MOBILECARE - CAGAYAN DE ORO</v>
      </c>
      <c r="D2405" s="2" t="str">
        <f>IFERROR(__xludf.DUMMYFUNCTION("""COMPUTED_VALUE"""),"PP661-28868")</f>
        <v>PP661-28868</v>
      </c>
      <c r="E2405" s="2" t="str">
        <f>IFERROR(__xludf.DUMMYFUNCTION("""COMPUTED_VALUE"""),"iPhone 14, Midnight, 128GB, Logic Board Assy Mid System, ROW")</f>
        <v>iPhone 14, Midnight, 128GB, Logic Board Assy Mid System, ROW</v>
      </c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>
      <c r="A2406" s="10" t="str">
        <f t="shared" si="1"/>
        <v>January</v>
      </c>
      <c r="B2406" s="11">
        <f>IFERROR(__xludf.DUMMYFUNCTION("""COMPUTED_VALUE"""),46049.0)</f>
        <v>46049</v>
      </c>
      <c r="C2406" s="2" t="str">
        <f>IFERROR(__xludf.DUMMYFUNCTION("""COMPUTED_VALUE"""),"MOBILECARE - CAGAYAN DE ORO")</f>
        <v>MOBILECARE - CAGAYAN DE ORO</v>
      </c>
      <c r="D2406" s="2" t="str">
        <f>IFERROR(__xludf.DUMMYFUNCTION("""COMPUTED_VALUE"""),"PP661-22980")</f>
        <v>PP661-22980</v>
      </c>
      <c r="E2406" s="2" t="str">
        <f>IFERROR(__xludf.DUMMYFUNCTION("""COMPUTED_VALUE"""),"Midnight, 128 GB, iPhone 13, ROW, CI/AR, Philippines")</f>
        <v>Midnight, 128 GB, iPhone 13, ROW, CI/AR, Philippines</v>
      </c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>
      <c r="A2407" s="10" t="str">
        <f t="shared" si="1"/>
        <v>May</v>
      </c>
      <c r="B2407" s="11">
        <f>IFERROR(__xludf.DUMMYFUNCTION("""COMPUTED_VALUE"""),46161.0)</f>
        <v>46161</v>
      </c>
      <c r="C2407" s="2" t="str">
        <f>IFERROR(__xludf.DUMMYFUNCTION("""COMPUTED_VALUE"""),"MOBILECARE - CAGAYAN DE ORO")</f>
        <v>MOBILECARE - CAGAYAN DE ORO</v>
      </c>
      <c r="D2407" s="2" t="str">
        <f>IFERROR(__xludf.DUMMYFUNCTION("""COMPUTED_VALUE"""),"PP661-28874")</f>
        <v>PP661-28874</v>
      </c>
      <c r="E2407" s="2" t="str">
        <f>IFERROR(__xludf.DUMMYFUNCTION("""COMPUTED_VALUE"""),"iPhone 14, Starlight, 256GB, Logic Board Assy Mid System, ROW")</f>
        <v>iPhone 14, Starlight, 256GB, Logic Board Assy Mid System, ROW</v>
      </c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>
      <c r="A2408" s="10" t="str">
        <f t="shared" si="1"/>
        <v>April</v>
      </c>
      <c r="B2408" s="11">
        <f>IFERROR(__xludf.DUMMYFUNCTION("""COMPUTED_VALUE"""),46131.0)</f>
        <v>46131</v>
      </c>
      <c r="C2408" s="2" t="str">
        <f>IFERROR(__xludf.DUMMYFUNCTION("""COMPUTED_VALUE"""),"MOBILECARE - CAGAYAN DE ORO")</f>
        <v>MOBILECARE - CAGAYAN DE ORO</v>
      </c>
      <c r="D2408" s="2" t="str">
        <f>IFERROR(__xludf.DUMMYFUNCTION("""COMPUTED_VALUE"""),"TA661-45236")</f>
        <v>TA661-45236</v>
      </c>
      <c r="E2408" s="2" t="str">
        <f>IFERROR(__xludf.DUMMYFUNCTION("""COMPUTED_VALUE"""),"256GB, Black, ROW, iPhone 16 Plus, Logic Board Assy Mid System")</f>
        <v>256GB, Black, ROW, iPhone 16 Plus, Logic Board Assy Mid System</v>
      </c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>
      <c r="A2409" s="10" t="str">
        <f t="shared" si="1"/>
        <v>May</v>
      </c>
      <c r="B2409" s="11">
        <f>IFERROR(__xludf.DUMMYFUNCTION("""COMPUTED_VALUE"""),46157.0)</f>
        <v>46157</v>
      </c>
      <c r="C2409" s="2" t="str">
        <f>IFERROR(__xludf.DUMMYFUNCTION("""COMPUTED_VALUE"""),"MOBILECARE - CAGAYAN DE ORO")</f>
        <v>MOBILECARE - CAGAYAN DE ORO</v>
      </c>
      <c r="D2409" s="2" t="str">
        <f>IFERROR(__xludf.DUMMYFUNCTION("""COMPUTED_VALUE"""),"661-44956")</f>
        <v>661-44956</v>
      </c>
      <c r="E2409" s="2" t="str">
        <f>IFERROR(__xludf.DUMMYFUNCTION("""COMPUTED_VALUE"""),"TrueDepth Camera, iPhone 16 Pro Max")</f>
        <v>TrueDepth Camera, iPhone 16 Pro Max</v>
      </c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>
      <c r="A2410" s="10" t="str">
        <f t="shared" si="1"/>
        <v>June</v>
      </c>
      <c r="B2410" s="11">
        <f>IFERROR(__xludf.DUMMYFUNCTION("""COMPUTED_VALUE"""),46191.0)</f>
        <v>46191</v>
      </c>
      <c r="C2410" s="2" t="str">
        <f>IFERROR(__xludf.DUMMYFUNCTION("""COMPUTED_VALUE"""),"MOBILECARE - CAGAYAN DE ORO")</f>
        <v>MOBILECARE - CAGAYAN DE ORO</v>
      </c>
      <c r="D2410" s="2" t="str">
        <f>IFERROR(__xludf.DUMMYFUNCTION("""COMPUTED_VALUE"""),"PP661-23454")</f>
        <v>PP661-23454</v>
      </c>
      <c r="E2410" s="2" t="str">
        <f>IFERROR(__xludf.DUMMYFUNCTION("""COMPUTED_VALUE"""),"iPhone 13, Midnight, 128GB, Logic Board Assy Rear System, ROW")</f>
        <v>iPhone 13, Midnight, 128GB, Logic Board Assy Rear System, ROW</v>
      </c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>
      <c r="A2411" s="10" t="str">
        <f t="shared" si="1"/>
        <v>February</v>
      </c>
      <c r="B2411" s="11">
        <f>IFERROR(__xludf.DUMMYFUNCTION("""COMPUTED_VALUE"""),46068.0)</f>
        <v>46068</v>
      </c>
      <c r="C2411" s="2" t="str">
        <f>IFERROR(__xludf.DUMMYFUNCTION("""COMPUTED_VALUE"""),"MOBILECARE - CAGAYAN DE ORO")</f>
        <v>MOBILECARE - CAGAYAN DE ORO</v>
      </c>
      <c r="D2411" s="2" t="str">
        <f>IFERROR(__xludf.DUMMYFUNCTION("""COMPUTED_VALUE"""),"PP661-23454")</f>
        <v>PP661-23454</v>
      </c>
      <c r="E2411" s="2" t="str">
        <f>IFERROR(__xludf.DUMMYFUNCTION("""COMPUTED_VALUE"""),"iPhone 13, Midnight, 128GB, Logic Board Assy Rear System, ROW")</f>
        <v>iPhone 13, Midnight, 128GB, Logic Board Assy Rear System, ROW</v>
      </c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>
      <c r="A2412" s="10" t="str">
        <f t="shared" si="1"/>
        <v>February</v>
      </c>
      <c r="B2412" s="11">
        <f>IFERROR(__xludf.DUMMYFUNCTION("""COMPUTED_VALUE"""),46060.0)</f>
        <v>46060</v>
      </c>
      <c r="C2412" s="2" t="str">
        <f>IFERROR(__xludf.DUMMYFUNCTION("""COMPUTED_VALUE"""),"MOBILECARE - CAGAYAN DE ORO")</f>
        <v>MOBILECARE - CAGAYAN DE ORO</v>
      </c>
      <c r="D2412" s="2" t="str">
        <f>IFERROR(__xludf.DUMMYFUNCTION("""COMPUTED_VALUE"""),"TA661-43612")</f>
        <v>TA661-43612</v>
      </c>
      <c r="E2412" s="2" t="str">
        <f>IFERROR(__xludf.DUMMYFUNCTION("""COMPUTED_VALUE"""),"256GB, Pink, ROW, iPhone 16, Logic Board Assy Mid System")</f>
        <v>256GB, Pink, ROW, iPhone 16, Logic Board Assy Mid System</v>
      </c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>
      <c r="A2413" s="10" t="str">
        <f t="shared" si="1"/>
        <v>March</v>
      </c>
      <c r="B2413" s="11">
        <f>IFERROR(__xludf.DUMMYFUNCTION("""COMPUTED_VALUE"""),46101.0)</f>
        <v>46101</v>
      </c>
      <c r="C2413" s="2" t="str">
        <f>IFERROR(__xludf.DUMMYFUNCTION("""COMPUTED_VALUE"""),"MOBILECARE - CAGAYAN DE ORO")</f>
        <v>MOBILECARE - CAGAYAN DE ORO</v>
      </c>
      <c r="D2413" s="2" t="str">
        <f>IFERROR(__xludf.DUMMYFUNCTION("""COMPUTED_VALUE"""),"PP661-23455")</f>
        <v>PP661-23455</v>
      </c>
      <c r="E2413" s="2" t="str">
        <f>IFERROR(__xludf.DUMMYFUNCTION("""COMPUTED_VALUE"""),"iPhone 13, Starlight, 128GB, Logic Board Assy Rear System, ROW")</f>
        <v>iPhone 13, Starlight, 128GB, Logic Board Assy Rear System, ROW</v>
      </c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>
      <c r="A2414" s="10" t="str">
        <f t="shared" si="1"/>
        <v>March</v>
      </c>
      <c r="B2414" s="11">
        <f>IFERROR(__xludf.DUMMYFUNCTION("""COMPUTED_VALUE"""),46091.0)</f>
        <v>46091</v>
      </c>
      <c r="C2414" s="2" t="str">
        <f>IFERROR(__xludf.DUMMYFUNCTION("""COMPUTED_VALUE"""),"MOBILECARE - CAGAYAN DE ORO")</f>
        <v>MOBILECARE - CAGAYAN DE ORO</v>
      </c>
      <c r="D2414" s="2" t="str">
        <f>IFERROR(__xludf.DUMMYFUNCTION("""COMPUTED_VALUE"""),"TA661-36694")</f>
        <v>TA661-36694</v>
      </c>
      <c r="E2414" s="2" t="str">
        <f>IFERROR(__xludf.DUMMYFUNCTION("""COMPUTED_VALUE"""),"iPhone 15, Blue, 128GB, Logic Board Assy Mid System, ROW")</f>
        <v>iPhone 15, Blue, 128GB, Logic Board Assy Mid System, ROW</v>
      </c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>
      <c r="A2415" s="10" t="str">
        <f t="shared" si="1"/>
        <v>February</v>
      </c>
      <c r="B2415" s="11">
        <f>IFERROR(__xludf.DUMMYFUNCTION("""COMPUTED_VALUE"""),46065.0)</f>
        <v>46065</v>
      </c>
      <c r="C2415" s="2" t="str">
        <f>IFERROR(__xludf.DUMMYFUNCTION("""COMPUTED_VALUE"""),"MOBILECARE - CAGAYAN DE ORO")</f>
        <v>MOBILECARE - CAGAYAN DE ORO</v>
      </c>
      <c r="D2415" s="2" t="str">
        <f>IFERROR(__xludf.DUMMYFUNCTION("""COMPUTED_VALUE"""),"PP661-28614")</f>
        <v>PP661-28614</v>
      </c>
      <c r="E2415" s="2" t="str">
        <f>IFERROR(__xludf.DUMMYFUNCTION("""COMPUTED_VALUE"""),"Starlight, iPhone 14, 128GB, ROW, CI/AR, Philippines")</f>
        <v>Starlight, iPhone 14, 128GB, ROW, CI/AR, Philippines</v>
      </c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>
      <c r="A2416" s="10" t="str">
        <f t="shared" si="1"/>
        <v>May</v>
      </c>
      <c r="B2416" s="11">
        <f>IFERROR(__xludf.DUMMYFUNCTION("""COMPUTED_VALUE"""),46165.0)</f>
        <v>46165</v>
      </c>
      <c r="C2416" s="2" t="str">
        <f>IFERROR(__xludf.DUMMYFUNCTION("""COMPUTED_VALUE"""),"MOBILECARE - CAGAYAN DE ORO")</f>
        <v>MOBILECARE - CAGAYAN DE ORO</v>
      </c>
      <c r="D2416" s="2" t="str">
        <f>IFERROR(__xludf.DUMMYFUNCTION("""COMPUTED_VALUE"""),"661-35828")</f>
        <v>661-35828</v>
      </c>
      <c r="E2416" s="2" t="str">
        <f>IFERROR(__xludf.DUMMYFUNCTION("""COMPUTED_VALUE"""),"Camera, iPhone 15")</f>
        <v>Camera, iPhone 15</v>
      </c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>
      <c r="A2417" s="10" t="str">
        <f t="shared" si="1"/>
        <v>April</v>
      </c>
      <c r="B2417" s="11">
        <f>IFERROR(__xludf.DUMMYFUNCTION("""COMPUTED_VALUE"""),46141.0)</f>
        <v>46141</v>
      </c>
      <c r="C2417" s="2" t="str">
        <f>IFERROR(__xludf.DUMMYFUNCTION("""COMPUTED_VALUE"""),"MOBILECARE - CAGAYAN DE ORO")</f>
        <v>MOBILECARE - CAGAYAN DE ORO</v>
      </c>
      <c r="D2417" s="2" t="str">
        <f>IFERROR(__xludf.DUMMYFUNCTION("""COMPUTED_VALUE"""),"TA661-36694")</f>
        <v>TA661-36694</v>
      </c>
      <c r="E2417" s="2" t="str">
        <f>IFERROR(__xludf.DUMMYFUNCTION("""COMPUTED_VALUE"""),"iPhone 15, Blue, 128GB, Logic Board Assy Mid System, ROW")</f>
        <v>iPhone 15, Blue, 128GB, Logic Board Assy Mid System, ROW</v>
      </c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>
      <c r="A2418" s="10" t="str">
        <f t="shared" si="1"/>
        <v>March</v>
      </c>
      <c r="B2418" s="11">
        <f>IFERROR(__xludf.DUMMYFUNCTION("""COMPUTED_VALUE"""),46111.0)</f>
        <v>46111</v>
      </c>
      <c r="C2418" s="2" t="str">
        <f>IFERROR(__xludf.DUMMYFUNCTION("""COMPUTED_VALUE"""),"MOBILECARE - CAGAYAN DE ORO")</f>
        <v>MOBILECARE - CAGAYAN DE ORO</v>
      </c>
      <c r="D2418" s="2" t="str">
        <f>IFERROR(__xludf.DUMMYFUNCTION("""COMPUTED_VALUE"""),"661-21991")</f>
        <v>661-21991</v>
      </c>
      <c r="E2418" s="2" t="str">
        <f>IFERROR(__xludf.DUMMYFUNCTION("""COMPUTED_VALUE"""),"Battery, iPhone 13")</f>
        <v>Battery, iPhone 13</v>
      </c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>
      <c r="A2419" s="10" t="str">
        <f t="shared" si="1"/>
        <v>April</v>
      </c>
      <c r="B2419" s="11">
        <f>IFERROR(__xludf.DUMMYFUNCTION("""COMPUTED_VALUE"""),46119.0)</f>
        <v>46119</v>
      </c>
      <c r="C2419" s="2" t="str">
        <f>IFERROR(__xludf.DUMMYFUNCTION("""COMPUTED_VALUE"""),"MOBILECARE - CAGAYAN DE ORO")</f>
        <v>MOBILECARE - CAGAYAN DE ORO</v>
      </c>
      <c r="D2419" s="2" t="str">
        <f>IFERROR(__xludf.DUMMYFUNCTION("""COMPUTED_VALUE"""),"TA661-36694")</f>
        <v>TA661-36694</v>
      </c>
      <c r="E2419" s="2" t="str">
        <f>IFERROR(__xludf.DUMMYFUNCTION("""COMPUTED_VALUE"""),"iPhone 15, Blue, 128GB, Logic Board Assy Mid System, ROW")</f>
        <v>iPhone 15, Blue, 128GB, Logic Board Assy Mid System, ROW</v>
      </c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>
      <c r="A2420" s="10" t="str">
        <f t="shared" si="1"/>
        <v>February</v>
      </c>
      <c r="B2420" s="11">
        <f>IFERROR(__xludf.DUMMYFUNCTION("""COMPUTED_VALUE"""),46065.0)</f>
        <v>46065</v>
      </c>
      <c r="C2420" s="2" t="str">
        <f>IFERROR(__xludf.DUMMYFUNCTION("""COMPUTED_VALUE"""),"MOBILECARE - CAGAYAN DE ORO")</f>
        <v>MOBILECARE - CAGAYAN DE ORO</v>
      </c>
      <c r="D2420" s="2" t="str">
        <f>IFERROR(__xludf.DUMMYFUNCTION("""COMPUTED_VALUE"""),"661-56065")</f>
        <v>661-56065</v>
      </c>
      <c r="E2420" s="2" t="str">
        <f>IFERROR(__xludf.DUMMYFUNCTION("""COMPUTED_VALUE"""),"Display, iPhone 17")</f>
        <v>Display, iPhone 17</v>
      </c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>
      <c r="A2421" s="10" t="str">
        <f t="shared" si="1"/>
        <v>February</v>
      </c>
      <c r="B2421" s="11">
        <f>IFERROR(__xludf.DUMMYFUNCTION("""COMPUTED_VALUE"""),46061.0)</f>
        <v>46061</v>
      </c>
      <c r="C2421" s="2" t="str">
        <f>IFERROR(__xludf.DUMMYFUNCTION("""COMPUTED_VALUE"""),"MOBILECARE - CAGAYAN DE ORO")</f>
        <v>MOBILECARE - CAGAYAN DE ORO</v>
      </c>
      <c r="D2421" s="2" t="str">
        <f>IFERROR(__xludf.DUMMYFUNCTION("""COMPUTED_VALUE"""),"PP661-28871")</f>
        <v>PP661-28871</v>
      </c>
      <c r="E2421" s="2" t="str">
        <f>IFERROR(__xludf.DUMMYFUNCTION("""COMPUTED_VALUE"""),"iPhone 14, Blue, 128GB, Logic Board Assy Mid System, ROW")</f>
        <v>iPhone 14, Blue, 128GB, Logic Board Assy Mid System, ROW</v>
      </c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>
      <c r="A2422" s="10" t="str">
        <f t="shared" si="1"/>
        <v>March</v>
      </c>
      <c r="B2422" s="11">
        <f>IFERROR(__xludf.DUMMYFUNCTION("""COMPUTED_VALUE"""),46107.0)</f>
        <v>46107</v>
      </c>
      <c r="C2422" s="2" t="str">
        <f>IFERROR(__xludf.DUMMYFUNCTION("""COMPUTED_VALUE"""),"MOBILECARE - CAGAYAN DE ORO")</f>
        <v>MOBILECARE - CAGAYAN DE ORO</v>
      </c>
      <c r="D2422" s="2" t="str">
        <f>IFERROR(__xludf.DUMMYFUNCTION("""COMPUTED_VALUE"""),"Z661-55956")</f>
        <v>Z661-55956</v>
      </c>
      <c r="E2422" s="2" t="str">
        <f>IFERROR(__xludf.DUMMYFUNCTION("""COMPUTED_VALUE"""),"Logic Board, 256GB, iPhone 17 Pro Max, ROW")</f>
        <v>Logic Board, 256GB, iPhone 17 Pro Max, ROW</v>
      </c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>
      <c r="A2423" s="10" t="str">
        <f t="shared" si="1"/>
        <v>March</v>
      </c>
      <c r="B2423" s="11">
        <f>IFERROR(__xludf.DUMMYFUNCTION("""COMPUTED_VALUE"""),46100.0)</f>
        <v>46100</v>
      </c>
      <c r="C2423" s="2" t="str">
        <f>IFERROR(__xludf.DUMMYFUNCTION("""COMPUTED_VALUE"""),"MOBILECARE - CAGAYAN DE ORO")</f>
        <v>MOBILECARE - CAGAYAN DE ORO</v>
      </c>
      <c r="D2423" s="2" t="str">
        <f>IFERROR(__xludf.DUMMYFUNCTION("""COMPUTED_VALUE"""),"661-42843")</f>
        <v>661-42843</v>
      </c>
      <c r="E2423" s="2" t="str">
        <f>IFERROR(__xludf.DUMMYFUNCTION("""COMPUTED_VALUE"""),"Display, iPhone 16 Plus")</f>
        <v>Display, iPhone 16 Plus</v>
      </c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>
      <c r="A2424" s="10" t="str">
        <f t="shared" si="1"/>
        <v>March</v>
      </c>
      <c r="B2424" s="11">
        <f>IFERROR(__xludf.DUMMYFUNCTION("""COMPUTED_VALUE"""),46100.0)</f>
        <v>46100</v>
      </c>
      <c r="C2424" s="2" t="str">
        <f>IFERROR(__xludf.DUMMYFUNCTION("""COMPUTED_VALUE"""),"MOBILECARE - CAGAYAN DE ORO")</f>
        <v>MOBILECARE - CAGAYAN DE ORO</v>
      </c>
      <c r="D2424" s="2" t="str">
        <f>IFERROR(__xludf.DUMMYFUNCTION("""COMPUTED_VALUE"""),"661-42843")</f>
        <v>661-42843</v>
      </c>
      <c r="E2424" s="2" t="str">
        <f>IFERROR(__xludf.DUMMYFUNCTION("""COMPUTED_VALUE"""),"Display, iPhone 16 Plus")</f>
        <v>Display, iPhone 16 Plus</v>
      </c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>
      <c r="A2425" s="10" t="str">
        <f t="shared" si="1"/>
        <v>March</v>
      </c>
      <c r="B2425" s="11">
        <f>IFERROR(__xludf.DUMMYFUNCTION("""COMPUTED_VALUE"""),46100.0)</f>
        <v>46100</v>
      </c>
      <c r="C2425" s="2" t="str">
        <f>IFERROR(__xludf.DUMMYFUNCTION("""COMPUTED_VALUE"""),"MOBILECARE - CAGAYAN DE ORO")</f>
        <v>MOBILECARE - CAGAYAN DE ORO</v>
      </c>
      <c r="D2425" s="2" t="str">
        <f>IFERROR(__xludf.DUMMYFUNCTION("""COMPUTED_VALUE"""),"661-42843")</f>
        <v>661-42843</v>
      </c>
      <c r="E2425" s="2" t="str">
        <f>IFERROR(__xludf.DUMMYFUNCTION("""COMPUTED_VALUE"""),"Display, iPhone 16 Plus")</f>
        <v>Display, iPhone 16 Plus</v>
      </c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>
      <c r="A2426" s="10" t="str">
        <f t="shared" si="1"/>
        <v>March</v>
      </c>
      <c r="B2426" s="11">
        <f>IFERROR(__xludf.DUMMYFUNCTION("""COMPUTED_VALUE"""),46082.0)</f>
        <v>46082</v>
      </c>
      <c r="C2426" s="2" t="str">
        <f>IFERROR(__xludf.DUMMYFUNCTION("""COMPUTED_VALUE"""),"MOBILECARE - CAGAYAN DE ORO")</f>
        <v>MOBILECARE - CAGAYAN DE ORO</v>
      </c>
      <c r="D2426" s="2" t="str">
        <f>IFERROR(__xludf.DUMMYFUNCTION("""COMPUTED_VALUE"""),"661-21988")</f>
        <v>661-21988</v>
      </c>
      <c r="E2426" s="2" t="str">
        <f>IFERROR(__xludf.DUMMYFUNCTION("""COMPUTED_VALUE"""),"Display, iPhone 13")</f>
        <v>Display, iPhone 13</v>
      </c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>
      <c r="A2427" s="10" t="str">
        <f t="shared" si="1"/>
        <v>January</v>
      </c>
      <c r="B2427" s="11">
        <f>IFERROR(__xludf.DUMMYFUNCTION("""COMPUTED_VALUE"""),46052.0)</f>
        <v>46052</v>
      </c>
      <c r="C2427" s="2" t="str">
        <f>IFERROR(__xludf.DUMMYFUNCTION("""COMPUTED_VALUE"""),"MOBILECARE - CAGAYAN DE ORO")</f>
        <v>MOBILECARE - CAGAYAN DE ORO</v>
      </c>
      <c r="D2427" s="2" t="str">
        <f>IFERROR(__xludf.DUMMYFUNCTION("""COMPUTED_VALUE"""),"Z661-55956")</f>
        <v>Z661-55956</v>
      </c>
      <c r="E2427" s="2" t="str">
        <f>IFERROR(__xludf.DUMMYFUNCTION("""COMPUTED_VALUE"""),"Logic Board, 256GB, iPhone 17 Pro Max, ROW")</f>
        <v>Logic Board, 256GB, iPhone 17 Pro Max, ROW</v>
      </c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>
      <c r="A2428" s="10" t="str">
        <f t="shared" si="1"/>
        <v>January</v>
      </c>
      <c r="B2428" s="11">
        <f>IFERROR(__xludf.DUMMYFUNCTION("""COMPUTED_VALUE"""),46052.0)</f>
        <v>46052</v>
      </c>
      <c r="C2428" s="2" t="str">
        <f>IFERROR(__xludf.DUMMYFUNCTION("""COMPUTED_VALUE"""),"MOBILECARE - CAGAYAN DE ORO")</f>
        <v>MOBILECARE - CAGAYAN DE ORO</v>
      </c>
      <c r="D2428" s="2" t="str">
        <f>IFERROR(__xludf.DUMMYFUNCTION("""COMPUTED_VALUE"""),"661-56050")</f>
        <v>661-56050</v>
      </c>
      <c r="E2428" s="2" t="str">
        <f>IFERROR(__xludf.DUMMYFUNCTION("""COMPUTED_VALUE"""),"Display, iPhone 17 Pro Max")</f>
        <v>Display, iPhone 17 Pro Max</v>
      </c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>
      <c r="A2429" s="10" t="str">
        <f t="shared" si="1"/>
        <v>June</v>
      </c>
      <c r="B2429" s="11">
        <f>IFERROR(__xludf.DUMMYFUNCTION("""COMPUTED_VALUE"""),46191.0)</f>
        <v>46191</v>
      </c>
      <c r="C2429" s="2" t="str">
        <f>IFERROR(__xludf.DUMMYFUNCTION("""COMPUTED_VALUE"""),"MOBILECARE - CAGAYAN DE ORO")</f>
        <v>MOBILECARE - CAGAYAN DE ORO</v>
      </c>
      <c r="D2429" s="2" t="str">
        <f>IFERROR(__xludf.DUMMYFUNCTION("""COMPUTED_VALUE"""),"661-56067")</f>
        <v>661-56067</v>
      </c>
      <c r="E2429" s="2" t="str">
        <f>IFERROR(__xludf.DUMMYFUNCTION("""COMPUTED_VALUE"""),"Camera, iPhone 17")</f>
        <v>Camera, iPhone 17</v>
      </c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>
      <c r="A2430" s="10" t="str">
        <f t="shared" si="1"/>
        <v>April</v>
      </c>
      <c r="B2430" s="11">
        <f>IFERROR(__xludf.DUMMYFUNCTION("""COMPUTED_VALUE"""),46136.0)</f>
        <v>46136</v>
      </c>
      <c r="C2430" s="2" t="str">
        <f>IFERROR(__xludf.DUMMYFUNCTION("""COMPUTED_VALUE"""),"MOBILECARE - CAGAYAN DE ORO")</f>
        <v>MOBILECARE - CAGAYAN DE ORO</v>
      </c>
      <c r="D2430" s="2" t="str">
        <f>IFERROR(__xludf.DUMMYFUNCTION("""COMPUTED_VALUE"""),"TA661-44059")</f>
        <v>TA661-44059</v>
      </c>
      <c r="E2430" s="2" t="str">
        <f>IFERROR(__xludf.DUMMYFUNCTION("""COMPUTED_VALUE"""),"256GB, Teal, ROW, iPhone 16 Plus, CI/AR")</f>
        <v>256GB, Teal, ROW, iPhone 16 Plus, CI/AR</v>
      </c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>
      <c r="A2431" s="10" t="str">
        <f t="shared" si="1"/>
        <v>April</v>
      </c>
      <c r="B2431" s="11">
        <f>IFERROR(__xludf.DUMMYFUNCTION("""COMPUTED_VALUE"""),46130.0)</f>
        <v>46130</v>
      </c>
      <c r="C2431" s="2" t="str">
        <f>IFERROR(__xludf.DUMMYFUNCTION("""COMPUTED_VALUE"""),"MOBILECARE - CAGAYAN DE ORO")</f>
        <v>MOBILECARE - CAGAYAN DE ORO</v>
      </c>
      <c r="D2431" s="2" t="str">
        <f>IFERROR(__xludf.DUMMYFUNCTION("""COMPUTED_VALUE"""),"PP661-28869")</f>
        <v>PP661-28869</v>
      </c>
      <c r="E2431" s="2" t="str">
        <f>IFERROR(__xludf.DUMMYFUNCTION("""COMPUTED_VALUE"""),"iPhone 14, Starlight, 128GB, Logic Board Assy Mid System, ROW")</f>
        <v>iPhone 14, Starlight, 128GB, Logic Board Assy Mid System, ROW</v>
      </c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>
      <c r="A2432" s="10" t="str">
        <f t="shared" si="1"/>
        <v>June</v>
      </c>
      <c r="B2432" s="11">
        <f>IFERROR(__xludf.DUMMYFUNCTION("""COMPUTED_VALUE"""),46176.0)</f>
        <v>46176</v>
      </c>
      <c r="C2432" s="2" t="str">
        <f>IFERROR(__xludf.DUMMYFUNCTION("""COMPUTED_VALUE"""),"MOBILECARE - APP FESTIVAL MALL")</f>
        <v>MOBILECARE - APP FESTIVAL MALL</v>
      </c>
      <c r="D2432" s="2" t="str">
        <f>IFERROR(__xludf.DUMMYFUNCTION("""COMPUTED_VALUE"""),"661-44954")</f>
        <v>661-44954</v>
      </c>
      <c r="E2432" s="2" t="str">
        <f>IFERROR(__xludf.DUMMYFUNCTION("""COMPUTED_VALUE"""),"Battery, iPhone 16 Pro Max")</f>
        <v>Battery, iPhone 16 Pro Max</v>
      </c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>
      <c r="A2433" s="10" t="str">
        <f t="shared" si="1"/>
        <v>May</v>
      </c>
      <c r="B2433" s="11">
        <f>IFERROR(__xludf.DUMMYFUNCTION("""COMPUTED_VALUE"""),46153.0)</f>
        <v>46153</v>
      </c>
      <c r="C2433" s="2" t="str">
        <f>IFERROR(__xludf.DUMMYFUNCTION("""COMPUTED_VALUE"""),"MOBILECARE - APP FESTIVAL MALL")</f>
        <v>MOBILECARE - APP FESTIVAL MALL</v>
      </c>
      <c r="D2433" s="2" t="str">
        <f>IFERROR(__xludf.DUMMYFUNCTION("""COMPUTED_VALUE"""),"661-30394")</f>
        <v>661-30394</v>
      </c>
      <c r="E2433" s="2" t="str">
        <f>IFERROR(__xludf.DUMMYFUNCTION("""COMPUTED_VALUE"""),"Battery, iPhone 14 Plus")</f>
        <v>Battery, iPhone 14 Plus</v>
      </c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>
      <c r="A2434" s="10" t="str">
        <f t="shared" si="1"/>
        <v>May</v>
      </c>
      <c r="B2434" s="11">
        <f>IFERROR(__xludf.DUMMYFUNCTION("""COMPUTED_VALUE"""),46164.0)</f>
        <v>46164</v>
      </c>
      <c r="C2434" s="2" t="str">
        <f>IFERROR(__xludf.DUMMYFUNCTION("""COMPUTED_VALUE"""),"MOBILECARE - APP FESTIVAL MALL")</f>
        <v>MOBILECARE - APP FESTIVAL MALL</v>
      </c>
      <c r="D2434" s="2" t="str">
        <f>IFERROR(__xludf.DUMMYFUNCTION("""COMPUTED_VALUE"""),"661-56050")</f>
        <v>661-56050</v>
      </c>
      <c r="E2434" s="2" t="str">
        <f>IFERROR(__xludf.DUMMYFUNCTION("""COMPUTED_VALUE"""),"Display, iPhone 17 Pro Max")</f>
        <v>Display, iPhone 17 Pro Max</v>
      </c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>
      <c r="A2435" s="10" t="str">
        <f t="shared" si="1"/>
        <v>May</v>
      </c>
      <c r="B2435" s="11">
        <f>IFERROR(__xludf.DUMMYFUNCTION("""COMPUTED_VALUE"""),46164.0)</f>
        <v>46164</v>
      </c>
      <c r="C2435" s="2" t="str">
        <f>IFERROR(__xludf.DUMMYFUNCTION("""COMPUTED_VALUE"""),"MOBILECARE - APP FESTIVAL MALL")</f>
        <v>MOBILECARE - APP FESTIVAL MALL</v>
      </c>
      <c r="D2435" s="2" t="str">
        <f>IFERROR(__xludf.DUMMYFUNCTION("""COMPUTED_VALUE"""),"661-56050")</f>
        <v>661-56050</v>
      </c>
      <c r="E2435" s="2" t="str">
        <f>IFERROR(__xludf.DUMMYFUNCTION("""COMPUTED_VALUE"""),"Display, iPhone 17 Pro Max")</f>
        <v>Display, iPhone 17 Pro Max</v>
      </c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>
      <c r="A2436" s="10" t="str">
        <f t="shared" si="1"/>
        <v>May</v>
      </c>
      <c r="B2436" s="11">
        <f>IFERROR(__xludf.DUMMYFUNCTION("""COMPUTED_VALUE"""),46152.0)</f>
        <v>46152</v>
      </c>
      <c r="C2436" s="2" t="str">
        <f>IFERROR(__xludf.DUMMYFUNCTION("""COMPUTED_VALUE"""),"MOBILECARE - APP FESTIVAL MALL")</f>
        <v>MOBILECARE - APP FESTIVAL MALL</v>
      </c>
      <c r="D2436" s="2" t="str">
        <f>IFERROR(__xludf.DUMMYFUNCTION("""COMPUTED_VALUE"""),"661-30382")</f>
        <v>661-30382</v>
      </c>
      <c r="E2436" s="2" t="str">
        <f>IFERROR(__xludf.DUMMYFUNCTION("""COMPUTED_VALUE"""),"Battery, iPhone 14 Pro")</f>
        <v>Battery, iPhone 14 Pro</v>
      </c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>
      <c r="A2437" s="10" t="str">
        <f t="shared" si="1"/>
        <v>April</v>
      </c>
      <c r="B2437" s="11">
        <f>IFERROR(__xludf.DUMMYFUNCTION("""COMPUTED_VALUE"""),46131.0)</f>
        <v>46131</v>
      </c>
      <c r="C2437" s="2" t="str">
        <f>IFERROR(__xludf.DUMMYFUNCTION("""COMPUTED_VALUE"""),"MOBILECARE - APP FESTIVAL MALL")</f>
        <v>MOBILECARE - APP FESTIVAL MALL</v>
      </c>
      <c r="D2437" s="2" t="str">
        <f>IFERROR(__xludf.DUMMYFUNCTION("""COMPUTED_VALUE"""),"661-21991")</f>
        <v>661-21991</v>
      </c>
      <c r="E2437" s="2" t="str">
        <f>IFERROR(__xludf.DUMMYFUNCTION("""COMPUTED_VALUE"""),"Battery, iPhone 13")</f>
        <v>Battery, iPhone 13</v>
      </c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>
      <c r="A2438" s="10" t="str">
        <f t="shared" si="1"/>
        <v>April</v>
      </c>
      <c r="B2438" s="11">
        <f>IFERROR(__xludf.DUMMYFUNCTION("""COMPUTED_VALUE"""),46127.0)</f>
        <v>46127</v>
      </c>
      <c r="C2438" s="2" t="str">
        <f>IFERROR(__xludf.DUMMYFUNCTION("""COMPUTED_VALUE"""),"MOBILECARE - APP FESTIVAL MALL")</f>
        <v>MOBILECARE - APP FESTIVAL MALL</v>
      </c>
      <c r="D2438" s="2" t="str">
        <f>IFERROR(__xludf.DUMMYFUNCTION("""COMPUTED_VALUE"""),"661-44955")</f>
        <v>661-44955</v>
      </c>
      <c r="E2438" s="2" t="str">
        <f>IFERROR(__xludf.DUMMYFUNCTION("""COMPUTED_VALUE"""),"Display, iPhone 16 Pro Max")</f>
        <v>Display, iPhone 16 Pro Max</v>
      </c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>
      <c r="A2439" s="10" t="str">
        <f t="shared" si="1"/>
        <v>April</v>
      </c>
      <c r="B2439" s="11">
        <f>IFERROR(__xludf.DUMMYFUNCTION("""COMPUTED_VALUE"""),46120.0)</f>
        <v>46120</v>
      </c>
      <c r="C2439" s="2" t="str">
        <f>IFERROR(__xludf.DUMMYFUNCTION("""COMPUTED_VALUE"""),"MOBILECARE - APP FESTIVAL MALL")</f>
        <v>MOBILECARE - APP FESTIVAL MALL</v>
      </c>
      <c r="D2439" s="2" t="str">
        <f>IFERROR(__xludf.DUMMYFUNCTION("""COMPUTED_VALUE"""),"661-36915")</f>
        <v>661-36915</v>
      </c>
      <c r="E2439" s="2" t="str">
        <f>IFERROR(__xludf.DUMMYFUNCTION("""COMPUTED_VALUE"""),"Display, iPhone 15 Pro Max")</f>
        <v>Display, iPhone 15 Pro Max</v>
      </c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>
      <c r="A2440" s="10" t="str">
        <f t="shared" si="1"/>
        <v>February</v>
      </c>
      <c r="B2440" s="11">
        <f>IFERROR(__xludf.DUMMYFUNCTION("""COMPUTED_VALUE"""),46072.0)</f>
        <v>46072</v>
      </c>
      <c r="C2440" s="2" t="str">
        <f>IFERROR(__xludf.DUMMYFUNCTION("""COMPUTED_VALUE"""),"MOBILECARE - APP FESTIVAL MALL")</f>
        <v>MOBILECARE - APP FESTIVAL MALL</v>
      </c>
      <c r="D2440" s="2" t="str">
        <f>IFERROR(__xludf.DUMMYFUNCTION("""COMPUTED_VALUE"""),"661-56050")</f>
        <v>661-56050</v>
      </c>
      <c r="E2440" s="2" t="str">
        <f>IFERROR(__xludf.DUMMYFUNCTION("""COMPUTED_VALUE"""),"Display, iPhone 17 Pro Max")</f>
        <v>Display, iPhone 17 Pro Max</v>
      </c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>
      <c r="A2441" s="10" t="str">
        <f t="shared" si="1"/>
        <v>February</v>
      </c>
      <c r="B2441" s="11">
        <f>IFERROR(__xludf.DUMMYFUNCTION("""COMPUTED_VALUE"""),46072.0)</f>
        <v>46072</v>
      </c>
      <c r="C2441" s="2" t="str">
        <f>IFERROR(__xludf.DUMMYFUNCTION("""COMPUTED_VALUE"""),"MOBILECARE - APP FESTIVAL MALL")</f>
        <v>MOBILECARE - APP FESTIVAL MALL</v>
      </c>
      <c r="D2441" s="2" t="str">
        <f>IFERROR(__xludf.DUMMYFUNCTION("""COMPUTED_VALUE"""),"TA661-55152")</f>
        <v>TA661-55152</v>
      </c>
      <c r="E2441" s="2" t="str">
        <f>IFERROR(__xludf.DUMMYFUNCTION("""COMPUTED_VALUE"""),"Silver, 512GB, iPhone 17 Pro, ROW, CI/AR, Taiwan")</f>
        <v>Silver, 512GB, iPhone 17 Pro, ROW, CI/AR, Taiwan</v>
      </c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>
      <c r="A2442" s="10" t="str">
        <f t="shared" si="1"/>
        <v>June</v>
      </c>
      <c r="B2442" s="11">
        <f>IFERROR(__xludf.DUMMYFUNCTION("""COMPUTED_VALUE"""),46193.0)</f>
        <v>46193</v>
      </c>
      <c r="C2442" s="2" t="str">
        <f>IFERROR(__xludf.DUMMYFUNCTION("""COMPUTED_VALUE"""),"MOBILECARE - APP FESTIVAL MALL")</f>
        <v>MOBILECARE - APP FESTIVAL MALL</v>
      </c>
      <c r="D2442" s="2" t="str">
        <f>IFERROR(__xludf.DUMMYFUNCTION("""COMPUTED_VALUE"""),"661-22294")</f>
        <v>661-22294</v>
      </c>
      <c r="E2442" s="2" t="str">
        <f>IFERROR(__xludf.DUMMYFUNCTION("""COMPUTED_VALUE"""),"Battery, iPhone 13 Pro Max")</f>
        <v>Battery, iPhone 13 Pro Max</v>
      </c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>
      <c r="A2443" s="10" t="str">
        <f t="shared" si="1"/>
        <v>June</v>
      </c>
      <c r="B2443" s="11">
        <f>IFERROR(__xludf.DUMMYFUNCTION("""COMPUTED_VALUE"""),46193.0)</f>
        <v>46193</v>
      </c>
      <c r="C2443" s="2" t="str">
        <f>IFERROR(__xludf.DUMMYFUNCTION("""COMPUTED_VALUE"""),"MOBILECARE - APP FESTIVAL MALL")</f>
        <v>MOBILECARE - APP FESTIVAL MALL</v>
      </c>
      <c r="D2443" s="2" t="str">
        <f>IFERROR(__xludf.DUMMYFUNCTION("""COMPUTED_VALUE"""),"PP661-22710")</f>
        <v>PP661-22710</v>
      </c>
      <c r="E2443" s="2" t="str">
        <f>IFERROR(__xludf.DUMMYFUNCTION("""COMPUTED_VALUE"""),"Graphite, 512 GB, iPhone 13 Pro Max, ROW, CI/AR, Philippines")</f>
        <v>Graphite, 512 GB, iPhone 13 Pro Max, ROW, CI/AR, Philippines</v>
      </c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>
      <c r="A2444" s="10" t="str">
        <f t="shared" si="1"/>
        <v>May</v>
      </c>
      <c r="B2444" s="11">
        <f>IFERROR(__xludf.DUMMYFUNCTION("""COMPUTED_VALUE"""),46169.0)</f>
        <v>46169</v>
      </c>
      <c r="C2444" s="2" t="str">
        <f>IFERROR(__xludf.DUMMYFUNCTION("""COMPUTED_VALUE"""),"MOBILECARE - APP FESTIVAL MALL")</f>
        <v>MOBILECARE - APP FESTIVAL MALL</v>
      </c>
      <c r="D2444" s="2" t="str">
        <f>IFERROR(__xludf.DUMMYFUNCTION("""COMPUTED_VALUE"""),"661-30397")</f>
        <v>661-30397</v>
      </c>
      <c r="E2444" s="2" t="str">
        <f>IFERROR(__xludf.DUMMYFUNCTION("""COMPUTED_VALUE"""),"Battery, iPhone 14 Pro Max")</f>
        <v>Battery, iPhone 14 Pro Max</v>
      </c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>
      <c r="A2445" s="10" t="str">
        <f t="shared" si="1"/>
        <v>May</v>
      </c>
      <c r="B2445" s="11">
        <f>IFERROR(__xludf.DUMMYFUNCTION("""COMPUTED_VALUE"""),46169.0)</f>
        <v>46169</v>
      </c>
      <c r="C2445" s="2" t="str">
        <f>IFERROR(__xludf.DUMMYFUNCTION("""COMPUTED_VALUE"""),"MOBILECARE - APP FESTIVAL MALL")</f>
        <v>MOBILECARE - APP FESTIVAL MALL</v>
      </c>
      <c r="D2445" s="2" t="str">
        <f>IFERROR(__xludf.DUMMYFUNCTION("""COMPUTED_VALUE"""),"661-30401")</f>
        <v>661-30401</v>
      </c>
      <c r="E2445" s="2" t="str">
        <f>IFERROR(__xludf.DUMMYFUNCTION("""COMPUTED_VALUE"""),"Display, iPhone 14 Pro Max")</f>
        <v>Display, iPhone 14 Pro Max</v>
      </c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>
      <c r="A2446" s="10" t="str">
        <f t="shared" si="1"/>
        <v>May</v>
      </c>
      <c r="B2446" s="11">
        <f>IFERROR(__xludf.DUMMYFUNCTION("""COMPUTED_VALUE"""),46167.0)</f>
        <v>46167</v>
      </c>
      <c r="C2446" s="2" t="str">
        <f>IFERROR(__xludf.DUMMYFUNCTION("""COMPUTED_VALUE"""),"MOBILECARE - APP FESTIVAL MALL")</f>
        <v>MOBILECARE - APP FESTIVAL MALL</v>
      </c>
      <c r="D2446" s="2" t="str">
        <f>IFERROR(__xludf.DUMMYFUNCTION("""COMPUTED_VALUE"""),"661-13574")</f>
        <v>661-13574</v>
      </c>
      <c r="E2446" s="2" t="str">
        <f>IFERROR(__xludf.DUMMYFUNCTION("""COMPUTED_VALUE"""),"Battery, iPhone 11")</f>
        <v>Battery, iPhone 11</v>
      </c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>
      <c r="A2447" s="10" t="str">
        <f t="shared" si="1"/>
        <v>May</v>
      </c>
      <c r="B2447" s="11">
        <f>IFERROR(__xludf.DUMMYFUNCTION("""COMPUTED_VALUE"""),46166.0)</f>
        <v>46166</v>
      </c>
      <c r="C2447" s="2" t="str">
        <f>IFERROR(__xludf.DUMMYFUNCTION("""COMPUTED_VALUE"""),"MOBILECARE - APP FESTIVAL MALL")</f>
        <v>MOBILECARE - APP FESTIVAL MALL</v>
      </c>
      <c r="D2447" s="2" t="str">
        <f>IFERROR(__xludf.DUMMYFUNCTION("""COMPUTED_VALUE"""),"661-56050")</f>
        <v>661-56050</v>
      </c>
      <c r="E2447" s="2" t="str">
        <f>IFERROR(__xludf.DUMMYFUNCTION("""COMPUTED_VALUE"""),"Display, iPhone 17 Pro Max")</f>
        <v>Display, iPhone 17 Pro Max</v>
      </c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>
      <c r="A2448" s="10" t="str">
        <f t="shared" si="1"/>
        <v>June</v>
      </c>
      <c r="B2448" s="11">
        <f>IFERROR(__xludf.DUMMYFUNCTION("""COMPUTED_VALUE"""),46193.0)</f>
        <v>46193</v>
      </c>
      <c r="C2448" s="2" t="str">
        <f>IFERROR(__xludf.DUMMYFUNCTION("""COMPUTED_VALUE"""),"MOBILECARE - APP FESTIVAL MALL")</f>
        <v>MOBILECARE - APP FESTIVAL MALL</v>
      </c>
      <c r="D2448" s="2" t="str">
        <f>IFERROR(__xludf.DUMMYFUNCTION("""COMPUTED_VALUE"""),"PP661-22987")</f>
        <v>PP661-22987</v>
      </c>
      <c r="E2448" s="2" t="str">
        <f>IFERROR(__xludf.DUMMYFUNCTION("""COMPUTED_VALUE"""),"Pink, 256 GB, iPhone 13, ROW, CI/AR, Philippines")</f>
        <v>Pink, 256 GB, iPhone 13, ROW, CI/AR, Philippines</v>
      </c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>
      <c r="A2449" s="10" t="str">
        <f t="shared" si="1"/>
        <v>April</v>
      </c>
      <c r="B2449" s="11">
        <f>IFERROR(__xludf.DUMMYFUNCTION("""COMPUTED_VALUE"""),46135.0)</f>
        <v>46135</v>
      </c>
      <c r="C2449" s="2" t="str">
        <f>IFERROR(__xludf.DUMMYFUNCTION("""COMPUTED_VALUE"""),"MOBILECARE - APP FESTIVAL MALL")</f>
        <v>MOBILECARE - APP FESTIVAL MALL</v>
      </c>
      <c r="D2449" s="2" t="str">
        <f>IFERROR(__xludf.DUMMYFUNCTION("""COMPUTED_VALUE"""),"661-22294")</f>
        <v>661-22294</v>
      </c>
      <c r="E2449" s="2" t="str">
        <f>IFERROR(__xludf.DUMMYFUNCTION("""COMPUTED_VALUE"""),"Battery, iPhone 13 Pro Max")</f>
        <v>Battery, iPhone 13 Pro Max</v>
      </c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>
      <c r="A2450" s="10" t="str">
        <f t="shared" si="1"/>
        <v>March</v>
      </c>
      <c r="B2450" s="11">
        <f>IFERROR(__xludf.DUMMYFUNCTION("""COMPUTED_VALUE"""),46101.0)</f>
        <v>46101</v>
      </c>
      <c r="C2450" s="2" t="str">
        <f>IFERROR(__xludf.DUMMYFUNCTION("""COMPUTED_VALUE"""),"MOBILECARE - APP FESTIVAL MALL")</f>
        <v>MOBILECARE - APP FESTIVAL MALL</v>
      </c>
      <c r="D2450" s="2" t="str">
        <f>IFERROR(__xludf.DUMMYFUNCTION("""COMPUTED_VALUE"""),"661-42726")</f>
        <v>661-42726</v>
      </c>
      <c r="E2450" s="2" t="str">
        <f>IFERROR(__xludf.DUMMYFUNCTION("""COMPUTED_VALUE"""),"Display, iPhone 16 Pro")</f>
        <v>Display, iPhone 16 Pro</v>
      </c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>
      <c r="A2451" s="10" t="str">
        <f t="shared" si="1"/>
        <v>March</v>
      </c>
      <c r="B2451" s="11">
        <f>IFERROR(__xludf.DUMMYFUNCTION("""COMPUTED_VALUE"""),46087.0)</f>
        <v>46087</v>
      </c>
      <c r="C2451" s="2" t="str">
        <f>IFERROR(__xludf.DUMMYFUNCTION("""COMPUTED_VALUE"""),"MOBILECARE - APP FESTIVAL MALL")</f>
        <v>MOBILECARE - APP FESTIVAL MALL</v>
      </c>
      <c r="D2451" s="2" t="str">
        <f>IFERROR(__xludf.DUMMYFUNCTION("""COMPUTED_VALUE"""),"661-18428")</f>
        <v>661-18428</v>
      </c>
      <c r="E2451" s="2" t="str">
        <f>IFERROR(__xludf.DUMMYFUNCTION("""COMPUTED_VALUE"""),"Battery, iPhone 12 Pro Max")</f>
        <v>Battery, iPhone 12 Pro Max</v>
      </c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>
      <c r="A2452" s="10" t="str">
        <f t="shared" si="1"/>
        <v>March</v>
      </c>
      <c r="B2452" s="11">
        <f>IFERROR(__xludf.DUMMYFUNCTION("""COMPUTED_VALUE"""),46087.0)</f>
        <v>46087</v>
      </c>
      <c r="C2452" s="2" t="str">
        <f>IFERROR(__xludf.DUMMYFUNCTION("""COMPUTED_VALUE"""),"MOBILECARE - APP FESTIVAL MALL")</f>
        <v>MOBILECARE - APP FESTIVAL MALL</v>
      </c>
      <c r="D2452" s="2" t="str">
        <f>IFERROR(__xludf.DUMMYFUNCTION("""COMPUTED_VALUE"""),"661-18172")</f>
        <v>661-18172</v>
      </c>
      <c r="E2452" s="2" t="str">
        <f>IFERROR(__xludf.DUMMYFUNCTION("""COMPUTED_VALUE"""),"Camera, iPhone 12 Pro Max")</f>
        <v>Camera, iPhone 12 Pro Max</v>
      </c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>
      <c r="A2453" s="10" t="str">
        <f t="shared" si="1"/>
        <v>March</v>
      </c>
      <c r="B2453" s="11">
        <f>IFERROR(__xludf.DUMMYFUNCTION("""COMPUTED_VALUE"""),46087.0)</f>
        <v>46087</v>
      </c>
      <c r="C2453" s="2" t="str">
        <f>IFERROR(__xludf.DUMMYFUNCTION("""COMPUTED_VALUE"""),"MOBILECARE - APP FESTIVAL MALL")</f>
        <v>MOBILECARE - APP FESTIVAL MALL</v>
      </c>
      <c r="D2453" s="2" t="str">
        <f>IFERROR(__xludf.DUMMYFUNCTION("""COMPUTED_VALUE"""),"661-18172")</f>
        <v>661-18172</v>
      </c>
      <c r="E2453" s="2" t="str">
        <f>IFERROR(__xludf.DUMMYFUNCTION("""COMPUTED_VALUE"""),"Camera, iPhone 12 Pro Max")</f>
        <v>Camera, iPhone 12 Pro Max</v>
      </c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>
      <c r="A2454" s="10" t="str">
        <f t="shared" si="1"/>
        <v>March</v>
      </c>
      <c r="B2454" s="11">
        <f>IFERROR(__xludf.DUMMYFUNCTION("""COMPUTED_VALUE"""),46087.0)</f>
        <v>46087</v>
      </c>
      <c r="C2454" s="2" t="str">
        <f>IFERROR(__xludf.DUMMYFUNCTION("""COMPUTED_VALUE"""),"MOBILECARE - APP FESTIVAL MALL")</f>
        <v>MOBILECARE - APP FESTIVAL MALL</v>
      </c>
      <c r="D2454" s="2" t="str">
        <f>IFERROR(__xludf.DUMMYFUNCTION("""COMPUTED_VALUE"""),"661-21988")</f>
        <v>661-21988</v>
      </c>
      <c r="E2454" s="2" t="str">
        <f>IFERROR(__xludf.DUMMYFUNCTION("""COMPUTED_VALUE"""),"Display, iPhone 13")</f>
        <v>Display, iPhone 13</v>
      </c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>
      <c r="A2455" s="10" t="str">
        <f t="shared" si="1"/>
        <v>February</v>
      </c>
      <c r="B2455" s="11">
        <f>IFERROR(__xludf.DUMMYFUNCTION("""COMPUTED_VALUE"""),46071.0)</f>
        <v>46071</v>
      </c>
      <c r="C2455" s="2" t="str">
        <f>IFERROR(__xludf.DUMMYFUNCTION("""COMPUTED_VALUE"""),"MOBILECARE - APP FESTIVAL MALL")</f>
        <v>MOBILECARE - APP FESTIVAL MALL</v>
      </c>
      <c r="D2455" s="2" t="str">
        <f>IFERROR(__xludf.DUMMYFUNCTION("""COMPUTED_VALUE"""),"661-30382")</f>
        <v>661-30382</v>
      </c>
      <c r="E2455" s="2" t="str">
        <f>IFERROR(__xludf.DUMMYFUNCTION("""COMPUTED_VALUE"""),"Battery, iPhone 14 Pro")</f>
        <v>Battery, iPhone 14 Pro</v>
      </c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>
      <c r="A2456" s="10" t="str">
        <f t="shared" si="1"/>
        <v>February</v>
      </c>
      <c r="B2456" s="11">
        <f>IFERROR(__xludf.DUMMYFUNCTION("""COMPUTED_VALUE"""),46067.0)</f>
        <v>46067</v>
      </c>
      <c r="C2456" s="2" t="str">
        <f>IFERROR(__xludf.DUMMYFUNCTION("""COMPUTED_VALUE"""),"MOBILECARE - APP FESTIVAL MALL")</f>
        <v>MOBILECARE - APP FESTIVAL MALL</v>
      </c>
      <c r="D2456" s="2" t="str">
        <f>IFERROR(__xludf.DUMMYFUNCTION("""COMPUTED_VALUE"""),"661-22309")</f>
        <v>661-22309</v>
      </c>
      <c r="E2456" s="2" t="str">
        <f>IFERROR(__xludf.DUMMYFUNCTION("""COMPUTED_VALUE"""),"Display, iPhone 13 Pro Max")</f>
        <v>Display, iPhone 13 Pro Max</v>
      </c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>
      <c r="A2457" s="10" t="str">
        <f t="shared" si="1"/>
        <v>February</v>
      </c>
      <c r="B2457" s="11">
        <f>IFERROR(__xludf.DUMMYFUNCTION("""COMPUTED_VALUE"""),46063.0)</f>
        <v>46063</v>
      </c>
      <c r="C2457" s="2" t="str">
        <f>IFERROR(__xludf.DUMMYFUNCTION("""COMPUTED_VALUE"""),"MOBILECARE - APP FESTIVAL MALL")</f>
        <v>MOBILECARE - APP FESTIVAL MALL</v>
      </c>
      <c r="D2457" s="2" t="str">
        <f>IFERROR(__xludf.DUMMYFUNCTION("""COMPUTED_VALUE"""),"661-21991")</f>
        <v>661-21991</v>
      </c>
      <c r="E2457" s="2" t="str">
        <f>IFERROR(__xludf.DUMMYFUNCTION("""COMPUTED_VALUE"""),"Battery, iPhone 13")</f>
        <v>Battery, iPhone 13</v>
      </c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>
      <c r="A2458" s="10" t="str">
        <f t="shared" si="1"/>
        <v>May</v>
      </c>
      <c r="B2458" s="11">
        <f>IFERROR(__xludf.DUMMYFUNCTION("""COMPUTED_VALUE"""),46164.0)</f>
        <v>46164</v>
      </c>
      <c r="C2458" s="2" t="str">
        <f>IFERROR(__xludf.DUMMYFUNCTION("""COMPUTED_VALUE"""),"MOBILECARE - APP FESTIVAL MALL")</f>
        <v>MOBILECARE - APP FESTIVAL MALL</v>
      </c>
      <c r="D2458" s="2" t="str">
        <f>IFERROR(__xludf.DUMMYFUNCTION("""COMPUTED_VALUE"""),"661-13574")</f>
        <v>661-13574</v>
      </c>
      <c r="E2458" s="2" t="str">
        <f>IFERROR(__xludf.DUMMYFUNCTION("""COMPUTED_VALUE"""),"Battery, iPhone 11")</f>
        <v>Battery, iPhone 11</v>
      </c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>
      <c r="A2459" s="10" t="str">
        <f t="shared" si="1"/>
        <v>May</v>
      </c>
      <c r="B2459" s="11">
        <f>IFERROR(__xludf.DUMMYFUNCTION("""COMPUTED_VALUE"""),46163.0)</f>
        <v>46163</v>
      </c>
      <c r="C2459" s="2" t="str">
        <f>IFERROR(__xludf.DUMMYFUNCTION("""COMPUTED_VALUE"""),"MOBILECARE - APP FESTIVAL MALL")</f>
        <v>MOBILECARE - APP FESTIVAL MALL</v>
      </c>
      <c r="D2459" s="2" t="str">
        <f>IFERROR(__xludf.DUMMYFUNCTION("""COMPUTED_VALUE"""),"661-30382")</f>
        <v>661-30382</v>
      </c>
      <c r="E2459" s="2" t="str">
        <f>IFERROR(__xludf.DUMMYFUNCTION("""COMPUTED_VALUE"""),"Battery, iPhone 14 Pro")</f>
        <v>Battery, iPhone 14 Pro</v>
      </c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>
      <c r="A2460" s="10" t="str">
        <f t="shared" si="1"/>
        <v>May</v>
      </c>
      <c r="B2460" s="11">
        <f>IFERROR(__xludf.DUMMYFUNCTION("""COMPUTED_VALUE"""),46150.0)</f>
        <v>46150</v>
      </c>
      <c r="C2460" s="2" t="str">
        <f>IFERROR(__xludf.DUMMYFUNCTION("""COMPUTED_VALUE"""),"MOBILECARE - APP FESTIVAL MALL")</f>
        <v>MOBILECARE - APP FESTIVAL MALL</v>
      </c>
      <c r="D2460" s="2" t="str">
        <f>IFERROR(__xludf.DUMMYFUNCTION("""COMPUTED_VALUE"""),"661-56050")</f>
        <v>661-56050</v>
      </c>
      <c r="E2460" s="2" t="str">
        <f>IFERROR(__xludf.DUMMYFUNCTION("""COMPUTED_VALUE"""),"Display, iPhone 17 Pro Max")</f>
        <v>Display, iPhone 17 Pro Max</v>
      </c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>
      <c r="A2461" s="10" t="str">
        <f t="shared" si="1"/>
        <v>May</v>
      </c>
      <c r="B2461" s="11">
        <f>IFERROR(__xludf.DUMMYFUNCTION("""COMPUTED_VALUE"""),46152.0)</f>
        <v>46152</v>
      </c>
      <c r="C2461" s="2" t="str">
        <f>IFERROR(__xludf.DUMMYFUNCTION("""COMPUTED_VALUE"""),"MOBILECARE - APP FESTIVAL MALL")</f>
        <v>MOBILECARE - APP FESTIVAL MALL</v>
      </c>
      <c r="D2461" s="2" t="str">
        <f>IFERROR(__xludf.DUMMYFUNCTION("""COMPUTED_VALUE"""),"661-21991")</f>
        <v>661-21991</v>
      </c>
      <c r="E2461" s="2" t="str">
        <f>IFERROR(__xludf.DUMMYFUNCTION("""COMPUTED_VALUE"""),"Battery, iPhone 13")</f>
        <v>Battery, iPhone 13</v>
      </c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>
      <c r="A2462" s="10" t="str">
        <f t="shared" si="1"/>
        <v>April</v>
      </c>
      <c r="B2462" s="11">
        <f>IFERROR(__xludf.DUMMYFUNCTION("""COMPUTED_VALUE"""),46136.0)</f>
        <v>46136</v>
      </c>
      <c r="C2462" s="2" t="str">
        <f>IFERROR(__xludf.DUMMYFUNCTION("""COMPUTED_VALUE"""),"MOBILECARE - APP FESTIVAL MALL")</f>
        <v>MOBILECARE - APP FESTIVAL MALL</v>
      </c>
      <c r="D2462" s="2" t="str">
        <f>IFERROR(__xludf.DUMMYFUNCTION("""COMPUTED_VALUE"""),"661-18428")</f>
        <v>661-18428</v>
      </c>
      <c r="E2462" s="2" t="str">
        <f>IFERROR(__xludf.DUMMYFUNCTION("""COMPUTED_VALUE"""),"Battery, iPhone 12 Pro Max")</f>
        <v>Battery, iPhone 12 Pro Max</v>
      </c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>
      <c r="A2463" s="10" t="str">
        <f t="shared" si="1"/>
        <v>February</v>
      </c>
      <c r="B2463" s="11">
        <f>IFERROR(__xludf.DUMMYFUNCTION("""COMPUTED_VALUE"""),46067.0)</f>
        <v>46067</v>
      </c>
      <c r="C2463" s="2" t="str">
        <f>IFERROR(__xludf.DUMMYFUNCTION("""COMPUTED_VALUE"""),"MOBILECARE - APP FESTIVAL MALL")</f>
        <v>MOBILECARE - APP FESTIVAL MALL</v>
      </c>
      <c r="D2463" s="2" t="str">
        <f>IFERROR(__xludf.DUMMYFUNCTION("""COMPUTED_VALUE"""),"661-36706")</f>
        <v>661-36706</v>
      </c>
      <c r="E2463" s="2" t="str">
        <f>IFERROR(__xludf.DUMMYFUNCTION("""COMPUTED_VALUE"""),"Display, iPhone 15")</f>
        <v>Display, iPhone 15</v>
      </c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>
      <c r="A2464" s="10" t="str">
        <f t="shared" si="1"/>
        <v>January</v>
      </c>
      <c r="B2464" s="11">
        <f>IFERROR(__xludf.DUMMYFUNCTION("""COMPUTED_VALUE"""),46047.0)</f>
        <v>46047</v>
      </c>
      <c r="C2464" s="2" t="str">
        <f>IFERROR(__xludf.DUMMYFUNCTION("""COMPUTED_VALUE"""),"MOBILECARE - APP FESTIVAL MALL")</f>
        <v>MOBILECARE - APP FESTIVAL MALL</v>
      </c>
      <c r="D2464" s="2" t="str">
        <f>IFERROR(__xludf.DUMMYFUNCTION("""COMPUTED_VALUE"""),"661-36829")</f>
        <v>661-36829</v>
      </c>
      <c r="E2464" s="2" t="str">
        <f>IFERROR(__xludf.DUMMYFUNCTION("""COMPUTED_VALUE"""),"TrueDepth Camera, iPhone 15")</f>
        <v>TrueDepth Camera, iPhone 15</v>
      </c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>
      <c r="A2465" s="10" t="str">
        <f t="shared" si="1"/>
        <v>June</v>
      </c>
      <c r="B2465" s="11">
        <f>IFERROR(__xludf.DUMMYFUNCTION("""COMPUTED_VALUE"""),46188.0)</f>
        <v>46188</v>
      </c>
      <c r="C2465" s="2" t="str">
        <f>IFERROR(__xludf.DUMMYFUNCTION("""COMPUTED_VALUE"""),"MOBILECARE - APP FESTIVAL MALL")</f>
        <v>MOBILECARE - APP FESTIVAL MALL</v>
      </c>
      <c r="D2465" s="2" t="str">
        <f>IFERROR(__xludf.DUMMYFUNCTION("""COMPUTED_VALUE"""),"661-22294")</f>
        <v>661-22294</v>
      </c>
      <c r="E2465" s="2" t="str">
        <f>IFERROR(__xludf.DUMMYFUNCTION("""COMPUTED_VALUE"""),"Battery, iPhone 13 Pro Max")</f>
        <v>Battery, iPhone 13 Pro Max</v>
      </c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>
      <c r="A2466" s="10" t="str">
        <f t="shared" si="1"/>
        <v>June</v>
      </c>
      <c r="B2466" s="11">
        <f>IFERROR(__xludf.DUMMYFUNCTION("""COMPUTED_VALUE"""),46182.0)</f>
        <v>46182</v>
      </c>
      <c r="C2466" s="2" t="str">
        <f>IFERROR(__xludf.DUMMYFUNCTION("""COMPUTED_VALUE"""),"MOBILECARE - APP FESTIVAL MALL")</f>
        <v>MOBILECARE - APP FESTIVAL MALL</v>
      </c>
      <c r="D2466" s="2" t="str">
        <f>IFERROR(__xludf.DUMMYFUNCTION("""COMPUTED_VALUE"""),"661-21991")</f>
        <v>661-21991</v>
      </c>
      <c r="E2466" s="2" t="str">
        <f>IFERROR(__xludf.DUMMYFUNCTION("""COMPUTED_VALUE"""),"Battery, iPhone 13")</f>
        <v>Battery, iPhone 13</v>
      </c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>
      <c r="A2467" s="10" t="str">
        <f t="shared" si="1"/>
        <v>May</v>
      </c>
      <c r="B2467" s="11">
        <f>IFERROR(__xludf.DUMMYFUNCTION("""COMPUTED_VALUE"""),46155.0)</f>
        <v>46155</v>
      </c>
      <c r="C2467" s="2" t="str">
        <f>IFERROR(__xludf.DUMMYFUNCTION("""COMPUTED_VALUE"""),"MOBILECARE - APP FESTIVAL MALL")</f>
        <v>MOBILECARE - APP FESTIVAL MALL</v>
      </c>
      <c r="D2467" s="2" t="str">
        <f>IFERROR(__xludf.DUMMYFUNCTION("""COMPUTED_VALUE"""),"661-21991")</f>
        <v>661-21991</v>
      </c>
      <c r="E2467" s="2" t="str">
        <f>IFERROR(__xludf.DUMMYFUNCTION("""COMPUTED_VALUE"""),"Battery, iPhone 13")</f>
        <v>Battery, iPhone 13</v>
      </c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>
      <c r="A2468" s="10" t="str">
        <f t="shared" si="1"/>
        <v>April</v>
      </c>
      <c r="B2468" s="11">
        <f>IFERROR(__xludf.DUMMYFUNCTION("""COMPUTED_VALUE"""),46123.0)</f>
        <v>46123</v>
      </c>
      <c r="C2468" s="2" t="str">
        <f>IFERROR(__xludf.DUMMYFUNCTION("""COMPUTED_VALUE"""),"MOBILECARE - APP FESTIVAL MALL")</f>
        <v>MOBILECARE - APP FESTIVAL MALL</v>
      </c>
      <c r="D2468" s="2" t="str">
        <f>IFERROR(__xludf.DUMMYFUNCTION("""COMPUTED_VALUE"""),"661-44955")</f>
        <v>661-44955</v>
      </c>
      <c r="E2468" s="2" t="str">
        <f>IFERROR(__xludf.DUMMYFUNCTION("""COMPUTED_VALUE"""),"Display, iPhone 16 Pro Max")</f>
        <v>Display, iPhone 16 Pro Max</v>
      </c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>
      <c r="A2469" s="10" t="str">
        <f t="shared" si="1"/>
        <v>March</v>
      </c>
      <c r="B2469" s="11">
        <f>IFERROR(__xludf.DUMMYFUNCTION("""COMPUTED_VALUE"""),46100.0)</f>
        <v>46100</v>
      </c>
      <c r="C2469" s="2" t="str">
        <f>IFERROR(__xludf.DUMMYFUNCTION("""COMPUTED_VALUE"""),"MOBILECARE - APP FESTIVAL MALL")</f>
        <v>MOBILECARE - APP FESTIVAL MALL</v>
      </c>
      <c r="D2469" s="2" t="str">
        <f>IFERROR(__xludf.DUMMYFUNCTION("""COMPUTED_VALUE"""),"661-30397")</f>
        <v>661-30397</v>
      </c>
      <c r="E2469" s="2" t="str">
        <f>IFERROR(__xludf.DUMMYFUNCTION("""COMPUTED_VALUE"""),"Battery, iPhone 14 Pro Max")</f>
        <v>Battery, iPhone 14 Pro Max</v>
      </c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>
      <c r="A2470" s="10" t="str">
        <f t="shared" si="1"/>
        <v>March</v>
      </c>
      <c r="B2470" s="11">
        <f>IFERROR(__xludf.DUMMYFUNCTION("""COMPUTED_VALUE"""),46100.0)</f>
        <v>46100</v>
      </c>
      <c r="C2470" s="2" t="str">
        <f>IFERROR(__xludf.DUMMYFUNCTION("""COMPUTED_VALUE"""),"MOBILECARE - APP FESTIVAL MALL")</f>
        <v>MOBILECARE - APP FESTIVAL MALL</v>
      </c>
      <c r="D2470" s="2" t="str">
        <f>IFERROR(__xludf.DUMMYFUNCTION("""COMPUTED_VALUE"""),"661-30398")</f>
        <v>661-30398</v>
      </c>
      <c r="E2470" s="2" t="str">
        <f>IFERROR(__xludf.DUMMYFUNCTION("""COMPUTED_VALUE"""),"Camera, iPhone 14 Pro Max")</f>
        <v>Camera, iPhone 14 Pro Max</v>
      </c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>
      <c r="A2471" s="10" t="str">
        <f t="shared" si="1"/>
        <v>March</v>
      </c>
      <c r="B2471" s="11">
        <f>IFERROR(__xludf.DUMMYFUNCTION("""COMPUTED_VALUE"""),46095.0)</f>
        <v>46095</v>
      </c>
      <c r="C2471" s="2" t="str">
        <f>IFERROR(__xludf.DUMMYFUNCTION("""COMPUTED_VALUE"""),"MOBILECARE - APP FESTIVAL MALL")</f>
        <v>MOBILECARE - APP FESTIVAL MALL</v>
      </c>
      <c r="D2471" s="2" t="str">
        <f>IFERROR(__xludf.DUMMYFUNCTION("""COMPUTED_VALUE"""),"661-30366")</f>
        <v>661-30366</v>
      </c>
      <c r="E2471" s="2" t="str">
        <f>IFERROR(__xludf.DUMMYFUNCTION("""COMPUTED_VALUE"""),"Display, iPhone 14")</f>
        <v>Display, iPhone 14</v>
      </c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>
      <c r="A2472" s="10" t="str">
        <f t="shared" si="1"/>
        <v>February</v>
      </c>
      <c r="B2472" s="11">
        <f>IFERROR(__xludf.DUMMYFUNCTION("""COMPUTED_VALUE"""),46067.0)</f>
        <v>46067</v>
      </c>
      <c r="C2472" s="2" t="str">
        <f>IFERROR(__xludf.DUMMYFUNCTION("""COMPUTED_VALUE"""),"MOBILECARE - APP FESTIVAL MALL")</f>
        <v>MOBILECARE - APP FESTIVAL MALL</v>
      </c>
      <c r="D2472" s="2" t="str">
        <f>IFERROR(__xludf.DUMMYFUNCTION("""COMPUTED_VALUE"""),"661-21988")</f>
        <v>661-21988</v>
      </c>
      <c r="E2472" s="2" t="str">
        <f>IFERROR(__xludf.DUMMYFUNCTION("""COMPUTED_VALUE"""),"Display, iPhone 13")</f>
        <v>Display, iPhone 13</v>
      </c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>
      <c r="A2473" s="10" t="str">
        <f t="shared" si="1"/>
        <v>May</v>
      </c>
      <c r="B2473" s="11">
        <f>IFERROR(__xludf.DUMMYFUNCTION("""COMPUTED_VALUE"""),46169.0)</f>
        <v>46169</v>
      </c>
      <c r="C2473" s="2" t="str">
        <f>IFERROR(__xludf.DUMMYFUNCTION("""COMPUTED_VALUE"""),"MOBILECARE - APP FESTIVAL MALL")</f>
        <v>MOBILECARE - APP FESTIVAL MALL</v>
      </c>
      <c r="D2473" s="2" t="str">
        <f>IFERROR(__xludf.DUMMYFUNCTION("""COMPUTED_VALUE"""),"661-21991")</f>
        <v>661-21991</v>
      </c>
      <c r="E2473" s="2" t="str">
        <f>IFERROR(__xludf.DUMMYFUNCTION("""COMPUTED_VALUE"""),"Battery, iPhone 13")</f>
        <v>Battery, iPhone 13</v>
      </c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>
      <c r="A2474" s="10" t="str">
        <f t="shared" si="1"/>
        <v>April</v>
      </c>
      <c r="B2474" s="11">
        <f>IFERROR(__xludf.DUMMYFUNCTION("""COMPUTED_VALUE"""),46134.0)</f>
        <v>46134</v>
      </c>
      <c r="C2474" s="2" t="str">
        <f>IFERROR(__xludf.DUMMYFUNCTION("""COMPUTED_VALUE"""),"MOBILECARE - APP FESTIVAL MALL")</f>
        <v>MOBILECARE - APP FESTIVAL MALL</v>
      </c>
      <c r="D2474" s="2" t="str">
        <f>IFERROR(__xludf.DUMMYFUNCTION("""COMPUTED_VALUE"""),"661-36918")</f>
        <v>661-36918</v>
      </c>
      <c r="E2474" s="2" t="str">
        <f>IFERROR(__xludf.DUMMYFUNCTION("""COMPUTED_VALUE"""),"Battery, iPhone 15 Pro Max")</f>
        <v>Battery, iPhone 15 Pro Max</v>
      </c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>
      <c r="A2475" s="10" t="str">
        <f t="shared" si="1"/>
        <v>February</v>
      </c>
      <c r="B2475" s="11">
        <f>IFERROR(__xludf.DUMMYFUNCTION("""COMPUTED_VALUE"""),46067.0)</f>
        <v>46067</v>
      </c>
      <c r="C2475" s="2" t="str">
        <f>IFERROR(__xludf.DUMMYFUNCTION("""COMPUTED_VALUE"""),"MOBILECARE - APP FESTIVAL MALL")</f>
        <v>MOBILECARE - APP FESTIVAL MALL</v>
      </c>
      <c r="D2475" s="2" t="str">
        <f>IFERROR(__xludf.DUMMYFUNCTION("""COMPUTED_VALUE"""),"661-37207")</f>
        <v>661-37207</v>
      </c>
      <c r="E2475" s="2" t="str">
        <f>IFERROR(__xludf.DUMMYFUNCTION("""COMPUTED_VALUE"""),"Battery, iPhone 15 Plus")</f>
        <v>Battery, iPhone 15 Plus</v>
      </c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>
      <c r="A2476" s="10" t="str">
        <f t="shared" si="1"/>
        <v>May</v>
      </c>
      <c r="B2476" s="11">
        <f>IFERROR(__xludf.DUMMYFUNCTION("""COMPUTED_VALUE"""),46148.0)</f>
        <v>46148</v>
      </c>
      <c r="C2476" s="2" t="str">
        <f>IFERROR(__xludf.DUMMYFUNCTION("""COMPUTED_VALUE"""),"MOBILECARE - APP FESTIVAL MALL")</f>
        <v>MOBILECARE - APP FESTIVAL MALL</v>
      </c>
      <c r="D2476" s="2" t="str">
        <f>IFERROR(__xludf.DUMMYFUNCTION("""COMPUTED_VALUE"""),"661-44956")</f>
        <v>661-44956</v>
      </c>
      <c r="E2476" s="2" t="str">
        <f>IFERROR(__xludf.DUMMYFUNCTION("""COMPUTED_VALUE"""),"TrueDepth Camera, iPhone 16 Pro Max")</f>
        <v>TrueDepth Camera, iPhone 16 Pro Max</v>
      </c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>
      <c r="A2477" s="10" t="str">
        <f t="shared" si="1"/>
        <v>April</v>
      </c>
      <c r="B2477" s="11">
        <f>IFERROR(__xludf.DUMMYFUNCTION("""COMPUTED_VALUE"""),46123.0)</f>
        <v>46123</v>
      </c>
      <c r="C2477" s="2" t="str">
        <f>IFERROR(__xludf.DUMMYFUNCTION("""COMPUTED_VALUE"""),"MOBILECARE - APP FESTIVAL MALL")</f>
        <v>MOBILECARE - APP FESTIVAL MALL</v>
      </c>
      <c r="D2477" s="2" t="str">
        <f>IFERROR(__xludf.DUMMYFUNCTION("""COMPUTED_VALUE"""),"661-22294")</f>
        <v>661-22294</v>
      </c>
      <c r="E2477" s="2" t="str">
        <f>IFERROR(__xludf.DUMMYFUNCTION("""COMPUTED_VALUE"""),"Battery, iPhone 13 Pro Max")</f>
        <v>Battery, iPhone 13 Pro Max</v>
      </c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>
      <c r="A2478" s="10" t="str">
        <f t="shared" si="1"/>
        <v>March</v>
      </c>
      <c r="B2478" s="11">
        <f>IFERROR(__xludf.DUMMYFUNCTION("""COMPUTED_VALUE"""),46088.0)</f>
        <v>46088</v>
      </c>
      <c r="C2478" s="2" t="str">
        <f>IFERROR(__xludf.DUMMYFUNCTION("""COMPUTED_VALUE"""),"MOBILECARE - APP FESTIVAL MALL")</f>
        <v>MOBILECARE - APP FESTIVAL MALL</v>
      </c>
      <c r="D2478" s="2" t="str">
        <f>IFERROR(__xludf.DUMMYFUNCTION("""COMPUTED_VALUE"""),"661-56050")</f>
        <v>661-56050</v>
      </c>
      <c r="E2478" s="2" t="str">
        <f>IFERROR(__xludf.DUMMYFUNCTION("""COMPUTED_VALUE"""),"Display, iPhone 17 Pro Max")</f>
        <v>Display, iPhone 17 Pro Max</v>
      </c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>
      <c r="A2479" s="10" t="str">
        <f t="shared" si="1"/>
        <v>February</v>
      </c>
      <c r="B2479" s="11">
        <f>IFERROR(__xludf.DUMMYFUNCTION("""COMPUTED_VALUE"""),46074.0)</f>
        <v>46074</v>
      </c>
      <c r="C2479" s="2" t="str">
        <f>IFERROR(__xludf.DUMMYFUNCTION("""COMPUTED_VALUE"""),"MOBILECARE - APP FESTIVAL MALL")</f>
        <v>MOBILECARE - APP FESTIVAL MALL</v>
      </c>
      <c r="D2479" s="2" t="str">
        <f>IFERROR(__xludf.DUMMYFUNCTION("""COMPUTED_VALUE"""),"661-30382")</f>
        <v>661-30382</v>
      </c>
      <c r="E2479" s="2" t="str">
        <f>IFERROR(__xludf.DUMMYFUNCTION("""COMPUTED_VALUE"""),"Battery, iPhone 14 Pro")</f>
        <v>Battery, iPhone 14 Pro</v>
      </c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>
      <c r="A2480" s="10" t="str">
        <f t="shared" si="1"/>
        <v>February</v>
      </c>
      <c r="B2480" s="11">
        <f>IFERROR(__xludf.DUMMYFUNCTION("""COMPUTED_VALUE"""),46058.0)</f>
        <v>46058</v>
      </c>
      <c r="C2480" s="2" t="str">
        <f>IFERROR(__xludf.DUMMYFUNCTION("""COMPUTED_VALUE"""),"MOBILECARE - APP FESTIVAL MALL")</f>
        <v>MOBILECARE - APP FESTIVAL MALL</v>
      </c>
      <c r="D2480" s="2" t="str">
        <f>IFERROR(__xludf.DUMMYFUNCTION("""COMPUTED_VALUE"""),"661-17920")</f>
        <v>661-17920</v>
      </c>
      <c r="E2480" s="2" t="str">
        <f>IFERROR(__xludf.DUMMYFUNCTION("""COMPUTED_VALUE"""),"Battery, iPhone 12 and 12 Pro")</f>
        <v>Battery, iPhone 12 and 12 Pro</v>
      </c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>
      <c r="A2481" s="10" t="str">
        <f t="shared" si="1"/>
        <v>June</v>
      </c>
      <c r="B2481" s="11">
        <f>IFERROR(__xludf.DUMMYFUNCTION("""COMPUTED_VALUE"""),46186.0)</f>
        <v>46186</v>
      </c>
      <c r="C2481" s="2" t="str">
        <f>IFERROR(__xludf.DUMMYFUNCTION("""COMPUTED_VALUE"""),"MOBILECARE - APP FESTIVAL MALL")</f>
        <v>MOBILECARE - APP FESTIVAL MALL</v>
      </c>
      <c r="D2481" s="2" t="str">
        <f>IFERROR(__xludf.DUMMYFUNCTION("""COMPUTED_VALUE"""),"661-30382")</f>
        <v>661-30382</v>
      </c>
      <c r="E2481" s="2" t="str">
        <f>IFERROR(__xludf.DUMMYFUNCTION("""COMPUTED_VALUE"""),"Battery, iPhone 14 Pro")</f>
        <v>Battery, iPhone 14 Pro</v>
      </c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>
      <c r="A2482" s="10" t="str">
        <f t="shared" si="1"/>
        <v>June</v>
      </c>
      <c r="B2482" s="11">
        <f>IFERROR(__xludf.DUMMYFUNCTION("""COMPUTED_VALUE"""),46187.0)</f>
        <v>46187</v>
      </c>
      <c r="C2482" s="2" t="str">
        <f>IFERROR(__xludf.DUMMYFUNCTION("""COMPUTED_VALUE"""),"MOBILECARE - APP FESTIVAL MALL")</f>
        <v>MOBILECARE - APP FESTIVAL MALL</v>
      </c>
      <c r="D2482" s="2" t="str">
        <f>IFERROR(__xludf.DUMMYFUNCTION("""COMPUTED_VALUE"""),"661-56052")</f>
        <v>661-56052</v>
      </c>
      <c r="E2482" s="2" t="str">
        <f>IFERROR(__xludf.DUMMYFUNCTION("""COMPUTED_VALUE"""),"Camera, iPhone 17 Pro Max")</f>
        <v>Camera, iPhone 17 Pro Max</v>
      </c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>
      <c r="A2483" s="10" t="str">
        <f t="shared" si="1"/>
        <v>May</v>
      </c>
      <c r="B2483" s="11">
        <f>IFERROR(__xludf.DUMMYFUNCTION("""COMPUTED_VALUE"""),46162.0)</f>
        <v>46162</v>
      </c>
      <c r="C2483" s="2" t="str">
        <f>IFERROR(__xludf.DUMMYFUNCTION("""COMPUTED_VALUE"""),"MOBILECARE - APP FESTIVAL MALL")</f>
        <v>MOBILECARE - APP FESTIVAL MALL</v>
      </c>
      <c r="D2483" s="2" t="str">
        <f>IFERROR(__xludf.DUMMYFUNCTION("""COMPUTED_VALUE"""),"661-22309")</f>
        <v>661-22309</v>
      </c>
      <c r="E2483" s="2" t="str">
        <f>IFERROR(__xludf.DUMMYFUNCTION("""COMPUTED_VALUE"""),"Display, iPhone 13 Pro Max")</f>
        <v>Display, iPhone 13 Pro Max</v>
      </c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>
      <c r="A2484" s="10" t="str">
        <f t="shared" si="1"/>
        <v>June</v>
      </c>
      <c r="B2484" s="11">
        <f>IFERROR(__xludf.DUMMYFUNCTION("""COMPUTED_VALUE"""),46190.0)</f>
        <v>46190</v>
      </c>
      <c r="C2484" s="2" t="str">
        <f>IFERROR(__xludf.DUMMYFUNCTION("""COMPUTED_VALUE"""),"MOBILECARE - APP FESTIVAL MALL")</f>
        <v>MOBILECARE - APP FESTIVAL MALL</v>
      </c>
      <c r="D2484" s="2" t="str">
        <f>IFERROR(__xludf.DUMMYFUNCTION("""COMPUTED_VALUE"""),"TA661-36900")</f>
        <v>TA661-36900</v>
      </c>
      <c r="E2484" s="2" t="str">
        <f>IFERROR(__xludf.DUMMYFUNCTION("""COMPUTED_VALUE"""),"Natural, iPhone 15 Pro Max, 512GB, ROW, CI/AR, Taiwan")</f>
        <v>Natural, iPhone 15 Pro Max, 512GB, ROW, CI/AR, Taiwan</v>
      </c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>
      <c r="A2485" s="10" t="str">
        <f t="shared" si="1"/>
        <v>May</v>
      </c>
      <c r="B2485" s="11">
        <f>IFERROR(__xludf.DUMMYFUNCTION("""COMPUTED_VALUE"""),46153.0)</f>
        <v>46153</v>
      </c>
      <c r="C2485" s="2" t="str">
        <f>IFERROR(__xludf.DUMMYFUNCTION("""COMPUTED_VALUE"""),"MOBILECARE - APP FESTIVAL MALL")</f>
        <v>MOBILECARE - APP FESTIVAL MALL</v>
      </c>
      <c r="D2485" s="2" t="str">
        <f>IFERROR(__xludf.DUMMYFUNCTION("""COMPUTED_VALUE"""),"661-21991")</f>
        <v>661-21991</v>
      </c>
      <c r="E2485" s="2" t="str">
        <f>IFERROR(__xludf.DUMMYFUNCTION("""COMPUTED_VALUE"""),"Battery, iPhone 13")</f>
        <v>Battery, iPhone 13</v>
      </c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>
      <c r="A2486" s="10" t="str">
        <f t="shared" si="1"/>
        <v>April</v>
      </c>
      <c r="B2486" s="11">
        <f>IFERROR(__xludf.DUMMYFUNCTION("""COMPUTED_VALUE"""),46130.0)</f>
        <v>46130</v>
      </c>
      <c r="C2486" s="2" t="str">
        <f>IFERROR(__xludf.DUMMYFUNCTION("""COMPUTED_VALUE"""),"MOBILECARE - APP FESTIVAL MALL")</f>
        <v>MOBILECARE - APP FESTIVAL MALL</v>
      </c>
      <c r="D2486" s="2" t="str">
        <f>IFERROR(__xludf.DUMMYFUNCTION("""COMPUTED_VALUE"""),"661-21991")</f>
        <v>661-21991</v>
      </c>
      <c r="E2486" s="2" t="str">
        <f>IFERROR(__xludf.DUMMYFUNCTION("""COMPUTED_VALUE"""),"Battery, iPhone 13")</f>
        <v>Battery, iPhone 13</v>
      </c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>
      <c r="A2487" s="10" t="str">
        <f t="shared" si="1"/>
        <v>April</v>
      </c>
      <c r="B2487" s="11">
        <f>IFERROR(__xludf.DUMMYFUNCTION("""COMPUTED_VALUE"""),46121.0)</f>
        <v>46121</v>
      </c>
      <c r="C2487" s="2" t="str">
        <f>IFERROR(__xludf.DUMMYFUNCTION("""COMPUTED_VALUE"""),"MOBILECARE - APP FESTIVAL MALL")</f>
        <v>MOBILECARE - APP FESTIVAL MALL</v>
      </c>
      <c r="D2487" s="2" t="str">
        <f>IFERROR(__xludf.DUMMYFUNCTION("""COMPUTED_VALUE"""),"661-42843")</f>
        <v>661-42843</v>
      </c>
      <c r="E2487" s="2" t="str">
        <f>IFERROR(__xludf.DUMMYFUNCTION("""COMPUTED_VALUE"""),"Display, iPhone 16 Plus")</f>
        <v>Display, iPhone 16 Plus</v>
      </c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>
      <c r="A2488" s="10" t="str">
        <f t="shared" si="1"/>
        <v>March</v>
      </c>
      <c r="B2488" s="11">
        <f>IFERROR(__xludf.DUMMYFUNCTION("""COMPUTED_VALUE"""),46106.0)</f>
        <v>46106</v>
      </c>
      <c r="C2488" s="2" t="str">
        <f>IFERROR(__xludf.DUMMYFUNCTION("""COMPUTED_VALUE"""),"MOBILECARE - APP FESTIVAL MALL")</f>
        <v>MOBILECARE - APP FESTIVAL MALL</v>
      </c>
      <c r="D2488" s="2" t="str">
        <f>IFERROR(__xludf.DUMMYFUNCTION("""COMPUTED_VALUE"""),"TA661-42907")</f>
        <v>TA661-42907</v>
      </c>
      <c r="E2488" s="2" t="str">
        <f>IFERROR(__xludf.DUMMYFUNCTION("""COMPUTED_VALUE"""),"512GB, Desert Titanium, ROW, iPhone 16 Pro, CI/AR")</f>
        <v>512GB, Desert Titanium, ROW, iPhone 16 Pro, CI/AR</v>
      </c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>
      <c r="A2489" s="10" t="str">
        <f t="shared" si="1"/>
        <v>January</v>
      </c>
      <c r="B2489" s="11">
        <f>IFERROR(__xludf.DUMMYFUNCTION("""COMPUTED_VALUE"""),46049.0)</f>
        <v>46049</v>
      </c>
      <c r="C2489" s="2" t="str">
        <f>IFERROR(__xludf.DUMMYFUNCTION("""COMPUTED_VALUE"""),"MOBILECARE - APP FESTIVAL MALL")</f>
        <v>MOBILECARE - APP FESTIVAL MALL</v>
      </c>
      <c r="D2489" s="2" t="str">
        <f>IFERROR(__xludf.DUMMYFUNCTION("""COMPUTED_VALUE"""),"661-22309")</f>
        <v>661-22309</v>
      </c>
      <c r="E2489" s="2" t="str">
        <f>IFERROR(__xludf.DUMMYFUNCTION("""COMPUTED_VALUE"""),"Display, iPhone 13 Pro Max")</f>
        <v>Display, iPhone 13 Pro Max</v>
      </c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>
      <c r="A2490" s="10" t="str">
        <f t="shared" si="1"/>
        <v>May</v>
      </c>
      <c r="B2490" s="11">
        <f>IFERROR(__xludf.DUMMYFUNCTION("""COMPUTED_VALUE"""),46172.0)</f>
        <v>46172</v>
      </c>
      <c r="C2490" s="2" t="str">
        <f>IFERROR(__xludf.DUMMYFUNCTION("""COMPUTED_VALUE"""),"MOBILECARE - APP FESTIVAL MALL")</f>
        <v>MOBILECARE - APP FESTIVAL MALL</v>
      </c>
      <c r="D2490" s="2" t="str">
        <f>IFERROR(__xludf.DUMMYFUNCTION("""COMPUTED_VALUE"""),"661-21991")</f>
        <v>661-21991</v>
      </c>
      <c r="E2490" s="2" t="str">
        <f>IFERROR(__xludf.DUMMYFUNCTION("""COMPUTED_VALUE"""),"Battery, iPhone 13")</f>
        <v>Battery, iPhone 13</v>
      </c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>
      <c r="A2491" s="10" t="str">
        <f t="shared" si="1"/>
        <v>May</v>
      </c>
      <c r="B2491" s="11">
        <f>IFERROR(__xludf.DUMMYFUNCTION("""COMPUTED_VALUE"""),46159.0)</f>
        <v>46159</v>
      </c>
      <c r="C2491" s="2" t="str">
        <f>IFERROR(__xludf.DUMMYFUNCTION("""COMPUTED_VALUE"""),"MOBILECARE - APP FESTIVAL MALL")</f>
        <v>MOBILECARE - APP FESTIVAL MALL</v>
      </c>
      <c r="D2491" s="2" t="str">
        <f>IFERROR(__xludf.DUMMYFUNCTION("""COMPUTED_VALUE"""),"661-42726")</f>
        <v>661-42726</v>
      </c>
      <c r="E2491" s="2" t="str">
        <f>IFERROR(__xludf.DUMMYFUNCTION("""COMPUTED_VALUE"""),"Display, iPhone 16 Pro")</f>
        <v>Display, iPhone 16 Pro</v>
      </c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>
      <c r="A2492" s="10" t="str">
        <f t="shared" si="1"/>
        <v>April</v>
      </c>
      <c r="B2492" s="11">
        <f>IFERROR(__xludf.DUMMYFUNCTION("""COMPUTED_VALUE"""),46130.0)</f>
        <v>46130</v>
      </c>
      <c r="C2492" s="2" t="str">
        <f>IFERROR(__xludf.DUMMYFUNCTION("""COMPUTED_VALUE"""),"MOBILECARE - APP FESTIVAL MALL")</f>
        <v>MOBILECARE - APP FESTIVAL MALL</v>
      </c>
      <c r="D2492" s="2" t="str">
        <f>IFERROR(__xludf.DUMMYFUNCTION("""COMPUTED_VALUE"""),"661-44956")</f>
        <v>661-44956</v>
      </c>
      <c r="E2492" s="2" t="str">
        <f>IFERROR(__xludf.DUMMYFUNCTION("""COMPUTED_VALUE"""),"TrueDepth Camera, iPhone 16 Pro Max")</f>
        <v>TrueDepth Camera, iPhone 16 Pro Max</v>
      </c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>
      <c r="A2493" s="10" t="str">
        <f t="shared" si="1"/>
        <v>April</v>
      </c>
      <c r="B2493" s="11">
        <f>IFERROR(__xludf.DUMMYFUNCTION("""COMPUTED_VALUE"""),46140.0)</f>
        <v>46140</v>
      </c>
      <c r="C2493" s="2" t="str">
        <f>IFERROR(__xludf.DUMMYFUNCTION("""COMPUTED_VALUE"""),"MOBILECARE - APP FESTIVAL MALL")</f>
        <v>MOBILECARE - APP FESTIVAL MALL</v>
      </c>
      <c r="D2493" s="2" t="str">
        <f>IFERROR(__xludf.DUMMYFUNCTION("""COMPUTED_VALUE"""),"661-30394")</f>
        <v>661-30394</v>
      </c>
      <c r="E2493" s="2" t="str">
        <f>IFERROR(__xludf.DUMMYFUNCTION("""COMPUTED_VALUE"""),"Battery, iPhone 14 Plus")</f>
        <v>Battery, iPhone 14 Plus</v>
      </c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>
      <c r="A2494" s="10" t="str">
        <f t="shared" si="1"/>
        <v>March</v>
      </c>
      <c r="B2494" s="11">
        <f>IFERROR(__xludf.DUMMYFUNCTION("""COMPUTED_VALUE"""),46108.0)</f>
        <v>46108</v>
      </c>
      <c r="C2494" s="2" t="str">
        <f>IFERROR(__xludf.DUMMYFUNCTION("""COMPUTED_VALUE"""),"MOBILECARE - APP FESTIVAL MALL")</f>
        <v>MOBILECARE - APP FESTIVAL MALL</v>
      </c>
      <c r="D2494" s="2" t="str">
        <f>IFERROR(__xludf.DUMMYFUNCTION("""COMPUTED_VALUE"""),"661-56050")</f>
        <v>661-56050</v>
      </c>
      <c r="E2494" s="2" t="str">
        <f>IFERROR(__xludf.DUMMYFUNCTION("""COMPUTED_VALUE"""),"Display, iPhone 17 Pro Max")</f>
        <v>Display, iPhone 17 Pro Max</v>
      </c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>
      <c r="A2495" s="10" t="str">
        <f t="shared" si="1"/>
        <v>March</v>
      </c>
      <c r="B2495" s="11">
        <f>IFERROR(__xludf.DUMMYFUNCTION("""COMPUTED_VALUE"""),46106.0)</f>
        <v>46106</v>
      </c>
      <c r="C2495" s="2" t="str">
        <f>IFERROR(__xludf.DUMMYFUNCTION("""COMPUTED_VALUE"""),"MOBILECARE - APP FESTIVAL MALL")</f>
        <v>MOBILECARE - APP FESTIVAL MALL</v>
      </c>
      <c r="D2495" s="2" t="str">
        <f>IFERROR(__xludf.DUMMYFUNCTION("""COMPUTED_VALUE"""),"923-06234")</f>
        <v>923-06234</v>
      </c>
      <c r="E2495" s="2" t="str">
        <f>IFERROR(__xludf.DUMMYFUNCTION("""COMPUTED_VALUE"""),"Top Speaker, iPhone 13")</f>
        <v>Top Speaker, iPhone 13</v>
      </c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>
      <c r="A2496" s="10" t="str">
        <f t="shared" si="1"/>
        <v>February</v>
      </c>
      <c r="B2496" s="11">
        <f>IFERROR(__xludf.DUMMYFUNCTION("""COMPUTED_VALUE"""),46058.0)</f>
        <v>46058</v>
      </c>
      <c r="C2496" s="2" t="str">
        <f>IFERROR(__xludf.DUMMYFUNCTION("""COMPUTED_VALUE"""),"MOBILECARE - APP FESTIVAL MALL")</f>
        <v>MOBILECARE - APP FESTIVAL MALL</v>
      </c>
      <c r="D2496" s="2" t="str">
        <f>IFERROR(__xludf.DUMMYFUNCTION("""COMPUTED_VALUE"""),"661-56125")</f>
        <v>661-56125</v>
      </c>
      <c r="E2496" s="2" t="str">
        <f>IFERROR(__xludf.DUMMYFUNCTION("""COMPUTED_VALUE"""),"Display, iPhone 17 Pro")</f>
        <v>Display, iPhone 17 Pro</v>
      </c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>
      <c r="A2497" s="10" t="str">
        <f t="shared" si="1"/>
        <v>June</v>
      </c>
      <c r="B2497" s="11">
        <f>IFERROR(__xludf.DUMMYFUNCTION("""COMPUTED_VALUE"""),46186.0)</f>
        <v>46186</v>
      </c>
      <c r="C2497" s="2" t="str">
        <f>IFERROR(__xludf.DUMMYFUNCTION("""COMPUTED_VALUE"""),"MOBILECARE - APP FESTIVAL MALL")</f>
        <v>MOBILECARE - APP FESTIVAL MALL</v>
      </c>
      <c r="D2497" s="2" t="str">
        <f>IFERROR(__xludf.DUMMYFUNCTION("""COMPUTED_VALUE"""),"661-42727")</f>
        <v>661-42727</v>
      </c>
      <c r="E2497" s="2" t="str">
        <f>IFERROR(__xludf.DUMMYFUNCTION("""COMPUTED_VALUE"""),"TrueDepth Camera, iPhone 16 Pro")</f>
        <v>TrueDepth Camera, iPhone 16 Pro</v>
      </c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>
      <c r="A2498" s="10" t="str">
        <f t="shared" si="1"/>
        <v>May</v>
      </c>
      <c r="B2498" s="11">
        <f>IFERROR(__xludf.DUMMYFUNCTION("""COMPUTED_VALUE"""),46150.0)</f>
        <v>46150</v>
      </c>
      <c r="C2498" s="2" t="str">
        <f>IFERROR(__xludf.DUMMYFUNCTION("""COMPUTED_VALUE"""),"MOBILECARE - APP FESTIVAL MALL")</f>
        <v>MOBILECARE - APP FESTIVAL MALL</v>
      </c>
      <c r="D2498" s="2" t="str">
        <f>IFERROR(__xludf.DUMMYFUNCTION("""COMPUTED_VALUE"""),"661-22309")</f>
        <v>661-22309</v>
      </c>
      <c r="E2498" s="2" t="str">
        <f>IFERROR(__xludf.DUMMYFUNCTION("""COMPUTED_VALUE"""),"Display, iPhone 13 Pro Max")</f>
        <v>Display, iPhone 13 Pro Max</v>
      </c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>
      <c r="A2499" s="10" t="str">
        <f t="shared" si="1"/>
        <v>May</v>
      </c>
      <c r="B2499" s="11">
        <f>IFERROR(__xludf.DUMMYFUNCTION("""COMPUTED_VALUE"""),46150.0)</f>
        <v>46150</v>
      </c>
      <c r="C2499" s="2" t="str">
        <f>IFERROR(__xludf.DUMMYFUNCTION("""COMPUTED_VALUE"""),"MOBILECARE - APP FESTIVAL MALL")</f>
        <v>MOBILECARE - APP FESTIVAL MALL</v>
      </c>
      <c r="D2499" s="2" t="str">
        <f>IFERROR(__xludf.DUMMYFUNCTION("""COMPUTED_VALUE"""),"661-23803")</f>
        <v>661-23803</v>
      </c>
      <c r="E2499" s="2" t="str">
        <f>IFERROR(__xludf.DUMMYFUNCTION("""COMPUTED_VALUE"""),"TrueDepth Camera, iPhone 13 Pro Max")</f>
        <v>TrueDepth Camera, iPhone 13 Pro Max</v>
      </c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>
      <c r="A2500" s="10" t="str">
        <f t="shared" si="1"/>
        <v>May</v>
      </c>
      <c r="B2500" s="11">
        <f>IFERROR(__xludf.DUMMYFUNCTION("""COMPUTED_VALUE"""),46146.0)</f>
        <v>46146</v>
      </c>
      <c r="C2500" s="2" t="str">
        <f>IFERROR(__xludf.DUMMYFUNCTION("""COMPUTED_VALUE"""),"MOBILECARE - APP FESTIVAL MALL")</f>
        <v>MOBILECARE - APP FESTIVAL MALL</v>
      </c>
      <c r="D2500" s="2" t="str">
        <f>IFERROR(__xludf.DUMMYFUNCTION("""COMPUTED_VALUE"""),"661-21988")</f>
        <v>661-21988</v>
      </c>
      <c r="E2500" s="2" t="str">
        <f>IFERROR(__xludf.DUMMYFUNCTION("""COMPUTED_VALUE"""),"Display, iPhone 13")</f>
        <v>Display, iPhone 13</v>
      </c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>
      <c r="A2501" s="10" t="str">
        <f t="shared" si="1"/>
        <v>April</v>
      </c>
      <c r="B2501" s="11">
        <f>IFERROR(__xludf.DUMMYFUNCTION("""COMPUTED_VALUE"""),46124.0)</f>
        <v>46124</v>
      </c>
      <c r="C2501" s="2" t="str">
        <f>IFERROR(__xludf.DUMMYFUNCTION("""COMPUTED_VALUE"""),"MOBILECARE - APP FESTIVAL MALL")</f>
        <v>MOBILECARE - APP FESTIVAL MALL</v>
      </c>
      <c r="D2501" s="2" t="str">
        <f>IFERROR(__xludf.DUMMYFUNCTION("""COMPUTED_VALUE"""),"661-36908")</f>
        <v>661-36908</v>
      </c>
      <c r="E2501" s="2" t="str">
        <f>IFERROR(__xludf.DUMMYFUNCTION("""COMPUTED_VALUE"""),"White Titanium, Back Glass, iPhone 15 Pro Max")</f>
        <v>White Titanium, Back Glass, iPhone 15 Pro Max</v>
      </c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>
      <c r="A2502" s="10" t="str">
        <f t="shared" si="1"/>
        <v>March</v>
      </c>
      <c r="B2502" s="11">
        <f>IFERROR(__xludf.DUMMYFUNCTION("""COMPUTED_VALUE"""),46095.0)</f>
        <v>46095</v>
      </c>
      <c r="C2502" s="2" t="str">
        <f>IFERROR(__xludf.DUMMYFUNCTION("""COMPUTED_VALUE"""),"MOBILECARE - APP FESTIVAL MALL")</f>
        <v>MOBILECARE - APP FESTIVAL MALL</v>
      </c>
      <c r="D2502" s="2" t="str">
        <f>IFERROR(__xludf.DUMMYFUNCTION("""COMPUTED_VALUE"""),"661-22309")</f>
        <v>661-22309</v>
      </c>
      <c r="E2502" s="2" t="str">
        <f>IFERROR(__xludf.DUMMYFUNCTION("""COMPUTED_VALUE"""),"Display, iPhone 13 Pro Max")</f>
        <v>Display, iPhone 13 Pro Max</v>
      </c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>
      <c r="A2503" s="10" t="str">
        <f t="shared" si="1"/>
        <v>February</v>
      </c>
      <c r="B2503" s="11">
        <f>IFERROR(__xludf.DUMMYFUNCTION("""COMPUTED_VALUE"""),46054.0)</f>
        <v>46054</v>
      </c>
      <c r="C2503" s="2" t="str">
        <f>IFERROR(__xludf.DUMMYFUNCTION("""COMPUTED_VALUE"""),"MOBILECARE - APP FESTIVAL MALL")</f>
        <v>MOBILECARE - APP FESTIVAL MALL</v>
      </c>
      <c r="D2503" s="2" t="str">
        <f>IFERROR(__xludf.DUMMYFUNCTION("""COMPUTED_VALUE"""),"661-21991")</f>
        <v>661-21991</v>
      </c>
      <c r="E2503" s="2" t="str">
        <f>IFERROR(__xludf.DUMMYFUNCTION("""COMPUTED_VALUE"""),"Battery, iPhone 13")</f>
        <v>Battery, iPhone 13</v>
      </c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>
      <c r="A2504" s="10" t="str">
        <f t="shared" si="1"/>
        <v>January</v>
      </c>
      <c r="B2504" s="11">
        <f>IFERROR(__xludf.DUMMYFUNCTION("""COMPUTED_VALUE"""),46052.0)</f>
        <v>46052</v>
      </c>
      <c r="C2504" s="2" t="str">
        <f>IFERROR(__xludf.DUMMYFUNCTION("""COMPUTED_VALUE"""),"MOBILECARE - APP FESTIVAL MALL")</f>
        <v>MOBILECARE - APP FESTIVAL MALL</v>
      </c>
      <c r="D2504" s="2" t="str">
        <f>IFERROR(__xludf.DUMMYFUNCTION("""COMPUTED_VALUE"""),"661-30397")</f>
        <v>661-30397</v>
      </c>
      <c r="E2504" s="2" t="str">
        <f>IFERROR(__xludf.DUMMYFUNCTION("""COMPUTED_VALUE"""),"Battery, iPhone 14 Pro Max")</f>
        <v>Battery, iPhone 14 Pro Max</v>
      </c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>
      <c r="A2505" s="10" t="str">
        <f t="shared" si="1"/>
        <v>January</v>
      </c>
      <c r="B2505" s="11">
        <f>IFERROR(__xludf.DUMMYFUNCTION("""COMPUTED_VALUE"""),46051.0)</f>
        <v>46051</v>
      </c>
      <c r="C2505" s="2" t="str">
        <f>IFERROR(__xludf.DUMMYFUNCTION("""COMPUTED_VALUE"""),"MOBILECARE - APP FESTIVAL MALL")</f>
        <v>MOBILECARE - APP FESTIVAL MALL</v>
      </c>
      <c r="D2505" s="2" t="str">
        <f>IFERROR(__xludf.DUMMYFUNCTION("""COMPUTED_VALUE"""),"661-22309")</f>
        <v>661-22309</v>
      </c>
      <c r="E2505" s="2" t="str">
        <f>IFERROR(__xludf.DUMMYFUNCTION("""COMPUTED_VALUE"""),"Display, iPhone 13 Pro Max")</f>
        <v>Display, iPhone 13 Pro Max</v>
      </c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>
      <c r="A2506" s="10" t="str">
        <f t="shared" si="1"/>
        <v>May</v>
      </c>
      <c r="B2506" s="11">
        <f>IFERROR(__xludf.DUMMYFUNCTION("""COMPUTED_VALUE"""),46173.0)</f>
        <v>46173</v>
      </c>
      <c r="C2506" s="2" t="str">
        <f>IFERROR(__xludf.DUMMYFUNCTION("""COMPUTED_VALUE"""),"MOBILECARE - APP FESTIVAL MALL")</f>
        <v>MOBILECARE - APP FESTIVAL MALL</v>
      </c>
      <c r="D2506" s="2" t="str">
        <f>IFERROR(__xludf.DUMMYFUNCTION("""COMPUTED_VALUE"""),"661-22309")</f>
        <v>661-22309</v>
      </c>
      <c r="E2506" s="2" t="str">
        <f>IFERROR(__xludf.DUMMYFUNCTION("""COMPUTED_VALUE"""),"Display, iPhone 13 Pro Max")</f>
        <v>Display, iPhone 13 Pro Max</v>
      </c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>
      <c r="A2507" s="10" t="str">
        <f t="shared" si="1"/>
        <v>May</v>
      </c>
      <c r="B2507" s="11">
        <f>IFERROR(__xludf.DUMMYFUNCTION("""COMPUTED_VALUE"""),46169.0)</f>
        <v>46169</v>
      </c>
      <c r="C2507" s="2" t="str">
        <f>IFERROR(__xludf.DUMMYFUNCTION("""COMPUTED_VALUE"""),"MOBILECARE - APP FESTIVAL MALL")</f>
        <v>MOBILECARE - APP FESTIVAL MALL</v>
      </c>
      <c r="D2507" s="2" t="str">
        <f>IFERROR(__xludf.DUMMYFUNCTION("""COMPUTED_VALUE"""),"661-21991")</f>
        <v>661-21991</v>
      </c>
      <c r="E2507" s="2" t="str">
        <f>IFERROR(__xludf.DUMMYFUNCTION("""COMPUTED_VALUE"""),"Battery, iPhone 13")</f>
        <v>Battery, iPhone 13</v>
      </c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>
      <c r="A2508" s="10" t="str">
        <f t="shared" si="1"/>
        <v>May</v>
      </c>
      <c r="B2508" s="11">
        <f>IFERROR(__xludf.DUMMYFUNCTION("""COMPUTED_VALUE"""),46155.0)</f>
        <v>46155</v>
      </c>
      <c r="C2508" s="2" t="str">
        <f>IFERROR(__xludf.DUMMYFUNCTION("""COMPUTED_VALUE"""),"MOBILECARE - APP FESTIVAL MALL")</f>
        <v>MOBILECARE - APP FESTIVAL MALL</v>
      </c>
      <c r="D2508" s="2" t="str">
        <f>IFERROR(__xludf.DUMMYFUNCTION("""COMPUTED_VALUE"""),"661-22309")</f>
        <v>661-22309</v>
      </c>
      <c r="E2508" s="2" t="str">
        <f>IFERROR(__xludf.DUMMYFUNCTION("""COMPUTED_VALUE"""),"Display, iPhone 13 Pro Max")</f>
        <v>Display, iPhone 13 Pro Max</v>
      </c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>
      <c r="A2509" s="10" t="str">
        <f t="shared" si="1"/>
        <v>May</v>
      </c>
      <c r="B2509" s="11">
        <f>IFERROR(__xludf.DUMMYFUNCTION("""COMPUTED_VALUE"""),46157.0)</f>
        <v>46157</v>
      </c>
      <c r="C2509" s="2" t="str">
        <f>IFERROR(__xludf.DUMMYFUNCTION("""COMPUTED_VALUE"""),"MOBILECARE - APP FESTIVAL MALL")</f>
        <v>MOBILECARE - APP FESTIVAL MALL</v>
      </c>
      <c r="D2509" s="2" t="str">
        <f>IFERROR(__xludf.DUMMYFUNCTION("""COMPUTED_VALUE"""),"661-21991")</f>
        <v>661-21991</v>
      </c>
      <c r="E2509" s="2" t="str">
        <f>IFERROR(__xludf.DUMMYFUNCTION("""COMPUTED_VALUE"""),"Battery, iPhone 13")</f>
        <v>Battery, iPhone 13</v>
      </c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>
      <c r="A2510" s="10" t="str">
        <f t="shared" si="1"/>
        <v>May</v>
      </c>
      <c r="B2510" s="11">
        <f>IFERROR(__xludf.DUMMYFUNCTION("""COMPUTED_VALUE"""),46157.0)</f>
        <v>46157</v>
      </c>
      <c r="C2510" s="2" t="str">
        <f>IFERROR(__xludf.DUMMYFUNCTION("""COMPUTED_VALUE"""),"MOBILECARE - APP FESTIVAL MALL")</f>
        <v>MOBILECARE - APP FESTIVAL MALL</v>
      </c>
      <c r="D2510" s="2" t="str">
        <f>IFERROR(__xludf.DUMMYFUNCTION("""COMPUTED_VALUE"""),"661-21988")</f>
        <v>661-21988</v>
      </c>
      <c r="E2510" s="2" t="str">
        <f>IFERROR(__xludf.DUMMYFUNCTION("""COMPUTED_VALUE"""),"Display, iPhone 13")</f>
        <v>Display, iPhone 13</v>
      </c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>
      <c r="A2511" s="10" t="str">
        <f t="shared" si="1"/>
        <v>May</v>
      </c>
      <c r="B2511" s="11">
        <f>IFERROR(__xludf.DUMMYFUNCTION("""COMPUTED_VALUE"""),46164.0)</f>
        <v>46164</v>
      </c>
      <c r="C2511" s="2" t="str">
        <f>IFERROR(__xludf.DUMMYFUNCTION("""COMPUTED_VALUE"""),"MOBILECARE - APP FESTIVAL MALL")</f>
        <v>MOBILECARE - APP FESTIVAL MALL</v>
      </c>
      <c r="D2511" s="2" t="str">
        <f>IFERROR(__xludf.DUMMYFUNCTION("""COMPUTED_VALUE"""),"661-13574")</f>
        <v>661-13574</v>
      </c>
      <c r="E2511" s="2" t="str">
        <f>IFERROR(__xludf.DUMMYFUNCTION("""COMPUTED_VALUE"""),"Battery, iPhone 11")</f>
        <v>Battery, iPhone 11</v>
      </c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>
      <c r="A2512" s="10" t="str">
        <f t="shared" si="1"/>
        <v>May</v>
      </c>
      <c r="B2512" s="11">
        <f>IFERROR(__xludf.DUMMYFUNCTION("""COMPUTED_VALUE"""),46149.0)</f>
        <v>46149</v>
      </c>
      <c r="C2512" s="2" t="str">
        <f>IFERROR(__xludf.DUMMYFUNCTION("""COMPUTED_VALUE"""),"MOBILECARE - APP FESTIVAL MALL")</f>
        <v>MOBILECARE - APP FESTIVAL MALL</v>
      </c>
      <c r="D2512" s="2" t="str">
        <f>IFERROR(__xludf.DUMMYFUNCTION("""COMPUTED_VALUE"""),"661-30366")</f>
        <v>661-30366</v>
      </c>
      <c r="E2512" s="2" t="str">
        <f>IFERROR(__xludf.DUMMYFUNCTION("""COMPUTED_VALUE"""),"Display, iPhone 14")</f>
        <v>Display, iPhone 14</v>
      </c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>
      <c r="A2513" s="10" t="str">
        <f t="shared" si="1"/>
        <v>April</v>
      </c>
      <c r="B2513" s="11">
        <f>IFERROR(__xludf.DUMMYFUNCTION("""COMPUTED_VALUE"""),46136.0)</f>
        <v>46136</v>
      </c>
      <c r="C2513" s="2" t="str">
        <f>IFERROR(__xludf.DUMMYFUNCTION("""COMPUTED_VALUE"""),"MOBILECARE - APP FESTIVAL MALL")</f>
        <v>MOBILECARE - APP FESTIVAL MALL</v>
      </c>
      <c r="D2513" s="2" t="str">
        <f>IFERROR(__xludf.DUMMYFUNCTION("""COMPUTED_VALUE"""),"661-21991")</f>
        <v>661-21991</v>
      </c>
      <c r="E2513" s="2" t="str">
        <f>IFERROR(__xludf.DUMMYFUNCTION("""COMPUTED_VALUE"""),"Battery, iPhone 13")</f>
        <v>Battery, iPhone 13</v>
      </c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>
      <c r="A2514" s="10" t="str">
        <f t="shared" si="1"/>
        <v>March</v>
      </c>
      <c r="B2514" s="11">
        <f>IFERROR(__xludf.DUMMYFUNCTION("""COMPUTED_VALUE"""),46109.0)</f>
        <v>46109</v>
      </c>
      <c r="C2514" s="2" t="str">
        <f>IFERROR(__xludf.DUMMYFUNCTION("""COMPUTED_VALUE"""),"MOBILECARE - APP FESTIVAL MALL")</f>
        <v>MOBILECARE - APP FESTIVAL MALL</v>
      </c>
      <c r="D2514" s="2" t="str">
        <f>IFERROR(__xludf.DUMMYFUNCTION("""COMPUTED_VALUE"""),"661-30366")</f>
        <v>661-30366</v>
      </c>
      <c r="E2514" s="2" t="str">
        <f>IFERROR(__xludf.DUMMYFUNCTION("""COMPUTED_VALUE"""),"Display, iPhone 14")</f>
        <v>Display, iPhone 14</v>
      </c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>
      <c r="A2515" s="10" t="str">
        <f t="shared" si="1"/>
        <v>March</v>
      </c>
      <c r="B2515" s="11">
        <f>IFERROR(__xludf.DUMMYFUNCTION("""COMPUTED_VALUE"""),46106.0)</f>
        <v>46106</v>
      </c>
      <c r="C2515" s="2" t="str">
        <f>IFERROR(__xludf.DUMMYFUNCTION("""COMPUTED_VALUE"""),"MOBILECARE - APP FESTIVAL MALL")</f>
        <v>MOBILECARE - APP FESTIVAL MALL</v>
      </c>
      <c r="D2515" s="2" t="str">
        <f>IFERROR(__xludf.DUMMYFUNCTION("""COMPUTED_VALUE"""),"661-21988")</f>
        <v>661-21988</v>
      </c>
      <c r="E2515" s="2" t="str">
        <f>IFERROR(__xludf.DUMMYFUNCTION("""COMPUTED_VALUE"""),"Display, iPhone 13")</f>
        <v>Display, iPhone 13</v>
      </c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>
      <c r="A2516" s="10" t="str">
        <f t="shared" si="1"/>
        <v>March</v>
      </c>
      <c r="B2516" s="11">
        <f>IFERROR(__xludf.DUMMYFUNCTION("""COMPUTED_VALUE"""),46100.0)</f>
        <v>46100</v>
      </c>
      <c r="C2516" s="2" t="str">
        <f>IFERROR(__xludf.DUMMYFUNCTION("""COMPUTED_VALUE"""),"MOBILECARE - APP FESTIVAL MALL")</f>
        <v>MOBILECARE - APP FESTIVAL MALL</v>
      </c>
      <c r="D2516" s="2" t="str">
        <f>IFERROR(__xludf.DUMMYFUNCTION("""COMPUTED_VALUE"""),"661-22294")</f>
        <v>661-22294</v>
      </c>
      <c r="E2516" s="2" t="str">
        <f>IFERROR(__xludf.DUMMYFUNCTION("""COMPUTED_VALUE"""),"Battery, iPhone 13 Pro Max")</f>
        <v>Battery, iPhone 13 Pro Max</v>
      </c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>
      <c r="A2517" s="10" t="str">
        <f t="shared" si="1"/>
        <v>March</v>
      </c>
      <c r="B2517" s="11">
        <f>IFERROR(__xludf.DUMMYFUNCTION("""COMPUTED_VALUE"""),46095.0)</f>
        <v>46095</v>
      </c>
      <c r="C2517" s="2" t="str">
        <f>IFERROR(__xludf.DUMMYFUNCTION("""COMPUTED_VALUE"""),"MOBILECARE - APP FESTIVAL MALL")</f>
        <v>MOBILECARE - APP FESTIVAL MALL</v>
      </c>
      <c r="D2517" s="2" t="str">
        <f>IFERROR(__xludf.DUMMYFUNCTION("""COMPUTED_VALUE"""),"661-21988")</f>
        <v>661-21988</v>
      </c>
      <c r="E2517" s="2" t="str">
        <f>IFERROR(__xludf.DUMMYFUNCTION("""COMPUTED_VALUE"""),"Display, iPhone 13")</f>
        <v>Display, iPhone 13</v>
      </c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>
      <c r="A2518" s="10" t="str">
        <f t="shared" si="1"/>
        <v>March</v>
      </c>
      <c r="B2518" s="11">
        <f>IFERROR(__xludf.DUMMYFUNCTION("""COMPUTED_VALUE"""),46093.0)</f>
        <v>46093</v>
      </c>
      <c r="C2518" s="2" t="str">
        <f>IFERROR(__xludf.DUMMYFUNCTION("""COMPUTED_VALUE"""),"MOBILECARE - APP FESTIVAL MALL")</f>
        <v>MOBILECARE - APP FESTIVAL MALL</v>
      </c>
      <c r="D2518" s="2" t="str">
        <f>IFERROR(__xludf.DUMMYFUNCTION("""COMPUTED_VALUE"""),"661-21988")</f>
        <v>661-21988</v>
      </c>
      <c r="E2518" s="2" t="str">
        <f>IFERROR(__xludf.DUMMYFUNCTION("""COMPUTED_VALUE"""),"Display, iPhone 13")</f>
        <v>Display, iPhone 13</v>
      </c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>
      <c r="A2519" s="10" t="str">
        <f t="shared" si="1"/>
        <v>February</v>
      </c>
      <c r="B2519" s="11">
        <f>IFERROR(__xludf.DUMMYFUNCTION("""COMPUTED_VALUE"""),46067.0)</f>
        <v>46067</v>
      </c>
      <c r="C2519" s="2" t="str">
        <f>IFERROR(__xludf.DUMMYFUNCTION("""COMPUTED_VALUE"""),"MOBILECARE - APP FESTIVAL MALL")</f>
        <v>MOBILECARE - APP FESTIVAL MALL</v>
      </c>
      <c r="D2519" s="2" t="str">
        <f>IFERROR(__xludf.DUMMYFUNCTION("""COMPUTED_VALUE"""),"661-30366")</f>
        <v>661-30366</v>
      </c>
      <c r="E2519" s="2" t="str">
        <f>IFERROR(__xludf.DUMMYFUNCTION("""COMPUTED_VALUE"""),"Display, iPhone 14")</f>
        <v>Display, iPhone 14</v>
      </c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>
      <c r="A2520" s="10" t="str">
        <f t="shared" si="1"/>
        <v>June</v>
      </c>
      <c r="B2520" s="11">
        <f>IFERROR(__xludf.DUMMYFUNCTION("""COMPUTED_VALUE"""),46193.0)</f>
        <v>46193</v>
      </c>
      <c r="C2520" s="2" t="str">
        <f>IFERROR(__xludf.DUMMYFUNCTION("""COMPUTED_VALUE"""),"MOBILECARE - APP FESTIVAL MALL")</f>
        <v>MOBILECARE - APP FESTIVAL MALL</v>
      </c>
      <c r="D2520" s="2" t="str">
        <f>IFERROR(__xludf.DUMMYFUNCTION("""COMPUTED_VALUE"""),"661-30387")</f>
        <v>661-30387</v>
      </c>
      <c r="E2520" s="2" t="str">
        <f>IFERROR(__xludf.DUMMYFUNCTION("""COMPUTED_VALUE"""),"Purple, Back Glass, iPhone 14 Plus")</f>
        <v>Purple, Back Glass, iPhone 14 Plus</v>
      </c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>
      <c r="A2521" s="10" t="str">
        <f t="shared" si="1"/>
        <v>May</v>
      </c>
      <c r="B2521" s="11">
        <f>IFERROR(__xludf.DUMMYFUNCTION("""COMPUTED_VALUE"""),46169.0)</f>
        <v>46169</v>
      </c>
      <c r="C2521" s="2" t="str">
        <f>IFERROR(__xludf.DUMMYFUNCTION("""COMPUTED_VALUE"""),"MOBILECARE - APP FESTIVAL MALL")</f>
        <v>MOBILECARE - APP FESTIVAL MALL</v>
      </c>
      <c r="D2521" s="2" t="str">
        <f>IFERROR(__xludf.DUMMYFUNCTION("""COMPUTED_VALUE"""),"661-44956")</f>
        <v>661-44956</v>
      </c>
      <c r="E2521" s="2" t="str">
        <f>IFERROR(__xludf.DUMMYFUNCTION("""COMPUTED_VALUE"""),"TrueDepth Camera, iPhone 16 Pro Max")</f>
        <v>TrueDepth Camera, iPhone 16 Pro Max</v>
      </c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>
      <c r="A2522" s="10" t="str">
        <f t="shared" si="1"/>
        <v>June</v>
      </c>
      <c r="B2522" s="11">
        <f>IFERROR(__xludf.DUMMYFUNCTION("""COMPUTED_VALUE"""),46185.0)</f>
        <v>46185</v>
      </c>
      <c r="C2522" s="2" t="str">
        <f>IFERROR(__xludf.DUMMYFUNCTION("""COMPUTED_VALUE"""),"MOBILECARE - APP FESTIVAL MALL")</f>
        <v>MOBILECARE - APP FESTIVAL MALL</v>
      </c>
      <c r="D2522" s="2" t="str">
        <f>IFERROR(__xludf.DUMMYFUNCTION("""COMPUTED_VALUE"""),"TA661-36896")</f>
        <v>TA661-36896</v>
      </c>
      <c r="E2522" s="2" t="str">
        <f>IFERROR(__xludf.DUMMYFUNCTION("""COMPUTED_VALUE"""),"Natural, iPhone 15 Pro Max, 256GB, ROW, CI/AR, Taiwan")</f>
        <v>Natural, iPhone 15 Pro Max, 256GB, ROW, CI/AR, Taiwan</v>
      </c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>
      <c r="A2523" s="10" t="str">
        <f t="shared" si="1"/>
        <v>May</v>
      </c>
      <c r="B2523" s="11">
        <f>IFERROR(__xludf.DUMMYFUNCTION("""COMPUTED_VALUE"""),46164.0)</f>
        <v>46164</v>
      </c>
      <c r="C2523" s="2" t="str">
        <f>IFERROR(__xludf.DUMMYFUNCTION("""COMPUTED_VALUE"""),"MOBILECARE - APP FESTIVAL MALL")</f>
        <v>MOBILECARE - APP FESTIVAL MALL</v>
      </c>
      <c r="D2523" s="2" t="str">
        <f>IFERROR(__xludf.DUMMYFUNCTION("""COMPUTED_VALUE"""),"661-22374")</f>
        <v>661-22374</v>
      </c>
      <c r="E2523" s="2" t="str">
        <f>IFERROR(__xludf.DUMMYFUNCTION("""COMPUTED_VALUE"""),"Battery, iPhone 13 mini")</f>
        <v>Battery, iPhone 13 mini</v>
      </c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>
      <c r="A2524" s="10" t="str">
        <f t="shared" si="1"/>
        <v>May</v>
      </c>
      <c r="B2524" s="11">
        <f>IFERROR(__xludf.DUMMYFUNCTION("""COMPUTED_VALUE"""),46153.0)</f>
        <v>46153</v>
      </c>
      <c r="C2524" s="2" t="str">
        <f>IFERROR(__xludf.DUMMYFUNCTION("""COMPUTED_VALUE"""),"MOBILECARE - APP FESTIVAL MALL")</f>
        <v>MOBILECARE - APP FESTIVAL MALL</v>
      </c>
      <c r="D2524" s="2" t="str">
        <f>IFERROR(__xludf.DUMMYFUNCTION("""COMPUTED_VALUE"""),"661-56125")</f>
        <v>661-56125</v>
      </c>
      <c r="E2524" s="2" t="str">
        <f>IFERROR(__xludf.DUMMYFUNCTION("""COMPUTED_VALUE"""),"Display, iPhone 17 Pro")</f>
        <v>Display, iPhone 17 Pro</v>
      </c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>
      <c r="A2525" s="10" t="str">
        <f t="shared" si="1"/>
        <v>May</v>
      </c>
      <c r="B2525" s="11">
        <f>IFERROR(__xludf.DUMMYFUNCTION("""COMPUTED_VALUE"""),46145.0)</f>
        <v>46145</v>
      </c>
      <c r="C2525" s="2" t="str">
        <f>IFERROR(__xludf.DUMMYFUNCTION("""COMPUTED_VALUE"""),"MOBILECARE - APP FESTIVAL MALL")</f>
        <v>MOBILECARE - APP FESTIVAL MALL</v>
      </c>
      <c r="D2525" s="2" t="str">
        <f>IFERROR(__xludf.DUMMYFUNCTION("""COMPUTED_VALUE"""),"661-21991")</f>
        <v>661-21991</v>
      </c>
      <c r="E2525" s="2" t="str">
        <f>IFERROR(__xludf.DUMMYFUNCTION("""COMPUTED_VALUE"""),"Battery, iPhone 13")</f>
        <v>Battery, iPhone 13</v>
      </c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>
      <c r="A2526" s="10" t="str">
        <f t="shared" si="1"/>
        <v>April</v>
      </c>
      <c r="B2526" s="11">
        <f>IFERROR(__xludf.DUMMYFUNCTION("""COMPUTED_VALUE"""),46118.0)</f>
        <v>46118</v>
      </c>
      <c r="C2526" s="2" t="str">
        <f>IFERROR(__xludf.DUMMYFUNCTION("""COMPUTED_VALUE"""),"MOBILECARE - APP FESTIVAL MALL")</f>
        <v>MOBILECARE - APP FESTIVAL MALL</v>
      </c>
      <c r="D2526" s="2" t="str">
        <f>IFERROR(__xludf.DUMMYFUNCTION("""COMPUTED_VALUE"""),"661-56050")</f>
        <v>661-56050</v>
      </c>
      <c r="E2526" s="2" t="str">
        <f>IFERROR(__xludf.DUMMYFUNCTION("""COMPUTED_VALUE"""),"Display, iPhone 17 Pro Max")</f>
        <v>Display, iPhone 17 Pro Max</v>
      </c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>
      <c r="A2527" s="10" t="str">
        <f t="shared" si="1"/>
        <v>February</v>
      </c>
      <c r="B2527" s="11">
        <f>IFERROR(__xludf.DUMMYFUNCTION("""COMPUTED_VALUE"""),46081.0)</f>
        <v>46081</v>
      </c>
      <c r="C2527" s="2" t="str">
        <f>IFERROR(__xludf.DUMMYFUNCTION("""COMPUTED_VALUE"""),"MOBILECARE - APP FESTIVAL MALL")</f>
        <v>MOBILECARE - APP FESTIVAL MALL</v>
      </c>
      <c r="D2527" s="2" t="str">
        <f>IFERROR(__xludf.DUMMYFUNCTION("""COMPUTED_VALUE"""),"661-21991")</f>
        <v>661-21991</v>
      </c>
      <c r="E2527" s="2" t="str">
        <f>IFERROR(__xludf.DUMMYFUNCTION("""COMPUTED_VALUE"""),"Battery, iPhone 13")</f>
        <v>Battery, iPhone 13</v>
      </c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>
      <c r="A2528" s="10" t="str">
        <f t="shared" si="1"/>
        <v>March</v>
      </c>
      <c r="B2528" s="11">
        <f>IFERROR(__xludf.DUMMYFUNCTION("""COMPUTED_VALUE"""),46088.0)</f>
        <v>46088</v>
      </c>
      <c r="C2528" s="2" t="str">
        <f>IFERROR(__xludf.DUMMYFUNCTION("""COMPUTED_VALUE"""),"MOBILECARE - APP FESTIVAL MALL")</f>
        <v>MOBILECARE - APP FESTIVAL MALL</v>
      </c>
      <c r="D2528" s="2" t="str">
        <f>IFERROR(__xludf.DUMMYFUNCTION("""COMPUTED_VALUE"""),"661-22309")</f>
        <v>661-22309</v>
      </c>
      <c r="E2528" s="2" t="str">
        <f>IFERROR(__xludf.DUMMYFUNCTION("""COMPUTED_VALUE"""),"Display, iPhone 13 Pro Max")</f>
        <v>Display, iPhone 13 Pro Max</v>
      </c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>
      <c r="A2529" s="10" t="str">
        <f t="shared" si="1"/>
        <v>February</v>
      </c>
      <c r="B2529" s="11">
        <f>IFERROR(__xludf.DUMMYFUNCTION("""COMPUTED_VALUE"""),46056.0)</f>
        <v>46056</v>
      </c>
      <c r="C2529" s="2" t="str">
        <f>IFERROR(__xludf.DUMMYFUNCTION("""COMPUTED_VALUE"""),"MOBILECARE - APP FESTIVAL MALL")</f>
        <v>MOBILECARE - APP FESTIVAL MALL</v>
      </c>
      <c r="D2529" s="2" t="str">
        <f>IFERROR(__xludf.DUMMYFUNCTION("""COMPUTED_VALUE"""),"661-42726")</f>
        <v>661-42726</v>
      </c>
      <c r="E2529" s="2" t="str">
        <f>IFERROR(__xludf.DUMMYFUNCTION("""COMPUTED_VALUE"""),"Display, iPhone 16 Pro")</f>
        <v>Display, iPhone 16 Pro</v>
      </c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>
      <c r="A2530" s="10" t="str">
        <f t="shared" si="1"/>
        <v>January</v>
      </c>
      <c r="B2530" s="11">
        <f>IFERROR(__xludf.DUMMYFUNCTION("""COMPUTED_VALUE"""),46040.0)</f>
        <v>46040</v>
      </c>
      <c r="C2530" s="2" t="str">
        <f>IFERROR(__xludf.DUMMYFUNCTION("""COMPUTED_VALUE"""),"MOBILECARE - APP FESTIVAL MALL")</f>
        <v>MOBILECARE - APP FESTIVAL MALL</v>
      </c>
      <c r="D2530" s="2" t="str">
        <f>IFERROR(__xludf.DUMMYFUNCTION("""COMPUTED_VALUE"""),"661-22309")</f>
        <v>661-22309</v>
      </c>
      <c r="E2530" s="2" t="str">
        <f>IFERROR(__xludf.DUMMYFUNCTION("""COMPUTED_VALUE"""),"Display, iPhone 13 Pro Max")</f>
        <v>Display, iPhone 13 Pro Max</v>
      </c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>
      <c r="A2531" s="10" t="str">
        <f t="shared" si="1"/>
        <v>January</v>
      </c>
      <c r="B2531" s="11">
        <f>IFERROR(__xludf.DUMMYFUNCTION("""COMPUTED_VALUE"""),46052.0)</f>
        <v>46052</v>
      </c>
      <c r="C2531" s="2" t="str">
        <f>IFERROR(__xludf.DUMMYFUNCTION("""COMPUTED_VALUE"""),"MOBILECARE - APP FESTIVAL MALL")</f>
        <v>MOBILECARE - APP FESTIVAL MALL</v>
      </c>
      <c r="D2531" s="2" t="str">
        <f>IFERROR(__xludf.DUMMYFUNCTION("""COMPUTED_VALUE"""),"661-17920")</f>
        <v>661-17920</v>
      </c>
      <c r="E2531" s="2" t="str">
        <f>IFERROR(__xludf.DUMMYFUNCTION("""COMPUTED_VALUE"""),"Battery, iPhone 12 and 12 Pro")</f>
        <v>Battery, iPhone 12 and 12 Pro</v>
      </c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>
      <c r="A2532" s="10" t="str">
        <f t="shared" si="1"/>
        <v>June</v>
      </c>
      <c r="B2532" s="11">
        <f>IFERROR(__xludf.DUMMYFUNCTION("""COMPUTED_VALUE"""),46186.0)</f>
        <v>46186</v>
      </c>
      <c r="C2532" s="2" t="str">
        <f>IFERROR(__xludf.DUMMYFUNCTION("""COMPUTED_VALUE"""),"MOBILECARE - APP FESTIVAL MALL")</f>
        <v>MOBILECARE - APP FESTIVAL MALL</v>
      </c>
      <c r="D2532" s="2" t="str">
        <f>IFERROR(__xludf.DUMMYFUNCTION("""COMPUTED_VALUE"""),"661-56050")</f>
        <v>661-56050</v>
      </c>
      <c r="E2532" s="2" t="str">
        <f>IFERROR(__xludf.DUMMYFUNCTION("""COMPUTED_VALUE"""),"Display, iPhone 17 Pro Max")</f>
        <v>Display, iPhone 17 Pro Max</v>
      </c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>
      <c r="A2533" s="10" t="str">
        <f t="shared" si="1"/>
        <v>June</v>
      </c>
      <c r="B2533" s="11">
        <f>IFERROR(__xludf.DUMMYFUNCTION("""COMPUTED_VALUE"""),46185.0)</f>
        <v>46185</v>
      </c>
      <c r="C2533" s="2" t="str">
        <f>IFERROR(__xludf.DUMMYFUNCTION("""COMPUTED_VALUE"""),"MOBILECARE - APP FESTIVAL MALL")</f>
        <v>MOBILECARE - APP FESTIVAL MALL</v>
      </c>
      <c r="D2533" s="2" t="str">
        <f>IFERROR(__xludf.DUMMYFUNCTION("""COMPUTED_VALUE"""),"661-21996")</f>
        <v>661-21996</v>
      </c>
      <c r="E2533" s="2" t="str">
        <f>IFERROR(__xludf.DUMMYFUNCTION("""COMPUTED_VALUE"""),"Battery, iPhone 13 Pro")</f>
        <v>Battery, iPhone 13 Pro</v>
      </c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>
      <c r="A2534" s="10" t="str">
        <f t="shared" si="1"/>
        <v>May</v>
      </c>
      <c r="B2534" s="11">
        <f>IFERROR(__xludf.DUMMYFUNCTION("""COMPUTED_VALUE"""),46169.0)</f>
        <v>46169</v>
      </c>
      <c r="C2534" s="2" t="str">
        <f>IFERROR(__xludf.DUMMYFUNCTION("""COMPUTED_VALUE"""),"MOBILECARE - APP FESTIVAL MALL")</f>
        <v>MOBILECARE - APP FESTIVAL MALL</v>
      </c>
      <c r="D2534" s="2" t="str">
        <f>IFERROR(__xludf.DUMMYFUNCTION("""COMPUTED_VALUE"""),"661-30393")</f>
        <v>661-30393</v>
      </c>
      <c r="E2534" s="2" t="str">
        <f>IFERROR(__xludf.DUMMYFUNCTION("""COMPUTED_VALUE"""),"Camera, iPhone 14 Plus")</f>
        <v>Camera, iPhone 14 Plus</v>
      </c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>
      <c r="A2535" s="10" t="str">
        <f t="shared" si="1"/>
        <v>April</v>
      </c>
      <c r="B2535" s="11">
        <f>IFERROR(__xludf.DUMMYFUNCTION("""COMPUTED_VALUE"""),46134.0)</f>
        <v>46134</v>
      </c>
      <c r="C2535" s="2" t="str">
        <f>IFERROR(__xludf.DUMMYFUNCTION("""COMPUTED_VALUE"""),"MOBILECARE - APP FESTIVAL MALL")</f>
        <v>MOBILECARE - APP FESTIVAL MALL</v>
      </c>
      <c r="D2535" s="2" t="str">
        <f>IFERROR(__xludf.DUMMYFUNCTION("""COMPUTED_VALUE"""),"661-56050")</f>
        <v>661-56050</v>
      </c>
      <c r="E2535" s="2" t="str">
        <f>IFERROR(__xludf.DUMMYFUNCTION("""COMPUTED_VALUE"""),"Display, iPhone 17 Pro Max")</f>
        <v>Display, iPhone 17 Pro Max</v>
      </c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>
      <c r="A2536" s="10" t="str">
        <f t="shared" si="1"/>
        <v>April</v>
      </c>
      <c r="B2536" s="11">
        <f>IFERROR(__xludf.DUMMYFUNCTION("""COMPUTED_VALUE"""),46141.0)</f>
        <v>46141</v>
      </c>
      <c r="C2536" s="2" t="str">
        <f>IFERROR(__xludf.DUMMYFUNCTION("""COMPUTED_VALUE"""),"MOBILECARE - APP FESTIVAL MALL")</f>
        <v>MOBILECARE - APP FESTIVAL MALL</v>
      </c>
      <c r="D2536" s="2" t="str">
        <f>IFERROR(__xludf.DUMMYFUNCTION("""COMPUTED_VALUE"""),"661-21991")</f>
        <v>661-21991</v>
      </c>
      <c r="E2536" s="2" t="str">
        <f>IFERROR(__xludf.DUMMYFUNCTION("""COMPUTED_VALUE"""),"Battery, iPhone 13")</f>
        <v>Battery, iPhone 13</v>
      </c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>
      <c r="A2537" s="10" t="str">
        <f t="shared" si="1"/>
        <v>April</v>
      </c>
      <c r="B2537" s="11">
        <f>IFERROR(__xludf.DUMMYFUNCTION("""COMPUTED_VALUE"""),46142.0)</f>
        <v>46142</v>
      </c>
      <c r="C2537" s="2" t="str">
        <f>IFERROR(__xludf.DUMMYFUNCTION("""COMPUTED_VALUE"""),"MOBILECARE - APP FESTIVAL MALL")</f>
        <v>MOBILECARE - APP FESTIVAL MALL</v>
      </c>
      <c r="D2537" s="2" t="str">
        <f>IFERROR(__xludf.DUMMYFUNCTION("""COMPUTED_VALUE"""),"661-30373")</f>
        <v>661-30373</v>
      </c>
      <c r="E2537" s="2" t="str">
        <f>IFERROR(__xludf.DUMMYFUNCTION("""COMPUTED_VALUE"""),"Battery, iPhone 14")</f>
        <v>Battery, iPhone 14</v>
      </c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>
      <c r="A2538" s="10" t="str">
        <f t="shared" si="1"/>
        <v>April</v>
      </c>
      <c r="B2538" s="11">
        <f>IFERROR(__xludf.DUMMYFUNCTION("""COMPUTED_VALUE"""),46142.0)</f>
        <v>46142</v>
      </c>
      <c r="C2538" s="2" t="str">
        <f>IFERROR(__xludf.DUMMYFUNCTION("""COMPUTED_VALUE"""),"MOBILECARE - APP FESTIVAL MALL")</f>
        <v>MOBILECARE - APP FESTIVAL MALL</v>
      </c>
      <c r="D2538" s="2" t="str">
        <f>IFERROR(__xludf.DUMMYFUNCTION("""COMPUTED_VALUE"""),"661-42726")</f>
        <v>661-42726</v>
      </c>
      <c r="E2538" s="2" t="str">
        <f>IFERROR(__xludf.DUMMYFUNCTION("""COMPUTED_VALUE"""),"Display, iPhone 16 Pro")</f>
        <v>Display, iPhone 16 Pro</v>
      </c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>
      <c r="A2539" s="10" t="str">
        <f t="shared" si="1"/>
        <v>March</v>
      </c>
      <c r="B2539" s="11">
        <f>IFERROR(__xludf.DUMMYFUNCTION("""COMPUTED_VALUE"""),46102.0)</f>
        <v>46102</v>
      </c>
      <c r="C2539" s="2" t="str">
        <f>IFERROR(__xludf.DUMMYFUNCTION("""COMPUTED_VALUE"""),"MOBILECARE - APP FESTIVAL MALL")</f>
        <v>MOBILECARE - APP FESTIVAL MALL</v>
      </c>
      <c r="D2539" s="2" t="str">
        <f>IFERROR(__xludf.DUMMYFUNCTION("""COMPUTED_VALUE"""),"661-42728")</f>
        <v>661-42728</v>
      </c>
      <c r="E2539" s="2" t="str">
        <f>IFERROR(__xludf.DUMMYFUNCTION("""COMPUTED_VALUE"""),"Camera, iPhone 16 Pro")</f>
        <v>Camera, iPhone 16 Pro</v>
      </c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>
      <c r="A2540" s="10" t="str">
        <f t="shared" si="1"/>
        <v>March</v>
      </c>
      <c r="B2540" s="11">
        <f>IFERROR(__xludf.DUMMYFUNCTION("""COMPUTED_VALUE"""),46092.0)</f>
        <v>46092</v>
      </c>
      <c r="C2540" s="2" t="str">
        <f>IFERROR(__xludf.DUMMYFUNCTION("""COMPUTED_VALUE"""),"MOBILECARE - APP FESTIVAL MALL")</f>
        <v>MOBILECARE - APP FESTIVAL MALL</v>
      </c>
      <c r="D2540" s="2" t="str">
        <f>IFERROR(__xludf.DUMMYFUNCTION("""COMPUTED_VALUE"""),"661-21991")</f>
        <v>661-21991</v>
      </c>
      <c r="E2540" s="2" t="str">
        <f>IFERROR(__xludf.DUMMYFUNCTION("""COMPUTED_VALUE"""),"Battery, iPhone 13")</f>
        <v>Battery, iPhone 13</v>
      </c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>
      <c r="A2541" s="10" t="str">
        <f t="shared" si="1"/>
        <v>March</v>
      </c>
      <c r="B2541" s="11">
        <f>IFERROR(__xludf.DUMMYFUNCTION("""COMPUTED_VALUE"""),46088.0)</f>
        <v>46088</v>
      </c>
      <c r="C2541" s="2" t="str">
        <f>IFERROR(__xludf.DUMMYFUNCTION("""COMPUTED_VALUE"""),"MOBILECARE - APP FESTIVAL MALL")</f>
        <v>MOBILECARE - APP FESTIVAL MALL</v>
      </c>
      <c r="D2541" s="2" t="str">
        <f>IFERROR(__xludf.DUMMYFUNCTION("""COMPUTED_VALUE"""),"661-17920")</f>
        <v>661-17920</v>
      </c>
      <c r="E2541" s="2" t="str">
        <f>IFERROR(__xludf.DUMMYFUNCTION("""COMPUTED_VALUE"""),"Battery, iPhone 12 and 12 Pro")</f>
        <v>Battery, iPhone 12 and 12 Pro</v>
      </c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>
      <c r="A2542" s="10" t="str">
        <f t="shared" si="1"/>
        <v>February</v>
      </c>
      <c r="B2542" s="11">
        <f>IFERROR(__xludf.DUMMYFUNCTION("""COMPUTED_VALUE"""),46071.0)</f>
        <v>46071</v>
      </c>
      <c r="C2542" s="2" t="str">
        <f>IFERROR(__xludf.DUMMYFUNCTION("""COMPUTED_VALUE"""),"MOBILECARE - APP FESTIVAL MALL")</f>
        <v>MOBILECARE - APP FESTIVAL MALL</v>
      </c>
      <c r="D2542" s="2" t="str">
        <f>IFERROR(__xludf.DUMMYFUNCTION("""COMPUTED_VALUE"""),"661-42726")</f>
        <v>661-42726</v>
      </c>
      <c r="E2542" s="2" t="str">
        <f>IFERROR(__xludf.DUMMYFUNCTION("""COMPUTED_VALUE"""),"Display, iPhone 16 Pro")</f>
        <v>Display, iPhone 16 Pro</v>
      </c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>
      <c r="A2543" s="10" t="str">
        <f t="shared" si="1"/>
        <v>January</v>
      </c>
      <c r="B2543" s="11">
        <f>IFERROR(__xludf.DUMMYFUNCTION("""COMPUTED_VALUE"""),46053.0)</f>
        <v>46053</v>
      </c>
      <c r="C2543" s="2" t="str">
        <f>IFERROR(__xludf.DUMMYFUNCTION("""COMPUTED_VALUE"""),"MOBILECARE - APP FESTIVAL MALL")</f>
        <v>MOBILECARE - APP FESTIVAL MALL</v>
      </c>
      <c r="D2543" s="2" t="str">
        <f>IFERROR(__xludf.DUMMYFUNCTION("""COMPUTED_VALUE"""),"661-21996")</f>
        <v>661-21996</v>
      </c>
      <c r="E2543" s="2" t="str">
        <f>IFERROR(__xludf.DUMMYFUNCTION("""COMPUTED_VALUE"""),"Battery, iPhone 13 Pro")</f>
        <v>Battery, iPhone 13 Pro</v>
      </c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>
      <c r="A2544" s="10" t="str">
        <f t="shared" si="1"/>
        <v>January</v>
      </c>
      <c r="B2544" s="11">
        <f>IFERROR(__xludf.DUMMYFUNCTION("""COMPUTED_VALUE"""),46052.0)</f>
        <v>46052</v>
      </c>
      <c r="C2544" s="2" t="str">
        <f>IFERROR(__xludf.DUMMYFUNCTION("""COMPUTED_VALUE"""),"MOBILECARE - APP FESTIVAL MALL")</f>
        <v>MOBILECARE - APP FESTIVAL MALL</v>
      </c>
      <c r="D2544" s="2" t="str">
        <f>IFERROR(__xludf.DUMMYFUNCTION("""COMPUTED_VALUE"""),"661-21991")</f>
        <v>661-21991</v>
      </c>
      <c r="E2544" s="2" t="str">
        <f>IFERROR(__xludf.DUMMYFUNCTION("""COMPUTED_VALUE"""),"Battery, iPhone 13")</f>
        <v>Battery, iPhone 13</v>
      </c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>
      <c r="A2545" s="10" t="str">
        <f t="shared" si="1"/>
        <v>January</v>
      </c>
      <c r="B2545" s="11">
        <f>IFERROR(__xludf.DUMMYFUNCTION("""COMPUTED_VALUE"""),46052.0)</f>
        <v>46052</v>
      </c>
      <c r="C2545" s="2" t="str">
        <f>IFERROR(__xludf.DUMMYFUNCTION("""COMPUTED_VALUE"""),"MOBILECARE - APP FESTIVAL MALL")</f>
        <v>MOBILECARE - APP FESTIVAL MALL</v>
      </c>
      <c r="D2545" s="2" t="str">
        <f>IFERROR(__xludf.DUMMYFUNCTION("""COMPUTED_VALUE"""),"661-17920")</f>
        <v>661-17920</v>
      </c>
      <c r="E2545" s="2" t="str">
        <f>IFERROR(__xludf.DUMMYFUNCTION("""COMPUTED_VALUE"""),"Battery, iPhone 12 and 12 Pro")</f>
        <v>Battery, iPhone 12 and 12 Pro</v>
      </c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>
      <c r="A2546" s="10" t="str">
        <f t="shared" si="1"/>
        <v>January</v>
      </c>
      <c r="B2546" s="11">
        <f>IFERROR(__xludf.DUMMYFUNCTION("""COMPUTED_VALUE"""),46048.0)</f>
        <v>46048</v>
      </c>
      <c r="C2546" s="2" t="str">
        <f>IFERROR(__xludf.DUMMYFUNCTION("""COMPUTED_VALUE"""),"MOBILECARE - APP FESTIVAL MALL")</f>
        <v>MOBILECARE - APP FESTIVAL MALL</v>
      </c>
      <c r="D2546" s="2" t="str">
        <f>IFERROR(__xludf.DUMMYFUNCTION("""COMPUTED_VALUE"""),"661-44955")</f>
        <v>661-44955</v>
      </c>
      <c r="E2546" s="2" t="str">
        <f>IFERROR(__xludf.DUMMYFUNCTION("""COMPUTED_VALUE"""),"Display, iPhone 16 Pro Max")</f>
        <v>Display, iPhone 16 Pro Max</v>
      </c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>
      <c r="A2547" s="10" t="str">
        <f t="shared" si="1"/>
        <v>June</v>
      </c>
      <c r="B2547" s="11">
        <f>IFERROR(__xludf.DUMMYFUNCTION("""COMPUTED_VALUE"""),46193.0)</f>
        <v>46193</v>
      </c>
      <c r="C2547" s="2" t="str">
        <f>IFERROR(__xludf.DUMMYFUNCTION("""COMPUTED_VALUE"""),"MOBILECARE - APP FESTIVAL MALL")</f>
        <v>MOBILECARE - APP FESTIVAL MALL</v>
      </c>
      <c r="D2547" s="2" t="str">
        <f>IFERROR(__xludf.DUMMYFUNCTION("""COMPUTED_VALUE"""),"661-21991")</f>
        <v>661-21991</v>
      </c>
      <c r="E2547" s="2" t="str">
        <f>IFERROR(__xludf.DUMMYFUNCTION("""COMPUTED_VALUE"""),"Battery, iPhone 13")</f>
        <v>Battery, iPhone 13</v>
      </c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>
      <c r="A2548" s="10" t="str">
        <f t="shared" si="1"/>
        <v>May</v>
      </c>
      <c r="B2548" s="11">
        <f>IFERROR(__xludf.DUMMYFUNCTION("""COMPUTED_VALUE"""),46169.0)</f>
        <v>46169</v>
      </c>
      <c r="C2548" s="2" t="str">
        <f>IFERROR(__xludf.DUMMYFUNCTION("""COMPUTED_VALUE"""),"MOBILECARE - APP FESTIVAL MALL")</f>
        <v>MOBILECARE - APP FESTIVAL MALL</v>
      </c>
      <c r="D2548" s="2" t="str">
        <f>IFERROR(__xludf.DUMMYFUNCTION("""COMPUTED_VALUE"""),"661-30401")</f>
        <v>661-30401</v>
      </c>
      <c r="E2548" s="2" t="str">
        <f>IFERROR(__xludf.DUMMYFUNCTION("""COMPUTED_VALUE"""),"Display, iPhone 14 Pro Max")</f>
        <v>Display, iPhone 14 Pro Max</v>
      </c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>
      <c r="A2549" s="10" t="str">
        <f t="shared" si="1"/>
        <v>May</v>
      </c>
      <c r="B2549" s="11">
        <f>IFERROR(__xludf.DUMMYFUNCTION("""COMPUTED_VALUE"""),46165.0)</f>
        <v>46165</v>
      </c>
      <c r="C2549" s="2" t="str">
        <f>IFERROR(__xludf.DUMMYFUNCTION("""COMPUTED_VALUE"""),"MOBILECARE - APP FESTIVAL MALL")</f>
        <v>MOBILECARE - APP FESTIVAL MALL</v>
      </c>
      <c r="D2549" s="2" t="str">
        <f>IFERROR(__xludf.DUMMYFUNCTION("""COMPUTED_VALUE"""),"661-21991")</f>
        <v>661-21991</v>
      </c>
      <c r="E2549" s="2" t="str">
        <f>IFERROR(__xludf.DUMMYFUNCTION("""COMPUTED_VALUE"""),"Battery, iPhone 13")</f>
        <v>Battery, iPhone 13</v>
      </c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>
      <c r="A2550" s="10" t="str">
        <f t="shared" si="1"/>
        <v>May</v>
      </c>
      <c r="B2550" s="11">
        <f>IFERROR(__xludf.DUMMYFUNCTION("""COMPUTED_VALUE"""),46160.0)</f>
        <v>46160</v>
      </c>
      <c r="C2550" s="2" t="str">
        <f>IFERROR(__xludf.DUMMYFUNCTION("""COMPUTED_VALUE"""),"MOBILECARE - APP FESTIVAL MALL")</f>
        <v>MOBILECARE - APP FESTIVAL MALL</v>
      </c>
      <c r="D2550" s="2" t="str">
        <f>IFERROR(__xludf.DUMMYFUNCTION("""COMPUTED_VALUE"""),"661-25890")</f>
        <v>661-25890</v>
      </c>
      <c r="E2550" s="2" t="str">
        <f>IFERROR(__xludf.DUMMYFUNCTION("""COMPUTED_VALUE"""),"Battery, iPhone SE 3rd generation")</f>
        <v>Battery, iPhone SE 3rd generation</v>
      </c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>
      <c r="A2551" s="10" t="str">
        <f t="shared" si="1"/>
        <v>June</v>
      </c>
      <c r="B2551" s="11">
        <f>IFERROR(__xludf.DUMMYFUNCTION("""COMPUTED_VALUE"""),46186.0)</f>
        <v>46186</v>
      </c>
      <c r="C2551" s="2" t="str">
        <f>IFERROR(__xludf.DUMMYFUNCTION("""COMPUTED_VALUE"""),"MOBILECARE - APP FESTIVAL MALL")</f>
        <v>MOBILECARE - APP FESTIVAL MALL</v>
      </c>
      <c r="D2551" s="2" t="str">
        <f>IFERROR(__xludf.DUMMYFUNCTION("""COMPUTED_VALUE"""),"TA661-55214")</f>
        <v>TA661-55214</v>
      </c>
      <c r="E2551" s="2" t="str">
        <f>IFERROR(__xludf.DUMMYFUNCTION("""COMPUTED_VALUE"""),"Deep Blue, 1TB, iPhone 17 Pro Max, ROW, CI/AR, Taiwan")</f>
        <v>Deep Blue, 1TB, iPhone 17 Pro Max, ROW, CI/AR, Taiwan</v>
      </c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>
      <c r="A2552" s="10" t="str">
        <f t="shared" si="1"/>
        <v>April</v>
      </c>
      <c r="B2552" s="11">
        <f>IFERROR(__xludf.DUMMYFUNCTION("""COMPUTED_VALUE"""),46133.0)</f>
        <v>46133</v>
      </c>
      <c r="C2552" s="2" t="str">
        <f>IFERROR(__xludf.DUMMYFUNCTION("""COMPUTED_VALUE"""),"MOBILECARE - APP FESTIVAL MALL")</f>
        <v>MOBILECARE - APP FESTIVAL MALL</v>
      </c>
      <c r="D2552" s="2" t="str">
        <f>IFERROR(__xludf.DUMMYFUNCTION("""COMPUTED_VALUE"""),"661-13574")</f>
        <v>661-13574</v>
      </c>
      <c r="E2552" s="2" t="str">
        <f>IFERROR(__xludf.DUMMYFUNCTION("""COMPUTED_VALUE"""),"Battery, iPhone 11")</f>
        <v>Battery, iPhone 11</v>
      </c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>
      <c r="A2553" s="10" t="str">
        <f t="shared" si="1"/>
        <v>March</v>
      </c>
      <c r="B2553" s="11">
        <f>IFERROR(__xludf.DUMMYFUNCTION("""COMPUTED_VALUE"""),46106.0)</f>
        <v>46106</v>
      </c>
      <c r="C2553" s="2" t="str">
        <f>IFERROR(__xludf.DUMMYFUNCTION("""COMPUTED_VALUE"""),"MOBILECARE - APP FESTIVAL MALL")</f>
        <v>MOBILECARE - APP FESTIVAL MALL</v>
      </c>
      <c r="D2553" s="2" t="str">
        <f>IFERROR(__xludf.DUMMYFUNCTION("""COMPUTED_VALUE"""),"661-30382")</f>
        <v>661-30382</v>
      </c>
      <c r="E2553" s="2" t="str">
        <f>IFERROR(__xludf.DUMMYFUNCTION("""COMPUTED_VALUE"""),"Battery, iPhone 14 Pro")</f>
        <v>Battery, iPhone 14 Pro</v>
      </c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>
      <c r="A2554" s="10" t="str">
        <f t="shared" si="1"/>
        <v>March</v>
      </c>
      <c r="B2554" s="11">
        <f>IFERROR(__xludf.DUMMYFUNCTION("""COMPUTED_VALUE"""),46087.0)</f>
        <v>46087</v>
      </c>
      <c r="C2554" s="2" t="str">
        <f>IFERROR(__xludf.DUMMYFUNCTION("""COMPUTED_VALUE"""),"MOBILECARE - APP FESTIVAL MALL")</f>
        <v>MOBILECARE - APP FESTIVAL MALL</v>
      </c>
      <c r="D2554" s="2" t="str">
        <f>IFERROR(__xludf.DUMMYFUNCTION("""COMPUTED_VALUE"""),"661-44957")</f>
        <v>661-44957</v>
      </c>
      <c r="E2554" s="2" t="str">
        <f>IFERROR(__xludf.DUMMYFUNCTION("""COMPUTED_VALUE"""),"Camera, iPhone 16 Pro Max")</f>
        <v>Camera, iPhone 16 Pro Max</v>
      </c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>
      <c r="A2555" s="10" t="str">
        <f t="shared" si="1"/>
        <v>March</v>
      </c>
      <c r="B2555" s="11">
        <f>IFERROR(__xludf.DUMMYFUNCTION("""COMPUTED_VALUE"""),46093.0)</f>
        <v>46093</v>
      </c>
      <c r="C2555" s="2" t="str">
        <f>IFERROR(__xludf.DUMMYFUNCTION("""COMPUTED_VALUE"""),"MOBILECARE - APP FESTIVAL MALL")</f>
        <v>MOBILECARE - APP FESTIVAL MALL</v>
      </c>
      <c r="D2555" s="2" t="str">
        <f>IFERROR(__xludf.DUMMYFUNCTION("""COMPUTED_VALUE"""),"661-36918")</f>
        <v>661-36918</v>
      </c>
      <c r="E2555" s="2" t="str">
        <f>IFERROR(__xludf.DUMMYFUNCTION("""COMPUTED_VALUE"""),"Battery, iPhone 15 Pro Max")</f>
        <v>Battery, iPhone 15 Pro Max</v>
      </c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>
      <c r="A2556" s="10" t="str">
        <f t="shared" si="1"/>
        <v>January</v>
      </c>
      <c r="B2556" s="11">
        <f>IFERROR(__xludf.DUMMYFUNCTION("""COMPUTED_VALUE"""),46051.0)</f>
        <v>46051</v>
      </c>
      <c r="C2556" s="2" t="str">
        <f>IFERROR(__xludf.DUMMYFUNCTION("""COMPUTED_VALUE"""),"MOBILECARE - APP FESTIVAL MALL")</f>
        <v>MOBILECARE - APP FESTIVAL MALL</v>
      </c>
      <c r="D2556" s="2" t="str">
        <f>IFERROR(__xludf.DUMMYFUNCTION("""COMPUTED_VALUE"""),"661-22294")</f>
        <v>661-22294</v>
      </c>
      <c r="E2556" s="2" t="str">
        <f>IFERROR(__xludf.DUMMYFUNCTION("""COMPUTED_VALUE"""),"Battery, iPhone 13 Pro Max")</f>
        <v>Battery, iPhone 13 Pro Max</v>
      </c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>
      <c r="A2557" s="10" t="str">
        <f t="shared" si="1"/>
        <v>March</v>
      </c>
      <c r="B2557" s="11">
        <f>IFERROR(__xludf.DUMMYFUNCTION("""COMPUTED_VALUE"""),46084.0)</f>
        <v>46084</v>
      </c>
      <c r="C2557" s="2" t="str">
        <f>IFERROR(__xludf.DUMMYFUNCTION("""COMPUTED_VALUE"""),"MOBILECARE - APP FESTIVAL MALL")</f>
        <v>MOBILECARE - APP FESTIVAL MALL</v>
      </c>
      <c r="D2557" s="2" t="str">
        <f>IFERROR(__xludf.DUMMYFUNCTION("""COMPUTED_VALUE"""),"PP661-17623")</f>
        <v>PP661-17623</v>
      </c>
      <c r="E2557" s="2" t="str">
        <f>IFERROR(__xludf.DUMMYFUNCTION("""COMPUTED_VALUE"""),"Pacific Blue, 128GB, iPhone 12 Pro Max, ROW, Philippines, CI/AR")</f>
        <v>Pacific Blue, 128GB, iPhone 12 Pro Max, ROW, Philippines, CI/AR</v>
      </c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>
      <c r="A2558" s="10" t="str">
        <f t="shared" si="1"/>
        <v>January</v>
      </c>
      <c r="B2558" s="11">
        <f>IFERROR(__xludf.DUMMYFUNCTION("""COMPUTED_VALUE"""),46048.0)</f>
        <v>46048</v>
      </c>
      <c r="C2558" s="2" t="str">
        <f>IFERROR(__xludf.DUMMYFUNCTION("""COMPUTED_VALUE"""),"MOBILECARE - APP FESTIVAL MALL")</f>
        <v>MOBILECARE - APP FESTIVAL MALL</v>
      </c>
      <c r="D2558" s="2" t="str">
        <f>IFERROR(__xludf.DUMMYFUNCTION("""COMPUTED_VALUE"""),"661-22294")</f>
        <v>661-22294</v>
      </c>
      <c r="E2558" s="2" t="str">
        <f>IFERROR(__xludf.DUMMYFUNCTION("""COMPUTED_VALUE"""),"Battery, iPhone 13 Pro Max")</f>
        <v>Battery, iPhone 13 Pro Max</v>
      </c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>
      <c r="A2559" s="10" t="str">
        <f t="shared" si="1"/>
        <v>January</v>
      </c>
      <c r="B2559" s="11">
        <f>IFERROR(__xludf.DUMMYFUNCTION("""COMPUTED_VALUE"""),46048.0)</f>
        <v>46048</v>
      </c>
      <c r="C2559" s="2" t="str">
        <f>IFERROR(__xludf.DUMMYFUNCTION("""COMPUTED_VALUE"""),"MOBILECARE - APP FESTIVAL MALL")</f>
        <v>MOBILECARE - APP FESTIVAL MALL</v>
      </c>
      <c r="D2559" s="2" t="str">
        <f>IFERROR(__xludf.DUMMYFUNCTION("""COMPUTED_VALUE"""),"923-06659")</f>
        <v>923-06659</v>
      </c>
      <c r="E2559" s="2" t="str">
        <f>IFERROR(__xludf.DUMMYFUNCTION("""COMPUTED_VALUE"""),"Top Speaker, iPhone 13 Pro Max")</f>
        <v>Top Speaker, iPhone 13 Pro Max</v>
      </c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>
      <c r="A2560" s="10" t="str">
        <f t="shared" si="1"/>
        <v>February</v>
      </c>
      <c r="B2560" s="11">
        <f>IFERROR(__xludf.DUMMYFUNCTION("""COMPUTED_VALUE"""),46054.0)</f>
        <v>46054</v>
      </c>
      <c r="C2560" s="2" t="str">
        <f>IFERROR(__xludf.DUMMYFUNCTION("""COMPUTED_VALUE"""),"MOBILECARE - APP FESTIVAL MALL")</f>
        <v>MOBILECARE - APP FESTIVAL MALL</v>
      </c>
      <c r="D2560" s="2" t="str">
        <f>IFERROR(__xludf.DUMMYFUNCTION("""COMPUTED_VALUE"""),"661-21991")</f>
        <v>661-21991</v>
      </c>
      <c r="E2560" s="2" t="str">
        <f>IFERROR(__xludf.DUMMYFUNCTION("""COMPUTED_VALUE"""),"Battery, iPhone 13")</f>
        <v>Battery, iPhone 13</v>
      </c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>
      <c r="A2561" s="10" t="str">
        <f t="shared" si="1"/>
        <v>May</v>
      </c>
      <c r="B2561" s="11">
        <f>IFERROR(__xludf.DUMMYFUNCTION("""COMPUTED_VALUE"""),46167.0)</f>
        <v>46167</v>
      </c>
      <c r="C2561" s="2" t="str">
        <f>IFERROR(__xludf.DUMMYFUNCTION("""COMPUTED_VALUE"""),"MOBILECARE - APP FESTIVAL MALL")</f>
        <v>MOBILECARE - APP FESTIVAL MALL</v>
      </c>
      <c r="D2561" s="2" t="str">
        <f>IFERROR(__xludf.DUMMYFUNCTION("""COMPUTED_VALUE"""),"661-17920")</f>
        <v>661-17920</v>
      </c>
      <c r="E2561" s="2" t="str">
        <f>IFERROR(__xludf.DUMMYFUNCTION("""COMPUTED_VALUE"""),"Battery, iPhone 12 and 12 Pro")</f>
        <v>Battery, iPhone 12 and 12 Pro</v>
      </c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>
      <c r="A2562" s="10" t="str">
        <f t="shared" si="1"/>
        <v>May</v>
      </c>
      <c r="B2562" s="11">
        <f>IFERROR(__xludf.DUMMYFUNCTION("""COMPUTED_VALUE"""),46154.0)</f>
        <v>46154</v>
      </c>
      <c r="C2562" s="2" t="str">
        <f>IFERROR(__xludf.DUMMYFUNCTION("""COMPUTED_VALUE"""),"MOBILECARE - APP FESTIVAL MALL")</f>
        <v>MOBILECARE - APP FESTIVAL MALL</v>
      </c>
      <c r="D2562" s="2" t="str">
        <f>IFERROR(__xludf.DUMMYFUNCTION("""COMPUTED_VALUE"""),"ZP923-13787")</f>
        <v>ZP923-13787</v>
      </c>
      <c r="E2562" s="2" t="str">
        <f>IFERROR(__xludf.DUMMYFUNCTION("""COMPUTED_VALUE"""),"Deep Blue, Enclosure, iPhone 17 Pro Max, ROW")</f>
        <v>Deep Blue, Enclosure, iPhone 17 Pro Max, ROW</v>
      </c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>
      <c r="A2563" s="10" t="str">
        <f t="shared" si="1"/>
        <v>May</v>
      </c>
      <c r="B2563" s="11">
        <f>IFERROR(__xludf.DUMMYFUNCTION("""COMPUTED_VALUE"""),46153.0)</f>
        <v>46153</v>
      </c>
      <c r="C2563" s="2" t="str">
        <f>IFERROR(__xludf.DUMMYFUNCTION("""COMPUTED_VALUE"""),"MOBILECARE - APP FESTIVAL MALL")</f>
        <v>MOBILECARE - APP FESTIVAL MALL</v>
      </c>
      <c r="D2563" s="2" t="str">
        <f>IFERROR(__xludf.DUMMYFUNCTION("""COMPUTED_VALUE"""),"661-21991")</f>
        <v>661-21991</v>
      </c>
      <c r="E2563" s="2" t="str">
        <f>IFERROR(__xludf.DUMMYFUNCTION("""COMPUTED_VALUE"""),"Battery, iPhone 13")</f>
        <v>Battery, iPhone 13</v>
      </c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>
      <c r="A2564" s="10" t="str">
        <f t="shared" si="1"/>
        <v>May</v>
      </c>
      <c r="B2564" s="11">
        <f>IFERROR(__xludf.DUMMYFUNCTION("""COMPUTED_VALUE"""),46148.0)</f>
        <v>46148</v>
      </c>
      <c r="C2564" s="2" t="str">
        <f>IFERROR(__xludf.DUMMYFUNCTION("""COMPUTED_VALUE"""),"MOBILECARE - APP FESTIVAL MALL")</f>
        <v>MOBILECARE - APP FESTIVAL MALL</v>
      </c>
      <c r="D2564" s="2" t="str">
        <f>IFERROR(__xludf.DUMMYFUNCTION("""COMPUTED_VALUE"""),"661-36706")</f>
        <v>661-36706</v>
      </c>
      <c r="E2564" s="2" t="str">
        <f>IFERROR(__xludf.DUMMYFUNCTION("""COMPUTED_VALUE"""),"Display, iPhone 15")</f>
        <v>Display, iPhone 15</v>
      </c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>
      <c r="A2565" s="10" t="str">
        <f t="shared" si="1"/>
        <v>April</v>
      </c>
      <c r="B2565" s="11">
        <f>IFERROR(__xludf.DUMMYFUNCTION("""COMPUTED_VALUE"""),46142.0)</f>
        <v>46142</v>
      </c>
      <c r="C2565" s="2" t="str">
        <f>IFERROR(__xludf.DUMMYFUNCTION("""COMPUTED_VALUE"""),"MOBILECARE - APP FESTIVAL MALL")</f>
        <v>MOBILECARE - APP FESTIVAL MALL</v>
      </c>
      <c r="D2565" s="2" t="str">
        <f>IFERROR(__xludf.DUMMYFUNCTION("""COMPUTED_VALUE"""),"661-44955")</f>
        <v>661-44955</v>
      </c>
      <c r="E2565" s="2" t="str">
        <f>IFERROR(__xludf.DUMMYFUNCTION("""COMPUTED_VALUE"""),"Display, iPhone 16 Pro Max")</f>
        <v>Display, iPhone 16 Pro Max</v>
      </c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>
      <c r="A2566" s="10" t="str">
        <f t="shared" si="1"/>
        <v>April</v>
      </c>
      <c r="B2566" s="11">
        <f>IFERROR(__xludf.DUMMYFUNCTION("""COMPUTED_VALUE"""),46120.0)</f>
        <v>46120</v>
      </c>
      <c r="C2566" s="2" t="str">
        <f>IFERROR(__xludf.DUMMYFUNCTION("""COMPUTED_VALUE"""),"MOBILECARE - APP FESTIVAL MALL")</f>
        <v>MOBILECARE - APP FESTIVAL MALL</v>
      </c>
      <c r="D2566" s="2" t="str">
        <f>IFERROR(__xludf.DUMMYFUNCTION("""COMPUTED_VALUE"""),"PP661-28614")</f>
        <v>PP661-28614</v>
      </c>
      <c r="E2566" s="2" t="str">
        <f>IFERROR(__xludf.DUMMYFUNCTION("""COMPUTED_VALUE"""),"Starlight, iPhone 14, 128GB, ROW, CI/AR, Philippines")</f>
        <v>Starlight, iPhone 14, 128GB, ROW, CI/AR, Philippines</v>
      </c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>
      <c r="A2567" s="10" t="str">
        <f t="shared" si="1"/>
        <v>March</v>
      </c>
      <c r="B2567" s="11">
        <f>IFERROR(__xludf.DUMMYFUNCTION("""COMPUTED_VALUE"""),46088.0)</f>
        <v>46088</v>
      </c>
      <c r="C2567" s="2" t="str">
        <f>IFERROR(__xludf.DUMMYFUNCTION("""COMPUTED_VALUE"""),"MOBILECARE - APP FESTIVAL MALL")</f>
        <v>MOBILECARE - APP FESTIVAL MALL</v>
      </c>
      <c r="D2567" s="2" t="str">
        <f>IFERROR(__xludf.DUMMYFUNCTION("""COMPUTED_VALUE"""),"661-17920")</f>
        <v>661-17920</v>
      </c>
      <c r="E2567" s="2" t="str">
        <f>IFERROR(__xludf.DUMMYFUNCTION("""COMPUTED_VALUE"""),"Battery, iPhone 12 and 12 Pro")</f>
        <v>Battery, iPhone 12 and 12 Pro</v>
      </c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>
      <c r="A2568" s="10" t="str">
        <f t="shared" si="1"/>
        <v>March</v>
      </c>
      <c r="B2568" s="11">
        <f>IFERROR(__xludf.DUMMYFUNCTION("""COMPUTED_VALUE"""),46086.0)</f>
        <v>46086</v>
      </c>
      <c r="C2568" s="2" t="str">
        <f>IFERROR(__xludf.DUMMYFUNCTION("""COMPUTED_VALUE"""),"MOBILECARE - APP FESTIVAL MALL")</f>
        <v>MOBILECARE - APP FESTIVAL MALL</v>
      </c>
      <c r="D2568" s="2" t="str">
        <f>IFERROR(__xludf.DUMMYFUNCTION("""COMPUTED_VALUE"""),"661-30394")</f>
        <v>661-30394</v>
      </c>
      <c r="E2568" s="2" t="str">
        <f>IFERROR(__xludf.DUMMYFUNCTION("""COMPUTED_VALUE"""),"Battery, iPhone 14 Plus")</f>
        <v>Battery, iPhone 14 Plus</v>
      </c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>
      <c r="A2569" s="10" t="str">
        <f t="shared" si="1"/>
        <v>March</v>
      </c>
      <c r="B2569" s="11">
        <f>IFERROR(__xludf.DUMMYFUNCTION("""COMPUTED_VALUE"""),46088.0)</f>
        <v>46088</v>
      </c>
      <c r="C2569" s="2" t="str">
        <f>IFERROR(__xludf.DUMMYFUNCTION("""COMPUTED_VALUE"""),"MOBILECARE - APP FESTIVAL MALL")</f>
        <v>MOBILECARE - APP FESTIVAL MALL</v>
      </c>
      <c r="D2569" s="2" t="str">
        <f>IFERROR(__xludf.DUMMYFUNCTION("""COMPUTED_VALUE"""),"PP661-22985")</f>
        <v>PP661-22985</v>
      </c>
      <c r="E2569" s="2" t="str">
        <f>IFERROR(__xludf.DUMMYFUNCTION("""COMPUTED_VALUE"""),"Midnight, 256 GB, iPhone 13, ROW, CI/AR, Philippines")</f>
        <v>Midnight, 256 GB, iPhone 13, ROW, CI/AR, Philippines</v>
      </c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>
      <c r="A2570" s="10" t="str">
        <f t="shared" si="1"/>
        <v>February</v>
      </c>
      <c r="B2570" s="11">
        <f>IFERROR(__xludf.DUMMYFUNCTION("""COMPUTED_VALUE"""),46071.0)</f>
        <v>46071</v>
      </c>
      <c r="C2570" s="2" t="str">
        <f>IFERROR(__xludf.DUMMYFUNCTION("""COMPUTED_VALUE"""),"MOBILECARE - APP FESTIVAL MALL")</f>
        <v>MOBILECARE - APP FESTIVAL MALL</v>
      </c>
      <c r="D2570" s="2" t="str">
        <f>IFERROR(__xludf.DUMMYFUNCTION("""COMPUTED_VALUE"""),"661-13574")</f>
        <v>661-13574</v>
      </c>
      <c r="E2570" s="2" t="str">
        <f>IFERROR(__xludf.DUMMYFUNCTION("""COMPUTED_VALUE"""),"Battery, iPhone 11")</f>
        <v>Battery, iPhone 11</v>
      </c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>
      <c r="A2571" s="10" t="str">
        <f t="shared" si="1"/>
        <v>June</v>
      </c>
      <c r="B2571" s="11">
        <f>IFERROR(__xludf.DUMMYFUNCTION("""COMPUTED_VALUE"""),46189.0)</f>
        <v>46189</v>
      </c>
      <c r="C2571" s="2" t="str">
        <f>IFERROR(__xludf.DUMMYFUNCTION("""COMPUTED_VALUE"""),"MOBILECARE - APP FESTIVAL MALL")</f>
        <v>MOBILECARE - APP FESTIVAL MALL</v>
      </c>
      <c r="D2571" s="2" t="str">
        <f>IFERROR(__xludf.DUMMYFUNCTION("""COMPUTED_VALUE"""),"661-21991")</f>
        <v>661-21991</v>
      </c>
      <c r="E2571" s="2" t="str">
        <f>IFERROR(__xludf.DUMMYFUNCTION("""COMPUTED_VALUE"""),"Battery, iPhone 13")</f>
        <v>Battery, iPhone 13</v>
      </c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>
      <c r="A2572" s="10" t="str">
        <f t="shared" si="1"/>
        <v>June</v>
      </c>
      <c r="B2572" s="11">
        <f>IFERROR(__xludf.DUMMYFUNCTION("""COMPUTED_VALUE"""),46185.0)</f>
        <v>46185</v>
      </c>
      <c r="C2572" s="2" t="str">
        <f>IFERROR(__xludf.DUMMYFUNCTION("""COMPUTED_VALUE"""),"MOBILECARE - APP FESTIVAL MALL")</f>
        <v>MOBILECARE - APP FESTIVAL MALL</v>
      </c>
      <c r="D2572" s="2" t="str">
        <f>IFERROR(__xludf.DUMMYFUNCTION("""COMPUTED_VALUE"""),"661-21991")</f>
        <v>661-21991</v>
      </c>
      <c r="E2572" s="2" t="str">
        <f>IFERROR(__xludf.DUMMYFUNCTION("""COMPUTED_VALUE"""),"Battery, iPhone 13")</f>
        <v>Battery, iPhone 13</v>
      </c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>
      <c r="A2573" s="10" t="str">
        <f t="shared" si="1"/>
        <v>June</v>
      </c>
      <c r="B2573" s="11">
        <f>IFERROR(__xludf.DUMMYFUNCTION("""COMPUTED_VALUE"""),46181.0)</f>
        <v>46181</v>
      </c>
      <c r="C2573" s="2" t="str">
        <f>IFERROR(__xludf.DUMMYFUNCTION("""COMPUTED_VALUE"""),"MOBILECARE - APP FESTIVAL MALL")</f>
        <v>MOBILECARE - APP FESTIVAL MALL</v>
      </c>
      <c r="D2573" s="2" t="str">
        <f>IFERROR(__xludf.DUMMYFUNCTION("""COMPUTED_VALUE"""),"661-21991")</f>
        <v>661-21991</v>
      </c>
      <c r="E2573" s="2" t="str">
        <f>IFERROR(__xludf.DUMMYFUNCTION("""COMPUTED_VALUE"""),"Battery, iPhone 13")</f>
        <v>Battery, iPhone 13</v>
      </c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>
      <c r="A2574" s="10" t="str">
        <f t="shared" si="1"/>
        <v>June</v>
      </c>
      <c r="B2574" s="11">
        <f>IFERROR(__xludf.DUMMYFUNCTION("""COMPUTED_VALUE"""),46177.0)</f>
        <v>46177</v>
      </c>
      <c r="C2574" s="2" t="str">
        <f>IFERROR(__xludf.DUMMYFUNCTION("""COMPUTED_VALUE"""),"MOBILECARE - APP FESTIVAL MALL")</f>
        <v>MOBILECARE - APP FESTIVAL MALL</v>
      </c>
      <c r="D2574" s="2" t="str">
        <f>IFERROR(__xludf.DUMMYFUNCTION("""COMPUTED_VALUE"""),"661-44956")</f>
        <v>661-44956</v>
      </c>
      <c r="E2574" s="2" t="str">
        <f>IFERROR(__xludf.DUMMYFUNCTION("""COMPUTED_VALUE"""),"TrueDepth Camera, iPhone 16 Pro Max")</f>
        <v>TrueDepth Camera, iPhone 16 Pro Max</v>
      </c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>
      <c r="A2575" s="10" t="str">
        <f t="shared" si="1"/>
        <v>May</v>
      </c>
      <c r="B2575" s="11">
        <f>IFERROR(__xludf.DUMMYFUNCTION("""COMPUTED_VALUE"""),46171.0)</f>
        <v>46171</v>
      </c>
      <c r="C2575" s="2" t="str">
        <f>IFERROR(__xludf.DUMMYFUNCTION("""COMPUTED_VALUE"""),"MOBILECARE - APP FESTIVAL MALL")</f>
        <v>MOBILECARE - APP FESTIVAL MALL</v>
      </c>
      <c r="D2575" s="2" t="str">
        <f>IFERROR(__xludf.DUMMYFUNCTION("""COMPUTED_VALUE"""),"661-42726")</f>
        <v>661-42726</v>
      </c>
      <c r="E2575" s="2" t="str">
        <f>IFERROR(__xludf.DUMMYFUNCTION("""COMPUTED_VALUE"""),"Display, iPhone 16 Pro")</f>
        <v>Display, iPhone 16 Pro</v>
      </c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>
      <c r="A2576" s="10" t="str">
        <f t="shared" si="1"/>
        <v>May</v>
      </c>
      <c r="B2576" s="11">
        <f>IFERROR(__xludf.DUMMYFUNCTION("""COMPUTED_VALUE"""),46172.0)</f>
        <v>46172</v>
      </c>
      <c r="C2576" s="2" t="str">
        <f>IFERROR(__xludf.DUMMYFUNCTION("""COMPUTED_VALUE"""),"MOBILECARE - APP FESTIVAL MALL")</f>
        <v>MOBILECARE - APP FESTIVAL MALL</v>
      </c>
      <c r="D2576" s="2" t="str">
        <f>IFERROR(__xludf.DUMMYFUNCTION("""COMPUTED_VALUE"""),"661-30373")</f>
        <v>661-30373</v>
      </c>
      <c r="E2576" s="2" t="str">
        <f>IFERROR(__xludf.DUMMYFUNCTION("""COMPUTED_VALUE"""),"Battery, iPhone 14")</f>
        <v>Battery, iPhone 14</v>
      </c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>
      <c r="A2577" s="10" t="str">
        <f t="shared" si="1"/>
        <v>May</v>
      </c>
      <c r="B2577" s="11">
        <f>IFERROR(__xludf.DUMMYFUNCTION("""COMPUTED_VALUE"""),46172.0)</f>
        <v>46172</v>
      </c>
      <c r="C2577" s="2" t="str">
        <f>IFERROR(__xludf.DUMMYFUNCTION("""COMPUTED_VALUE"""),"MOBILECARE - APP FESTIVAL MALL")</f>
        <v>MOBILECARE - APP FESTIVAL MALL</v>
      </c>
      <c r="D2577" s="2" t="str">
        <f>IFERROR(__xludf.DUMMYFUNCTION("""COMPUTED_VALUE"""),"923-08211")</f>
        <v>923-08211</v>
      </c>
      <c r="E2577" s="2" t="str">
        <f>IFERROR(__xludf.DUMMYFUNCTION("""COMPUTED_VALUE"""),"Top Speaker, iPhone 14")</f>
        <v>Top Speaker, iPhone 14</v>
      </c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>
      <c r="A2578" s="10" t="str">
        <f t="shared" si="1"/>
        <v>May</v>
      </c>
      <c r="B2578" s="11">
        <f>IFERROR(__xludf.DUMMYFUNCTION("""COMPUTED_VALUE"""),46164.0)</f>
        <v>46164</v>
      </c>
      <c r="C2578" s="2" t="str">
        <f>IFERROR(__xludf.DUMMYFUNCTION("""COMPUTED_VALUE"""),"MOBILECARE - APP FESTIVAL MALL")</f>
        <v>MOBILECARE - APP FESTIVAL MALL</v>
      </c>
      <c r="D2578" s="2" t="str">
        <f>IFERROR(__xludf.DUMMYFUNCTION("""COMPUTED_VALUE"""),"661-36829")</f>
        <v>661-36829</v>
      </c>
      <c r="E2578" s="2" t="str">
        <f>IFERROR(__xludf.DUMMYFUNCTION("""COMPUTED_VALUE"""),"TrueDepth Camera, iPhone 15")</f>
        <v>TrueDepth Camera, iPhone 15</v>
      </c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>
      <c r="A2579" s="10" t="str">
        <f t="shared" si="1"/>
        <v>May</v>
      </c>
      <c r="B2579" s="11">
        <f>IFERROR(__xludf.DUMMYFUNCTION("""COMPUTED_VALUE"""),46164.0)</f>
        <v>46164</v>
      </c>
      <c r="C2579" s="2" t="str">
        <f>IFERROR(__xludf.DUMMYFUNCTION("""COMPUTED_VALUE"""),"MOBILECARE - APP FESTIVAL MALL")</f>
        <v>MOBILECARE - APP FESTIVAL MALL</v>
      </c>
      <c r="D2579" s="2" t="str">
        <f>IFERROR(__xludf.DUMMYFUNCTION("""COMPUTED_VALUE"""),"661-35828")</f>
        <v>661-35828</v>
      </c>
      <c r="E2579" s="2" t="str">
        <f>IFERROR(__xludf.DUMMYFUNCTION("""COMPUTED_VALUE"""),"Camera, iPhone 15")</f>
        <v>Camera, iPhone 15</v>
      </c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>
      <c r="A2580" s="10" t="str">
        <f t="shared" si="1"/>
        <v>May</v>
      </c>
      <c r="B2580" s="11">
        <f>IFERROR(__xludf.DUMMYFUNCTION("""COMPUTED_VALUE"""),46164.0)</f>
        <v>46164</v>
      </c>
      <c r="C2580" s="2" t="str">
        <f>IFERROR(__xludf.DUMMYFUNCTION("""COMPUTED_VALUE"""),"MOBILECARE - APP FESTIVAL MALL")</f>
        <v>MOBILECARE - APP FESTIVAL MALL</v>
      </c>
      <c r="D2580" s="2" t="str">
        <f>IFERROR(__xludf.DUMMYFUNCTION("""COMPUTED_VALUE"""),"661-36829")</f>
        <v>661-36829</v>
      </c>
      <c r="E2580" s="2" t="str">
        <f>IFERROR(__xludf.DUMMYFUNCTION("""COMPUTED_VALUE"""),"TrueDepth Camera, iPhone 15")</f>
        <v>TrueDepth Camera, iPhone 15</v>
      </c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>
      <c r="A2581" s="10" t="str">
        <f t="shared" si="1"/>
        <v>May</v>
      </c>
      <c r="B2581" s="11">
        <f>IFERROR(__xludf.DUMMYFUNCTION("""COMPUTED_VALUE"""),46164.0)</f>
        <v>46164</v>
      </c>
      <c r="C2581" s="2" t="str">
        <f>IFERROR(__xludf.DUMMYFUNCTION("""COMPUTED_VALUE"""),"MOBILECARE - APP FESTIVAL MALL")</f>
        <v>MOBILECARE - APP FESTIVAL MALL</v>
      </c>
      <c r="D2581" s="2" t="str">
        <f>IFERROR(__xludf.DUMMYFUNCTION("""COMPUTED_VALUE"""),"661-35828")</f>
        <v>661-35828</v>
      </c>
      <c r="E2581" s="2" t="str">
        <f>IFERROR(__xludf.DUMMYFUNCTION("""COMPUTED_VALUE"""),"Camera, iPhone 15")</f>
        <v>Camera, iPhone 15</v>
      </c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>
      <c r="A2582" s="10" t="str">
        <f t="shared" si="1"/>
        <v>May</v>
      </c>
      <c r="B2582" s="11">
        <f>IFERROR(__xludf.DUMMYFUNCTION("""COMPUTED_VALUE"""),46164.0)</f>
        <v>46164</v>
      </c>
      <c r="C2582" s="2" t="str">
        <f>IFERROR(__xludf.DUMMYFUNCTION("""COMPUTED_VALUE"""),"MOBILECARE - APP FESTIVAL MALL")</f>
        <v>MOBILECARE - APP FESTIVAL MALL</v>
      </c>
      <c r="D2582" s="2" t="str">
        <f>IFERROR(__xludf.DUMMYFUNCTION("""COMPUTED_VALUE"""),"661-18428")</f>
        <v>661-18428</v>
      </c>
      <c r="E2582" s="2" t="str">
        <f>IFERROR(__xludf.DUMMYFUNCTION("""COMPUTED_VALUE"""),"Battery, iPhone 12 Pro Max")</f>
        <v>Battery, iPhone 12 Pro Max</v>
      </c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>
      <c r="A2583" s="10" t="str">
        <f t="shared" si="1"/>
        <v>May</v>
      </c>
      <c r="B2583" s="11">
        <f>IFERROR(__xludf.DUMMYFUNCTION("""COMPUTED_VALUE"""),46150.0)</f>
        <v>46150</v>
      </c>
      <c r="C2583" s="2" t="str">
        <f>IFERROR(__xludf.DUMMYFUNCTION("""COMPUTED_VALUE"""),"MOBILECARE - APP FESTIVAL MALL")</f>
        <v>MOBILECARE - APP FESTIVAL MALL</v>
      </c>
      <c r="D2583" s="2" t="str">
        <f>IFERROR(__xludf.DUMMYFUNCTION("""COMPUTED_VALUE"""),"661-21996")</f>
        <v>661-21996</v>
      </c>
      <c r="E2583" s="2" t="str">
        <f>IFERROR(__xludf.DUMMYFUNCTION("""COMPUTED_VALUE"""),"Battery, iPhone 13 Pro")</f>
        <v>Battery, iPhone 13 Pro</v>
      </c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>
      <c r="A2584" s="10" t="str">
        <f t="shared" si="1"/>
        <v>May</v>
      </c>
      <c r="B2584" s="11">
        <f>IFERROR(__xludf.DUMMYFUNCTION("""COMPUTED_VALUE"""),46143.0)</f>
        <v>46143</v>
      </c>
      <c r="C2584" s="2" t="str">
        <f>IFERROR(__xludf.DUMMYFUNCTION("""COMPUTED_VALUE"""),"MOBILECARE - APP FESTIVAL MALL")</f>
        <v>MOBILECARE - APP FESTIVAL MALL</v>
      </c>
      <c r="D2584" s="2" t="str">
        <f>IFERROR(__xludf.DUMMYFUNCTION("""COMPUTED_VALUE"""),"661-30382")</f>
        <v>661-30382</v>
      </c>
      <c r="E2584" s="2" t="str">
        <f>IFERROR(__xludf.DUMMYFUNCTION("""COMPUTED_VALUE"""),"Battery, iPhone 14 Pro")</f>
        <v>Battery, iPhone 14 Pro</v>
      </c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>
      <c r="A2585" s="10" t="str">
        <f t="shared" si="1"/>
        <v>April</v>
      </c>
      <c r="B2585" s="11">
        <f>IFERROR(__xludf.DUMMYFUNCTION("""COMPUTED_VALUE"""),46121.0)</f>
        <v>46121</v>
      </c>
      <c r="C2585" s="2" t="str">
        <f>IFERROR(__xludf.DUMMYFUNCTION("""COMPUTED_VALUE"""),"MOBILECARE - APP FESTIVAL MALL")</f>
        <v>MOBILECARE - APP FESTIVAL MALL</v>
      </c>
      <c r="D2585" s="2" t="str">
        <f>IFERROR(__xludf.DUMMYFUNCTION("""COMPUTED_VALUE"""),"661-21991")</f>
        <v>661-21991</v>
      </c>
      <c r="E2585" s="2" t="str">
        <f>IFERROR(__xludf.DUMMYFUNCTION("""COMPUTED_VALUE"""),"Battery, iPhone 13")</f>
        <v>Battery, iPhone 13</v>
      </c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>
      <c r="A2586" s="10" t="str">
        <f t="shared" si="1"/>
        <v>April</v>
      </c>
      <c r="B2586" s="11">
        <f>IFERROR(__xludf.DUMMYFUNCTION("""COMPUTED_VALUE"""),46120.0)</f>
        <v>46120</v>
      </c>
      <c r="C2586" s="2" t="str">
        <f>IFERROR(__xludf.DUMMYFUNCTION("""COMPUTED_VALUE"""),"MOBILECARE - APP FESTIVAL MALL")</f>
        <v>MOBILECARE - APP FESTIVAL MALL</v>
      </c>
      <c r="D2586" s="2" t="str">
        <f>IFERROR(__xludf.DUMMYFUNCTION("""COMPUTED_VALUE"""),"661-21991")</f>
        <v>661-21991</v>
      </c>
      <c r="E2586" s="2" t="str">
        <f>IFERROR(__xludf.DUMMYFUNCTION("""COMPUTED_VALUE"""),"Battery, iPhone 13")</f>
        <v>Battery, iPhone 13</v>
      </c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>
      <c r="A2587" s="10" t="str">
        <f t="shared" si="1"/>
        <v>March</v>
      </c>
      <c r="B2587" s="11">
        <f>IFERROR(__xludf.DUMMYFUNCTION("""COMPUTED_VALUE"""),46089.0)</f>
        <v>46089</v>
      </c>
      <c r="C2587" s="2" t="str">
        <f>IFERROR(__xludf.DUMMYFUNCTION("""COMPUTED_VALUE"""),"MOBILECARE - APP FESTIVAL MALL")</f>
        <v>MOBILECARE - APP FESTIVAL MALL</v>
      </c>
      <c r="D2587" s="2" t="str">
        <f>IFERROR(__xludf.DUMMYFUNCTION("""COMPUTED_VALUE"""),"661-18428")</f>
        <v>661-18428</v>
      </c>
      <c r="E2587" s="2" t="str">
        <f>IFERROR(__xludf.DUMMYFUNCTION("""COMPUTED_VALUE"""),"Battery, iPhone 12 Pro Max")</f>
        <v>Battery, iPhone 12 Pro Max</v>
      </c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>
      <c r="A2588" s="10" t="str">
        <f t="shared" si="1"/>
        <v>February</v>
      </c>
      <c r="B2588" s="11">
        <f>IFERROR(__xludf.DUMMYFUNCTION("""COMPUTED_VALUE"""),46063.0)</f>
        <v>46063</v>
      </c>
      <c r="C2588" s="2" t="str">
        <f>IFERROR(__xludf.DUMMYFUNCTION("""COMPUTED_VALUE"""),"MOBILECARE - APP FESTIVAL MALL")</f>
        <v>MOBILECARE - APP FESTIVAL MALL</v>
      </c>
      <c r="D2588" s="2" t="str">
        <f>IFERROR(__xludf.DUMMYFUNCTION("""COMPUTED_VALUE"""),"661-22294")</f>
        <v>661-22294</v>
      </c>
      <c r="E2588" s="2" t="str">
        <f>IFERROR(__xludf.DUMMYFUNCTION("""COMPUTED_VALUE"""),"Battery, iPhone 13 Pro Max")</f>
        <v>Battery, iPhone 13 Pro Max</v>
      </c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>
      <c r="A2589" s="10" t="str">
        <f t="shared" si="1"/>
        <v>May</v>
      </c>
      <c r="B2589" s="11">
        <f>IFERROR(__xludf.DUMMYFUNCTION("""COMPUTED_VALUE"""),46146.0)</f>
        <v>46146</v>
      </c>
      <c r="C2589" s="2" t="str">
        <f>IFERROR(__xludf.DUMMYFUNCTION("""COMPUTED_VALUE"""),"MOBILECARE - APP FESTIVAL MALL")</f>
        <v>MOBILECARE - APP FESTIVAL MALL</v>
      </c>
      <c r="D2589" s="2" t="str">
        <f>IFERROR(__xludf.DUMMYFUNCTION("""COMPUTED_VALUE"""),"661-21991")</f>
        <v>661-21991</v>
      </c>
      <c r="E2589" s="2" t="str">
        <f>IFERROR(__xludf.DUMMYFUNCTION("""COMPUTED_VALUE"""),"Battery, iPhone 13")</f>
        <v>Battery, iPhone 13</v>
      </c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>
      <c r="A2590" s="10" t="str">
        <f t="shared" si="1"/>
        <v>May</v>
      </c>
      <c r="B2590" s="11">
        <f>IFERROR(__xludf.DUMMYFUNCTION("""COMPUTED_VALUE"""),46143.0)</f>
        <v>46143</v>
      </c>
      <c r="C2590" s="2" t="str">
        <f>IFERROR(__xludf.DUMMYFUNCTION("""COMPUTED_VALUE"""),"MOBILECARE - APP FESTIVAL MALL")</f>
        <v>MOBILECARE - APP FESTIVAL MALL</v>
      </c>
      <c r="D2590" s="2" t="str">
        <f>IFERROR(__xludf.DUMMYFUNCTION("""COMPUTED_VALUE"""),"661-35694")</f>
        <v>661-35694</v>
      </c>
      <c r="E2590" s="2" t="str">
        <f>IFERROR(__xludf.DUMMYFUNCTION("""COMPUTED_VALUE"""),"Battery, iPhone 15 Pro")</f>
        <v>Battery, iPhone 15 Pro</v>
      </c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>
      <c r="A2591" s="10" t="str">
        <f t="shared" si="1"/>
        <v>May</v>
      </c>
      <c r="B2591" s="11">
        <f>IFERROR(__xludf.DUMMYFUNCTION("""COMPUTED_VALUE"""),46149.0)</f>
        <v>46149</v>
      </c>
      <c r="C2591" s="2" t="str">
        <f>IFERROR(__xludf.DUMMYFUNCTION("""COMPUTED_VALUE"""),"MOBILECARE - APP FESTIVAL MALL")</f>
        <v>MOBILECARE - APP FESTIVAL MALL</v>
      </c>
      <c r="D2591" s="2" t="str">
        <f>IFERROR(__xludf.DUMMYFUNCTION("""COMPUTED_VALUE"""),"661-44955")</f>
        <v>661-44955</v>
      </c>
      <c r="E2591" s="2" t="str">
        <f>IFERROR(__xludf.DUMMYFUNCTION("""COMPUTED_VALUE"""),"Display, iPhone 16 Pro Max")</f>
        <v>Display, iPhone 16 Pro Max</v>
      </c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>
      <c r="A2592" s="10" t="str">
        <f t="shared" si="1"/>
        <v>April</v>
      </c>
      <c r="B2592" s="11">
        <f>IFERROR(__xludf.DUMMYFUNCTION("""COMPUTED_VALUE"""),46139.0)</f>
        <v>46139</v>
      </c>
      <c r="C2592" s="2" t="str">
        <f>IFERROR(__xludf.DUMMYFUNCTION("""COMPUTED_VALUE"""),"MOBILECARE - APP FESTIVAL MALL")</f>
        <v>MOBILECARE - APP FESTIVAL MALL</v>
      </c>
      <c r="D2592" s="2" t="str">
        <f>IFERROR(__xludf.DUMMYFUNCTION("""COMPUTED_VALUE"""),"661-21991")</f>
        <v>661-21991</v>
      </c>
      <c r="E2592" s="2" t="str">
        <f>IFERROR(__xludf.DUMMYFUNCTION("""COMPUTED_VALUE"""),"Battery, iPhone 13")</f>
        <v>Battery, iPhone 13</v>
      </c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>
      <c r="A2593" s="10" t="str">
        <f t="shared" si="1"/>
        <v>April</v>
      </c>
      <c r="B2593" s="11">
        <f>IFERROR(__xludf.DUMMYFUNCTION("""COMPUTED_VALUE"""),46119.0)</f>
        <v>46119</v>
      </c>
      <c r="C2593" s="2" t="str">
        <f>IFERROR(__xludf.DUMMYFUNCTION("""COMPUTED_VALUE"""),"MOBILECARE - APP FESTIVAL MALL")</f>
        <v>MOBILECARE - APP FESTIVAL MALL</v>
      </c>
      <c r="D2593" s="2" t="str">
        <f>IFERROR(__xludf.DUMMYFUNCTION("""COMPUTED_VALUE"""),"661-44956")</f>
        <v>661-44956</v>
      </c>
      <c r="E2593" s="2" t="str">
        <f>IFERROR(__xludf.DUMMYFUNCTION("""COMPUTED_VALUE"""),"TrueDepth Camera, iPhone 16 Pro Max")</f>
        <v>TrueDepth Camera, iPhone 16 Pro Max</v>
      </c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>
      <c r="A2594" s="10" t="str">
        <f t="shared" si="1"/>
        <v>March</v>
      </c>
      <c r="B2594" s="11">
        <f>IFERROR(__xludf.DUMMYFUNCTION("""COMPUTED_VALUE"""),46109.0)</f>
        <v>46109</v>
      </c>
      <c r="C2594" s="2" t="str">
        <f>IFERROR(__xludf.DUMMYFUNCTION("""COMPUTED_VALUE"""),"MOBILECARE - APP FESTIVAL MALL")</f>
        <v>MOBILECARE - APP FESTIVAL MALL</v>
      </c>
      <c r="D2594" s="2" t="str">
        <f>IFERROR(__xludf.DUMMYFUNCTION("""COMPUTED_VALUE"""),"661-21993")</f>
        <v>661-21993</v>
      </c>
      <c r="E2594" s="2" t="str">
        <f>IFERROR(__xludf.DUMMYFUNCTION("""COMPUTED_VALUE"""),"Display, iPhone 13 Pro")</f>
        <v>Display, iPhone 13 Pro</v>
      </c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>
      <c r="A2595" s="10" t="str">
        <f t="shared" si="1"/>
        <v>March</v>
      </c>
      <c r="B2595" s="11">
        <f>IFERROR(__xludf.DUMMYFUNCTION("""COMPUTED_VALUE"""),46093.0)</f>
        <v>46093</v>
      </c>
      <c r="C2595" s="2" t="str">
        <f>IFERROR(__xludf.DUMMYFUNCTION("""COMPUTED_VALUE"""),"MOBILECARE - APP FESTIVAL MALL")</f>
        <v>MOBILECARE - APP FESTIVAL MALL</v>
      </c>
      <c r="D2595" s="2" t="str">
        <f>IFERROR(__xludf.DUMMYFUNCTION("""COMPUTED_VALUE"""),"661-44957")</f>
        <v>661-44957</v>
      </c>
      <c r="E2595" s="2" t="str">
        <f>IFERROR(__xludf.DUMMYFUNCTION("""COMPUTED_VALUE"""),"Camera, iPhone 16 Pro Max")</f>
        <v>Camera, iPhone 16 Pro Max</v>
      </c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>
      <c r="A2596" s="10" t="str">
        <f t="shared" si="1"/>
        <v>March</v>
      </c>
      <c r="B2596" s="11">
        <f>IFERROR(__xludf.DUMMYFUNCTION("""COMPUTED_VALUE"""),46094.0)</f>
        <v>46094</v>
      </c>
      <c r="C2596" s="2" t="str">
        <f>IFERROR(__xludf.DUMMYFUNCTION("""COMPUTED_VALUE"""),"MOBILECARE - APP FESTIVAL MALL")</f>
        <v>MOBILECARE - APP FESTIVAL MALL</v>
      </c>
      <c r="D2596" s="2" t="str">
        <f>IFERROR(__xludf.DUMMYFUNCTION("""COMPUTED_VALUE"""),"661-30397")</f>
        <v>661-30397</v>
      </c>
      <c r="E2596" s="2" t="str">
        <f>IFERROR(__xludf.DUMMYFUNCTION("""COMPUTED_VALUE"""),"Battery, iPhone 14 Pro Max")</f>
        <v>Battery, iPhone 14 Pro Max</v>
      </c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>
      <c r="A2597" s="10" t="str">
        <f t="shared" si="1"/>
        <v>March</v>
      </c>
      <c r="B2597" s="11">
        <f>IFERROR(__xludf.DUMMYFUNCTION("""COMPUTED_VALUE"""),46082.0)</f>
        <v>46082</v>
      </c>
      <c r="C2597" s="2" t="str">
        <f>IFERROR(__xludf.DUMMYFUNCTION("""COMPUTED_VALUE"""),"MOBILECARE - APP FESTIVAL MALL")</f>
        <v>MOBILECARE - APP FESTIVAL MALL</v>
      </c>
      <c r="D2597" s="2" t="str">
        <f>IFERROR(__xludf.DUMMYFUNCTION("""COMPUTED_VALUE"""),"661-21991")</f>
        <v>661-21991</v>
      </c>
      <c r="E2597" s="2" t="str">
        <f>IFERROR(__xludf.DUMMYFUNCTION("""COMPUTED_VALUE"""),"Battery, iPhone 13")</f>
        <v>Battery, iPhone 13</v>
      </c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>
      <c r="A2598" s="10" t="str">
        <f t="shared" si="1"/>
        <v>February</v>
      </c>
      <c r="B2598" s="11">
        <f>IFERROR(__xludf.DUMMYFUNCTION("""COMPUTED_VALUE"""),46057.0)</f>
        <v>46057</v>
      </c>
      <c r="C2598" s="2" t="str">
        <f>IFERROR(__xludf.DUMMYFUNCTION("""COMPUTED_VALUE"""),"MOBILECARE - APP FESTIVAL MALL")</f>
        <v>MOBILECARE - APP FESTIVAL MALL</v>
      </c>
      <c r="D2598" s="2" t="str">
        <f>IFERROR(__xludf.DUMMYFUNCTION("""COMPUTED_VALUE"""),"661-21991")</f>
        <v>661-21991</v>
      </c>
      <c r="E2598" s="2" t="str">
        <f>IFERROR(__xludf.DUMMYFUNCTION("""COMPUTED_VALUE"""),"Battery, iPhone 13")</f>
        <v>Battery, iPhone 13</v>
      </c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>
      <c r="A2599" s="10" t="str">
        <f t="shared" si="1"/>
        <v>February</v>
      </c>
      <c r="B2599" s="11">
        <f>IFERROR(__xludf.DUMMYFUNCTION("""COMPUTED_VALUE"""),46067.0)</f>
        <v>46067</v>
      </c>
      <c r="C2599" s="2" t="str">
        <f>IFERROR(__xludf.DUMMYFUNCTION("""COMPUTED_VALUE"""),"MOBILECARE - APP FESTIVAL MALL")</f>
        <v>MOBILECARE - APP FESTIVAL MALL</v>
      </c>
      <c r="D2599" s="2" t="str">
        <f>IFERROR(__xludf.DUMMYFUNCTION("""COMPUTED_VALUE"""),"TA661-44057")</f>
        <v>TA661-44057</v>
      </c>
      <c r="E2599" s="2" t="str">
        <f>IFERROR(__xludf.DUMMYFUNCTION("""COMPUTED_VALUE"""),"256GB, Pink, ROW, iPhone 16 Plus, CI/AR")</f>
        <v>256GB, Pink, ROW, iPhone 16 Plus, CI/AR</v>
      </c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>
      <c r="A2600" s="10" t="str">
        <f t="shared" si="1"/>
        <v>January</v>
      </c>
      <c r="B2600" s="11">
        <f>IFERROR(__xludf.DUMMYFUNCTION("""COMPUTED_VALUE"""),46043.0)</f>
        <v>46043</v>
      </c>
      <c r="C2600" s="2" t="str">
        <f>IFERROR(__xludf.DUMMYFUNCTION("""COMPUTED_VALUE"""),"MOBILECARE - APP FESTIVAL MALL")</f>
        <v>MOBILECARE - APP FESTIVAL MALL</v>
      </c>
      <c r="D2600" s="2" t="str">
        <f>IFERROR(__xludf.DUMMYFUNCTION("""COMPUTED_VALUE"""),"661-21991")</f>
        <v>661-21991</v>
      </c>
      <c r="E2600" s="2" t="str">
        <f>IFERROR(__xludf.DUMMYFUNCTION("""COMPUTED_VALUE"""),"Battery, iPhone 13")</f>
        <v>Battery, iPhone 13</v>
      </c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>
      <c r="A2601" s="10" t="str">
        <f t="shared" si="1"/>
        <v>June</v>
      </c>
      <c r="B2601" s="11">
        <f>IFERROR(__xludf.DUMMYFUNCTION("""COMPUTED_VALUE"""),46185.0)</f>
        <v>46185</v>
      </c>
      <c r="C2601" s="2" t="str">
        <f>IFERROR(__xludf.DUMMYFUNCTION("""COMPUTED_VALUE"""),"MOBILECARE - APP FESTIVAL MALL")</f>
        <v>MOBILECARE - APP FESTIVAL MALL</v>
      </c>
      <c r="D2601" s="2" t="str">
        <f>IFERROR(__xludf.DUMMYFUNCTION("""COMPUTED_VALUE"""),"661-21991")</f>
        <v>661-21991</v>
      </c>
      <c r="E2601" s="2" t="str">
        <f>IFERROR(__xludf.DUMMYFUNCTION("""COMPUTED_VALUE"""),"Battery, iPhone 13")</f>
        <v>Battery, iPhone 13</v>
      </c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>
      <c r="A2602" s="10" t="str">
        <f t="shared" si="1"/>
        <v>June</v>
      </c>
      <c r="B2602" s="11">
        <f>IFERROR(__xludf.DUMMYFUNCTION("""COMPUTED_VALUE"""),46184.0)</f>
        <v>46184</v>
      </c>
      <c r="C2602" s="2" t="str">
        <f>IFERROR(__xludf.DUMMYFUNCTION("""COMPUTED_VALUE"""),"MOBILECARE - APP FESTIVAL MALL")</f>
        <v>MOBILECARE - APP FESTIVAL MALL</v>
      </c>
      <c r="D2602" s="2" t="str">
        <f>IFERROR(__xludf.DUMMYFUNCTION("""COMPUTED_VALUE"""),"661-56126")</f>
        <v>661-56126</v>
      </c>
      <c r="E2602" s="2" t="str">
        <f>IFERROR(__xludf.DUMMYFUNCTION("""COMPUTED_VALUE"""),"Front Camera, iPhone 17 Pro")</f>
        <v>Front Camera, iPhone 17 Pro</v>
      </c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>
      <c r="A2603" s="10" t="str">
        <f t="shared" si="1"/>
        <v>June</v>
      </c>
      <c r="B2603" s="11">
        <f>IFERROR(__xludf.DUMMYFUNCTION("""COMPUTED_VALUE"""),46178.0)</f>
        <v>46178</v>
      </c>
      <c r="C2603" s="2" t="str">
        <f>IFERROR(__xludf.DUMMYFUNCTION("""COMPUTED_VALUE"""),"MOBILECARE - APP FESTIVAL MALL")</f>
        <v>MOBILECARE - APP FESTIVAL MALL</v>
      </c>
      <c r="D2603" s="2" t="str">
        <f>IFERROR(__xludf.DUMMYFUNCTION("""COMPUTED_VALUE"""),"661-21991")</f>
        <v>661-21991</v>
      </c>
      <c r="E2603" s="2" t="str">
        <f>IFERROR(__xludf.DUMMYFUNCTION("""COMPUTED_VALUE"""),"Battery, iPhone 13")</f>
        <v>Battery, iPhone 13</v>
      </c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>
      <c r="A2604" s="10" t="str">
        <f t="shared" si="1"/>
        <v>June</v>
      </c>
      <c r="B2604" s="11">
        <f>IFERROR(__xludf.DUMMYFUNCTION("""COMPUTED_VALUE"""),46189.0)</f>
        <v>46189</v>
      </c>
      <c r="C2604" s="2" t="str">
        <f>IFERROR(__xludf.DUMMYFUNCTION("""COMPUTED_VALUE"""),"MOBILECARE - APP FESTIVAL MALL")</f>
        <v>MOBILECARE - APP FESTIVAL MALL</v>
      </c>
      <c r="D2604" s="2" t="str">
        <f>IFERROR(__xludf.DUMMYFUNCTION("""COMPUTED_VALUE"""),"TA661-55210")</f>
        <v>TA661-55210</v>
      </c>
      <c r="E2604" s="2" t="str">
        <f>IFERROR(__xludf.DUMMYFUNCTION("""COMPUTED_VALUE"""),"Cosmic Orange, 512GB, iPhone 17 Pro Max, ROW, CI/AR, Taiwan")</f>
        <v>Cosmic Orange, 512GB, iPhone 17 Pro Max, ROW, CI/AR, Taiwan</v>
      </c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>
      <c r="A2605" s="10" t="str">
        <f t="shared" si="1"/>
        <v>April</v>
      </c>
      <c r="B2605" s="11">
        <f>IFERROR(__xludf.DUMMYFUNCTION("""COMPUTED_VALUE"""),46131.0)</f>
        <v>46131</v>
      </c>
      <c r="C2605" s="2" t="str">
        <f>IFERROR(__xludf.DUMMYFUNCTION("""COMPUTED_VALUE"""),"MOBILECARE - APP FESTIVAL MALL")</f>
        <v>MOBILECARE - APP FESTIVAL MALL</v>
      </c>
      <c r="D2605" s="2" t="str">
        <f>IFERROR(__xludf.DUMMYFUNCTION("""COMPUTED_VALUE"""),"661-44956")</f>
        <v>661-44956</v>
      </c>
      <c r="E2605" s="2" t="str">
        <f>IFERROR(__xludf.DUMMYFUNCTION("""COMPUTED_VALUE"""),"TrueDepth Camera, iPhone 16 Pro Max")</f>
        <v>TrueDepth Camera, iPhone 16 Pro Max</v>
      </c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>
      <c r="A2606" s="10" t="str">
        <f t="shared" si="1"/>
        <v>March</v>
      </c>
      <c r="B2606" s="11">
        <f>IFERROR(__xludf.DUMMYFUNCTION("""COMPUTED_VALUE"""),46087.0)</f>
        <v>46087</v>
      </c>
      <c r="C2606" s="2" t="str">
        <f>IFERROR(__xludf.DUMMYFUNCTION("""COMPUTED_VALUE"""),"MOBILECARE - APP FESTIVAL MALL")</f>
        <v>MOBILECARE - APP FESTIVAL MALL</v>
      </c>
      <c r="D2606" s="2" t="str">
        <f>IFERROR(__xludf.DUMMYFUNCTION("""COMPUTED_VALUE"""),"661-44955")</f>
        <v>661-44955</v>
      </c>
      <c r="E2606" s="2" t="str">
        <f>IFERROR(__xludf.DUMMYFUNCTION("""COMPUTED_VALUE"""),"Display, iPhone 16 Pro Max")</f>
        <v>Display, iPhone 16 Pro Max</v>
      </c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>
      <c r="A2607" s="10" t="str">
        <f t="shared" si="1"/>
        <v>March</v>
      </c>
      <c r="B2607" s="11">
        <f>IFERROR(__xludf.DUMMYFUNCTION("""COMPUTED_VALUE"""),46106.0)</f>
        <v>46106</v>
      </c>
      <c r="C2607" s="2" t="str">
        <f>IFERROR(__xludf.DUMMYFUNCTION("""COMPUTED_VALUE"""),"MOBILECARE - APP FESTIVAL MALL")</f>
        <v>MOBILECARE - APP FESTIVAL MALL</v>
      </c>
      <c r="D2607" s="2" t="str">
        <f>IFERROR(__xludf.DUMMYFUNCTION("""COMPUTED_VALUE"""),"661-21991")</f>
        <v>661-21991</v>
      </c>
      <c r="E2607" s="2" t="str">
        <f>IFERROR(__xludf.DUMMYFUNCTION("""COMPUTED_VALUE"""),"Battery, iPhone 13")</f>
        <v>Battery, iPhone 13</v>
      </c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>
      <c r="A2608" s="10" t="str">
        <f t="shared" si="1"/>
        <v>May</v>
      </c>
      <c r="B2608" s="11">
        <f>IFERROR(__xludf.DUMMYFUNCTION("""COMPUTED_VALUE"""),46151.0)</f>
        <v>46151</v>
      </c>
      <c r="C2608" s="2" t="str">
        <f>IFERROR(__xludf.DUMMYFUNCTION("""COMPUTED_VALUE"""),"MOBILECARE - APP FESTIVAL MALL")</f>
        <v>MOBILECARE - APP FESTIVAL MALL</v>
      </c>
      <c r="D2608" s="2" t="str">
        <f>IFERROR(__xludf.DUMMYFUNCTION("""COMPUTED_VALUE"""),"661-21991")</f>
        <v>661-21991</v>
      </c>
      <c r="E2608" s="2" t="str">
        <f>IFERROR(__xludf.DUMMYFUNCTION("""COMPUTED_VALUE"""),"Battery, iPhone 13")</f>
        <v>Battery, iPhone 13</v>
      </c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>
      <c r="A2609" s="10" t="str">
        <f t="shared" si="1"/>
        <v>April</v>
      </c>
      <c r="B2609" s="11">
        <f>IFERROR(__xludf.DUMMYFUNCTION("""COMPUTED_VALUE"""),46122.0)</f>
        <v>46122</v>
      </c>
      <c r="C2609" s="2" t="str">
        <f>IFERROR(__xludf.DUMMYFUNCTION("""COMPUTED_VALUE"""),"MOBILECARE - APP FESTIVAL MALL")</f>
        <v>MOBILECARE - APP FESTIVAL MALL</v>
      </c>
      <c r="D2609" s="2" t="str">
        <f>IFERROR(__xludf.DUMMYFUNCTION("""COMPUTED_VALUE"""),"661-35828")</f>
        <v>661-35828</v>
      </c>
      <c r="E2609" s="2" t="str">
        <f>IFERROR(__xludf.DUMMYFUNCTION("""COMPUTED_VALUE"""),"Camera, iPhone 15")</f>
        <v>Camera, iPhone 15</v>
      </c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>
      <c r="A2610" s="10" t="str">
        <f t="shared" si="1"/>
        <v>March</v>
      </c>
      <c r="B2610" s="11">
        <f>IFERROR(__xludf.DUMMYFUNCTION("""COMPUTED_VALUE"""),46109.0)</f>
        <v>46109</v>
      </c>
      <c r="C2610" s="2" t="str">
        <f>IFERROR(__xludf.DUMMYFUNCTION("""COMPUTED_VALUE"""),"MOBILECARE - APP FESTIVAL MALL")</f>
        <v>MOBILECARE - APP FESTIVAL MALL</v>
      </c>
      <c r="D2610" s="2" t="str">
        <f>IFERROR(__xludf.DUMMYFUNCTION("""COMPUTED_VALUE"""),"661-21991")</f>
        <v>661-21991</v>
      </c>
      <c r="E2610" s="2" t="str">
        <f>IFERROR(__xludf.DUMMYFUNCTION("""COMPUTED_VALUE"""),"Battery, iPhone 13")</f>
        <v>Battery, iPhone 13</v>
      </c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>
      <c r="A2611" s="10" t="str">
        <f t="shared" si="1"/>
        <v>March</v>
      </c>
      <c r="B2611" s="11">
        <f>IFERROR(__xludf.DUMMYFUNCTION("""COMPUTED_VALUE"""),46109.0)</f>
        <v>46109</v>
      </c>
      <c r="C2611" s="2" t="str">
        <f>IFERROR(__xludf.DUMMYFUNCTION("""COMPUTED_VALUE"""),"MOBILECARE - APP FESTIVAL MALL")</f>
        <v>MOBILECARE - APP FESTIVAL MALL</v>
      </c>
      <c r="D2611" s="2" t="str">
        <f>IFERROR(__xludf.DUMMYFUNCTION("""COMPUTED_VALUE"""),"661-21988")</f>
        <v>661-21988</v>
      </c>
      <c r="E2611" s="2" t="str">
        <f>IFERROR(__xludf.DUMMYFUNCTION("""COMPUTED_VALUE"""),"Display, iPhone 13")</f>
        <v>Display, iPhone 13</v>
      </c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>
      <c r="A2612" s="10" t="str">
        <f t="shared" si="1"/>
        <v>March</v>
      </c>
      <c r="B2612" s="11">
        <f>IFERROR(__xludf.DUMMYFUNCTION("""COMPUTED_VALUE"""),46100.0)</f>
        <v>46100</v>
      </c>
      <c r="C2612" s="2" t="str">
        <f>IFERROR(__xludf.DUMMYFUNCTION("""COMPUTED_VALUE"""),"MOBILECARE - APP FESTIVAL MALL")</f>
        <v>MOBILECARE - APP FESTIVAL MALL</v>
      </c>
      <c r="D2612" s="2" t="str">
        <f>IFERROR(__xludf.DUMMYFUNCTION("""COMPUTED_VALUE"""),"661-21988")</f>
        <v>661-21988</v>
      </c>
      <c r="E2612" s="2" t="str">
        <f>IFERROR(__xludf.DUMMYFUNCTION("""COMPUTED_VALUE"""),"Display, iPhone 13")</f>
        <v>Display, iPhone 13</v>
      </c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>
      <c r="A2613" s="10" t="str">
        <f t="shared" si="1"/>
        <v>March</v>
      </c>
      <c r="B2613" s="11">
        <f>IFERROR(__xludf.DUMMYFUNCTION("""COMPUTED_VALUE"""),46106.0)</f>
        <v>46106</v>
      </c>
      <c r="C2613" s="2" t="str">
        <f>IFERROR(__xludf.DUMMYFUNCTION("""COMPUTED_VALUE"""),"MOBILECARE - APP FESTIVAL MALL")</f>
        <v>MOBILECARE - APP FESTIVAL MALL</v>
      </c>
      <c r="D2613" s="2" t="str">
        <f>IFERROR(__xludf.DUMMYFUNCTION("""COMPUTED_VALUE"""),"661-36918")</f>
        <v>661-36918</v>
      </c>
      <c r="E2613" s="2" t="str">
        <f>IFERROR(__xludf.DUMMYFUNCTION("""COMPUTED_VALUE"""),"Battery, iPhone 15 Pro Max")</f>
        <v>Battery, iPhone 15 Pro Max</v>
      </c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>
      <c r="A2614" s="10" t="str">
        <f t="shared" si="1"/>
        <v>February</v>
      </c>
      <c r="B2614" s="11">
        <f>IFERROR(__xludf.DUMMYFUNCTION("""COMPUTED_VALUE"""),46069.0)</f>
        <v>46069</v>
      </c>
      <c r="C2614" s="2" t="str">
        <f>IFERROR(__xludf.DUMMYFUNCTION("""COMPUTED_VALUE"""),"MOBILECARE - APP FESTIVAL MALL")</f>
        <v>MOBILECARE - APP FESTIVAL MALL</v>
      </c>
      <c r="D2614" s="2" t="str">
        <f>IFERROR(__xludf.DUMMYFUNCTION("""COMPUTED_VALUE"""),"661-22309")</f>
        <v>661-22309</v>
      </c>
      <c r="E2614" s="2" t="str">
        <f>IFERROR(__xludf.DUMMYFUNCTION("""COMPUTED_VALUE"""),"Display, iPhone 13 Pro Max")</f>
        <v>Display, iPhone 13 Pro Max</v>
      </c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>
      <c r="A2615" s="10" t="str">
        <f t="shared" si="1"/>
        <v>April</v>
      </c>
      <c r="B2615" s="11">
        <f>IFERROR(__xludf.DUMMYFUNCTION("""COMPUTED_VALUE"""),46142.0)</f>
        <v>46142</v>
      </c>
      <c r="C2615" s="2" t="str">
        <f>IFERROR(__xludf.DUMMYFUNCTION("""COMPUTED_VALUE"""),"MOBILECARE - APP FESTIVAL MALL")</f>
        <v>MOBILECARE - APP FESTIVAL MALL</v>
      </c>
      <c r="D2615" s="2" t="str">
        <f>IFERROR(__xludf.DUMMYFUNCTION("""COMPUTED_VALUE"""),"923-09245")</f>
        <v>923-09245</v>
      </c>
      <c r="E2615" s="2" t="str">
        <f>IFERROR(__xludf.DUMMYFUNCTION("""COMPUTED_VALUE"""),"Bottom Speaker, iPhone 15 Pro")</f>
        <v>Bottom Speaker, iPhone 15 Pro</v>
      </c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>
      <c r="A2616" s="10" t="str">
        <f t="shared" si="1"/>
        <v>February</v>
      </c>
      <c r="B2616" s="11">
        <f>IFERROR(__xludf.DUMMYFUNCTION("""COMPUTED_VALUE"""),46070.0)</f>
        <v>46070</v>
      </c>
      <c r="C2616" s="2" t="str">
        <f>IFERROR(__xludf.DUMMYFUNCTION("""COMPUTED_VALUE"""),"MOBILECARE - APP FESTIVAL MALL")</f>
        <v>MOBILECARE - APP FESTIVAL MALL</v>
      </c>
      <c r="D2616" s="2" t="str">
        <f>IFERROR(__xludf.DUMMYFUNCTION("""COMPUTED_VALUE"""),"661-21996")</f>
        <v>661-21996</v>
      </c>
      <c r="E2616" s="2" t="str">
        <f>IFERROR(__xludf.DUMMYFUNCTION("""COMPUTED_VALUE"""),"Battery, iPhone 13 Pro")</f>
        <v>Battery, iPhone 13 Pro</v>
      </c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>
      <c r="A2617" s="10" t="str">
        <f t="shared" si="1"/>
        <v>February</v>
      </c>
      <c r="B2617" s="11">
        <f>IFERROR(__xludf.DUMMYFUNCTION("""COMPUTED_VALUE"""),46055.0)</f>
        <v>46055</v>
      </c>
      <c r="C2617" s="2" t="str">
        <f>IFERROR(__xludf.DUMMYFUNCTION("""COMPUTED_VALUE"""),"MOBILECARE - APP FESTIVAL MALL")</f>
        <v>MOBILECARE - APP FESTIVAL MALL</v>
      </c>
      <c r="D2617" s="2" t="str">
        <f>IFERROR(__xludf.DUMMYFUNCTION("""COMPUTED_VALUE"""),"661-56050")</f>
        <v>661-56050</v>
      </c>
      <c r="E2617" s="2" t="str">
        <f>IFERROR(__xludf.DUMMYFUNCTION("""COMPUTED_VALUE"""),"Display, iPhone 17 Pro Max")</f>
        <v>Display, iPhone 17 Pro Max</v>
      </c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>
      <c r="A2618" s="10" t="str">
        <f t="shared" si="1"/>
        <v>June</v>
      </c>
      <c r="B2618" s="11">
        <f>IFERROR(__xludf.DUMMYFUNCTION("""COMPUTED_VALUE"""),46192.0)</f>
        <v>46192</v>
      </c>
      <c r="C2618" s="2" t="str">
        <f>IFERROR(__xludf.DUMMYFUNCTION("""COMPUTED_VALUE"""),"MOBILECARE - APP FESTIVAL MALL")</f>
        <v>MOBILECARE - APP FESTIVAL MALL</v>
      </c>
      <c r="D2618" s="2" t="str">
        <f>IFERROR(__xludf.DUMMYFUNCTION("""COMPUTED_VALUE"""),"661-21991")</f>
        <v>661-21991</v>
      </c>
      <c r="E2618" s="2" t="str">
        <f>IFERROR(__xludf.DUMMYFUNCTION("""COMPUTED_VALUE"""),"Battery, iPhone 13")</f>
        <v>Battery, iPhone 13</v>
      </c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>
      <c r="A2619" s="10" t="str">
        <f t="shared" si="1"/>
        <v>June</v>
      </c>
      <c r="B2619" s="11">
        <f>IFERROR(__xludf.DUMMYFUNCTION("""COMPUTED_VALUE"""),46178.0)</f>
        <v>46178</v>
      </c>
      <c r="C2619" s="2" t="str">
        <f>IFERROR(__xludf.DUMMYFUNCTION("""COMPUTED_VALUE"""),"MOBILECARE - APP FESTIVAL MALL")</f>
        <v>MOBILECARE - APP FESTIVAL MALL</v>
      </c>
      <c r="D2619" s="2" t="str">
        <f>IFERROR(__xludf.DUMMYFUNCTION("""COMPUTED_VALUE"""),"661-21991")</f>
        <v>661-21991</v>
      </c>
      <c r="E2619" s="2" t="str">
        <f>IFERROR(__xludf.DUMMYFUNCTION("""COMPUTED_VALUE"""),"Battery, iPhone 13")</f>
        <v>Battery, iPhone 13</v>
      </c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>
      <c r="A2620" s="10" t="str">
        <f t="shared" si="1"/>
        <v>May</v>
      </c>
      <c r="B2620" s="11">
        <f>IFERROR(__xludf.DUMMYFUNCTION("""COMPUTED_VALUE"""),46170.0)</f>
        <v>46170</v>
      </c>
      <c r="C2620" s="2" t="str">
        <f>IFERROR(__xludf.DUMMYFUNCTION("""COMPUTED_VALUE"""),"MOBILECARE - APP FESTIVAL MALL")</f>
        <v>MOBILECARE - APP FESTIVAL MALL</v>
      </c>
      <c r="D2620" s="2" t="str">
        <f>IFERROR(__xludf.DUMMYFUNCTION("""COMPUTED_VALUE"""),"661-22374")</f>
        <v>661-22374</v>
      </c>
      <c r="E2620" s="2" t="str">
        <f>IFERROR(__xludf.DUMMYFUNCTION("""COMPUTED_VALUE"""),"Battery, iPhone 13 mini")</f>
        <v>Battery, iPhone 13 mini</v>
      </c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>
      <c r="A2621" s="10" t="str">
        <f t="shared" si="1"/>
        <v>May</v>
      </c>
      <c r="B2621" s="11">
        <f>IFERROR(__xludf.DUMMYFUNCTION("""COMPUTED_VALUE"""),46166.0)</f>
        <v>46166</v>
      </c>
      <c r="C2621" s="2" t="str">
        <f>IFERROR(__xludf.DUMMYFUNCTION("""COMPUTED_VALUE"""),"MOBILECARE - APP FESTIVAL MALL")</f>
        <v>MOBILECARE - APP FESTIVAL MALL</v>
      </c>
      <c r="D2621" s="2" t="str">
        <f>IFERROR(__xludf.DUMMYFUNCTION("""COMPUTED_VALUE"""),"661-21991")</f>
        <v>661-21991</v>
      </c>
      <c r="E2621" s="2" t="str">
        <f>IFERROR(__xludf.DUMMYFUNCTION("""COMPUTED_VALUE"""),"Battery, iPhone 13")</f>
        <v>Battery, iPhone 13</v>
      </c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>
      <c r="A2622" s="10" t="str">
        <f t="shared" si="1"/>
        <v>May</v>
      </c>
      <c r="B2622" s="11">
        <f>IFERROR(__xludf.DUMMYFUNCTION("""COMPUTED_VALUE"""),46149.0)</f>
        <v>46149</v>
      </c>
      <c r="C2622" s="2" t="str">
        <f>IFERROR(__xludf.DUMMYFUNCTION("""COMPUTED_VALUE"""),"MOBILECARE - APP FESTIVAL MALL")</f>
        <v>MOBILECARE - APP FESTIVAL MALL</v>
      </c>
      <c r="D2622" s="2" t="str">
        <f>IFERROR(__xludf.DUMMYFUNCTION("""COMPUTED_VALUE"""),"661-21991")</f>
        <v>661-21991</v>
      </c>
      <c r="E2622" s="2" t="str">
        <f>IFERROR(__xludf.DUMMYFUNCTION("""COMPUTED_VALUE"""),"Battery, iPhone 13")</f>
        <v>Battery, iPhone 13</v>
      </c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>
      <c r="A2623" s="10" t="str">
        <f t="shared" si="1"/>
        <v>April</v>
      </c>
      <c r="B2623" s="11">
        <f>IFERROR(__xludf.DUMMYFUNCTION("""COMPUTED_VALUE"""),46136.0)</f>
        <v>46136</v>
      </c>
      <c r="C2623" s="2" t="str">
        <f>IFERROR(__xludf.DUMMYFUNCTION("""COMPUTED_VALUE"""),"MOBILECARE - APP FESTIVAL MALL")</f>
        <v>MOBILECARE - APP FESTIVAL MALL</v>
      </c>
      <c r="D2623" s="2" t="str">
        <f>IFERROR(__xludf.DUMMYFUNCTION("""COMPUTED_VALUE"""),"661-44954")</f>
        <v>661-44954</v>
      </c>
      <c r="E2623" s="2" t="str">
        <f>IFERROR(__xludf.DUMMYFUNCTION("""COMPUTED_VALUE"""),"Battery, iPhone 16 Pro Max")</f>
        <v>Battery, iPhone 16 Pro Max</v>
      </c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>
      <c r="A2624" s="10" t="str">
        <f t="shared" si="1"/>
        <v>June</v>
      </c>
      <c r="B2624" s="11">
        <f>IFERROR(__xludf.DUMMYFUNCTION("""COMPUTED_VALUE"""),46176.0)</f>
        <v>46176</v>
      </c>
      <c r="C2624" s="2" t="str">
        <f>IFERROR(__xludf.DUMMYFUNCTION("""COMPUTED_VALUE"""),"MOBILECARE - APP FESTIVAL MALL")</f>
        <v>MOBILECARE - APP FESTIVAL MALL</v>
      </c>
      <c r="D2624" s="2" t="str">
        <f>IFERROR(__xludf.DUMMYFUNCTION("""COMPUTED_VALUE"""),"661-21991")</f>
        <v>661-21991</v>
      </c>
      <c r="E2624" s="2" t="str">
        <f>IFERROR(__xludf.DUMMYFUNCTION("""COMPUTED_VALUE"""),"Battery, iPhone 13")</f>
        <v>Battery, iPhone 13</v>
      </c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>
      <c r="A2625" s="10" t="str">
        <f t="shared" si="1"/>
        <v>May</v>
      </c>
      <c r="B2625" s="11">
        <f>IFERROR(__xludf.DUMMYFUNCTION("""COMPUTED_VALUE"""),46159.0)</f>
        <v>46159</v>
      </c>
      <c r="C2625" s="2" t="str">
        <f>IFERROR(__xludf.DUMMYFUNCTION("""COMPUTED_VALUE"""),"MOBILECARE - APP FESTIVAL MALL")</f>
        <v>MOBILECARE - APP FESTIVAL MALL</v>
      </c>
      <c r="D2625" s="2" t="str">
        <f>IFERROR(__xludf.DUMMYFUNCTION("""COMPUTED_VALUE"""),"923-09577")</f>
        <v>923-09577</v>
      </c>
      <c r="E2625" s="2" t="str">
        <f>IFERROR(__xludf.DUMMYFUNCTION("""COMPUTED_VALUE"""),"Bottom Speaker, iPhone 15")</f>
        <v>Bottom Speaker, iPhone 15</v>
      </c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>
      <c r="A2626" s="10" t="str">
        <f t="shared" si="1"/>
        <v>April</v>
      </c>
      <c r="B2626" s="11">
        <f>IFERROR(__xludf.DUMMYFUNCTION("""COMPUTED_VALUE"""),46138.0)</f>
        <v>46138</v>
      </c>
      <c r="C2626" s="2" t="str">
        <f>IFERROR(__xludf.DUMMYFUNCTION("""COMPUTED_VALUE"""),"MOBILECARE - APP FESTIVAL MALL")</f>
        <v>MOBILECARE - APP FESTIVAL MALL</v>
      </c>
      <c r="D2626" s="2" t="str">
        <f>IFERROR(__xludf.DUMMYFUNCTION("""COMPUTED_VALUE"""),"661-21988")</f>
        <v>661-21988</v>
      </c>
      <c r="E2626" s="2" t="str">
        <f>IFERROR(__xludf.DUMMYFUNCTION("""COMPUTED_VALUE"""),"Display, iPhone 13")</f>
        <v>Display, iPhone 13</v>
      </c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>
      <c r="A2627" s="10" t="str">
        <f t="shared" si="1"/>
        <v>May</v>
      </c>
      <c r="B2627" s="11">
        <f>IFERROR(__xludf.DUMMYFUNCTION("""COMPUTED_VALUE"""),46143.0)</f>
        <v>46143</v>
      </c>
      <c r="C2627" s="2" t="str">
        <f>IFERROR(__xludf.DUMMYFUNCTION("""COMPUTED_VALUE"""),"MOBILECARE - APP FESTIVAL MALL")</f>
        <v>MOBILECARE - APP FESTIVAL MALL</v>
      </c>
      <c r="D2627" s="2" t="str">
        <f>IFERROR(__xludf.DUMMYFUNCTION("""COMPUTED_VALUE"""),"PP661-28621")</f>
        <v>PP661-28621</v>
      </c>
      <c r="E2627" s="2" t="str">
        <f>IFERROR(__xludf.DUMMYFUNCTION("""COMPUTED_VALUE"""),"Blue, iPhone 14, 256GB, ROW, CI/AR, Philippines")</f>
        <v>Blue, iPhone 14, 256GB, ROW, CI/AR, Philippines</v>
      </c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>
      <c r="A2628" s="10" t="str">
        <f t="shared" si="1"/>
        <v>April</v>
      </c>
      <c r="B2628" s="11">
        <f>IFERROR(__xludf.DUMMYFUNCTION("""COMPUTED_VALUE"""),46117.0)</f>
        <v>46117</v>
      </c>
      <c r="C2628" s="2" t="str">
        <f>IFERROR(__xludf.DUMMYFUNCTION("""COMPUTED_VALUE"""),"MOBILECARE - APP FESTIVAL MALL")</f>
        <v>MOBILECARE - APP FESTIVAL MALL</v>
      </c>
      <c r="D2628" s="2" t="str">
        <f>IFERROR(__xludf.DUMMYFUNCTION("""COMPUTED_VALUE"""),"923-11081")</f>
        <v>923-11081</v>
      </c>
      <c r="E2628" s="2" t="str">
        <f>IFERROR(__xludf.DUMMYFUNCTION("""COMPUTED_VALUE"""),"Bottom Speaker, iPhone 16 Pro Max")</f>
        <v>Bottom Speaker, iPhone 16 Pro Max</v>
      </c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>
      <c r="A2629" s="10" t="str">
        <f t="shared" si="1"/>
        <v>April</v>
      </c>
      <c r="B2629" s="11">
        <f>IFERROR(__xludf.DUMMYFUNCTION("""COMPUTED_VALUE"""),46117.0)</f>
        <v>46117</v>
      </c>
      <c r="C2629" s="2" t="str">
        <f>IFERROR(__xludf.DUMMYFUNCTION("""COMPUTED_VALUE"""),"MOBILECARE - APP FESTIVAL MALL")</f>
        <v>MOBILECARE - APP FESTIVAL MALL</v>
      </c>
      <c r="D2629" s="2" t="str">
        <f>IFERROR(__xludf.DUMMYFUNCTION("""COMPUTED_VALUE"""),"923-11083")</f>
        <v>923-11083</v>
      </c>
      <c r="E2629" s="2" t="str">
        <f>IFERROR(__xludf.DUMMYFUNCTION("""COMPUTED_VALUE"""),"Top Speaker, iPhone 16 Pro Max,non mmWave")</f>
        <v>Top Speaker, iPhone 16 Pro Max,non mmWave</v>
      </c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>
      <c r="A2630" s="10" t="str">
        <f t="shared" si="1"/>
        <v>March</v>
      </c>
      <c r="B2630" s="11">
        <f>IFERROR(__xludf.DUMMYFUNCTION("""COMPUTED_VALUE"""),46103.0)</f>
        <v>46103</v>
      </c>
      <c r="C2630" s="2" t="str">
        <f>IFERROR(__xludf.DUMMYFUNCTION("""COMPUTED_VALUE"""),"MOBILECARE - APP FESTIVAL MALL")</f>
        <v>MOBILECARE - APP FESTIVAL MALL</v>
      </c>
      <c r="D2630" s="2" t="str">
        <f>IFERROR(__xludf.DUMMYFUNCTION("""COMPUTED_VALUE"""),"661-21996")</f>
        <v>661-21996</v>
      </c>
      <c r="E2630" s="2" t="str">
        <f>IFERROR(__xludf.DUMMYFUNCTION("""COMPUTED_VALUE"""),"Battery, iPhone 13 Pro")</f>
        <v>Battery, iPhone 13 Pro</v>
      </c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>
      <c r="A2631" s="10" t="str">
        <f t="shared" si="1"/>
        <v>February</v>
      </c>
      <c r="B2631" s="11">
        <f>IFERROR(__xludf.DUMMYFUNCTION("""COMPUTED_VALUE"""),46078.0)</f>
        <v>46078</v>
      </c>
      <c r="C2631" s="2" t="str">
        <f>IFERROR(__xludf.DUMMYFUNCTION("""COMPUTED_VALUE"""),"MOBILECARE - APP FESTIVAL MALL")</f>
        <v>MOBILECARE - APP FESTIVAL MALL</v>
      </c>
      <c r="D2631" s="2" t="str">
        <f>IFERROR(__xludf.DUMMYFUNCTION("""COMPUTED_VALUE"""),"661-18428")</f>
        <v>661-18428</v>
      </c>
      <c r="E2631" s="2" t="str">
        <f>IFERROR(__xludf.DUMMYFUNCTION("""COMPUTED_VALUE"""),"Battery, iPhone 12 Pro Max")</f>
        <v>Battery, iPhone 12 Pro Max</v>
      </c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>
      <c r="A2632" s="10" t="str">
        <f t="shared" si="1"/>
        <v>January</v>
      </c>
      <c r="B2632" s="11">
        <f>IFERROR(__xludf.DUMMYFUNCTION("""COMPUTED_VALUE"""),46046.0)</f>
        <v>46046</v>
      </c>
      <c r="C2632" s="2" t="str">
        <f>IFERROR(__xludf.DUMMYFUNCTION("""COMPUTED_VALUE"""),"MOBILECARE - APP FESTIVAL MALL")</f>
        <v>MOBILECARE - APP FESTIVAL MALL</v>
      </c>
      <c r="D2632" s="2" t="str">
        <f>IFERROR(__xludf.DUMMYFUNCTION("""COMPUTED_VALUE"""),"661-21993")</f>
        <v>661-21993</v>
      </c>
      <c r="E2632" s="2" t="str">
        <f>IFERROR(__xludf.DUMMYFUNCTION("""COMPUTED_VALUE"""),"Display, iPhone 13 Pro")</f>
        <v>Display, iPhone 13 Pro</v>
      </c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>
      <c r="A2633" s="10" t="str">
        <f t="shared" si="1"/>
        <v>June</v>
      </c>
      <c r="B2633" s="11">
        <f>IFERROR(__xludf.DUMMYFUNCTION("""COMPUTED_VALUE"""),46192.0)</f>
        <v>46192</v>
      </c>
      <c r="C2633" s="2" t="str">
        <f>IFERROR(__xludf.DUMMYFUNCTION("""COMPUTED_VALUE"""),"MOBILECARE - APP FESTIVAL MALL")</f>
        <v>MOBILECARE - APP FESTIVAL MALL</v>
      </c>
      <c r="D2633" s="2" t="str">
        <f>IFERROR(__xludf.DUMMYFUNCTION("""COMPUTED_VALUE"""),"661-21991")</f>
        <v>661-21991</v>
      </c>
      <c r="E2633" s="2" t="str">
        <f>IFERROR(__xludf.DUMMYFUNCTION("""COMPUTED_VALUE"""),"Battery, iPhone 13")</f>
        <v>Battery, iPhone 13</v>
      </c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>
      <c r="A2634" s="10" t="str">
        <f t="shared" si="1"/>
        <v>June</v>
      </c>
      <c r="B2634" s="11">
        <f>IFERROR(__xludf.DUMMYFUNCTION("""COMPUTED_VALUE"""),46179.0)</f>
        <v>46179</v>
      </c>
      <c r="C2634" s="2" t="str">
        <f>IFERROR(__xludf.DUMMYFUNCTION("""COMPUTED_VALUE"""),"MOBILECARE - APP FESTIVAL MALL")</f>
        <v>MOBILECARE - APP FESTIVAL MALL</v>
      </c>
      <c r="D2634" s="2" t="str">
        <f>IFERROR(__xludf.DUMMYFUNCTION("""COMPUTED_VALUE"""),"661-23878")</f>
        <v>661-23878</v>
      </c>
      <c r="E2634" s="2" t="str">
        <f>IFERROR(__xludf.DUMMYFUNCTION("""COMPUTED_VALUE"""),"TrueDepth Camera, iPhone 13")</f>
        <v>TrueDepth Camera, iPhone 13</v>
      </c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>
      <c r="A2635" s="10" t="str">
        <f t="shared" si="1"/>
        <v>June</v>
      </c>
      <c r="B2635" s="11">
        <f>IFERROR(__xludf.DUMMYFUNCTION("""COMPUTED_VALUE"""),46179.0)</f>
        <v>46179</v>
      </c>
      <c r="C2635" s="2" t="str">
        <f>IFERROR(__xludf.DUMMYFUNCTION("""COMPUTED_VALUE"""),"MOBILECARE - APP FESTIVAL MALL")</f>
        <v>MOBILECARE - APP FESTIVAL MALL</v>
      </c>
      <c r="D2635" s="2" t="str">
        <f>IFERROR(__xludf.DUMMYFUNCTION("""COMPUTED_VALUE"""),"661-32232")</f>
        <v>661-32232</v>
      </c>
      <c r="E2635" s="2" t="str">
        <f>IFERROR(__xludf.DUMMYFUNCTION("""COMPUTED_VALUE"""),"Rear Camera, iPhone 13/mini, MICN")</f>
        <v>Rear Camera, iPhone 13/mini, MICN</v>
      </c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>
      <c r="A2636" s="10" t="str">
        <f t="shared" si="1"/>
        <v>June</v>
      </c>
      <c r="B2636" s="11">
        <f>IFERROR(__xludf.DUMMYFUNCTION("""COMPUTED_VALUE"""),46179.0)</f>
        <v>46179</v>
      </c>
      <c r="C2636" s="2" t="str">
        <f>IFERROR(__xludf.DUMMYFUNCTION("""COMPUTED_VALUE"""),"MOBILECARE - APP FESTIVAL MALL")</f>
        <v>MOBILECARE - APP FESTIVAL MALL</v>
      </c>
      <c r="D2636" s="2" t="str">
        <f>IFERROR(__xludf.DUMMYFUNCTION("""COMPUTED_VALUE"""),"661-23878")</f>
        <v>661-23878</v>
      </c>
      <c r="E2636" s="2" t="str">
        <f>IFERROR(__xludf.DUMMYFUNCTION("""COMPUTED_VALUE"""),"TrueDepth Camera, iPhone 13")</f>
        <v>TrueDepth Camera, iPhone 13</v>
      </c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>
      <c r="A2637" s="10" t="str">
        <f t="shared" si="1"/>
        <v>June</v>
      </c>
      <c r="B2637" s="11">
        <f>IFERROR(__xludf.DUMMYFUNCTION("""COMPUTED_VALUE"""),46179.0)</f>
        <v>46179</v>
      </c>
      <c r="C2637" s="2" t="str">
        <f>IFERROR(__xludf.DUMMYFUNCTION("""COMPUTED_VALUE"""),"MOBILECARE - APP FESTIVAL MALL")</f>
        <v>MOBILECARE - APP FESTIVAL MALL</v>
      </c>
      <c r="D2637" s="2" t="str">
        <f>IFERROR(__xludf.DUMMYFUNCTION("""COMPUTED_VALUE"""),"661-32232")</f>
        <v>661-32232</v>
      </c>
      <c r="E2637" s="2" t="str">
        <f>IFERROR(__xludf.DUMMYFUNCTION("""COMPUTED_VALUE"""),"Rear Camera, iPhone 13/mini, MICN")</f>
        <v>Rear Camera, iPhone 13/mini, MICN</v>
      </c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>
      <c r="A2638" s="10" t="str">
        <f t="shared" si="1"/>
        <v>May</v>
      </c>
      <c r="B2638" s="11">
        <f>IFERROR(__xludf.DUMMYFUNCTION("""COMPUTED_VALUE"""),46155.0)</f>
        <v>46155</v>
      </c>
      <c r="C2638" s="2" t="str">
        <f>IFERROR(__xludf.DUMMYFUNCTION("""COMPUTED_VALUE"""),"MOBILECARE - APP FESTIVAL MALL")</f>
        <v>MOBILECARE - APP FESTIVAL MALL</v>
      </c>
      <c r="D2638" s="2" t="str">
        <f>IFERROR(__xludf.DUMMYFUNCTION("""COMPUTED_VALUE"""),"923-13597")</f>
        <v>923-13597</v>
      </c>
      <c r="E2638" s="2" t="str">
        <f>IFERROR(__xludf.DUMMYFUNCTION("""COMPUTED_VALUE"""),"Speaker, iPhone 17")</f>
        <v>Speaker, iPhone 17</v>
      </c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>
      <c r="A2639" s="10" t="str">
        <f t="shared" si="1"/>
        <v>May</v>
      </c>
      <c r="B2639" s="11">
        <f>IFERROR(__xludf.DUMMYFUNCTION("""COMPUTED_VALUE"""),46149.0)</f>
        <v>46149</v>
      </c>
      <c r="C2639" s="2" t="str">
        <f>IFERROR(__xludf.DUMMYFUNCTION("""COMPUTED_VALUE"""),"MOBILECARE - APP FESTIVAL MALL")</f>
        <v>MOBILECARE - APP FESTIVAL MALL</v>
      </c>
      <c r="D2639" s="2" t="str">
        <f>IFERROR(__xludf.DUMMYFUNCTION("""COMPUTED_VALUE"""),"661-56067")</f>
        <v>661-56067</v>
      </c>
      <c r="E2639" s="2" t="str">
        <f>IFERROR(__xludf.DUMMYFUNCTION("""COMPUTED_VALUE"""),"Camera, iPhone 17")</f>
        <v>Camera, iPhone 17</v>
      </c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>
      <c r="A2640" s="10" t="str">
        <f t="shared" si="1"/>
        <v>April</v>
      </c>
      <c r="B2640" s="11">
        <f>IFERROR(__xludf.DUMMYFUNCTION("""COMPUTED_VALUE"""),46129.0)</f>
        <v>46129</v>
      </c>
      <c r="C2640" s="2" t="str">
        <f>IFERROR(__xludf.DUMMYFUNCTION("""COMPUTED_VALUE"""),"MOBILECARE - APP FESTIVAL MALL")</f>
        <v>MOBILECARE - APP FESTIVAL MALL</v>
      </c>
      <c r="D2640" s="2" t="str">
        <f>IFERROR(__xludf.DUMMYFUNCTION("""COMPUTED_VALUE"""),"661-30382")</f>
        <v>661-30382</v>
      </c>
      <c r="E2640" s="2" t="str">
        <f>IFERROR(__xludf.DUMMYFUNCTION("""COMPUTED_VALUE"""),"Battery, iPhone 14 Pro")</f>
        <v>Battery, iPhone 14 Pro</v>
      </c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>
      <c r="A2641" s="10" t="str">
        <f t="shared" si="1"/>
        <v>April</v>
      </c>
      <c r="B2641" s="11">
        <f>IFERROR(__xludf.DUMMYFUNCTION("""COMPUTED_VALUE"""),46122.0)</f>
        <v>46122</v>
      </c>
      <c r="C2641" s="2" t="str">
        <f>IFERROR(__xludf.DUMMYFUNCTION("""COMPUTED_VALUE"""),"MOBILECARE - APP FESTIVAL MALL")</f>
        <v>MOBILECARE - APP FESTIVAL MALL</v>
      </c>
      <c r="D2641" s="2" t="str">
        <f>IFERROR(__xludf.DUMMYFUNCTION("""COMPUTED_VALUE"""),"661-30393")</f>
        <v>661-30393</v>
      </c>
      <c r="E2641" s="2" t="str">
        <f>IFERROR(__xludf.DUMMYFUNCTION("""COMPUTED_VALUE"""),"Camera, iPhone 14 Plus")</f>
        <v>Camera, iPhone 14 Plus</v>
      </c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>
      <c r="A2642" s="10" t="str">
        <f t="shared" si="1"/>
        <v>April</v>
      </c>
      <c r="B2642" s="11">
        <f>IFERROR(__xludf.DUMMYFUNCTION("""COMPUTED_VALUE"""),46122.0)</f>
        <v>46122</v>
      </c>
      <c r="C2642" s="2" t="str">
        <f>IFERROR(__xludf.DUMMYFUNCTION("""COMPUTED_VALUE"""),"MOBILECARE - APP FESTIVAL MALL")</f>
        <v>MOBILECARE - APP FESTIVAL MALL</v>
      </c>
      <c r="D2642" s="2" t="str">
        <f>IFERROR(__xludf.DUMMYFUNCTION("""COMPUTED_VALUE"""),"661-30383")</f>
        <v>661-30383</v>
      </c>
      <c r="E2642" s="2" t="str">
        <f>IFERROR(__xludf.DUMMYFUNCTION("""COMPUTED_VALUE"""),"Midnight, Back Glass, iPhone 14 Plus")</f>
        <v>Midnight, Back Glass, iPhone 14 Plus</v>
      </c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>
      <c r="A2643" s="10" t="str">
        <f t="shared" si="1"/>
        <v>April</v>
      </c>
      <c r="B2643" s="11">
        <f>IFERROR(__xludf.DUMMYFUNCTION("""COMPUTED_VALUE"""),46142.0)</f>
        <v>46142</v>
      </c>
      <c r="C2643" s="2" t="str">
        <f>IFERROR(__xludf.DUMMYFUNCTION("""COMPUTED_VALUE"""),"MOBILECARE - APP FESTIVAL MALL")</f>
        <v>MOBILECARE - APP FESTIVAL MALL</v>
      </c>
      <c r="D2643" s="2" t="str">
        <f>IFERROR(__xludf.DUMMYFUNCTION("""COMPUTED_VALUE"""),"PP661-17762")</f>
        <v>PP661-17762</v>
      </c>
      <c r="E2643" s="2" t="str">
        <f>IFERROR(__xludf.DUMMYFUNCTION("""COMPUTED_VALUE"""),"Black, 256GB, iPhone 12, ROW, Philippines, CI/AR")</f>
        <v>Black, 256GB, iPhone 12, ROW, Philippines, CI/AR</v>
      </c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>
      <c r="A2644" s="10" t="str">
        <f t="shared" si="1"/>
        <v>April</v>
      </c>
      <c r="B2644" s="11">
        <f>IFERROR(__xludf.DUMMYFUNCTION("""COMPUTED_VALUE"""),46118.0)</f>
        <v>46118</v>
      </c>
      <c r="C2644" s="2" t="str">
        <f>IFERROR(__xludf.DUMMYFUNCTION("""COMPUTED_VALUE"""),"MOBILECARE - APP FESTIVAL MALL")</f>
        <v>MOBILECARE - APP FESTIVAL MALL</v>
      </c>
      <c r="D2644" s="2" t="str">
        <f>IFERROR(__xludf.DUMMYFUNCTION("""COMPUTED_VALUE"""),"661-17920")</f>
        <v>661-17920</v>
      </c>
      <c r="E2644" s="2" t="str">
        <f>IFERROR(__xludf.DUMMYFUNCTION("""COMPUTED_VALUE"""),"Battery, iPhone 12 and 12 Pro")</f>
        <v>Battery, iPhone 12 and 12 Pro</v>
      </c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>
      <c r="A2645" s="10" t="str">
        <f t="shared" si="1"/>
        <v>February</v>
      </c>
      <c r="B2645" s="11">
        <f>IFERROR(__xludf.DUMMYFUNCTION("""COMPUTED_VALUE"""),46068.0)</f>
        <v>46068</v>
      </c>
      <c r="C2645" s="2" t="str">
        <f>IFERROR(__xludf.DUMMYFUNCTION("""COMPUTED_VALUE"""),"MOBILECARE - APP FESTIVAL MALL")</f>
        <v>MOBILECARE - APP FESTIVAL MALL</v>
      </c>
      <c r="D2645" s="2" t="str">
        <f>IFERROR(__xludf.DUMMYFUNCTION("""COMPUTED_VALUE"""),"661-36918")</f>
        <v>661-36918</v>
      </c>
      <c r="E2645" s="2" t="str">
        <f>IFERROR(__xludf.DUMMYFUNCTION("""COMPUTED_VALUE"""),"Battery, iPhone 15 Pro Max")</f>
        <v>Battery, iPhone 15 Pro Max</v>
      </c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>
      <c r="A2646" s="10" t="str">
        <f t="shared" si="1"/>
        <v>January</v>
      </c>
      <c r="B2646" s="11">
        <f>IFERROR(__xludf.DUMMYFUNCTION("""COMPUTED_VALUE"""),46052.0)</f>
        <v>46052</v>
      </c>
      <c r="C2646" s="2" t="str">
        <f>IFERROR(__xludf.DUMMYFUNCTION("""COMPUTED_VALUE"""),"MOBILECARE - APP FESTIVAL MALL")</f>
        <v>MOBILECARE - APP FESTIVAL MALL</v>
      </c>
      <c r="D2646" s="2" t="str">
        <f>IFERROR(__xludf.DUMMYFUNCTION("""COMPUTED_VALUE"""),"661-36918")</f>
        <v>661-36918</v>
      </c>
      <c r="E2646" s="2" t="str">
        <f>IFERROR(__xludf.DUMMYFUNCTION("""COMPUTED_VALUE"""),"Battery, iPhone 15 Pro Max")</f>
        <v>Battery, iPhone 15 Pro Max</v>
      </c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>
      <c r="A2647" s="10" t="str">
        <f t="shared" si="1"/>
        <v>June</v>
      </c>
      <c r="B2647" s="11">
        <f>IFERROR(__xludf.DUMMYFUNCTION("""COMPUTED_VALUE"""),46182.0)</f>
        <v>46182</v>
      </c>
      <c r="C2647" s="2" t="str">
        <f>IFERROR(__xludf.DUMMYFUNCTION("""COMPUTED_VALUE"""),"MOBILECARE - APP FESTIVAL MALL")</f>
        <v>MOBILECARE - APP FESTIVAL MALL</v>
      </c>
      <c r="D2647" s="2" t="str">
        <f>IFERROR(__xludf.DUMMYFUNCTION("""COMPUTED_VALUE"""),"661-44955")</f>
        <v>661-44955</v>
      </c>
      <c r="E2647" s="2" t="str">
        <f>IFERROR(__xludf.DUMMYFUNCTION("""COMPUTED_VALUE"""),"Display, iPhone 16 Pro Max")</f>
        <v>Display, iPhone 16 Pro Max</v>
      </c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>
      <c r="A2648" s="10" t="str">
        <f t="shared" si="1"/>
        <v>May</v>
      </c>
      <c r="B2648" s="11">
        <f>IFERROR(__xludf.DUMMYFUNCTION("""COMPUTED_VALUE"""),46170.0)</f>
        <v>46170</v>
      </c>
      <c r="C2648" s="2" t="str">
        <f>IFERROR(__xludf.DUMMYFUNCTION("""COMPUTED_VALUE"""),"MOBILECARE - APP FESTIVAL MALL")</f>
        <v>MOBILECARE - APP FESTIVAL MALL</v>
      </c>
      <c r="D2648" s="2" t="str">
        <f>IFERROR(__xludf.DUMMYFUNCTION("""COMPUTED_VALUE"""),"661-30382")</f>
        <v>661-30382</v>
      </c>
      <c r="E2648" s="2" t="str">
        <f>IFERROR(__xludf.DUMMYFUNCTION("""COMPUTED_VALUE"""),"Battery, iPhone 14 Pro")</f>
        <v>Battery, iPhone 14 Pro</v>
      </c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>
      <c r="A2649" s="10" t="str">
        <f t="shared" si="1"/>
        <v>March</v>
      </c>
      <c r="B2649" s="11">
        <f>IFERROR(__xludf.DUMMYFUNCTION("""COMPUTED_VALUE"""),46111.0)</f>
        <v>46111</v>
      </c>
      <c r="C2649" s="2" t="str">
        <f>IFERROR(__xludf.DUMMYFUNCTION("""COMPUTED_VALUE"""),"MOBILECARE - APP FESTIVAL MALL")</f>
        <v>MOBILECARE - APP FESTIVAL MALL</v>
      </c>
      <c r="D2649" s="2" t="str">
        <f>IFERROR(__xludf.DUMMYFUNCTION("""COMPUTED_VALUE"""),"661-42726")</f>
        <v>661-42726</v>
      </c>
      <c r="E2649" s="2" t="str">
        <f>IFERROR(__xludf.DUMMYFUNCTION("""COMPUTED_VALUE"""),"Display, iPhone 16 Pro")</f>
        <v>Display, iPhone 16 Pro</v>
      </c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>
      <c r="A2650" s="10" t="str">
        <f t="shared" si="1"/>
        <v>March</v>
      </c>
      <c r="B2650" s="11">
        <f>IFERROR(__xludf.DUMMYFUNCTION("""COMPUTED_VALUE"""),46099.0)</f>
        <v>46099</v>
      </c>
      <c r="C2650" s="2" t="str">
        <f>IFERROR(__xludf.DUMMYFUNCTION("""COMPUTED_VALUE"""),"MOBILECARE - APP FESTIVAL MALL")</f>
        <v>MOBILECARE - APP FESTIVAL MALL</v>
      </c>
      <c r="D2650" s="2" t="str">
        <f>IFERROR(__xludf.DUMMYFUNCTION("""COMPUTED_VALUE"""),"661-21988")</f>
        <v>661-21988</v>
      </c>
      <c r="E2650" s="2" t="str">
        <f>IFERROR(__xludf.DUMMYFUNCTION("""COMPUTED_VALUE"""),"Display, iPhone 13")</f>
        <v>Display, iPhone 13</v>
      </c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>
      <c r="A2651" s="10" t="str">
        <f t="shared" si="1"/>
        <v>February</v>
      </c>
      <c r="B2651" s="11">
        <f>IFERROR(__xludf.DUMMYFUNCTION("""COMPUTED_VALUE"""),46074.0)</f>
        <v>46074</v>
      </c>
      <c r="C2651" s="2" t="str">
        <f>IFERROR(__xludf.DUMMYFUNCTION("""COMPUTED_VALUE"""),"MOBILECARE - APP FESTIVAL MALL")</f>
        <v>MOBILECARE - APP FESTIVAL MALL</v>
      </c>
      <c r="D2651" s="2" t="str">
        <f>IFERROR(__xludf.DUMMYFUNCTION("""COMPUTED_VALUE"""),"661-36916")</f>
        <v>661-36916</v>
      </c>
      <c r="E2651" s="2" t="str">
        <f>IFERROR(__xludf.DUMMYFUNCTION("""COMPUTED_VALUE"""),"TrueDepth Camera, iPhone 15 Pro Max")</f>
        <v>TrueDepth Camera, iPhone 15 Pro Max</v>
      </c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>
      <c r="A2652" s="10" t="str">
        <f t="shared" si="1"/>
        <v>February</v>
      </c>
      <c r="B2652" s="11">
        <f>IFERROR(__xludf.DUMMYFUNCTION("""COMPUTED_VALUE"""),46068.0)</f>
        <v>46068</v>
      </c>
      <c r="C2652" s="2" t="str">
        <f>IFERROR(__xludf.DUMMYFUNCTION("""COMPUTED_VALUE"""),"MOBILECARE - APP FESTIVAL MALL")</f>
        <v>MOBILECARE - APP FESTIVAL MALL</v>
      </c>
      <c r="D2652" s="2" t="str">
        <f>IFERROR(__xludf.DUMMYFUNCTION("""COMPUTED_VALUE"""),"661-35694")</f>
        <v>661-35694</v>
      </c>
      <c r="E2652" s="2" t="str">
        <f>IFERROR(__xludf.DUMMYFUNCTION("""COMPUTED_VALUE"""),"Battery, iPhone 15 Pro")</f>
        <v>Battery, iPhone 15 Pro</v>
      </c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>
      <c r="A2653" s="10" t="str">
        <f t="shared" si="1"/>
        <v>February</v>
      </c>
      <c r="B2653" s="11">
        <f>IFERROR(__xludf.DUMMYFUNCTION("""COMPUTED_VALUE"""),46065.0)</f>
        <v>46065</v>
      </c>
      <c r="C2653" s="2" t="str">
        <f>IFERROR(__xludf.DUMMYFUNCTION("""COMPUTED_VALUE"""),"MOBILECARE - APP FESTIVAL MALL")</f>
        <v>MOBILECARE - APP FESTIVAL MALL</v>
      </c>
      <c r="D2653" s="2" t="str">
        <f>IFERROR(__xludf.DUMMYFUNCTION("""COMPUTED_VALUE"""),"661-21988")</f>
        <v>661-21988</v>
      </c>
      <c r="E2653" s="2" t="str">
        <f>IFERROR(__xludf.DUMMYFUNCTION("""COMPUTED_VALUE"""),"Display, iPhone 13")</f>
        <v>Display, iPhone 13</v>
      </c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>
      <c r="A2654" s="10" t="str">
        <f t="shared" si="1"/>
        <v>June</v>
      </c>
      <c r="B2654" s="11">
        <f>IFERROR(__xludf.DUMMYFUNCTION("""COMPUTED_VALUE"""),46193.0)</f>
        <v>46193</v>
      </c>
      <c r="C2654" s="2" t="str">
        <f>IFERROR(__xludf.DUMMYFUNCTION("""COMPUTED_VALUE"""),"MOBILECARE - APP FESTIVAL MALL")</f>
        <v>MOBILECARE - APP FESTIVAL MALL</v>
      </c>
      <c r="D2654" s="2" t="str">
        <f>IFERROR(__xludf.DUMMYFUNCTION("""COMPUTED_VALUE"""),"661-49431")</f>
        <v>661-49431</v>
      </c>
      <c r="E2654" s="2" t="str">
        <f>IFERROR(__xludf.DUMMYFUNCTION("""COMPUTED_VALUE"""),"Display, iPhone 16e")</f>
        <v>Display, iPhone 16e</v>
      </c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>
      <c r="A2655" s="10" t="str">
        <f t="shared" si="1"/>
        <v>June</v>
      </c>
      <c r="B2655" s="11">
        <f>IFERROR(__xludf.DUMMYFUNCTION("""COMPUTED_VALUE"""),46190.0)</f>
        <v>46190</v>
      </c>
      <c r="C2655" s="2" t="str">
        <f>IFERROR(__xludf.DUMMYFUNCTION("""COMPUTED_VALUE"""),"MOBILECARE - APP FESTIVAL MALL")</f>
        <v>MOBILECARE - APP FESTIVAL MALL</v>
      </c>
      <c r="D2655" s="2" t="str">
        <f>IFERROR(__xludf.DUMMYFUNCTION("""COMPUTED_VALUE"""),"661-21991")</f>
        <v>661-21991</v>
      </c>
      <c r="E2655" s="2" t="str">
        <f>IFERROR(__xludf.DUMMYFUNCTION("""COMPUTED_VALUE"""),"Battery, iPhone 13")</f>
        <v>Battery, iPhone 13</v>
      </c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>
      <c r="A2656" s="10" t="str">
        <f t="shared" si="1"/>
        <v>June</v>
      </c>
      <c r="B2656" s="11">
        <f>IFERROR(__xludf.DUMMYFUNCTION("""COMPUTED_VALUE"""),46192.0)</f>
        <v>46192</v>
      </c>
      <c r="C2656" s="2" t="str">
        <f>IFERROR(__xludf.DUMMYFUNCTION("""COMPUTED_VALUE"""),"MOBILECARE - APP FESTIVAL MALL")</f>
        <v>MOBILECARE - APP FESTIVAL MALL</v>
      </c>
      <c r="D2656" s="2" t="str">
        <f>IFERROR(__xludf.DUMMYFUNCTION("""COMPUTED_VALUE"""),"661-35885")</f>
        <v>661-35885</v>
      </c>
      <c r="E2656" s="2" t="str">
        <f>IFERROR(__xludf.DUMMYFUNCTION("""COMPUTED_VALUE"""),"Battery, iPhone 15")</f>
        <v>Battery, iPhone 15</v>
      </c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>
      <c r="A2657" s="10" t="str">
        <f t="shared" si="1"/>
        <v>May</v>
      </c>
      <c r="B2657" s="11">
        <f>IFERROR(__xludf.DUMMYFUNCTION("""COMPUTED_VALUE"""),46162.0)</f>
        <v>46162</v>
      </c>
      <c r="C2657" s="2" t="str">
        <f>IFERROR(__xludf.DUMMYFUNCTION("""COMPUTED_VALUE"""),"MOBILECARE - APP FESTIVAL MALL")</f>
        <v>MOBILECARE - APP FESTIVAL MALL</v>
      </c>
      <c r="D2657" s="2" t="str">
        <f>IFERROR(__xludf.DUMMYFUNCTION("""COMPUTED_VALUE"""),"661-30397")</f>
        <v>661-30397</v>
      </c>
      <c r="E2657" s="2" t="str">
        <f>IFERROR(__xludf.DUMMYFUNCTION("""COMPUTED_VALUE"""),"Battery, iPhone 14 Pro Max")</f>
        <v>Battery, iPhone 14 Pro Max</v>
      </c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>
      <c r="A2658" s="10" t="str">
        <f t="shared" si="1"/>
        <v>May</v>
      </c>
      <c r="B2658" s="11">
        <f>IFERROR(__xludf.DUMMYFUNCTION("""COMPUTED_VALUE"""),46164.0)</f>
        <v>46164</v>
      </c>
      <c r="C2658" s="2" t="str">
        <f>IFERROR(__xludf.DUMMYFUNCTION("""COMPUTED_VALUE"""),"MOBILECARE - APP FESTIVAL MALL")</f>
        <v>MOBILECARE - APP FESTIVAL MALL</v>
      </c>
      <c r="D2658" s="2" t="str">
        <f>IFERROR(__xludf.DUMMYFUNCTION("""COMPUTED_VALUE"""),"661-21991")</f>
        <v>661-21991</v>
      </c>
      <c r="E2658" s="2" t="str">
        <f>IFERROR(__xludf.DUMMYFUNCTION("""COMPUTED_VALUE"""),"Battery, iPhone 13")</f>
        <v>Battery, iPhone 13</v>
      </c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>
      <c r="A2659" s="10" t="str">
        <f t="shared" si="1"/>
        <v>May</v>
      </c>
      <c r="B2659" s="11">
        <f>IFERROR(__xludf.DUMMYFUNCTION("""COMPUTED_VALUE"""),46153.0)</f>
        <v>46153</v>
      </c>
      <c r="C2659" s="2" t="str">
        <f>IFERROR(__xludf.DUMMYFUNCTION("""COMPUTED_VALUE"""),"MOBILECARE - APP FESTIVAL MALL")</f>
        <v>MOBILECARE - APP FESTIVAL MALL</v>
      </c>
      <c r="D2659" s="2" t="str">
        <f>IFERROR(__xludf.DUMMYFUNCTION("""COMPUTED_VALUE"""),"661-21996")</f>
        <v>661-21996</v>
      </c>
      <c r="E2659" s="2" t="str">
        <f>IFERROR(__xludf.DUMMYFUNCTION("""COMPUTED_VALUE"""),"Battery, iPhone 13 Pro")</f>
        <v>Battery, iPhone 13 Pro</v>
      </c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>
      <c r="A2660" s="10" t="str">
        <f t="shared" si="1"/>
        <v>April</v>
      </c>
      <c r="B2660" s="11">
        <f>IFERROR(__xludf.DUMMYFUNCTION("""COMPUTED_VALUE"""),46129.0)</f>
        <v>46129</v>
      </c>
      <c r="C2660" s="2" t="str">
        <f>IFERROR(__xludf.DUMMYFUNCTION("""COMPUTED_VALUE"""),"MOBILECARE - APP FESTIVAL MALL")</f>
        <v>MOBILECARE - APP FESTIVAL MALL</v>
      </c>
      <c r="D2660" s="2" t="str">
        <f>IFERROR(__xludf.DUMMYFUNCTION("""COMPUTED_VALUE"""),"661-30397")</f>
        <v>661-30397</v>
      </c>
      <c r="E2660" s="2" t="str">
        <f>IFERROR(__xludf.DUMMYFUNCTION("""COMPUTED_VALUE"""),"Battery, iPhone 14 Pro Max")</f>
        <v>Battery, iPhone 14 Pro Max</v>
      </c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>
      <c r="A2661" s="10" t="str">
        <f t="shared" si="1"/>
        <v>April</v>
      </c>
      <c r="B2661" s="11">
        <f>IFERROR(__xludf.DUMMYFUNCTION("""COMPUTED_VALUE"""),46124.0)</f>
        <v>46124</v>
      </c>
      <c r="C2661" s="2" t="str">
        <f>IFERROR(__xludf.DUMMYFUNCTION("""COMPUTED_VALUE"""),"MOBILECARE - APP FESTIVAL MALL")</f>
        <v>MOBILECARE - APP FESTIVAL MALL</v>
      </c>
      <c r="D2661" s="2" t="str">
        <f>IFERROR(__xludf.DUMMYFUNCTION("""COMPUTED_VALUE"""),"661-21991")</f>
        <v>661-21991</v>
      </c>
      <c r="E2661" s="2" t="str">
        <f>IFERROR(__xludf.DUMMYFUNCTION("""COMPUTED_VALUE"""),"Battery, iPhone 13")</f>
        <v>Battery, iPhone 13</v>
      </c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>
      <c r="A2662" s="10" t="str">
        <f t="shared" si="1"/>
        <v>March</v>
      </c>
      <c r="B2662" s="11">
        <f>IFERROR(__xludf.DUMMYFUNCTION("""COMPUTED_VALUE"""),46100.0)</f>
        <v>46100</v>
      </c>
      <c r="C2662" s="2" t="str">
        <f>IFERROR(__xludf.DUMMYFUNCTION("""COMPUTED_VALUE"""),"MOBILECARE - APP FESTIVAL MALL")</f>
        <v>MOBILECARE - APP FESTIVAL MALL</v>
      </c>
      <c r="D2662" s="2" t="str">
        <f>IFERROR(__xludf.DUMMYFUNCTION("""COMPUTED_VALUE"""),"661-21988")</f>
        <v>661-21988</v>
      </c>
      <c r="E2662" s="2" t="str">
        <f>IFERROR(__xludf.DUMMYFUNCTION("""COMPUTED_VALUE"""),"Display, iPhone 13")</f>
        <v>Display, iPhone 13</v>
      </c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>
      <c r="A2663" s="10" t="str">
        <f t="shared" si="1"/>
        <v>March</v>
      </c>
      <c r="B2663" s="11">
        <f>IFERROR(__xludf.DUMMYFUNCTION("""COMPUTED_VALUE"""),46104.0)</f>
        <v>46104</v>
      </c>
      <c r="C2663" s="2" t="str">
        <f>IFERROR(__xludf.DUMMYFUNCTION("""COMPUTED_VALUE"""),"MOBILECARE - APP FESTIVAL MALL")</f>
        <v>MOBILECARE - APP FESTIVAL MALL</v>
      </c>
      <c r="D2663" s="2" t="str">
        <f>IFERROR(__xludf.DUMMYFUNCTION("""COMPUTED_VALUE"""),"661-56057")</f>
        <v>661-56057</v>
      </c>
      <c r="E2663" s="2" t="str">
        <f>IFERROR(__xludf.DUMMYFUNCTION("""COMPUTED_VALUE"""),"Black, Back Glass, iPhone 17")</f>
        <v>Black, Back Glass, iPhone 17</v>
      </c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>
      <c r="A2664" s="10" t="str">
        <f t="shared" si="1"/>
        <v>March</v>
      </c>
      <c r="B2664" s="11">
        <f>IFERROR(__xludf.DUMMYFUNCTION("""COMPUTED_VALUE"""),46107.0)</f>
        <v>46107</v>
      </c>
      <c r="C2664" s="2" t="str">
        <f>IFERROR(__xludf.DUMMYFUNCTION("""COMPUTED_VALUE"""),"MOBILECARE - APP FESTIVAL MALL")</f>
        <v>MOBILECARE - APP FESTIVAL MALL</v>
      </c>
      <c r="D2664" s="2" t="str">
        <f>IFERROR(__xludf.DUMMYFUNCTION("""COMPUTED_VALUE"""),"661-42843")</f>
        <v>661-42843</v>
      </c>
      <c r="E2664" s="2" t="str">
        <f>IFERROR(__xludf.DUMMYFUNCTION("""COMPUTED_VALUE"""),"Display, iPhone 16 Plus")</f>
        <v>Display, iPhone 16 Plus</v>
      </c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>
      <c r="A2665" s="10" t="str">
        <f t="shared" si="1"/>
        <v>February</v>
      </c>
      <c r="B2665" s="11">
        <f>IFERROR(__xludf.DUMMYFUNCTION("""COMPUTED_VALUE"""),46060.0)</f>
        <v>46060</v>
      </c>
      <c r="C2665" s="2" t="str">
        <f>IFERROR(__xludf.DUMMYFUNCTION("""COMPUTED_VALUE"""),"MOBILECARE - APP FESTIVAL MALL")</f>
        <v>MOBILECARE - APP FESTIVAL MALL</v>
      </c>
      <c r="D2665" s="2" t="str">
        <f>IFERROR(__xludf.DUMMYFUNCTION("""COMPUTED_VALUE"""),"661-22309")</f>
        <v>661-22309</v>
      </c>
      <c r="E2665" s="2" t="str">
        <f>IFERROR(__xludf.DUMMYFUNCTION("""COMPUTED_VALUE"""),"Display, iPhone 13 Pro Max")</f>
        <v>Display, iPhone 13 Pro Max</v>
      </c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>
      <c r="A2666" s="10" t="str">
        <f t="shared" si="1"/>
        <v>January</v>
      </c>
      <c r="B2666" s="11">
        <f>IFERROR(__xludf.DUMMYFUNCTION("""COMPUTED_VALUE"""),46051.0)</f>
        <v>46051</v>
      </c>
      <c r="C2666" s="2" t="str">
        <f>IFERROR(__xludf.DUMMYFUNCTION("""COMPUTED_VALUE"""),"MOBILECARE - APP FESTIVAL MALL")</f>
        <v>MOBILECARE - APP FESTIVAL MALL</v>
      </c>
      <c r="D2666" s="2" t="str">
        <f>IFERROR(__xludf.DUMMYFUNCTION("""COMPUTED_VALUE"""),"661-44955")</f>
        <v>661-44955</v>
      </c>
      <c r="E2666" s="2" t="str">
        <f>IFERROR(__xludf.DUMMYFUNCTION("""COMPUTED_VALUE"""),"Display, iPhone 16 Pro Max")</f>
        <v>Display, iPhone 16 Pro Max</v>
      </c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>
      <c r="A2667" s="10" t="str">
        <f t="shared" si="1"/>
        <v>May</v>
      </c>
      <c r="B2667" s="11">
        <f>IFERROR(__xludf.DUMMYFUNCTION("""COMPUTED_VALUE"""),46170.0)</f>
        <v>46170</v>
      </c>
      <c r="C2667" s="2" t="str">
        <f>IFERROR(__xludf.DUMMYFUNCTION("""COMPUTED_VALUE"""),"MOBILECARE - APP FESTIVAL MALL")</f>
        <v>MOBILECARE - APP FESTIVAL MALL</v>
      </c>
      <c r="D2667" s="2" t="str">
        <f>IFERROR(__xludf.DUMMYFUNCTION("""COMPUTED_VALUE"""),"661-30373")</f>
        <v>661-30373</v>
      </c>
      <c r="E2667" s="2" t="str">
        <f>IFERROR(__xludf.DUMMYFUNCTION("""COMPUTED_VALUE"""),"Battery, iPhone 14")</f>
        <v>Battery, iPhone 14</v>
      </c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>
      <c r="A2668" s="10" t="str">
        <f t="shared" si="1"/>
        <v>May</v>
      </c>
      <c r="B2668" s="11">
        <f>IFERROR(__xludf.DUMMYFUNCTION("""COMPUTED_VALUE"""),46160.0)</f>
        <v>46160</v>
      </c>
      <c r="C2668" s="2" t="str">
        <f>IFERROR(__xludf.DUMMYFUNCTION("""COMPUTED_VALUE"""),"MOBILECARE - APP FESTIVAL MALL")</f>
        <v>MOBILECARE - APP FESTIVAL MALL</v>
      </c>
      <c r="D2668" s="2" t="str">
        <f>IFERROR(__xludf.DUMMYFUNCTION("""COMPUTED_VALUE"""),"661-22294")</f>
        <v>661-22294</v>
      </c>
      <c r="E2668" s="2" t="str">
        <f>IFERROR(__xludf.DUMMYFUNCTION("""COMPUTED_VALUE"""),"Battery, iPhone 13 Pro Max")</f>
        <v>Battery, iPhone 13 Pro Max</v>
      </c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>
      <c r="A2669" s="10" t="str">
        <f t="shared" si="1"/>
        <v>May</v>
      </c>
      <c r="B2669" s="11">
        <f>IFERROR(__xludf.DUMMYFUNCTION("""COMPUTED_VALUE"""),46169.0)</f>
        <v>46169</v>
      </c>
      <c r="C2669" s="2" t="str">
        <f>IFERROR(__xludf.DUMMYFUNCTION("""COMPUTED_VALUE"""),"MOBILECARE - APP FESTIVAL MALL")</f>
        <v>MOBILECARE - APP FESTIVAL MALL</v>
      </c>
      <c r="D2669" s="2" t="str">
        <f>IFERROR(__xludf.DUMMYFUNCTION("""COMPUTED_VALUE"""),"661-56127")</f>
        <v>661-56127</v>
      </c>
      <c r="E2669" s="2" t="str">
        <f>IFERROR(__xludf.DUMMYFUNCTION("""COMPUTED_VALUE"""),"Camera, iPhone 17 Pro")</f>
        <v>Camera, iPhone 17 Pro</v>
      </c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>
      <c r="A2670" s="10" t="str">
        <f t="shared" si="1"/>
        <v>April</v>
      </c>
      <c r="B2670" s="11">
        <f>IFERROR(__xludf.DUMMYFUNCTION("""COMPUTED_VALUE"""),46127.0)</f>
        <v>46127</v>
      </c>
      <c r="C2670" s="2" t="str">
        <f>IFERROR(__xludf.DUMMYFUNCTION("""COMPUTED_VALUE"""),"MOBILECARE - APP FESTIVAL MALL")</f>
        <v>MOBILECARE - APP FESTIVAL MALL</v>
      </c>
      <c r="D2670" s="2" t="str">
        <f>IFERROR(__xludf.DUMMYFUNCTION("""COMPUTED_VALUE"""),"661-18428")</f>
        <v>661-18428</v>
      </c>
      <c r="E2670" s="2" t="str">
        <f>IFERROR(__xludf.DUMMYFUNCTION("""COMPUTED_VALUE"""),"Battery, iPhone 12 Pro Max")</f>
        <v>Battery, iPhone 12 Pro Max</v>
      </c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>
      <c r="A2671" s="10" t="str">
        <f t="shared" si="1"/>
        <v>March</v>
      </c>
      <c r="B2671" s="11">
        <f>IFERROR(__xludf.DUMMYFUNCTION("""COMPUTED_VALUE"""),46091.0)</f>
        <v>46091</v>
      </c>
      <c r="C2671" s="2" t="str">
        <f>IFERROR(__xludf.DUMMYFUNCTION("""COMPUTED_VALUE"""),"MOBILECARE - APP FESTIVAL MALL")</f>
        <v>MOBILECARE - APP FESTIVAL MALL</v>
      </c>
      <c r="D2671" s="2" t="str">
        <f>IFERROR(__xludf.DUMMYFUNCTION("""COMPUTED_VALUE"""),"661-56050")</f>
        <v>661-56050</v>
      </c>
      <c r="E2671" s="2" t="str">
        <f>IFERROR(__xludf.DUMMYFUNCTION("""COMPUTED_VALUE"""),"Display, iPhone 17 Pro Max")</f>
        <v>Display, iPhone 17 Pro Max</v>
      </c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>
      <c r="A2672" s="10" t="str">
        <f t="shared" si="1"/>
        <v>February</v>
      </c>
      <c r="B2672" s="11">
        <f>IFERROR(__xludf.DUMMYFUNCTION("""COMPUTED_VALUE"""),46068.0)</f>
        <v>46068</v>
      </c>
      <c r="C2672" s="2" t="str">
        <f>IFERROR(__xludf.DUMMYFUNCTION("""COMPUTED_VALUE"""),"MOBILECARE - APP FESTIVAL MALL")</f>
        <v>MOBILECARE - APP FESTIVAL MALL</v>
      </c>
      <c r="D2672" s="2" t="str">
        <f>IFERROR(__xludf.DUMMYFUNCTION("""COMPUTED_VALUE"""),"661-21996")</f>
        <v>661-21996</v>
      </c>
      <c r="E2672" s="2" t="str">
        <f>IFERROR(__xludf.DUMMYFUNCTION("""COMPUTED_VALUE"""),"Battery, iPhone 13 Pro")</f>
        <v>Battery, iPhone 13 Pro</v>
      </c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>
      <c r="A2673" s="10" t="str">
        <f t="shared" si="1"/>
        <v>February</v>
      </c>
      <c r="B2673" s="11">
        <f>IFERROR(__xludf.DUMMYFUNCTION("""COMPUTED_VALUE"""),46065.0)</f>
        <v>46065</v>
      </c>
      <c r="C2673" s="2" t="str">
        <f>IFERROR(__xludf.DUMMYFUNCTION("""COMPUTED_VALUE"""),"MOBILECARE - APP FESTIVAL MALL")</f>
        <v>MOBILECARE - APP FESTIVAL MALL</v>
      </c>
      <c r="D2673" s="2" t="str">
        <f>IFERROR(__xludf.DUMMYFUNCTION("""COMPUTED_VALUE"""),"661-21991")</f>
        <v>661-21991</v>
      </c>
      <c r="E2673" s="2" t="str">
        <f>IFERROR(__xludf.DUMMYFUNCTION("""COMPUTED_VALUE"""),"Battery, iPhone 13")</f>
        <v>Battery, iPhone 13</v>
      </c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>
      <c r="A2674" s="10" t="str">
        <f t="shared" si="1"/>
        <v>January</v>
      </c>
      <c r="B2674" s="11">
        <f>IFERROR(__xludf.DUMMYFUNCTION("""COMPUTED_VALUE"""),46053.0)</f>
        <v>46053</v>
      </c>
      <c r="C2674" s="2" t="str">
        <f>IFERROR(__xludf.DUMMYFUNCTION("""COMPUTED_VALUE"""),"MOBILECARE - APP FESTIVAL MALL")</f>
        <v>MOBILECARE - APP FESTIVAL MALL</v>
      </c>
      <c r="D2674" s="2" t="str">
        <f>IFERROR(__xludf.DUMMYFUNCTION("""COMPUTED_VALUE"""),"661-44955")</f>
        <v>661-44955</v>
      </c>
      <c r="E2674" s="2" t="str">
        <f>IFERROR(__xludf.DUMMYFUNCTION("""COMPUTED_VALUE"""),"Display, iPhone 16 Pro Max")</f>
        <v>Display, iPhone 16 Pro Max</v>
      </c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>
      <c r="A2675" s="10" t="str">
        <f t="shared" si="1"/>
        <v>May</v>
      </c>
      <c r="B2675" s="11">
        <f>IFERROR(__xludf.DUMMYFUNCTION("""COMPUTED_VALUE"""),46150.0)</f>
        <v>46150</v>
      </c>
      <c r="C2675" s="2" t="str">
        <f>IFERROR(__xludf.DUMMYFUNCTION("""COMPUTED_VALUE"""),"MOBILECARE - APP FESTIVAL MALL")</f>
        <v>MOBILECARE - APP FESTIVAL MALL</v>
      </c>
      <c r="D2675" s="2" t="str">
        <f>IFERROR(__xludf.DUMMYFUNCTION("""COMPUTED_VALUE"""),"661-22294")</f>
        <v>661-22294</v>
      </c>
      <c r="E2675" s="2" t="str">
        <f>IFERROR(__xludf.DUMMYFUNCTION("""COMPUTED_VALUE"""),"Battery, iPhone 13 Pro Max")</f>
        <v>Battery, iPhone 13 Pro Max</v>
      </c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>
      <c r="A2676" s="10" t="str">
        <f t="shared" si="1"/>
        <v>May</v>
      </c>
      <c r="B2676" s="11">
        <f>IFERROR(__xludf.DUMMYFUNCTION("""COMPUTED_VALUE"""),46144.0)</f>
        <v>46144</v>
      </c>
      <c r="C2676" s="2" t="str">
        <f>IFERROR(__xludf.DUMMYFUNCTION("""COMPUTED_VALUE"""),"MOBILECARE - APP FESTIVAL MALL")</f>
        <v>MOBILECARE - APP FESTIVAL MALL</v>
      </c>
      <c r="D2676" s="2" t="str">
        <f>IFERROR(__xludf.DUMMYFUNCTION("""COMPUTED_VALUE"""),"661-56066")</f>
        <v>661-56066</v>
      </c>
      <c r="E2676" s="2" t="str">
        <f>IFERROR(__xludf.DUMMYFUNCTION("""COMPUTED_VALUE"""),"Front Camera, iPhone 17")</f>
        <v>Front Camera, iPhone 17</v>
      </c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>
      <c r="A2677" s="10" t="str">
        <f t="shared" si="1"/>
        <v>April</v>
      </c>
      <c r="B2677" s="11">
        <f>IFERROR(__xludf.DUMMYFUNCTION("""COMPUTED_VALUE"""),46129.0)</f>
        <v>46129</v>
      </c>
      <c r="C2677" s="2" t="str">
        <f>IFERROR(__xludf.DUMMYFUNCTION("""COMPUTED_VALUE"""),"MOBILECARE - APP FESTIVAL MALL")</f>
        <v>MOBILECARE - APP FESTIVAL MALL</v>
      </c>
      <c r="D2677" s="2" t="str">
        <f>IFERROR(__xludf.DUMMYFUNCTION("""COMPUTED_VALUE"""),"661-36918")</f>
        <v>661-36918</v>
      </c>
      <c r="E2677" s="2" t="str">
        <f>IFERROR(__xludf.DUMMYFUNCTION("""COMPUTED_VALUE"""),"Battery, iPhone 15 Pro Max")</f>
        <v>Battery, iPhone 15 Pro Max</v>
      </c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>
      <c r="A2678" s="10" t="str">
        <f t="shared" si="1"/>
        <v>April</v>
      </c>
      <c r="B2678" s="11">
        <f>IFERROR(__xludf.DUMMYFUNCTION("""COMPUTED_VALUE"""),46116.0)</f>
        <v>46116</v>
      </c>
      <c r="C2678" s="2" t="str">
        <f>IFERROR(__xludf.DUMMYFUNCTION("""COMPUTED_VALUE"""),"MOBILECARE - APP FESTIVAL MALL")</f>
        <v>MOBILECARE - APP FESTIVAL MALL</v>
      </c>
      <c r="D2678" s="2" t="str">
        <f>IFERROR(__xludf.DUMMYFUNCTION("""COMPUTED_VALUE"""),"661-30370")</f>
        <v>661-30370</v>
      </c>
      <c r="E2678" s="2" t="str">
        <f>IFERROR(__xludf.DUMMYFUNCTION("""COMPUTED_VALUE"""),"Camera, iPhone 14")</f>
        <v>Camera, iPhone 14</v>
      </c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>
      <c r="A2679" s="10" t="str">
        <f t="shared" si="1"/>
        <v>April</v>
      </c>
      <c r="B2679" s="11">
        <f>IFERROR(__xludf.DUMMYFUNCTION("""COMPUTED_VALUE"""),46116.0)</f>
        <v>46116</v>
      </c>
      <c r="C2679" s="2" t="str">
        <f>IFERROR(__xludf.DUMMYFUNCTION("""COMPUTED_VALUE"""),"MOBILECARE - APP FESTIVAL MALL")</f>
        <v>MOBILECARE - APP FESTIVAL MALL</v>
      </c>
      <c r="D2679" s="2" t="str">
        <f>IFERROR(__xludf.DUMMYFUNCTION("""COMPUTED_VALUE"""),"923-08211")</f>
        <v>923-08211</v>
      </c>
      <c r="E2679" s="2" t="str">
        <f>IFERROR(__xludf.DUMMYFUNCTION("""COMPUTED_VALUE"""),"Top Speaker, iPhone 14")</f>
        <v>Top Speaker, iPhone 14</v>
      </c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>
      <c r="A2680" s="10" t="str">
        <f t="shared" si="1"/>
        <v>March</v>
      </c>
      <c r="B2680" s="11">
        <f>IFERROR(__xludf.DUMMYFUNCTION("""COMPUTED_VALUE"""),46097.0)</f>
        <v>46097</v>
      </c>
      <c r="C2680" s="2" t="str">
        <f>IFERROR(__xludf.DUMMYFUNCTION("""COMPUTED_VALUE"""),"MOBILECARE - APP FESTIVAL MALL")</f>
        <v>MOBILECARE - APP FESTIVAL MALL</v>
      </c>
      <c r="D2680" s="2" t="str">
        <f>IFERROR(__xludf.DUMMYFUNCTION("""COMPUTED_VALUE"""),"661-17920")</f>
        <v>661-17920</v>
      </c>
      <c r="E2680" s="2" t="str">
        <f>IFERROR(__xludf.DUMMYFUNCTION("""COMPUTED_VALUE"""),"Battery, iPhone 12 and 12 Pro")</f>
        <v>Battery, iPhone 12 and 12 Pro</v>
      </c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>
      <c r="A2681" s="10" t="str">
        <f t="shared" si="1"/>
        <v>February</v>
      </c>
      <c r="B2681" s="11">
        <f>IFERROR(__xludf.DUMMYFUNCTION("""COMPUTED_VALUE"""),46078.0)</f>
        <v>46078</v>
      </c>
      <c r="C2681" s="2" t="str">
        <f>IFERROR(__xludf.DUMMYFUNCTION("""COMPUTED_VALUE"""),"MOBILECARE - APP FESTIVAL MALL")</f>
        <v>MOBILECARE - APP FESTIVAL MALL</v>
      </c>
      <c r="D2681" s="2" t="str">
        <f>IFERROR(__xludf.DUMMYFUNCTION("""COMPUTED_VALUE"""),"TA661-55152")</f>
        <v>TA661-55152</v>
      </c>
      <c r="E2681" s="2" t="str">
        <f>IFERROR(__xludf.DUMMYFUNCTION("""COMPUTED_VALUE"""),"Silver, 512GB, iPhone 17 Pro, ROW, CI/AR, Taiwan")</f>
        <v>Silver, 512GB, iPhone 17 Pro, ROW, CI/AR, Taiwan</v>
      </c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>
      <c r="A2682" s="10" t="str">
        <f t="shared" si="1"/>
        <v>February</v>
      </c>
      <c r="B2682" s="11">
        <f>IFERROR(__xludf.DUMMYFUNCTION("""COMPUTED_VALUE"""),46068.0)</f>
        <v>46068</v>
      </c>
      <c r="C2682" s="2" t="str">
        <f>IFERROR(__xludf.DUMMYFUNCTION("""COMPUTED_VALUE"""),"MOBILECARE - APP FESTIVAL MALL")</f>
        <v>MOBILECARE - APP FESTIVAL MALL</v>
      </c>
      <c r="D2682" s="2" t="str">
        <f>IFERROR(__xludf.DUMMYFUNCTION("""COMPUTED_VALUE"""),"661-44955")</f>
        <v>661-44955</v>
      </c>
      <c r="E2682" s="2" t="str">
        <f>IFERROR(__xludf.DUMMYFUNCTION("""COMPUTED_VALUE"""),"Display, iPhone 16 Pro Max")</f>
        <v>Display, iPhone 16 Pro Max</v>
      </c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>
      <c r="A2683" s="10" t="str">
        <f t="shared" si="1"/>
        <v>February</v>
      </c>
      <c r="B2683" s="11">
        <f>IFERROR(__xludf.DUMMYFUNCTION("""COMPUTED_VALUE"""),46071.0)</f>
        <v>46071</v>
      </c>
      <c r="C2683" s="2" t="str">
        <f>IFERROR(__xludf.DUMMYFUNCTION("""COMPUTED_VALUE"""),"MOBILECARE - APP FESTIVAL MALL")</f>
        <v>MOBILECARE - APP FESTIVAL MALL</v>
      </c>
      <c r="D2683" s="2" t="str">
        <f>IFERROR(__xludf.DUMMYFUNCTION("""COMPUTED_VALUE"""),"661-17920")</f>
        <v>661-17920</v>
      </c>
      <c r="E2683" s="2" t="str">
        <f>IFERROR(__xludf.DUMMYFUNCTION("""COMPUTED_VALUE"""),"Battery, iPhone 12 and 12 Pro")</f>
        <v>Battery, iPhone 12 and 12 Pro</v>
      </c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>
      <c r="A2684" s="10" t="str">
        <f t="shared" si="1"/>
        <v>February</v>
      </c>
      <c r="B2684" s="11">
        <f>IFERROR(__xludf.DUMMYFUNCTION("""COMPUTED_VALUE"""),46075.0)</f>
        <v>46075</v>
      </c>
      <c r="C2684" s="2" t="str">
        <f>IFERROR(__xludf.DUMMYFUNCTION("""COMPUTED_VALUE"""),"MOBILECARE - APP FESTIVAL MALL")</f>
        <v>MOBILECARE - APP FESTIVAL MALL</v>
      </c>
      <c r="D2684" s="2" t="str">
        <f>IFERROR(__xludf.DUMMYFUNCTION("""COMPUTED_VALUE"""),"661-21988")</f>
        <v>661-21988</v>
      </c>
      <c r="E2684" s="2" t="str">
        <f>IFERROR(__xludf.DUMMYFUNCTION("""COMPUTED_VALUE"""),"Display, iPhone 13")</f>
        <v>Display, iPhone 13</v>
      </c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>
      <c r="A2685" s="10" t="str">
        <f t="shared" si="1"/>
        <v>February</v>
      </c>
      <c r="B2685" s="11">
        <f>IFERROR(__xludf.DUMMYFUNCTION("""COMPUTED_VALUE"""),46060.0)</f>
        <v>46060</v>
      </c>
      <c r="C2685" s="2" t="str">
        <f>IFERROR(__xludf.DUMMYFUNCTION("""COMPUTED_VALUE"""),"MOBILECARE - APP FESTIVAL MALL")</f>
        <v>MOBILECARE - APP FESTIVAL MALL</v>
      </c>
      <c r="D2685" s="2" t="str">
        <f>IFERROR(__xludf.DUMMYFUNCTION("""COMPUTED_VALUE"""),"661-56050")</f>
        <v>661-56050</v>
      </c>
      <c r="E2685" s="2" t="str">
        <f>IFERROR(__xludf.DUMMYFUNCTION("""COMPUTED_VALUE"""),"Display, iPhone 17 Pro Max")</f>
        <v>Display, iPhone 17 Pro Max</v>
      </c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>
      <c r="A2686" s="10" t="str">
        <f t="shared" si="1"/>
        <v>January</v>
      </c>
      <c r="B2686" s="11">
        <f>IFERROR(__xludf.DUMMYFUNCTION("""COMPUTED_VALUE"""),46053.0)</f>
        <v>46053</v>
      </c>
      <c r="C2686" s="2" t="str">
        <f>IFERROR(__xludf.DUMMYFUNCTION("""COMPUTED_VALUE"""),"MOBILECARE - APP FESTIVAL MALL")</f>
        <v>MOBILECARE - APP FESTIVAL MALL</v>
      </c>
      <c r="D2686" s="2" t="str">
        <f>IFERROR(__xludf.DUMMYFUNCTION("""COMPUTED_VALUE"""),"661-36706")</f>
        <v>661-36706</v>
      </c>
      <c r="E2686" s="2" t="str">
        <f>IFERROR(__xludf.DUMMYFUNCTION("""COMPUTED_VALUE"""),"Display, iPhone 15")</f>
        <v>Display, iPhone 15</v>
      </c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>
      <c r="A2687" s="10" t="str">
        <f t="shared" si="1"/>
        <v>January</v>
      </c>
      <c r="B2687" s="11">
        <f>IFERROR(__xludf.DUMMYFUNCTION("""COMPUTED_VALUE"""),46047.0)</f>
        <v>46047</v>
      </c>
      <c r="C2687" s="2" t="str">
        <f>IFERROR(__xludf.DUMMYFUNCTION("""COMPUTED_VALUE"""),"MOBILECARE - APP FESTIVAL MALL")</f>
        <v>MOBILECARE - APP FESTIVAL MALL</v>
      </c>
      <c r="D2687" s="2" t="str">
        <f>IFERROR(__xludf.DUMMYFUNCTION("""COMPUTED_VALUE"""),"661-36915")</f>
        <v>661-36915</v>
      </c>
      <c r="E2687" s="2" t="str">
        <f>IFERROR(__xludf.DUMMYFUNCTION("""COMPUTED_VALUE"""),"Display, iPhone 15 Pro Max")</f>
        <v>Display, iPhone 15 Pro Max</v>
      </c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>
      <c r="A2688" s="10" t="str">
        <f t="shared" si="1"/>
        <v>January</v>
      </c>
      <c r="B2688" s="11">
        <f>IFERROR(__xludf.DUMMYFUNCTION("""COMPUTED_VALUE"""),46044.0)</f>
        <v>46044</v>
      </c>
      <c r="C2688" s="2" t="str">
        <f>IFERROR(__xludf.DUMMYFUNCTION("""COMPUTED_VALUE"""),"MOBILECARE - APP FESTIVAL MALL")</f>
        <v>MOBILECARE - APP FESTIVAL MALL</v>
      </c>
      <c r="D2688" s="2" t="str">
        <f>IFERROR(__xludf.DUMMYFUNCTION("""COMPUTED_VALUE"""),"661-42843")</f>
        <v>661-42843</v>
      </c>
      <c r="E2688" s="2" t="str">
        <f>IFERROR(__xludf.DUMMYFUNCTION("""COMPUTED_VALUE"""),"Display, iPhone 16 Plus")</f>
        <v>Display, iPhone 16 Plus</v>
      </c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>
      <c r="A2689" s="10" t="str">
        <f t="shared" si="1"/>
        <v>May</v>
      </c>
      <c r="B2689" s="11">
        <f>IFERROR(__xludf.DUMMYFUNCTION("""COMPUTED_VALUE"""),46168.0)</f>
        <v>46168</v>
      </c>
      <c r="C2689" s="2" t="str">
        <f>IFERROR(__xludf.DUMMYFUNCTION("""COMPUTED_VALUE"""),"MOBILECARE - APP FESTIVAL MALL")</f>
        <v>MOBILECARE - APP FESTIVAL MALL</v>
      </c>
      <c r="D2689" s="2" t="str">
        <f>IFERROR(__xludf.DUMMYFUNCTION("""COMPUTED_VALUE"""),"661-21991")</f>
        <v>661-21991</v>
      </c>
      <c r="E2689" s="2" t="str">
        <f>IFERROR(__xludf.DUMMYFUNCTION("""COMPUTED_VALUE"""),"Battery, iPhone 13")</f>
        <v>Battery, iPhone 13</v>
      </c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>
      <c r="A2690" s="10" t="str">
        <f t="shared" si="1"/>
        <v>May</v>
      </c>
      <c r="B2690" s="11">
        <f>IFERROR(__xludf.DUMMYFUNCTION("""COMPUTED_VALUE"""),46163.0)</f>
        <v>46163</v>
      </c>
      <c r="C2690" s="2" t="str">
        <f>IFERROR(__xludf.DUMMYFUNCTION("""COMPUTED_VALUE"""),"MOBILECARE - APP FESTIVAL MALL")</f>
        <v>MOBILECARE - APP FESTIVAL MALL</v>
      </c>
      <c r="D2690" s="2" t="str">
        <f>IFERROR(__xludf.DUMMYFUNCTION("""COMPUTED_VALUE"""),"661-21991")</f>
        <v>661-21991</v>
      </c>
      <c r="E2690" s="2" t="str">
        <f>IFERROR(__xludf.DUMMYFUNCTION("""COMPUTED_VALUE"""),"Battery, iPhone 13")</f>
        <v>Battery, iPhone 13</v>
      </c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>
      <c r="A2691" s="10" t="str">
        <f t="shared" si="1"/>
        <v>May</v>
      </c>
      <c r="B2691" s="11">
        <f>IFERROR(__xludf.DUMMYFUNCTION("""COMPUTED_VALUE"""),46156.0)</f>
        <v>46156</v>
      </c>
      <c r="C2691" s="2" t="str">
        <f>IFERROR(__xludf.DUMMYFUNCTION("""COMPUTED_VALUE"""),"MOBILECARE - APP FESTIVAL MALL")</f>
        <v>MOBILECARE - APP FESTIVAL MALL</v>
      </c>
      <c r="D2691" s="2" t="str">
        <f>IFERROR(__xludf.DUMMYFUNCTION("""COMPUTED_VALUE"""),"661-35694")</f>
        <v>661-35694</v>
      </c>
      <c r="E2691" s="2" t="str">
        <f>IFERROR(__xludf.DUMMYFUNCTION("""COMPUTED_VALUE"""),"Battery, iPhone 15 Pro")</f>
        <v>Battery, iPhone 15 Pro</v>
      </c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>
      <c r="A2692" s="10" t="str">
        <f t="shared" si="1"/>
        <v>April</v>
      </c>
      <c r="B2692" s="11">
        <f>IFERROR(__xludf.DUMMYFUNCTION("""COMPUTED_VALUE"""),46135.0)</f>
        <v>46135</v>
      </c>
      <c r="C2692" s="2" t="str">
        <f>IFERROR(__xludf.DUMMYFUNCTION("""COMPUTED_VALUE"""),"MOBILECARE - APP FESTIVAL MALL")</f>
        <v>MOBILECARE - APP FESTIVAL MALL</v>
      </c>
      <c r="D2692" s="2" t="str">
        <f>IFERROR(__xludf.DUMMYFUNCTION("""COMPUTED_VALUE"""),"661-30397")</f>
        <v>661-30397</v>
      </c>
      <c r="E2692" s="2" t="str">
        <f>IFERROR(__xludf.DUMMYFUNCTION("""COMPUTED_VALUE"""),"Battery, iPhone 14 Pro Max")</f>
        <v>Battery, iPhone 14 Pro Max</v>
      </c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>
      <c r="A2693" s="10" t="str">
        <f t="shared" si="1"/>
        <v>March</v>
      </c>
      <c r="B2693" s="11">
        <f>IFERROR(__xludf.DUMMYFUNCTION("""COMPUTED_VALUE"""),46102.0)</f>
        <v>46102</v>
      </c>
      <c r="C2693" s="2" t="str">
        <f>IFERROR(__xludf.DUMMYFUNCTION("""COMPUTED_VALUE"""),"MOBILECARE - APP FESTIVAL MALL")</f>
        <v>MOBILECARE - APP FESTIVAL MALL</v>
      </c>
      <c r="D2693" s="2" t="str">
        <f>IFERROR(__xludf.DUMMYFUNCTION("""COMPUTED_VALUE"""),"661-21991")</f>
        <v>661-21991</v>
      </c>
      <c r="E2693" s="2" t="str">
        <f>IFERROR(__xludf.DUMMYFUNCTION("""COMPUTED_VALUE"""),"Battery, iPhone 13")</f>
        <v>Battery, iPhone 13</v>
      </c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>
      <c r="A2694" s="10" t="str">
        <f t="shared" si="1"/>
        <v>March</v>
      </c>
      <c r="B2694" s="11">
        <f>IFERROR(__xludf.DUMMYFUNCTION("""COMPUTED_VALUE"""),46087.0)</f>
        <v>46087</v>
      </c>
      <c r="C2694" s="2" t="str">
        <f>IFERROR(__xludf.DUMMYFUNCTION("""COMPUTED_VALUE"""),"MOBILECARE - APP FESTIVAL MALL")</f>
        <v>MOBILECARE - APP FESTIVAL MALL</v>
      </c>
      <c r="D2694" s="2" t="str">
        <f>IFERROR(__xludf.DUMMYFUNCTION("""COMPUTED_VALUE"""),"661-17920")</f>
        <v>661-17920</v>
      </c>
      <c r="E2694" s="2" t="str">
        <f>IFERROR(__xludf.DUMMYFUNCTION("""COMPUTED_VALUE"""),"Battery, iPhone 12 and 12 Pro")</f>
        <v>Battery, iPhone 12 and 12 Pro</v>
      </c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>
      <c r="A2695" s="10" t="str">
        <f t="shared" si="1"/>
        <v>February</v>
      </c>
      <c r="B2695" s="11">
        <f>IFERROR(__xludf.DUMMYFUNCTION("""COMPUTED_VALUE"""),46071.0)</f>
        <v>46071</v>
      </c>
      <c r="C2695" s="2" t="str">
        <f>IFERROR(__xludf.DUMMYFUNCTION("""COMPUTED_VALUE"""),"MOBILECARE - APP FESTIVAL MALL")</f>
        <v>MOBILECARE - APP FESTIVAL MALL</v>
      </c>
      <c r="D2695" s="2" t="str">
        <f>IFERROR(__xludf.DUMMYFUNCTION("""COMPUTED_VALUE"""),"661-18428")</f>
        <v>661-18428</v>
      </c>
      <c r="E2695" s="2" t="str">
        <f>IFERROR(__xludf.DUMMYFUNCTION("""COMPUTED_VALUE"""),"Battery, iPhone 12 Pro Max")</f>
        <v>Battery, iPhone 12 Pro Max</v>
      </c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>
      <c r="A2696" s="10" t="str">
        <f t="shared" si="1"/>
        <v>March</v>
      </c>
      <c r="B2696" s="11">
        <f>IFERROR(__xludf.DUMMYFUNCTION("""COMPUTED_VALUE"""),46092.0)</f>
        <v>46092</v>
      </c>
      <c r="C2696" s="2" t="str">
        <f>IFERROR(__xludf.DUMMYFUNCTION("""COMPUTED_VALUE"""),"MOBILECARE - APP FESTIVAL MALL")</f>
        <v>MOBILECARE - APP FESTIVAL MALL</v>
      </c>
      <c r="D2696" s="2" t="str">
        <f>IFERROR(__xludf.DUMMYFUNCTION("""COMPUTED_VALUE"""),"661-13574")</f>
        <v>661-13574</v>
      </c>
      <c r="E2696" s="2" t="str">
        <f>IFERROR(__xludf.DUMMYFUNCTION("""COMPUTED_VALUE"""),"Battery, iPhone 11")</f>
        <v>Battery, iPhone 11</v>
      </c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>
      <c r="A2697" s="10" t="str">
        <f t="shared" si="1"/>
        <v>February</v>
      </c>
      <c r="B2697" s="11">
        <f>IFERROR(__xludf.DUMMYFUNCTION("""COMPUTED_VALUE"""),46066.0)</f>
        <v>46066</v>
      </c>
      <c r="C2697" s="2" t="str">
        <f>IFERROR(__xludf.DUMMYFUNCTION("""COMPUTED_VALUE"""),"MOBILECARE - APP FESTIVAL MALL")</f>
        <v>MOBILECARE - APP FESTIVAL MALL</v>
      </c>
      <c r="D2697" s="2" t="str">
        <f>IFERROR(__xludf.DUMMYFUNCTION("""COMPUTED_VALUE"""),"661-21988")</f>
        <v>661-21988</v>
      </c>
      <c r="E2697" s="2" t="str">
        <f>IFERROR(__xludf.DUMMYFUNCTION("""COMPUTED_VALUE"""),"Display, iPhone 13")</f>
        <v>Display, iPhone 13</v>
      </c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>
      <c r="A2698" s="10" t="str">
        <f t="shared" si="1"/>
        <v>May</v>
      </c>
      <c r="B2698" s="11">
        <f>IFERROR(__xludf.DUMMYFUNCTION("""COMPUTED_VALUE"""),46159.0)</f>
        <v>46159</v>
      </c>
      <c r="C2698" s="2" t="str">
        <f>IFERROR(__xludf.DUMMYFUNCTION("""COMPUTED_VALUE"""),"MOBILECARE - APP FESTIVAL MALL")</f>
        <v>MOBILECARE - APP FESTIVAL MALL</v>
      </c>
      <c r="D2698" s="2" t="str">
        <f>IFERROR(__xludf.DUMMYFUNCTION("""COMPUTED_VALUE"""),"661-44956")</f>
        <v>661-44956</v>
      </c>
      <c r="E2698" s="2" t="str">
        <f>IFERROR(__xludf.DUMMYFUNCTION("""COMPUTED_VALUE"""),"TrueDepth Camera, iPhone 16 Pro Max")</f>
        <v>TrueDepth Camera, iPhone 16 Pro Max</v>
      </c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>
      <c r="A2699" s="10" t="str">
        <f t="shared" si="1"/>
        <v>May</v>
      </c>
      <c r="B2699" s="11">
        <f>IFERROR(__xludf.DUMMYFUNCTION("""COMPUTED_VALUE"""),46154.0)</f>
        <v>46154</v>
      </c>
      <c r="C2699" s="2" t="str">
        <f>IFERROR(__xludf.DUMMYFUNCTION("""COMPUTED_VALUE"""),"MOBILECARE - APP FESTIVAL MALL")</f>
        <v>MOBILECARE - APP FESTIVAL MALL</v>
      </c>
      <c r="D2699" s="2" t="str">
        <f>IFERROR(__xludf.DUMMYFUNCTION("""COMPUTED_VALUE"""),"661-42727")</f>
        <v>661-42727</v>
      </c>
      <c r="E2699" s="2" t="str">
        <f>IFERROR(__xludf.DUMMYFUNCTION("""COMPUTED_VALUE"""),"TrueDepth Camera, iPhone 16 Pro")</f>
        <v>TrueDepth Camera, iPhone 16 Pro</v>
      </c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>
      <c r="A2700" s="10" t="str">
        <f t="shared" si="1"/>
        <v>April</v>
      </c>
      <c r="B2700" s="11">
        <f>IFERROR(__xludf.DUMMYFUNCTION("""COMPUTED_VALUE"""),46131.0)</f>
        <v>46131</v>
      </c>
      <c r="C2700" s="2" t="str">
        <f>IFERROR(__xludf.DUMMYFUNCTION("""COMPUTED_VALUE"""),"MOBILECARE - APP FESTIVAL MALL")</f>
        <v>MOBILECARE - APP FESTIVAL MALL</v>
      </c>
      <c r="D2700" s="2" t="str">
        <f>IFERROR(__xludf.DUMMYFUNCTION("""COMPUTED_VALUE"""),"PP661-17624")</f>
        <v>PP661-17624</v>
      </c>
      <c r="E2700" s="2" t="str">
        <f>IFERROR(__xludf.DUMMYFUNCTION("""COMPUTED_VALUE"""),"Graphite, 256GB, iPhone 12 Pro Max, ROW, Philippines, CI/AR")</f>
        <v>Graphite, 256GB, iPhone 12 Pro Max, ROW, Philippines, CI/AR</v>
      </c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>
      <c r="A2701" s="10" t="str">
        <f t="shared" si="1"/>
        <v>February</v>
      </c>
      <c r="B2701" s="11">
        <f>IFERROR(__xludf.DUMMYFUNCTION("""COMPUTED_VALUE"""),46081.0)</f>
        <v>46081</v>
      </c>
      <c r="C2701" s="2" t="str">
        <f>IFERROR(__xludf.DUMMYFUNCTION("""COMPUTED_VALUE"""),"MOBILECARE - APP FESTIVAL MALL")</f>
        <v>MOBILECARE - APP FESTIVAL MALL</v>
      </c>
      <c r="D2701" s="2" t="str">
        <f>IFERROR(__xludf.DUMMYFUNCTION("""COMPUTED_VALUE"""),"661-44955")</f>
        <v>661-44955</v>
      </c>
      <c r="E2701" s="2" t="str">
        <f>IFERROR(__xludf.DUMMYFUNCTION("""COMPUTED_VALUE"""),"Display, iPhone 16 Pro Max")</f>
        <v>Display, iPhone 16 Pro Max</v>
      </c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>
      <c r="A2702" s="10" t="str">
        <f t="shared" si="1"/>
        <v>February</v>
      </c>
      <c r="B2702" s="11">
        <f>IFERROR(__xludf.DUMMYFUNCTION("""COMPUTED_VALUE"""),46067.0)</f>
        <v>46067</v>
      </c>
      <c r="C2702" s="2" t="str">
        <f>IFERROR(__xludf.DUMMYFUNCTION("""COMPUTED_VALUE"""),"MOBILECARE - APP FESTIVAL MALL")</f>
        <v>MOBILECARE - APP FESTIVAL MALL</v>
      </c>
      <c r="D2702" s="2" t="str">
        <f>IFERROR(__xludf.DUMMYFUNCTION("""COMPUTED_VALUE"""),"661-21991")</f>
        <v>661-21991</v>
      </c>
      <c r="E2702" s="2" t="str">
        <f>IFERROR(__xludf.DUMMYFUNCTION("""COMPUTED_VALUE"""),"Battery, iPhone 13")</f>
        <v>Battery, iPhone 13</v>
      </c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>
      <c r="A2703" s="10" t="str">
        <f t="shared" si="1"/>
        <v>February</v>
      </c>
      <c r="B2703" s="11">
        <f>IFERROR(__xludf.DUMMYFUNCTION("""COMPUTED_VALUE"""),46072.0)</f>
        <v>46072</v>
      </c>
      <c r="C2703" s="2" t="str">
        <f>IFERROR(__xludf.DUMMYFUNCTION("""COMPUTED_VALUE"""),"MOBILECARE - APP FESTIVAL MALL")</f>
        <v>MOBILECARE - APP FESTIVAL MALL</v>
      </c>
      <c r="D2703" s="2" t="str">
        <f>IFERROR(__xludf.DUMMYFUNCTION("""COMPUTED_VALUE"""),"661-13574")</f>
        <v>661-13574</v>
      </c>
      <c r="E2703" s="2" t="str">
        <f>IFERROR(__xludf.DUMMYFUNCTION("""COMPUTED_VALUE"""),"Battery, iPhone 11")</f>
        <v>Battery, iPhone 11</v>
      </c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>
      <c r="A2704" s="10" t="str">
        <f t="shared" si="1"/>
        <v>February</v>
      </c>
      <c r="B2704" s="11">
        <f>IFERROR(__xludf.DUMMYFUNCTION("""COMPUTED_VALUE"""),46072.0)</f>
        <v>46072</v>
      </c>
      <c r="C2704" s="2" t="str">
        <f>IFERROR(__xludf.DUMMYFUNCTION("""COMPUTED_VALUE"""),"MOBILECARE - APP FESTIVAL MALL")</f>
        <v>MOBILECARE - APP FESTIVAL MALL</v>
      </c>
      <c r="D2704" s="2" t="str">
        <f>IFERROR(__xludf.DUMMYFUNCTION("""COMPUTED_VALUE"""),"661-14098")</f>
        <v>661-14098</v>
      </c>
      <c r="E2704" s="2" t="str">
        <f>IFERROR(__xludf.DUMMYFUNCTION("""COMPUTED_VALUE"""),"Display, iPhone 11")</f>
        <v>Display, iPhone 11</v>
      </c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>
      <c r="A2705" s="10" t="str">
        <f t="shared" si="1"/>
        <v>January</v>
      </c>
      <c r="B2705" s="11">
        <f>IFERROR(__xludf.DUMMYFUNCTION("""COMPUTED_VALUE"""),46053.0)</f>
        <v>46053</v>
      </c>
      <c r="C2705" s="2" t="str">
        <f>IFERROR(__xludf.DUMMYFUNCTION("""COMPUTED_VALUE"""),"MOBILECARE - APP FESTIVAL MALL")</f>
        <v>MOBILECARE - APP FESTIVAL MALL</v>
      </c>
      <c r="D2705" s="2" t="str">
        <f>IFERROR(__xludf.DUMMYFUNCTION("""COMPUTED_VALUE"""),"661-21996")</f>
        <v>661-21996</v>
      </c>
      <c r="E2705" s="2" t="str">
        <f>IFERROR(__xludf.DUMMYFUNCTION("""COMPUTED_VALUE"""),"Battery, iPhone 13 Pro")</f>
        <v>Battery, iPhone 13 Pro</v>
      </c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>
      <c r="A2706" s="10" t="str">
        <f t="shared" si="1"/>
        <v>May</v>
      </c>
      <c r="B2706" s="11">
        <f>IFERROR(__xludf.DUMMYFUNCTION("""COMPUTED_VALUE"""),46163.0)</f>
        <v>46163</v>
      </c>
      <c r="C2706" s="2" t="str">
        <f>IFERROR(__xludf.DUMMYFUNCTION("""COMPUTED_VALUE"""),"MOBILECARE - APP FESTIVAL MALL")</f>
        <v>MOBILECARE - APP FESTIVAL MALL</v>
      </c>
      <c r="D2706" s="2" t="str">
        <f>IFERROR(__xludf.DUMMYFUNCTION("""COMPUTED_VALUE"""),"661-21996")</f>
        <v>661-21996</v>
      </c>
      <c r="E2706" s="2" t="str">
        <f>IFERROR(__xludf.DUMMYFUNCTION("""COMPUTED_VALUE"""),"Battery, iPhone 13 Pro")</f>
        <v>Battery, iPhone 13 Pro</v>
      </c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>
      <c r="A2707" s="10" t="str">
        <f t="shared" si="1"/>
        <v>May</v>
      </c>
      <c r="B2707" s="11">
        <f>IFERROR(__xludf.DUMMYFUNCTION("""COMPUTED_VALUE"""),46165.0)</f>
        <v>46165</v>
      </c>
      <c r="C2707" s="2" t="str">
        <f>IFERROR(__xludf.DUMMYFUNCTION("""COMPUTED_VALUE"""),"MOBILECARE - APP FESTIVAL MALL")</f>
        <v>MOBILECARE - APP FESTIVAL MALL</v>
      </c>
      <c r="D2707" s="2" t="str">
        <f>IFERROR(__xludf.DUMMYFUNCTION("""COMPUTED_VALUE"""),"661-21991")</f>
        <v>661-21991</v>
      </c>
      <c r="E2707" s="2" t="str">
        <f>IFERROR(__xludf.DUMMYFUNCTION("""COMPUTED_VALUE"""),"Battery, iPhone 13")</f>
        <v>Battery, iPhone 13</v>
      </c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>
      <c r="A2708" s="10" t="str">
        <f t="shared" si="1"/>
        <v>May</v>
      </c>
      <c r="B2708" s="11">
        <f>IFERROR(__xludf.DUMMYFUNCTION("""COMPUTED_VALUE"""),46162.0)</f>
        <v>46162</v>
      </c>
      <c r="C2708" s="2" t="str">
        <f>IFERROR(__xludf.DUMMYFUNCTION("""COMPUTED_VALUE"""),"MOBILECARE - APP FESTIVAL MALL")</f>
        <v>MOBILECARE - APP FESTIVAL MALL</v>
      </c>
      <c r="D2708" s="2" t="str">
        <f>IFERROR(__xludf.DUMMYFUNCTION("""COMPUTED_VALUE"""),"661-21991")</f>
        <v>661-21991</v>
      </c>
      <c r="E2708" s="2" t="str">
        <f>IFERROR(__xludf.DUMMYFUNCTION("""COMPUTED_VALUE"""),"Battery, iPhone 13")</f>
        <v>Battery, iPhone 13</v>
      </c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>
      <c r="A2709" s="10" t="str">
        <f t="shared" si="1"/>
        <v>April</v>
      </c>
      <c r="B2709" s="11">
        <f>IFERROR(__xludf.DUMMYFUNCTION("""COMPUTED_VALUE"""),46122.0)</f>
        <v>46122</v>
      </c>
      <c r="C2709" s="2" t="str">
        <f>IFERROR(__xludf.DUMMYFUNCTION("""COMPUTED_VALUE"""),"MOBILECARE - APP FESTIVAL MALL")</f>
        <v>MOBILECARE - APP FESTIVAL MALL</v>
      </c>
      <c r="D2709" s="2" t="str">
        <f>IFERROR(__xludf.DUMMYFUNCTION("""COMPUTED_VALUE"""),"661-22309")</f>
        <v>661-22309</v>
      </c>
      <c r="E2709" s="2" t="str">
        <f>IFERROR(__xludf.DUMMYFUNCTION("""COMPUTED_VALUE"""),"Display, iPhone 13 Pro Max")</f>
        <v>Display, iPhone 13 Pro Max</v>
      </c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>
      <c r="A2710" s="10" t="str">
        <f t="shared" si="1"/>
        <v>April</v>
      </c>
      <c r="B2710" s="11">
        <f>IFERROR(__xludf.DUMMYFUNCTION("""COMPUTED_VALUE"""),46118.0)</f>
        <v>46118</v>
      </c>
      <c r="C2710" s="2" t="str">
        <f>IFERROR(__xludf.DUMMYFUNCTION("""COMPUTED_VALUE"""),"MOBILECARE - APP FESTIVAL MALL")</f>
        <v>MOBILECARE - APP FESTIVAL MALL</v>
      </c>
      <c r="D2710" s="2" t="str">
        <f>IFERROR(__xludf.DUMMYFUNCTION("""COMPUTED_VALUE"""),"661-56125")</f>
        <v>661-56125</v>
      </c>
      <c r="E2710" s="2" t="str">
        <f>IFERROR(__xludf.DUMMYFUNCTION("""COMPUTED_VALUE"""),"Display, iPhone 17 Pro")</f>
        <v>Display, iPhone 17 Pro</v>
      </c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>
      <c r="A2711" s="10" t="str">
        <f t="shared" si="1"/>
        <v>January</v>
      </c>
      <c r="B2711" s="11">
        <f>IFERROR(__xludf.DUMMYFUNCTION("""COMPUTED_VALUE"""),46051.0)</f>
        <v>46051</v>
      </c>
      <c r="C2711" s="2" t="str">
        <f>IFERROR(__xludf.DUMMYFUNCTION("""COMPUTED_VALUE"""),"MOBILECARE - APP FESTIVAL MALL")</f>
        <v>MOBILECARE - APP FESTIVAL MALL</v>
      </c>
      <c r="D2711" s="2" t="str">
        <f>IFERROR(__xludf.DUMMYFUNCTION("""COMPUTED_VALUE"""),"661-42726")</f>
        <v>661-42726</v>
      </c>
      <c r="E2711" s="2" t="str">
        <f>IFERROR(__xludf.DUMMYFUNCTION("""COMPUTED_VALUE"""),"Display, iPhone 16 Pro")</f>
        <v>Display, iPhone 16 Pro</v>
      </c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>
      <c r="A2712" s="10" t="str">
        <f t="shared" si="1"/>
        <v>February</v>
      </c>
      <c r="B2712" s="11">
        <f>IFERROR(__xludf.DUMMYFUNCTION("""COMPUTED_VALUE"""),46057.0)</f>
        <v>46057</v>
      </c>
      <c r="C2712" s="2" t="str">
        <f>IFERROR(__xludf.DUMMYFUNCTION("""COMPUTED_VALUE"""),"MOBILECARE - APP FESTIVAL MALL")</f>
        <v>MOBILECARE - APP FESTIVAL MALL</v>
      </c>
      <c r="D2712" s="2" t="str">
        <f>IFERROR(__xludf.DUMMYFUNCTION("""COMPUTED_VALUE"""),"661-36918")</f>
        <v>661-36918</v>
      </c>
      <c r="E2712" s="2" t="str">
        <f>IFERROR(__xludf.DUMMYFUNCTION("""COMPUTED_VALUE"""),"Battery, iPhone 15 Pro Max")</f>
        <v>Battery, iPhone 15 Pro Max</v>
      </c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>
      <c r="A2713" s="10" t="str">
        <f t="shared" si="1"/>
        <v>June</v>
      </c>
      <c r="B2713" s="11">
        <f>IFERROR(__xludf.DUMMYFUNCTION("""COMPUTED_VALUE"""),46185.0)</f>
        <v>46185</v>
      </c>
      <c r="C2713" s="2" t="str">
        <f>IFERROR(__xludf.DUMMYFUNCTION("""COMPUTED_VALUE"""),"MOBILECARE - APP FESTIVAL MALL")</f>
        <v>MOBILECARE - APP FESTIVAL MALL</v>
      </c>
      <c r="D2713" s="2" t="str">
        <f>IFERROR(__xludf.DUMMYFUNCTION("""COMPUTED_VALUE"""),"661-42726")</f>
        <v>661-42726</v>
      </c>
      <c r="E2713" s="2" t="str">
        <f>IFERROR(__xludf.DUMMYFUNCTION("""COMPUTED_VALUE"""),"Display, iPhone 16 Pro")</f>
        <v>Display, iPhone 16 Pro</v>
      </c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>
      <c r="A2714" s="10" t="str">
        <f t="shared" si="1"/>
        <v>June</v>
      </c>
      <c r="B2714" s="11">
        <f>IFERROR(__xludf.DUMMYFUNCTION("""COMPUTED_VALUE"""),46186.0)</f>
        <v>46186</v>
      </c>
      <c r="C2714" s="2" t="str">
        <f>IFERROR(__xludf.DUMMYFUNCTION("""COMPUTED_VALUE"""),"MOBILECARE - APP FESTIVAL MALL")</f>
        <v>MOBILECARE - APP FESTIVAL MALL</v>
      </c>
      <c r="D2714" s="2" t="str">
        <f>IFERROR(__xludf.DUMMYFUNCTION("""COMPUTED_VALUE"""),"661-44955")</f>
        <v>661-44955</v>
      </c>
      <c r="E2714" s="2" t="str">
        <f>IFERROR(__xludf.DUMMYFUNCTION("""COMPUTED_VALUE"""),"Display, iPhone 16 Pro Max")</f>
        <v>Display, iPhone 16 Pro Max</v>
      </c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>
      <c r="A2715" s="10" t="str">
        <f t="shared" si="1"/>
        <v>May</v>
      </c>
      <c r="B2715" s="11">
        <f>IFERROR(__xludf.DUMMYFUNCTION("""COMPUTED_VALUE"""),46154.0)</f>
        <v>46154</v>
      </c>
      <c r="C2715" s="2" t="str">
        <f>IFERROR(__xludf.DUMMYFUNCTION("""COMPUTED_VALUE"""),"MOBILECARE - APP FESTIVAL MALL")</f>
        <v>MOBILECARE - APP FESTIVAL MALL</v>
      </c>
      <c r="D2715" s="2" t="str">
        <f>IFERROR(__xludf.DUMMYFUNCTION("""COMPUTED_VALUE"""),"661-21991")</f>
        <v>661-21991</v>
      </c>
      <c r="E2715" s="2" t="str">
        <f>IFERROR(__xludf.DUMMYFUNCTION("""COMPUTED_VALUE"""),"Battery, iPhone 13")</f>
        <v>Battery, iPhone 13</v>
      </c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>
      <c r="A2716" s="10" t="str">
        <f t="shared" si="1"/>
        <v>June</v>
      </c>
      <c r="B2716" s="11">
        <f>IFERROR(__xludf.DUMMYFUNCTION("""COMPUTED_VALUE"""),46190.0)</f>
        <v>46190</v>
      </c>
      <c r="C2716" s="2" t="str">
        <f>IFERROR(__xludf.DUMMYFUNCTION("""COMPUTED_VALUE"""),"MOBILECARE - APP FESTIVAL MALL")</f>
        <v>MOBILECARE - APP FESTIVAL MALL</v>
      </c>
      <c r="D2716" s="2" t="str">
        <f>IFERROR(__xludf.DUMMYFUNCTION("""COMPUTED_VALUE"""),"TA661-45262")</f>
        <v>TA661-45262</v>
      </c>
      <c r="E2716" s="2" t="str">
        <f>IFERROR(__xludf.DUMMYFUNCTION("""COMPUTED_VALUE"""),"256GB, White Titanium, ROW, iPhone 16 Pro Max, CI/AR")</f>
        <v>256GB, White Titanium, ROW, iPhone 16 Pro Max, CI/AR</v>
      </c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>
      <c r="A2717" s="10" t="str">
        <f t="shared" si="1"/>
        <v>May</v>
      </c>
      <c r="B2717" s="11">
        <f>IFERROR(__xludf.DUMMYFUNCTION("""COMPUTED_VALUE"""),46143.0)</f>
        <v>46143</v>
      </c>
      <c r="C2717" s="2" t="str">
        <f>IFERROR(__xludf.DUMMYFUNCTION("""COMPUTED_VALUE"""),"MOBILECARE - APP FESTIVAL MALL")</f>
        <v>MOBILECARE - APP FESTIVAL MALL</v>
      </c>
      <c r="D2717" s="2" t="str">
        <f>IFERROR(__xludf.DUMMYFUNCTION("""COMPUTED_VALUE"""),"661-21991")</f>
        <v>661-21991</v>
      </c>
      <c r="E2717" s="2" t="str">
        <f>IFERROR(__xludf.DUMMYFUNCTION("""COMPUTED_VALUE"""),"Battery, iPhone 13")</f>
        <v>Battery, iPhone 13</v>
      </c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>
      <c r="A2718" s="10" t="str">
        <f t="shared" si="1"/>
        <v>March</v>
      </c>
      <c r="B2718" s="11">
        <f>IFERROR(__xludf.DUMMYFUNCTION("""COMPUTED_VALUE"""),46106.0)</f>
        <v>46106</v>
      </c>
      <c r="C2718" s="2" t="str">
        <f>IFERROR(__xludf.DUMMYFUNCTION("""COMPUTED_VALUE"""),"MOBILECARE - APP FESTIVAL MALL")</f>
        <v>MOBILECARE - APP FESTIVAL MALL</v>
      </c>
      <c r="D2718" s="2" t="str">
        <f>IFERROR(__xludf.DUMMYFUNCTION("""COMPUTED_VALUE"""),"661-30397")</f>
        <v>661-30397</v>
      </c>
      <c r="E2718" s="2" t="str">
        <f>IFERROR(__xludf.DUMMYFUNCTION("""COMPUTED_VALUE"""),"Battery, iPhone 14 Pro Max")</f>
        <v>Battery, iPhone 14 Pro Max</v>
      </c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>
      <c r="A2719" s="10" t="str">
        <f t="shared" si="1"/>
        <v>March</v>
      </c>
      <c r="B2719" s="11">
        <f>IFERROR(__xludf.DUMMYFUNCTION("""COMPUTED_VALUE"""),46088.0)</f>
        <v>46088</v>
      </c>
      <c r="C2719" s="2" t="str">
        <f>IFERROR(__xludf.DUMMYFUNCTION("""COMPUTED_VALUE"""),"MOBILECARE - APP FESTIVAL MALL")</f>
        <v>MOBILECARE - APP FESTIVAL MALL</v>
      </c>
      <c r="D2719" s="2" t="str">
        <f>IFERROR(__xludf.DUMMYFUNCTION("""COMPUTED_VALUE"""),"661-56067")</f>
        <v>661-56067</v>
      </c>
      <c r="E2719" s="2" t="str">
        <f>IFERROR(__xludf.DUMMYFUNCTION("""COMPUTED_VALUE"""),"Camera, iPhone 17")</f>
        <v>Camera, iPhone 17</v>
      </c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>
      <c r="A2720" s="10" t="str">
        <f t="shared" si="1"/>
        <v>March</v>
      </c>
      <c r="B2720" s="11">
        <f>IFERROR(__xludf.DUMMYFUNCTION("""COMPUTED_VALUE"""),46088.0)</f>
        <v>46088</v>
      </c>
      <c r="C2720" s="2" t="str">
        <f>IFERROR(__xludf.DUMMYFUNCTION("""COMPUTED_VALUE"""),"MOBILECARE - APP FESTIVAL MALL")</f>
        <v>MOBILECARE - APP FESTIVAL MALL</v>
      </c>
      <c r="D2720" s="2" t="str">
        <f>IFERROR(__xludf.DUMMYFUNCTION("""COMPUTED_VALUE"""),"PP661-13315")</f>
        <v>PP661-13315</v>
      </c>
      <c r="E2720" s="2" t="str">
        <f>IFERROR(__xludf.DUMMYFUNCTION("""COMPUTED_VALUE"""),"64GB, Black, ROW, iPhone 11, CI/AR-PPN")</f>
        <v>64GB, Black, ROW, iPhone 11, CI/AR-PPN</v>
      </c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>
      <c r="A2721" s="10" t="str">
        <f t="shared" si="1"/>
        <v>February</v>
      </c>
      <c r="B2721" s="11">
        <f>IFERROR(__xludf.DUMMYFUNCTION("""COMPUTED_VALUE"""),46069.0)</f>
        <v>46069</v>
      </c>
      <c r="C2721" s="2" t="str">
        <f>IFERROR(__xludf.DUMMYFUNCTION("""COMPUTED_VALUE"""),"MOBILECARE - APP FESTIVAL MALL")</f>
        <v>MOBILECARE - APP FESTIVAL MALL</v>
      </c>
      <c r="D2721" s="2" t="str">
        <f>IFERROR(__xludf.DUMMYFUNCTION("""COMPUTED_VALUE"""),"661-44797")</f>
        <v>661-44797</v>
      </c>
      <c r="E2721" s="2" t="str">
        <f>IFERROR(__xludf.DUMMYFUNCTION("""COMPUTED_VALUE"""),"Display, iPhone 16")</f>
        <v>Display, iPhone 16</v>
      </c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>
      <c r="A2722" s="10" t="str">
        <f t="shared" si="1"/>
        <v>February</v>
      </c>
      <c r="B2722" s="11">
        <f>IFERROR(__xludf.DUMMYFUNCTION("""COMPUTED_VALUE"""),46054.0)</f>
        <v>46054</v>
      </c>
      <c r="C2722" s="2" t="str">
        <f>IFERROR(__xludf.DUMMYFUNCTION("""COMPUTED_VALUE"""),"MOBILECARE - APP FESTIVAL MALL")</f>
        <v>MOBILECARE - APP FESTIVAL MALL</v>
      </c>
      <c r="D2722" s="2" t="str">
        <f>IFERROR(__xludf.DUMMYFUNCTION("""COMPUTED_VALUE"""),"661-56125")</f>
        <v>661-56125</v>
      </c>
      <c r="E2722" s="2" t="str">
        <f>IFERROR(__xludf.DUMMYFUNCTION("""COMPUTED_VALUE"""),"Display, iPhone 17 Pro")</f>
        <v>Display, iPhone 17 Pro</v>
      </c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>
      <c r="A2723" s="10" t="str">
        <f t="shared" si="1"/>
        <v>June</v>
      </c>
      <c r="B2723" s="11">
        <f>IFERROR(__xludf.DUMMYFUNCTION("""COMPUTED_VALUE"""),46179.0)</f>
        <v>46179</v>
      </c>
      <c r="C2723" s="2" t="str">
        <f>IFERROR(__xludf.DUMMYFUNCTION("""COMPUTED_VALUE"""),"MOBILECARE - APP FESTIVAL MALL")</f>
        <v>MOBILECARE - APP FESTIVAL MALL</v>
      </c>
      <c r="D2723" s="2" t="str">
        <f>IFERROR(__xludf.DUMMYFUNCTION("""COMPUTED_VALUE"""),"661-22294")</f>
        <v>661-22294</v>
      </c>
      <c r="E2723" s="2" t="str">
        <f>IFERROR(__xludf.DUMMYFUNCTION("""COMPUTED_VALUE"""),"Battery, iPhone 13 Pro Max")</f>
        <v>Battery, iPhone 13 Pro Max</v>
      </c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>
      <c r="A2724" s="10" t="str">
        <f t="shared" si="1"/>
        <v>May</v>
      </c>
      <c r="B2724" s="11">
        <f>IFERROR(__xludf.DUMMYFUNCTION("""COMPUTED_VALUE"""),46166.0)</f>
        <v>46166</v>
      </c>
      <c r="C2724" s="2" t="str">
        <f>IFERROR(__xludf.DUMMYFUNCTION("""COMPUTED_VALUE"""),"MOBILECARE - APP FESTIVAL MALL")</f>
        <v>MOBILECARE - APP FESTIVAL MALL</v>
      </c>
      <c r="D2724" s="2" t="str">
        <f>IFERROR(__xludf.DUMMYFUNCTION("""COMPUTED_VALUE"""),"661-13574")</f>
        <v>661-13574</v>
      </c>
      <c r="E2724" s="2" t="str">
        <f>IFERROR(__xludf.DUMMYFUNCTION("""COMPUTED_VALUE"""),"Battery, iPhone 11")</f>
        <v>Battery, iPhone 11</v>
      </c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>
      <c r="A2725" s="10" t="str">
        <f t="shared" si="1"/>
        <v>May</v>
      </c>
      <c r="B2725" s="11">
        <f>IFERROR(__xludf.DUMMYFUNCTION("""COMPUTED_VALUE"""),46160.0)</f>
        <v>46160</v>
      </c>
      <c r="C2725" s="2" t="str">
        <f>IFERROR(__xludf.DUMMYFUNCTION("""COMPUTED_VALUE"""),"MOBILECARE - APP FESTIVAL MALL")</f>
        <v>MOBILECARE - APP FESTIVAL MALL</v>
      </c>
      <c r="D2725" s="2" t="str">
        <f>IFERROR(__xludf.DUMMYFUNCTION("""COMPUTED_VALUE"""),"661-23878")</f>
        <v>661-23878</v>
      </c>
      <c r="E2725" s="2" t="str">
        <f>IFERROR(__xludf.DUMMYFUNCTION("""COMPUTED_VALUE"""),"TrueDepth Camera, iPhone 13")</f>
        <v>TrueDepth Camera, iPhone 13</v>
      </c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>
      <c r="A2726" s="10" t="str">
        <f t="shared" si="1"/>
        <v>May</v>
      </c>
      <c r="B2726" s="11">
        <f>IFERROR(__xludf.DUMMYFUNCTION("""COMPUTED_VALUE"""),46160.0)</f>
        <v>46160</v>
      </c>
      <c r="C2726" s="2" t="str">
        <f>IFERROR(__xludf.DUMMYFUNCTION("""COMPUTED_VALUE"""),"MOBILECARE - APP FESTIVAL MALL")</f>
        <v>MOBILECARE - APP FESTIVAL MALL</v>
      </c>
      <c r="D2726" s="2" t="str">
        <f>IFERROR(__xludf.DUMMYFUNCTION("""COMPUTED_VALUE"""),"661-32232")</f>
        <v>661-32232</v>
      </c>
      <c r="E2726" s="2" t="str">
        <f>IFERROR(__xludf.DUMMYFUNCTION("""COMPUTED_VALUE"""),"Rear Camera, iPhone 13/mini, MICN")</f>
        <v>Rear Camera, iPhone 13/mini, MICN</v>
      </c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>
      <c r="A2727" s="10" t="str">
        <f t="shared" si="1"/>
        <v>April</v>
      </c>
      <c r="B2727" s="11">
        <f>IFERROR(__xludf.DUMMYFUNCTION("""COMPUTED_VALUE"""),46131.0)</f>
        <v>46131</v>
      </c>
      <c r="C2727" s="2" t="str">
        <f>IFERROR(__xludf.DUMMYFUNCTION("""COMPUTED_VALUE"""),"MOBILECARE - APP FESTIVAL MALL")</f>
        <v>MOBILECARE - APP FESTIVAL MALL</v>
      </c>
      <c r="D2727" s="2" t="str">
        <f>IFERROR(__xludf.DUMMYFUNCTION("""COMPUTED_VALUE"""),"661-36915")</f>
        <v>661-36915</v>
      </c>
      <c r="E2727" s="2" t="str">
        <f>IFERROR(__xludf.DUMMYFUNCTION("""COMPUTED_VALUE"""),"Display, iPhone 15 Pro Max")</f>
        <v>Display, iPhone 15 Pro Max</v>
      </c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>
      <c r="A2728" s="10" t="str">
        <f t="shared" si="1"/>
        <v>April</v>
      </c>
      <c r="B2728" s="11">
        <f>IFERROR(__xludf.DUMMYFUNCTION("""COMPUTED_VALUE"""),46122.0)</f>
        <v>46122</v>
      </c>
      <c r="C2728" s="2" t="str">
        <f>IFERROR(__xludf.DUMMYFUNCTION("""COMPUTED_VALUE"""),"MOBILECARE - APP FESTIVAL MALL")</f>
        <v>MOBILECARE - APP FESTIVAL MALL</v>
      </c>
      <c r="D2728" s="2" t="str">
        <f>IFERROR(__xludf.DUMMYFUNCTION("""COMPUTED_VALUE"""),"661-21988")</f>
        <v>661-21988</v>
      </c>
      <c r="E2728" s="2" t="str">
        <f>IFERROR(__xludf.DUMMYFUNCTION("""COMPUTED_VALUE"""),"Display, iPhone 13")</f>
        <v>Display, iPhone 13</v>
      </c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>
      <c r="A2729" s="10" t="str">
        <f t="shared" si="1"/>
        <v>April</v>
      </c>
      <c r="B2729" s="11">
        <f>IFERROR(__xludf.DUMMYFUNCTION("""COMPUTED_VALUE"""),46119.0)</f>
        <v>46119</v>
      </c>
      <c r="C2729" s="2" t="str">
        <f>IFERROR(__xludf.DUMMYFUNCTION("""COMPUTED_VALUE"""),"MOBILECARE - APP FESTIVAL MALL")</f>
        <v>MOBILECARE - APP FESTIVAL MALL</v>
      </c>
      <c r="D2729" s="2" t="str">
        <f>IFERROR(__xludf.DUMMYFUNCTION("""COMPUTED_VALUE"""),"661-44954")</f>
        <v>661-44954</v>
      </c>
      <c r="E2729" s="2" t="str">
        <f>IFERROR(__xludf.DUMMYFUNCTION("""COMPUTED_VALUE"""),"Battery, iPhone 16 Pro Max")</f>
        <v>Battery, iPhone 16 Pro Max</v>
      </c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>
      <c r="A2730" s="10" t="str">
        <f t="shared" si="1"/>
        <v>March</v>
      </c>
      <c r="B2730" s="11">
        <f>IFERROR(__xludf.DUMMYFUNCTION("""COMPUTED_VALUE"""),46090.0)</f>
        <v>46090</v>
      </c>
      <c r="C2730" s="2" t="str">
        <f>IFERROR(__xludf.DUMMYFUNCTION("""COMPUTED_VALUE"""),"MOBILECARE - APP FESTIVAL MALL")</f>
        <v>MOBILECARE - APP FESTIVAL MALL</v>
      </c>
      <c r="D2730" s="2" t="str">
        <f>IFERROR(__xludf.DUMMYFUNCTION("""COMPUTED_VALUE"""),"661-36706")</f>
        <v>661-36706</v>
      </c>
      <c r="E2730" s="2" t="str">
        <f>IFERROR(__xludf.DUMMYFUNCTION("""COMPUTED_VALUE"""),"Display, iPhone 15")</f>
        <v>Display, iPhone 15</v>
      </c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>
      <c r="A2731" s="10" t="str">
        <f t="shared" si="1"/>
        <v>March</v>
      </c>
      <c r="B2731" s="11">
        <f>IFERROR(__xludf.DUMMYFUNCTION("""COMPUTED_VALUE"""),46092.0)</f>
        <v>46092</v>
      </c>
      <c r="C2731" s="2" t="str">
        <f>IFERROR(__xludf.DUMMYFUNCTION("""COMPUTED_VALUE"""),"MOBILECARE - APP FESTIVAL MALL")</f>
        <v>MOBILECARE - APP FESTIVAL MALL</v>
      </c>
      <c r="D2731" s="2" t="str">
        <f>IFERROR(__xludf.DUMMYFUNCTION("""COMPUTED_VALUE"""),"661-21991")</f>
        <v>661-21991</v>
      </c>
      <c r="E2731" s="2" t="str">
        <f>IFERROR(__xludf.DUMMYFUNCTION("""COMPUTED_VALUE"""),"Battery, iPhone 13")</f>
        <v>Battery, iPhone 13</v>
      </c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>
      <c r="A2732" s="10" t="str">
        <f t="shared" si="1"/>
        <v>June</v>
      </c>
      <c r="B2732" s="11">
        <f>IFERROR(__xludf.DUMMYFUNCTION("""COMPUTED_VALUE"""),46186.0)</f>
        <v>46186</v>
      </c>
      <c r="C2732" s="2" t="str">
        <f>IFERROR(__xludf.DUMMYFUNCTION("""COMPUTED_VALUE"""),"MOBILECARE - CEBU")</f>
        <v>MOBILECARE - CEBU</v>
      </c>
      <c r="D2732" s="2" t="str">
        <f>IFERROR(__xludf.DUMMYFUNCTION("""COMPUTED_VALUE"""),"Z661-55846")</f>
        <v>Z661-55846</v>
      </c>
      <c r="E2732" s="2" t="str">
        <f>IFERROR(__xludf.DUMMYFUNCTION("""COMPUTED_VALUE"""),"Logic Board, 256GB, iPhone Air, ROW")</f>
        <v>Logic Board, 256GB, iPhone Air, ROW</v>
      </c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>
      <c r="A2733" s="10" t="str">
        <f t="shared" si="1"/>
        <v>March</v>
      </c>
      <c r="B2733" s="11">
        <f>IFERROR(__xludf.DUMMYFUNCTION("""COMPUTED_VALUE"""),46108.0)</f>
        <v>46108</v>
      </c>
      <c r="C2733" s="2" t="str">
        <f>IFERROR(__xludf.DUMMYFUNCTION("""COMPUTED_VALUE"""),"MOBILECARE - CEBU")</f>
        <v>MOBILECARE - CEBU</v>
      </c>
      <c r="D2733" s="2" t="str">
        <f>IFERROR(__xludf.DUMMYFUNCTION("""COMPUTED_VALUE"""),"661-11232")</f>
        <v>661-11232</v>
      </c>
      <c r="E2733" s="2" t="str">
        <f>IFERROR(__xludf.DUMMYFUNCTION("""COMPUTED_VALUE"""),"Display, iPhone XR")</f>
        <v>Display, iPhone XR</v>
      </c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>
      <c r="A2734" s="10" t="str">
        <f t="shared" si="1"/>
        <v>March</v>
      </c>
      <c r="B2734" s="11">
        <f>IFERROR(__xludf.DUMMYFUNCTION("""COMPUTED_VALUE"""),46102.0)</f>
        <v>46102</v>
      </c>
      <c r="C2734" s="2" t="str">
        <f>IFERROR(__xludf.DUMMYFUNCTION("""COMPUTED_VALUE"""),"MOBILECARE - CEBU")</f>
        <v>MOBILECARE - CEBU</v>
      </c>
      <c r="D2734" s="2" t="str">
        <f>IFERROR(__xludf.DUMMYFUNCTION("""COMPUTED_VALUE"""),"661-22309")</f>
        <v>661-22309</v>
      </c>
      <c r="E2734" s="2" t="str">
        <f>IFERROR(__xludf.DUMMYFUNCTION("""COMPUTED_VALUE"""),"Display, iPhone 13 Pro Max")</f>
        <v>Display, iPhone 13 Pro Max</v>
      </c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>
      <c r="A2735" s="10" t="str">
        <f t="shared" si="1"/>
        <v>March</v>
      </c>
      <c r="B2735" s="11">
        <f>IFERROR(__xludf.DUMMYFUNCTION("""COMPUTED_VALUE"""),46107.0)</f>
        <v>46107</v>
      </c>
      <c r="C2735" s="2" t="str">
        <f>IFERROR(__xludf.DUMMYFUNCTION("""COMPUTED_VALUE"""),"MOBILECARE - CEBU")</f>
        <v>MOBILECARE - CEBU</v>
      </c>
      <c r="D2735" s="2" t="str">
        <f>IFERROR(__xludf.DUMMYFUNCTION("""COMPUTED_VALUE"""),"661-56052")</f>
        <v>661-56052</v>
      </c>
      <c r="E2735" s="2" t="str">
        <f>IFERROR(__xludf.DUMMYFUNCTION("""COMPUTED_VALUE"""),"Camera, iPhone 17 Pro Max")</f>
        <v>Camera, iPhone 17 Pro Max</v>
      </c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>
      <c r="A2736" s="10" t="str">
        <f t="shared" si="1"/>
        <v>February</v>
      </c>
      <c r="B2736" s="11">
        <f>IFERROR(__xludf.DUMMYFUNCTION("""COMPUTED_VALUE"""),46059.0)</f>
        <v>46059</v>
      </c>
      <c r="C2736" s="2" t="str">
        <f>IFERROR(__xludf.DUMMYFUNCTION("""COMPUTED_VALUE"""),"MOBILECARE - CEBU")</f>
        <v>MOBILECARE - CEBU</v>
      </c>
      <c r="D2736" s="2" t="str">
        <f>IFERROR(__xludf.DUMMYFUNCTION("""COMPUTED_VALUE"""),"TA661-45323")</f>
        <v>TA661-45323</v>
      </c>
      <c r="E2736" s="2" t="str">
        <f>IFERROR(__xludf.DUMMYFUNCTION("""COMPUTED_VALUE"""),"256GB, Desert Titanium, ROW, iPhone 16 Pro Max, Logic Board Assy Mid Sys")</f>
        <v>256GB, Desert Titanium, ROW, iPhone 16 Pro Max, Logic Board Assy Mid Sys</v>
      </c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>
      <c r="A2737" s="10" t="str">
        <f t="shared" si="1"/>
        <v>June</v>
      </c>
      <c r="B2737" s="11">
        <f>IFERROR(__xludf.DUMMYFUNCTION("""COMPUTED_VALUE"""),46179.0)</f>
        <v>46179</v>
      </c>
      <c r="C2737" s="2" t="str">
        <f>IFERROR(__xludf.DUMMYFUNCTION("""COMPUTED_VALUE"""),"MOBILECARE - CEBU")</f>
        <v>MOBILECARE - CEBU</v>
      </c>
      <c r="D2737" s="2" t="str">
        <f>IFERROR(__xludf.DUMMYFUNCTION("""COMPUTED_VALUE"""),"661-21988")</f>
        <v>661-21988</v>
      </c>
      <c r="E2737" s="2" t="str">
        <f>IFERROR(__xludf.DUMMYFUNCTION("""COMPUTED_VALUE"""),"Display, iPhone 13")</f>
        <v>Display, iPhone 13</v>
      </c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>
      <c r="A2738" s="10" t="str">
        <f t="shared" si="1"/>
        <v>June</v>
      </c>
      <c r="B2738" s="11">
        <f>IFERROR(__xludf.DUMMYFUNCTION("""COMPUTED_VALUE"""),46185.0)</f>
        <v>46185</v>
      </c>
      <c r="C2738" s="2" t="str">
        <f>IFERROR(__xludf.DUMMYFUNCTION("""COMPUTED_VALUE"""),"MOBILECARE - CEBU")</f>
        <v>MOBILECARE - CEBU</v>
      </c>
      <c r="D2738" s="2" t="str">
        <f>IFERROR(__xludf.DUMMYFUNCTION("""COMPUTED_VALUE"""),"661-21988")</f>
        <v>661-21988</v>
      </c>
      <c r="E2738" s="2" t="str">
        <f>IFERROR(__xludf.DUMMYFUNCTION("""COMPUTED_VALUE"""),"Display, iPhone 13")</f>
        <v>Display, iPhone 13</v>
      </c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>
      <c r="A2739" s="10" t="str">
        <f t="shared" si="1"/>
        <v>May</v>
      </c>
      <c r="B2739" s="11">
        <f>IFERROR(__xludf.DUMMYFUNCTION("""COMPUTED_VALUE"""),46146.0)</f>
        <v>46146</v>
      </c>
      <c r="C2739" s="2" t="str">
        <f>IFERROR(__xludf.DUMMYFUNCTION("""COMPUTED_VALUE"""),"MOBILECARE - CEBU")</f>
        <v>MOBILECARE - CEBU</v>
      </c>
      <c r="D2739" s="2" t="str">
        <f>IFERROR(__xludf.DUMMYFUNCTION("""COMPUTED_VALUE"""),"661-15741")</f>
        <v>661-15741</v>
      </c>
      <c r="E2739" s="2" t="str">
        <f>IFERROR(__xludf.DUMMYFUNCTION("""COMPUTED_VALUE"""),"Battery, iPhone SE 2nd gen")</f>
        <v>Battery, iPhone SE 2nd gen</v>
      </c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>
      <c r="A2740" s="10" t="str">
        <f t="shared" si="1"/>
        <v>May</v>
      </c>
      <c r="B2740" s="11">
        <f>IFERROR(__xludf.DUMMYFUNCTION("""COMPUTED_VALUE"""),46148.0)</f>
        <v>46148</v>
      </c>
      <c r="C2740" s="2" t="str">
        <f>IFERROR(__xludf.DUMMYFUNCTION("""COMPUTED_VALUE"""),"MOBILECARE - CEBU")</f>
        <v>MOBILECARE - CEBU</v>
      </c>
      <c r="D2740" s="2" t="str">
        <f>IFERROR(__xludf.DUMMYFUNCTION("""COMPUTED_VALUE"""),"661-21991")</f>
        <v>661-21991</v>
      </c>
      <c r="E2740" s="2" t="str">
        <f>IFERROR(__xludf.DUMMYFUNCTION("""COMPUTED_VALUE"""),"Battery, iPhone 13")</f>
        <v>Battery, iPhone 13</v>
      </c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>
      <c r="A2741" s="10" t="str">
        <f t="shared" si="1"/>
        <v>January</v>
      </c>
      <c r="B2741" s="11">
        <f>IFERROR(__xludf.DUMMYFUNCTION("""COMPUTED_VALUE"""),46047.0)</f>
        <v>46047</v>
      </c>
      <c r="C2741" s="2" t="str">
        <f>IFERROR(__xludf.DUMMYFUNCTION("""COMPUTED_VALUE"""),"MOBILECARE - CEBU")</f>
        <v>MOBILECARE - CEBU</v>
      </c>
      <c r="D2741" s="2" t="str">
        <f>IFERROR(__xludf.DUMMYFUNCTION("""COMPUTED_VALUE"""),"661-44955")</f>
        <v>661-44955</v>
      </c>
      <c r="E2741" s="2" t="str">
        <f>IFERROR(__xludf.DUMMYFUNCTION("""COMPUTED_VALUE"""),"Display, iPhone 16 Pro Max")</f>
        <v>Display, iPhone 16 Pro Max</v>
      </c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>
      <c r="A2742" s="10" t="str">
        <f t="shared" si="1"/>
        <v>March</v>
      </c>
      <c r="B2742" s="11">
        <f>IFERROR(__xludf.DUMMYFUNCTION("""COMPUTED_VALUE"""),46102.0)</f>
        <v>46102</v>
      </c>
      <c r="C2742" s="2" t="str">
        <f>IFERROR(__xludf.DUMMYFUNCTION("""COMPUTED_VALUE"""),"MOBILECARE - CEBU")</f>
        <v>MOBILECARE - CEBU</v>
      </c>
      <c r="D2742" s="2" t="str">
        <f>IFERROR(__xludf.DUMMYFUNCTION("""COMPUTED_VALUE"""),"661-22294")</f>
        <v>661-22294</v>
      </c>
      <c r="E2742" s="2" t="str">
        <f>IFERROR(__xludf.DUMMYFUNCTION("""COMPUTED_VALUE"""),"Battery, iPhone 13 Pro Max")</f>
        <v>Battery, iPhone 13 Pro Max</v>
      </c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>
      <c r="A2743" s="10" t="str">
        <f t="shared" si="1"/>
        <v>March</v>
      </c>
      <c r="B2743" s="11">
        <f>IFERROR(__xludf.DUMMYFUNCTION("""COMPUTED_VALUE"""),46109.0)</f>
        <v>46109</v>
      </c>
      <c r="C2743" s="2" t="str">
        <f>IFERROR(__xludf.DUMMYFUNCTION("""COMPUTED_VALUE"""),"MOBILECARE - CEBU")</f>
        <v>MOBILECARE - CEBU</v>
      </c>
      <c r="D2743" s="2" t="str">
        <f>IFERROR(__xludf.DUMMYFUNCTION("""COMPUTED_VALUE"""),"661-30366")</f>
        <v>661-30366</v>
      </c>
      <c r="E2743" s="2" t="str">
        <f>IFERROR(__xludf.DUMMYFUNCTION("""COMPUTED_VALUE"""),"Display, iPhone 14")</f>
        <v>Display, iPhone 14</v>
      </c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>
      <c r="A2744" s="10" t="str">
        <f t="shared" si="1"/>
        <v>June</v>
      </c>
      <c r="B2744" s="11">
        <f>IFERROR(__xludf.DUMMYFUNCTION("""COMPUTED_VALUE"""),46186.0)</f>
        <v>46186</v>
      </c>
      <c r="C2744" s="2" t="str">
        <f>IFERROR(__xludf.DUMMYFUNCTION("""COMPUTED_VALUE"""),"MOBILECARE - CEBU")</f>
        <v>MOBILECARE - CEBU</v>
      </c>
      <c r="D2744" s="2" t="str">
        <f>IFERROR(__xludf.DUMMYFUNCTION("""COMPUTED_VALUE"""),"661-56058")</f>
        <v>661-56058</v>
      </c>
      <c r="E2744" s="2" t="str">
        <f>IFERROR(__xludf.DUMMYFUNCTION("""COMPUTED_VALUE"""),"White, Back Glass, iPhone 17")</f>
        <v>White, Back Glass, iPhone 17</v>
      </c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>
      <c r="A2745" s="10" t="str">
        <f t="shared" si="1"/>
        <v>April</v>
      </c>
      <c r="B2745" s="11">
        <f>IFERROR(__xludf.DUMMYFUNCTION("""COMPUTED_VALUE"""),46123.0)</f>
        <v>46123</v>
      </c>
      <c r="C2745" s="2" t="str">
        <f>IFERROR(__xludf.DUMMYFUNCTION("""COMPUTED_VALUE"""),"MOBILECARE - CEBU")</f>
        <v>MOBILECARE - CEBU</v>
      </c>
      <c r="D2745" s="2" t="str">
        <f>IFERROR(__xludf.DUMMYFUNCTION("""COMPUTED_VALUE"""),"661-22294")</f>
        <v>661-22294</v>
      </c>
      <c r="E2745" s="2" t="str">
        <f>IFERROR(__xludf.DUMMYFUNCTION("""COMPUTED_VALUE"""),"Battery, iPhone 13 Pro Max")</f>
        <v>Battery, iPhone 13 Pro Max</v>
      </c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>
      <c r="A2746" s="10" t="str">
        <f t="shared" si="1"/>
        <v>May</v>
      </c>
      <c r="B2746" s="11">
        <f>IFERROR(__xludf.DUMMYFUNCTION("""COMPUTED_VALUE"""),46143.0)</f>
        <v>46143</v>
      </c>
      <c r="C2746" s="2" t="str">
        <f>IFERROR(__xludf.DUMMYFUNCTION("""COMPUTED_VALUE"""),"MOBILECARE - CEBU")</f>
        <v>MOBILECARE - CEBU</v>
      </c>
      <c r="D2746" s="2" t="str">
        <f>IFERROR(__xludf.DUMMYFUNCTION("""COMPUTED_VALUE"""),"TA661-45263")</f>
        <v>TA661-45263</v>
      </c>
      <c r="E2746" s="2" t="str">
        <f>IFERROR(__xludf.DUMMYFUNCTION("""COMPUTED_VALUE"""),"256GB, Desert Titanium, ROW, iPhone 16 Pro Max, CI/AR")</f>
        <v>256GB, Desert Titanium, ROW, iPhone 16 Pro Max, CI/AR</v>
      </c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>
      <c r="A2747" s="10" t="str">
        <f t="shared" si="1"/>
        <v>February</v>
      </c>
      <c r="B2747" s="11">
        <f>IFERROR(__xludf.DUMMYFUNCTION("""COMPUTED_VALUE"""),46077.0)</f>
        <v>46077</v>
      </c>
      <c r="C2747" s="2" t="str">
        <f>IFERROR(__xludf.DUMMYFUNCTION("""COMPUTED_VALUE"""),"MOBILECARE - CEBU")</f>
        <v>MOBILECARE - CEBU</v>
      </c>
      <c r="D2747" s="2" t="str">
        <f>IFERROR(__xludf.DUMMYFUNCTION("""COMPUTED_VALUE"""),"661-13574")</f>
        <v>661-13574</v>
      </c>
      <c r="E2747" s="2" t="str">
        <f>IFERROR(__xludf.DUMMYFUNCTION("""COMPUTED_VALUE"""),"Battery, iPhone 11")</f>
        <v>Battery, iPhone 11</v>
      </c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>
      <c r="A2748" s="10" t="str">
        <f t="shared" si="1"/>
        <v>February</v>
      </c>
      <c r="B2748" s="11">
        <f>IFERROR(__xludf.DUMMYFUNCTION("""COMPUTED_VALUE"""),46074.0)</f>
        <v>46074</v>
      </c>
      <c r="C2748" s="2" t="str">
        <f>IFERROR(__xludf.DUMMYFUNCTION("""COMPUTED_VALUE"""),"MOBILECARE - CEBU")</f>
        <v>MOBILECARE - CEBU</v>
      </c>
      <c r="D2748" s="2" t="str">
        <f>IFERROR(__xludf.DUMMYFUNCTION("""COMPUTED_VALUE"""),"923-11081")</f>
        <v>923-11081</v>
      </c>
      <c r="E2748" s="2" t="str">
        <f>IFERROR(__xludf.DUMMYFUNCTION("""COMPUTED_VALUE"""),"Bottom Speaker, iPhone 16 Pro Max")</f>
        <v>Bottom Speaker, iPhone 16 Pro Max</v>
      </c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>
      <c r="A2749" s="10" t="str">
        <f t="shared" si="1"/>
        <v>February</v>
      </c>
      <c r="B2749" s="11">
        <f>IFERROR(__xludf.DUMMYFUNCTION("""COMPUTED_VALUE"""),46074.0)</f>
        <v>46074</v>
      </c>
      <c r="C2749" s="2" t="str">
        <f>IFERROR(__xludf.DUMMYFUNCTION("""COMPUTED_VALUE"""),"MOBILECARE - CEBU")</f>
        <v>MOBILECARE - CEBU</v>
      </c>
      <c r="D2749" s="2" t="str">
        <f>IFERROR(__xludf.DUMMYFUNCTION("""COMPUTED_VALUE"""),"923-11083")</f>
        <v>923-11083</v>
      </c>
      <c r="E2749" s="2" t="str">
        <f>IFERROR(__xludf.DUMMYFUNCTION("""COMPUTED_VALUE"""),"Top Speaker, iPhone 16 Pro Max,non mmWave")</f>
        <v>Top Speaker, iPhone 16 Pro Max,non mmWave</v>
      </c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>
      <c r="A2750" s="10" t="str">
        <f t="shared" si="1"/>
        <v>February</v>
      </c>
      <c r="B2750" s="11">
        <f>IFERROR(__xludf.DUMMYFUNCTION("""COMPUTED_VALUE"""),46074.0)</f>
        <v>46074</v>
      </c>
      <c r="C2750" s="2" t="str">
        <f>IFERROR(__xludf.DUMMYFUNCTION("""COMPUTED_VALUE"""),"MOBILECARE - CEBU")</f>
        <v>MOBILECARE - CEBU</v>
      </c>
      <c r="D2750" s="2" t="str">
        <f>IFERROR(__xludf.DUMMYFUNCTION("""COMPUTED_VALUE"""),"661-44957")</f>
        <v>661-44957</v>
      </c>
      <c r="E2750" s="2" t="str">
        <f>IFERROR(__xludf.DUMMYFUNCTION("""COMPUTED_VALUE"""),"Camera, iPhone 16 Pro Max")</f>
        <v>Camera, iPhone 16 Pro Max</v>
      </c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>
      <c r="A2751" s="10" t="str">
        <f t="shared" si="1"/>
        <v>February</v>
      </c>
      <c r="B2751" s="11">
        <f>IFERROR(__xludf.DUMMYFUNCTION("""COMPUTED_VALUE"""),46057.0)</f>
        <v>46057</v>
      </c>
      <c r="C2751" s="2" t="str">
        <f>IFERROR(__xludf.DUMMYFUNCTION("""COMPUTED_VALUE"""),"MOBILECARE - CEBU")</f>
        <v>MOBILECARE - CEBU</v>
      </c>
      <c r="D2751" s="2" t="str">
        <f>IFERROR(__xludf.DUMMYFUNCTION("""COMPUTED_VALUE"""),"TA661-55282")</f>
        <v>TA661-55282</v>
      </c>
      <c r="E2751" s="2" t="str">
        <f>IFERROR(__xludf.DUMMYFUNCTION("""COMPUTED_VALUE"""),"Lavender, 256GB, iPhone 17, ROW, Taiwan, CI/AR")</f>
        <v>Lavender, 256GB, iPhone 17, ROW, Taiwan, CI/AR</v>
      </c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>
      <c r="A2752" s="10" t="str">
        <f t="shared" si="1"/>
        <v>May</v>
      </c>
      <c r="B2752" s="11">
        <f>IFERROR(__xludf.DUMMYFUNCTION("""COMPUTED_VALUE"""),46171.0)</f>
        <v>46171</v>
      </c>
      <c r="C2752" s="2" t="str">
        <f>IFERROR(__xludf.DUMMYFUNCTION("""COMPUTED_VALUE"""),"MOBILECARE - CEBU")</f>
        <v>MOBILECARE - CEBU</v>
      </c>
      <c r="D2752" s="2" t="str">
        <f>IFERROR(__xludf.DUMMYFUNCTION("""COMPUTED_VALUE"""),"661-56065")</f>
        <v>661-56065</v>
      </c>
      <c r="E2752" s="2" t="str">
        <f>IFERROR(__xludf.DUMMYFUNCTION("""COMPUTED_VALUE"""),"Display, iPhone 17")</f>
        <v>Display, iPhone 17</v>
      </c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>
      <c r="A2753" s="10" t="str">
        <f t="shared" si="1"/>
        <v>June</v>
      </c>
      <c r="B2753" s="11">
        <f>IFERROR(__xludf.DUMMYFUNCTION("""COMPUTED_VALUE"""),46185.0)</f>
        <v>46185</v>
      </c>
      <c r="C2753" s="2" t="str">
        <f>IFERROR(__xludf.DUMMYFUNCTION("""COMPUTED_VALUE"""),"MOBILECARE - CEBU")</f>
        <v>MOBILECARE - CEBU</v>
      </c>
      <c r="D2753" s="2" t="str">
        <f>IFERROR(__xludf.DUMMYFUNCTION("""COMPUTED_VALUE"""),"PP661-13321")</f>
        <v>PP661-13321</v>
      </c>
      <c r="E2753" s="2" t="str">
        <f>IFERROR(__xludf.DUMMYFUNCTION("""COMPUTED_VALUE"""),"128GB, Black, ROW, iPhone 11, CI/AR-PPN")</f>
        <v>128GB, Black, ROW, iPhone 11, CI/AR-PPN</v>
      </c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>
      <c r="A2754" s="10" t="str">
        <f t="shared" si="1"/>
        <v>May</v>
      </c>
      <c r="B2754" s="11">
        <f>IFERROR(__xludf.DUMMYFUNCTION("""COMPUTED_VALUE"""),46148.0)</f>
        <v>46148</v>
      </c>
      <c r="C2754" s="2" t="str">
        <f>IFERROR(__xludf.DUMMYFUNCTION("""COMPUTED_VALUE"""),"MOBILECARE - CEBU")</f>
        <v>MOBILECARE - CEBU</v>
      </c>
      <c r="D2754" s="2" t="str">
        <f>IFERROR(__xludf.DUMMYFUNCTION("""COMPUTED_VALUE"""),"661-44955")</f>
        <v>661-44955</v>
      </c>
      <c r="E2754" s="2" t="str">
        <f>IFERROR(__xludf.DUMMYFUNCTION("""COMPUTED_VALUE"""),"Display, iPhone 16 Pro Max")</f>
        <v>Display, iPhone 16 Pro Max</v>
      </c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>
      <c r="A2755" s="10" t="str">
        <f t="shared" si="1"/>
        <v>April</v>
      </c>
      <c r="B2755" s="11">
        <f>IFERROR(__xludf.DUMMYFUNCTION("""COMPUTED_VALUE"""),46120.0)</f>
        <v>46120</v>
      </c>
      <c r="C2755" s="2" t="str">
        <f>IFERROR(__xludf.DUMMYFUNCTION("""COMPUTED_VALUE"""),"MOBILECARE - CEBU")</f>
        <v>MOBILECARE - CEBU</v>
      </c>
      <c r="D2755" s="2" t="str">
        <f>IFERROR(__xludf.DUMMYFUNCTION("""COMPUTED_VALUE"""),"PP661-23454")</f>
        <v>PP661-23454</v>
      </c>
      <c r="E2755" s="2" t="str">
        <f>IFERROR(__xludf.DUMMYFUNCTION("""COMPUTED_VALUE"""),"iPhone 13, Midnight, 128GB, Logic Board Assy Rear System, ROW")</f>
        <v>iPhone 13, Midnight, 128GB, Logic Board Assy Rear System, ROW</v>
      </c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>
      <c r="A2756" s="10" t="str">
        <f t="shared" si="1"/>
        <v>March</v>
      </c>
      <c r="B2756" s="11">
        <f>IFERROR(__xludf.DUMMYFUNCTION("""COMPUTED_VALUE"""),46110.0)</f>
        <v>46110</v>
      </c>
      <c r="C2756" s="2" t="str">
        <f>IFERROR(__xludf.DUMMYFUNCTION("""COMPUTED_VALUE"""),"MOBILECARE - CEBU")</f>
        <v>MOBILECARE - CEBU</v>
      </c>
      <c r="D2756" s="2" t="str">
        <f>IFERROR(__xludf.DUMMYFUNCTION("""COMPUTED_VALUE"""),"PP661-23454")</f>
        <v>PP661-23454</v>
      </c>
      <c r="E2756" s="2" t="str">
        <f>IFERROR(__xludf.DUMMYFUNCTION("""COMPUTED_VALUE"""),"iPhone 13, Midnight, 128GB, Logic Board Assy Rear System, ROW")</f>
        <v>iPhone 13, Midnight, 128GB, Logic Board Assy Rear System, ROW</v>
      </c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>
      <c r="A2757" s="10" t="str">
        <f t="shared" si="1"/>
        <v>June</v>
      </c>
      <c r="B2757" s="11">
        <f>IFERROR(__xludf.DUMMYFUNCTION("""COMPUTED_VALUE"""),46186.0)</f>
        <v>46186</v>
      </c>
      <c r="C2757" s="2" t="str">
        <f>IFERROR(__xludf.DUMMYFUNCTION("""COMPUTED_VALUE"""),"MOBILECARE - CEBU")</f>
        <v>MOBILECARE - CEBU</v>
      </c>
      <c r="D2757" s="2" t="str">
        <f>IFERROR(__xludf.DUMMYFUNCTION("""COMPUTED_VALUE"""),"661-30394")</f>
        <v>661-30394</v>
      </c>
      <c r="E2757" s="2" t="str">
        <f>IFERROR(__xludf.DUMMYFUNCTION("""COMPUTED_VALUE"""),"Battery, iPhone 14 Plus")</f>
        <v>Battery, iPhone 14 Plus</v>
      </c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>
      <c r="A2758" s="10" t="str">
        <f t="shared" si="1"/>
        <v>May</v>
      </c>
      <c r="B2758" s="11">
        <f>IFERROR(__xludf.DUMMYFUNCTION("""COMPUTED_VALUE"""),46171.0)</f>
        <v>46171</v>
      </c>
      <c r="C2758" s="2" t="str">
        <f>IFERROR(__xludf.DUMMYFUNCTION("""COMPUTED_VALUE"""),"MOBILECARE - CEBU")</f>
        <v>MOBILECARE - CEBU</v>
      </c>
      <c r="D2758" s="2" t="str">
        <f>IFERROR(__xludf.DUMMYFUNCTION("""COMPUTED_VALUE"""),"661-30366")</f>
        <v>661-30366</v>
      </c>
      <c r="E2758" s="2" t="str">
        <f>IFERROR(__xludf.DUMMYFUNCTION("""COMPUTED_VALUE"""),"Display, iPhone 14")</f>
        <v>Display, iPhone 14</v>
      </c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>
      <c r="A2759" s="10" t="str">
        <f t="shared" si="1"/>
        <v>May</v>
      </c>
      <c r="B2759" s="11">
        <f>IFERROR(__xludf.DUMMYFUNCTION("""COMPUTED_VALUE"""),46164.0)</f>
        <v>46164</v>
      </c>
      <c r="C2759" s="2" t="str">
        <f>IFERROR(__xludf.DUMMYFUNCTION("""COMPUTED_VALUE"""),"MOBILECARE - CEBU")</f>
        <v>MOBILECARE - CEBU</v>
      </c>
      <c r="D2759" s="2" t="str">
        <f>IFERROR(__xludf.DUMMYFUNCTION("""COMPUTED_VALUE"""),"661-56050")</f>
        <v>661-56050</v>
      </c>
      <c r="E2759" s="2" t="str">
        <f>IFERROR(__xludf.DUMMYFUNCTION("""COMPUTED_VALUE"""),"Display, iPhone 17 Pro Max")</f>
        <v>Display, iPhone 17 Pro Max</v>
      </c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>
      <c r="A2760" s="10" t="str">
        <f t="shared" si="1"/>
        <v>April</v>
      </c>
      <c r="B2760" s="11">
        <f>IFERROR(__xludf.DUMMYFUNCTION("""COMPUTED_VALUE"""),46113.0)</f>
        <v>46113</v>
      </c>
      <c r="C2760" s="2" t="str">
        <f>IFERROR(__xludf.DUMMYFUNCTION("""COMPUTED_VALUE"""),"MOBILECARE - CEBU")</f>
        <v>MOBILECARE - CEBU</v>
      </c>
      <c r="D2760" s="2" t="str">
        <f>IFERROR(__xludf.DUMMYFUNCTION("""COMPUTED_VALUE"""),"TA661-36691")</f>
        <v>TA661-36691</v>
      </c>
      <c r="E2760" s="2" t="str">
        <f>IFERROR(__xludf.DUMMYFUNCTION("""COMPUTED_VALUE"""),"iPhone 15, Black, 128GB, Logic Board Assy Mid System, ROW")</f>
        <v>iPhone 15, Black, 128GB, Logic Board Assy Mid System, ROW</v>
      </c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>
      <c r="A2761" s="10" t="str">
        <f t="shared" si="1"/>
        <v>March</v>
      </c>
      <c r="B2761" s="11">
        <f>IFERROR(__xludf.DUMMYFUNCTION("""COMPUTED_VALUE"""),46085.0)</f>
        <v>46085</v>
      </c>
      <c r="C2761" s="2" t="str">
        <f>IFERROR(__xludf.DUMMYFUNCTION("""COMPUTED_VALUE"""),"MOBILECARE - CEBU")</f>
        <v>MOBILECARE - CEBU</v>
      </c>
      <c r="D2761" s="2" t="str">
        <f>IFERROR(__xludf.DUMMYFUNCTION("""COMPUTED_VALUE"""),"661-21991")</f>
        <v>661-21991</v>
      </c>
      <c r="E2761" s="2" t="str">
        <f>IFERROR(__xludf.DUMMYFUNCTION("""COMPUTED_VALUE"""),"Battery, iPhone 13")</f>
        <v>Battery, iPhone 13</v>
      </c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>
      <c r="A2762" s="10" t="str">
        <f t="shared" si="1"/>
        <v>February</v>
      </c>
      <c r="B2762" s="11">
        <f>IFERROR(__xludf.DUMMYFUNCTION("""COMPUTED_VALUE"""),46073.0)</f>
        <v>46073</v>
      </c>
      <c r="C2762" s="2" t="str">
        <f>IFERROR(__xludf.DUMMYFUNCTION("""COMPUTED_VALUE"""),"MOBILECARE - CEBU")</f>
        <v>MOBILECARE - CEBU</v>
      </c>
      <c r="D2762" s="2" t="str">
        <f>IFERROR(__xludf.DUMMYFUNCTION("""COMPUTED_VALUE"""),"661-42726")</f>
        <v>661-42726</v>
      </c>
      <c r="E2762" s="2" t="str">
        <f>IFERROR(__xludf.DUMMYFUNCTION("""COMPUTED_VALUE"""),"Display, iPhone 16 Pro")</f>
        <v>Display, iPhone 16 Pro</v>
      </c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>
      <c r="A2763" s="10" t="str">
        <f t="shared" si="1"/>
        <v>March</v>
      </c>
      <c r="B2763" s="11">
        <f>IFERROR(__xludf.DUMMYFUNCTION("""COMPUTED_VALUE"""),46083.0)</f>
        <v>46083</v>
      </c>
      <c r="C2763" s="2" t="str">
        <f>IFERROR(__xludf.DUMMYFUNCTION("""COMPUTED_VALUE"""),"MOBILECARE - CEBU")</f>
        <v>MOBILECARE - CEBU</v>
      </c>
      <c r="D2763" s="2" t="str">
        <f>IFERROR(__xludf.DUMMYFUNCTION("""COMPUTED_VALUE"""),"Z661-55956")</f>
        <v>Z661-55956</v>
      </c>
      <c r="E2763" s="2" t="str">
        <f>IFERROR(__xludf.DUMMYFUNCTION("""COMPUTED_VALUE"""),"Logic Board, 256GB, iPhone 17 Pro Max, ROW")</f>
        <v>Logic Board, 256GB, iPhone 17 Pro Max, ROW</v>
      </c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>
      <c r="A2764" s="10" t="str">
        <f t="shared" si="1"/>
        <v>January</v>
      </c>
      <c r="B2764" s="11">
        <f>IFERROR(__xludf.DUMMYFUNCTION("""COMPUTED_VALUE"""),46052.0)</f>
        <v>46052</v>
      </c>
      <c r="C2764" s="2" t="str">
        <f>IFERROR(__xludf.DUMMYFUNCTION("""COMPUTED_VALUE"""),"MOBILECARE - CEBU")</f>
        <v>MOBILECARE - CEBU</v>
      </c>
      <c r="D2764" s="2" t="str">
        <f>IFERROR(__xludf.DUMMYFUNCTION("""COMPUTED_VALUE"""),"661-42726")</f>
        <v>661-42726</v>
      </c>
      <c r="E2764" s="2" t="str">
        <f>IFERROR(__xludf.DUMMYFUNCTION("""COMPUTED_VALUE"""),"Display, iPhone 16 Pro")</f>
        <v>Display, iPhone 16 Pro</v>
      </c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>
      <c r="A2765" s="10" t="str">
        <f t="shared" si="1"/>
        <v>January</v>
      </c>
      <c r="B2765" s="11">
        <f>IFERROR(__xludf.DUMMYFUNCTION("""COMPUTED_VALUE"""),46035.0)</f>
        <v>46035</v>
      </c>
      <c r="C2765" s="2" t="str">
        <f>IFERROR(__xludf.DUMMYFUNCTION("""COMPUTED_VALUE"""),"MOBILECARE - CEBU")</f>
        <v>MOBILECARE - CEBU</v>
      </c>
      <c r="D2765" s="2" t="str">
        <f>IFERROR(__xludf.DUMMYFUNCTION("""COMPUTED_VALUE"""),"661-22294")</f>
        <v>661-22294</v>
      </c>
      <c r="E2765" s="2" t="str">
        <f>IFERROR(__xludf.DUMMYFUNCTION("""COMPUTED_VALUE"""),"Battery, iPhone 13 Pro Max")</f>
        <v>Battery, iPhone 13 Pro Max</v>
      </c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>
      <c r="A2766" s="10" t="str">
        <f t="shared" si="1"/>
        <v>May</v>
      </c>
      <c r="B2766" s="11">
        <f>IFERROR(__xludf.DUMMYFUNCTION("""COMPUTED_VALUE"""),46171.0)</f>
        <v>46171</v>
      </c>
      <c r="C2766" s="2" t="str">
        <f>IFERROR(__xludf.DUMMYFUNCTION("""COMPUTED_VALUE"""),"MOBILECARE - CEBU")</f>
        <v>MOBILECARE - CEBU</v>
      </c>
      <c r="D2766" s="2" t="str">
        <f>IFERROR(__xludf.DUMMYFUNCTION("""COMPUTED_VALUE"""),"661-21993")</f>
        <v>661-21993</v>
      </c>
      <c r="E2766" s="2" t="str">
        <f>IFERROR(__xludf.DUMMYFUNCTION("""COMPUTED_VALUE"""),"Display, iPhone 13 Pro")</f>
        <v>Display, iPhone 13 Pro</v>
      </c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>
      <c r="A2767" s="10" t="str">
        <f t="shared" si="1"/>
        <v>May</v>
      </c>
      <c r="B2767" s="11">
        <f>IFERROR(__xludf.DUMMYFUNCTION("""COMPUTED_VALUE"""),46171.0)</f>
        <v>46171</v>
      </c>
      <c r="C2767" s="2" t="str">
        <f>IFERROR(__xludf.DUMMYFUNCTION("""COMPUTED_VALUE"""),"MOBILECARE - CEBU")</f>
        <v>MOBILECARE - CEBU</v>
      </c>
      <c r="D2767" s="2" t="str">
        <f>IFERROR(__xludf.DUMMYFUNCTION("""COMPUTED_VALUE"""),"661-21996")</f>
        <v>661-21996</v>
      </c>
      <c r="E2767" s="2" t="str">
        <f>IFERROR(__xludf.DUMMYFUNCTION("""COMPUTED_VALUE"""),"Battery, iPhone 13 Pro")</f>
        <v>Battery, iPhone 13 Pro</v>
      </c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>
      <c r="A2768" s="10" t="str">
        <f t="shared" si="1"/>
        <v>May</v>
      </c>
      <c r="B2768" s="11">
        <f>IFERROR(__xludf.DUMMYFUNCTION("""COMPUTED_VALUE"""),46164.0)</f>
        <v>46164</v>
      </c>
      <c r="C2768" s="2" t="str">
        <f>IFERROR(__xludf.DUMMYFUNCTION("""COMPUTED_VALUE"""),"MOBILECARE - CEBU")</f>
        <v>MOBILECARE - CEBU</v>
      </c>
      <c r="D2768" s="2" t="str">
        <f>IFERROR(__xludf.DUMMYFUNCTION("""COMPUTED_VALUE"""),"661-42726")</f>
        <v>661-42726</v>
      </c>
      <c r="E2768" s="2" t="str">
        <f>IFERROR(__xludf.DUMMYFUNCTION("""COMPUTED_VALUE"""),"Display, iPhone 16 Pro")</f>
        <v>Display, iPhone 16 Pro</v>
      </c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>
      <c r="A2769" s="10" t="str">
        <f t="shared" si="1"/>
        <v>June</v>
      </c>
      <c r="B2769" s="11">
        <f>IFERROR(__xludf.DUMMYFUNCTION("""COMPUTED_VALUE"""),46187.0)</f>
        <v>46187</v>
      </c>
      <c r="C2769" s="2" t="str">
        <f>IFERROR(__xludf.DUMMYFUNCTION("""COMPUTED_VALUE"""),"MOBILECARE - CEBU")</f>
        <v>MOBILECARE - CEBU</v>
      </c>
      <c r="D2769" s="2" t="str">
        <f>IFERROR(__xludf.DUMMYFUNCTION("""COMPUTED_VALUE"""),"PP661-28868")</f>
        <v>PP661-28868</v>
      </c>
      <c r="E2769" s="2" t="str">
        <f>IFERROR(__xludf.DUMMYFUNCTION("""COMPUTED_VALUE"""),"iPhone 14, Midnight, 128GB, Logic Board Assy Mid System, ROW")</f>
        <v>iPhone 14, Midnight, 128GB, Logic Board Assy Mid System, ROW</v>
      </c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>
      <c r="A2770" s="10" t="str">
        <f t="shared" si="1"/>
        <v>April</v>
      </c>
      <c r="B2770" s="11">
        <f>IFERROR(__xludf.DUMMYFUNCTION("""COMPUTED_VALUE"""),46118.0)</f>
        <v>46118</v>
      </c>
      <c r="C2770" s="2" t="str">
        <f>IFERROR(__xludf.DUMMYFUNCTION("""COMPUTED_VALUE"""),"MOBILECARE - CEBU")</f>
        <v>MOBILECARE - CEBU</v>
      </c>
      <c r="D2770" s="2" t="str">
        <f>IFERROR(__xludf.DUMMYFUNCTION("""COMPUTED_VALUE"""),"661-21991")</f>
        <v>661-21991</v>
      </c>
      <c r="E2770" s="2" t="str">
        <f>IFERROR(__xludf.DUMMYFUNCTION("""COMPUTED_VALUE"""),"Battery, iPhone 13")</f>
        <v>Battery, iPhone 13</v>
      </c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>
      <c r="A2771" s="10" t="str">
        <f t="shared" si="1"/>
        <v>March</v>
      </c>
      <c r="B2771" s="11">
        <f>IFERROR(__xludf.DUMMYFUNCTION("""COMPUTED_VALUE"""),46088.0)</f>
        <v>46088</v>
      </c>
      <c r="C2771" s="2" t="str">
        <f>IFERROR(__xludf.DUMMYFUNCTION("""COMPUTED_VALUE"""),"MOBILECARE - CEBU")</f>
        <v>MOBILECARE - CEBU</v>
      </c>
      <c r="D2771" s="2" t="str">
        <f>IFERROR(__xludf.DUMMYFUNCTION("""COMPUTED_VALUE"""),"661-22374")</f>
        <v>661-22374</v>
      </c>
      <c r="E2771" s="2" t="str">
        <f>IFERROR(__xludf.DUMMYFUNCTION("""COMPUTED_VALUE"""),"Battery, iPhone 13 mini")</f>
        <v>Battery, iPhone 13 mini</v>
      </c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>
      <c r="A2772" s="10" t="str">
        <f t="shared" si="1"/>
        <v>February</v>
      </c>
      <c r="B2772" s="11">
        <f>IFERROR(__xludf.DUMMYFUNCTION("""COMPUTED_VALUE"""),46072.0)</f>
        <v>46072</v>
      </c>
      <c r="C2772" s="2" t="str">
        <f>IFERROR(__xludf.DUMMYFUNCTION("""COMPUTED_VALUE"""),"MOBILECARE - CEBU")</f>
        <v>MOBILECARE - CEBU</v>
      </c>
      <c r="D2772" s="2" t="str">
        <f>IFERROR(__xludf.DUMMYFUNCTION("""COMPUTED_VALUE"""),"661-30397")</f>
        <v>661-30397</v>
      </c>
      <c r="E2772" s="2" t="str">
        <f>IFERROR(__xludf.DUMMYFUNCTION("""COMPUTED_VALUE"""),"Battery, iPhone 14 Pro Max")</f>
        <v>Battery, iPhone 14 Pro Max</v>
      </c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>
      <c r="A2773" s="10" t="str">
        <f t="shared" si="1"/>
        <v>January</v>
      </c>
      <c r="B2773" s="11">
        <f>IFERROR(__xludf.DUMMYFUNCTION("""COMPUTED_VALUE"""),46051.0)</f>
        <v>46051</v>
      </c>
      <c r="C2773" s="2" t="str">
        <f>IFERROR(__xludf.DUMMYFUNCTION("""COMPUTED_VALUE"""),"MOBILECARE - CEBU")</f>
        <v>MOBILECARE - CEBU</v>
      </c>
      <c r="D2773" s="2" t="str">
        <f>IFERROR(__xludf.DUMMYFUNCTION("""COMPUTED_VALUE"""),"661-22294")</f>
        <v>661-22294</v>
      </c>
      <c r="E2773" s="2" t="str">
        <f>IFERROR(__xludf.DUMMYFUNCTION("""COMPUTED_VALUE"""),"Battery, iPhone 13 Pro Max")</f>
        <v>Battery, iPhone 13 Pro Max</v>
      </c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>
      <c r="A2774" s="10" t="str">
        <f t="shared" si="1"/>
        <v>May</v>
      </c>
      <c r="B2774" s="11">
        <f>IFERROR(__xludf.DUMMYFUNCTION("""COMPUTED_VALUE"""),46167.0)</f>
        <v>46167</v>
      </c>
      <c r="C2774" s="2" t="str">
        <f>IFERROR(__xludf.DUMMYFUNCTION("""COMPUTED_VALUE"""),"MOBILECARE - CEBU")</f>
        <v>MOBILECARE - CEBU</v>
      </c>
      <c r="D2774" s="2" t="str">
        <f>IFERROR(__xludf.DUMMYFUNCTION("""COMPUTED_VALUE"""),"661-21988")</f>
        <v>661-21988</v>
      </c>
      <c r="E2774" s="2" t="str">
        <f>IFERROR(__xludf.DUMMYFUNCTION("""COMPUTED_VALUE"""),"Display, iPhone 13")</f>
        <v>Display, iPhone 13</v>
      </c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>
      <c r="A2775" s="10" t="str">
        <f t="shared" si="1"/>
        <v>June</v>
      </c>
      <c r="B2775" s="11">
        <f>IFERROR(__xludf.DUMMYFUNCTION("""COMPUTED_VALUE"""),46187.0)</f>
        <v>46187</v>
      </c>
      <c r="C2775" s="2" t="str">
        <f>IFERROR(__xludf.DUMMYFUNCTION("""COMPUTED_VALUE"""),"MOBILECARE - CEBU")</f>
        <v>MOBILECARE - CEBU</v>
      </c>
      <c r="D2775" s="2" t="str">
        <f>IFERROR(__xludf.DUMMYFUNCTION("""COMPUTED_VALUE"""),"Z661-55942")</f>
        <v>Z661-55942</v>
      </c>
      <c r="E2775" s="2" t="str">
        <f>IFERROR(__xludf.DUMMYFUNCTION("""COMPUTED_VALUE"""),"Logic Board, 256GB, A3523, ROW, iPhone 17 Pro")</f>
        <v>Logic Board, 256GB, A3523, ROW, iPhone 17 Pro</v>
      </c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>
      <c r="A2776" s="10" t="str">
        <f t="shared" si="1"/>
        <v>May</v>
      </c>
      <c r="B2776" s="11">
        <f>IFERROR(__xludf.DUMMYFUNCTION("""COMPUTED_VALUE"""),46164.0)</f>
        <v>46164</v>
      </c>
      <c r="C2776" s="2" t="str">
        <f>IFERROR(__xludf.DUMMYFUNCTION("""COMPUTED_VALUE"""),"MOBILECARE - CEBU")</f>
        <v>MOBILECARE - CEBU</v>
      </c>
      <c r="D2776" s="2" t="str">
        <f>IFERROR(__xludf.DUMMYFUNCTION("""COMPUTED_VALUE"""),"661-21991")</f>
        <v>661-21991</v>
      </c>
      <c r="E2776" s="2" t="str">
        <f>IFERROR(__xludf.DUMMYFUNCTION("""COMPUTED_VALUE"""),"Battery, iPhone 13")</f>
        <v>Battery, iPhone 13</v>
      </c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>
      <c r="A2777" s="10" t="str">
        <f t="shared" si="1"/>
        <v>April</v>
      </c>
      <c r="B2777" s="11">
        <f>IFERROR(__xludf.DUMMYFUNCTION("""COMPUTED_VALUE"""),46124.0)</f>
        <v>46124</v>
      </c>
      <c r="C2777" s="2" t="str">
        <f>IFERROR(__xludf.DUMMYFUNCTION("""COMPUTED_VALUE"""),"MOBILECARE - CEBU")</f>
        <v>MOBILECARE - CEBU</v>
      </c>
      <c r="D2777" s="2" t="str">
        <f>IFERROR(__xludf.DUMMYFUNCTION("""COMPUTED_VALUE"""),"TA661-45231")</f>
        <v>TA661-45231</v>
      </c>
      <c r="E2777" s="2" t="str">
        <f>IFERROR(__xludf.DUMMYFUNCTION("""COMPUTED_VALUE"""),"128GB, Black, ROW, iPhone 16 Plus, Logic Board Assy Mid System")</f>
        <v>128GB, Black, ROW, iPhone 16 Plus, Logic Board Assy Mid System</v>
      </c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>
      <c r="A2778" s="10" t="str">
        <f t="shared" si="1"/>
        <v>April</v>
      </c>
      <c r="B2778" s="11">
        <f>IFERROR(__xludf.DUMMYFUNCTION("""COMPUTED_VALUE"""),46124.0)</f>
        <v>46124</v>
      </c>
      <c r="C2778" s="2" t="str">
        <f>IFERROR(__xludf.DUMMYFUNCTION("""COMPUTED_VALUE"""),"MOBILECARE - CEBU")</f>
        <v>MOBILECARE - CEBU</v>
      </c>
      <c r="D2778" s="2" t="str">
        <f>IFERROR(__xludf.DUMMYFUNCTION("""COMPUTED_VALUE"""),"PP661-23455")</f>
        <v>PP661-23455</v>
      </c>
      <c r="E2778" s="2" t="str">
        <f>IFERROR(__xludf.DUMMYFUNCTION("""COMPUTED_VALUE"""),"iPhone 13, Starlight, 128GB, Logic Board Assy Rear System, ROW")</f>
        <v>iPhone 13, Starlight, 128GB, Logic Board Assy Rear System, ROW</v>
      </c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>
      <c r="A2779" s="10" t="str">
        <f t="shared" si="1"/>
        <v>January</v>
      </c>
      <c r="B2779" s="11">
        <f>IFERROR(__xludf.DUMMYFUNCTION("""COMPUTED_VALUE"""),46048.0)</f>
        <v>46048</v>
      </c>
      <c r="C2779" s="2" t="str">
        <f>IFERROR(__xludf.DUMMYFUNCTION("""COMPUTED_VALUE"""),"MOBILECARE - CEBU")</f>
        <v>MOBILECARE - CEBU</v>
      </c>
      <c r="D2779" s="2" t="str">
        <f>IFERROR(__xludf.DUMMYFUNCTION("""COMPUTED_VALUE"""),"661-32232")</f>
        <v>661-32232</v>
      </c>
      <c r="E2779" s="2" t="str">
        <f>IFERROR(__xludf.DUMMYFUNCTION("""COMPUTED_VALUE"""),"Rear Camera, iPhone 13/mini, MICN")</f>
        <v>Rear Camera, iPhone 13/mini, MICN</v>
      </c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>
      <c r="A2780" s="10" t="str">
        <f t="shared" si="1"/>
        <v>May</v>
      </c>
      <c r="B2780" s="11">
        <f>IFERROR(__xludf.DUMMYFUNCTION("""COMPUTED_VALUE"""),46149.0)</f>
        <v>46149</v>
      </c>
      <c r="C2780" s="2" t="str">
        <f>IFERROR(__xludf.DUMMYFUNCTION("""COMPUTED_VALUE"""),"MOBILECARE - CEBU")</f>
        <v>MOBILECARE - CEBU</v>
      </c>
      <c r="D2780" s="2" t="str">
        <f>IFERROR(__xludf.DUMMYFUNCTION("""COMPUTED_VALUE"""),"PP661-23454")</f>
        <v>PP661-23454</v>
      </c>
      <c r="E2780" s="2" t="str">
        <f>IFERROR(__xludf.DUMMYFUNCTION("""COMPUTED_VALUE"""),"iPhone 13, Midnight, 128GB, Logic Board Assy Rear System, ROW")</f>
        <v>iPhone 13, Midnight, 128GB, Logic Board Assy Rear System, ROW</v>
      </c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>
      <c r="A2781" s="10" t="str">
        <f t="shared" si="1"/>
        <v>March</v>
      </c>
      <c r="B2781" s="11">
        <f>IFERROR(__xludf.DUMMYFUNCTION("""COMPUTED_VALUE"""),46107.0)</f>
        <v>46107</v>
      </c>
      <c r="C2781" s="2" t="str">
        <f>IFERROR(__xludf.DUMMYFUNCTION("""COMPUTED_VALUE"""),"MOBILECARE - CEBU")</f>
        <v>MOBILECARE - CEBU</v>
      </c>
      <c r="D2781" s="2" t="str">
        <f>IFERROR(__xludf.DUMMYFUNCTION("""COMPUTED_VALUE"""),"661-35885")</f>
        <v>661-35885</v>
      </c>
      <c r="E2781" s="2" t="str">
        <f>IFERROR(__xludf.DUMMYFUNCTION("""COMPUTED_VALUE"""),"Battery, iPhone 15")</f>
        <v>Battery, iPhone 15</v>
      </c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>
      <c r="A2782" s="10" t="str">
        <f t="shared" si="1"/>
        <v>February</v>
      </c>
      <c r="B2782" s="11">
        <f>IFERROR(__xludf.DUMMYFUNCTION("""COMPUTED_VALUE"""),46069.0)</f>
        <v>46069</v>
      </c>
      <c r="C2782" s="2" t="str">
        <f>IFERROR(__xludf.DUMMYFUNCTION("""COMPUTED_VALUE"""),"MOBILECARE - CEBU")</f>
        <v>MOBILECARE - CEBU</v>
      </c>
      <c r="D2782" s="2" t="str">
        <f>IFERROR(__xludf.DUMMYFUNCTION("""COMPUTED_VALUE"""),"661-17920")</f>
        <v>661-17920</v>
      </c>
      <c r="E2782" s="2" t="str">
        <f>IFERROR(__xludf.DUMMYFUNCTION("""COMPUTED_VALUE"""),"Battery, iPhone 12 and 12 Pro")</f>
        <v>Battery, iPhone 12 and 12 Pro</v>
      </c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>
      <c r="A2783" s="10" t="str">
        <f t="shared" si="1"/>
        <v>February</v>
      </c>
      <c r="B2783" s="11">
        <f>IFERROR(__xludf.DUMMYFUNCTION("""COMPUTED_VALUE"""),46057.0)</f>
        <v>46057</v>
      </c>
      <c r="C2783" s="2" t="str">
        <f>IFERROR(__xludf.DUMMYFUNCTION("""COMPUTED_VALUE"""),"MOBILECARE - CEBU")</f>
        <v>MOBILECARE - CEBU</v>
      </c>
      <c r="D2783" s="2" t="str">
        <f>IFERROR(__xludf.DUMMYFUNCTION("""COMPUTED_VALUE"""),"661-42728")</f>
        <v>661-42728</v>
      </c>
      <c r="E2783" s="2" t="str">
        <f>IFERROR(__xludf.DUMMYFUNCTION("""COMPUTED_VALUE"""),"Camera, iPhone 16 Pro")</f>
        <v>Camera, iPhone 16 Pro</v>
      </c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>
      <c r="A2784" s="10" t="str">
        <f t="shared" si="1"/>
        <v>February</v>
      </c>
      <c r="B2784" s="11">
        <f>IFERROR(__xludf.DUMMYFUNCTION("""COMPUTED_VALUE"""),46057.0)</f>
        <v>46057</v>
      </c>
      <c r="C2784" s="2" t="str">
        <f>IFERROR(__xludf.DUMMYFUNCTION("""COMPUTED_VALUE"""),"MOBILECARE - CEBU")</f>
        <v>MOBILECARE - CEBU</v>
      </c>
      <c r="D2784" s="2" t="str">
        <f>IFERROR(__xludf.DUMMYFUNCTION("""COMPUTED_VALUE"""),"661-42728")</f>
        <v>661-42728</v>
      </c>
      <c r="E2784" s="2" t="str">
        <f>IFERROR(__xludf.DUMMYFUNCTION("""COMPUTED_VALUE"""),"Camera, iPhone 16 Pro")</f>
        <v>Camera, iPhone 16 Pro</v>
      </c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>
      <c r="A2785" s="10" t="str">
        <f t="shared" si="1"/>
        <v>June</v>
      </c>
      <c r="B2785" s="11">
        <f>IFERROR(__xludf.DUMMYFUNCTION("""COMPUTED_VALUE"""),46191.0)</f>
        <v>46191</v>
      </c>
      <c r="C2785" s="2" t="str">
        <f>IFERROR(__xludf.DUMMYFUNCTION("""COMPUTED_VALUE"""),"MOBILECARE - CEBU")</f>
        <v>MOBILECARE - CEBU</v>
      </c>
      <c r="D2785" s="2" t="str">
        <f>IFERROR(__xludf.DUMMYFUNCTION("""COMPUTED_VALUE"""),"661-44797")</f>
        <v>661-44797</v>
      </c>
      <c r="E2785" s="2" t="str">
        <f>IFERROR(__xludf.DUMMYFUNCTION("""COMPUTED_VALUE"""),"Display, iPhone 16")</f>
        <v>Display, iPhone 16</v>
      </c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>
      <c r="A2786" s="10" t="str">
        <f t="shared" si="1"/>
        <v>June</v>
      </c>
      <c r="B2786" s="11">
        <f>IFERROR(__xludf.DUMMYFUNCTION("""COMPUTED_VALUE"""),46177.0)</f>
        <v>46177</v>
      </c>
      <c r="C2786" s="2" t="str">
        <f>IFERROR(__xludf.DUMMYFUNCTION("""COMPUTED_VALUE"""),"MOBILECARE - CEBU")</f>
        <v>MOBILECARE - CEBU</v>
      </c>
      <c r="D2786" s="2" t="str">
        <f>IFERROR(__xludf.DUMMYFUNCTION("""COMPUTED_VALUE"""),"661-56051")</f>
        <v>661-56051</v>
      </c>
      <c r="E2786" s="2" t="str">
        <f>IFERROR(__xludf.DUMMYFUNCTION("""COMPUTED_VALUE"""),"Front Camera, iPhone 17 Pro Max")</f>
        <v>Front Camera, iPhone 17 Pro Max</v>
      </c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>
      <c r="A2787" s="10" t="str">
        <f t="shared" si="1"/>
        <v>June</v>
      </c>
      <c r="B2787" s="11">
        <f>IFERROR(__xludf.DUMMYFUNCTION("""COMPUTED_VALUE"""),46177.0)</f>
        <v>46177</v>
      </c>
      <c r="C2787" s="2" t="str">
        <f>IFERROR(__xludf.DUMMYFUNCTION("""COMPUTED_VALUE"""),"MOBILECARE - CEBU")</f>
        <v>MOBILECARE - CEBU</v>
      </c>
      <c r="D2787" s="2" t="str">
        <f>IFERROR(__xludf.DUMMYFUNCTION("""COMPUTED_VALUE"""),"661-56052")</f>
        <v>661-56052</v>
      </c>
      <c r="E2787" s="2" t="str">
        <f>IFERROR(__xludf.DUMMYFUNCTION("""COMPUTED_VALUE"""),"Camera, iPhone 17 Pro Max")</f>
        <v>Camera, iPhone 17 Pro Max</v>
      </c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>
      <c r="A2788" s="10" t="str">
        <f t="shared" si="1"/>
        <v>June</v>
      </c>
      <c r="B2788" s="11">
        <f>IFERROR(__xludf.DUMMYFUNCTION("""COMPUTED_VALUE"""),46187.0)</f>
        <v>46187</v>
      </c>
      <c r="C2788" s="2" t="str">
        <f>IFERROR(__xludf.DUMMYFUNCTION("""COMPUTED_VALUE"""),"MOBILECARE - CEBU")</f>
        <v>MOBILECARE - CEBU</v>
      </c>
      <c r="D2788" s="2" t="str">
        <f>IFERROR(__xludf.DUMMYFUNCTION("""COMPUTED_VALUE"""),"PP661-23454")</f>
        <v>PP661-23454</v>
      </c>
      <c r="E2788" s="2" t="str">
        <f>IFERROR(__xludf.DUMMYFUNCTION("""COMPUTED_VALUE"""),"iPhone 13, Midnight, 128GB, Logic Board Assy Rear System, ROW")</f>
        <v>iPhone 13, Midnight, 128GB, Logic Board Assy Rear System, ROW</v>
      </c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>
      <c r="A2789" s="10" t="str">
        <f t="shared" si="1"/>
        <v>March</v>
      </c>
      <c r="B2789" s="11">
        <f>IFERROR(__xludf.DUMMYFUNCTION("""COMPUTED_VALUE"""),46109.0)</f>
        <v>46109</v>
      </c>
      <c r="C2789" s="2" t="str">
        <f>IFERROR(__xludf.DUMMYFUNCTION("""COMPUTED_VALUE"""),"MOBILECARE - CEBU")</f>
        <v>MOBILECARE - CEBU</v>
      </c>
      <c r="D2789" s="2" t="str">
        <f>IFERROR(__xludf.DUMMYFUNCTION("""COMPUTED_VALUE"""),"661-21996")</f>
        <v>661-21996</v>
      </c>
      <c r="E2789" s="2" t="str">
        <f>IFERROR(__xludf.DUMMYFUNCTION("""COMPUTED_VALUE"""),"Battery, iPhone 13 Pro")</f>
        <v>Battery, iPhone 13 Pro</v>
      </c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>
      <c r="A2790" s="10" t="str">
        <f t="shared" si="1"/>
        <v>March</v>
      </c>
      <c r="B2790" s="11">
        <f>IFERROR(__xludf.DUMMYFUNCTION("""COMPUTED_VALUE"""),46083.0)</f>
        <v>46083</v>
      </c>
      <c r="C2790" s="2" t="str">
        <f>IFERROR(__xludf.DUMMYFUNCTION("""COMPUTED_VALUE"""),"MOBILECARE - CEBU")</f>
        <v>MOBILECARE - CEBU</v>
      </c>
      <c r="D2790" s="2" t="str">
        <f>IFERROR(__xludf.DUMMYFUNCTION("""COMPUTED_VALUE"""),"661-13574")</f>
        <v>661-13574</v>
      </c>
      <c r="E2790" s="2" t="str">
        <f>IFERROR(__xludf.DUMMYFUNCTION("""COMPUTED_VALUE"""),"Battery, iPhone 11")</f>
        <v>Battery, iPhone 11</v>
      </c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>
      <c r="A2791" s="10" t="str">
        <f t="shared" si="1"/>
        <v>March</v>
      </c>
      <c r="B2791" s="11">
        <f>IFERROR(__xludf.DUMMYFUNCTION("""COMPUTED_VALUE"""),46082.0)</f>
        <v>46082</v>
      </c>
      <c r="C2791" s="2" t="str">
        <f>IFERROR(__xludf.DUMMYFUNCTION("""COMPUTED_VALUE"""),"MOBILECARE - CEBU")</f>
        <v>MOBILECARE - CEBU</v>
      </c>
      <c r="D2791" s="2" t="str">
        <f>IFERROR(__xludf.DUMMYFUNCTION("""COMPUTED_VALUE"""),"TA661-45237")</f>
        <v>TA661-45237</v>
      </c>
      <c r="E2791" s="2" t="str">
        <f>IFERROR(__xludf.DUMMYFUNCTION("""COMPUTED_VALUE"""),"256GB, White, ROW, iPhone 16 Plus, Logic Board Assy Mid System")</f>
        <v>256GB, White, ROW, iPhone 16 Plus, Logic Board Assy Mid System</v>
      </c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>
      <c r="A2792" s="10" t="str">
        <f t="shared" si="1"/>
        <v>February</v>
      </c>
      <c r="B2792" s="11">
        <f>IFERROR(__xludf.DUMMYFUNCTION("""COMPUTED_VALUE"""),46058.0)</f>
        <v>46058</v>
      </c>
      <c r="C2792" s="2" t="str">
        <f>IFERROR(__xludf.DUMMYFUNCTION("""COMPUTED_VALUE"""),"MOBILECARE - CEBU")</f>
        <v>MOBILECARE - CEBU</v>
      </c>
      <c r="D2792" s="2" t="str">
        <f>IFERROR(__xludf.DUMMYFUNCTION("""COMPUTED_VALUE"""),"661-56050")</f>
        <v>661-56050</v>
      </c>
      <c r="E2792" s="2" t="str">
        <f>IFERROR(__xludf.DUMMYFUNCTION("""COMPUTED_VALUE"""),"Display, iPhone 17 Pro Max")</f>
        <v>Display, iPhone 17 Pro Max</v>
      </c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>
      <c r="A2793" s="10" t="str">
        <f t="shared" si="1"/>
        <v>February</v>
      </c>
      <c r="B2793" s="11">
        <f>IFERROR(__xludf.DUMMYFUNCTION("""COMPUTED_VALUE"""),46065.0)</f>
        <v>46065</v>
      </c>
      <c r="C2793" s="2" t="str">
        <f>IFERROR(__xludf.DUMMYFUNCTION("""COMPUTED_VALUE"""),"MOBILECARE - CEBU")</f>
        <v>MOBILECARE - CEBU</v>
      </c>
      <c r="D2793" s="2" t="str">
        <f>IFERROR(__xludf.DUMMYFUNCTION("""COMPUTED_VALUE"""),"PP661-23455")</f>
        <v>PP661-23455</v>
      </c>
      <c r="E2793" s="2" t="str">
        <f>IFERROR(__xludf.DUMMYFUNCTION("""COMPUTED_VALUE"""),"iPhone 13, Starlight, 128GB, Logic Board Assy Rear System, ROW")</f>
        <v>iPhone 13, Starlight, 128GB, Logic Board Assy Rear System, ROW</v>
      </c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>
      <c r="A2794" s="10" t="str">
        <f t="shared" si="1"/>
        <v>March</v>
      </c>
      <c r="B2794" s="11">
        <f>IFERROR(__xludf.DUMMYFUNCTION("""COMPUTED_VALUE"""),46082.0)</f>
        <v>46082</v>
      </c>
      <c r="C2794" s="2" t="str">
        <f>IFERROR(__xludf.DUMMYFUNCTION("""COMPUTED_VALUE"""),"MOBILECARE - CEBU")</f>
        <v>MOBILECARE - CEBU</v>
      </c>
      <c r="D2794" s="2" t="str">
        <f>IFERROR(__xludf.DUMMYFUNCTION("""COMPUTED_VALUE"""),"PP661-10912")</f>
        <v>PP661-10912</v>
      </c>
      <c r="E2794" s="2" t="str">
        <f>IFERROR(__xludf.DUMMYFUNCTION("""COMPUTED_VALUE"""),"128GB, Black, ROW, iPhone XR, CI/AR-PPN")</f>
        <v>128GB, Black, ROW, iPhone XR, CI/AR-PPN</v>
      </c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>
      <c r="A2795" s="10" t="str">
        <f t="shared" si="1"/>
        <v>January</v>
      </c>
      <c r="B2795" s="11">
        <f>IFERROR(__xludf.DUMMYFUNCTION("""COMPUTED_VALUE"""),46041.0)</f>
        <v>46041</v>
      </c>
      <c r="C2795" s="2" t="str">
        <f>IFERROR(__xludf.DUMMYFUNCTION("""COMPUTED_VALUE"""),"MOBILECARE - CEBU")</f>
        <v>MOBILECARE - CEBU</v>
      </c>
      <c r="D2795" s="2" t="str">
        <f>IFERROR(__xludf.DUMMYFUNCTION("""COMPUTED_VALUE"""),"661-21988")</f>
        <v>661-21988</v>
      </c>
      <c r="E2795" s="2" t="str">
        <f>IFERROR(__xludf.DUMMYFUNCTION("""COMPUTED_VALUE"""),"Display, iPhone 13")</f>
        <v>Display, iPhone 13</v>
      </c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>
      <c r="A2796" s="10" t="str">
        <f t="shared" si="1"/>
        <v>April</v>
      </c>
      <c r="B2796" s="11">
        <f>IFERROR(__xludf.DUMMYFUNCTION("""COMPUTED_VALUE"""),46134.0)</f>
        <v>46134</v>
      </c>
      <c r="C2796" s="2" t="str">
        <f>IFERROR(__xludf.DUMMYFUNCTION("""COMPUTED_VALUE"""),"MOBILECARE - CEBU")</f>
        <v>MOBILECARE - CEBU</v>
      </c>
      <c r="D2796" s="2" t="str">
        <f>IFERROR(__xludf.DUMMYFUNCTION("""COMPUTED_VALUE"""),"661-21996")</f>
        <v>661-21996</v>
      </c>
      <c r="E2796" s="2" t="str">
        <f>IFERROR(__xludf.DUMMYFUNCTION("""COMPUTED_VALUE"""),"Battery, iPhone 13 Pro")</f>
        <v>Battery, iPhone 13 Pro</v>
      </c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>
      <c r="A2797" s="10" t="str">
        <f t="shared" si="1"/>
        <v>March</v>
      </c>
      <c r="B2797" s="11">
        <f>IFERROR(__xludf.DUMMYFUNCTION("""COMPUTED_VALUE"""),46107.0)</f>
        <v>46107</v>
      </c>
      <c r="C2797" s="2" t="str">
        <f>IFERROR(__xludf.DUMMYFUNCTION("""COMPUTED_VALUE"""),"MOBILECARE - CEBU")</f>
        <v>MOBILECARE - CEBU</v>
      </c>
      <c r="D2797" s="2" t="str">
        <f>IFERROR(__xludf.DUMMYFUNCTION("""COMPUTED_VALUE"""),"661-21988")</f>
        <v>661-21988</v>
      </c>
      <c r="E2797" s="2" t="str">
        <f>IFERROR(__xludf.DUMMYFUNCTION("""COMPUTED_VALUE"""),"Display, iPhone 13")</f>
        <v>Display, iPhone 13</v>
      </c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>
      <c r="A2798" s="10" t="str">
        <f t="shared" si="1"/>
        <v>March</v>
      </c>
      <c r="B2798" s="11">
        <f>IFERROR(__xludf.DUMMYFUNCTION("""COMPUTED_VALUE"""),46109.0)</f>
        <v>46109</v>
      </c>
      <c r="C2798" s="2" t="str">
        <f>IFERROR(__xludf.DUMMYFUNCTION("""COMPUTED_VALUE"""),"MOBILECARE - CEBU")</f>
        <v>MOBILECARE - CEBU</v>
      </c>
      <c r="D2798" s="2" t="str">
        <f>IFERROR(__xludf.DUMMYFUNCTION("""COMPUTED_VALUE"""),"PP661-23455")</f>
        <v>PP661-23455</v>
      </c>
      <c r="E2798" s="2" t="str">
        <f>IFERROR(__xludf.DUMMYFUNCTION("""COMPUTED_VALUE"""),"iPhone 13, Starlight, 128GB, Logic Board Assy Rear System, ROW")</f>
        <v>iPhone 13, Starlight, 128GB, Logic Board Assy Rear System, ROW</v>
      </c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>
      <c r="A2799" s="10" t="str">
        <f t="shared" si="1"/>
        <v>March</v>
      </c>
      <c r="B2799" s="11">
        <f>IFERROR(__xludf.DUMMYFUNCTION("""COMPUTED_VALUE"""),46096.0)</f>
        <v>46096</v>
      </c>
      <c r="C2799" s="2" t="str">
        <f>IFERROR(__xludf.DUMMYFUNCTION("""COMPUTED_VALUE"""),"MOBILECARE - CEBU")</f>
        <v>MOBILECARE - CEBU</v>
      </c>
      <c r="D2799" s="2" t="str">
        <f>IFERROR(__xludf.DUMMYFUNCTION("""COMPUTED_VALUE"""),"661-44957")</f>
        <v>661-44957</v>
      </c>
      <c r="E2799" s="2" t="str">
        <f>IFERROR(__xludf.DUMMYFUNCTION("""COMPUTED_VALUE"""),"Camera, iPhone 16 Pro Max")</f>
        <v>Camera, iPhone 16 Pro Max</v>
      </c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>
      <c r="A2800" s="10" t="str">
        <f t="shared" si="1"/>
        <v>March</v>
      </c>
      <c r="B2800" s="11">
        <f>IFERROR(__xludf.DUMMYFUNCTION("""COMPUTED_VALUE"""),46086.0)</f>
        <v>46086</v>
      </c>
      <c r="C2800" s="2" t="str">
        <f>IFERROR(__xludf.DUMMYFUNCTION("""COMPUTED_VALUE"""),"MOBILECARE - CEBU")</f>
        <v>MOBILECARE - CEBU</v>
      </c>
      <c r="D2800" s="2" t="str">
        <f>IFERROR(__xludf.DUMMYFUNCTION("""COMPUTED_VALUE"""),"661-42845")</f>
        <v>661-42845</v>
      </c>
      <c r="E2800" s="2" t="str">
        <f>IFERROR(__xludf.DUMMYFUNCTION("""COMPUTED_VALUE"""),"Camera, iPhone 16 Plus")</f>
        <v>Camera, iPhone 16 Plus</v>
      </c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>
      <c r="A2801" s="10" t="str">
        <f t="shared" si="1"/>
        <v>February</v>
      </c>
      <c r="B2801" s="11">
        <f>IFERROR(__xludf.DUMMYFUNCTION("""COMPUTED_VALUE"""),46054.0)</f>
        <v>46054</v>
      </c>
      <c r="C2801" s="2" t="str">
        <f>IFERROR(__xludf.DUMMYFUNCTION("""COMPUTED_VALUE"""),"MOBILECARE - CEBU")</f>
        <v>MOBILECARE - CEBU</v>
      </c>
      <c r="D2801" s="2" t="str">
        <f>IFERROR(__xludf.DUMMYFUNCTION("""COMPUTED_VALUE"""),"661-56050")</f>
        <v>661-56050</v>
      </c>
      <c r="E2801" s="2" t="str">
        <f>IFERROR(__xludf.DUMMYFUNCTION("""COMPUTED_VALUE"""),"Display, iPhone 17 Pro Max")</f>
        <v>Display, iPhone 17 Pro Max</v>
      </c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>
      <c r="A2802" s="10" t="str">
        <f t="shared" si="1"/>
        <v>January</v>
      </c>
      <c r="B2802" s="11">
        <f>IFERROR(__xludf.DUMMYFUNCTION("""COMPUTED_VALUE"""),46053.0)</f>
        <v>46053</v>
      </c>
      <c r="C2802" s="2" t="str">
        <f>IFERROR(__xludf.DUMMYFUNCTION("""COMPUTED_VALUE"""),"MOBILECARE - CEBU")</f>
        <v>MOBILECARE - CEBU</v>
      </c>
      <c r="D2802" s="2" t="str">
        <f>IFERROR(__xludf.DUMMYFUNCTION("""COMPUTED_VALUE"""),"661-44957")</f>
        <v>661-44957</v>
      </c>
      <c r="E2802" s="2" t="str">
        <f>IFERROR(__xludf.DUMMYFUNCTION("""COMPUTED_VALUE"""),"Camera, iPhone 16 Pro Max")</f>
        <v>Camera, iPhone 16 Pro Max</v>
      </c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>
      <c r="A2803" s="10" t="str">
        <f t="shared" si="1"/>
        <v>February</v>
      </c>
      <c r="B2803" s="11">
        <f>IFERROR(__xludf.DUMMYFUNCTION("""COMPUTED_VALUE"""),46058.0)</f>
        <v>46058</v>
      </c>
      <c r="C2803" s="2" t="str">
        <f>IFERROR(__xludf.DUMMYFUNCTION("""COMPUTED_VALUE"""),"MOBILECARE - CEBU")</f>
        <v>MOBILECARE - CEBU</v>
      </c>
      <c r="D2803" s="2" t="str">
        <f>IFERROR(__xludf.DUMMYFUNCTION("""COMPUTED_VALUE"""),"TA661-36695")</f>
        <v>TA661-36695</v>
      </c>
      <c r="E2803" s="2" t="str">
        <f>IFERROR(__xludf.DUMMYFUNCTION("""COMPUTED_VALUE"""),"iPhone 15, Green, 128GB, Logic Board Assy Mid System, ROW")</f>
        <v>iPhone 15, Green, 128GB, Logic Board Assy Mid System, ROW</v>
      </c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>
      <c r="A2804" s="10" t="str">
        <f t="shared" si="1"/>
        <v>January</v>
      </c>
      <c r="B2804" s="11">
        <f>IFERROR(__xludf.DUMMYFUNCTION("""COMPUTED_VALUE"""),46046.0)</f>
        <v>46046</v>
      </c>
      <c r="C2804" s="2" t="str">
        <f>IFERROR(__xludf.DUMMYFUNCTION("""COMPUTED_VALUE"""),"MOBILECARE - CEBU")</f>
        <v>MOBILECARE - CEBU</v>
      </c>
      <c r="D2804" s="2" t="str">
        <f>IFERROR(__xludf.DUMMYFUNCTION("""COMPUTED_VALUE"""),"661-30397")</f>
        <v>661-30397</v>
      </c>
      <c r="E2804" s="2" t="str">
        <f>IFERROR(__xludf.DUMMYFUNCTION("""COMPUTED_VALUE"""),"Battery, iPhone 14 Pro Max")</f>
        <v>Battery, iPhone 14 Pro Max</v>
      </c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>
      <c r="A2805" s="10" t="str">
        <f t="shared" si="1"/>
        <v>January</v>
      </c>
      <c r="B2805" s="11">
        <f>IFERROR(__xludf.DUMMYFUNCTION("""COMPUTED_VALUE"""),46046.0)</f>
        <v>46046</v>
      </c>
      <c r="C2805" s="2" t="str">
        <f>IFERROR(__xludf.DUMMYFUNCTION("""COMPUTED_VALUE"""),"MOBILECARE - CEBU")</f>
        <v>MOBILECARE - CEBU</v>
      </c>
      <c r="D2805" s="2" t="str">
        <f>IFERROR(__xludf.DUMMYFUNCTION("""COMPUTED_VALUE"""),"661-30401")</f>
        <v>661-30401</v>
      </c>
      <c r="E2805" s="2" t="str">
        <f>IFERROR(__xludf.DUMMYFUNCTION("""COMPUTED_VALUE"""),"Display, iPhone 14 Pro Max")</f>
        <v>Display, iPhone 14 Pro Max</v>
      </c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>
      <c r="A2806" s="10" t="str">
        <f t="shared" si="1"/>
        <v>May</v>
      </c>
      <c r="B2806" s="11">
        <f>IFERROR(__xludf.DUMMYFUNCTION("""COMPUTED_VALUE"""),46168.0)</f>
        <v>46168</v>
      </c>
      <c r="C2806" s="2" t="str">
        <f>IFERROR(__xludf.DUMMYFUNCTION("""COMPUTED_VALUE"""),"MOBILECARE - CEBU")</f>
        <v>MOBILECARE - CEBU</v>
      </c>
      <c r="D2806" s="2" t="str">
        <f>IFERROR(__xludf.DUMMYFUNCTION("""COMPUTED_VALUE"""),"661-23878")</f>
        <v>661-23878</v>
      </c>
      <c r="E2806" s="2" t="str">
        <f>IFERROR(__xludf.DUMMYFUNCTION("""COMPUTED_VALUE"""),"TrueDepth Camera, iPhone 13")</f>
        <v>TrueDepth Camera, iPhone 13</v>
      </c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>
      <c r="A2807" s="10" t="str">
        <f t="shared" si="1"/>
        <v>May</v>
      </c>
      <c r="B2807" s="11">
        <f>IFERROR(__xludf.DUMMYFUNCTION("""COMPUTED_VALUE"""),46168.0)</f>
        <v>46168</v>
      </c>
      <c r="C2807" s="2" t="str">
        <f>IFERROR(__xludf.DUMMYFUNCTION("""COMPUTED_VALUE"""),"MOBILECARE - CEBU")</f>
        <v>MOBILECARE - CEBU</v>
      </c>
      <c r="D2807" s="2" t="str">
        <f>IFERROR(__xludf.DUMMYFUNCTION("""COMPUTED_VALUE"""),"661-32232")</f>
        <v>661-32232</v>
      </c>
      <c r="E2807" s="2" t="str">
        <f>IFERROR(__xludf.DUMMYFUNCTION("""COMPUTED_VALUE"""),"Rear Camera, iPhone 13/mini, MICN")</f>
        <v>Rear Camera, iPhone 13/mini, MICN</v>
      </c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>
      <c r="A2808" s="10" t="str">
        <f t="shared" si="1"/>
        <v>April</v>
      </c>
      <c r="B2808" s="11">
        <f>IFERROR(__xludf.DUMMYFUNCTION("""COMPUTED_VALUE"""),46137.0)</f>
        <v>46137</v>
      </c>
      <c r="C2808" s="2" t="str">
        <f>IFERROR(__xludf.DUMMYFUNCTION("""COMPUTED_VALUE"""),"MOBILECARE - CEBU")</f>
        <v>MOBILECARE - CEBU</v>
      </c>
      <c r="D2808" s="2" t="str">
        <f>IFERROR(__xludf.DUMMYFUNCTION("""COMPUTED_VALUE"""),"PP661-23455")</f>
        <v>PP661-23455</v>
      </c>
      <c r="E2808" s="2" t="str">
        <f>IFERROR(__xludf.DUMMYFUNCTION("""COMPUTED_VALUE"""),"iPhone 13, Starlight, 128GB, Logic Board Assy Rear System, ROW")</f>
        <v>iPhone 13, Starlight, 128GB, Logic Board Assy Rear System, ROW</v>
      </c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>
      <c r="A2809" s="10" t="str">
        <f t="shared" si="1"/>
        <v>April</v>
      </c>
      <c r="B2809" s="11">
        <f>IFERROR(__xludf.DUMMYFUNCTION("""COMPUTED_VALUE"""),46135.0)</f>
        <v>46135</v>
      </c>
      <c r="C2809" s="2" t="str">
        <f>IFERROR(__xludf.DUMMYFUNCTION("""COMPUTED_VALUE"""),"MOBILECARE - CEBU")</f>
        <v>MOBILECARE - CEBU</v>
      </c>
      <c r="D2809" s="2" t="str">
        <f>IFERROR(__xludf.DUMMYFUNCTION("""COMPUTED_VALUE"""),"PP661-23455")</f>
        <v>PP661-23455</v>
      </c>
      <c r="E2809" s="2" t="str">
        <f>IFERROR(__xludf.DUMMYFUNCTION("""COMPUTED_VALUE"""),"iPhone 13, Starlight, 128GB, Logic Board Assy Rear System, ROW")</f>
        <v>iPhone 13, Starlight, 128GB, Logic Board Assy Rear System, ROW</v>
      </c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>
      <c r="A2810" s="10" t="str">
        <f t="shared" si="1"/>
        <v>April</v>
      </c>
      <c r="B2810" s="11">
        <f>IFERROR(__xludf.DUMMYFUNCTION("""COMPUTED_VALUE"""),46121.0)</f>
        <v>46121</v>
      </c>
      <c r="C2810" s="2" t="str">
        <f>IFERROR(__xludf.DUMMYFUNCTION("""COMPUTED_VALUE"""),"MOBILECARE - CEBU")</f>
        <v>MOBILECARE - CEBU</v>
      </c>
      <c r="D2810" s="2" t="str">
        <f>IFERROR(__xludf.DUMMYFUNCTION("""COMPUTED_VALUE"""),"Z661-55956")</f>
        <v>Z661-55956</v>
      </c>
      <c r="E2810" s="2" t="str">
        <f>IFERROR(__xludf.DUMMYFUNCTION("""COMPUTED_VALUE"""),"Logic Board, 256GB, iPhone 17 Pro Max, ROW")</f>
        <v>Logic Board, 256GB, iPhone 17 Pro Max, ROW</v>
      </c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>
      <c r="A2811" s="10" t="str">
        <f t="shared" si="1"/>
        <v>April</v>
      </c>
      <c r="B2811" s="11">
        <f>IFERROR(__xludf.DUMMYFUNCTION("""COMPUTED_VALUE"""),46123.0)</f>
        <v>46123</v>
      </c>
      <c r="C2811" s="2" t="str">
        <f>IFERROR(__xludf.DUMMYFUNCTION("""COMPUTED_VALUE"""),"MOBILECARE - CEBU")</f>
        <v>MOBILECARE - CEBU</v>
      </c>
      <c r="D2811" s="2" t="str">
        <f>IFERROR(__xludf.DUMMYFUNCTION("""COMPUTED_VALUE"""),"PP661-23461")</f>
        <v>PP661-23461</v>
      </c>
      <c r="E2811" s="2" t="str">
        <f>IFERROR(__xludf.DUMMYFUNCTION("""COMPUTED_VALUE"""),"iPhone 13, Pink, 256GB, Logic Board Assy Rear System, ROW")</f>
        <v>iPhone 13, Pink, 256GB, Logic Board Assy Rear System, ROW</v>
      </c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>
      <c r="A2812" s="10" t="str">
        <f t="shared" si="1"/>
        <v>March</v>
      </c>
      <c r="B2812" s="11">
        <f>IFERROR(__xludf.DUMMYFUNCTION("""COMPUTED_VALUE"""),46108.0)</f>
        <v>46108</v>
      </c>
      <c r="C2812" s="2" t="str">
        <f>IFERROR(__xludf.DUMMYFUNCTION("""COMPUTED_VALUE"""),"MOBILECARE - CEBU")</f>
        <v>MOBILECARE - CEBU</v>
      </c>
      <c r="D2812" s="2" t="str">
        <f>IFERROR(__xludf.DUMMYFUNCTION("""COMPUTED_VALUE"""),"PP661-23455")</f>
        <v>PP661-23455</v>
      </c>
      <c r="E2812" s="2" t="str">
        <f>IFERROR(__xludf.DUMMYFUNCTION("""COMPUTED_VALUE"""),"iPhone 13, Starlight, 128GB, Logic Board Assy Rear System, ROW")</f>
        <v>iPhone 13, Starlight, 128GB, Logic Board Assy Rear System, ROW</v>
      </c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>
      <c r="A2813" s="10" t="str">
        <f t="shared" si="1"/>
        <v>April</v>
      </c>
      <c r="B2813" s="11">
        <f>IFERROR(__xludf.DUMMYFUNCTION("""COMPUTED_VALUE"""),46121.0)</f>
        <v>46121</v>
      </c>
      <c r="C2813" s="2" t="str">
        <f>IFERROR(__xludf.DUMMYFUNCTION("""COMPUTED_VALUE"""),"MOBILECARE - CEBU")</f>
        <v>MOBILECARE - CEBU</v>
      </c>
      <c r="D2813" s="2" t="str">
        <f>IFERROR(__xludf.DUMMYFUNCTION("""COMPUTED_VALUE"""),"661-44960")</f>
        <v>661-44960</v>
      </c>
      <c r="E2813" s="2" t="str">
        <f>IFERROR(__xludf.DUMMYFUNCTION("""COMPUTED_VALUE"""),"Desert Titanium, Back Glass, iPhone 16 Pro Max")</f>
        <v>Desert Titanium, Back Glass, iPhone 16 Pro Max</v>
      </c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>
      <c r="A2814" s="10" t="str">
        <f t="shared" si="1"/>
        <v>April</v>
      </c>
      <c r="B2814" s="11">
        <f>IFERROR(__xludf.DUMMYFUNCTION("""COMPUTED_VALUE"""),46121.0)</f>
        <v>46121</v>
      </c>
      <c r="C2814" s="2" t="str">
        <f>IFERROR(__xludf.DUMMYFUNCTION("""COMPUTED_VALUE"""),"MOBILECARE - CEBU")</f>
        <v>MOBILECARE - CEBU</v>
      </c>
      <c r="D2814" s="2" t="str">
        <f>IFERROR(__xludf.DUMMYFUNCTION("""COMPUTED_VALUE"""),"661-44957")</f>
        <v>661-44957</v>
      </c>
      <c r="E2814" s="2" t="str">
        <f>IFERROR(__xludf.DUMMYFUNCTION("""COMPUTED_VALUE"""),"Camera, iPhone 16 Pro Max")</f>
        <v>Camera, iPhone 16 Pro Max</v>
      </c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>
      <c r="A2815" s="10" t="str">
        <f t="shared" si="1"/>
        <v>April</v>
      </c>
      <c r="B2815" s="11">
        <f>IFERROR(__xludf.DUMMYFUNCTION("""COMPUTED_VALUE"""),46121.0)</f>
        <v>46121</v>
      </c>
      <c r="C2815" s="2" t="str">
        <f>IFERROR(__xludf.DUMMYFUNCTION("""COMPUTED_VALUE"""),"MOBILECARE - CEBU")</f>
        <v>MOBILECARE - CEBU</v>
      </c>
      <c r="D2815" s="2" t="str">
        <f>IFERROR(__xludf.DUMMYFUNCTION("""COMPUTED_VALUE"""),"661-44957")</f>
        <v>661-44957</v>
      </c>
      <c r="E2815" s="2" t="str">
        <f>IFERROR(__xludf.DUMMYFUNCTION("""COMPUTED_VALUE"""),"Camera, iPhone 16 Pro Max")</f>
        <v>Camera, iPhone 16 Pro Max</v>
      </c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>
      <c r="A2816" s="10" t="str">
        <f t="shared" si="1"/>
        <v>March</v>
      </c>
      <c r="B2816" s="11">
        <f>IFERROR(__xludf.DUMMYFUNCTION("""COMPUTED_VALUE"""),46086.0)</f>
        <v>46086</v>
      </c>
      <c r="C2816" s="2" t="str">
        <f>IFERROR(__xludf.DUMMYFUNCTION("""COMPUTED_VALUE"""),"MOBILECARE - CEBU")</f>
        <v>MOBILECARE - CEBU</v>
      </c>
      <c r="D2816" s="2" t="str">
        <f>IFERROR(__xludf.DUMMYFUNCTION("""COMPUTED_VALUE"""),"TA661-55150")</f>
        <v>TA661-55150</v>
      </c>
      <c r="E2816" s="2" t="str">
        <f>IFERROR(__xludf.DUMMYFUNCTION("""COMPUTED_VALUE"""),"Cosmic Orange, 256GB, iPhone 17 Pro, ROW, CI/AR, Taiwan")</f>
        <v>Cosmic Orange, 256GB, iPhone 17 Pro, ROW, CI/AR, Taiwan</v>
      </c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>
      <c r="A2817" s="10" t="str">
        <f t="shared" si="1"/>
        <v>June</v>
      </c>
      <c r="B2817" s="11">
        <f>IFERROR(__xludf.DUMMYFUNCTION("""COMPUTED_VALUE"""),46192.0)</f>
        <v>46192</v>
      </c>
      <c r="C2817" s="2" t="str">
        <f>IFERROR(__xludf.DUMMYFUNCTION("""COMPUTED_VALUE"""),"MOBILECARE - CEBU")</f>
        <v>MOBILECARE - CEBU</v>
      </c>
      <c r="D2817" s="2" t="str">
        <f>IFERROR(__xludf.DUMMYFUNCTION("""COMPUTED_VALUE"""),"PP661-28869")</f>
        <v>PP661-28869</v>
      </c>
      <c r="E2817" s="2" t="str">
        <f>IFERROR(__xludf.DUMMYFUNCTION("""COMPUTED_VALUE"""),"iPhone 14, Starlight, 128GB, Logic Board Assy Mid System, ROW")</f>
        <v>iPhone 14, Starlight, 128GB, Logic Board Assy Mid System, ROW</v>
      </c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>
      <c r="A2818" s="10" t="str">
        <f t="shared" si="1"/>
        <v>June</v>
      </c>
      <c r="B2818" s="11">
        <f>IFERROR(__xludf.DUMMYFUNCTION("""COMPUTED_VALUE"""),46177.0)</f>
        <v>46177</v>
      </c>
      <c r="C2818" s="2" t="str">
        <f>IFERROR(__xludf.DUMMYFUNCTION("""COMPUTED_VALUE"""),"MOBILECARE - CEBU")</f>
        <v>MOBILECARE - CEBU</v>
      </c>
      <c r="D2818" s="2" t="str">
        <f>IFERROR(__xludf.DUMMYFUNCTION("""COMPUTED_VALUE"""),"661-42843")</f>
        <v>661-42843</v>
      </c>
      <c r="E2818" s="2" t="str">
        <f>IFERROR(__xludf.DUMMYFUNCTION("""COMPUTED_VALUE"""),"Display, iPhone 16 Plus")</f>
        <v>Display, iPhone 16 Plus</v>
      </c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>
      <c r="A2819" s="10" t="str">
        <f t="shared" si="1"/>
        <v>May</v>
      </c>
      <c r="B2819" s="11">
        <f>IFERROR(__xludf.DUMMYFUNCTION("""COMPUTED_VALUE"""),46155.0)</f>
        <v>46155</v>
      </c>
      <c r="C2819" s="2" t="str">
        <f>IFERROR(__xludf.DUMMYFUNCTION("""COMPUTED_VALUE"""),"MOBILECARE - CEBU")</f>
        <v>MOBILECARE - CEBU</v>
      </c>
      <c r="D2819" s="2" t="str">
        <f>IFERROR(__xludf.DUMMYFUNCTION("""COMPUTED_VALUE"""),"661-22309")</f>
        <v>661-22309</v>
      </c>
      <c r="E2819" s="2" t="str">
        <f>IFERROR(__xludf.DUMMYFUNCTION("""COMPUTED_VALUE"""),"Display, iPhone 13 Pro Max")</f>
        <v>Display, iPhone 13 Pro Max</v>
      </c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>
      <c r="A2820" s="10" t="str">
        <f t="shared" si="1"/>
        <v>June</v>
      </c>
      <c r="B2820" s="11">
        <f>IFERROR(__xludf.DUMMYFUNCTION("""COMPUTED_VALUE"""),46185.0)</f>
        <v>46185</v>
      </c>
      <c r="C2820" s="2" t="str">
        <f>IFERROR(__xludf.DUMMYFUNCTION("""COMPUTED_VALUE"""),"MOBILECARE - CEBU")</f>
        <v>MOBILECARE - CEBU</v>
      </c>
      <c r="D2820" s="2" t="str">
        <f>IFERROR(__xludf.DUMMYFUNCTION("""COMPUTED_VALUE"""),"PP661-23455")</f>
        <v>PP661-23455</v>
      </c>
      <c r="E2820" s="2" t="str">
        <f>IFERROR(__xludf.DUMMYFUNCTION("""COMPUTED_VALUE"""),"iPhone 13, Starlight, 128GB, Logic Board Assy Rear System, ROW")</f>
        <v>iPhone 13, Starlight, 128GB, Logic Board Assy Rear System, ROW</v>
      </c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>
      <c r="A2821" s="10" t="str">
        <f t="shared" si="1"/>
        <v>April</v>
      </c>
      <c r="B2821" s="11">
        <f>IFERROR(__xludf.DUMMYFUNCTION("""COMPUTED_VALUE"""),46136.0)</f>
        <v>46136</v>
      </c>
      <c r="C2821" s="2" t="str">
        <f>IFERROR(__xludf.DUMMYFUNCTION("""COMPUTED_VALUE"""),"MOBILECARE - CEBU")</f>
        <v>MOBILECARE - CEBU</v>
      </c>
      <c r="D2821" s="2" t="str">
        <f>IFERROR(__xludf.DUMMYFUNCTION("""COMPUTED_VALUE"""),"661-13574")</f>
        <v>661-13574</v>
      </c>
      <c r="E2821" s="2" t="str">
        <f>IFERROR(__xludf.DUMMYFUNCTION("""COMPUTED_VALUE"""),"Battery, iPhone 11")</f>
        <v>Battery, iPhone 11</v>
      </c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>
      <c r="A2822" s="10" t="str">
        <f t="shared" si="1"/>
        <v>May</v>
      </c>
      <c r="B2822" s="11">
        <f>IFERROR(__xludf.DUMMYFUNCTION("""COMPUTED_VALUE"""),46143.0)</f>
        <v>46143</v>
      </c>
      <c r="C2822" s="2" t="str">
        <f>IFERROR(__xludf.DUMMYFUNCTION("""COMPUTED_VALUE"""),"MOBILECARE - CEBU")</f>
        <v>MOBILECARE - CEBU</v>
      </c>
      <c r="D2822" s="2" t="str">
        <f>IFERROR(__xludf.DUMMYFUNCTION("""COMPUTED_VALUE"""),"PP661-28871")</f>
        <v>PP661-28871</v>
      </c>
      <c r="E2822" s="2" t="str">
        <f>IFERROR(__xludf.DUMMYFUNCTION("""COMPUTED_VALUE"""),"iPhone 14, Blue, 128GB, Logic Board Assy Mid System, ROW")</f>
        <v>iPhone 14, Blue, 128GB, Logic Board Assy Mid System, ROW</v>
      </c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>
      <c r="A2823" s="10" t="str">
        <f t="shared" si="1"/>
        <v>April</v>
      </c>
      <c r="B2823" s="11">
        <f>IFERROR(__xludf.DUMMYFUNCTION("""COMPUTED_VALUE"""),46121.0)</f>
        <v>46121</v>
      </c>
      <c r="C2823" s="2" t="str">
        <f>IFERROR(__xludf.DUMMYFUNCTION("""COMPUTED_VALUE"""),"MOBILECARE - CEBU")</f>
        <v>MOBILECARE - CEBU</v>
      </c>
      <c r="D2823" s="2" t="str">
        <f>IFERROR(__xludf.DUMMYFUNCTION("""COMPUTED_VALUE"""),"661-22309")</f>
        <v>661-22309</v>
      </c>
      <c r="E2823" s="2" t="str">
        <f>IFERROR(__xludf.DUMMYFUNCTION("""COMPUTED_VALUE"""),"Display, iPhone 13 Pro Max")</f>
        <v>Display, iPhone 13 Pro Max</v>
      </c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>
      <c r="A2824" s="10" t="str">
        <f t="shared" si="1"/>
        <v>April</v>
      </c>
      <c r="B2824" s="11">
        <f>IFERROR(__xludf.DUMMYFUNCTION("""COMPUTED_VALUE"""),46116.0)</f>
        <v>46116</v>
      </c>
      <c r="C2824" s="2" t="str">
        <f>IFERROR(__xludf.DUMMYFUNCTION("""COMPUTED_VALUE"""),"MOBILECARE - CEBU")</f>
        <v>MOBILECARE - CEBU</v>
      </c>
      <c r="D2824" s="2" t="str">
        <f>IFERROR(__xludf.DUMMYFUNCTION("""COMPUTED_VALUE"""),"661-30382")</f>
        <v>661-30382</v>
      </c>
      <c r="E2824" s="2" t="str">
        <f>IFERROR(__xludf.DUMMYFUNCTION("""COMPUTED_VALUE"""),"Battery, iPhone 14 Pro")</f>
        <v>Battery, iPhone 14 Pro</v>
      </c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>
      <c r="A2825" s="10" t="str">
        <f t="shared" si="1"/>
        <v>May</v>
      </c>
      <c r="B2825" s="11">
        <f>IFERROR(__xludf.DUMMYFUNCTION("""COMPUTED_VALUE"""),46166.0)</f>
        <v>46166</v>
      </c>
      <c r="C2825" s="2" t="str">
        <f>IFERROR(__xludf.DUMMYFUNCTION("""COMPUTED_VALUE"""),"MOBILECARE - CEBU")</f>
        <v>MOBILECARE - CEBU</v>
      </c>
      <c r="D2825" s="2" t="str">
        <f>IFERROR(__xludf.DUMMYFUNCTION("""COMPUTED_VALUE"""),"661-56050")</f>
        <v>661-56050</v>
      </c>
      <c r="E2825" s="2" t="str">
        <f>IFERROR(__xludf.DUMMYFUNCTION("""COMPUTED_VALUE"""),"Display, iPhone 17 Pro Max")</f>
        <v>Display, iPhone 17 Pro Max</v>
      </c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>
      <c r="A2826" s="10" t="str">
        <f t="shared" si="1"/>
        <v>May</v>
      </c>
      <c r="B2826" s="11">
        <f>IFERROR(__xludf.DUMMYFUNCTION("""COMPUTED_VALUE"""),46144.0)</f>
        <v>46144</v>
      </c>
      <c r="C2826" s="2" t="str">
        <f>IFERROR(__xludf.DUMMYFUNCTION("""COMPUTED_VALUE"""),"MOBILECARE - CEBU")</f>
        <v>MOBILECARE - CEBU</v>
      </c>
      <c r="D2826" s="2" t="str">
        <f>IFERROR(__xludf.DUMMYFUNCTION("""COMPUTED_VALUE"""),"TA661-45327")</f>
        <v>TA661-45327</v>
      </c>
      <c r="E2826" s="2" t="str">
        <f>IFERROR(__xludf.DUMMYFUNCTION("""COMPUTED_VALUE"""),"512GB, Desert Titanium, ROW, iPhone 16 Pro Max, Logic Board Assy Mid Sys")</f>
        <v>512GB, Desert Titanium, ROW, iPhone 16 Pro Max, Logic Board Assy Mid Sys</v>
      </c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>
      <c r="A2827" s="10" t="str">
        <f t="shared" si="1"/>
        <v>March</v>
      </c>
      <c r="B2827" s="11">
        <f>IFERROR(__xludf.DUMMYFUNCTION("""COMPUTED_VALUE"""),46090.0)</f>
        <v>46090</v>
      </c>
      <c r="C2827" s="2" t="str">
        <f>IFERROR(__xludf.DUMMYFUNCTION("""COMPUTED_VALUE"""),"MOBILECARE - CEBU")</f>
        <v>MOBILECARE - CEBU</v>
      </c>
      <c r="D2827" s="2" t="str">
        <f>IFERROR(__xludf.DUMMYFUNCTION("""COMPUTED_VALUE"""),"661-21991")</f>
        <v>661-21991</v>
      </c>
      <c r="E2827" s="2" t="str">
        <f>IFERROR(__xludf.DUMMYFUNCTION("""COMPUTED_VALUE"""),"Battery, iPhone 13")</f>
        <v>Battery, iPhone 13</v>
      </c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>
      <c r="A2828" s="10" t="str">
        <f t="shared" si="1"/>
        <v>April</v>
      </c>
      <c r="B2828" s="11">
        <f>IFERROR(__xludf.DUMMYFUNCTION("""COMPUTED_VALUE"""),46116.0)</f>
        <v>46116</v>
      </c>
      <c r="C2828" s="2" t="str">
        <f>IFERROR(__xludf.DUMMYFUNCTION("""COMPUTED_VALUE"""),"MOBILECARE - CEBU")</f>
        <v>MOBILECARE - CEBU</v>
      </c>
      <c r="D2828" s="2" t="str">
        <f>IFERROR(__xludf.DUMMYFUNCTION("""COMPUTED_VALUE"""),"PP661-23455")</f>
        <v>PP661-23455</v>
      </c>
      <c r="E2828" s="2" t="str">
        <f>IFERROR(__xludf.DUMMYFUNCTION("""COMPUTED_VALUE"""),"iPhone 13, Starlight, 128GB, Logic Board Assy Rear System, ROW")</f>
        <v>iPhone 13, Starlight, 128GB, Logic Board Assy Rear System, ROW</v>
      </c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>
      <c r="A2829" s="10" t="str">
        <f t="shared" si="1"/>
        <v>March</v>
      </c>
      <c r="B2829" s="11">
        <f>IFERROR(__xludf.DUMMYFUNCTION("""COMPUTED_VALUE"""),46097.0)</f>
        <v>46097</v>
      </c>
      <c r="C2829" s="2" t="str">
        <f>IFERROR(__xludf.DUMMYFUNCTION("""COMPUTED_VALUE"""),"MOBILECARE - CEBU")</f>
        <v>MOBILECARE - CEBU</v>
      </c>
      <c r="D2829" s="2" t="str">
        <f>IFERROR(__xludf.DUMMYFUNCTION("""COMPUTED_VALUE"""),"TA661-45327")</f>
        <v>TA661-45327</v>
      </c>
      <c r="E2829" s="2" t="str">
        <f>IFERROR(__xludf.DUMMYFUNCTION("""COMPUTED_VALUE"""),"512GB, Desert Titanium, ROW, iPhone 16 Pro Max, Logic Board Assy Mid Sys")</f>
        <v>512GB, Desert Titanium, ROW, iPhone 16 Pro Max, Logic Board Assy Mid Sys</v>
      </c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>
      <c r="A2830" s="10" t="str">
        <f t="shared" si="1"/>
        <v>March</v>
      </c>
      <c r="B2830" s="11">
        <f>IFERROR(__xludf.DUMMYFUNCTION("""COMPUTED_VALUE"""),46097.0)</f>
        <v>46097</v>
      </c>
      <c r="C2830" s="2" t="str">
        <f>IFERROR(__xludf.DUMMYFUNCTION("""COMPUTED_VALUE"""),"MOBILECARE - CEBU")</f>
        <v>MOBILECARE - CEBU</v>
      </c>
      <c r="D2830" s="2" t="str">
        <f>IFERROR(__xludf.DUMMYFUNCTION("""COMPUTED_VALUE"""),"661-44956")</f>
        <v>661-44956</v>
      </c>
      <c r="E2830" s="2" t="str">
        <f>IFERROR(__xludf.DUMMYFUNCTION("""COMPUTED_VALUE"""),"TrueDepth Camera, iPhone 16 Pro Max")</f>
        <v>TrueDepth Camera, iPhone 16 Pro Max</v>
      </c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>
      <c r="A2831" s="10" t="str">
        <f t="shared" si="1"/>
        <v>February</v>
      </c>
      <c r="B2831" s="11">
        <f>IFERROR(__xludf.DUMMYFUNCTION("""COMPUTED_VALUE"""),46057.0)</f>
        <v>46057</v>
      </c>
      <c r="C2831" s="2" t="str">
        <f>IFERROR(__xludf.DUMMYFUNCTION("""COMPUTED_VALUE"""),"MOBILECARE - CEBU")</f>
        <v>MOBILECARE - CEBU</v>
      </c>
      <c r="D2831" s="2" t="str">
        <f>IFERROR(__xludf.DUMMYFUNCTION("""COMPUTED_VALUE"""),"661-21991")</f>
        <v>661-21991</v>
      </c>
      <c r="E2831" s="2" t="str">
        <f>IFERROR(__xludf.DUMMYFUNCTION("""COMPUTED_VALUE"""),"Battery, iPhone 13")</f>
        <v>Battery, iPhone 13</v>
      </c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>
      <c r="A2832" s="10" t="str">
        <f t="shared" si="1"/>
        <v>February</v>
      </c>
      <c r="B2832" s="11">
        <f>IFERROR(__xludf.DUMMYFUNCTION("""COMPUTED_VALUE"""),46074.0)</f>
        <v>46074</v>
      </c>
      <c r="C2832" s="2" t="str">
        <f>IFERROR(__xludf.DUMMYFUNCTION("""COMPUTED_VALUE"""),"MOBILECARE - CEBU")</f>
        <v>MOBILECARE - CEBU</v>
      </c>
      <c r="D2832" s="2" t="str">
        <f>IFERROR(__xludf.DUMMYFUNCTION("""COMPUTED_VALUE"""),"TA661-44996")</f>
        <v>TA661-44996</v>
      </c>
      <c r="E2832" s="2" t="str">
        <f>IFERROR(__xludf.DUMMYFUNCTION("""COMPUTED_VALUE"""),"128GB, White Titanium, ROW, iPhone 16 Pro, Logic Board Assy Mid System")</f>
        <v>128GB, White Titanium, ROW, iPhone 16 Pro, Logic Board Assy Mid System</v>
      </c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>
      <c r="A2833" s="10" t="str">
        <f t="shared" si="1"/>
        <v>June</v>
      </c>
      <c r="B2833" s="11">
        <f>IFERROR(__xludf.DUMMYFUNCTION("""COMPUTED_VALUE"""),46178.0)</f>
        <v>46178</v>
      </c>
      <c r="C2833" s="2" t="str">
        <f>IFERROR(__xludf.DUMMYFUNCTION("""COMPUTED_VALUE"""),"MOBILECARE - CEBU")</f>
        <v>MOBILECARE - CEBU</v>
      </c>
      <c r="D2833" s="2" t="str">
        <f>IFERROR(__xludf.DUMMYFUNCTION("""COMPUTED_VALUE"""),"661-21991")</f>
        <v>661-21991</v>
      </c>
      <c r="E2833" s="2" t="str">
        <f>IFERROR(__xludf.DUMMYFUNCTION("""COMPUTED_VALUE"""),"Battery, iPhone 13")</f>
        <v>Battery, iPhone 13</v>
      </c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>
      <c r="A2834" s="10" t="str">
        <f t="shared" si="1"/>
        <v>May</v>
      </c>
      <c r="B2834" s="11">
        <f>IFERROR(__xludf.DUMMYFUNCTION("""COMPUTED_VALUE"""),46165.0)</f>
        <v>46165</v>
      </c>
      <c r="C2834" s="2" t="str">
        <f>IFERROR(__xludf.DUMMYFUNCTION("""COMPUTED_VALUE"""),"MOBILECARE - CEBU")</f>
        <v>MOBILECARE - CEBU</v>
      </c>
      <c r="D2834" s="2" t="str">
        <f>IFERROR(__xludf.DUMMYFUNCTION("""COMPUTED_VALUE"""),"661-21991")</f>
        <v>661-21991</v>
      </c>
      <c r="E2834" s="2" t="str">
        <f>IFERROR(__xludf.DUMMYFUNCTION("""COMPUTED_VALUE"""),"Battery, iPhone 13")</f>
        <v>Battery, iPhone 13</v>
      </c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>
      <c r="A2835" s="10" t="str">
        <f t="shared" si="1"/>
        <v>May</v>
      </c>
      <c r="B2835" s="11">
        <f>IFERROR(__xludf.DUMMYFUNCTION("""COMPUTED_VALUE"""),46164.0)</f>
        <v>46164</v>
      </c>
      <c r="C2835" s="2" t="str">
        <f>IFERROR(__xludf.DUMMYFUNCTION("""COMPUTED_VALUE"""),"MOBILECARE - CEBU")</f>
        <v>MOBILECARE - CEBU</v>
      </c>
      <c r="D2835" s="2" t="str">
        <f>IFERROR(__xludf.DUMMYFUNCTION("""COMPUTED_VALUE"""),"661-56125")</f>
        <v>661-56125</v>
      </c>
      <c r="E2835" s="2" t="str">
        <f>IFERROR(__xludf.DUMMYFUNCTION("""COMPUTED_VALUE"""),"Display, iPhone 17 Pro")</f>
        <v>Display, iPhone 17 Pro</v>
      </c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>
      <c r="A2836" s="10" t="str">
        <f t="shared" si="1"/>
        <v>June</v>
      </c>
      <c r="B2836" s="11">
        <f>IFERROR(__xludf.DUMMYFUNCTION("""COMPUTED_VALUE"""),46193.0)</f>
        <v>46193</v>
      </c>
      <c r="C2836" s="2" t="str">
        <f>IFERROR(__xludf.DUMMYFUNCTION("""COMPUTED_VALUE"""),"MOBILECARE - CEBU")</f>
        <v>MOBILECARE - CEBU</v>
      </c>
      <c r="D2836" s="2" t="str">
        <f>IFERROR(__xludf.DUMMYFUNCTION("""COMPUTED_VALUE"""),"TA661-43609")</f>
        <v>TA661-43609</v>
      </c>
      <c r="E2836" s="2" t="str">
        <f>IFERROR(__xludf.DUMMYFUNCTION("""COMPUTED_VALUE"""),"128GB, Teal, ROW, iPhone 16, Logic Board Assy Mid System")</f>
        <v>128GB, Teal, ROW, iPhone 16, Logic Board Assy Mid System</v>
      </c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>
      <c r="A2837" s="10" t="str">
        <f t="shared" si="1"/>
        <v>May</v>
      </c>
      <c r="B2837" s="11">
        <f>IFERROR(__xludf.DUMMYFUNCTION("""COMPUTED_VALUE"""),46148.0)</f>
        <v>46148</v>
      </c>
      <c r="C2837" s="2" t="str">
        <f>IFERROR(__xludf.DUMMYFUNCTION("""COMPUTED_VALUE"""),"MOBILECARE - CEBU")</f>
        <v>MOBILECARE - CEBU</v>
      </c>
      <c r="D2837" s="2" t="str">
        <f>IFERROR(__xludf.DUMMYFUNCTION("""COMPUTED_VALUE"""),"661-56067")</f>
        <v>661-56067</v>
      </c>
      <c r="E2837" s="2" t="str">
        <f>IFERROR(__xludf.DUMMYFUNCTION("""COMPUTED_VALUE"""),"Camera, iPhone 17")</f>
        <v>Camera, iPhone 17</v>
      </c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>
      <c r="A2838" s="10" t="str">
        <f t="shared" si="1"/>
        <v>March</v>
      </c>
      <c r="B2838" s="11">
        <f>IFERROR(__xludf.DUMMYFUNCTION("""COMPUTED_VALUE"""),46101.0)</f>
        <v>46101</v>
      </c>
      <c r="C2838" s="2" t="str">
        <f>IFERROR(__xludf.DUMMYFUNCTION("""COMPUTED_VALUE"""),"MOBILECARE - CEBU")</f>
        <v>MOBILECARE - CEBU</v>
      </c>
      <c r="D2838" s="2" t="str">
        <f>IFERROR(__xludf.DUMMYFUNCTION("""COMPUTED_VALUE"""),"661-13574")</f>
        <v>661-13574</v>
      </c>
      <c r="E2838" s="2" t="str">
        <f>IFERROR(__xludf.DUMMYFUNCTION("""COMPUTED_VALUE"""),"Battery, iPhone 11")</f>
        <v>Battery, iPhone 11</v>
      </c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>
      <c r="A2839" s="10" t="str">
        <f t="shared" si="1"/>
        <v>March</v>
      </c>
      <c r="B2839" s="11">
        <f>IFERROR(__xludf.DUMMYFUNCTION("""COMPUTED_VALUE"""),46093.0)</f>
        <v>46093</v>
      </c>
      <c r="C2839" s="2" t="str">
        <f>IFERROR(__xludf.DUMMYFUNCTION("""COMPUTED_VALUE"""),"MOBILECARE - CEBU")</f>
        <v>MOBILECARE - CEBU</v>
      </c>
      <c r="D2839" s="2" t="str">
        <f>IFERROR(__xludf.DUMMYFUNCTION("""COMPUTED_VALUE"""),"661-21996")</f>
        <v>661-21996</v>
      </c>
      <c r="E2839" s="2" t="str">
        <f>IFERROR(__xludf.DUMMYFUNCTION("""COMPUTED_VALUE"""),"Battery, iPhone 13 Pro")</f>
        <v>Battery, iPhone 13 Pro</v>
      </c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>
      <c r="A2840" s="10" t="str">
        <f t="shared" si="1"/>
        <v>March</v>
      </c>
      <c r="B2840" s="11">
        <f>IFERROR(__xludf.DUMMYFUNCTION("""COMPUTED_VALUE"""),46103.0)</f>
        <v>46103</v>
      </c>
      <c r="C2840" s="2" t="str">
        <f>IFERROR(__xludf.DUMMYFUNCTION("""COMPUTED_VALUE"""),"MOBILECARE - CEBU")</f>
        <v>MOBILECARE - CEBU</v>
      </c>
      <c r="D2840" s="2" t="str">
        <f>IFERROR(__xludf.DUMMYFUNCTION("""COMPUTED_VALUE"""),"Z661-55956")</f>
        <v>Z661-55956</v>
      </c>
      <c r="E2840" s="2" t="str">
        <f>IFERROR(__xludf.DUMMYFUNCTION("""COMPUTED_VALUE"""),"Logic Board, 256GB, iPhone 17 Pro Max, ROW")</f>
        <v>Logic Board, 256GB, iPhone 17 Pro Max, ROW</v>
      </c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>
      <c r="A2841" s="10" t="str">
        <f t="shared" si="1"/>
        <v>February</v>
      </c>
      <c r="B2841" s="11">
        <f>IFERROR(__xludf.DUMMYFUNCTION("""COMPUTED_VALUE"""),46074.0)</f>
        <v>46074</v>
      </c>
      <c r="C2841" s="2" t="str">
        <f>IFERROR(__xludf.DUMMYFUNCTION("""COMPUTED_VALUE"""),"MOBILECARE - CEBU")</f>
        <v>MOBILECARE - CEBU</v>
      </c>
      <c r="D2841" s="2" t="str">
        <f>IFERROR(__xludf.DUMMYFUNCTION("""COMPUTED_VALUE"""),"TA661-45001")</f>
        <v>TA661-45001</v>
      </c>
      <c r="E2841" s="2" t="str">
        <f>IFERROR(__xludf.DUMMYFUNCTION("""COMPUTED_VALUE"""),"256GB, Desert Titanium, ROW, iPhone 16 Pro, Logic Board Assy Mid System")</f>
        <v>256GB, Desert Titanium, ROW, iPhone 16 Pro, Logic Board Assy Mid System</v>
      </c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>
      <c r="A2842" s="10" t="str">
        <f t="shared" si="1"/>
        <v>April</v>
      </c>
      <c r="B2842" s="11">
        <f>IFERROR(__xludf.DUMMYFUNCTION("""COMPUTED_VALUE"""),46132.0)</f>
        <v>46132</v>
      </c>
      <c r="C2842" s="2" t="str">
        <f>IFERROR(__xludf.DUMMYFUNCTION("""COMPUTED_VALUE"""),"MOBILECARE - CEBU")</f>
        <v>MOBILECARE - CEBU</v>
      </c>
      <c r="D2842" s="2" t="str">
        <f>IFERROR(__xludf.DUMMYFUNCTION("""COMPUTED_VALUE"""),"661-22294")</f>
        <v>661-22294</v>
      </c>
      <c r="E2842" s="2" t="str">
        <f>IFERROR(__xludf.DUMMYFUNCTION("""COMPUTED_VALUE"""),"Battery, iPhone 13 Pro Max")</f>
        <v>Battery, iPhone 13 Pro Max</v>
      </c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>
      <c r="A2843" s="10" t="str">
        <f t="shared" si="1"/>
        <v>April</v>
      </c>
      <c r="B2843" s="11">
        <f>IFERROR(__xludf.DUMMYFUNCTION("""COMPUTED_VALUE"""),46136.0)</f>
        <v>46136</v>
      </c>
      <c r="C2843" s="2" t="str">
        <f>IFERROR(__xludf.DUMMYFUNCTION("""COMPUTED_VALUE"""),"MOBILECARE - CEBU")</f>
        <v>MOBILECARE - CEBU</v>
      </c>
      <c r="D2843" s="2" t="str">
        <f>IFERROR(__xludf.DUMMYFUNCTION("""COMPUTED_VALUE"""),"661-56050")</f>
        <v>661-56050</v>
      </c>
      <c r="E2843" s="2" t="str">
        <f>IFERROR(__xludf.DUMMYFUNCTION("""COMPUTED_VALUE"""),"Display, iPhone 17 Pro Max")</f>
        <v>Display, iPhone 17 Pro Max</v>
      </c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>
      <c r="A2844" s="10" t="str">
        <f t="shared" si="1"/>
        <v>April</v>
      </c>
      <c r="B2844" s="11">
        <f>IFERROR(__xludf.DUMMYFUNCTION("""COMPUTED_VALUE"""),46124.0)</f>
        <v>46124</v>
      </c>
      <c r="C2844" s="2" t="str">
        <f>IFERROR(__xludf.DUMMYFUNCTION("""COMPUTED_VALUE"""),"MOBILECARE - CEBU")</f>
        <v>MOBILECARE - CEBU</v>
      </c>
      <c r="D2844" s="2" t="str">
        <f>IFERROR(__xludf.DUMMYFUNCTION("""COMPUTED_VALUE"""),"661-10850")</f>
        <v>661-10850</v>
      </c>
      <c r="E2844" s="2" t="str">
        <f>IFERROR(__xludf.DUMMYFUNCTION("""COMPUTED_VALUE"""),"Battery, iPhone XR")</f>
        <v>Battery, iPhone XR</v>
      </c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>
      <c r="A2845" s="10" t="str">
        <f t="shared" si="1"/>
        <v>April</v>
      </c>
      <c r="B2845" s="11">
        <f>IFERROR(__xludf.DUMMYFUNCTION("""COMPUTED_VALUE"""),46124.0)</f>
        <v>46124</v>
      </c>
      <c r="C2845" s="2" t="str">
        <f>IFERROR(__xludf.DUMMYFUNCTION("""COMPUTED_VALUE"""),"MOBILECARE - CEBU")</f>
        <v>MOBILECARE - CEBU</v>
      </c>
      <c r="D2845" s="2" t="str">
        <f>IFERROR(__xludf.DUMMYFUNCTION("""COMPUTED_VALUE"""),"923-02609")</f>
        <v>923-02609</v>
      </c>
      <c r="E2845" s="2" t="str">
        <f>IFERROR(__xludf.DUMMYFUNCTION("""COMPUTED_VALUE"""),"Speaker, iPhone XR")</f>
        <v>Speaker, iPhone XR</v>
      </c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>
      <c r="A2846" s="10" t="str">
        <f t="shared" si="1"/>
        <v>March</v>
      </c>
      <c r="B2846" s="11">
        <f>IFERROR(__xludf.DUMMYFUNCTION("""COMPUTED_VALUE"""),46102.0)</f>
        <v>46102</v>
      </c>
      <c r="C2846" s="2" t="str">
        <f>IFERROR(__xludf.DUMMYFUNCTION("""COMPUTED_VALUE"""),"MOBILECARE - CEBU")</f>
        <v>MOBILECARE - CEBU</v>
      </c>
      <c r="D2846" s="2" t="str">
        <f>IFERROR(__xludf.DUMMYFUNCTION("""COMPUTED_VALUE"""),"661-42726")</f>
        <v>661-42726</v>
      </c>
      <c r="E2846" s="2" t="str">
        <f>IFERROR(__xludf.DUMMYFUNCTION("""COMPUTED_VALUE"""),"Display, iPhone 16 Pro")</f>
        <v>Display, iPhone 16 Pro</v>
      </c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>
      <c r="A2847" s="10" t="str">
        <f t="shared" si="1"/>
        <v>March</v>
      </c>
      <c r="B2847" s="11">
        <f>IFERROR(__xludf.DUMMYFUNCTION("""COMPUTED_VALUE"""),46088.0)</f>
        <v>46088</v>
      </c>
      <c r="C2847" s="2" t="str">
        <f>IFERROR(__xludf.DUMMYFUNCTION("""COMPUTED_VALUE"""),"MOBILECARE - CEBU")</f>
        <v>MOBILECARE - CEBU</v>
      </c>
      <c r="D2847" s="2" t="str">
        <f>IFERROR(__xludf.DUMMYFUNCTION("""COMPUTED_VALUE"""),"TA661-45323")</f>
        <v>TA661-45323</v>
      </c>
      <c r="E2847" s="2" t="str">
        <f>IFERROR(__xludf.DUMMYFUNCTION("""COMPUTED_VALUE"""),"256GB, Desert Titanium, ROW, iPhone 16 Pro Max, Logic Board Assy Mid Sys")</f>
        <v>256GB, Desert Titanium, ROW, iPhone 16 Pro Max, Logic Board Assy Mid Sys</v>
      </c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>
      <c r="A2848" s="10" t="str">
        <f t="shared" si="1"/>
        <v>January</v>
      </c>
      <c r="B2848" s="11">
        <f>IFERROR(__xludf.DUMMYFUNCTION("""COMPUTED_VALUE"""),46052.0)</f>
        <v>46052</v>
      </c>
      <c r="C2848" s="2" t="str">
        <f>IFERROR(__xludf.DUMMYFUNCTION("""COMPUTED_VALUE"""),"MOBILECARE - CEBU")</f>
        <v>MOBILECARE - CEBU</v>
      </c>
      <c r="D2848" s="2" t="str">
        <f>IFERROR(__xludf.DUMMYFUNCTION("""COMPUTED_VALUE"""),"661-18428")</f>
        <v>661-18428</v>
      </c>
      <c r="E2848" s="2" t="str">
        <f>IFERROR(__xludf.DUMMYFUNCTION("""COMPUTED_VALUE"""),"Battery, iPhone 12 Pro Max")</f>
        <v>Battery, iPhone 12 Pro Max</v>
      </c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>
      <c r="A2849" s="10" t="str">
        <f t="shared" si="1"/>
        <v>January</v>
      </c>
      <c r="B2849" s="11">
        <f>IFERROR(__xludf.DUMMYFUNCTION("""COMPUTED_VALUE"""),46049.0)</f>
        <v>46049</v>
      </c>
      <c r="C2849" s="2" t="str">
        <f>IFERROR(__xludf.DUMMYFUNCTION("""COMPUTED_VALUE"""),"MOBILECARE - CEBU")</f>
        <v>MOBILECARE - CEBU</v>
      </c>
      <c r="D2849" s="2" t="str">
        <f>IFERROR(__xludf.DUMMYFUNCTION("""COMPUTED_VALUE"""),"661-21988")</f>
        <v>661-21988</v>
      </c>
      <c r="E2849" s="2" t="str">
        <f>IFERROR(__xludf.DUMMYFUNCTION("""COMPUTED_VALUE"""),"Display, iPhone 13")</f>
        <v>Display, iPhone 13</v>
      </c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>
      <c r="A2850" s="10" t="str">
        <f t="shared" si="1"/>
        <v>June</v>
      </c>
      <c r="B2850" s="11">
        <f>IFERROR(__xludf.DUMMYFUNCTION("""COMPUTED_VALUE"""),46193.0)</f>
        <v>46193</v>
      </c>
      <c r="C2850" s="2" t="str">
        <f>IFERROR(__xludf.DUMMYFUNCTION("""COMPUTED_VALUE"""),"MOBILECARE - CEBU")</f>
        <v>MOBILECARE - CEBU</v>
      </c>
      <c r="D2850" s="2" t="str">
        <f>IFERROR(__xludf.DUMMYFUNCTION("""COMPUTED_VALUE"""),"661-17920")</f>
        <v>661-17920</v>
      </c>
      <c r="E2850" s="2" t="str">
        <f>IFERROR(__xludf.DUMMYFUNCTION("""COMPUTED_VALUE"""),"Battery, iPhone 12 and 12 Pro")</f>
        <v>Battery, iPhone 12 and 12 Pro</v>
      </c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>
      <c r="A2851" s="10" t="str">
        <f t="shared" si="1"/>
        <v>April</v>
      </c>
      <c r="B2851" s="11">
        <f>IFERROR(__xludf.DUMMYFUNCTION("""COMPUTED_VALUE"""),46123.0)</f>
        <v>46123</v>
      </c>
      <c r="C2851" s="2" t="str">
        <f>IFERROR(__xludf.DUMMYFUNCTION("""COMPUTED_VALUE"""),"MOBILECARE - CEBU")</f>
        <v>MOBILECARE - CEBU</v>
      </c>
      <c r="D2851" s="2" t="str">
        <f>IFERROR(__xludf.DUMMYFUNCTION("""COMPUTED_VALUE"""),"PP661-28873")</f>
        <v>PP661-28873</v>
      </c>
      <c r="E2851" s="2" t="str">
        <f>IFERROR(__xludf.DUMMYFUNCTION("""COMPUTED_VALUE"""),"iPhone 14, Midnight, 256GB, Logic Board Assy Mid System, ROW")</f>
        <v>iPhone 14, Midnight, 256GB, Logic Board Assy Mid System, ROW</v>
      </c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>
      <c r="A2852" s="10" t="str">
        <f t="shared" si="1"/>
        <v>March</v>
      </c>
      <c r="B2852" s="11">
        <f>IFERROR(__xludf.DUMMYFUNCTION("""COMPUTED_VALUE"""),46095.0)</f>
        <v>46095</v>
      </c>
      <c r="C2852" s="2" t="str">
        <f>IFERROR(__xludf.DUMMYFUNCTION("""COMPUTED_VALUE"""),"MOBILECARE - CEBU")</f>
        <v>MOBILECARE - CEBU</v>
      </c>
      <c r="D2852" s="2" t="str">
        <f>IFERROR(__xludf.DUMMYFUNCTION("""COMPUTED_VALUE"""),"PP661-23455")</f>
        <v>PP661-23455</v>
      </c>
      <c r="E2852" s="2" t="str">
        <f>IFERROR(__xludf.DUMMYFUNCTION("""COMPUTED_VALUE"""),"iPhone 13, Starlight, 128GB, Logic Board Assy Rear System, ROW")</f>
        <v>iPhone 13, Starlight, 128GB, Logic Board Assy Rear System, ROW</v>
      </c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>
      <c r="A2853" s="10" t="str">
        <f t="shared" si="1"/>
        <v>February</v>
      </c>
      <c r="B2853" s="11">
        <f>IFERROR(__xludf.DUMMYFUNCTION("""COMPUTED_VALUE"""),46063.0)</f>
        <v>46063</v>
      </c>
      <c r="C2853" s="2" t="str">
        <f>IFERROR(__xludf.DUMMYFUNCTION("""COMPUTED_VALUE"""),"MOBILECARE - CEBU")</f>
        <v>MOBILECARE - CEBU</v>
      </c>
      <c r="D2853" s="2" t="str">
        <f>IFERROR(__xludf.DUMMYFUNCTION("""COMPUTED_VALUE"""),"661-21996")</f>
        <v>661-21996</v>
      </c>
      <c r="E2853" s="2" t="str">
        <f>IFERROR(__xludf.DUMMYFUNCTION("""COMPUTED_VALUE"""),"Battery, iPhone 13 Pro")</f>
        <v>Battery, iPhone 13 Pro</v>
      </c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>
      <c r="A2854" s="10" t="str">
        <f t="shared" si="1"/>
        <v>February</v>
      </c>
      <c r="B2854" s="11">
        <f>IFERROR(__xludf.DUMMYFUNCTION("""COMPUTED_VALUE"""),46081.0)</f>
        <v>46081</v>
      </c>
      <c r="C2854" s="2" t="str">
        <f>IFERROR(__xludf.DUMMYFUNCTION("""COMPUTED_VALUE"""),"MOBILECARE - CEBU")</f>
        <v>MOBILECARE - CEBU</v>
      </c>
      <c r="D2854" s="2" t="str">
        <f>IFERROR(__xludf.DUMMYFUNCTION("""COMPUTED_VALUE"""),"PP661-23455")</f>
        <v>PP661-23455</v>
      </c>
      <c r="E2854" s="2" t="str">
        <f>IFERROR(__xludf.DUMMYFUNCTION("""COMPUTED_VALUE"""),"iPhone 13, Starlight, 128GB, Logic Board Assy Rear System, ROW")</f>
        <v>iPhone 13, Starlight, 128GB, Logic Board Assy Rear System, ROW</v>
      </c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>
      <c r="A2855" s="10" t="str">
        <f t="shared" si="1"/>
        <v>February</v>
      </c>
      <c r="B2855" s="11">
        <f>IFERROR(__xludf.DUMMYFUNCTION("""COMPUTED_VALUE"""),46067.0)</f>
        <v>46067</v>
      </c>
      <c r="C2855" s="2" t="str">
        <f>IFERROR(__xludf.DUMMYFUNCTION("""COMPUTED_VALUE"""),"MOBILECARE - CEBU")</f>
        <v>MOBILECARE - CEBU</v>
      </c>
      <c r="D2855" s="2" t="str">
        <f>IFERROR(__xludf.DUMMYFUNCTION("""COMPUTED_VALUE"""),"661-42727")</f>
        <v>661-42727</v>
      </c>
      <c r="E2855" s="2" t="str">
        <f>IFERROR(__xludf.DUMMYFUNCTION("""COMPUTED_VALUE"""),"TrueDepth Camera, iPhone 16 Pro")</f>
        <v>TrueDepth Camera, iPhone 16 Pro</v>
      </c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>
      <c r="A2856" s="10" t="str">
        <f t="shared" si="1"/>
        <v>January</v>
      </c>
      <c r="B2856" s="11">
        <f>IFERROR(__xludf.DUMMYFUNCTION("""COMPUTED_VALUE"""),46047.0)</f>
        <v>46047</v>
      </c>
      <c r="C2856" s="2" t="str">
        <f>IFERROR(__xludf.DUMMYFUNCTION("""COMPUTED_VALUE"""),"MOBILECARE - CEBU")</f>
        <v>MOBILECARE - CEBU</v>
      </c>
      <c r="D2856" s="2" t="str">
        <f>IFERROR(__xludf.DUMMYFUNCTION("""COMPUTED_VALUE"""),"661-22294")</f>
        <v>661-22294</v>
      </c>
      <c r="E2856" s="2" t="str">
        <f>IFERROR(__xludf.DUMMYFUNCTION("""COMPUTED_VALUE"""),"Battery, iPhone 13 Pro Max")</f>
        <v>Battery, iPhone 13 Pro Max</v>
      </c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>
      <c r="A2857" s="10" t="str">
        <f t="shared" si="1"/>
        <v>March</v>
      </c>
      <c r="B2857" s="11">
        <f>IFERROR(__xludf.DUMMYFUNCTION("""COMPUTED_VALUE"""),46106.0)</f>
        <v>46106</v>
      </c>
      <c r="C2857" s="2" t="str">
        <f>IFERROR(__xludf.DUMMYFUNCTION("""COMPUTED_VALUE"""),"MOBILECARE - CEBU")</f>
        <v>MOBILECARE - CEBU</v>
      </c>
      <c r="D2857" s="2" t="str">
        <f>IFERROR(__xludf.DUMMYFUNCTION("""COMPUTED_VALUE"""),"661-30393")</f>
        <v>661-30393</v>
      </c>
      <c r="E2857" s="2" t="str">
        <f>IFERROR(__xludf.DUMMYFUNCTION("""COMPUTED_VALUE"""),"Camera, iPhone 14 Plus")</f>
        <v>Camera, iPhone 14 Plus</v>
      </c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>
      <c r="A2858" s="10" t="str">
        <f t="shared" si="1"/>
        <v>February</v>
      </c>
      <c r="B2858" s="11">
        <f>IFERROR(__xludf.DUMMYFUNCTION("""COMPUTED_VALUE"""),46069.0)</f>
        <v>46069</v>
      </c>
      <c r="C2858" s="2" t="str">
        <f>IFERROR(__xludf.DUMMYFUNCTION("""COMPUTED_VALUE"""),"MOBILECARE - CEBU")</f>
        <v>MOBILECARE - CEBU</v>
      </c>
      <c r="D2858" s="2" t="str">
        <f>IFERROR(__xludf.DUMMYFUNCTION("""COMPUTED_VALUE"""),"661-21993")</f>
        <v>661-21993</v>
      </c>
      <c r="E2858" s="2" t="str">
        <f>IFERROR(__xludf.DUMMYFUNCTION("""COMPUTED_VALUE"""),"Display, iPhone 13 Pro")</f>
        <v>Display, iPhone 13 Pro</v>
      </c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>
      <c r="A2859" s="10" t="str">
        <f t="shared" si="1"/>
        <v>February</v>
      </c>
      <c r="B2859" s="11">
        <f>IFERROR(__xludf.DUMMYFUNCTION("""COMPUTED_VALUE"""),46070.0)</f>
        <v>46070</v>
      </c>
      <c r="C2859" s="2" t="str">
        <f>IFERROR(__xludf.DUMMYFUNCTION("""COMPUTED_VALUE"""),"MOBILECARE - CEBU")</f>
        <v>MOBILECARE - CEBU</v>
      </c>
      <c r="D2859" s="2" t="str">
        <f>IFERROR(__xludf.DUMMYFUNCTION("""COMPUTED_VALUE"""),"PP661-23461")</f>
        <v>PP661-23461</v>
      </c>
      <c r="E2859" s="2" t="str">
        <f>IFERROR(__xludf.DUMMYFUNCTION("""COMPUTED_VALUE"""),"iPhone 13, Pink, 256GB, Logic Board Assy Rear System, ROW")</f>
        <v>iPhone 13, Pink, 256GB, Logic Board Assy Rear System, ROW</v>
      </c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>
      <c r="A2860" s="10" t="str">
        <f t="shared" si="1"/>
        <v>January</v>
      </c>
      <c r="B2860" s="11">
        <f>IFERROR(__xludf.DUMMYFUNCTION("""COMPUTED_VALUE"""),46037.0)</f>
        <v>46037</v>
      </c>
      <c r="C2860" s="2" t="str">
        <f>IFERROR(__xludf.DUMMYFUNCTION("""COMPUTED_VALUE"""),"MOBILECARE - CEBU")</f>
        <v>MOBILECARE - CEBU</v>
      </c>
      <c r="D2860" s="2" t="str">
        <f>IFERROR(__xludf.DUMMYFUNCTION("""COMPUTED_VALUE"""),"661-22309")</f>
        <v>661-22309</v>
      </c>
      <c r="E2860" s="2" t="str">
        <f>IFERROR(__xludf.DUMMYFUNCTION("""COMPUTED_VALUE"""),"Display, iPhone 13 Pro Max")</f>
        <v>Display, iPhone 13 Pro Max</v>
      </c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>
      <c r="A2861" s="10" t="str">
        <f t="shared" si="1"/>
        <v>June</v>
      </c>
      <c r="B2861" s="11">
        <f>IFERROR(__xludf.DUMMYFUNCTION("""COMPUTED_VALUE"""),46184.0)</f>
        <v>46184</v>
      </c>
      <c r="C2861" s="2" t="str">
        <f>IFERROR(__xludf.DUMMYFUNCTION("""COMPUTED_VALUE"""),"MOBILECARE - CEBU")</f>
        <v>MOBILECARE - CEBU</v>
      </c>
      <c r="D2861" s="2" t="str">
        <f>IFERROR(__xludf.DUMMYFUNCTION("""COMPUTED_VALUE"""),"661-42726")</f>
        <v>661-42726</v>
      </c>
      <c r="E2861" s="2" t="str">
        <f>IFERROR(__xludf.DUMMYFUNCTION("""COMPUTED_VALUE"""),"Display, iPhone 16 Pro")</f>
        <v>Display, iPhone 16 Pro</v>
      </c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>
      <c r="A2862" s="10" t="str">
        <f t="shared" si="1"/>
        <v>April</v>
      </c>
      <c r="B2862" s="11">
        <f>IFERROR(__xludf.DUMMYFUNCTION("""COMPUTED_VALUE"""),46133.0)</f>
        <v>46133</v>
      </c>
      <c r="C2862" s="2" t="str">
        <f>IFERROR(__xludf.DUMMYFUNCTION("""COMPUTED_VALUE"""),"MOBILECARE - CEBU")</f>
        <v>MOBILECARE - CEBU</v>
      </c>
      <c r="D2862" s="2" t="str">
        <f>IFERROR(__xludf.DUMMYFUNCTION("""COMPUTED_VALUE"""),"661-22309")</f>
        <v>661-22309</v>
      </c>
      <c r="E2862" s="2" t="str">
        <f>IFERROR(__xludf.DUMMYFUNCTION("""COMPUTED_VALUE"""),"Display, iPhone 13 Pro Max")</f>
        <v>Display, iPhone 13 Pro Max</v>
      </c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>
      <c r="A2863" s="10" t="str">
        <f t="shared" si="1"/>
        <v>April</v>
      </c>
      <c r="B2863" s="11">
        <f>IFERROR(__xludf.DUMMYFUNCTION("""COMPUTED_VALUE"""),46138.0)</f>
        <v>46138</v>
      </c>
      <c r="C2863" s="2" t="str">
        <f>IFERROR(__xludf.DUMMYFUNCTION("""COMPUTED_VALUE"""),"MOBILECARE - CEBU")</f>
        <v>MOBILECARE - CEBU</v>
      </c>
      <c r="D2863" s="2" t="str">
        <f>IFERROR(__xludf.DUMMYFUNCTION("""COMPUTED_VALUE"""),"TA661-43612")</f>
        <v>TA661-43612</v>
      </c>
      <c r="E2863" s="2" t="str">
        <f>IFERROR(__xludf.DUMMYFUNCTION("""COMPUTED_VALUE"""),"256GB, Pink, ROW, iPhone 16, Logic Board Assy Mid System")</f>
        <v>256GB, Pink, ROW, iPhone 16, Logic Board Assy Mid System</v>
      </c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>
      <c r="A2864" s="10" t="str">
        <f t="shared" si="1"/>
        <v>April</v>
      </c>
      <c r="B2864" s="11">
        <f>IFERROR(__xludf.DUMMYFUNCTION("""COMPUTED_VALUE"""),46132.0)</f>
        <v>46132</v>
      </c>
      <c r="C2864" s="2" t="str">
        <f>IFERROR(__xludf.DUMMYFUNCTION("""COMPUTED_VALUE"""),"MOBILECARE - CEBU")</f>
        <v>MOBILECARE - CEBU</v>
      </c>
      <c r="D2864" s="2" t="str">
        <f>IFERROR(__xludf.DUMMYFUNCTION("""COMPUTED_VALUE"""),"TA661-43608")</f>
        <v>TA661-43608</v>
      </c>
      <c r="E2864" s="2" t="str">
        <f>IFERROR(__xludf.DUMMYFUNCTION("""COMPUTED_VALUE"""),"128GB, Ultramarine, ROW, iPhone 16, Logic Board Assy Mid System")</f>
        <v>128GB, Ultramarine, ROW, iPhone 16, Logic Board Assy Mid System</v>
      </c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>
      <c r="A2865" s="10" t="str">
        <f t="shared" si="1"/>
        <v>April</v>
      </c>
      <c r="B2865" s="11">
        <f>IFERROR(__xludf.DUMMYFUNCTION("""COMPUTED_VALUE"""),46123.0)</f>
        <v>46123</v>
      </c>
      <c r="C2865" s="2" t="str">
        <f>IFERROR(__xludf.DUMMYFUNCTION("""COMPUTED_VALUE"""),"MOBILECARE - CEBU")</f>
        <v>MOBILECARE - CEBU</v>
      </c>
      <c r="D2865" s="2" t="str">
        <f>IFERROR(__xludf.DUMMYFUNCTION("""COMPUTED_VALUE"""),"TA661-36699")</f>
        <v>TA661-36699</v>
      </c>
      <c r="E2865" s="2" t="str">
        <f>IFERROR(__xludf.DUMMYFUNCTION("""COMPUTED_VALUE"""),"iPhone 15, Blue, 256GB, Logic Board Assy Mid System, ROW")</f>
        <v>iPhone 15, Blue, 256GB, Logic Board Assy Mid System, ROW</v>
      </c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>
      <c r="A2866" s="10" t="str">
        <f t="shared" si="1"/>
        <v>March</v>
      </c>
      <c r="B2866" s="11">
        <f>IFERROR(__xludf.DUMMYFUNCTION("""COMPUTED_VALUE"""),46092.0)</f>
        <v>46092</v>
      </c>
      <c r="C2866" s="2" t="str">
        <f>IFERROR(__xludf.DUMMYFUNCTION("""COMPUTED_VALUE"""),"MOBILECARE - CEBU")</f>
        <v>MOBILECARE - CEBU</v>
      </c>
      <c r="D2866" s="2" t="str">
        <f>IFERROR(__xludf.DUMMYFUNCTION("""COMPUTED_VALUE"""),"661-21988")</f>
        <v>661-21988</v>
      </c>
      <c r="E2866" s="2" t="str">
        <f>IFERROR(__xludf.DUMMYFUNCTION("""COMPUTED_VALUE"""),"Display, iPhone 13")</f>
        <v>Display, iPhone 13</v>
      </c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>
      <c r="A2867" s="10" t="str">
        <f t="shared" si="1"/>
        <v>March</v>
      </c>
      <c r="B2867" s="11">
        <f>IFERROR(__xludf.DUMMYFUNCTION("""COMPUTED_VALUE"""),46096.0)</f>
        <v>46096</v>
      </c>
      <c r="C2867" s="2" t="str">
        <f>IFERROR(__xludf.DUMMYFUNCTION("""COMPUTED_VALUE"""),"MOBILECARE - CEBU")</f>
        <v>MOBILECARE - CEBU</v>
      </c>
      <c r="D2867" s="2" t="str">
        <f>IFERROR(__xludf.DUMMYFUNCTION("""COMPUTED_VALUE"""),"PP661-28869")</f>
        <v>PP661-28869</v>
      </c>
      <c r="E2867" s="2" t="str">
        <f>IFERROR(__xludf.DUMMYFUNCTION("""COMPUTED_VALUE"""),"iPhone 14, Starlight, 128GB, Logic Board Assy Mid System, ROW")</f>
        <v>iPhone 14, Starlight, 128GB, Logic Board Assy Mid System, ROW</v>
      </c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>
      <c r="A2868" s="10" t="str">
        <f t="shared" si="1"/>
        <v>February</v>
      </c>
      <c r="B2868" s="11">
        <f>IFERROR(__xludf.DUMMYFUNCTION("""COMPUTED_VALUE"""),46075.0)</f>
        <v>46075</v>
      </c>
      <c r="C2868" s="2" t="str">
        <f>IFERROR(__xludf.DUMMYFUNCTION("""COMPUTED_VALUE"""),"MOBILECARE - CEBU")</f>
        <v>MOBILECARE - CEBU</v>
      </c>
      <c r="D2868" s="2" t="str">
        <f>IFERROR(__xludf.DUMMYFUNCTION("""COMPUTED_VALUE"""),"661-21991")</f>
        <v>661-21991</v>
      </c>
      <c r="E2868" s="2" t="str">
        <f>IFERROR(__xludf.DUMMYFUNCTION("""COMPUTED_VALUE"""),"Battery, iPhone 13")</f>
        <v>Battery, iPhone 13</v>
      </c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>
      <c r="A2869" s="10" t="str">
        <f t="shared" si="1"/>
        <v>February</v>
      </c>
      <c r="B2869" s="11">
        <f>IFERROR(__xludf.DUMMYFUNCTION("""COMPUTED_VALUE"""),46062.0)</f>
        <v>46062</v>
      </c>
      <c r="C2869" s="2" t="str">
        <f>IFERROR(__xludf.DUMMYFUNCTION("""COMPUTED_VALUE"""),"MOBILECARE - CEBU")</f>
        <v>MOBILECARE - CEBU</v>
      </c>
      <c r="D2869" s="2" t="str">
        <f>IFERROR(__xludf.DUMMYFUNCTION("""COMPUTED_VALUE"""),"661-11232")</f>
        <v>661-11232</v>
      </c>
      <c r="E2869" s="2" t="str">
        <f>IFERROR(__xludf.DUMMYFUNCTION("""COMPUTED_VALUE"""),"Display, iPhone XR")</f>
        <v>Display, iPhone XR</v>
      </c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>
      <c r="A2870" s="10" t="str">
        <f t="shared" si="1"/>
        <v>February</v>
      </c>
      <c r="B2870" s="11">
        <f>IFERROR(__xludf.DUMMYFUNCTION("""COMPUTED_VALUE"""),46068.0)</f>
        <v>46068</v>
      </c>
      <c r="C2870" s="2" t="str">
        <f>IFERROR(__xludf.DUMMYFUNCTION("""COMPUTED_VALUE"""),"MOBILECARE - CEBU")</f>
        <v>MOBILECARE - CEBU</v>
      </c>
      <c r="D2870" s="2" t="str">
        <f>IFERROR(__xludf.DUMMYFUNCTION("""COMPUTED_VALUE"""),"661-42726")</f>
        <v>661-42726</v>
      </c>
      <c r="E2870" s="2" t="str">
        <f>IFERROR(__xludf.DUMMYFUNCTION("""COMPUTED_VALUE"""),"Display, iPhone 16 Pro")</f>
        <v>Display, iPhone 16 Pro</v>
      </c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>
      <c r="A2871" s="10" t="str">
        <f t="shared" si="1"/>
        <v>January</v>
      </c>
      <c r="B2871" s="11">
        <f>IFERROR(__xludf.DUMMYFUNCTION("""COMPUTED_VALUE"""),46042.0)</f>
        <v>46042</v>
      </c>
      <c r="C2871" s="2" t="str">
        <f>IFERROR(__xludf.DUMMYFUNCTION("""COMPUTED_VALUE"""),"MOBILECARE - CEBU")</f>
        <v>MOBILECARE - CEBU</v>
      </c>
      <c r="D2871" s="2" t="str">
        <f>IFERROR(__xludf.DUMMYFUNCTION("""COMPUTED_VALUE"""),"661-21996")</f>
        <v>661-21996</v>
      </c>
      <c r="E2871" s="2" t="str">
        <f>IFERROR(__xludf.DUMMYFUNCTION("""COMPUTED_VALUE"""),"Battery, iPhone 13 Pro")</f>
        <v>Battery, iPhone 13 Pro</v>
      </c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>
      <c r="A2872" s="10" t="str">
        <f t="shared" si="1"/>
        <v>May</v>
      </c>
      <c r="B2872" s="11">
        <f>IFERROR(__xludf.DUMMYFUNCTION("""COMPUTED_VALUE"""),46149.0)</f>
        <v>46149</v>
      </c>
      <c r="C2872" s="2" t="str">
        <f>IFERROR(__xludf.DUMMYFUNCTION("""COMPUTED_VALUE"""),"MOBILECARE - CEBU")</f>
        <v>MOBILECARE - CEBU</v>
      </c>
      <c r="D2872" s="2" t="str">
        <f>IFERROR(__xludf.DUMMYFUNCTION("""COMPUTED_VALUE"""),"661-56050")</f>
        <v>661-56050</v>
      </c>
      <c r="E2872" s="2" t="str">
        <f>IFERROR(__xludf.DUMMYFUNCTION("""COMPUTED_VALUE"""),"Display, iPhone 17 Pro Max")</f>
        <v>Display, iPhone 17 Pro Max</v>
      </c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>
      <c r="A2873" s="10" t="str">
        <f t="shared" si="1"/>
        <v>April</v>
      </c>
      <c r="B2873" s="11">
        <f>IFERROR(__xludf.DUMMYFUNCTION("""COMPUTED_VALUE"""),46142.0)</f>
        <v>46142</v>
      </c>
      <c r="C2873" s="2" t="str">
        <f>IFERROR(__xludf.DUMMYFUNCTION("""COMPUTED_VALUE"""),"MOBILECARE - CEBU")</f>
        <v>MOBILECARE - CEBU</v>
      </c>
      <c r="D2873" s="2" t="str">
        <f>IFERROR(__xludf.DUMMYFUNCTION("""COMPUTED_VALUE"""),"661-21991")</f>
        <v>661-21991</v>
      </c>
      <c r="E2873" s="2" t="str">
        <f>IFERROR(__xludf.DUMMYFUNCTION("""COMPUTED_VALUE"""),"Battery, iPhone 13")</f>
        <v>Battery, iPhone 13</v>
      </c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>
      <c r="A2874" s="10" t="str">
        <f t="shared" si="1"/>
        <v>February</v>
      </c>
      <c r="B2874" s="11">
        <f>IFERROR(__xludf.DUMMYFUNCTION("""COMPUTED_VALUE"""),46068.0)</f>
        <v>46068</v>
      </c>
      <c r="C2874" s="2" t="str">
        <f>IFERROR(__xludf.DUMMYFUNCTION("""COMPUTED_VALUE"""),"MOBILECARE - CEBU")</f>
        <v>MOBILECARE - CEBU</v>
      </c>
      <c r="D2874" s="2" t="str">
        <f>IFERROR(__xludf.DUMMYFUNCTION("""COMPUTED_VALUE"""),"661-22309")</f>
        <v>661-22309</v>
      </c>
      <c r="E2874" s="2" t="str">
        <f>IFERROR(__xludf.DUMMYFUNCTION("""COMPUTED_VALUE"""),"Display, iPhone 13 Pro Max")</f>
        <v>Display, iPhone 13 Pro Max</v>
      </c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>
      <c r="A2875" s="10" t="str">
        <f t="shared" si="1"/>
        <v>February</v>
      </c>
      <c r="B2875" s="11">
        <f>IFERROR(__xludf.DUMMYFUNCTION("""COMPUTED_VALUE"""),46080.0)</f>
        <v>46080</v>
      </c>
      <c r="C2875" s="2" t="str">
        <f>IFERROR(__xludf.DUMMYFUNCTION("""COMPUTED_VALUE"""),"MOBILECARE - CEBU")</f>
        <v>MOBILECARE - CEBU</v>
      </c>
      <c r="D2875" s="2" t="str">
        <f>IFERROR(__xludf.DUMMYFUNCTION("""COMPUTED_VALUE"""),"TA661-42904")</f>
        <v>TA661-42904</v>
      </c>
      <c r="E2875" s="2" t="str">
        <f>IFERROR(__xludf.DUMMYFUNCTION("""COMPUTED_VALUE"""),"256GB, Natural Titanium, ROW, iPhone 16 Pro, CI/AR")</f>
        <v>256GB, Natural Titanium, ROW, iPhone 16 Pro, CI/AR</v>
      </c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>
      <c r="A2876" s="10" t="str">
        <f t="shared" si="1"/>
        <v>February</v>
      </c>
      <c r="B2876" s="11">
        <f>IFERROR(__xludf.DUMMYFUNCTION("""COMPUTED_VALUE"""),46068.0)</f>
        <v>46068</v>
      </c>
      <c r="C2876" s="2" t="str">
        <f>IFERROR(__xludf.DUMMYFUNCTION("""COMPUTED_VALUE"""),"MOBILECARE - CEBU")</f>
        <v>MOBILECARE - CEBU</v>
      </c>
      <c r="D2876" s="2" t="str">
        <f>IFERROR(__xludf.DUMMYFUNCTION("""COMPUTED_VALUE"""),"661-44955")</f>
        <v>661-44955</v>
      </c>
      <c r="E2876" s="2" t="str">
        <f>IFERROR(__xludf.DUMMYFUNCTION("""COMPUTED_VALUE"""),"Display, iPhone 16 Pro Max")</f>
        <v>Display, iPhone 16 Pro Max</v>
      </c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>
      <c r="A2877" s="10" t="str">
        <f t="shared" si="1"/>
        <v>February</v>
      </c>
      <c r="B2877" s="11">
        <f>IFERROR(__xludf.DUMMYFUNCTION("""COMPUTED_VALUE"""),46074.0)</f>
        <v>46074</v>
      </c>
      <c r="C2877" s="2" t="str">
        <f>IFERROR(__xludf.DUMMYFUNCTION("""COMPUTED_VALUE"""),"MOBILECARE - CEBU")</f>
        <v>MOBILECARE - CEBU</v>
      </c>
      <c r="D2877" s="2" t="str">
        <f>IFERROR(__xludf.DUMMYFUNCTION("""COMPUTED_VALUE"""),"PP661-23455")</f>
        <v>PP661-23455</v>
      </c>
      <c r="E2877" s="2" t="str">
        <f>IFERROR(__xludf.DUMMYFUNCTION("""COMPUTED_VALUE"""),"iPhone 13, Starlight, 128GB, Logic Board Assy Rear System, ROW")</f>
        <v>iPhone 13, Starlight, 128GB, Logic Board Assy Rear System, ROW</v>
      </c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>
      <c r="A2878" s="10" t="str">
        <f t="shared" si="1"/>
        <v>February</v>
      </c>
      <c r="B2878" s="11">
        <f>IFERROR(__xludf.DUMMYFUNCTION("""COMPUTED_VALUE"""),46058.0)</f>
        <v>46058</v>
      </c>
      <c r="C2878" s="2" t="str">
        <f>IFERROR(__xludf.DUMMYFUNCTION("""COMPUTED_VALUE"""),"MOBILECARE - CEBU")</f>
        <v>MOBILECARE - CEBU</v>
      </c>
      <c r="D2878" s="2" t="str">
        <f>IFERROR(__xludf.DUMMYFUNCTION("""COMPUTED_VALUE"""),"TA661-45231")</f>
        <v>TA661-45231</v>
      </c>
      <c r="E2878" s="2" t="str">
        <f>IFERROR(__xludf.DUMMYFUNCTION("""COMPUTED_VALUE"""),"128GB, Black, ROW, iPhone 16 Plus, Logic Board Assy Mid System")</f>
        <v>128GB, Black, ROW, iPhone 16 Plus, Logic Board Assy Mid System</v>
      </c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>
      <c r="A2879" s="10" t="str">
        <f t="shared" si="1"/>
        <v>May</v>
      </c>
      <c r="B2879" s="11">
        <f>IFERROR(__xludf.DUMMYFUNCTION("""COMPUTED_VALUE"""),46166.0)</f>
        <v>46166</v>
      </c>
      <c r="C2879" s="2" t="str">
        <f>IFERROR(__xludf.DUMMYFUNCTION("""COMPUTED_VALUE"""),"MOBILECARE - CEBU")</f>
        <v>MOBILECARE - CEBU</v>
      </c>
      <c r="D2879" s="2" t="str">
        <f>IFERROR(__xludf.DUMMYFUNCTION("""COMPUTED_VALUE"""),"661-35885")</f>
        <v>661-35885</v>
      </c>
      <c r="E2879" s="2" t="str">
        <f>IFERROR(__xludf.DUMMYFUNCTION("""COMPUTED_VALUE"""),"Battery, iPhone 15")</f>
        <v>Battery, iPhone 15</v>
      </c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>
      <c r="A2880" s="10" t="str">
        <f t="shared" si="1"/>
        <v>June</v>
      </c>
      <c r="B2880" s="11">
        <f>IFERROR(__xludf.DUMMYFUNCTION("""COMPUTED_VALUE"""),46188.0)</f>
        <v>46188</v>
      </c>
      <c r="C2880" s="2" t="str">
        <f>IFERROR(__xludf.DUMMYFUNCTION("""COMPUTED_VALUE"""),"MOBILECARE - CEBU")</f>
        <v>MOBILECARE - CEBU</v>
      </c>
      <c r="D2880" s="2" t="str">
        <f>IFERROR(__xludf.DUMMYFUNCTION("""COMPUTED_VALUE"""),"TA661-43611")</f>
        <v>TA661-43611</v>
      </c>
      <c r="E2880" s="2" t="str">
        <f>IFERROR(__xludf.DUMMYFUNCTION("""COMPUTED_VALUE"""),"256GB, White, ROW, iPhone 16, Logic Board Assy Mid System")</f>
        <v>256GB, White, ROW, iPhone 16, Logic Board Assy Mid System</v>
      </c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>
      <c r="A2881" s="10" t="str">
        <f t="shared" si="1"/>
        <v>June</v>
      </c>
      <c r="B2881" s="11">
        <f>IFERROR(__xludf.DUMMYFUNCTION("""COMPUTED_VALUE"""),46184.0)</f>
        <v>46184</v>
      </c>
      <c r="C2881" s="2" t="str">
        <f>IFERROR(__xludf.DUMMYFUNCTION("""COMPUTED_VALUE"""),"MOBILECARE - CEBU")</f>
        <v>MOBILECARE - CEBU</v>
      </c>
      <c r="D2881" s="2" t="str">
        <f>IFERROR(__xludf.DUMMYFUNCTION("""COMPUTED_VALUE"""),"PP661-23455")</f>
        <v>PP661-23455</v>
      </c>
      <c r="E2881" s="2" t="str">
        <f>IFERROR(__xludf.DUMMYFUNCTION("""COMPUTED_VALUE"""),"iPhone 13, Starlight, 128GB, Logic Board Assy Rear System, ROW")</f>
        <v>iPhone 13, Starlight, 128GB, Logic Board Assy Rear System, ROW</v>
      </c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>
      <c r="A2882" s="10" t="str">
        <f t="shared" si="1"/>
        <v>April</v>
      </c>
      <c r="B2882" s="11">
        <f>IFERROR(__xludf.DUMMYFUNCTION("""COMPUTED_VALUE"""),46122.0)</f>
        <v>46122</v>
      </c>
      <c r="C2882" s="2" t="str">
        <f>IFERROR(__xludf.DUMMYFUNCTION("""COMPUTED_VALUE"""),"MOBILECARE - CEBU")</f>
        <v>MOBILECARE - CEBU</v>
      </c>
      <c r="D2882" s="2" t="str">
        <f>IFERROR(__xludf.DUMMYFUNCTION("""COMPUTED_VALUE"""),"661-44955")</f>
        <v>661-44955</v>
      </c>
      <c r="E2882" s="2" t="str">
        <f>IFERROR(__xludf.DUMMYFUNCTION("""COMPUTED_VALUE"""),"Display, iPhone 16 Pro Max")</f>
        <v>Display, iPhone 16 Pro Max</v>
      </c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>
      <c r="A2883" s="10" t="str">
        <f t="shared" si="1"/>
        <v>April</v>
      </c>
      <c r="B2883" s="11">
        <f>IFERROR(__xludf.DUMMYFUNCTION("""COMPUTED_VALUE"""),46117.0)</f>
        <v>46117</v>
      </c>
      <c r="C2883" s="2" t="str">
        <f>IFERROR(__xludf.DUMMYFUNCTION("""COMPUTED_VALUE"""),"MOBILECARE - CEBU")</f>
        <v>MOBILECARE - CEBU</v>
      </c>
      <c r="D2883" s="2" t="str">
        <f>IFERROR(__xludf.DUMMYFUNCTION("""COMPUTED_VALUE"""),"661-42726")</f>
        <v>661-42726</v>
      </c>
      <c r="E2883" s="2" t="str">
        <f>IFERROR(__xludf.DUMMYFUNCTION("""COMPUTED_VALUE"""),"Display, iPhone 16 Pro")</f>
        <v>Display, iPhone 16 Pro</v>
      </c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>
      <c r="A2884" s="10" t="str">
        <f t="shared" si="1"/>
        <v>February</v>
      </c>
      <c r="B2884" s="11">
        <f>IFERROR(__xludf.DUMMYFUNCTION("""COMPUTED_VALUE"""),46067.0)</f>
        <v>46067</v>
      </c>
      <c r="C2884" s="2" t="str">
        <f>IFERROR(__xludf.DUMMYFUNCTION("""COMPUTED_VALUE"""),"MOBILECARE - CEBU")</f>
        <v>MOBILECARE - CEBU</v>
      </c>
      <c r="D2884" s="2" t="str">
        <f>IFERROR(__xludf.DUMMYFUNCTION("""COMPUTED_VALUE"""),"661-21991")</f>
        <v>661-21991</v>
      </c>
      <c r="E2884" s="2" t="str">
        <f>IFERROR(__xludf.DUMMYFUNCTION("""COMPUTED_VALUE"""),"Battery, iPhone 13")</f>
        <v>Battery, iPhone 13</v>
      </c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>
      <c r="A2885" s="10" t="str">
        <f t="shared" si="1"/>
        <v>June</v>
      </c>
      <c r="B2885" s="11">
        <f>IFERROR(__xludf.DUMMYFUNCTION("""COMPUTED_VALUE"""),46177.0)</f>
        <v>46177</v>
      </c>
      <c r="C2885" s="2" t="str">
        <f>IFERROR(__xludf.DUMMYFUNCTION("""COMPUTED_VALUE"""),"MOBILECARE - CEBU")</f>
        <v>MOBILECARE - CEBU</v>
      </c>
      <c r="D2885" s="2" t="str">
        <f>IFERROR(__xludf.DUMMYFUNCTION("""COMPUTED_VALUE"""),"923-13599")</f>
        <v>923-13599</v>
      </c>
      <c r="E2885" s="2" t="str">
        <f>IFERROR(__xludf.DUMMYFUNCTION("""COMPUTED_VALUE"""),"Top Speaker, iPhone 17")</f>
        <v>Top Speaker, iPhone 17</v>
      </c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>
      <c r="A2886" s="10" t="str">
        <f t="shared" si="1"/>
        <v>April</v>
      </c>
      <c r="B2886" s="11">
        <f>IFERROR(__xludf.DUMMYFUNCTION("""COMPUTED_VALUE"""),46140.0)</f>
        <v>46140</v>
      </c>
      <c r="C2886" s="2" t="str">
        <f>IFERROR(__xludf.DUMMYFUNCTION("""COMPUTED_VALUE"""),"MOBILECARE - CEBU")</f>
        <v>MOBILECARE - CEBU</v>
      </c>
      <c r="D2886" s="2" t="str">
        <f>IFERROR(__xludf.DUMMYFUNCTION("""COMPUTED_VALUE"""),"661-21988")</f>
        <v>661-21988</v>
      </c>
      <c r="E2886" s="2" t="str">
        <f>IFERROR(__xludf.DUMMYFUNCTION("""COMPUTED_VALUE"""),"Display, iPhone 13")</f>
        <v>Display, iPhone 13</v>
      </c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>
      <c r="A2887" s="10" t="str">
        <f t="shared" si="1"/>
        <v>May</v>
      </c>
      <c r="B2887" s="11">
        <f>IFERROR(__xludf.DUMMYFUNCTION("""COMPUTED_VALUE"""),46143.0)</f>
        <v>46143</v>
      </c>
      <c r="C2887" s="2" t="str">
        <f>IFERROR(__xludf.DUMMYFUNCTION("""COMPUTED_VALUE"""),"MOBILECARE - CEBU")</f>
        <v>MOBILECARE - CEBU</v>
      </c>
      <c r="D2887" s="2" t="str">
        <f>IFERROR(__xludf.DUMMYFUNCTION("""COMPUTED_VALUE"""),"923-09690")</f>
        <v>923-09690</v>
      </c>
      <c r="E2887" s="2" t="str">
        <f>IFERROR(__xludf.DUMMYFUNCTION("""COMPUTED_VALUE"""),"Blue Titanium, SIM Tray, iPhone 15 Pro and iPhone 15 Pro Max")</f>
        <v>Blue Titanium, SIM Tray, iPhone 15 Pro and iPhone 15 Pro Max</v>
      </c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>
      <c r="A2888" s="10" t="str">
        <f t="shared" si="1"/>
        <v>April</v>
      </c>
      <c r="B2888" s="11">
        <f>IFERROR(__xludf.DUMMYFUNCTION("""COMPUTED_VALUE"""),46137.0)</f>
        <v>46137</v>
      </c>
      <c r="C2888" s="2" t="str">
        <f>IFERROR(__xludf.DUMMYFUNCTION("""COMPUTED_VALUE"""),"MOBILECARE - CEBU")</f>
        <v>MOBILECARE - CEBU</v>
      </c>
      <c r="D2888" s="2" t="str">
        <f>IFERROR(__xludf.DUMMYFUNCTION("""COMPUTED_VALUE"""),"Z661-55956")</f>
        <v>Z661-55956</v>
      </c>
      <c r="E2888" s="2" t="str">
        <f>IFERROR(__xludf.DUMMYFUNCTION("""COMPUTED_VALUE"""),"Logic Board, 256GB, iPhone 17 Pro Max, ROW")</f>
        <v>Logic Board, 256GB, iPhone 17 Pro Max, ROW</v>
      </c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>
      <c r="A2889" s="10" t="str">
        <f t="shared" si="1"/>
        <v>April</v>
      </c>
      <c r="B2889" s="11">
        <f>IFERROR(__xludf.DUMMYFUNCTION("""COMPUTED_VALUE"""),46136.0)</f>
        <v>46136</v>
      </c>
      <c r="C2889" s="2" t="str">
        <f>IFERROR(__xludf.DUMMYFUNCTION("""COMPUTED_VALUE"""),"MOBILECARE - CEBU")</f>
        <v>MOBILECARE - CEBU</v>
      </c>
      <c r="D2889" s="2" t="str">
        <f>IFERROR(__xludf.DUMMYFUNCTION("""COMPUTED_VALUE"""),"PP661-28868")</f>
        <v>PP661-28868</v>
      </c>
      <c r="E2889" s="2" t="str">
        <f>IFERROR(__xludf.DUMMYFUNCTION("""COMPUTED_VALUE"""),"iPhone 14, Midnight, 128GB, Logic Board Assy Mid System, ROW")</f>
        <v>iPhone 14, Midnight, 128GB, Logic Board Assy Mid System, ROW</v>
      </c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>
      <c r="A2890" s="10" t="str">
        <f t="shared" si="1"/>
        <v>March</v>
      </c>
      <c r="B2890" s="11">
        <f>IFERROR(__xludf.DUMMYFUNCTION("""COMPUTED_VALUE"""),46106.0)</f>
        <v>46106</v>
      </c>
      <c r="C2890" s="2" t="str">
        <f>IFERROR(__xludf.DUMMYFUNCTION("""COMPUTED_VALUE"""),"MOBILECARE - CEBU")</f>
        <v>MOBILECARE - CEBU</v>
      </c>
      <c r="D2890" s="2" t="str">
        <f>IFERROR(__xludf.DUMMYFUNCTION("""COMPUTED_VALUE"""),"661-42727")</f>
        <v>661-42727</v>
      </c>
      <c r="E2890" s="2" t="str">
        <f>IFERROR(__xludf.DUMMYFUNCTION("""COMPUTED_VALUE"""),"TrueDepth Camera, iPhone 16 Pro")</f>
        <v>TrueDepth Camera, iPhone 16 Pro</v>
      </c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>
      <c r="A2891" s="10" t="str">
        <f t="shared" si="1"/>
        <v>February</v>
      </c>
      <c r="B2891" s="11">
        <f>IFERROR(__xludf.DUMMYFUNCTION("""COMPUTED_VALUE"""),46080.0)</f>
        <v>46080</v>
      </c>
      <c r="C2891" s="2" t="str">
        <f>IFERROR(__xludf.DUMMYFUNCTION("""COMPUTED_VALUE"""),"MOBILECARE - CEBU")</f>
        <v>MOBILECARE - CEBU</v>
      </c>
      <c r="D2891" s="2" t="str">
        <f>IFERROR(__xludf.DUMMYFUNCTION("""COMPUTED_VALUE"""),"TA661-44998")</f>
        <v>TA661-44998</v>
      </c>
      <c r="E2891" s="2" t="str">
        <f>IFERROR(__xludf.DUMMYFUNCTION("""COMPUTED_VALUE"""),"128GB, Natural Titanium, ROW, iPhone 16 Pro, Logic Board Assy Mid System")</f>
        <v>128GB, Natural Titanium, ROW, iPhone 16 Pro, Logic Board Assy Mid System</v>
      </c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>
      <c r="A2892" s="10" t="str">
        <f t="shared" si="1"/>
        <v>February</v>
      </c>
      <c r="B2892" s="11">
        <f>IFERROR(__xludf.DUMMYFUNCTION("""COMPUTED_VALUE"""),46061.0)</f>
        <v>46061</v>
      </c>
      <c r="C2892" s="2" t="str">
        <f>IFERROR(__xludf.DUMMYFUNCTION("""COMPUTED_VALUE"""),"MOBILECARE - CEBU")</f>
        <v>MOBILECARE - CEBU</v>
      </c>
      <c r="D2892" s="2" t="str">
        <f>IFERROR(__xludf.DUMMYFUNCTION("""COMPUTED_VALUE"""),"661-42726")</f>
        <v>661-42726</v>
      </c>
      <c r="E2892" s="2" t="str">
        <f>IFERROR(__xludf.DUMMYFUNCTION("""COMPUTED_VALUE"""),"Display, iPhone 16 Pro")</f>
        <v>Display, iPhone 16 Pro</v>
      </c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>
      <c r="A2893" s="10" t="str">
        <f t="shared" si="1"/>
        <v>June</v>
      </c>
      <c r="B2893" s="11">
        <f>IFERROR(__xludf.DUMMYFUNCTION("""COMPUTED_VALUE"""),46190.0)</f>
        <v>46190</v>
      </c>
      <c r="C2893" s="2" t="str">
        <f>IFERROR(__xludf.DUMMYFUNCTION("""COMPUTED_VALUE"""),"MOBILECARE - CEBU")</f>
        <v>MOBILECARE - CEBU</v>
      </c>
      <c r="D2893" s="2" t="str">
        <f>IFERROR(__xludf.DUMMYFUNCTION("""COMPUTED_VALUE"""),"661-21988")</f>
        <v>661-21988</v>
      </c>
      <c r="E2893" s="2" t="str">
        <f>IFERROR(__xludf.DUMMYFUNCTION("""COMPUTED_VALUE"""),"Display, iPhone 13")</f>
        <v>Display, iPhone 13</v>
      </c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>
      <c r="A2894" s="10" t="str">
        <f t="shared" si="1"/>
        <v>May</v>
      </c>
      <c r="B2894" s="11">
        <f>IFERROR(__xludf.DUMMYFUNCTION("""COMPUTED_VALUE"""),46143.0)</f>
        <v>46143</v>
      </c>
      <c r="C2894" s="2" t="str">
        <f>IFERROR(__xludf.DUMMYFUNCTION("""COMPUTED_VALUE"""),"MOBILECARE - CEBU")</f>
        <v>MOBILECARE - CEBU</v>
      </c>
      <c r="D2894" s="2" t="str">
        <f>IFERROR(__xludf.DUMMYFUNCTION("""COMPUTED_VALUE"""),"661-21991")</f>
        <v>661-21991</v>
      </c>
      <c r="E2894" s="2" t="str">
        <f>IFERROR(__xludf.DUMMYFUNCTION("""COMPUTED_VALUE"""),"Battery, iPhone 13")</f>
        <v>Battery, iPhone 13</v>
      </c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>
      <c r="A2895" s="10" t="str">
        <f t="shared" si="1"/>
        <v>May</v>
      </c>
      <c r="B2895" s="11">
        <f>IFERROR(__xludf.DUMMYFUNCTION("""COMPUTED_VALUE"""),46151.0)</f>
        <v>46151</v>
      </c>
      <c r="C2895" s="2" t="str">
        <f>IFERROR(__xludf.DUMMYFUNCTION("""COMPUTED_VALUE"""),"MOBILECARE - CEBU")</f>
        <v>MOBILECARE - CEBU</v>
      </c>
      <c r="D2895" s="2" t="str">
        <f>IFERROR(__xludf.DUMMYFUNCTION("""COMPUTED_VALUE"""),"TA661-44999")</f>
        <v>TA661-44999</v>
      </c>
      <c r="E2895" s="2" t="str">
        <f>IFERROR(__xludf.DUMMYFUNCTION("""COMPUTED_VALUE"""),"256GB, Black Titanium, ROW, iPhone 16 Pro, Logic Board Assy Mid System")</f>
        <v>256GB, Black Titanium, ROW, iPhone 16 Pro, Logic Board Assy Mid System</v>
      </c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>
      <c r="A2896" s="10" t="str">
        <f t="shared" si="1"/>
        <v>January</v>
      </c>
      <c r="B2896" s="11">
        <f>IFERROR(__xludf.DUMMYFUNCTION("""COMPUTED_VALUE"""),46039.0)</f>
        <v>46039</v>
      </c>
      <c r="C2896" s="2" t="str">
        <f>IFERROR(__xludf.DUMMYFUNCTION("""COMPUTED_VALUE"""),"MOBILECARE - CEBU")</f>
        <v>MOBILECARE - CEBU</v>
      </c>
      <c r="D2896" s="2" t="str">
        <f>IFERROR(__xludf.DUMMYFUNCTION("""COMPUTED_VALUE"""),"661-17920")</f>
        <v>661-17920</v>
      </c>
      <c r="E2896" s="2" t="str">
        <f>IFERROR(__xludf.DUMMYFUNCTION("""COMPUTED_VALUE"""),"Battery, iPhone 12 and 12 Pro")</f>
        <v>Battery, iPhone 12 and 12 Pro</v>
      </c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>
      <c r="A2897" s="10" t="str">
        <f t="shared" si="1"/>
        <v>June</v>
      </c>
      <c r="B2897" s="11">
        <f>IFERROR(__xludf.DUMMYFUNCTION("""COMPUTED_VALUE"""),46182.0)</f>
        <v>46182</v>
      </c>
      <c r="C2897" s="2" t="str">
        <f>IFERROR(__xludf.DUMMYFUNCTION("""COMPUTED_VALUE"""),"MOBILECARE - CEBU")</f>
        <v>MOBILECARE - CEBU</v>
      </c>
      <c r="D2897" s="2" t="str">
        <f>IFERROR(__xludf.DUMMYFUNCTION("""COMPUTED_VALUE"""),"661-42728")</f>
        <v>661-42728</v>
      </c>
      <c r="E2897" s="2" t="str">
        <f>IFERROR(__xludf.DUMMYFUNCTION("""COMPUTED_VALUE"""),"Camera, iPhone 16 Pro")</f>
        <v>Camera, iPhone 16 Pro</v>
      </c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>
      <c r="A2898" s="10" t="str">
        <f t="shared" si="1"/>
        <v>May</v>
      </c>
      <c r="B2898" s="11">
        <f>IFERROR(__xludf.DUMMYFUNCTION("""COMPUTED_VALUE"""),46164.0)</f>
        <v>46164</v>
      </c>
      <c r="C2898" s="2" t="str">
        <f>IFERROR(__xludf.DUMMYFUNCTION("""COMPUTED_VALUE"""),"MOBILECARE - CEBU")</f>
        <v>MOBILECARE - CEBU</v>
      </c>
      <c r="D2898" s="2" t="str">
        <f>IFERROR(__xludf.DUMMYFUNCTION("""COMPUTED_VALUE"""),"661-23878")</f>
        <v>661-23878</v>
      </c>
      <c r="E2898" s="2" t="str">
        <f>IFERROR(__xludf.DUMMYFUNCTION("""COMPUTED_VALUE"""),"TrueDepth Camera, iPhone 13")</f>
        <v>TrueDepth Camera, iPhone 13</v>
      </c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>
      <c r="A2899" s="10" t="str">
        <f t="shared" si="1"/>
        <v>May</v>
      </c>
      <c r="B2899" s="11">
        <f>IFERROR(__xludf.DUMMYFUNCTION("""COMPUTED_VALUE"""),46164.0)</f>
        <v>46164</v>
      </c>
      <c r="C2899" s="2" t="str">
        <f>IFERROR(__xludf.DUMMYFUNCTION("""COMPUTED_VALUE"""),"MOBILECARE - CEBU")</f>
        <v>MOBILECARE - CEBU</v>
      </c>
      <c r="D2899" s="2" t="str">
        <f>IFERROR(__xludf.DUMMYFUNCTION("""COMPUTED_VALUE"""),"661-56127")</f>
        <v>661-56127</v>
      </c>
      <c r="E2899" s="2" t="str">
        <f>IFERROR(__xludf.DUMMYFUNCTION("""COMPUTED_VALUE"""),"Camera, iPhone 17 Pro")</f>
        <v>Camera, iPhone 17 Pro</v>
      </c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>
      <c r="A2900" s="10" t="str">
        <f t="shared" si="1"/>
        <v>May</v>
      </c>
      <c r="B2900" s="11">
        <f>IFERROR(__xludf.DUMMYFUNCTION("""COMPUTED_VALUE"""),46156.0)</f>
        <v>46156</v>
      </c>
      <c r="C2900" s="2" t="str">
        <f>IFERROR(__xludf.DUMMYFUNCTION("""COMPUTED_VALUE"""),"MOBILECARE - CEBU")</f>
        <v>MOBILECARE - CEBU</v>
      </c>
      <c r="D2900" s="2" t="str">
        <f>IFERROR(__xludf.DUMMYFUNCTION("""COMPUTED_VALUE"""),"PP661-23454")</f>
        <v>PP661-23454</v>
      </c>
      <c r="E2900" s="2" t="str">
        <f>IFERROR(__xludf.DUMMYFUNCTION("""COMPUTED_VALUE"""),"iPhone 13, Midnight, 128GB, Logic Board Assy Rear System, ROW")</f>
        <v>iPhone 13, Midnight, 128GB, Logic Board Assy Rear System, ROW</v>
      </c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>
      <c r="A2901" s="10" t="str">
        <f t="shared" si="1"/>
        <v>March</v>
      </c>
      <c r="B2901" s="11">
        <f>IFERROR(__xludf.DUMMYFUNCTION("""COMPUTED_VALUE"""),46102.0)</f>
        <v>46102</v>
      </c>
      <c r="C2901" s="2" t="str">
        <f>IFERROR(__xludf.DUMMYFUNCTION("""COMPUTED_VALUE"""),"MOBILECARE - CEBU")</f>
        <v>MOBILECARE - CEBU</v>
      </c>
      <c r="D2901" s="2" t="str">
        <f>IFERROR(__xludf.DUMMYFUNCTION("""COMPUTED_VALUE"""),"661-36706")</f>
        <v>661-36706</v>
      </c>
      <c r="E2901" s="2" t="str">
        <f>IFERROR(__xludf.DUMMYFUNCTION("""COMPUTED_VALUE"""),"Display, iPhone 15")</f>
        <v>Display, iPhone 15</v>
      </c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>
      <c r="A2902" s="10" t="str">
        <f t="shared" si="1"/>
        <v>March</v>
      </c>
      <c r="B2902" s="11">
        <f>IFERROR(__xludf.DUMMYFUNCTION("""COMPUTED_VALUE"""),46102.0)</f>
        <v>46102</v>
      </c>
      <c r="C2902" s="2" t="str">
        <f>IFERROR(__xludf.DUMMYFUNCTION("""COMPUTED_VALUE"""),"MOBILECARE - CEBU")</f>
        <v>MOBILECARE - CEBU</v>
      </c>
      <c r="D2902" s="2" t="str">
        <f>IFERROR(__xludf.DUMMYFUNCTION("""COMPUTED_VALUE"""),"PP661-28871")</f>
        <v>PP661-28871</v>
      </c>
      <c r="E2902" s="2" t="str">
        <f>IFERROR(__xludf.DUMMYFUNCTION("""COMPUTED_VALUE"""),"iPhone 14, Blue, 128GB, Logic Board Assy Mid System, ROW")</f>
        <v>iPhone 14, Blue, 128GB, Logic Board Assy Mid System, ROW</v>
      </c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>
      <c r="A2903" s="10" t="str">
        <f t="shared" si="1"/>
        <v>February</v>
      </c>
      <c r="B2903" s="11">
        <f>IFERROR(__xludf.DUMMYFUNCTION("""COMPUTED_VALUE"""),46080.0)</f>
        <v>46080</v>
      </c>
      <c r="C2903" s="2" t="str">
        <f>IFERROR(__xludf.DUMMYFUNCTION("""COMPUTED_VALUE"""),"MOBILECARE - CEBU")</f>
        <v>MOBILECARE - CEBU</v>
      </c>
      <c r="D2903" s="2" t="str">
        <f>IFERROR(__xludf.DUMMYFUNCTION("""COMPUTED_VALUE"""),"PP661-23454")</f>
        <v>PP661-23454</v>
      </c>
      <c r="E2903" s="2" t="str">
        <f>IFERROR(__xludf.DUMMYFUNCTION("""COMPUTED_VALUE"""),"iPhone 13, Midnight, 128GB, Logic Board Assy Rear System, ROW")</f>
        <v>iPhone 13, Midnight, 128GB, Logic Board Assy Rear System, ROW</v>
      </c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>
      <c r="A2904" s="10" t="str">
        <f t="shared" si="1"/>
        <v>February</v>
      </c>
      <c r="B2904" s="11">
        <f>IFERROR(__xludf.DUMMYFUNCTION("""COMPUTED_VALUE"""),46080.0)</f>
        <v>46080</v>
      </c>
      <c r="C2904" s="2" t="str">
        <f>IFERROR(__xludf.DUMMYFUNCTION("""COMPUTED_VALUE"""),"MOBILECARE - CEBU")</f>
        <v>MOBILECARE - CEBU</v>
      </c>
      <c r="D2904" s="2" t="str">
        <f>IFERROR(__xludf.DUMMYFUNCTION("""COMPUTED_VALUE"""),"661-21988")</f>
        <v>661-21988</v>
      </c>
      <c r="E2904" s="2" t="str">
        <f>IFERROR(__xludf.DUMMYFUNCTION("""COMPUTED_VALUE"""),"Display, iPhone 13")</f>
        <v>Display, iPhone 13</v>
      </c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>
      <c r="A2905" s="10" t="str">
        <f t="shared" si="1"/>
        <v>April</v>
      </c>
      <c r="B2905" s="11">
        <f>IFERROR(__xludf.DUMMYFUNCTION("""COMPUTED_VALUE"""),46127.0)</f>
        <v>46127</v>
      </c>
      <c r="C2905" s="2" t="str">
        <f>IFERROR(__xludf.DUMMYFUNCTION("""COMPUTED_VALUE"""),"MOBILECARE - CEBU")</f>
        <v>MOBILECARE - CEBU</v>
      </c>
      <c r="D2905" s="2" t="str">
        <f>IFERROR(__xludf.DUMMYFUNCTION("""COMPUTED_VALUE"""),"661-22374")</f>
        <v>661-22374</v>
      </c>
      <c r="E2905" s="2" t="str">
        <f>IFERROR(__xludf.DUMMYFUNCTION("""COMPUTED_VALUE"""),"Battery, iPhone 13 mini")</f>
        <v>Battery, iPhone 13 mini</v>
      </c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>
      <c r="A2906" s="10" t="str">
        <f t="shared" si="1"/>
        <v>April</v>
      </c>
      <c r="B2906" s="11">
        <f>IFERROR(__xludf.DUMMYFUNCTION("""COMPUTED_VALUE"""),46139.0)</f>
        <v>46139</v>
      </c>
      <c r="C2906" s="2" t="str">
        <f>IFERROR(__xludf.DUMMYFUNCTION("""COMPUTED_VALUE"""),"MOBILECARE - CEBU")</f>
        <v>MOBILECARE - CEBU</v>
      </c>
      <c r="D2906" s="2" t="str">
        <f>IFERROR(__xludf.DUMMYFUNCTION("""COMPUTED_VALUE"""),"Z661-55942")</f>
        <v>Z661-55942</v>
      </c>
      <c r="E2906" s="2" t="str">
        <f>IFERROR(__xludf.DUMMYFUNCTION("""COMPUTED_VALUE"""),"Logic Board, 256GB, A3523, ROW, iPhone 17 Pro")</f>
        <v>Logic Board, 256GB, A3523, ROW, iPhone 17 Pro</v>
      </c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>
      <c r="A2907" s="10" t="str">
        <f t="shared" si="1"/>
        <v>April</v>
      </c>
      <c r="B2907" s="11">
        <f>IFERROR(__xludf.DUMMYFUNCTION("""COMPUTED_VALUE"""),46141.0)</f>
        <v>46141</v>
      </c>
      <c r="C2907" s="2" t="str">
        <f>IFERROR(__xludf.DUMMYFUNCTION("""COMPUTED_VALUE"""),"MOBILECARE - CEBU")</f>
        <v>MOBILECARE - CEBU</v>
      </c>
      <c r="D2907" s="2" t="str">
        <f>IFERROR(__xludf.DUMMYFUNCTION("""COMPUTED_VALUE"""),"TA661-45232")</f>
        <v>TA661-45232</v>
      </c>
      <c r="E2907" s="2" t="str">
        <f>IFERROR(__xludf.DUMMYFUNCTION("""COMPUTED_VALUE"""),"128GB, White, ROW, iPhone 16 Plus, Logic Board Assy Mid System")</f>
        <v>128GB, White, ROW, iPhone 16 Plus, Logic Board Assy Mid System</v>
      </c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>
      <c r="A2908" s="10" t="str">
        <f t="shared" si="1"/>
        <v>March</v>
      </c>
      <c r="B2908" s="11">
        <f>IFERROR(__xludf.DUMMYFUNCTION("""COMPUTED_VALUE"""),46091.0)</f>
        <v>46091</v>
      </c>
      <c r="C2908" s="2" t="str">
        <f>IFERROR(__xludf.DUMMYFUNCTION("""COMPUTED_VALUE"""),"MOBILECARE - CEBU")</f>
        <v>MOBILECARE - CEBU</v>
      </c>
      <c r="D2908" s="2" t="str">
        <f>IFERROR(__xludf.DUMMYFUNCTION("""COMPUTED_VALUE"""),"PP661-23454")</f>
        <v>PP661-23454</v>
      </c>
      <c r="E2908" s="2" t="str">
        <f>IFERROR(__xludf.DUMMYFUNCTION("""COMPUTED_VALUE"""),"iPhone 13, Midnight, 128GB, Logic Board Assy Rear System, ROW")</f>
        <v>iPhone 13, Midnight, 128GB, Logic Board Assy Rear System, ROW</v>
      </c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>
      <c r="A2909" s="10" t="str">
        <f t="shared" si="1"/>
        <v>March</v>
      </c>
      <c r="B2909" s="11">
        <f>IFERROR(__xludf.DUMMYFUNCTION("""COMPUTED_VALUE"""),46083.0)</f>
        <v>46083</v>
      </c>
      <c r="C2909" s="2" t="str">
        <f>IFERROR(__xludf.DUMMYFUNCTION("""COMPUTED_VALUE"""),"MOBILECARE - CEBU")</f>
        <v>MOBILECARE - CEBU</v>
      </c>
      <c r="D2909" s="2" t="str">
        <f>IFERROR(__xludf.DUMMYFUNCTION("""COMPUTED_VALUE"""),"PP661-10913")</f>
        <v>PP661-10913</v>
      </c>
      <c r="E2909" s="2" t="str">
        <f>IFERROR(__xludf.DUMMYFUNCTION("""COMPUTED_VALUE"""),"128GB, White, ROW, iPhone XR, CI/AR-PPN")</f>
        <v>128GB, White, ROW, iPhone XR, CI/AR-PPN</v>
      </c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>
      <c r="A2910" s="10" t="str">
        <f t="shared" si="1"/>
        <v>May</v>
      </c>
      <c r="B2910" s="11">
        <f>IFERROR(__xludf.DUMMYFUNCTION("""COMPUTED_VALUE"""),46172.0)</f>
        <v>46172</v>
      </c>
      <c r="C2910" s="2" t="str">
        <f>IFERROR(__xludf.DUMMYFUNCTION("""COMPUTED_VALUE"""),"MOBILECARE - CEBU")</f>
        <v>MOBILECARE - CEBU</v>
      </c>
      <c r="D2910" s="2" t="str">
        <f>IFERROR(__xludf.DUMMYFUNCTION("""COMPUTED_VALUE"""),"661-22374")</f>
        <v>661-22374</v>
      </c>
      <c r="E2910" s="2" t="str">
        <f>IFERROR(__xludf.DUMMYFUNCTION("""COMPUTED_VALUE"""),"Battery, iPhone 13 mini")</f>
        <v>Battery, iPhone 13 mini</v>
      </c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>
      <c r="A2911" s="10" t="str">
        <f t="shared" si="1"/>
        <v>June</v>
      </c>
      <c r="B2911" s="11">
        <f>IFERROR(__xludf.DUMMYFUNCTION("""COMPUTED_VALUE"""),46191.0)</f>
        <v>46191</v>
      </c>
      <c r="C2911" s="2" t="str">
        <f>IFERROR(__xludf.DUMMYFUNCTION("""COMPUTED_VALUE"""),"MOBILECARE - CEBU")</f>
        <v>MOBILECARE - CEBU</v>
      </c>
      <c r="D2911" s="2" t="str">
        <f>IFERROR(__xludf.DUMMYFUNCTION("""COMPUTED_VALUE"""),"PP661-22980")</f>
        <v>PP661-22980</v>
      </c>
      <c r="E2911" s="2" t="str">
        <f>IFERROR(__xludf.DUMMYFUNCTION("""COMPUTED_VALUE"""),"Midnight, 128 GB, iPhone 13, ROW, CI/AR, Philippines")</f>
        <v>Midnight, 128 GB, iPhone 13, ROW, CI/AR, Philippines</v>
      </c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>
      <c r="A2912" s="10" t="str">
        <f t="shared" si="1"/>
        <v>June</v>
      </c>
      <c r="B2912" s="11">
        <f>IFERROR(__xludf.DUMMYFUNCTION("""COMPUTED_VALUE"""),46177.0)</f>
        <v>46177</v>
      </c>
      <c r="C2912" s="2" t="str">
        <f>IFERROR(__xludf.DUMMYFUNCTION("""COMPUTED_VALUE"""),"MOBILECARE - CEBU")</f>
        <v>MOBILECARE - CEBU</v>
      </c>
      <c r="D2912" s="2" t="str">
        <f>IFERROR(__xludf.DUMMYFUNCTION("""COMPUTED_VALUE"""),"661-44955")</f>
        <v>661-44955</v>
      </c>
      <c r="E2912" s="2" t="str">
        <f>IFERROR(__xludf.DUMMYFUNCTION("""COMPUTED_VALUE"""),"Display, iPhone 16 Pro Max")</f>
        <v>Display, iPhone 16 Pro Max</v>
      </c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>
      <c r="A2913" s="10" t="str">
        <f t="shared" si="1"/>
        <v>June</v>
      </c>
      <c r="B2913" s="11">
        <f>IFERROR(__xludf.DUMMYFUNCTION("""COMPUTED_VALUE"""),46190.0)</f>
        <v>46190</v>
      </c>
      <c r="C2913" s="2" t="str">
        <f>IFERROR(__xludf.DUMMYFUNCTION("""COMPUTED_VALUE"""),"MOBILECARE - CEBU")</f>
        <v>MOBILECARE - CEBU</v>
      </c>
      <c r="D2913" s="2" t="str">
        <f>IFERROR(__xludf.DUMMYFUNCTION("""COMPUTED_VALUE"""),"TA661-42901")</f>
        <v>TA661-42901</v>
      </c>
      <c r="E2913" s="2" t="str">
        <f>IFERROR(__xludf.DUMMYFUNCTION("""COMPUTED_VALUE"""),"256GB, Black Titanium, ROW, iPhone 16 Pro, CI/AR")</f>
        <v>256GB, Black Titanium, ROW, iPhone 16 Pro, CI/AR</v>
      </c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>
      <c r="A2914" s="10" t="str">
        <f t="shared" si="1"/>
        <v>June</v>
      </c>
      <c r="B2914" s="11">
        <f>IFERROR(__xludf.DUMMYFUNCTION("""COMPUTED_VALUE"""),46182.0)</f>
        <v>46182</v>
      </c>
      <c r="C2914" s="2" t="str">
        <f>IFERROR(__xludf.DUMMYFUNCTION("""COMPUTED_VALUE"""),"MOBILECARE - CEBU")</f>
        <v>MOBILECARE - CEBU</v>
      </c>
      <c r="D2914" s="2" t="str">
        <f>IFERROR(__xludf.DUMMYFUNCTION("""COMPUTED_VALUE"""),"PP661-28871")</f>
        <v>PP661-28871</v>
      </c>
      <c r="E2914" s="2" t="str">
        <f>IFERROR(__xludf.DUMMYFUNCTION("""COMPUTED_VALUE"""),"iPhone 14, Blue, 128GB, Logic Board Assy Mid System, ROW")</f>
        <v>iPhone 14, Blue, 128GB, Logic Board Assy Mid System, ROW</v>
      </c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>
      <c r="A2915" s="10" t="str">
        <f t="shared" si="1"/>
        <v>May</v>
      </c>
      <c r="B2915" s="11">
        <f>IFERROR(__xludf.DUMMYFUNCTION("""COMPUTED_VALUE"""),46144.0)</f>
        <v>46144</v>
      </c>
      <c r="C2915" s="2" t="str">
        <f>IFERROR(__xludf.DUMMYFUNCTION("""COMPUTED_VALUE"""),"MOBILECARE - CEBU")</f>
        <v>MOBILECARE - CEBU</v>
      </c>
      <c r="D2915" s="2" t="str">
        <f>IFERROR(__xludf.DUMMYFUNCTION("""COMPUTED_VALUE"""),"TA661-43618")</f>
        <v>TA661-43618</v>
      </c>
      <c r="E2915" s="2" t="str">
        <f>IFERROR(__xludf.DUMMYFUNCTION("""COMPUTED_VALUE"""),"512GB, Ultramarine, ROW, iPhone 16, Logic Board Assy Mid System")</f>
        <v>512GB, Ultramarine, ROW, iPhone 16, Logic Board Assy Mid System</v>
      </c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>
      <c r="A2916" s="10" t="str">
        <f t="shared" si="1"/>
        <v>April</v>
      </c>
      <c r="B2916" s="11">
        <f>IFERROR(__xludf.DUMMYFUNCTION("""COMPUTED_VALUE"""),46129.0)</f>
        <v>46129</v>
      </c>
      <c r="C2916" s="2" t="str">
        <f>IFERROR(__xludf.DUMMYFUNCTION("""COMPUTED_VALUE"""),"MOBILECARE - CEBU")</f>
        <v>MOBILECARE - CEBU</v>
      </c>
      <c r="D2916" s="2" t="str">
        <f>IFERROR(__xludf.DUMMYFUNCTION("""COMPUTED_VALUE"""),"PP661-23455")</f>
        <v>PP661-23455</v>
      </c>
      <c r="E2916" s="2" t="str">
        <f>IFERROR(__xludf.DUMMYFUNCTION("""COMPUTED_VALUE"""),"iPhone 13, Starlight, 128GB, Logic Board Assy Rear System, ROW")</f>
        <v>iPhone 13, Starlight, 128GB, Logic Board Assy Rear System, ROW</v>
      </c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>
      <c r="A2917" s="10" t="str">
        <f t="shared" si="1"/>
        <v>April</v>
      </c>
      <c r="B2917" s="11">
        <f>IFERROR(__xludf.DUMMYFUNCTION("""COMPUTED_VALUE"""),46135.0)</f>
        <v>46135</v>
      </c>
      <c r="C2917" s="2" t="str">
        <f>IFERROR(__xludf.DUMMYFUNCTION("""COMPUTED_VALUE"""),"MOBILECARE - CEBU")</f>
        <v>MOBILECARE - CEBU</v>
      </c>
      <c r="D2917" s="2" t="str">
        <f>IFERROR(__xludf.DUMMYFUNCTION("""COMPUTED_VALUE"""),"PP661-10913")</f>
        <v>PP661-10913</v>
      </c>
      <c r="E2917" s="2" t="str">
        <f>IFERROR(__xludf.DUMMYFUNCTION("""COMPUTED_VALUE"""),"128GB, White, ROW, iPhone XR, CI/AR-PPN")</f>
        <v>128GB, White, ROW, iPhone XR, CI/AR-PPN</v>
      </c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>
      <c r="A2918" s="10" t="str">
        <f t="shared" si="1"/>
        <v>March</v>
      </c>
      <c r="B2918" s="11">
        <f>IFERROR(__xludf.DUMMYFUNCTION("""COMPUTED_VALUE"""),46109.0)</f>
        <v>46109</v>
      </c>
      <c r="C2918" s="2" t="str">
        <f>IFERROR(__xludf.DUMMYFUNCTION("""COMPUTED_VALUE"""),"MOBILECARE - CEBU")</f>
        <v>MOBILECARE - CEBU</v>
      </c>
      <c r="D2918" s="2" t="str">
        <f>IFERROR(__xludf.DUMMYFUNCTION("""COMPUTED_VALUE"""),"TA661-43606")</f>
        <v>TA661-43606</v>
      </c>
      <c r="E2918" s="2" t="str">
        <f>IFERROR(__xludf.DUMMYFUNCTION("""COMPUTED_VALUE"""),"128GB, White, ROW, iPhone 16, Logic Board Assy Mid System")</f>
        <v>128GB, White, ROW, iPhone 16, Logic Board Assy Mid System</v>
      </c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>
      <c r="A2919" s="10" t="str">
        <f t="shared" si="1"/>
        <v>June</v>
      </c>
      <c r="B2919" s="11">
        <f>IFERROR(__xludf.DUMMYFUNCTION("""COMPUTED_VALUE"""),46192.0)</f>
        <v>46192</v>
      </c>
      <c r="C2919" s="2" t="str">
        <f>IFERROR(__xludf.DUMMYFUNCTION("""COMPUTED_VALUE"""),"MOBILECARE - CEBU")</f>
        <v>MOBILECARE - CEBU</v>
      </c>
      <c r="D2919" s="2" t="str">
        <f>IFERROR(__xludf.DUMMYFUNCTION("""COMPUTED_VALUE"""),"Z661-56015")</f>
        <v>Z661-56015</v>
      </c>
      <c r="E2919" s="2" t="str">
        <f>IFERROR(__xludf.DUMMYFUNCTION("""COMPUTED_VALUE"""),"Logic Board, 256GB, iPhone 17, ROW")</f>
        <v>Logic Board, 256GB, iPhone 17, ROW</v>
      </c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>
      <c r="A2920" s="10" t="str">
        <f t="shared" si="1"/>
        <v>April</v>
      </c>
      <c r="B2920" s="11">
        <f>IFERROR(__xludf.DUMMYFUNCTION("""COMPUTED_VALUE"""),46122.0)</f>
        <v>46122</v>
      </c>
      <c r="C2920" s="2" t="str">
        <f>IFERROR(__xludf.DUMMYFUNCTION("""COMPUTED_VALUE"""),"MOBILECARE - CEBU")</f>
        <v>MOBILECARE - CEBU</v>
      </c>
      <c r="D2920" s="2" t="str">
        <f>IFERROR(__xludf.DUMMYFUNCTION("""COMPUTED_VALUE"""),"923-11083")</f>
        <v>923-11083</v>
      </c>
      <c r="E2920" s="2" t="str">
        <f>IFERROR(__xludf.DUMMYFUNCTION("""COMPUTED_VALUE"""),"Top Speaker, iPhone 16 Pro Max,non mmWave")</f>
        <v>Top Speaker, iPhone 16 Pro Max,non mmWave</v>
      </c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>
      <c r="A2921" s="10" t="str">
        <f t="shared" si="1"/>
        <v>March</v>
      </c>
      <c r="B2921" s="11">
        <f>IFERROR(__xludf.DUMMYFUNCTION("""COMPUTED_VALUE"""),46102.0)</f>
        <v>46102</v>
      </c>
      <c r="C2921" s="2" t="str">
        <f>IFERROR(__xludf.DUMMYFUNCTION("""COMPUTED_VALUE"""),"MOBILECARE - CEBU")</f>
        <v>MOBILECARE - CEBU</v>
      </c>
      <c r="D2921" s="2" t="str">
        <f>IFERROR(__xludf.DUMMYFUNCTION("""COMPUTED_VALUE"""),"PP661-10912")</f>
        <v>PP661-10912</v>
      </c>
      <c r="E2921" s="2" t="str">
        <f>IFERROR(__xludf.DUMMYFUNCTION("""COMPUTED_VALUE"""),"128GB, Black, ROW, iPhone XR, CI/AR-PPN")</f>
        <v>128GB, Black, ROW, iPhone XR, CI/AR-PPN</v>
      </c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>
      <c r="A2922" s="10" t="str">
        <f t="shared" si="1"/>
        <v>February</v>
      </c>
      <c r="B2922" s="11">
        <f>IFERROR(__xludf.DUMMYFUNCTION("""COMPUTED_VALUE"""),46061.0)</f>
        <v>46061</v>
      </c>
      <c r="C2922" s="2" t="str">
        <f>IFERROR(__xludf.DUMMYFUNCTION("""COMPUTED_VALUE"""),"MOBILECARE - CEBU")</f>
        <v>MOBILECARE - CEBU</v>
      </c>
      <c r="D2922" s="2" t="str">
        <f>IFERROR(__xludf.DUMMYFUNCTION("""COMPUTED_VALUE"""),"PP661-23455")</f>
        <v>PP661-23455</v>
      </c>
      <c r="E2922" s="2" t="str">
        <f>IFERROR(__xludf.DUMMYFUNCTION("""COMPUTED_VALUE"""),"iPhone 13, Starlight, 128GB, Logic Board Assy Rear System, ROW")</f>
        <v>iPhone 13, Starlight, 128GB, Logic Board Assy Rear System, ROW</v>
      </c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>
      <c r="A2923" s="10" t="str">
        <f t="shared" si="1"/>
        <v>January</v>
      </c>
      <c r="B2923" s="11">
        <f>IFERROR(__xludf.DUMMYFUNCTION("""COMPUTED_VALUE"""),46038.0)</f>
        <v>46038</v>
      </c>
      <c r="C2923" s="2" t="str">
        <f>IFERROR(__xludf.DUMMYFUNCTION("""COMPUTED_VALUE"""),"MOBILECARE - CEBU")</f>
        <v>MOBILECARE - CEBU</v>
      </c>
      <c r="D2923" s="2" t="str">
        <f>IFERROR(__xludf.DUMMYFUNCTION("""COMPUTED_VALUE"""),"661-18428")</f>
        <v>661-18428</v>
      </c>
      <c r="E2923" s="2" t="str">
        <f>IFERROR(__xludf.DUMMYFUNCTION("""COMPUTED_VALUE"""),"Battery, iPhone 12 Pro Max")</f>
        <v>Battery, iPhone 12 Pro Max</v>
      </c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>
      <c r="A2924" s="10" t="str">
        <f t="shared" si="1"/>
        <v>June</v>
      </c>
      <c r="B2924" s="11">
        <f>IFERROR(__xludf.DUMMYFUNCTION("""COMPUTED_VALUE"""),46188.0)</f>
        <v>46188</v>
      </c>
      <c r="C2924" s="2" t="str">
        <f>IFERROR(__xludf.DUMMYFUNCTION("""COMPUTED_VALUE"""),"MOBILECARE - CEBU")</f>
        <v>MOBILECARE - CEBU</v>
      </c>
      <c r="D2924" s="2" t="str">
        <f>IFERROR(__xludf.DUMMYFUNCTION("""COMPUTED_VALUE"""),"661-22294")</f>
        <v>661-22294</v>
      </c>
      <c r="E2924" s="2" t="str">
        <f>IFERROR(__xludf.DUMMYFUNCTION("""COMPUTED_VALUE"""),"Battery, iPhone 13 Pro Max")</f>
        <v>Battery, iPhone 13 Pro Max</v>
      </c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>
      <c r="A2925" s="10" t="str">
        <f t="shared" si="1"/>
        <v>June</v>
      </c>
      <c r="B2925" s="11">
        <f>IFERROR(__xludf.DUMMYFUNCTION("""COMPUTED_VALUE"""),46186.0)</f>
        <v>46186</v>
      </c>
      <c r="C2925" s="2" t="str">
        <f>IFERROR(__xludf.DUMMYFUNCTION("""COMPUTED_VALUE"""),"MOBILECARE - CEBU")</f>
        <v>MOBILECARE - CEBU</v>
      </c>
      <c r="D2925" s="2" t="str">
        <f>IFERROR(__xludf.DUMMYFUNCTION("""COMPUTED_VALUE"""),"PP661-23455")</f>
        <v>PP661-23455</v>
      </c>
      <c r="E2925" s="2" t="str">
        <f>IFERROR(__xludf.DUMMYFUNCTION("""COMPUTED_VALUE"""),"iPhone 13, Starlight, 128GB, Logic Board Assy Rear System, ROW")</f>
        <v>iPhone 13, Starlight, 128GB, Logic Board Assy Rear System, ROW</v>
      </c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>
      <c r="A2926" s="10" t="str">
        <f t="shared" si="1"/>
        <v>February</v>
      </c>
      <c r="B2926" s="11">
        <f>IFERROR(__xludf.DUMMYFUNCTION("""COMPUTED_VALUE"""),46074.0)</f>
        <v>46074</v>
      </c>
      <c r="C2926" s="2" t="str">
        <f>IFERROR(__xludf.DUMMYFUNCTION("""COMPUTED_VALUE"""),"MOBILECARE - CEBU")</f>
        <v>MOBILECARE - CEBU</v>
      </c>
      <c r="D2926" s="2" t="str">
        <f>IFERROR(__xludf.DUMMYFUNCTION("""COMPUTED_VALUE"""),"661-42726")</f>
        <v>661-42726</v>
      </c>
      <c r="E2926" s="2" t="str">
        <f>IFERROR(__xludf.DUMMYFUNCTION("""COMPUTED_VALUE"""),"Display, iPhone 16 Pro")</f>
        <v>Display, iPhone 16 Pro</v>
      </c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>
      <c r="A2927" s="10" t="str">
        <f t="shared" si="1"/>
        <v>February</v>
      </c>
      <c r="B2927" s="11">
        <f>IFERROR(__xludf.DUMMYFUNCTION("""COMPUTED_VALUE"""),46077.0)</f>
        <v>46077</v>
      </c>
      <c r="C2927" s="2" t="str">
        <f>IFERROR(__xludf.DUMMYFUNCTION("""COMPUTED_VALUE"""),"MOBILECARE - CEBU")</f>
        <v>MOBILECARE - CEBU</v>
      </c>
      <c r="D2927" s="2" t="str">
        <f>IFERROR(__xludf.DUMMYFUNCTION("""COMPUTED_VALUE"""),"PP661-23455")</f>
        <v>PP661-23455</v>
      </c>
      <c r="E2927" s="2" t="str">
        <f>IFERROR(__xludf.DUMMYFUNCTION("""COMPUTED_VALUE"""),"iPhone 13, Starlight, 128GB, Logic Board Assy Rear System, ROW")</f>
        <v>iPhone 13, Starlight, 128GB, Logic Board Assy Rear System, ROW</v>
      </c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>
      <c r="A2928" s="10" t="str">
        <f t="shared" si="1"/>
        <v>January</v>
      </c>
      <c r="B2928" s="11">
        <f>IFERROR(__xludf.DUMMYFUNCTION("""COMPUTED_VALUE"""),46049.0)</f>
        <v>46049</v>
      </c>
      <c r="C2928" s="2" t="str">
        <f>IFERROR(__xludf.DUMMYFUNCTION("""COMPUTED_VALUE"""),"MOBILECARE - CEBU")</f>
        <v>MOBILECARE - CEBU</v>
      </c>
      <c r="D2928" s="2" t="str">
        <f>IFERROR(__xludf.DUMMYFUNCTION("""COMPUTED_VALUE"""),"661-22309")</f>
        <v>661-22309</v>
      </c>
      <c r="E2928" s="2" t="str">
        <f>IFERROR(__xludf.DUMMYFUNCTION("""COMPUTED_VALUE"""),"Display, iPhone 13 Pro Max")</f>
        <v>Display, iPhone 13 Pro Max</v>
      </c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>
      <c r="A2929" s="10" t="str">
        <f t="shared" si="1"/>
        <v>June</v>
      </c>
      <c r="B2929" s="11">
        <f>IFERROR(__xludf.DUMMYFUNCTION("""COMPUTED_VALUE"""),46189.0)</f>
        <v>46189</v>
      </c>
      <c r="C2929" s="2" t="str">
        <f>IFERROR(__xludf.DUMMYFUNCTION("""COMPUTED_VALUE"""),"MOBILECARE - CEBU")</f>
        <v>MOBILECARE - CEBU</v>
      </c>
      <c r="D2929" s="2" t="str">
        <f>IFERROR(__xludf.DUMMYFUNCTION("""COMPUTED_VALUE"""),"661-17920")</f>
        <v>661-17920</v>
      </c>
      <c r="E2929" s="2" t="str">
        <f>IFERROR(__xludf.DUMMYFUNCTION("""COMPUTED_VALUE"""),"Battery, iPhone 12 and 12 Pro")</f>
        <v>Battery, iPhone 12 and 12 Pro</v>
      </c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>
      <c r="A2930" s="10" t="str">
        <f t="shared" si="1"/>
        <v>May</v>
      </c>
      <c r="B2930" s="11">
        <f>IFERROR(__xludf.DUMMYFUNCTION("""COMPUTED_VALUE"""),46148.0)</f>
        <v>46148</v>
      </c>
      <c r="C2930" s="2" t="str">
        <f>IFERROR(__xludf.DUMMYFUNCTION("""COMPUTED_VALUE"""),"MOBILECARE - CEBU")</f>
        <v>MOBILECARE - CEBU</v>
      </c>
      <c r="D2930" s="2" t="str">
        <f>IFERROR(__xludf.DUMMYFUNCTION("""COMPUTED_VALUE"""),"PP661-23454")</f>
        <v>PP661-23454</v>
      </c>
      <c r="E2930" s="2" t="str">
        <f>IFERROR(__xludf.DUMMYFUNCTION("""COMPUTED_VALUE"""),"iPhone 13, Midnight, 128GB, Logic Board Assy Rear System, ROW")</f>
        <v>iPhone 13, Midnight, 128GB, Logic Board Assy Rear System, ROW</v>
      </c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>
      <c r="A2931" s="10" t="str">
        <f t="shared" si="1"/>
        <v>April</v>
      </c>
      <c r="B2931" s="11">
        <f>IFERROR(__xludf.DUMMYFUNCTION("""COMPUTED_VALUE"""),46124.0)</f>
        <v>46124</v>
      </c>
      <c r="C2931" s="2" t="str">
        <f>IFERROR(__xludf.DUMMYFUNCTION("""COMPUTED_VALUE"""),"MOBILECARE - CEBU")</f>
        <v>MOBILECARE - CEBU</v>
      </c>
      <c r="D2931" s="2" t="str">
        <f>IFERROR(__xludf.DUMMYFUNCTION("""COMPUTED_VALUE"""),"PP661-23455")</f>
        <v>PP661-23455</v>
      </c>
      <c r="E2931" s="2" t="str">
        <f>IFERROR(__xludf.DUMMYFUNCTION("""COMPUTED_VALUE"""),"iPhone 13, Starlight, 128GB, Logic Board Assy Rear System, ROW")</f>
        <v>iPhone 13, Starlight, 128GB, Logic Board Assy Rear System, ROW</v>
      </c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>
      <c r="A2932" s="10" t="str">
        <f t="shared" si="1"/>
        <v>February</v>
      </c>
      <c r="B2932" s="11">
        <f>IFERROR(__xludf.DUMMYFUNCTION("""COMPUTED_VALUE"""),46080.0)</f>
        <v>46080</v>
      </c>
      <c r="C2932" s="2" t="str">
        <f>IFERROR(__xludf.DUMMYFUNCTION("""COMPUTED_VALUE"""),"MOBILECARE - CEBU")</f>
        <v>MOBILECARE - CEBU</v>
      </c>
      <c r="D2932" s="2" t="str">
        <f>IFERROR(__xludf.DUMMYFUNCTION("""COMPUTED_VALUE"""),"661-21993")</f>
        <v>661-21993</v>
      </c>
      <c r="E2932" s="2" t="str">
        <f>IFERROR(__xludf.DUMMYFUNCTION("""COMPUTED_VALUE"""),"Display, iPhone 13 Pro")</f>
        <v>Display, iPhone 13 Pro</v>
      </c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>
      <c r="A2933" s="10" t="str">
        <f t="shared" si="1"/>
        <v>February</v>
      </c>
      <c r="B2933" s="11">
        <f>IFERROR(__xludf.DUMMYFUNCTION("""COMPUTED_VALUE"""),46065.0)</f>
        <v>46065</v>
      </c>
      <c r="C2933" s="2" t="str">
        <f>IFERROR(__xludf.DUMMYFUNCTION("""COMPUTED_VALUE"""),"MOBILECARE - CEBU")</f>
        <v>MOBILECARE - CEBU</v>
      </c>
      <c r="D2933" s="2" t="str">
        <f>IFERROR(__xludf.DUMMYFUNCTION("""COMPUTED_VALUE"""),"661-21988")</f>
        <v>661-21988</v>
      </c>
      <c r="E2933" s="2" t="str">
        <f>IFERROR(__xludf.DUMMYFUNCTION("""COMPUTED_VALUE"""),"Display, iPhone 13")</f>
        <v>Display, iPhone 13</v>
      </c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>
      <c r="A2934" s="10" t="str">
        <f t="shared" si="1"/>
        <v>February</v>
      </c>
      <c r="B2934" s="11">
        <f>IFERROR(__xludf.DUMMYFUNCTION("""COMPUTED_VALUE"""),46081.0)</f>
        <v>46081</v>
      </c>
      <c r="C2934" s="2" t="str">
        <f>IFERROR(__xludf.DUMMYFUNCTION("""COMPUTED_VALUE"""),"MOBILECARE - CEBU")</f>
        <v>MOBILECARE - CEBU</v>
      </c>
      <c r="D2934" s="2" t="str">
        <f>IFERROR(__xludf.DUMMYFUNCTION("""COMPUTED_VALUE"""),"TA661-43605")</f>
        <v>TA661-43605</v>
      </c>
      <c r="E2934" s="2" t="str">
        <f>IFERROR(__xludf.DUMMYFUNCTION("""COMPUTED_VALUE"""),"128GB, Black, ROW, iPhone 16, Logic Board Assy Mid System")</f>
        <v>128GB, Black, ROW, iPhone 16, Logic Board Assy Mid System</v>
      </c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>
      <c r="A2935" s="10" t="str">
        <f t="shared" si="1"/>
        <v>February</v>
      </c>
      <c r="B2935" s="11">
        <f>IFERROR(__xludf.DUMMYFUNCTION("""COMPUTED_VALUE"""),46058.0)</f>
        <v>46058</v>
      </c>
      <c r="C2935" s="2" t="str">
        <f>IFERROR(__xludf.DUMMYFUNCTION("""COMPUTED_VALUE"""),"MOBILECARE - CEBU")</f>
        <v>MOBILECARE - CEBU</v>
      </c>
      <c r="D2935" s="2" t="str">
        <f>IFERROR(__xludf.DUMMYFUNCTION("""COMPUTED_VALUE"""),"PP661-23454")</f>
        <v>PP661-23454</v>
      </c>
      <c r="E2935" s="2" t="str">
        <f>IFERROR(__xludf.DUMMYFUNCTION("""COMPUTED_VALUE"""),"iPhone 13, Midnight, 128GB, Logic Board Assy Rear System, ROW")</f>
        <v>iPhone 13, Midnight, 128GB, Logic Board Assy Rear System, ROW</v>
      </c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>
      <c r="A2936" s="10" t="str">
        <f t="shared" si="1"/>
        <v>February</v>
      </c>
      <c r="B2936" s="11">
        <f>IFERROR(__xludf.DUMMYFUNCTION("""COMPUTED_VALUE"""),46058.0)</f>
        <v>46058</v>
      </c>
      <c r="C2936" s="2" t="str">
        <f>IFERROR(__xludf.DUMMYFUNCTION("""COMPUTED_VALUE"""),"MOBILECARE - CEBU")</f>
        <v>MOBILECARE - CEBU</v>
      </c>
      <c r="D2936" s="2" t="str">
        <f>IFERROR(__xludf.DUMMYFUNCTION("""COMPUTED_VALUE"""),"TA661-43609")</f>
        <v>TA661-43609</v>
      </c>
      <c r="E2936" s="2" t="str">
        <f>IFERROR(__xludf.DUMMYFUNCTION("""COMPUTED_VALUE"""),"128GB, Teal, ROW, iPhone 16, Logic Board Assy Mid System")</f>
        <v>128GB, Teal, ROW, iPhone 16, Logic Board Assy Mid System</v>
      </c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>
      <c r="A2937" s="10" t="str">
        <f t="shared" si="1"/>
        <v>January</v>
      </c>
      <c r="B2937" s="11">
        <f>IFERROR(__xludf.DUMMYFUNCTION("""COMPUTED_VALUE"""),46041.0)</f>
        <v>46041</v>
      </c>
      <c r="C2937" s="2" t="str">
        <f>IFERROR(__xludf.DUMMYFUNCTION("""COMPUTED_VALUE"""),"MOBILECARE - CEBU")</f>
        <v>MOBILECARE - CEBU</v>
      </c>
      <c r="D2937" s="2" t="str">
        <f>IFERROR(__xludf.DUMMYFUNCTION("""COMPUTED_VALUE"""),"661-44797")</f>
        <v>661-44797</v>
      </c>
      <c r="E2937" s="2" t="str">
        <f>IFERROR(__xludf.DUMMYFUNCTION("""COMPUTED_VALUE"""),"Display, iPhone 16")</f>
        <v>Display, iPhone 16</v>
      </c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>
      <c r="A2938" s="10" t="str">
        <f t="shared" si="1"/>
        <v>June</v>
      </c>
      <c r="B2938" s="11">
        <f>IFERROR(__xludf.DUMMYFUNCTION("""COMPUTED_VALUE"""),46176.0)</f>
        <v>46176</v>
      </c>
      <c r="C2938" s="2" t="str">
        <f>IFERROR(__xludf.DUMMYFUNCTION("""COMPUTED_VALUE"""),"MOBILECARE - FESTIVE WALK ILOILO")</f>
        <v>MOBILECARE - FESTIVE WALK ILOILO</v>
      </c>
      <c r="D2938" s="2" t="str">
        <f>IFERROR(__xludf.DUMMYFUNCTION("""COMPUTED_VALUE"""),"661-35885")</f>
        <v>661-35885</v>
      </c>
      <c r="E2938" s="2" t="str">
        <f>IFERROR(__xludf.DUMMYFUNCTION("""COMPUTED_VALUE"""),"Battery, iPhone 15")</f>
        <v>Battery, iPhone 15</v>
      </c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>
      <c r="A2939" s="10" t="str">
        <f t="shared" si="1"/>
        <v>May</v>
      </c>
      <c r="B2939" s="11">
        <f>IFERROR(__xludf.DUMMYFUNCTION("""COMPUTED_VALUE"""),46172.0)</f>
        <v>46172</v>
      </c>
      <c r="C2939" s="2" t="str">
        <f>IFERROR(__xludf.DUMMYFUNCTION("""COMPUTED_VALUE"""),"MOBILECARE - FESTIVE WALK ILOILO")</f>
        <v>MOBILECARE - FESTIVE WALK ILOILO</v>
      </c>
      <c r="D2939" s="2" t="str">
        <f>IFERROR(__xludf.DUMMYFUNCTION("""COMPUTED_VALUE"""),"661-21991")</f>
        <v>661-21991</v>
      </c>
      <c r="E2939" s="2" t="str">
        <f>IFERROR(__xludf.DUMMYFUNCTION("""COMPUTED_VALUE"""),"Battery, iPhone 13")</f>
        <v>Battery, iPhone 13</v>
      </c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>
      <c r="A2940" s="10" t="str">
        <f t="shared" si="1"/>
        <v>May</v>
      </c>
      <c r="B2940" s="11">
        <f>IFERROR(__xludf.DUMMYFUNCTION("""COMPUTED_VALUE"""),46172.0)</f>
        <v>46172</v>
      </c>
      <c r="C2940" s="2" t="str">
        <f>IFERROR(__xludf.DUMMYFUNCTION("""COMPUTED_VALUE"""),"MOBILECARE - FESTIVE WALK ILOILO")</f>
        <v>MOBILECARE - FESTIVE WALK ILOILO</v>
      </c>
      <c r="D2940" s="2" t="str">
        <f>IFERROR(__xludf.DUMMYFUNCTION("""COMPUTED_VALUE"""),"661-21988")</f>
        <v>661-21988</v>
      </c>
      <c r="E2940" s="2" t="str">
        <f>IFERROR(__xludf.DUMMYFUNCTION("""COMPUTED_VALUE"""),"Display, iPhone 13")</f>
        <v>Display, iPhone 13</v>
      </c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>
      <c r="A2941" s="10" t="str">
        <f t="shared" si="1"/>
        <v>May</v>
      </c>
      <c r="B2941" s="11">
        <f>IFERROR(__xludf.DUMMYFUNCTION("""COMPUTED_VALUE"""),46149.0)</f>
        <v>46149</v>
      </c>
      <c r="C2941" s="2" t="str">
        <f>IFERROR(__xludf.DUMMYFUNCTION("""COMPUTED_VALUE"""),"MOBILECARE - FESTIVE WALK ILOILO")</f>
        <v>MOBILECARE - FESTIVE WALK ILOILO</v>
      </c>
      <c r="D2941" s="2" t="str">
        <f>IFERROR(__xludf.DUMMYFUNCTION("""COMPUTED_VALUE"""),"661-36706")</f>
        <v>661-36706</v>
      </c>
      <c r="E2941" s="2" t="str">
        <f>IFERROR(__xludf.DUMMYFUNCTION("""COMPUTED_VALUE"""),"Display, iPhone 15")</f>
        <v>Display, iPhone 15</v>
      </c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>
      <c r="A2942" s="10" t="str">
        <f t="shared" si="1"/>
        <v>April</v>
      </c>
      <c r="B2942" s="11">
        <f>IFERROR(__xludf.DUMMYFUNCTION("""COMPUTED_VALUE"""),46135.0)</f>
        <v>46135</v>
      </c>
      <c r="C2942" s="2" t="str">
        <f>IFERROR(__xludf.DUMMYFUNCTION("""COMPUTED_VALUE"""),"MOBILECARE - FESTIVE WALK ILOILO")</f>
        <v>MOBILECARE - FESTIVE WALK ILOILO</v>
      </c>
      <c r="D2942" s="2" t="str">
        <f>IFERROR(__xludf.DUMMYFUNCTION("""COMPUTED_VALUE"""),"661-30393")</f>
        <v>661-30393</v>
      </c>
      <c r="E2942" s="2" t="str">
        <f>IFERROR(__xludf.DUMMYFUNCTION("""COMPUTED_VALUE"""),"Camera, iPhone 14 Plus")</f>
        <v>Camera, iPhone 14 Plus</v>
      </c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>
      <c r="A2943" s="10" t="str">
        <f t="shared" si="1"/>
        <v>April</v>
      </c>
      <c r="B2943" s="11">
        <f>IFERROR(__xludf.DUMMYFUNCTION("""COMPUTED_VALUE"""),46135.0)</f>
        <v>46135</v>
      </c>
      <c r="C2943" s="2" t="str">
        <f>IFERROR(__xludf.DUMMYFUNCTION("""COMPUTED_VALUE"""),"MOBILECARE - FESTIVE WALK ILOILO")</f>
        <v>MOBILECARE - FESTIVE WALK ILOILO</v>
      </c>
      <c r="D2943" s="2" t="str">
        <f>IFERROR(__xludf.DUMMYFUNCTION("""COMPUTED_VALUE"""),"PP661-23455")</f>
        <v>PP661-23455</v>
      </c>
      <c r="E2943" s="2" t="str">
        <f>IFERROR(__xludf.DUMMYFUNCTION("""COMPUTED_VALUE"""),"iPhone 13, Starlight, 128GB, Logic Board Assy Rear System, ROW")</f>
        <v>iPhone 13, Starlight, 128GB, Logic Board Assy Rear System, ROW</v>
      </c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>
      <c r="A2944" s="10" t="str">
        <f t="shared" si="1"/>
        <v>March</v>
      </c>
      <c r="B2944" s="11">
        <f>IFERROR(__xludf.DUMMYFUNCTION("""COMPUTED_VALUE"""),46109.0)</f>
        <v>46109</v>
      </c>
      <c r="C2944" s="2" t="str">
        <f>IFERROR(__xludf.DUMMYFUNCTION("""COMPUTED_VALUE"""),"MOBILECARE - FESTIVE WALK ILOILO")</f>
        <v>MOBILECARE - FESTIVE WALK ILOILO</v>
      </c>
      <c r="D2944" s="2" t="str">
        <f>IFERROR(__xludf.DUMMYFUNCTION("""COMPUTED_VALUE"""),"661-21991")</f>
        <v>661-21991</v>
      </c>
      <c r="E2944" s="2" t="str">
        <f>IFERROR(__xludf.DUMMYFUNCTION("""COMPUTED_VALUE"""),"Battery, iPhone 13")</f>
        <v>Battery, iPhone 13</v>
      </c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>
      <c r="A2945" s="10" t="str">
        <f t="shared" si="1"/>
        <v>March</v>
      </c>
      <c r="B2945" s="11">
        <f>IFERROR(__xludf.DUMMYFUNCTION("""COMPUTED_VALUE"""),46083.0)</f>
        <v>46083</v>
      </c>
      <c r="C2945" s="2" t="str">
        <f>IFERROR(__xludf.DUMMYFUNCTION("""COMPUTED_VALUE"""),"MOBILECARE - FESTIVE WALK ILOILO")</f>
        <v>MOBILECARE - FESTIVE WALK ILOILO</v>
      </c>
      <c r="D2945" s="2" t="str">
        <f>IFERROR(__xludf.DUMMYFUNCTION("""COMPUTED_VALUE"""),"PP661-23454")</f>
        <v>PP661-23454</v>
      </c>
      <c r="E2945" s="2" t="str">
        <f>IFERROR(__xludf.DUMMYFUNCTION("""COMPUTED_VALUE"""),"iPhone 13, Midnight, 128GB, Logic Board Assy Rear System, ROW")</f>
        <v>iPhone 13, Midnight, 128GB, Logic Board Assy Rear System, ROW</v>
      </c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>
      <c r="A2946" s="10" t="str">
        <f t="shared" si="1"/>
        <v>January</v>
      </c>
      <c r="B2946" s="11">
        <f>IFERROR(__xludf.DUMMYFUNCTION("""COMPUTED_VALUE"""),46043.0)</f>
        <v>46043</v>
      </c>
      <c r="C2946" s="2" t="str">
        <f>IFERROR(__xludf.DUMMYFUNCTION("""COMPUTED_VALUE"""),"MOBILECARE - FESTIVE WALK ILOILO")</f>
        <v>MOBILECARE - FESTIVE WALK ILOILO</v>
      </c>
      <c r="D2946" s="2" t="str">
        <f>IFERROR(__xludf.DUMMYFUNCTION("""COMPUTED_VALUE"""),"661-56050")</f>
        <v>661-56050</v>
      </c>
      <c r="E2946" s="2" t="str">
        <f>IFERROR(__xludf.DUMMYFUNCTION("""COMPUTED_VALUE"""),"Display, iPhone 17 Pro Max")</f>
        <v>Display, iPhone 17 Pro Max</v>
      </c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>
      <c r="A2947" s="10" t="str">
        <f t="shared" si="1"/>
        <v>June</v>
      </c>
      <c r="B2947" s="11">
        <f>IFERROR(__xludf.DUMMYFUNCTION("""COMPUTED_VALUE"""),46188.0)</f>
        <v>46188</v>
      </c>
      <c r="C2947" s="2" t="str">
        <f>IFERROR(__xludf.DUMMYFUNCTION("""COMPUTED_VALUE"""),"MOBILECARE - FESTIVE WALK ILOILO")</f>
        <v>MOBILECARE - FESTIVE WALK ILOILO</v>
      </c>
      <c r="D2947" s="2" t="str">
        <f>IFERROR(__xludf.DUMMYFUNCTION("""COMPUTED_VALUE"""),"661-21991")</f>
        <v>661-21991</v>
      </c>
      <c r="E2947" s="2" t="str">
        <f>IFERROR(__xludf.DUMMYFUNCTION("""COMPUTED_VALUE"""),"Battery, iPhone 13")</f>
        <v>Battery, iPhone 13</v>
      </c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>
      <c r="A2948" s="10" t="str">
        <f t="shared" si="1"/>
        <v>June</v>
      </c>
      <c r="B2948" s="11">
        <f>IFERROR(__xludf.DUMMYFUNCTION("""COMPUTED_VALUE"""),46184.0)</f>
        <v>46184</v>
      </c>
      <c r="C2948" s="2" t="str">
        <f>IFERROR(__xludf.DUMMYFUNCTION("""COMPUTED_VALUE"""),"MOBILECARE - FESTIVE WALK ILOILO")</f>
        <v>MOBILECARE - FESTIVE WALK ILOILO</v>
      </c>
      <c r="D2948" s="2" t="str">
        <f>IFERROR(__xludf.DUMMYFUNCTION("""COMPUTED_VALUE"""),"PP661-23454")</f>
        <v>PP661-23454</v>
      </c>
      <c r="E2948" s="2" t="str">
        <f>IFERROR(__xludf.DUMMYFUNCTION("""COMPUTED_VALUE"""),"iPhone 13, Midnight, 128GB, Logic Board Assy Rear System, ROW")</f>
        <v>iPhone 13, Midnight, 128GB, Logic Board Assy Rear System, ROW</v>
      </c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>
      <c r="A2949" s="10" t="str">
        <f t="shared" si="1"/>
        <v>March</v>
      </c>
      <c r="B2949" s="11">
        <f>IFERROR(__xludf.DUMMYFUNCTION("""COMPUTED_VALUE"""),46092.0)</f>
        <v>46092</v>
      </c>
      <c r="C2949" s="2" t="str">
        <f>IFERROR(__xludf.DUMMYFUNCTION("""COMPUTED_VALUE"""),"MOBILECARE - FESTIVE WALK ILOILO")</f>
        <v>MOBILECARE - FESTIVE WALK ILOILO</v>
      </c>
      <c r="D2949" s="2" t="str">
        <f>IFERROR(__xludf.DUMMYFUNCTION("""COMPUTED_VALUE"""),"Z661-55957")</f>
        <v>Z661-55957</v>
      </c>
      <c r="E2949" s="2" t="str">
        <f>IFERROR(__xludf.DUMMYFUNCTION("""COMPUTED_VALUE"""),"Logic Board, 512GB, iPhone 17 Pro Max, ROW")</f>
        <v>Logic Board, 512GB, iPhone 17 Pro Max, ROW</v>
      </c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>
      <c r="A2950" s="10" t="str">
        <f t="shared" si="1"/>
        <v>February</v>
      </c>
      <c r="B2950" s="11">
        <f>IFERROR(__xludf.DUMMYFUNCTION("""COMPUTED_VALUE"""),46074.0)</f>
        <v>46074</v>
      </c>
      <c r="C2950" s="2" t="str">
        <f>IFERROR(__xludf.DUMMYFUNCTION("""COMPUTED_VALUE"""),"MOBILECARE - FESTIVE WALK ILOILO")</f>
        <v>MOBILECARE - FESTIVE WALK ILOILO</v>
      </c>
      <c r="D2950" s="2" t="str">
        <f>IFERROR(__xludf.DUMMYFUNCTION("""COMPUTED_VALUE"""),"PP661-23455")</f>
        <v>PP661-23455</v>
      </c>
      <c r="E2950" s="2" t="str">
        <f>IFERROR(__xludf.DUMMYFUNCTION("""COMPUTED_VALUE"""),"iPhone 13, Starlight, 128GB, Logic Board Assy Rear System, ROW")</f>
        <v>iPhone 13, Starlight, 128GB, Logic Board Assy Rear System, ROW</v>
      </c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>
      <c r="A2951" s="10" t="str">
        <f t="shared" si="1"/>
        <v>June</v>
      </c>
      <c r="B2951" s="11">
        <f>IFERROR(__xludf.DUMMYFUNCTION("""COMPUTED_VALUE"""),46184.0)</f>
        <v>46184</v>
      </c>
      <c r="C2951" s="2" t="str">
        <f>IFERROR(__xludf.DUMMYFUNCTION("""COMPUTED_VALUE"""),"MOBILECARE - FESTIVE WALK ILOILO")</f>
        <v>MOBILECARE - FESTIVE WALK ILOILO</v>
      </c>
      <c r="D2951" s="2" t="str">
        <f>IFERROR(__xludf.DUMMYFUNCTION("""COMPUTED_VALUE"""),"661-21988")</f>
        <v>661-21988</v>
      </c>
      <c r="E2951" s="2" t="str">
        <f>IFERROR(__xludf.DUMMYFUNCTION("""COMPUTED_VALUE"""),"Display, iPhone 13")</f>
        <v>Display, iPhone 13</v>
      </c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>
      <c r="A2952" s="10" t="str">
        <f t="shared" si="1"/>
        <v>June</v>
      </c>
      <c r="B2952" s="11">
        <f>IFERROR(__xludf.DUMMYFUNCTION("""COMPUTED_VALUE"""),46183.0)</f>
        <v>46183</v>
      </c>
      <c r="C2952" s="2" t="str">
        <f>IFERROR(__xludf.DUMMYFUNCTION("""COMPUTED_VALUE"""),"MOBILECARE - FESTIVE WALK ILOILO")</f>
        <v>MOBILECARE - FESTIVE WALK ILOILO</v>
      </c>
      <c r="D2952" s="2" t="str">
        <f>IFERROR(__xludf.DUMMYFUNCTION("""COMPUTED_VALUE"""),"661-30366")</f>
        <v>661-30366</v>
      </c>
      <c r="E2952" s="2" t="str">
        <f>IFERROR(__xludf.DUMMYFUNCTION("""COMPUTED_VALUE"""),"Display, iPhone 14")</f>
        <v>Display, iPhone 14</v>
      </c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>
      <c r="A2953" s="10" t="str">
        <f t="shared" si="1"/>
        <v>June</v>
      </c>
      <c r="B2953" s="11">
        <f>IFERROR(__xludf.DUMMYFUNCTION("""COMPUTED_VALUE"""),46183.0)</f>
        <v>46183</v>
      </c>
      <c r="C2953" s="2" t="str">
        <f>IFERROR(__xludf.DUMMYFUNCTION("""COMPUTED_VALUE"""),"MOBILECARE - FESTIVE WALK ILOILO")</f>
        <v>MOBILECARE - FESTIVE WALK ILOILO</v>
      </c>
      <c r="D2953" s="2" t="str">
        <f>IFERROR(__xludf.DUMMYFUNCTION("""COMPUTED_VALUE"""),"661-30382")</f>
        <v>661-30382</v>
      </c>
      <c r="E2953" s="2" t="str">
        <f>IFERROR(__xludf.DUMMYFUNCTION("""COMPUTED_VALUE"""),"Battery, iPhone 14 Pro")</f>
        <v>Battery, iPhone 14 Pro</v>
      </c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>
      <c r="A2954" s="10" t="str">
        <f t="shared" si="1"/>
        <v>April</v>
      </c>
      <c r="B2954" s="11">
        <f>IFERROR(__xludf.DUMMYFUNCTION("""COMPUTED_VALUE"""),46133.0)</f>
        <v>46133</v>
      </c>
      <c r="C2954" s="2" t="str">
        <f>IFERROR(__xludf.DUMMYFUNCTION("""COMPUTED_VALUE"""),"MOBILECARE - FESTIVE WALK ILOILO")</f>
        <v>MOBILECARE - FESTIVE WALK ILOILO</v>
      </c>
      <c r="D2954" s="2" t="str">
        <f>IFERROR(__xludf.DUMMYFUNCTION("""COMPUTED_VALUE"""),"661-30370")</f>
        <v>661-30370</v>
      </c>
      <c r="E2954" s="2" t="str">
        <f>IFERROR(__xludf.DUMMYFUNCTION("""COMPUTED_VALUE"""),"Camera, iPhone 14")</f>
        <v>Camera, iPhone 14</v>
      </c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>
      <c r="A2955" s="10" t="str">
        <f t="shared" si="1"/>
        <v>April</v>
      </c>
      <c r="B2955" s="11">
        <f>IFERROR(__xludf.DUMMYFUNCTION("""COMPUTED_VALUE"""),46140.0)</f>
        <v>46140</v>
      </c>
      <c r="C2955" s="2" t="str">
        <f>IFERROR(__xludf.DUMMYFUNCTION("""COMPUTED_VALUE"""),"MOBILECARE - FESTIVE WALK ILOILO")</f>
        <v>MOBILECARE - FESTIVE WALK ILOILO</v>
      </c>
      <c r="D2955" s="2" t="str">
        <f>IFERROR(__xludf.DUMMYFUNCTION("""COMPUTED_VALUE"""),"TA661-43500")</f>
        <v>TA661-43500</v>
      </c>
      <c r="E2955" s="2" t="str">
        <f>IFERROR(__xludf.DUMMYFUNCTION("""COMPUTED_VALUE"""),"128GB, Pink, ROW, iPhone 16, CI/AR")</f>
        <v>128GB, Pink, ROW, iPhone 16, CI/AR</v>
      </c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>
      <c r="A2956" s="10" t="str">
        <f t="shared" si="1"/>
        <v>February</v>
      </c>
      <c r="B2956" s="11">
        <f>IFERROR(__xludf.DUMMYFUNCTION("""COMPUTED_VALUE"""),46077.0)</f>
        <v>46077</v>
      </c>
      <c r="C2956" s="2" t="str">
        <f>IFERROR(__xludf.DUMMYFUNCTION("""COMPUTED_VALUE"""),"MOBILECARE - FESTIVE WALK ILOILO")</f>
        <v>MOBILECARE - FESTIVE WALK ILOILO</v>
      </c>
      <c r="D2956" s="2" t="str">
        <f>IFERROR(__xludf.DUMMYFUNCTION("""COMPUTED_VALUE"""),"661-21988")</f>
        <v>661-21988</v>
      </c>
      <c r="E2956" s="2" t="str">
        <f>IFERROR(__xludf.DUMMYFUNCTION("""COMPUTED_VALUE"""),"Display, iPhone 13")</f>
        <v>Display, iPhone 13</v>
      </c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>
      <c r="A2957" s="10" t="str">
        <f t="shared" si="1"/>
        <v>March</v>
      </c>
      <c r="B2957" s="11">
        <f>IFERROR(__xludf.DUMMYFUNCTION("""COMPUTED_VALUE"""),46094.0)</f>
        <v>46094</v>
      </c>
      <c r="C2957" s="2" t="str">
        <f>IFERROR(__xludf.DUMMYFUNCTION("""COMPUTED_VALUE"""),"MOBILECARE - FESTIVE WALK ILOILO")</f>
        <v>MOBILECARE - FESTIVE WALK ILOILO</v>
      </c>
      <c r="D2957" s="2" t="str">
        <f>IFERROR(__xludf.DUMMYFUNCTION("""COMPUTED_VALUE"""),"PP661-23454")</f>
        <v>PP661-23454</v>
      </c>
      <c r="E2957" s="2" t="str">
        <f>IFERROR(__xludf.DUMMYFUNCTION("""COMPUTED_VALUE"""),"iPhone 13, Midnight, 128GB, Logic Board Assy Rear System, ROW")</f>
        <v>iPhone 13, Midnight, 128GB, Logic Board Assy Rear System, ROW</v>
      </c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>
      <c r="A2958" s="10" t="str">
        <f t="shared" si="1"/>
        <v>February</v>
      </c>
      <c r="B2958" s="11">
        <f>IFERROR(__xludf.DUMMYFUNCTION("""COMPUTED_VALUE"""),46056.0)</f>
        <v>46056</v>
      </c>
      <c r="C2958" s="2" t="str">
        <f>IFERROR(__xludf.DUMMYFUNCTION("""COMPUTED_VALUE"""),"MOBILECARE - FESTIVE WALK ILOILO")</f>
        <v>MOBILECARE - FESTIVE WALK ILOILO</v>
      </c>
      <c r="D2958" s="2" t="str">
        <f>IFERROR(__xludf.DUMMYFUNCTION("""COMPUTED_VALUE"""),"661-44955")</f>
        <v>661-44955</v>
      </c>
      <c r="E2958" s="2" t="str">
        <f>IFERROR(__xludf.DUMMYFUNCTION("""COMPUTED_VALUE"""),"Display, iPhone 16 Pro Max")</f>
        <v>Display, iPhone 16 Pro Max</v>
      </c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>
      <c r="A2959" s="10" t="str">
        <f t="shared" si="1"/>
        <v>February</v>
      </c>
      <c r="B2959" s="11">
        <f>IFERROR(__xludf.DUMMYFUNCTION("""COMPUTED_VALUE"""),46067.0)</f>
        <v>46067</v>
      </c>
      <c r="C2959" s="2" t="str">
        <f>IFERROR(__xludf.DUMMYFUNCTION("""COMPUTED_VALUE"""),"MOBILECARE - FESTIVE WALK ILOILO")</f>
        <v>MOBILECARE - FESTIVE WALK ILOILO</v>
      </c>
      <c r="D2959" s="2" t="str">
        <f>IFERROR(__xludf.DUMMYFUNCTION("""COMPUTED_VALUE"""),"PP661-23454")</f>
        <v>PP661-23454</v>
      </c>
      <c r="E2959" s="2" t="str">
        <f>IFERROR(__xludf.DUMMYFUNCTION("""COMPUTED_VALUE"""),"iPhone 13, Midnight, 128GB, Logic Board Assy Rear System, ROW")</f>
        <v>iPhone 13, Midnight, 128GB, Logic Board Assy Rear System, ROW</v>
      </c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>
      <c r="A2960" s="10" t="str">
        <f t="shared" si="1"/>
        <v>June</v>
      </c>
      <c r="B2960" s="11">
        <f>IFERROR(__xludf.DUMMYFUNCTION("""COMPUTED_VALUE"""),46176.0)</f>
        <v>46176</v>
      </c>
      <c r="C2960" s="2" t="str">
        <f>IFERROR(__xludf.DUMMYFUNCTION("""COMPUTED_VALUE"""),"MOBILECARE - FESTIVE WALK ILOILO")</f>
        <v>MOBILECARE - FESTIVE WALK ILOILO</v>
      </c>
      <c r="D2960" s="2" t="str">
        <f>IFERROR(__xludf.DUMMYFUNCTION("""COMPUTED_VALUE"""),"661-21988")</f>
        <v>661-21988</v>
      </c>
      <c r="E2960" s="2" t="str">
        <f>IFERROR(__xludf.DUMMYFUNCTION("""COMPUTED_VALUE"""),"Display, iPhone 13")</f>
        <v>Display, iPhone 13</v>
      </c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>
      <c r="A2961" s="10" t="str">
        <f t="shared" si="1"/>
        <v>April</v>
      </c>
      <c r="B2961" s="11">
        <f>IFERROR(__xludf.DUMMYFUNCTION("""COMPUTED_VALUE"""),46123.0)</f>
        <v>46123</v>
      </c>
      <c r="C2961" s="2" t="str">
        <f>IFERROR(__xludf.DUMMYFUNCTION("""COMPUTED_VALUE"""),"MOBILECARE - FESTIVE WALK ILOILO")</f>
        <v>MOBILECARE - FESTIVE WALK ILOILO</v>
      </c>
      <c r="D2961" s="2" t="str">
        <f>IFERROR(__xludf.DUMMYFUNCTION("""COMPUTED_VALUE"""),"PP661-23455")</f>
        <v>PP661-23455</v>
      </c>
      <c r="E2961" s="2" t="str">
        <f>IFERROR(__xludf.DUMMYFUNCTION("""COMPUTED_VALUE"""),"iPhone 13, Starlight, 128GB, Logic Board Assy Rear System, ROW")</f>
        <v>iPhone 13, Starlight, 128GB, Logic Board Assy Rear System, ROW</v>
      </c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>
      <c r="A2962" s="10" t="str">
        <f t="shared" si="1"/>
        <v>February</v>
      </c>
      <c r="B2962" s="11">
        <f>IFERROR(__xludf.DUMMYFUNCTION("""COMPUTED_VALUE"""),46079.0)</f>
        <v>46079</v>
      </c>
      <c r="C2962" s="2" t="str">
        <f>IFERROR(__xludf.DUMMYFUNCTION("""COMPUTED_VALUE"""),"MOBILECARE - FESTIVE WALK ILOILO")</f>
        <v>MOBILECARE - FESTIVE WALK ILOILO</v>
      </c>
      <c r="D2962" s="2" t="str">
        <f>IFERROR(__xludf.DUMMYFUNCTION("""COMPUTED_VALUE"""),"PP661-23455")</f>
        <v>PP661-23455</v>
      </c>
      <c r="E2962" s="2" t="str">
        <f>IFERROR(__xludf.DUMMYFUNCTION("""COMPUTED_VALUE"""),"iPhone 13, Starlight, 128GB, Logic Board Assy Rear System, ROW")</f>
        <v>iPhone 13, Starlight, 128GB, Logic Board Assy Rear System, ROW</v>
      </c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>
      <c r="A2963" s="10" t="str">
        <f t="shared" si="1"/>
        <v>June</v>
      </c>
      <c r="B2963" s="11">
        <f>IFERROR(__xludf.DUMMYFUNCTION("""COMPUTED_VALUE"""),46174.0)</f>
        <v>46174</v>
      </c>
      <c r="C2963" s="2" t="str">
        <f>IFERROR(__xludf.DUMMYFUNCTION("""COMPUTED_VALUE"""),"MOBILECARE - FESTIVE WALK ILOILO")</f>
        <v>MOBILECARE - FESTIVE WALK ILOILO</v>
      </c>
      <c r="D2963" s="2" t="str">
        <f>IFERROR(__xludf.DUMMYFUNCTION("""COMPUTED_VALUE"""),"661-56125")</f>
        <v>661-56125</v>
      </c>
      <c r="E2963" s="2" t="str">
        <f>IFERROR(__xludf.DUMMYFUNCTION("""COMPUTED_VALUE"""),"Display, iPhone 17 Pro")</f>
        <v>Display, iPhone 17 Pro</v>
      </c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>
      <c r="A2964" s="10" t="str">
        <f t="shared" si="1"/>
        <v>May</v>
      </c>
      <c r="B2964" s="11">
        <f>IFERROR(__xludf.DUMMYFUNCTION("""COMPUTED_VALUE"""),46163.0)</f>
        <v>46163</v>
      </c>
      <c r="C2964" s="2" t="str">
        <f>IFERROR(__xludf.DUMMYFUNCTION("""COMPUTED_VALUE"""),"MOBILECARE - FESTIVE WALK ILOILO")</f>
        <v>MOBILECARE - FESTIVE WALK ILOILO</v>
      </c>
      <c r="D2964" s="2" t="str">
        <f>IFERROR(__xludf.DUMMYFUNCTION("""COMPUTED_VALUE"""),"661-21988")</f>
        <v>661-21988</v>
      </c>
      <c r="E2964" s="2" t="str">
        <f>IFERROR(__xludf.DUMMYFUNCTION("""COMPUTED_VALUE"""),"Display, iPhone 13")</f>
        <v>Display, iPhone 13</v>
      </c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>
      <c r="A2965" s="10" t="str">
        <f t="shared" si="1"/>
        <v>April</v>
      </c>
      <c r="B2965" s="11">
        <f>IFERROR(__xludf.DUMMYFUNCTION("""COMPUTED_VALUE"""),46135.0)</f>
        <v>46135</v>
      </c>
      <c r="C2965" s="2" t="str">
        <f>IFERROR(__xludf.DUMMYFUNCTION("""COMPUTED_VALUE"""),"MOBILECARE - FESTIVE WALK ILOILO")</f>
        <v>MOBILECARE - FESTIVE WALK ILOILO</v>
      </c>
      <c r="D2965" s="2" t="str">
        <f>IFERROR(__xludf.DUMMYFUNCTION("""COMPUTED_VALUE"""),"661-42726")</f>
        <v>661-42726</v>
      </c>
      <c r="E2965" s="2" t="str">
        <f>IFERROR(__xludf.DUMMYFUNCTION("""COMPUTED_VALUE"""),"Display, iPhone 16 Pro")</f>
        <v>Display, iPhone 16 Pro</v>
      </c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>
      <c r="A2966" s="10" t="str">
        <f t="shared" si="1"/>
        <v>April</v>
      </c>
      <c r="B2966" s="11">
        <f>IFERROR(__xludf.DUMMYFUNCTION("""COMPUTED_VALUE"""),46137.0)</f>
        <v>46137</v>
      </c>
      <c r="C2966" s="2" t="str">
        <f>IFERROR(__xludf.DUMMYFUNCTION("""COMPUTED_VALUE"""),"MOBILECARE - FESTIVE WALK ILOILO")</f>
        <v>MOBILECARE - FESTIVE WALK ILOILO</v>
      </c>
      <c r="D2966" s="2" t="str">
        <f>IFERROR(__xludf.DUMMYFUNCTION("""COMPUTED_VALUE"""),"TA661-45003")</f>
        <v>TA661-45003</v>
      </c>
      <c r="E2966" s="2" t="str">
        <f>IFERROR(__xludf.DUMMYFUNCTION("""COMPUTED_VALUE"""),"512GB, Black Titanium, ROW, iPhone 16 Pro, Logic Board Assy Mid System")</f>
        <v>512GB, Black Titanium, ROW, iPhone 16 Pro, Logic Board Assy Mid System</v>
      </c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>
      <c r="A2967" s="10" t="str">
        <f t="shared" si="1"/>
        <v>March</v>
      </c>
      <c r="B2967" s="11">
        <f>IFERROR(__xludf.DUMMYFUNCTION("""COMPUTED_VALUE"""),46083.0)</f>
        <v>46083</v>
      </c>
      <c r="C2967" s="2" t="str">
        <f>IFERROR(__xludf.DUMMYFUNCTION("""COMPUTED_VALUE"""),"MOBILECARE - FESTIVE WALK ILOILO")</f>
        <v>MOBILECARE - FESTIVE WALK ILOILO</v>
      </c>
      <c r="D2967" s="2" t="str">
        <f>IFERROR(__xludf.DUMMYFUNCTION("""COMPUTED_VALUE"""),"PP661-23454")</f>
        <v>PP661-23454</v>
      </c>
      <c r="E2967" s="2" t="str">
        <f>IFERROR(__xludf.DUMMYFUNCTION("""COMPUTED_VALUE"""),"iPhone 13, Midnight, 128GB, Logic Board Assy Rear System, ROW")</f>
        <v>iPhone 13, Midnight, 128GB, Logic Board Assy Rear System, ROW</v>
      </c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>
      <c r="A2968" s="10" t="str">
        <f t="shared" si="1"/>
        <v>February</v>
      </c>
      <c r="B2968" s="11">
        <f>IFERROR(__xludf.DUMMYFUNCTION("""COMPUTED_VALUE"""),46062.0)</f>
        <v>46062</v>
      </c>
      <c r="C2968" s="2" t="str">
        <f>IFERROR(__xludf.DUMMYFUNCTION("""COMPUTED_VALUE"""),"MOBILECARE - FESTIVE WALK ILOILO")</f>
        <v>MOBILECARE - FESTIVE WALK ILOILO</v>
      </c>
      <c r="D2968" s="2" t="str">
        <f>IFERROR(__xludf.DUMMYFUNCTION("""COMPUTED_VALUE"""),"PP661-23455")</f>
        <v>PP661-23455</v>
      </c>
      <c r="E2968" s="2" t="str">
        <f>IFERROR(__xludf.DUMMYFUNCTION("""COMPUTED_VALUE"""),"iPhone 13, Starlight, 128GB, Logic Board Assy Rear System, ROW")</f>
        <v>iPhone 13, Starlight, 128GB, Logic Board Assy Rear System, ROW</v>
      </c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>
      <c r="A2969" s="10" t="str">
        <f t="shared" si="1"/>
        <v>February</v>
      </c>
      <c r="B2969" s="11">
        <f>IFERROR(__xludf.DUMMYFUNCTION("""COMPUTED_VALUE"""),46057.0)</f>
        <v>46057</v>
      </c>
      <c r="C2969" s="2" t="str">
        <f>IFERROR(__xludf.DUMMYFUNCTION("""COMPUTED_VALUE"""),"MOBILECARE - FESTIVE WALK ILOILO")</f>
        <v>MOBILECARE - FESTIVE WALK ILOILO</v>
      </c>
      <c r="D2969" s="2" t="str">
        <f>IFERROR(__xludf.DUMMYFUNCTION("""COMPUTED_VALUE"""),"PP661-28876")</f>
        <v>PP661-28876</v>
      </c>
      <c r="E2969" s="2" t="str">
        <f>IFERROR(__xludf.DUMMYFUNCTION("""COMPUTED_VALUE"""),"iPhone 14, Blue, 256GB, Logic Board Assy Mid System, ROW")</f>
        <v>iPhone 14, Blue, 256GB, Logic Board Assy Mid System, ROW</v>
      </c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>
      <c r="A2970" s="10" t="str">
        <f t="shared" si="1"/>
        <v>May</v>
      </c>
      <c r="B2970" s="11">
        <f>IFERROR(__xludf.DUMMYFUNCTION("""COMPUTED_VALUE"""),46159.0)</f>
        <v>46159</v>
      </c>
      <c r="C2970" s="2" t="str">
        <f>IFERROR(__xludf.DUMMYFUNCTION("""COMPUTED_VALUE"""),"MOBILECARE - FESTIVE WALK ILOILO")</f>
        <v>MOBILECARE - FESTIVE WALK ILOILO</v>
      </c>
      <c r="D2970" s="2" t="str">
        <f>IFERROR(__xludf.DUMMYFUNCTION("""COMPUTED_VALUE"""),"661-44797")</f>
        <v>661-44797</v>
      </c>
      <c r="E2970" s="2" t="str">
        <f>IFERROR(__xludf.DUMMYFUNCTION("""COMPUTED_VALUE"""),"Display, iPhone 16")</f>
        <v>Display, iPhone 16</v>
      </c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>
      <c r="A2971" s="10" t="str">
        <f t="shared" si="1"/>
        <v>May</v>
      </c>
      <c r="B2971" s="11">
        <f>IFERROR(__xludf.DUMMYFUNCTION("""COMPUTED_VALUE"""),46156.0)</f>
        <v>46156</v>
      </c>
      <c r="C2971" s="2" t="str">
        <f>IFERROR(__xludf.DUMMYFUNCTION("""COMPUTED_VALUE"""),"MOBILECARE - FESTIVE WALK ILOILO")</f>
        <v>MOBILECARE - FESTIVE WALK ILOILO</v>
      </c>
      <c r="D2971" s="2" t="str">
        <f>IFERROR(__xludf.DUMMYFUNCTION("""COMPUTED_VALUE"""),"661-42726")</f>
        <v>661-42726</v>
      </c>
      <c r="E2971" s="2" t="str">
        <f>IFERROR(__xludf.DUMMYFUNCTION("""COMPUTED_VALUE"""),"Display, iPhone 16 Pro")</f>
        <v>Display, iPhone 16 Pro</v>
      </c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>
      <c r="A2972" s="10" t="str">
        <f t="shared" si="1"/>
        <v>June</v>
      </c>
      <c r="B2972" s="11">
        <f>IFERROR(__xludf.DUMMYFUNCTION("""COMPUTED_VALUE"""),46183.0)</f>
        <v>46183</v>
      </c>
      <c r="C2972" s="2" t="str">
        <f>IFERROR(__xludf.DUMMYFUNCTION("""COMPUTED_VALUE"""),"MOBILECARE - FESTIVE WALK ILOILO")</f>
        <v>MOBILECARE - FESTIVE WALK ILOILO</v>
      </c>
      <c r="D2972" s="2" t="str">
        <f>IFERROR(__xludf.DUMMYFUNCTION("""COMPUTED_VALUE"""),"TA661-45002")</f>
        <v>TA661-45002</v>
      </c>
      <c r="E2972" s="2" t="str">
        <f>IFERROR(__xludf.DUMMYFUNCTION("""COMPUTED_VALUE"""),"256GB, Natural Titanium, ROW, iPhone 16 Pro, Logic Board Assy Mid System")</f>
        <v>256GB, Natural Titanium, ROW, iPhone 16 Pro, Logic Board Assy Mid System</v>
      </c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>
      <c r="A2973" s="10" t="str">
        <f t="shared" si="1"/>
        <v>March</v>
      </c>
      <c r="B2973" s="11">
        <f>IFERROR(__xludf.DUMMYFUNCTION("""COMPUTED_VALUE"""),46108.0)</f>
        <v>46108</v>
      </c>
      <c r="C2973" s="2" t="str">
        <f>IFERROR(__xludf.DUMMYFUNCTION("""COMPUTED_VALUE"""),"MOBILECARE - FESTIVE WALK ILOILO")</f>
        <v>MOBILECARE - FESTIVE WALK ILOILO</v>
      </c>
      <c r="D2973" s="2" t="str">
        <f>IFERROR(__xludf.DUMMYFUNCTION("""COMPUTED_VALUE"""),"Z661-55956")</f>
        <v>Z661-55956</v>
      </c>
      <c r="E2973" s="2" t="str">
        <f>IFERROR(__xludf.DUMMYFUNCTION("""COMPUTED_VALUE"""),"Logic Board, 256GB, iPhone 17 Pro Max, ROW")</f>
        <v>Logic Board, 256GB, iPhone 17 Pro Max, ROW</v>
      </c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>
      <c r="A2974" s="10" t="str">
        <f t="shared" si="1"/>
        <v>March</v>
      </c>
      <c r="B2974" s="11">
        <f>IFERROR(__xludf.DUMMYFUNCTION("""COMPUTED_VALUE"""),46094.0)</f>
        <v>46094</v>
      </c>
      <c r="C2974" s="2" t="str">
        <f>IFERROR(__xludf.DUMMYFUNCTION("""COMPUTED_VALUE"""),"MOBILECARE - FESTIVE WALK ILOILO")</f>
        <v>MOBILECARE - FESTIVE WALK ILOILO</v>
      </c>
      <c r="D2974" s="2" t="str">
        <f>IFERROR(__xludf.DUMMYFUNCTION("""COMPUTED_VALUE"""),"PP661-23454")</f>
        <v>PP661-23454</v>
      </c>
      <c r="E2974" s="2" t="str">
        <f>IFERROR(__xludf.DUMMYFUNCTION("""COMPUTED_VALUE"""),"iPhone 13, Midnight, 128GB, Logic Board Assy Rear System, ROW")</f>
        <v>iPhone 13, Midnight, 128GB, Logic Board Assy Rear System, ROW</v>
      </c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>
      <c r="A2975" s="10" t="str">
        <f t="shared" si="1"/>
        <v>February</v>
      </c>
      <c r="B2975" s="11">
        <f>IFERROR(__xludf.DUMMYFUNCTION("""COMPUTED_VALUE"""),46078.0)</f>
        <v>46078</v>
      </c>
      <c r="C2975" s="2" t="str">
        <f>IFERROR(__xludf.DUMMYFUNCTION("""COMPUTED_VALUE"""),"MOBILECARE - FESTIVE WALK ILOILO")</f>
        <v>MOBILECARE - FESTIVE WALK ILOILO</v>
      </c>
      <c r="D2975" s="2" t="str">
        <f>IFERROR(__xludf.DUMMYFUNCTION("""COMPUTED_VALUE"""),"PP661-23455")</f>
        <v>PP661-23455</v>
      </c>
      <c r="E2975" s="2" t="str">
        <f>IFERROR(__xludf.DUMMYFUNCTION("""COMPUTED_VALUE"""),"iPhone 13, Starlight, 128GB, Logic Board Assy Rear System, ROW")</f>
        <v>iPhone 13, Starlight, 128GB, Logic Board Assy Rear System, ROW</v>
      </c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>
      <c r="A2976" s="10" t="str">
        <f t="shared" si="1"/>
        <v>June</v>
      </c>
      <c r="B2976" s="11">
        <f>IFERROR(__xludf.DUMMYFUNCTION("""COMPUTED_VALUE"""),46186.0)</f>
        <v>46186</v>
      </c>
      <c r="C2976" s="2" t="str">
        <f>IFERROR(__xludf.DUMMYFUNCTION("""COMPUTED_VALUE"""),"MOBILECARE - FESTIVE WALK ILOILO")</f>
        <v>MOBILECARE - FESTIVE WALK ILOILO</v>
      </c>
      <c r="D2976" s="2" t="str">
        <f>IFERROR(__xludf.DUMMYFUNCTION("""COMPUTED_VALUE"""),"PP661-28869")</f>
        <v>PP661-28869</v>
      </c>
      <c r="E2976" s="2" t="str">
        <f>IFERROR(__xludf.DUMMYFUNCTION("""COMPUTED_VALUE"""),"iPhone 14, Starlight, 128GB, Logic Board Assy Mid System, ROW")</f>
        <v>iPhone 14, Starlight, 128GB, Logic Board Assy Mid System, ROW</v>
      </c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>
      <c r="A2977" s="10" t="str">
        <f t="shared" si="1"/>
        <v>April</v>
      </c>
      <c r="B2977" s="11">
        <f>IFERROR(__xludf.DUMMYFUNCTION("""COMPUTED_VALUE"""),46123.0)</f>
        <v>46123</v>
      </c>
      <c r="C2977" s="2" t="str">
        <f>IFERROR(__xludf.DUMMYFUNCTION("""COMPUTED_VALUE"""),"MOBILECARE - FESTIVE WALK ILOILO")</f>
        <v>MOBILECARE - FESTIVE WALK ILOILO</v>
      </c>
      <c r="D2977" s="2" t="str">
        <f>IFERROR(__xludf.DUMMYFUNCTION("""COMPUTED_VALUE"""),"PP661-23455")</f>
        <v>PP661-23455</v>
      </c>
      <c r="E2977" s="2" t="str">
        <f>IFERROR(__xludf.DUMMYFUNCTION("""COMPUTED_VALUE"""),"iPhone 13, Starlight, 128GB, Logic Board Assy Rear System, ROW")</f>
        <v>iPhone 13, Starlight, 128GB, Logic Board Assy Rear System, ROW</v>
      </c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>
      <c r="A2978" s="10" t="str">
        <f t="shared" si="1"/>
        <v>April</v>
      </c>
      <c r="B2978" s="11">
        <f>IFERROR(__xludf.DUMMYFUNCTION("""COMPUTED_VALUE"""),46116.0)</f>
        <v>46116</v>
      </c>
      <c r="C2978" s="2" t="str">
        <f>IFERROR(__xludf.DUMMYFUNCTION("""COMPUTED_VALUE"""),"MOBILECARE - FESTIVE WALK ILOILO")</f>
        <v>MOBILECARE - FESTIVE WALK ILOILO</v>
      </c>
      <c r="D2978" s="2" t="str">
        <f>IFERROR(__xludf.DUMMYFUNCTION("""COMPUTED_VALUE"""),"Z661-55956")</f>
        <v>Z661-55956</v>
      </c>
      <c r="E2978" s="2" t="str">
        <f>IFERROR(__xludf.DUMMYFUNCTION("""COMPUTED_VALUE"""),"Logic Board, 256GB, iPhone 17 Pro Max, ROW")</f>
        <v>Logic Board, 256GB, iPhone 17 Pro Max, ROW</v>
      </c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>
      <c r="A2979" s="10" t="str">
        <f t="shared" si="1"/>
        <v>March</v>
      </c>
      <c r="B2979" s="11">
        <f>IFERROR(__xludf.DUMMYFUNCTION("""COMPUTED_VALUE"""),46105.0)</f>
        <v>46105</v>
      </c>
      <c r="C2979" s="2" t="str">
        <f>IFERROR(__xludf.DUMMYFUNCTION("""COMPUTED_VALUE"""),"MOBILECARE - FESTIVE WALK ILOILO")</f>
        <v>MOBILECARE - FESTIVE WALK ILOILO</v>
      </c>
      <c r="D2979" s="2" t="str">
        <f>IFERROR(__xludf.DUMMYFUNCTION("""COMPUTED_VALUE"""),"TA661-49966")</f>
        <v>TA661-49966</v>
      </c>
      <c r="E2979" s="2" t="str">
        <f>IFERROR(__xludf.DUMMYFUNCTION("""COMPUTED_VALUE"""),"Black, 256GB, Logic Board Assy Mid System, iPhone 16e, ROW")</f>
        <v>Black, 256GB, Logic Board Assy Mid System, iPhone 16e, ROW</v>
      </c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>
      <c r="A2980" s="10" t="str">
        <f t="shared" si="1"/>
        <v>March</v>
      </c>
      <c r="B2980" s="11">
        <f>IFERROR(__xludf.DUMMYFUNCTION("""COMPUTED_VALUE"""),46101.0)</f>
        <v>46101</v>
      </c>
      <c r="C2980" s="2" t="str">
        <f>IFERROR(__xludf.DUMMYFUNCTION("""COMPUTED_VALUE"""),"MOBILECARE - FESTIVE WALK ILOILO")</f>
        <v>MOBILECARE - FESTIVE WALK ILOILO</v>
      </c>
      <c r="D2980" s="2" t="str">
        <f>IFERROR(__xludf.DUMMYFUNCTION("""COMPUTED_VALUE"""),"PP661-23454")</f>
        <v>PP661-23454</v>
      </c>
      <c r="E2980" s="2" t="str">
        <f>IFERROR(__xludf.DUMMYFUNCTION("""COMPUTED_VALUE"""),"iPhone 13, Midnight, 128GB, Logic Board Assy Rear System, ROW")</f>
        <v>iPhone 13, Midnight, 128GB, Logic Board Assy Rear System, ROW</v>
      </c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>
      <c r="A2981" s="10" t="str">
        <f t="shared" si="1"/>
        <v>February</v>
      </c>
      <c r="B2981" s="11">
        <f>IFERROR(__xludf.DUMMYFUNCTION("""COMPUTED_VALUE"""),46063.0)</f>
        <v>46063</v>
      </c>
      <c r="C2981" s="2" t="str">
        <f>IFERROR(__xludf.DUMMYFUNCTION("""COMPUTED_VALUE"""),"MOBILECARE - FESTIVE WALK ILOILO")</f>
        <v>MOBILECARE - FESTIVE WALK ILOILO</v>
      </c>
      <c r="D2981" s="2" t="str">
        <f>IFERROR(__xludf.DUMMYFUNCTION("""COMPUTED_VALUE"""),"661-22374")</f>
        <v>661-22374</v>
      </c>
      <c r="E2981" s="2" t="str">
        <f>IFERROR(__xludf.DUMMYFUNCTION("""COMPUTED_VALUE"""),"Battery, iPhone 13 mini")</f>
        <v>Battery, iPhone 13 mini</v>
      </c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>
      <c r="A2982" s="10" t="str">
        <f t="shared" si="1"/>
        <v>February</v>
      </c>
      <c r="B2982" s="11">
        <f>IFERROR(__xludf.DUMMYFUNCTION("""COMPUTED_VALUE"""),46078.0)</f>
        <v>46078</v>
      </c>
      <c r="C2982" s="2" t="str">
        <f>IFERROR(__xludf.DUMMYFUNCTION("""COMPUTED_VALUE"""),"MOBILECARE - FESTIVE WALK ILOILO")</f>
        <v>MOBILECARE - FESTIVE WALK ILOILO</v>
      </c>
      <c r="D2982" s="2" t="str">
        <f>IFERROR(__xludf.DUMMYFUNCTION("""COMPUTED_VALUE"""),"PP661-28871")</f>
        <v>PP661-28871</v>
      </c>
      <c r="E2982" s="2" t="str">
        <f>IFERROR(__xludf.DUMMYFUNCTION("""COMPUTED_VALUE"""),"iPhone 14, Blue, 128GB, Logic Board Assy Mid System, ROW")</f>
        <v>iPhone 14, Blue, 128GB, Logic Board Assy Mid System, ROW</v>
      </c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>
      <c r="A2983" s="10" t="str">
        <f t="shared" si="1"/>
        <v>June</v>
      </c>
      <c r="B2983" s="11">
        <f>IFERROR(__xludf.DUMMYFUNCTION("""COMPUTED_VALUE"""),46185.0)</f>
        <v>46185</v>
      </c>
      <c r="C2983" s="2" t="str">
        <f>IFERROR(__xludf.DUMMYFUNCTION("""COMPUTED_VALUE"""),"MOBILECARE - FESTIVE WALK ILOILO")</f>
        <v>MOBILECARE - FESTIVE WALK ILOILO</v>
      </c>
      <c r="D2983" s="2" t="str">
        <f>IFERROR(__xludf.DUMMYFUNCTION("""COMPUTED_VALUE"""),"661-37213")</f>
        <v>661-37213</v>
      </c>
      <c r="E2983" s="2" t="str">
        <f>IFERROR(__xludf.DUMMYFUNCTION("""COMPUTED_VALUE"""),"Display, iPhone 15 Plus")</f>
        <v>Display, iPhone 15 Plus</v>
      </c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>
      <c r="A2984" s="10" t="str">
        <f t="shared" si="1"/>
        <v>June</v>
      </c>
      <c r="B2984" s="11">
        <f>IFERROR(__xludf.DUMMYFUNCTION("""COMPUTED_VALUE"""),46184.0)</f>
        <v>46184</v>
      </c>
      <c r="C2984" s="2" t="str">
        <f>IFERROR(__xludf.DUMMYFUNCTION("""COMPUTED_VALUE"""),"MOBILECARE - FESTIVE WALK ILOILO")</f>
        <v>MOBILECARE - FESTIVE WALK ILOILO</v>
      </c>
      <c r="D2984" s="2" t="str">
        <f>IFERROR(__xludf.DUMMYFUNCTION("""COMPUTED_VALUE"""),"PP661-28869")</f>
        <v>PP661-28869</v>
      </c>
      <c r="E2984" s="2" t="str">
        <f>IFERROR(__xludf.DUMMYFUNCTION("""COMPUTED_VALUE"""),"iPhone 14, Starlight, 128GB, Logic Board Assy Mid System, ROW")</f>
        <v>iPhone 14, Starlight, 128GB, Logic Board Assy Mid System, ROW</v>
      </c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>
      <c r="A2985" s="10" t="str">
        <f t="shared" si="1"/>
        <v>April</v>
      </c>
      <c r="B2985" s="11">
        <f>IFERROR(__xludf.DUMMYFUNCTION("""COMPUTED_VALUE"""),46132.0)</f>
        <v>46132</v>
      </c>
      <c r="C2985" s="2" t="str">
        <f>IFERROR(__xludf.DUMMYFUNCTION("""COMPUTED_VALUE"""),"MOBILECARE - FESTIVE WALK ILOILO")</f>
        <v>MOBILECARE - FESTIVE WALK ILOILO</v>
      </c>
      <c r="D2985" s="2" t="str">
        <f>IFERROR(__xludf.DUMMYFUNCTION("""COMPUTED_VALUE"""),"661-21988")</f>
        <v>661-21988</v>
      </c>
      <c r="E2985" s="2" t="str">
        <f>IFERROR(__xludf.DUMMYFUNCTION("""COMPUTED_VALUE"""),"Display, iPhone 13")</f>
        <v>Display, iPhone 13</v>
      </c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>
      <c r="A2986" s="10" t="str">
        <f t="shared" si="1"/>
        <v>June</v>
      </c>
      <c r="B2986" s="11">
        <f>IFERROR(__xludf.DUMMYFUNCTION("""COMPUTED_VALUE"""),46181.0)</f>
        <v>46181</v>
      </c>
      <c r="C2986" s="2" t="str">
        <f>IFERROR(__xludf.DUMMYFUNCTION("""COMPUTED_VALUE"""),"MOBILECARE - FESTIVE WALK ILOILO")</f>
        <v>MOBILECARE - FESTIVE WALK ILOILO</v>
      </c>
      <c r="D2986" s="2" t="str">
        <f>IFERROR(__xludf.DUMMYFUNCTION("""COMPUTED_VALUE"""),"PP661-23454")</f>
        <v>PP661-23454</v>
      </c>
      <c r="E2986" s="2" t="str">
        <f>IFERROR(__xludf.DUMMYFUNCTION("""COMPUTED_VALUE"""),"iPhone 13, Midnight, 128GB, Logic Board Assy Rear System, ROW")</f>
        <v>iPhone 13, Midnight, 128GB, Logic Board Assy Rear System, ROW</v>
      </c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>
      <c r="A2987" s="10" t="str">
        <f t="shared" si="1"/>
        <v>June</v>
      </c>
      <c r="B2987" s="11">
        <f>IFERROR(__xludf.DUMMYFUNCTION("""COMPUTED_VALUE"""),46181.0)</f>
        <v>46181</v>
      </c>
      <c r="C2987" s="2" t="str">
        <f>IFERROR(__xludf.DUMMYFUNCTION("""COMPUTED_VALUE"""),"MOBILECARE - FESTIVE WALK ILOILO")</f>
        <v>MOBILECARE - FESTIVE WALK ILOILO</v>
      </c>
      <c r="D2987" s="2" t="str">
        <f>IFERROR(__xludf.DUMMYFUNCTION("""COMPUTED_VALUE"""),"PP661-23454")</f>
        <v>PP661-23454</v>
      </c>
      <c r="E2987" s="2" t="str">
        <f>IFERROR(__xludf.DUMMYFUNCTION("""COMPUTED_VALUE"""),"iPhone 13, Midnight, 128GB, Logic Board Assy Rear System, ROW")</f>
        <v>iPhone 13, Midnight, 128GB, Logic Board Assy Rear System, ROW</v>
      </c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>
      <c r="A2988" s="10" t="str">
        <f t="shared" si="1"/>
        <v>March</v>
      </c>
      <c r="B2988" s="11">
        <f>IFERROR(__xludf.DUMMYFUNCTION("""COMPUTED_VALUE"""),46087.0)</f>
        <v>46087</v>
      </c>
      <c r="C2988" s="2" t="str">
        <f>IFERROR(__xludf.DUMMYFUNCTION("""COMPUTED_VALUE"""),"MOBILECARE - FESTIVE WALK ILOILO")</f>
        <v>MOBILECARE - FESTIVE WALK ILOILO</v>
      </c>
      <c r="D2988" s="2" t="str">
        <f>IFERROR(__xludf.DUMMYFUNCTION("""COMPUTED_VALUE"""),"661-36915")</f>
        <v>661-36915</v>
      </c>
      <c r="E2988" s="2" t="str">
        <f>IFERROR(__xludf.DUMMYFUNCTION("""COMPUTED_VALUE"""),"Display, iPhone 15 Pro Max")</f>
        <v>Display, iPhone 15 Pro Max</v>
      </c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>
      <c r="A2989" s="10" t="str">
        <f t="shared" si="1"/>
        <v>March</v>
      </c>
      <c r="B2989" s="11">
        <f>IFERROR(__xludf.DUMMYFUNCTION("""COMPUTED_VALUE"""),46103.0)</f>
        <v>46103</v>
      </c>
      <c r="C2989" s="2" t="str">
        <f>IFERROR(__xludf.DUMMYFUNCTION("""COMPUTED_VALUE"""),"MOBILECARE - FESTIVE WALK ILOILO")</f>
        <v>MOBILECARE - FESTIVE WALK ILOILO</v>
      </c>
      <c r="D2989" s="2" t="str">
        <f>IFERROR(__xludf.DUMMYFUNCTION("""COMPUTED_VALUE"""),"PP661-23455")</f>
        <v>PP661-23455</v>
      </c>
      <c r="E2989" s="2" t="str">
        <f>IFERROR(__xludf.DUMMYFUNCTION("""COMPUTED_VALUE"""),"iPhone 13, Starlight, 128GB, Logic Board Assy Rear System, ROW")</f>
        <v>iPhone 13, Starlight, 128GB, Logic Board Assy Rear System, ROW</v>
      </c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>
      <c r="A2990" s="10" t="str">
        <f t="shared" si="1"/>
        <v>February</v>
      </c>
      <c r="B2990" s="11">
        <f>IFERROR(__xludf.DUMMYFUNCTION("""COMPUTED_VALUE"""),46081.0)</f>
        <v>46081</v>
      </c>
      <c r="C2990" s="2" t="str">
        <f>IFERROR(__xludf.DUMMYFUNCTION("""COMPUTED_VALUE"""),"MOBILECARE - FESTIVE WALK ILOILO")</f>
        <v>MOBILECARE - FESTIVE WALK ILOILO</v>
      </c>
      <c r="D2990" s="2" t="str">
        <f>IFERROR(__xludf.DUMMYFUNCTION("""COMPUTED_VALUE"""),"661-21991")</f>
        <v>661-21991</v>
      </c>
      <c r="E2990" s="2" t="str">
        <f>IFERROR(__xludf.DUMMYFUNCTION("""COMPUTED_VALUE"""),"Battery, iPhone 13")</f>
        <v>Battery, iPhone 13</v>
      </c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>
      <c r="A2991" s="10" t="str">
        <f t="shared" si="1"/>
        <v>February</v>
      </c>
      <c r="B2991" s="11">
        <f>IFERROR(__xludf.DUMMYFUNCTION("""COMPUTED_VALUE"""),46081.0)</f>
        <v>46081</v>
      </c>
      <c r="C2991" s="2" t="str">
        <f>IFERROR(__xludf.DUMMYFUNCTION("""COMPUTED_VALUE"""),"MOBILECARE - FESTIVE WALK ILOILO")</f>
        <v>MOBILECARE - FESTIVE WALK ILOILO</v>
      </c>
      <c r="D2991" s="2" t="str">
        <f>IFERROR(__xludf.DUMMYFUNCTION("""COMPUTED_VALUE"""),"PP661-28869")</f>
        <v>PP661-28869</v>
      </c>
      <c r="E2991" s="2" t="str">
        <f>IFERROR(__xludf.DUMMYFUNCTION("""COMPUTED_VALUE"""),"iPhone 14, Starlight, 128GB, Logic Board Assy Mid System, ROW")</f>
        <v>iPhone 14, Starlight, 128GB, Logic Board Assy Mid System, ROW</v>
      </c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>
      <c r="A2992" s="10" t="str">
        <f t="shared" si="1"/>
        <v>March</v>
      </c>
      <c r="B2992" s="11">
        <f>IFERROR(__xludf.DUMMYFUNCTION("""COMPUTED_VALUE"""),46097.0)</f>
        <v>46097</v>
      </c>
      <c r="C2992" s="2" t="str">
        <f>IFERROR(__xludf.DUMMYFUNCTION("""COMPUTED_VALUE"""),"MOBILECARE - FESTIVE WALK ILOILO")</f>
        <v>MOBILECARE - FESTIVE WALK ILOILO</v>
      </c>
      <c r="D2992" s="2" t="str">
        <f>IFERROR(__xludf.DUMMYFUNCTION("""COMPUTED_VALUE"""),"PP661-23455")</f>
        <v>PP661-23455</v>
      </c>
      <c r="E2992" s="2" t="str">
        <f>IFERROR(__xludf.DUMMYFUNCTION("""COMPUTED_VALUE"""),"iPhone 13, Starlight, 128GB, Logic Board Assy Rear System, ROW")</f>
        <v>iPhone 13, Starlight, 128GB, Logic Board Assy Rear System, ROW</v>
      </c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>
      <c r="A2993" s="10" t="str">
        <f t="shared" si="1"/>
        <v>March</v>
      </c>
      <c r="B2993" s="11">
        <f>IFERROR(__xludf.DUMMYFUNCTION("""COMPUTED_VALUE"""),46097.0)</f>
        <v>46097</v>
      </c>
      <c r="C2993" s="2" t="str">
        <f>IFERROR(__xludf.DUMMYFUNCTION("""COMPUTED_VALUE"""),"MOBILECARE - FESTIVE WALK ILOILO")</f>
        <v>MOBILECARE - FESTIVE WALK ILOILO</v>
      </c>
      <c r="D2993" s="2" t="str">
        <f>IFERROR(__xludf.DUMMYFUNCTION("""COMPUTED_VALUE"""),"PP661-23455")</f>
        <v>PP661-23455</v>
      </c>
      <c r="E2993" s="2" t="str">
        <f>IFERROR(__xludf.DUMMYFUNCTION("""COMPUTED_VALUE"""),"iPhone 13, Starlight, 128GB, Logic Board Assy Rear System, ROW")</f>
        <v>iPhone 13, Starlight, 128GB, Logic Board Assy Rear System, ROW</v>
      </c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>
      <c r="A2994" s="10" t="str">
        <f t="shared" si="1"/>
        <v>March</v>
      </c>
      <c r="B2994" s="11">
        <f>IFERROR(__xludf.DUMMYFUNCTION("""COMPUTED_VALUE"""),46088.0)</f>
        <v>46088</v>
      </c>
      <c r="C2994" s="2" t="str">
        <f>IFERROR(__xludf.DUMMYFUNCTION("""COMPUTED_VALUE"""),"MOBILECARE - FESTIVE WALK ILOILO")</f>
        <v>MOBILECARE - FESTIVE WALK ILOILO</v>
      </c>
      <c r="D2994" s="2" t="str">
        <f>IFERROR(__xludf.DUMMYFUNCTION("""COMPUTED_VALUE"""),"PP661-23455")</f>
        <v>PP661-23455</v>
      </c>
      <c r="E2994" s="2" t="str">
        <f>IFERROR(__xludf.DUMMYFUNCTION("""COMPUTED_VALUE"""),"iPhone 13, Starlight, 128GB, Logic Board Assy Rear System, ROW")</f>
        <v>iPhone 13, Starlight, 128GB, Logic Board Assy Rear System, ROW</v>
      </c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>
      <c r="A2995" s="10" t="str">
        <f t="shared" si="1"/>
        <v>March</v>
      </c>
      <c r="B2995" s="11">
        <f>IFERROR(__xludf.DUMMYFUNCTION("""COMPUTED_VALUE"""),46088.0)</f>
        <v>46088</v>
      </c>
      <c r="C2995" s="2" t="str">
        <f>IFERROR(__xludf.DUMMYFUNCTION("""COMPUTED_VALUE"""),"MOBILECARE - FESTIVE WALK ILOILO")</f>
        <v>MOBILECARE - FESTIVE WALK ILOILO</v>
      </c>
      <c r="D2995" s="2" t="str">
        <f>IFERROR(__xludf.DUMMYFUNCTION("""COMPUTED_VALUE"""),"PP661-23455")</f>
        <v>PP661-23455</v>
      </c>
      <c r="E2995" s="2" t="str">
        <f>IFERROR(__xludf.DUMMYFUNCTION("""COMPUTED_VALUE"""),"iPhone 13, Starlight, 128GB, Logic Board Assy Rear System, ROW")</f>
        <v>iPhone 13, Starlight, 128GB, Logic Board Assy Rear System, ROW</v>
      </c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>
      <c r="A2996" s="10" t="str">
        <f t="shared" si="1"/>
        <v>April</v>
      </c>
      <c r="B2996" s="11">
        <f>IFERROR(__xludf.DUMMYFUNCTION("""COMPUTED_VALUE"""),46139.0)</f>
        <v>46139</v>
      </c>
      <c r="C2996" s="2" t="str">
        <f>IFERROR(__xludf.DUMMYFUNCTION("""COMPUTED_VALUE"""),"MOBILECARE - FESTIVE WALK ILOILO")</f>
        <v>MOBILECARE - FESTIVE WALK ILOILO</v>
      </c>
      <c r="D2996" s="2" t="str">
        <f>IFERROR(__xludf.DUMMYFUNCTION("""COMPUTED_VALUE"""),"661-22294")</f>
        <v>661-22294</v>
      </c>
      <c r="E2996" s="2" t="str">
        <f>IFERROR(__xludf.DUMMYFUNCTION("""COMPUTED_VALUE"""),"Battery, iPhone 13 Pro Max")</f>
        <v>Battery, iPhone 13 Pro Max</v>
      </c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>
      <c r="A2997" s="10" t="str">
        <f t="shared" si="1"/>
        <v>April</v>
      </c>
      <c r="B2997" s="11">
        <f>IFERROR(__xludf.DUMMYFUNCTION("""COMPUTED_VALUE"""),46125.0)</f>
        <v>46125</v>
      </c>
      <c r="C2997" s="2" t="str">
        <f>IFERROR(__xludf.DUMMYFUNCTION("""COMPUTED_VALUE"""),"MOBILECARE - FESTIVE WALK ILOILO")</f>
        <v>MOBILECARE - FESTIVE WALK ILOILO</v>
      </c>
      <c r="D2997" s="2" t="str">
        <f>IFERROR(__xludf.DUMMYFUNCTION("""COMPUTED_VALUE"""),"661-21991")</f>
        <v>661-21991</v>
      </c>
      <c r="E2997" s="2" t="str">
        <f>IFERROR(__xludf.DUMMYFUNCTION("""COMPUTED_VALUE"""),"Battery, iPhone 13")</f>
        <v>Battery, iPhone 13</v>
      </c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>
      <c r="A2998" s="10" t="str">
        <f t="shared" si="1"/>
        <v>January</v>
      </c>
      <c r="B2998" s="11">
        <f>IFERROR(__xludf.DUMMYFUNCTION("""COMPUTED_VALUE"""),46051.0)</f>
        <v>46051</v>
      </c>
      <c r="C2998" s="2" t="str">
        <f>IFERROR(__xludf.DUMMYFUNCTION("""COMPUTED_VALUE"""),"MOBILECARE - FESTIVE WALK ILOILO")</f>
        <v>MOBILECARE - FESTIVE WALK ILOILO</v>
      </c>
      <c r="D2998" s="2" t="str">
        <f>IFERROR(__xludf.DUMMYFUNCTION("""COMPUTED_VALUE"""),"661-22309")</f>
        <v>661-22309</v>
      </c>
      <c r="E2998" s="2" t="str">
        <f>IFERROR(__xludf.DUMMYFUNCTION("""COMPUTED_VALUE"""),"Display, iPhone 13 Pro Max")</f>
        <v>Display, iPhone 13 Pro Max</v>
      </c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>
      <c r="A2999" s="10" t="str">
        <f t="shared" si="1"/>
        <v>February</v>
      </c>
      <c r="B2999" s="11">
        <f>IFERROR(__xludf.DUMMYFUNCTION("""COMPUTED_VALUE"""),46060.0)</f>
        <v>46060</v>
      </c>
      <c r="C2999" s="2" t="str">
        <f>IFERROR(__xludf.DUMMYFUNCTION("""COMPUTED_VALUE"""),"MOBILECARE - FESTIVE WALK ILOILO")</f>
        <v>MOBILECARE - FESTIVE WALK ILOILO</v>
      </c>
      <c r="D2999" s="2" t="str">
        <f>IFERROR(__xludf.DUMMYFUNCTION("""COMPUTED_VALUE"""),"661-30366")</f>
        <v>661-30366</v>
      </c>
      <c r="E2999" s="2" t="str">
        <f>IFERROR(__xludf.DUMMYFUNCTION("""COMPUTED_VALUE"""),"Display, iPhone 14")</f>
        <v>Display, iPhone 14</v>
      </c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>
      <c r="A3000" s="10" t="str">
        <f t="shared" si="1"/>
        <v>January</v>
      </c>
      <c r="B3000" s="11">
        <f>IFERROR(__xludf.DUMMYFUNCTION("""COMPUTED_VALUE"""),46052.0)</f>
        <v>46052</v>
      </c>
      <c r="C3000" s="2" t="str">
        <f>IFERROR(__xludf.DUMMYFUNCTION("""COMPUTED_VALUE"""),"MOBILECARE - FESTIVE WALK ILOILO")</f>
        <v>MOBILECARE - FESTIVE WALK ILOILO</v>
      </c>
      <c r="D3000" s="2" t="str">
        <f>IFERROR(__xludf.DUMMYFUNCTION("""COMPUTED_VALUE"""),"TA661-44995")</f>
        <v>TA661-44995</v>
      </c>
      <c r="E3000" s="2" t="str">
        <f>IFERROR(__xludf.DUMMYFUNCTION("""COMPUTED_VALUE"""),"128GB, Black Titanium, ROW, iPhone 16 Pro, Logic Board Assy Mid System")</f>
        <v>128GB, Black Titanium, ROW, iPhone 16 Pro, Logic Board Assy Mid System</v>
      </c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  <row r="3001">
      <c r="A3001" s="10" t="str">
        <f t="shared" si="1"/>
        <v>June</v>
      </c>
      <c r="B3001" s="11">
        <f>IFERROR(__xludf.DUMMYFUNCTION("""COMPUTED_VALUE"""),46183.0)</f>
        <v>46183</v>
      </c>
      <c r="C3001" s="2" t="str">
        <f>IFERROR(__xludf.DUMMYFUNCTION("""COMPUTED_VALUE"""),"MOBILECARE - FESTIVE WALK ILOILO")</f>
        <v>MOBILECARE - FESTIVE WALK ILOILO</v>
      </c>
      <c r="D3001" s="2" t="str">
        <f>IFERROR(__xludf.DUMMYFUNCTION("""COMPUTED_VALUE"""),"PP661-23454")</f>
        <v>PP661-23454</v>
      </c>
      <c r="E3001" s="2" t="str">
        <f>IFERROR(__xludf.DUMMYFUNCTION("""COMPUTED_VALUE"""),"iPhone 13, Midnight, 128GB, Logic Board Assy Rear System, ROW")</f>
        <v>iPhone 13, Midnight, 128GB, Logic Board Assy Rear System, ROW</v>
      </c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</row>
    <row r="3002">
      <c r="A3002" s="10" t="str">
        <f t="shared" si="1"/>
        <v>June</v>
      </c>
      <c r="B3002" s="11">
        <f>IFERROR(__xludf.DUMMYFUNCTION("""COMPUTED_VALUE"""),46183.0)</f>
        <v>46183</v>
      </c>
      <c r="C3002" s="2" t="str">
        <f>IFERROR(__xludf.DUMMYFUNCTION("""COMPUTED_VALUE"""),"MOBILECARE - FESTIVE WALK ILOILO")</f>
        <v>MOBILECARE - FESTIVE WALK ILOILO</v>
      </c>
      <c r="D3002" s="2" t="str">
        <f>IFERROR(__xludf.DUMMYFUNCTION("""COMPUTED_VALUE"""),"PP661-23454")</f>
        <v>PP661-23454</v>
      </c>
      <c r="E3002" s="2" t="str">
        <f>IFERROR(__xludf.DUMMYFUNCTION("""COMPUTED_VALUE"""),"iPhone 13, Midnight, 128GB, Logic Board Assy Rear System, ROW")</f>
        <v>iPhone 13, Midnight, 128GB, Logic Board Assy Rear System, ROW</v>
      </c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</row>
    <row r="3003">
      <c r="A3003" s="10" t="str">
        <f t="shared" si="1"/>
        <v>April</v>
      </c>
      <c r="B3003" s="11">
        <f>IFERROR(__xludf.DUMMYFUNCTION("""COMPUTED_VALUE"""),46142.0)</f>
        <v>46142</v>
      </c>
      <c r="C3003" s="2" t="str">
        <f>IFERROR(__xludf.DUMMYFUNCTION("""COMPUTED_VALUE"""),"MOBILECARE - FESTIVE WALK ILOILO")</f>
        <v>MOBILECARE - FESTIVE WALK ILOILO</v>
      </c>
      <c r="D3003" s="2" t="str">
        <f>IFERROR(__xludf.DUMMYFUNCTION("""COMPUTED_VALUE"""),"PP661-22980")</f>
        <v>PP661-22980</v>
      </c>
      <c r="E3003" s="2" t="str">
        <f>IFERROR(__xludf.DUMMYFUNCTION("""COMPUTED_VALUE"""),"Midnight, 128 GB, iPhone 13, ROW, CI/AR, Philippines")</f>
        <v>Midnight, 128 GB, iPhone 13, ROW, CI/AR, Philippines</v>
      </c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</row>
    <row r="3004">
      <c r="A3004" s="10" t="str">
        <f t="shared" si="1"/>
        <v>April</v>
      </c>
      <c r="B3004" s="11">
        <f>IFERROR(__xludf.DUMMYFUNCTION("""COMPUTED_VALUE"""),46129.0)</f>
        <v>46129</v>
      </c>
      <c r="C3004" s="2" t="str">
        <f>IFERROR(__xludf.DUMMYFUNCTION("""COMPUTED_VALUE"""),"MOBILECARE - FESTIVE WALK ILOILO")</f>
        <v>MOBILECARE - FESTIVE WALK ILOILO</v>
      </c>
      <c r="D3004" s="2" t="str">
        <f>IFERROR(__xludf.DUMMYFUNCTION("""COMPUTED_VALUE"""),"661-30366")</f>
        <v>661-30366</v>
      </c>
      <c r="E3004" s="2" t="str">
        <f>IFERROR(__xludf.DUMMYFUNCTION("""COMPUTED_VALUE"""),"Display, iPhone 14")</f>
        <v>Display, iPhone 14</v>
      </c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</row>
    <row r="3005">
      <c r="A3005" s="10" t="str">
        <f t="shared" si="1"/>
        <v>March</v>
      </c>
      <c r="B3005" s="11">
        <f>IFERROR(__xludf.DUMMYFUNCTION("""COMPUTED_VALUE"""),46108.0)</f>
        <v>46108</v>
      </c>
      <c r="C3005" s="2" t="str">
        <f>IFERROR(__xludf.DUMMYFUNCTION("""COMPUTED_VALUE"""),"MOBILECARE - FESTIVE WALK ILOILO")</f>
        <v>MOBILECARE - FESTIVE WALK ILOILO</v>
      </c>
      <c r="D3005" s="2" t="str">
        <f>IFERROR(__xludf.DUMMYFUNCTION("""COMPUTED_VALUE"""),"661-13574")</f>
        <v>661-13574</v>
      </c>
      <c r="E3005" s="2" t="str">
        <f>IFERROR(__xludf.DUMMYFUNCTION("""COMPUTED_VALUE"""),"Battery, iPhone 11")</f>
        <v>Battery, iPhone 11</v>
      </c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</row>
    <row r="3006">
      <c r="A3006" s="10" t="str">
        <f t="shared" si="1"/>
        <v>March</v>
      </c>
      <c r="B3006" s="11">
        <f>IFERROR(__xludf.DUMMYFUNCTION("""COMPUTED_VALUE"""),46103.0)</f>
        <v>46103</v>
      </c>
      <c r="C3006" s="2" t="str">
        <f>IFERROR(__xludf.DUMMYFUNCTION("""COMPUTED_VALUE"""),"MOBILECARE - FESTIVE WALK ILOILO")</f>
        <v>MOBILECARE - FESTIVE WALK ILOILO</v>
      </c>
      <c r="D3006" s="2" t="str">
        <f>IFERROR(__xludf.DUMMYFUNCTION("""COMPUTED_VALUE"""),"661-22309")</f>
        <v>661-22309</v>
      </c>
      <c r="E3006" s="2" t="str">
        <f>IFERROR(__xludf.DUMMYFUNCTION("""COMPUTED_VALUE"""),"Display, iPhone 13 Pro Max")</f>
        <v>Display, iPhone 13 Pro Max</v>
      </c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</row>
    <row r="3007">
      <c r="A3007" s="10" t="str">
        <f t="shared" si="1"/>
        <v>February</v>
      </c>
      <c r="B3007" s="11">
        <f>IFERROR(__xludf.DUMMYFUNCTION("""COMPUTED_VALUE"""),46070.0)</f>
        <v>46070</v>
      </c>
      <c r="C3007" s="2" t="str">
        <f>IFERROR(__xludf.DUMMYFUNCTION("""COMPUTED_VALUE"""),"MOBILECARE - FESTIVE WALK ILOILO")</f>
        <v>MOBILECARE - FESTIVE WALK ILOILO</v>
      </c>
      <c r="D3007" s="2" t="str">
        <f>IFERROR(__xludf.DUMMYFUNCTION("""COMPUTED_VALUE"""),"661-30366")</f>
        <v>661-30366</v>
      </c>
      <c r="E3007" s="2" t="str">
        <f>IFERROR(__xludf.DUMMYFUNCTION("""COMPUTED_VALUE"""),"Display, iPhone 14")</f>
        <v>Display, iPhone 14</v>
      </c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</row>
    <row r="3008">
      <c r="A3008" s="10" t="str">
        <f t="shared" si="1"/>
        <v>February</v>
      </c>
      <c r="B3008" s="11">
        <f>IFERROR(__xludf.DUMMYFUNCTION("""COMPUTED_VALUE"""),46073.0)</f>
        <v>46073</v>
      </c>
      <c r="C3008" s="2" t="str">
        <f>IFERROR(__xludf.DUMMYFUNCTION("""COMPUTED_VALUE"""),"MOBILECARE - FESTIVE WALK ILOILO")</f>
        <v>MOBILECARE - FESTIVE WALK ILOILO</v>
      </c>
      <c r="D3008" s="2" t="str">
        <f>IFERROR(__xludf.DUMMYFUNCTION("""COMPUTED_VALUE"""),"PP661-28621")</f>
        <v>PP661-28621</v>
      </c>
      <c r="E3008" s="2" t="str">
        <f>IFERROR(__xludf.DUMMYFUNCTION("""COMPUTED_VALUE"""),"Blue, iPhone 14, 256GB, ROW, CI/AR, Philippines")</f>
        <v>Blue, iPhone 14, 256GB, ROW, CI/AR, Philippines</v>
      </c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</row>
    <row r="3009">
      <c r="A3009" s="10" t="str">
        <f t="shared" si="1"/>
        <v>May</v>
      </c>
      <c r="B3009" s="11">
        <f>IFERROR(__xludf.DUMMYFUNCTION("""COMPUTED_VALUE"""),46164.0)</f>
        <v>46164</v>
      </c>
      <c r="C3009" s="2" t="str">
        <f>IFERROR(__xludf.DUMMYFUNCTION("""COMPUTED_VALUE"""),"MOBILECARE - FESTIVE WALK ILOILO")</f>
        <v>MOBILECARE - FESTIVE WALK ILOILO</v>
      </c>
      <c r="D3009" s="2" t="str">
        <f>IFERROR(__xludf.DUMMYFUNCTION("""COMPUTED_VALUE"""),"661-56052")</f>
        <v>661-56052</v>
      </c>
      <c r="E3009" s="2" t="str">
        <f>IFERROR(__xludf.DUMMYFUNCTION("""COMPUTED_VALUE"""),"Camera, iPhone 17 Pro Max")</f>
        <v>Camera, iPhone 17 Pro Max</v>
      </c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</row>
    <row r="3010">
      <c r="A3010" s="10" t="str">
        <f t="shared" si="1"/>
        <v>April</v>
      </c>
      <c r="B3010" s="11">
        <f>IFERROR(__xludf.DUMMYFUNCTION("""COMPUTED_VALUE"""),46132.0)</f>
        <v>46132</v>
      </c>
      <c r="C3010" s="2" t="str">
        <f>IFERROR(__xludf.DUMMYFUNCTION("""COMPUTED_VALUE"""),"MOBILECARE - FESTIVE WALK ILOILO")</f>
        <v>MOBILECARE - FESTIVE WALK ILOILO</v>
      </c>
      <c r="D3010" s="2" t="str">
        <f>IFERROR(__xludf.DUMMYFUNCTION("""COMPUTED_VALUE"""),"661-21991")</f>
        <v>661-21991</v>
      </c>
      <c r="E3010" s="2" t="str">
        <f>IFERROR(__xludf.DUMMYFUNCTION("""COMPUTED_VALUE"""),"Battery, iPhone 13")</f>
        <v>Battery, iPhone 13</v>
      </c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</row>
    <row r="3011">
      <c r="A3011" s="10" t="str">
        <f t="shared" si="1"/>
        <v>April</v>
      </c>
      <c r="B3011" s="11">
        <f>IFERROR(__xludf.DUMMYFUNCTION("""COMPUTED_VALUE"""),46124.0)</f>
        <v>46124</v>
      </c>
      <c r="C3011" s="2" t="str">
        <f>IFERROR(__xludf.DUMMYFUNCTION("""COMPUTED_VALUE"""),"MOBILECARE - FESTIVE WALK ILOILO")</f>
        <v>MOBILECARE - FESTIVE WALK ILOILO</v>
      </c>
      <c r="D3011" s="2" t="str">
        <f>IFERROR(__xludf.DUMMYFUNCTION("""COMPUTED_VALUE"""),"661-21991")</f>
        <v>661-21991</v>
      </c>
      <c r="E3011" s="2" t="str">
        <f>IFERROR(__xludf.DUMMYFUNCTION("""COMPUTED_VALUE"""),"Battery, iPhone 13")</f>
        <v>Battery, iPhone 13</v>
      </c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</row>
    <row r="3012">
      <c r="A3012" s="10" t="str">
        <f t="shared" si="1"/>
        <v>March</v>
      </c>
      <c r="B3012" s="11">
        <f>IFERROR(__xludf.DUMMYFUNCTION("""COMPUTED_VALUE"""),46110.0)</f>
        <v>46110</v>
      </c>
      <c r="C3012" s="2" t="str">
        <f>IFERROR(__xludf.DUMMYFUNCTION("""COMPUTED_VALUE"""),"MOBILECARE - FESTIVE WALK ILOILO")</f>
        <v>MOBILECARE - FESTIVE WALK ILOILO</v>
      </c>
      <c r="D3012" s="2" t="str">
        <f>IFERROR(__xludf.DUMMYFUNCTION("""COMPUTED_VALUE"""),"661-13574")</f>
        <v>661-13574</v>
      </c>
      <c r="E3012" s="2" t="str">
        <f>IFERROR(__xludf.DUMMYFUNCTION("""COMPUTED_VALUE"""),"Battery, iPhone 11")</f>
        <v>Battery, iPhone 11</v>
      </c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</row>
    <row r="3013">
      <c r="A3013" s="10" t="str">
        <f t="shared" si="1"/>
        <v>March</v>
      </c>
      <c r="B3013" s="11">
        <f>IFERROR(__xludf.DUMMYFUNCTION("""COMPUTED_VALUE"""),46106.0)</f>
        <v>46106</v>
      </c>
      <c r="C3013" s="2" t="str">
        <f>IFERROR(__xludf.DUMMYFUNCTION("""COMPUTED_VALUE"""),"MOBILECARE - FESTIVE WALK ILOILO")</f>
        <v>MOBILECARE - FESTIVE WALK ILOILO</v>
      </c>
      <c r="D3013" s="2" t="str">
        <f>IFERROR(__xludf.DUMMYFUNCTION("""COMPUTED_VALUE"""),"661-35694")</f>
        <v>661-35694</v>
      </c>
      <c r="E3013" s="2" t="str">
        <f>IFERROR(__xludf.DUMMYFUNCTION("""COMPUTED_VALUE"""),"Battery, iPhone 15 Pro")</f>
        <v>Battery, iPhone 15 Pro</v>
      </c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</row>
    <row r="3014">
      <c r="A3014" s="10" t="str">
        <f t="shared" si="1"/>
        <v>January</v>
      </c>
      <c r="B3014" s="11">
        <f>IFERROR(__xludf.DUMMYFUNCTION("""COMPUTED_VALUE"""),46050.0)</f>
        <v>46050</v>
      </c>
      <c r="C3014" s="2" t="str">
        <f>IFERROR(__xludf.DUMMYFUNCTION("""COMPUTED_VALUE"""),"MOBILECARE - FESTIVE WALK ILOILO")</f>
        <v>MOBILECARE - FESTIVE WALK ILOILO</v>
      </c>
      <c r="D3014" s="2" t="str">
        <f>IFERROR(__xludf.DUMMYFUNCTION("""COMPUTED_VALUE"""),"661-44957")</f>
        <v>661-44957</v>
      </c>
      <c r="E3014" s="2" t="str">
        <f>IFERROR(__xludf.DUMMYFUNCTION("""COMPUTED_VALUE"""),"Camera, iPhone 16 Pro Max")</f>
        <v>Camera, iPhone 16 Pro Max</v>
      </c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</row>
    <row r="3015">
      <c r="A3015" s="10" t="str">
        <f t="shared" si="1"/>
        <v>June</v>
      </c>
      <c r="B3015" s="11">
        <f>IFERROR(__xludf.DUMMYFUNCTION("""COMPUTED_VALUE"""),46192.0)</f>
        <v>46192</v>
      </c>
      <c r="C3015" s="2" t="str">
        <f>IFERROR(__xludf.DUMMYFUNCTION("""COMPUTED_VALUE"""),"MOBILECARE - FESTIVE WALK ILOILO")</f>
        <v>MOBILECARE - FESTIVE WALK ILOILO</v>
      </c>
      <c r="D3015" s="2" t="str">
        <f>IFERROR(__xludf.DUMMYFUNCTION("""COMPUTED_VALUE"""),"PP661-23455")</f>
        <v>PP661-23455</v>
      </c>
      <c r="E3015" s="2" t="str">
        <f>IFERROR(__xludf.DUMMYFUNCTION("""COMPUTED_VALUE"""),"iPhone 13, Starlight, 128GB, Logic Board Assy Rear System, ROW")</f>
        <v>iPhone 13, Starlight, 128GB, Logic Board Assy Rear System, ROW</v>
      </c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</row>
    <row r="3016">
      <c r="A3016" s="10" t="str">
        <f t="shared" si="1"/>
        <v>May</v>
      </c>
      <c r="B3016" s="11">
        <f>IFERROR(__xludf.DUMMYFUNCTION("""COMPUTED_VALUE"""),46161.0)</f>
        <v>46161</v>
      </c>
      <c r="C3016" s="2" t="str">
        <f>IFERROR(__xludf.DUMMYFUNCTION("""COMPUTED_VALUE"""),"MOBILECARE - FESTIVE WALK ILOILO")</f>
        <v>MOBILECARE - FESTIVE WALK ILOILO</v>
      </c>
      <c r="D3016" s="2" t="str">
        <f>IFERROR(__xludf.DUMMYFUNCTION("""COMPUTED_VALUE"""),"661-56125")</f>
        <v>661-56125</v>
      </c>
      <c r="E3016" s="2" t="str">
        <f>IFERROR(__xludf.DUMMYFUNCTION("""COMPUTED_VALUE"""),"Display, iPhone 17 Pro")</f>
        <v>Display, iPhone 17 Pro</v>
      </c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</row>
    <row r="3017">
      <c r="A3017" s="10" t="str">
        <f t="shared" si="1"/>
        <v>April</v>
      </c>
      <c r="B3017" s="11">
        <f>IFERROR(__xludf.DUMMYFUNCTION("""COMPUTED_VALUE"""),46132.0)</f>
        <v>46132</v>
      </c>
      <c r="C3017" s="2" t="str">
        <f>IFERROR(__xludf.DUMMYFUNCTION("""COMPUTED_VALUE"""),"MOBILECARE - FESTIVE WALK ILOILO")</f>
        <v>MOBILECARE - FESTIVE WALK ILOILO</v>
      </c>
      <c r="D3017" s="2" t="str">
        <f>IFERROR(__xludf.DUMMYFUNCTION("""COMPUTED_VALUE"""),"661-37213")</f>
        <v>661-37213</v>
      </c>
      <c r="E3017" s="2" t="str">
        <f>IFERROR(__xludf.DUMMYFUNCTION("""COMPUTED_VALUE"""),"Display, iPhone 15 Plus")</f>
        <v>Display, iPhone 15 Plus</v>
      </c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</row>
    <row r="3018">
      <c r="A3018" s="10" t="str">
        <f t="shared" si="1"/>
        <v>April</v>
      </c>
      <c r="B3018" s="11">
        <f>IFERROR(__xludf.DUMMYFUNCTION("""COMPUTED_VALUE"""),46113.0)</f>
        <v>46113</v>
      </c>
      <c r="C3018" s="2" t="str">
        <f>IFERROR(__xludf.DUMMYFUNCTION("""COMPUTED_VALUE"""),"MOBILECARE - FESTIVE WALK ILOILO")</f>
        <v>MOBILECARE - FESTIVE WALK ILOILO</v>
      </c>
      <c r="D3018" s="2" t="str">
        <f>IFERROR(__xludf.DUMMYFUNCTION("""COMPUTED_VALUE"""),"PP661-23454")</f>
        <v>PP661-23454</v>
      </c>
      <c r="E3018" s="2" t="str">
        <f>IFERROR(__xludf.DUMMYFUNCTION("""COMPUTED_VALUE"""),"iPhone 13, Midnight, 128GB, Logic Board Assy Rear System, ROW")</f>
        <v>iPhone 13, Midnight, 128GB, Logic Board Assy Rear System, ROW</v>
      </c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</row>
    <row r="3019">
      <c r="A3019" s="10" t="str">
        <f t="shared" si="1"/>
        <v>March</v>
      </c>
      <c r="B3019" s="11">
        <f>IFERROR(__xludf.DUMMYFUNCTION("""COMPUTED_VALUE"""),46109.0)</f>
        <v>46109</v>
      </c>
      <c r="C3019" s="2" t="str">
        <f>IFERROR(__xludf.DUMMYFUNCTION("""COMPUTED_VALUE"""),"MOBILECARE - FESTIVE WALK ILOILO")</f>
        <v>MOBILECARE - FESTIVE WALK ILOILO</v>
      </c>
      <c r="D3019" s="2" t="str">
        <f>IFERROR(__xludf.DUMMYFUNCTION("""COMPUTED_VALUE"""),"PP661-28614")</f>
        <v>PP661-28614</v>
      </c>
      <c r="E3019" s="2" t="str">
        <f>IFERROR(__xludf.DUMMYFUNCTION("""COMPUTED_VALUE"""),"Starlight, iPhone 14, 128GB, ROW, CI/AR, Philippines")</f>
        <v>Starlight, iPhone 14, 128GB, ROW, CI/AR, Philippines</v>
      </c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</row>
    <row r="3020">
      <c r="A3020" s="10" t="str">
        <f t="shared" si="1"/>
        <v>February</v>
      </c>
      <c r="B3020" s="11">
        <f>IFERROR(__xludf.DUMMYFUNCTION("""COMPUTED_VALUE"""),46067.0)</f>
        <v>46067</v>
      </c>
      <c r="C3020" s="2" t="str">
        <f>IFERROR(__xludf.DUMMYFUNCTION("""COMPUTED_VALUE"""),"MOBILECARE - FESTIVE WALK ILOILO")</f>
        <v>MOBILECARE - FESTIVE WALK ILOILO</v>
      </c>
      <c r="D3020" s="2" t="str">
        <f>IFERROR(__xludf.DUMMYFUNCTION("""COMPUTED_VALUE"""),"TA661-43605")</f>
        <v>TA661-43605</v>
      </c>
      <c r="E3020" s="2" t="str">
        <f>IFERROR(__xludf.DUMMYFUNCTION("""COMPUTED_VALUE"""),"128GB, Black, ROW, iPhone 16, Logic Board Assy Mid System")</f>
        <v>128GB, Black, ROW, iPhone 16, Logic Board Assy Mid System</v>
      </c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</row>
    <row r="3021">
      <c r="A3021" s="10" t="str">
        <f t="shared" si="1"/>
        <v>June</v>
      </c>
      <c r="B3021" s="11">
        <f>IFERROR(__xludf.DUMMYFUNCTION("""COMPUTED_VALUE"""),46184.0)</f>
        <v>46184</v>
      </c>
      <c r="C3021" s="2" t="str">
        <f>IFERROR(__xludf.DUMMYFUNCTION("""COMPUTED_VALUE"""),"MOBILECARE - FESTIVE WALK ILOILO")</f>
        <v>MOBILECARE - FESTIVE WALK ILOILO</v>
      </c>
      <c r="D3021" s="2" t="str">
        <f>IFERROR(__xludf.DUMMYFUNCTION("""COMPUTED_VALUE"""),"661-21991")</f>
        <v>661-21991</v>
      </c>
      <c r="E3021" s="2" t="str">
        <f>IFERROR(__xludf.DUMMYFUNCTION("""COMPUTED_VALUE"""),"Battery, iPhone 13")</f>
        <v>Battery, iPhone 13</v>
      </c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</row>
    <row r="3022">
      <c r="A3022" s="10" t="str">
        <f t="shared" si="1"/>
        <v>June</v>
      </c>
      <c r="B3022" s="11">
        <f>IFERROR(__xludf.DUMMYFUNCTION("""COMPUTED_VALUE"""),46180.0)</f>
        <v>46180</v>
      </c>
      <c r="C3022" s="2" t="str">
        <f>IFERROR(__xludf.DUMMYFUNCTION("""COMPUTED_VALUE"""),"MOBILECARE - FESTIVE WALK ILOILO")</f>
        <v>MOBILECARE - FESTIVE WALK ILOILO</v>
      </c>
      <c r="D3022" s="2" t="str">
        <f>IFERROR(__xludf.DUMMYFUNCTION("""COMPUTED_VALUE"""),"PP661-28868")</f>
        <v>PP661-28868</v>
      </c>
      <c r="E3022" s="2" t="str">
        <f>IFERROR(__xludf.DUMMYFUNCTION("""COMPUTED_VALUE"""),"iPhone 14, Midnight, 128GB, Logic Board Assy Mid System, ROW")</f>
        <v>iPhone 14, Midnight, 128GB, Logic Board Assy Mid System, ROW</v>
      </c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</row>
    <row r="3023">
      <c r="A3023" s="10" t="str">
        <f t="shared" si="1"/>
        <v>May</v>
      </c>
      <c r="B3023" s="11">
        <f>IFERROR(__xludf.DUMMYFUNCTION("""COMPUTED_VALUE"""),46154.0)</f>
        <v>46154</v>
      </c>
      <c r="C3023" s="2" t="str">
        <f>IFERROR(__xludf.DUMMYFUNCTION("""COMPUTED_VALUE"""),"MOBILECARE - FESTIVE WALK ILOILO")</f>
        <v>MOBILECARE - FESTIVE WALK ILOILO</v>
      </c>
      <c r="D3023" s="2" t="str">
        <f>IFERROR(__xludf.DUMMYFUNCTION("""COMPUTED_VALUE"""),"PP661-23455")</f>
        <v>PP661-23455</v>
      </c>
      <c r="E3023" s="2" t="str">
        <f>IFERROR(__xludf.DUMMYFUNCTION("""COMPUTED_VALUE"""),"iPhone 13, Starlight, 128GB, Logic Board Assy Rear System, ROW")</f>
        <v>iPhone 13, Starlight, 128GB, Logic Board Assy Rear System, ROW</v>
      </c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</row>
    <row r="3024">
      <c r="A3024" s="10" t="str">
        <f t="shared" si="1"/>
        <v>April</v>
      </c>
      <c r="B3024" s="11">
        <f>IFERROR(__xludf.DUMMYFUNCTION("""COMPUTED_VALUE"""),46129.0)</f>
        <v>46129</v>
      </c>
      <c r="C3024" s="2" t="str">
        <f>IFERROR(__xludf.DUMMYFUNCTION("""COMPUTED_VALUE"""),"MOBILECARE - FESTIVE WALK ILOILO")</f>
        <v>MOBILECARE - FESTIVE WALK ILOILO</v>
      </c>
      <c r="D3024" s="2" t="str">
        <f>IFERROR(__xludf.DUMMYFUNCTION("""COMPUTED_VALUE"""),"661-21988")</f>
        <v>661-21988</v>
      </c>
      <c r="E3024" s="2" t="str">
        <f>IFERROR(__xludf.DUMMYFUNCTION("""COMPUTED_VALUE"""),"Display, iPhone 13")</f>
        <v>Display, iPhone 13</v>
      </c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</row>
    <row r="3025">
      <c r="A3025" s="10" t="str">
        <f t="shared" si="1"/>
        <v>May</v>
      </c>
      <c r="B3025" s="11">
        <f>IFERROR(__xludf.DUMMYFUNCTION("""COMPUTED_VALUE"""),46144.0)</f>
        <v>46144</v>
      </c>
      <c r="C3025" s="2" t="str">
        <f>IFERROR(__xludf.DUMMYFUNCTION("""COMPUTED_VALUE"""),"MOBILECARE - FESTIVE WALK ILOILO")</f>
        <v>MOBILECARE - FESTIVE WALK ILOILO</v>
      </c>
      <c r="D3025" s="2" t="str">
        <f>IFERROR(__xludf.DUMMYFUNCTION("""COMPUTED_VALUE"""),"PP661-23455")</f>
        <v>PP661-23455</v>
      </c>
      <c r="E3025" s="2" t="str">
        <f>IFERROR(__xludf.DUMMYFUNCTION("""COMPUTED_VALUE"""),"iPhone 13, Starlight, 128GB, Logic Board Assy Rear System, ROW")</f>
        <v>iPhone 13, Starlight, 128GB, Logic Board Assy Rear System, ROW</v>
      </c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</row>
    <row r="3026">
      <c r="A3026" s="10" t="str">
        <f t="shared" si="1"/>
        <v>April</v>
      </c>
      <c r="B3026" s="11">
        <f>IFERROR(__xludf.DUMMYFUNCTION("""COMPUTED_VALUE"""),46120.0)</f>
        <v>46120</v>
      </c>
      <c r="C3026" s="2" t="str">
        <f>IFERROR(__xludf.DUMMYFUNCTION("""COMPUTED_VALUE"""),"MOBILECARE - FESTIVE WALK ILOILO")</f>
        <v>MOBILECARE - FESTIVE WALK ILOILO</v>
      </c>
      <c r="D3026" s="2" t="str">
        <f>IFERROR(__xludf.DUMMYFUNCTION("""COMPUTED_VALUE"""),"661-21991")</f>
        <v>661-21991</v>
      </c>
      <c r="E3026" s="2" t="str">
        <f>IFERROR(__xludf.DUMMYFUNCTION("""COMPUTED_VALUE"""),"Battery, iPhone 13")</f>
        <v>Battery, iPhone 13</v>
      </c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</row>
    <row r="3027">
      <c r="A3027" s="10" t="str">
        <f t="shared" si="1"/>
        <v>April</v>
      </c>
      <c r="B3027" s="11">
        <f>IFERROR(__xludf.DUMMYFUNCTION("""COMPUTED_VALUE"""),46117.0)</f>
        <v>46117</v>
      </c>
      <c r="C3027" s="2" t="str">
        <f>IFERROR(__xludf.DUMMYFUNCTION("""COMPUTED_VALUE"""),"MOBILECARE - FESTIVE WALK ILOILO")</f>
        <v>MOBILECARE - FESTIVE WALK ILOILO</v>
      </c>
      <c r="D3027" s="2" t="str">
        <f>IFERROR(__xludf.DUMMYFUNCTION("""COMPUTED_VALUE"""),"Z661-56015")</f>
        <v>Z661-56015</v>
      </c>
      <c r="E3027" s="2" t="str">
        <f>IFERROR(__xludf.DUMMYFUNCTION("""COMPUTED_VALUE"""),"Logic Board, 256GB, iPhone 17, ROW")</f>
        <v>Logic Board, 256GB, iPhone 17, ROW</v>
      </c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</row>
    <row r="3028">
      <c r="A3028" s="10" t="str">
        <f t="shared" si="1"/>
        <v>March</v>
      </c>
      <c r="B3028" s="11">
        <f>IFERROR(__xludf.DUMMYFUNCTION("""COMPUTED_VALUE"""),46087.0)</f>
        <v>46087</v>
      </c>
      <c r="C3028" s="2" t="str">
        <f>IFERROR(__xludf.DUMMYFUNCTION("""COMPUTED_VALUE"""),"MOBILECARE - FESTIVE WALK ILOILO")</f>
        <v>MOBILECARE - FESTIVE WALK ILOILO</v>
      </c>
      <c r="D3028" s="2" t="str">
        <f>IFERROR(__xludf.DUMMYFUNCTION("""COMPUTED_VALUE"""),"661-56050")</f>
        <v>661-56050</v>
      </c>
      <c r="E3028" s="2" t="str">
        <f>IFERROR(__xludf.DUMMYFUNCTION("""COMPUTED_VALUE"""),"Display, iPhone 17 Pro Max")</f>
        <v>Display, iPhone 17 Pro Max</v>
      </c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</row>
    <row r="3029">
      <c r="A3029" s="10" t="str">
        <f t="shared" si="1"/>
        <v>February</v>
      </c>
      <c r="B3029" s="11">
        <f>IFERROR(__xludf.DUMMYFUNCTION("""COMPUTED_VALUE"""),46080.0)</f>
        <v>46080</v>
      </c>
      <c r="C3029" s="2" t="str">
        <f>IFERROR(__xludf.DUMMYFUNCTION("""COMPUTED_VALUE"""),"MOBILECARE - FESTIVE WALK ILOILO")</f>
        <v>MOBILECARE - FESTIVE WALK ILOILO</v>
      </c>
      <c r="D3029" s="2" t="str">
        <f>IFERROR(__xludf.DUMMYFUNCTION("""COMPUTED_VALUE"""),"PP661-23455")</f>
        <v>PP661-23455</v>
      </c>
      <c r="E3029" s="2" t="str">
        <f>IFERROR(__xludf.DUMMYFUNCTION("""COMPUTED_VALUE"""),"iPhone 13, Starlight, 128GB, Logic Board Assy Rear System, ROW")</f>
        <v>iPhone 13, Starlight, 128GB, Logic Board Assy Rear System, ROW</v>
      </c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</row>
    <row r="3030">
      <c r="A3030" s="10" t="str">
        <f t="shared" si="1"/>
        <v>February</v>
      </c>
      <c r="B3030" s="11">
        <f>IFERROR(__xludf.DUMMYFUNCTION("""COMPUTED_VALUE"""),46067.0)</f>
        <v>46067</v>
      </c>
      <c r="C3030" s="2" t="str">
        <f>IFERROR(__xludf.DUMMYFUNCTION("""COMPUTED_VALUE"""),"MOBILECARE - FESTIVE WALK ILOILO")</f>
        <v>MOBILECARE - FESTIVE WALK ILOILO</v>
      </c>
      <c r="D3030" s="2" t="str">
        <f>IFERROR(__xludf.DUMMYFUNCTION("""COMPUTED_VALUE"""),"661-42726")</f>
        <v>661-42726</v>
      </c>
      <c r="E3030" s="2" t="str">
        <f>IFERROR(__xludf.DUMMYFUNCTION("""COMPUTED_VALUE"""),"Display, iPhone 16 Pro")</f>
        <v>Display, iPhone 16 Pro</v>
      </c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</row>
    <row r="3031">
      <c r="A3031" s="10" t="str">
        <f t="shared" si="1"/>
        <v>January</v>
      </c>
      <c r="B3031" s="11">
        <f>IFERROR(__xludf.DUMMYFUNCTION("""COMPUTED_VALUE"""),46039.0)</f>
        <v>46039</v>
      </c>
      <c r="C3031" s="2" t="str">
        <f>IFERROR(__xludf.DUMMYFUNCTION("""COMPUTED_VALUE"""),"MOBILECARE - FESTIVE WALK ILOILO")</f>
        <v>MOBILECARE - FESTIVE WALK ILOILO</v>
      </c>
      <c r="D3031" s="2" t="str">
        <f>IFERROR(__xludf.DUMMYFUNCTION("""COMPUTED_VALUE"""),"661-30366")</f>
        <v>661-30366</v>
      </c>
      <c r="E3031" s="2" t="str">
        <f>IFERROR(__xludf.DUMMYFUNCTION("""COMPUTED_VALUE"""),"Display, iPhone 14")</f>
        <v>Display, iPhone 14</v>
      </c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</row>
    <row r="3032">
      <c r="A3032" s="10" t="str">
        <f t="shared" si="1"/>
        <v>May</v>
      </c>
      <c r="B3032" s="11">
        <f>IFERROR(__xludf.DUMMYFUNCTION("""COMPUTED_VALUE"""),46172.0)</f>
        <v>46172</v>
      </c>
      <c r="C3032" s="2" t="str">
        <f>IFERROR(__xludf.DUMMYFUNCTION("""COMPUTED_VALUE"""),"MOBILECARE - FESTIVE WALK ILOILO")</f>
        <v>MOBILECARE - FESTIVE WALK ILOILO</v>
      </c>
      <c r="D3032" s="2" t="str">
        <f>IFERROR(__xludf.DUMMYFUNCTION("""COMPUTED_VALUE"""),"661-35694")</f>
        <v>661-35694</v>
      </c>
      <c r="E3032" s="2" t="str">
        <f>IFERROR(__xludf.DUMMYFUNCTION("""COMPUTED_VALUE"""),"Battery, iPhone 15 Pro")</f>
        <v>Battery, iPhone 15 Pro</v>
      </c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</row>
    <row r="3033">
      <c r="A3033" s="10" t="str">
        <f t="shared" si="1"/>
        <v>June</v>
      </c>
      <c r="B3033" s="11">
        <f>IFERROR(__xludf.DUMMYFUNCTION("""COMPUTED_VALUE"""),46183.0)</f>
        <v>46183</v>
      </c>
      <c r="C3033" s="2" t="str">
        <f>IFERROR(__xludf.DUMMYFUNCTION("""COMPUTED_VALUE"""),"MOBILECARE - FESTIVE WALK ILOILO")</f>
        <v>MOBILECARE - FESTIVE WALK ILOILO</v>
      </c>
      <c r="D3033" s="2" t="str">
        <f>IFERROR(__xludf.DUMMYFUNCTION("""COMPUTED_VALUE"""),"TA661-43609")</f>
        <v>TA661-43609</v>
      </c>
      <c r="E3033" s="2" t="str">
        <f>IFERROR(__xludf.DUMMYFUNCTION("""COMPUTED_VALUE"""),"128GB, Teal, ROW, iPhone 16, Logic Board Assy Mid System")</f>
        <v>128GB, Teal, ROW, iPhone 16, Logic Board Assy Mid System</v>
      </c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</row>
    <row r="3034">
      <c r="A3034" s="10" t="str">
        <f t="shared" si="1"/>
        <v>May</v>
      </c>
      <c r="B3034" s="11">
        <f>IFERROR(__xludf.DUMMYFUNCTION("""COMPUTED_VALUE"""),46155.0)</f>
        <v>46155</v>
      </c>
      <c r="C3034" s="2" t="str">
        <f>IFERROR(__xludf.DUMMYFUNCTION("""COMPUTED_VALUE"""),"MOBILECARE - FESTIVE WALK ILOILO")</f>
        <v>MOBILECARE - FESTIVE WALK ILOILO</v>
      </c>
      <c r="D3034" s="2" t="str">
        <f>IFERROR(__xludf.DUMMYFUNCTION("""COMPUTED_VALUE"""),"661-35828")</f>
        <v>661-35828</v>
      </c>
      <c r="E3034" s="2" t="str">
        <f>IFERROR(__xludf.DUMMYFUNCTION("""COMPUTED_VALUE"""),"Camera, iPhone 15")</f>
        <v>Camera, iPhone 15</v>
      </c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</row>
    <row r="3035">
      <c r="A3035" s="10" t="str">
        <f t="shared" si="1"/>
        <v>May</v>
      </c>
      <c r="B3035" s="11">
        <f>IFERROR(__xludf.DUMMYFUNCTION("""COMPUTED_VALUE"""),46155.0)</f>
        <v>46155</v>
      </c>
      <c r="C3035" s="2" t="str">
        <f>IFERROR(__xludf.DUMMYFUNCTION("""COMPUTED_VALUE"""),"MOBILECARE - FESTIVE WALK ILOILO")</f>
        <v>MOBILECARE - FESTIVE WALK ILOILO</v>
      </c>
      <c r="D3035" s="2" t="str">
        <f>IFERROR(__xludf.DUMMYFUNCTION("""COMPUTED_VALUE"""),"TA661-36694")</f>
        <v>TA661-36694</v>
      </c>
      <c r="E3035" s="2" t="str">
        <f>IFERROR(__xludf.DUMMYFUNCTION("""COMPUTED_VALUE"""),"iPhone 15, Blue, 128GB, Logic Board Assy Mid System, ROW")</f>
        <v>iPhone 15, Blue, 128GB, Logic Board Assy Mid System, ROW</v>
      </c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</row>
    <row r="3036">
      <c r="A3036" s="10" t="str">
        <f t="shared" si="1"/>
        <v>April</v>
      </c>
      <c r="B3036" s="11">
        <f>IFERROR(__xludf.DUMMYFUNCTION("""COMPUTED_VALUE"""),46136.0)</f>
        <v>46136</v>
      </c>
      <c r="C3036" s="2" t="str">
        <f>IFERROR(__xludf.DUMMYFUNCTION("""COMPUTED_VALUE"""),"MOBILECARE - FESTIVE WALK ILOILO")</f>
        <v>MOBILECARE - FESTIVE WALK ILOILO</v>
      </c>
      <c r="D3036" s="2" t="str">
        <f>IFERROR(__xludf.DUMMYFUNCTION("""COMPUTED_VALUE"""),"TA661-36691")</f>
        <v>TA661-36691</v>
      </c>
      <c r="E3036" s="2" t="str">
        <f>IFERROR(__xludf.DUMMYFUNCTION("""COMPUTED_VALUE"""),"iPhone 15, Black, 128GB, Logic Board Assy Mid System, ROW")</f>
        <v>iPhone 15, Black, 128GB, Logic Board Assy Mid System, ROW</v>
      </c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</row>
    <row r="3037">
      <c r="A3037" s="10" t="str">
        <f t="shared" si="1"/>
        <v>April</v>
      </c>
      <c r="B3037" s="11">
        <f>IFERROR(__xludf.DUMMYFUNCTION("""COMPUTED_VALUE"""),46136.0)</f>
        <v>46136</v>
      </c>
      <c r="C3037" s="2" t="str">
        <f>IFERROR(__xludf.DUMMYFUNCTION("""COMPUTED_VALUE"""),"MOBILECARE - FESTIVE WALK ILOILO")</f>
        <v>MOBILECARE - FESTIVE WALK ILOILO</v>
      </c>
      <c r="D3037" s="2" t="str">
        <f>IFERROR(__xludf.DUMMYFUNCTION("""COMPUTED_VALUE"""),"TA661-36691")</f>
        <v>TA661-36691</v>
      </c>
      <c r="E3037" s="2" t="str">
        <f>IFERROR(__xludf.DUMMYFUNCTION("""COMPUTED_VALUE"""),"iPhone 15, Black, 128GB, Logic Board Assy Mid System, ROW")</f>
        <v>iPhone 15, Black, 128GB, Logic Board Assy Mid System, ROW</v>
      </c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</row>
    <row r="3038">
      <c r="A3038" s="10" t="str">
        <f t="shared" si="1"/>
        <v>March</v>
      </c>
      <c r="B3038" s="11">
        <f>IFERROR(__xludf.DUMMYFUNCTION("""COMPUTED_VALUE"""),46098.0)</f>
        <v>46098</v>
      </c>
      <c r="C3038" s="2" t="str">
        <f>IFERROR(__xludf.DUMMYFUNCTION("""COMPUTED_VALUE"""),"MOBILECARE - FESTIVE WALK ILOILO")</f>
        <v>MOBILECARE - FESTIVE WALK ILOILO</v>
      </c>
      <c r="D3038" s="2" t="str">
        <f>IFERROR(__xludf.DUMMYFUNCTION("""COMPUTED_VALUE"""),"PP661-22981")</f>
        <v>PP661-22981</v>
      </c>
      <c r="E3038" s="2" t="str">
        <f>IFERROR(__xludf.DUMMYFUNCTION("""COMPUTED_VALUE"""),"Starlight, 128 GB, iPhone 13, ROW, CI/AR, Philippines")</f>
        <v>Starlight, 128 GB, iPhone 13, ROW, CI/AR, Philippines</v>
      </c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</row>
    <row r="3039">
      <c r="A3039" s="10" t="str">
        <f t="shared" si="1"/>
        <v>February</v>
      </c>
      <c r="B3039" s="11">
        <f>IFERROR(__xludf.DUMMYFUNCTION("""COMPUTED_VALUE"""),46077.0)</f>
        <v>46077</v>
      </c>
      <c r="C3039" s="2" t="str">
        <f>IFERROR(__xludf.DUMMYFUNCTION("""COMPUTED_VALUE"""),"MOBILECARE - FESTIVE WALK ILOILO")</f>
        <v>MOBILECARE - FESTIVE WALK ILOILO</v>
      </c>
      <c r="D3039" s="2" t="str">
        <f>IFERROR(__xludf.DUMMYFUNCTION("""COMPUTED_VALUE"""),"661-21988")</f>
        <v>661-21988</v>
      </c>
      <c r="E3039" s="2" t="str">
        <f>IFERROR(__xludf.DUMMYFUNCTION("""COMPUTED_VALUE"""),"Display, iPhone 13")</f>
        <v>Display, iPhone 13</v>
      </c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</row>
    <row r="3040">
      <c r="A3040" s="10" t="str">
        <f t="shared" si="1"/>
        <v>February</v>
      </c>
      <c r="B3040" s="11">
        <f>IFERROR(__xludf.DUMMYFUNCTION("""COMPUTED_VALUE"""),46081.0)</f>
        <v>46081</v>
      </c>
      <c r="C3040" s="2" t="str">
        <f>IFERROR(__xludf.DUMMYFUNCTION("""COMPUTED_VALUE"""),"MOBILECARE - FESTIVE WALK ILOILO")</f>
        <v>MOBILECARE - FESTIVE WALK ILOILO</v>
      </c>
      <c r="D3040" s="2" t="str">
        <f>IFERROR(__xludf.DUMMYFUNCTION("""COMPUTED_VALUE"""),"PP661-23455")</f>
        <v>PP661-23455</v>
      </c>
      <c r="E3040" s="2" t="str">
        <f>IFERROR(__xludf.DUMMYFUNCTION("""COMPUTED_VALUE"""),"iPhone 13, Starlight, 128GB, Logic Board Assy Rear System, ROW")</f>
        <v>iPhone 13, Starlight, 128GB, Logic Board Assy Rear System, ROW</v>
      </c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</row>
    <row r="3041">
      <c r="A3041" s="10" t="str">
        <f t="shared" si="1"/>
        <v>February</v>
      </c>
      <c r="B3041" s="11">
        <f>IFERROR(__xludf.DUMMYFUNCTION("""COMPUTED_VALUE"""),46060.0)</f>
        <v>46060</v>
      </c>
      <c r="C3041" s="2" t="str">
        <f>IFERROR(__xludf.DUMMYFUNCTION("""COMPUTED_VALUE"""),"MOBILECARE - FESTIVE WALK ILOILO")</f>
        <v>MOBILECARE - FESTIVE WALK ILOILO</v>
      </c>
      <c r="D3041" s="2" t="str">
        <f>IFERROR(__xludf.DUMMYFUNCTION("""COMPUTED_VALUE"""),"Z661-56015")</f>
        <v>Z661-56015</v>
      </c>
      <c r="E3041" s="2" t="str">
        <f>IFERROR(__xludf.DUMMYFUNCTION("""COMPUTED_VALUE"""),"Logic Board, 256GB, iPhone 17, ROW")</f>
        <v>Logic Board, 256GB, iPhone 17, ROW</v>
      </c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</row>
    <row r="3042">
      <c r="A3042" s="10" t="str">
        <f t="shared" si="1"/>
        <v>February</v>
      </c>
      <c r="B3042" s="11">
        <f>IFERROR(__xludf.DUMMYFUNCTION("""COMPUTED_VALUE"""),46060.0)</f>
        <v>46060</v>
      </c>
      <c r="C3042" s="2" t="str">
        <f>IFERROR(__xludf.DUMMYFUNCTION("""COMPUTED_VALUE"""),"MOBILECARE - FESTIVE WALK ILOILO")</f>
        <v>MOBILECARE - FESTIVE WALK ILOILO</v>
      </c>
      <c r="D3042" s="2" t="str">
        <f>IFERROR(__xludf.DUMMYFUNCTION("""COMPUTED_VALUE"""),"923-13601")</f>
        <v>923-13601</v>
      </c>
      <c r="E3042" s="2" t="str">
        <f>IFERROR(__xludf.DUMMYFUNCTION("""COMPUTED_VALUE"""),"Taptic Engine, iPhone 17")</f>
        <v>Taptic Engine, iPhone 17</v>
      </c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</row>
    <row r="3043">
      <c r="A3043" s="10" t="str">
        <f t="shared" si="1"/>
        <v>March</v>
      </c>
      <c r="B3043" s="11">
        <f>IFERROR(__xludf.DUMMYFUNCTION("""COMPUTED_VALUE"""),46105.0)</f>
        <v>46105</v>
      </c>
      <c r="C3043" s="2" t="str">
        <f>IFERROR(__xludf.DUMMYFUNCTION("""COMPUTED_VALUE"""),"MOBILECARE - FESTIVE WALK ILOILO")</f>
        <v>MOBILECARE - FESTIVE WALK ILOILO</v>
      </c>
      <c r="D3043" s="2" t="str">
        <f>IFERROR(__xludf.DUMMYFUNCTION("""COMPUTED_VALUE"""),"661-35828")</f>
        <v>661-35828</v>
      </c>
      <c r="E3043" s="2" t="str">
        <f>IFERROR(__xludf.DUMMYFUNCTION("""COMPUTED_VALUE"""),"Camera, iPhone 15")</f>
        <v>Camera, iPhone 15</v>
      </c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</row>
    <row r="3044">
      <c r="A3044" s="10" t="str">
        <f t="shared" si="1"/>
        <v>March</v>
      </c>
      <c r="B3044" s="11">
        <f>IFERROR(__xludf.DUMMYFUNCTION("""COMPUTED_VALUE"""),46100.0)</f>
        <v>46100</v>
      </c>
      <c r="C3044" s="2" t="str">
        <f>IFERROR(__xludf.DUMMYFUNCTION("""COMPUTED_VALUE"""),"MOBILECARE - FESTIVE WALK ILOILO")</f>
        <v>MOBILECARE - FESTIVE WALK ILOILO</v>
      </c>
      <c r="D3044" s="2" t="str">
        <f>IFERROR(__xludf.DUMMYFUNCTION("""COMPUTED_VALUE"""),"PP661-23455")</f>
        <v>PP661-23455</v>
      </c>
      <c r="E3044" s="2" t="str">
        <f>IFERROR(__xludf.DUMMYFUNCTION("""COMPUTED_VALUE"""),"iPhone 13, Starlight, 128GB, Logic Board Assy Rear System, ROW")</f>
        <v>iPhone 13, Starlight, 128GB, Logic Board Assy Rear System, ROW</v>
      </c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</row>
    <row r="3045">
      <c r="A3045" s="10" t="str">
        <f t="shared" si="1"/>
        <v>February</v>
      </c>
      <c r="B3045" s="11">
        <f>IFERROR(__xludf.DUMMYFUNCTION("""COMPUTED_VALUE"""),46070.0)</f>
        <v>46070</v>
      </c>
      <c r="C3045" s="2" t="str">
        <f>IFERROR(__xludf.DUMMYFUNCTION("""COMPUTED_VALUE"""),"MOBILECARE - FESTIVE WALK ILOILO")</f>
        <v>MOBILECARE - FESTIVE WALK ILOILO</v>
      </c>
      <c r="D3045" s="2" t="str">
        <f>IFERROR(__xludf.DUMMYFUNCTION("""COMPUTED_VALUE"""),"PP661-23454")</f>
        <v>PP661-23454</v>
      </c>
      <c r="E3045" s="2" t="str">
        <f>IFERROR(__xludf.DUMMYFUNCTION("""COMPUTED_VALUE"""),"iPhone 13, Midnight, 128GB, Logic Board Assy Rear System, ROW")</f>
        <v>iPhone 13, Midnight, 128GB, Logic Board Assy Rear System, ROW</v>
      </c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</row>
    <row r="3046">
      <c r="A3046" s="10" t="str">
        <f t="shared" si="1"/>
        <v>June</v>
      </c>
      <c r="B3046" s="11">
        <f>IFERROR(__xludf.DUMMYFUNCTION("""COMPUTED_VALUE"""),46185.0)</f>
        <v>46185</v>
      </c>
      <c r="C3046" s="2" t="str">
        <f>IFERROR(__xludf.DUMMYFUNCTION("""COMPUTED_VALUE"""),"MOBILECARE - FESTIVE WALK ILOILO")</f>
        <v>MOBILECARE - FESTIVE WALK ILOILO</v>
      </c>
      <c r="D3046" s="2" t="str">
        <f>IFERROR(__xludf.DUMMYFUNCTION("""COMPUTED_VALUE"""),"923-06234")</f>
        <v>923-06234</v>
      </c>
      <c r="E3046" s="2" t="str">
        <f>IFERROR(__xludf.DUMMYFUNCTION("""COMPUTED_VALUE"""),"Top Speaker, iPhone 13")</f>
        <v>Top Speaker, iPhone 13</v>
      </c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</row>
    <row r="3047">
      <c r="A3047" s="10" t="str">
        <f t="shared" si="1"/>
        <v>February</v>
      </c>
      <c r="B3047" s="11">
        <f>IFERROR(__xludf.DUMMYFUNCTION("""COMPUTED_VALUE"""),46064.0)</f>
        <v>46064</v>
      </c>
      <c r="C3047" s="2" t="str">
        <f>IFERROR(__xludf.DUMMYFUNCTION("""COMPUTED_VALUE"""),"MOBILECARE - FESTIVE WALK ILOILO")</f>
        <v>MOBILECARE - FESTIVE WALK ILOILO</v>
      </c>
      <c r="D3047" s="2" t="str">
        <f>IFERROR(__xludf.DUMMYFUNCTION("""COMPUTED_VALUE"""),"Z661-55942")</f>
        <v>Z661-55942</v>
      </c>
      <c r="E3047" s="2" t="str">
        <f>IFERROR(__xludf.DUMMYFUNCTION("""COMPUTED_VALUE"""),"Logic Board, 256GB, A3523, ROW, iPhone 17 Pro")</f>
        <v>Logic Board, 256GB, A3523, ROW, iPhone 17 Pro</v>
      </c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</row>
    <row r="3048">
      <c r="A3048" s="10" t="str">
        <f t="shared" si="1"/>
        <v>January</v>
      </c>
      <c r="B3048" s="11">
        <f>IFERROR(__xludf.DUMMYFUNCTION("""COMPUTED_VALUE"""),46049.0)</f>
        <v>46049</v>
      </c>
      <c r="C3048" s="2" t="str">
        <f>IFERROR(__xludf.DUMMYFUNCTION("""COMPUTED_VALUE"""),"MOBILECARE - FESTIVE WALK ILOILO")</f>
        <v>MOBILECARE - FESTIVE WALK ILOILO</v>
      </c>
      <c r="D3048" s="2" t="str">
        <f>IFERROR(__xludf.DUMMYFUNCTION("""COMPUTED_VALUE"""),"661-10850")</f>
        <v>661-10850</v>
      </c>
      <c r="E3048" s="2" t="str">
        <f>IFERROR(__xludf.DUMMYFUNCTION("""COMPUTED_VALUE"""),"Battery, iPhone XR")</f>
        <v>Battery, iPhone XR</v>
      </c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</row>
    <row r="3049">
      <c r="A3049" s="10" t="str">
        <f t="shared" si="1"/>
        <v>January</v>
      </c>
      <c r="B3049" s="11">
        <f>IFERROR(__xludf.DUMMYFUNCTION("""COMPUTED_VALUE"""),46049.0)</f>
        <v>46049</v>
      </c>
      <c r="C3049" s="2" t="str">
        <f>IFERROR(__xludf.DUMMYFUNCTION("""COMPUTED_VALUE"""),"MOBILECARE - FESTIVE WALK ILOILO")</f>
        <v>MOBILECARE - FESTIVE WALK ILOILO</v>
      </c>
      <c r="D3049" s="2" t="str">
        <f>IFERROR(__xludf.DUMMYFUNCTION("""COMPUTED_VALUE"""),"923-02609")</f>
        <v>923-02609</v>
      </c>
      <c r="E3049" s="2" t="str">
        <f>IFERROR(__xludf.DUMMYFUNCTION("""COMPUTED_VALUE"""),"Speaker, iPhone XR")</f>
        <v>Speaker, iPhone XR</v>
      </c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</row>
    <row r="3050">
      <c r="A3050" s="10" t="str">
        <f t="shared" si="1"/>
        <v>April</v>
      </c>
      <c r="B3050" s="11">
        <f>IFERROR(__xludf.DUMMYFUNCTION("""COMPUTED_VALUE"""),46118.0)</f>
        <v>46118</v>
      </c>
      <c r="C3050" s="2" t="str">
        <f>IFERROR(__xludf.DUMMYFUNCTION("""COMPUTED_VALUE"""),"MOBILECARE - FESTIVE WALK ILOILO")</f>
        <v>MOBILECARE - FESTIVE WALK ILOILO</v>
      </c>
      <c r="D3050" s="2" t="str">
        <f>IFERROR(__xludf.DUMMYFUNCTION("""COMPUTED_VALUE"""),"PP661-23455")</f>
        <v>PP661-23455</v>
      </c>
      <c r="E3050" s="2" t="str">
        <f>IFERROR(__xludf.DUMMYFUNCTION("""COMPUTED_VALUE"""),"iPhone 13, Starlight, 128GB, Logic Board Assy Rear System, ROW")</f>
        <v>iPhone 13, Starlight, 128GB, Logic Board Assy Rear System, ROW</v>
      </c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</row>
    <row r="3051">
      <c r="A3051" s="10" t="str">
        <f t="shared" si="1"/>
        <v>March</v>
      </c>
      <c r="B3051" s="11">
        <f>IFERROR(__xludf.DUMMYFUNCTION("""COMPUTED_VALUE"""),46088.0)</f>
        <v>46088</v>
      </c>
      <c r="C3051" s="2" t="str">
        <f>IFERROR(__xludf.DUMMYFUNCTION("""COMPUTED_VALUE"""),"MOBILECARE - FESTIVE WALK ILOILO")</f>
        <v>MOBILECARE - FESTIVE WALK ILOILO</v>
      </c>
      <c r="D3051" s="2" t="str">
        <f>IFERROR(__xludf.DUMMYFUNCTION("""COMPUTED_VALUE"""),"661-21988")</f>
        <v>661-21988</v>
      </c>
      <c r="E3051" s="2" t="str">
        <f>IFERROR(__xludf.DUMMYFUNCTION("""COMPUTED_VALUE"""),"Display, iPhone 13")</f>
        <v>Display, iPhone 13</v>
      </c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</row>
    <row r="3052">
      <c r="A3052" s="10" t="str">
        <f t="shared" si="1"/>
        <v>March</v>
      </c>
      <c r="B3052" s="11">
        <f>IFERROR(__xludf.DUMMYFUNCTION("""COMPUTED_VALUE"""),46094.0)</f>
        <v>46094</v>
      </c>
      <c r="C3052" s="2" t="str">
        <f>IFERROR(__xludf.DUMMYFUNCTION("""COMPUTED_VALUE"""),"MOBILECARE - FESTIVE WALK ILOILO")</f>
        <v>MOBILECARE - FESTIVE WALK ILOILO</v>
      </c>
      <c r="D3052" s="2" t="str">
        <f>IFERROR(__xludf.DUMMYFUNCTION("""COMPUTED_VALUE"""),"TA661-43605")</f>
        <v>TA661-43605</v>
      </c>
      <c r="E3052" s="2" t="str">
        <f>IFERROR(__xludf.DUMMYFUNCTION("""COMPUTED_VALUE"""),"128GB, Black, ROW, iPhone 16, Logic Board Assy Mid System")</f>
        <v>128GB, Black, ROW, iPhone 16, Logic Board Assy Mid System</v>
      </c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</row>
    <row r="3053">
      <c r="A3053" s="10" t="str">
        <f t="shared" si="1"/>
        <v>March</v>
      </c>
      <c r="B3053" s="11">
        <f>IFERROR(__xludf.DUMMYFUNCTION("""COMPUTED_VALUE"""),46095.0)</f>
        <v>46095</v>
      </c>
      <c r="C3053" s="2" t="str">
        <f>IFERROR(__xludf.DUMMYFUNCTION("""COMPUTED_VALUE"""),"MOBILECARE - FESTIVE WALK ILOILO")</f>
        <v>MOBILECARE - FESTIVE WALK ILOILO</v>
      </c>
      <c r="D3053" s="2" t="str">
        <f>IFERROR(__xludf.DUMMYFUNCTION("""COMPUTED_VALUE"""),"661-21991")</f>
        <v>661-21991</v>
      </c>
      <c r="E3053" s="2" t="str">
        <f>IFERROR(__xludf.DUMMYFUNCTION("""COMPUTED_VALUE"""),"Battery, iPhone 13")</f>
        <v>Battery, iPhone 13</v>
      </c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</row>
    <row r="3054">
      <c r="A3054" s="10" t="str">
        <f t="shared" si="1"/>
        <v>March</v>
      </c>
      <c r="B3054" s="11">
        <f>IFERROR(__xludf.DUMMYFUNCTION("""COMPUTED_VALUE"""),46088.0)</f>
        <v>46088</v>
      </c>
      <c r="C3054" s="2" t="str">
        <f>IFERROR(__xludf.DUMMYFUNCTION("""COMPUTED_VALUE"""),"MOBILECARE - FESTIVE WALK ILOILO")</f>
        <v>MOBILECARE - FESTIVE WALK ILOILO</v>
      </c>
      <c r="D3054" s="2" t="str">
        <f>IFERROR(__xludf.DUMMYFUNCTION("""COMPUTED_VALUE"""),"PP661-23454")</f>
        <v>PP661-23454</v>
      </c>
      <c r="E3054" s="2" t="str">
        <f>IFERROR(__xludf.DUMMYFUNCTION("""COMPUTED_VALUE"""),"iPhone 13, Midnight, 128GB, Logic Board Assy Rear System, ROW")</f>
        <v>iPhone 13, Midnight, 128GB, Logic Board Assy Rear System, ROW</v>
      </c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</row>
    <row r="3055">
      <c r="A3055" s="10" t="str">
        <f t="shared" si="1"/>
        <v>February</v>
      </c>
      <c r="B3055" s="11">
        <f>IFERROR(__xludf.DUMMYFUNCTION("""COMPUTED_VALUE"""),46056.0)</f>
        <v>46056</v>
      </c>
      <c r="C3055" s="2" t="str">
        <f>IFERROR(__xludf.DUMMYFUNCTION("""COMPUTED_VALUE"""),"MOBILECARE - FESTIVE WALK ILOILO")</f>
        <v>MOBILECARE - FESTIVE WALK ILOILO</v>
      </c>
      <c r="D3055" s="2" t="str">
        <f>IFERROR(__xludf.DUMMYFUNCTION("""COMPUTED_VALUE"""),"661-17939")</f>
        <v>661-17939</v>
      </c>
      <c r="E3055" s="2" t="str">
        <f>IFERROR(__xludf.DUMMYFUNCTION("""COMPUTED_VALUE"""),"Battery, iPhone 12 mini")</f>
        <v>Battery, iPhone 12 mini</v>
      </c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</row>
    <row r="3056">
      <c r="A3056" s="10" t="str">
        <f t="shared" si="1"/>
        <v>June</v>
      </c>
      <c r="B3056" s="11">
        <f>IFERROR(__xludf.DUMMYFUNCTION("""COMPUTED_VALUE"""),46189.0)</f>
        <v>46189</v>
      </c>
      <c r="C3056" s="2" t="str">
        <f>IFERROR(__xludf.DUMMYFUNCTION("""COMPUTED_VALUE"""),"MOBILECARE - FESTIVE WALK ILOILO")</f>
        <v>MOBILECARE - FESTIVE WALK ILOILO</v>
      </c>
      <c r="D3056" s="2" t="str">
        <f>IFERROR(__xludf.DUMMYFUNCTION("""COMPUTED_VALUE"""),"661-56125")</f>
        <v>661-56125</v>
      </c>
      <c r="E3056" s="2" t="str">
        <f>IFERROR(__xludf.DUMMYFUNCTION("""COMPUTED_VALUE"""),"Display, iPhone 17 Pro")</f>
        <v>Display, iPhone 17 Pro</v>
      </c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</row>
    <row r="3057">
      <c r="A3057" s="10" t="str">
        <f t="shared" si="1"/>
        <v>June</v>
      </c>
      <c r="B3057" s="11">
        <f>IFERROR(__xludf.DUMMYFUNCTION("""COMPUTED_VALUE"""),46189.0)</f>
        <v>46189</v>
      </c>
      <c r="C3057" s="2" t="str">
        <f>IFERROR(__xludf.DUMMYFUNCTION("""COMPUTED_VALUE"""),"MOBILECARE - FESTIVE WALK ILOILO")</f>
        <v>MOBILECARE - FESTIVE WALK ILOILO</v>
      </c>
      <c r="D3057" s="2" t="str">
        <f>IFERROR(__xludf.DUMMYFUNCTION("""COMPUTED_VALUE"""),"Z661-55942")</f>
        <v>Z661-55942</v>
      </c>
      <c r="E3057" s="2" t="str">
        <f>IFERROR(__xludf.DUMMYFUNCTION("""COMPUTED_VALUE"""),"Logic Board, 256GB, A3523, ROW, iPhone 17 Pro")</f>
        <v>Logic Board, 256GB, A3523, ROW, iPhone 17 Pro</v>
      </c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</row>
    <row r="3058">
      <c r="A3058" s="10" t="str">
        <f t="shared" si="1"/>
        <v>June</v>
      </c>
      <c r="B3058" s="11">
        <f>IFERROR(__xludf.DUMMYFUNCTION("""COMPUTED_VALUE"""),46182.0)</f>
        <v>46182</v>
      </c>
      <c r="C3058" s="2" t="str">
        <f>IFERROR(__xludf.DUMMYFUNCTION("""COMPUTED_VALUE"""),"MOBILECARE - FESTIVE WALK ILOILO")</f>
        <v>MOBILECARE - FESTIVE WALK ILOILO</v>
      </c>
      <c r="D3058" s="2" t="str">
        <f>IFERROR(__xludf.DUMMYFUNCTION("""COMPUTED_VALUE"""),"TA661-55207")</f>
        <v>TA661-55207</v>
      </c>
      <c r="E3058" s="2" t="str">
        <f>IFERROR(__xludf.DUMMYFUNCTION("""COMPUTED_VALUE"""),"Cosmic Orange, 256GB, iPhone 17 Pro Max, ROW, CI/AR, Taiwan")</f>
        <v>Cosmic Orange, 256GB, iPhone 17 Pro Max, ROW, CI/AR, Taiwan</v>
      </c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</row>
    <row r="3059">
      <c r="A3059" s="10" t="str">
        <f t="shared" si="1"/>
        <v>May</v>
      </c>
      <c r="B3059" s="11">
        <f>IFERROR(__xludf.DUMMYFUNCTION("""COMPUTED_VALUE"""),46154.0)</f>
        <v>46154</v>
      </c>
      <c r="C3059" s="2" t="str">
        <f>IFERROR(__xludf.DUMMYFUNCTION("""COMPUTED_VALUE"""),"MOBILECARE - FESTIVE WALK ILOILO")</f>
        <v>MOBILECARE - FESTIVE WALK ILOILO</v>
      </c>
      <c r="D3059" s="2" t="str">
        <f>IFERROR(__xludf.DUMMYFUNCTION("""COMPUTED_VALUE"""),"661-44799")</f>
        <v>661-44799</v>
      </c>
      <c r="E3059" s="2" t="str">
        <f>IFERROR(__xludf.DUMMYFUNCTION("""COMPUTED_VALUE"""),"Camera, iPhone 16")</f>
        <v>Camera, iPhone 16</v>
      </c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</row>
    <row r="3060">
      <c r="A3060" s="10" t="str">
        <f t="shared" si="1"/>
        <v>June</v>
      </c>
      <c r="B3060" s="11">
        <f>IFERROR(__xludf.DUMMYFUNCTION("""COMPUTED_VALUE"""),46182.0)</f>
        <v>46182</v>
      </c>
      <c r="C3060" s="2" t="str">
        <f>IFERROR(__xludf.DUMMYFUNCTION("""COMPUTED_VALUE"""),"MOBILECARE - FESTIVE WALK ILOILO")</f>
        <v>MOBILECARE - FESTIVE WALK ILOILO</v>
      </c>
      <c r="D3060" s="2" t="str">
        <f>IFERROR(__xludf.DUMMYFUNCTION("""COMPUTED_VALUE"""),"PP661-22980")</f>
        <v>PP661-22980</v>
      </c>
      <c r="E3060" s="2" t="str">
        <f>IFERROR(__xludf.DUMMYFUNCTION("""COMPUTED_VALUE"""),"Midnight, 128 GB, iPhone 13, ROW, CI/AR, Philippines")</f>
        <v>Midnight, 128 GB, iPhone 13, ROW, CI/AR, Philippines</v>
      </c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</row>
    <row r="3061">
      <c r="A3061" s="10" t="str">
        <f t="shared" si="1"/>
        <v>April</v>
      </c>
      <c r="B3061" s="11">
        <f>IFERROR(__xludf.DUMMYFUNCTION("""COMPUTED_VALUE"""),46132.0)</f>
        <v>46132</v>
      </c>
      <c r="C3061" s="2" t="str">
        <f>IFERROR(__xludf.DUMMYFUNCTION("""COMPUTED_VALUE"""),"MOBILECARE - FESTIVE WALK ILOILO")</f>
        <v>MOBILECARE - FESTIVE WALK ILOILO</v>
      </c>
      <c r="D3061" s="2" t="str">
        <f>IFERROR(__xludf.DUMMYFUNCTION("""COMPUTED_VALUE"""),"TA661-36694")</f>
        <v>TA661-36694</v>
      </c>
      <c r="E3061" s="2" t="str">
        <f>IFERROR(__xludf.DUMMYFUNCTION("""COMPUTED_VALUE"""),"iPhone 15, Blue, 128GB, Logic Board Assy Mid System, ROW")</f>
        <v>iPhone 15, Blue, 128GB, Logic Board Assy Mid System, ROW</v>
      </c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</row>
    <row r="3062">
      <c r="A3062" s="10" t="str">
        <f t="shared" si="1"/>
        <v>March</v>
      </c>
      <c r="B3062" s="11">
        <f>IFERROR(__xludf.DUMMYFUNCTION("""COMPUTED_VALUE"""),46105.0)</f>
        <v>46105</v>
      </c>
      <c r="C3062" s="2" t="str">
        <f>IFERROR(__xludf.DUMMYFUNCTION("""COMPUTED_VALUE"""),"MOBILECARE - FESTIVE WALK ILOILO")</f>
        <v>MOBILECARE - FESTIVE WALK ILOILO</v>
      </c>
      <c r="D3062" s="2" t="str">
        <f>IFERROR(__xludf.DUMMYFUNCTION("""COMPUTED_VALUE"""),"661-21993")</f>
        <v>661-21993</v>
      </c>
      <c r="E3062" s="2" t="str">
        <f>IFERROR(__xludf.DUMMYFUNCTION("""COMPUTED_VALUE"""),"Display, iPhone 13 Pro")</f>
        <v>Display, iPhone 13 Pro</v>
      </c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</row>
    <row r="3063">
      <c r="A3063" s="10" t="str">
        <f t="shared" si="1"/>
        <v>April</v>
      </c>
      <c r="B3063" s="11">
        <f>IFERROR(__xludf.DUMMYFUNCTION("""COMPUTED_VALUE"""),46123.0)</f>
        <v>46123</v>
      </c>
      <c r="C3063" s="2" t="str">
        <f>IFERROR(__xludf.DUMMYFUNCTION("""COMPUTED_VALUE"""),"MOBILECARE - FESTIVE WALK ILOILO")</f>
        <v>MOBILECARE - FESTIVE WALK ILOILO</v>
      </c>
      <c r="D3063" s="2" t="str">
        <f>IFERROR(__xludf.DUMMYFUNCTION("""COMPUTED_VALUE"""),"PP661-22980")</f>
        <v>PP661-22980</v>
      </c>
      <c r="E3063" s="2" t="str">
        <f>IFERROR(__xludf.DUMMYFUNCTION("""COMPUTED_VALUE"""),"Midnight, 128 GB, iPhone 13, ROW, CI/AR, Philippines")</f>
        <v>Midnight, 128 GB, iPhone 13, ROW, CI/AR, Philippines</v>
      </c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</row>
    <row r="3064">
      <c r="A3064" s="10" t="str">
        <f t="shared" si="1"/>
        <v>March</v>
      </c>
      <c r="B3064" s="11">
        <f>IFERROR(__xludf.DUMMYFUNCTION("""COMPUTED_VALUE"""),46112.0)</f>
        <v>46112</v>
      </c>
      <c r="C3064" s="2" t="str">
        <f>IFERROR(__xludf.DUMMYFUNCTION("""COMPUTED_VALUE"""),"MOBILECARE - FESTIVE WALK ILOILO")</f>
        <v>MOBILECARE - FESTIVE WALK ILOILO</v>
      </c>
      <c r="D3064" s="2" t="str">
        <f>IFERROR(__xludf.DUMMYFUNCTION("""COMPUTED_VALUE"""),"TA661-43498")</f>
        <v>TA661-43498</v>
      </c>
      <c r="E3064" s="2" t="str">
        <f>IFERROR(__xludf.DUMMYFUNCTION("""COMPUTED_VALUE"""),"128GB, Black, ROW, iPhone 16, CI/AR")</f>
        <v>128GB, Black, ROW, iPhone 16, CI/AR</v>
      </c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</row>
    <row r="3065">
      <c r="A3065" s="10" t="str">
        <f t="shared" si="1"/>
        <v>March</v>
      </c>
      <c r="B3065" s="11">
        <f>IFERROR(__xludf.DUMMYFUNCTION("""COMPUTED_VALUE"""),46085.0)</f>
        <v>46085</v>
      </c>
      <c r="C3065" s="2" t="str">
        <f>IFERROR(__xludf.DUMMYFUNCTION("""COMPUTED_VALUE"""),"MOBILECARE - FESTIVE WALK ILOILO")</f>
        <v>MOBILECARE - FESTIVE WALK ILOILO</v>
      </c>
      <c r="D3065" s="2" t="str">
        <f>IFERROR(__xludf.DUMMYFUNCTION("""COMPUTED_VALUE"""),"661-42728")</f>
        <v>661-42728</v>
      </c>
      <c r="E3065" s="2" t="str">
        <f>IFERROR(__xludf.DUMMYFUNCTION("""COMPUTED_VALUE"""),"Camera, iPhone 16 Pro")</f>
        <v>Camera, iPhone 16 Pro</v>
      </c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</row>
    <row r="3066">
      <c r="A3066" s="10" t="str">
        <f t="shared" si="1"/>
        <v>February</v>
      </c>
      <c r="B3066" s="11">
        <f>IFERROR(__xludf.DUMMYFUNCTION("""COMPUTED_VALUE"""),46066.0)</f>
        <v>46066</v>
      </c>
      <c r="C3066" s="2" t="str">
        <f>IFERROR(__xludf.DUMMYFUNCTION("""COMPUTED_VALUE"""),"MOBILECARE - FESTIVE WALK ILOILO")</f>
        <v>MOBILECARE - FESTIVE WALK ILOILO</v>
      </c>
      <c r="D3066" s="2" t="str">
        <f>IFERROR(__xludf.DUMMYFUNCTION("""COMPUTED_VALUE"""),"661-36706")</f>
        <v>661-36706</v>
      </c>
      <c r="E3066" s="2" t="str">
        <f>IFERROR(__xludf.DUMMYFUNCTION("""COMPUTED_VALUE"""),"Display, iPhone 15")</f>
        <v>Display, iPhone 15</v>
      </c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</row>
    <row r="3067">
      <c r="A3067" s="10" t="str">
        <f t="shared" si="1"/>
        <v>February</v>
      </c>
      <c r="B3067" s="11">
        <f>IFERROR(__xludf.DUMMYFUNCTION("""COMPUTED_VALUE"""),46063.0)</f>
        <v>46063</v>
      </c>
      <c r="C3067" s="2" t="str">
        <f>IFERROR(__xludf.DUMMYFUNCTION("""COMPUTED_VALUE"""),"MOBILECARE - FESTIVE WALK ILOILO")</f>
        <v>MOBILECARE - FESTIVE WALK ILOILO</v>
      </c>
      <c r="D3067" s="2" t="str">
        <f>IFERROR(__xludf.DUMMYFUNCTION("""COMPUTED_VALUE"""),"PP661-28614")</f>
        <v>PP661-28614</v>
      </c>
      <c r="E3067" s="2" t="str">
        <f>IFERROR(__xludf.DUMMYFUNCTION("""COMPUTED_VALUE"""),"Starlight, iPhone 14, 128GB, ROW, CI/AR, Philippines")</f>
        <v>Starlight, iPhone 14, 128GB, ROW, CI/AR, Philippines</v>
      </c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</row>
    <row r="3068">
      <c r="A3068" s="10" t="str">
        <f t="shared" si="1"/>
        <v>May</v>
      </c>
      <c r="B3068" s="11">
        <f>IFERROR(__xludf.DUMMYFUNCTION("""COMPUTED_VALUE"""),46148.0)</f>
        <v>46148</v>
      </c>
      <c r="C3068" s="2" t="str">
        <f>IFERROR(__xludf.DUMMYFUNCTION("""COMPUTED_VALUE"""),"MOBILECARE - FESTIVE WALK ILOILO")</f>
        <v>MOBILECARE - FESTIVE WALK ILOILO</v>
      </c>
      <c r="D3068" s="2" t="str">
        <f>IFERROR(__xludf.DUMMYFUNCTION("""COMPUTED_VALUE"""),"661-21988")</f>
        <v>661-21988</v>
      </c>
      <c r="E3068" s="2" t="str">
        <f>IFERROR(__xludf.DUMMYFUNCTION("""COMPUTED_VALUE"""),"Display, iPhone 13")</f>
        <v>Display, iPhone 13</v>
      </c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</row>
    <row r="3069">
      <c r="A3069" s="10" t="str">
        <f t="shared" si="1"/>
        <v>March</v>
      </c>
      <c r="B3069" s="11">
        <f>IFERROR(__xludf.DUMMYFUNCTION("""COMPUTED_VALUE"""),46110.0)</f>
        <v>46110</v>
      </c>
      <c r="C3069" s="2" t="str">
        <f>IFERROR(__xludf.DUMMYFUNCTION("""COMPUTED_VALUE"""),"MOBILECARE - FESTIVE WALK ILOILO")</f>
        <v>MOBILECARE - FESTIVE WALK ILOILO</v>
      </c>
      <c r="D3069" s="2" t="str">
        <f>IFERROR(__xludf.DUMMYFUNCTION("""COMPUTED_VALUE"""),"661-42727")</f>
        <v>661-42727</v>
      </c>
      <c r="E3069" s="2" t="str">
        <f>IFERROR(__xludf.DUMMYFUNCTION("""COMPUTED_VALUE"""),"TrueDepth Camera, iPhone 16 Pro")</f>
        <v>TrueDepth Camera, iPhone 16 Pro</v>
      </c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</row>
    <row r="3070">
      <c r="A3070" s="10" t="str">
        <f t="shared" si="1"/>
        <v>March</v>
      </c>
      <c r="B3070" s="11">
        <f>IFERROR(__xludf.DUMMYFUNCTION("""COMPUTED_VALUE"""),46099.0)</f>
        <v>46099</v>
      </c>
      <c r="C3070" s="2" t="str">
        <f>IFERROR(__xludf.DUMMYFUNCTION("""COMPUTED_VALUE"""),"MOBILECARE - FESTIVE WALK ILOILO")</f>
        <v>MOBILECARE - FESTIVE WALK ILOILO</v>
      </c>
      <c r="D3070" s="2" t="str">
        <f>IFERROR(__xludf.DUMMYFUNCTION("""COMPUTED_VALUE"""),"661-36829")</f>
        <v>661-36829</v>
      </c>
      <c r="E3070" s="2" t="str">
        <f>IFERROR(__xludf.DUMMYFUNCTION("""COMPUTED_VALUE"""),"TrueDepth Camera, iPhone 15")</f>
        <v>TrueDepth Camera, iPhone 15</v>
      </c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</row>
    <row r="3071">
      <c r="A3071" s="10" t="str">
        <f t="shared" si="1"/>
        <v>March</v>
      </c>
      <c r="B3071" s="11">
        <f>IFERROR(__xludf.DUMMYFUNCTION("""COMPUTED_VALUE"""),46099.0)</f>
        <v>46099</v>
      </c>
      <c r="C3071" s="2" t="str">
        <f>IFERROR(__xludf.DUMMYFUNCTION("""COMPUTED_VALUE"""),"MOBILECARE - FESTIVE WALK ILOILO")</f>
        <v>MOBILECARE - FESTIVE WALK ILOILO</v>
      </c>
      <c r="D3071" s="2" t="str">
        <f>IFERROR(__xludf.DUMMYFUNCTION("""COMPUTED_VALUE"""),"661-35828")</f>
        <v>661-35828</v>
      </c>
      <c r="E3071" s="2" t="str">
        <f>IFERROR(__xludf.DUMMYFUNCTION("""COMPUTED_VALUE"""),"Camera, iPhone 15")</f>
        <v>Camera, iPhone 15</v>
      </c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</row>
    <row r="3072">
      <c r="A3072" s="10" t="str">
        <f t="shared" si="1"/>
        <v>February</v>
      </c>
      <c r="B3072" s="11">
        <f>IFERROR(__xludf.DUMMYFUNCTION("""COMPUTED_VALUE"""),46060.0)</f>
        <v>46060</v>
      </c>
      <c r="C3072" s="2" t="str">
        <f>IFERROR(__xludf.DUMMYFUNCTION("""COMPUTED_VALUE"""),"MOBILECARE - FESTIVE WALK ILOILO")</f>
        <v>MOBILECARE - FESTIVE WALK ILOILO</v>
      </c>
      <c r="D3072" s="2" t="str">
        <f>IFERROR(__xludf.DUMMYFUNCTION("""COMPUTED_VALUE"""),"PP661-28872")</f>
        <v>PP661-28872</v>
      </c>
      <c r="E3072" s="2" t="str">
        <f>IFERROR(__xludf.DUMMYFUNCTION("""COMPUTED_VALUE"""),"iPhone 14, Purple, 128GB, Logic Board Assy Mid System, ROW")</f>
        <v>iPhone 14, Purple, 128GB, Logic Board Assy Mid System, ROW</v>
      </c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</row>
    <row r="3073">
      <c r="A3073" s="10" t="str">
        <f t="shared" si="1"/>
        <v>February</v>
      </c>
      <c r="B3073" s="11">
        <f>IFERROR(__xludf.DUMMYFUNCTION("""COMPUTED_VALUE"""),46056.0)</f>
        <v>46056</v>
      </c>
      <c r="C3073" s="2" t="str">
        <f>IFERROR(__xludf.DUMMYFUNCTION("""COMPUTED_VALUE"""),"MOBILECARE - FESTIVE WALK ILOILO")</f>
        <v>MOBILECARE - FESTIVE WALK ILOILO</v>
      </c>
      <c r="D3073" s="2" t="str">
        <f>IFERROR(__xludf.DUMMYFUNCTION("""COMPUTED_VALUE"""),"661-37212")</f>
        <v>661-37212</v>
      </c>
      <c r="E3073" s="2" t="str">
        <f>IFERROR(__xludf.DUMMYFUNCTION("""COMPUTED_VALUE"""),"Green, Back Glass, iPhone 15 Plus")</f>
        <v>Green, Back Glass, iPhone 15 Plus</v>
      </c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</row>
    <row r="3074">
      <c r="A3074" s="10" t="str">
        <f t="shared" si="1"/>
        <v>January</v>
      </c>
      <c r="B3074" s="11">
        <f>IFERROR(__xludf.DUMMYFUNCTION("""COMPUTED_VALUE"""),46052.0)</f>
        <v>46052</v>
      </c>
      <c r="C3074" s="2" t="str">
        <f>IFERROR(__xludf.DUMMYFUNCTION("""COMPUTED_VALUE"""),"MOBILECARE - FESTIVE WALK ILOILO")</f>
        <v>MOBILECARE - FESTIVE WALK ILOILO</v>
      </c>
      <c r="D3074" s="2" t="str">
        <f>IFERROR(__xludf.DUMMYFUNCTION("""COMPUTED_VALUE"""),"TA661-36291")</f>
        <v>TA661-36291</v>
      </c>
      <c r="E3074" s="2" t="str">
        <f>IFERROR(__xludf.DUMMYFUNCTION("""COMPUTED_VALUE"""),"Black, iPhone 15, 256GB, ROW, CI/AR, Taiwan")</f>
        <v>Black, iPhone 15, 256GB, ROW, CI/AR, Taiwan</v>
      </c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</row>
    <row r="3075">
      <c r="A3075" s="10" t="str">
        <f t="shared" si="1"/>
        <v>April</v>
      </c>
      <c r="B3075" s="11">
        <f>IFERROR(__xludf.DUMMYFUNCTION("""COMPUTED_VALUE"""),46137.0)</f>
        <v>46137</v>
      </c>
      <c r="C3075" s="2" t="str">
        <f>IFERROR(__xludf.DUMMYFUNCTION("""COMPUTED_VALUE"""),"MOBILECARE - FESTIVE WALK ILOILO")</f>
        <v>MOBILECARE - FESTIVE WALK ILOILO</v>
      </c>
      <c r="D3075" s="2" t="str">
        <f>IFERROR(__xludf.DUMMYFUNCTION("""COMPUTED_VALUE"""),"661-56067")</f>
        <v>661-56067</v>
      </c>
      <c r="E3075" s="2" t="str">
        <f>IFERROR(__xludf.DUMMYFUNCTION("""COMPUTED_VALUE"""),"Camera, iPhone 17")</f>
        <v>Camera, iPhone 17</v>
      </c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</row>
    <row r="3076">
      <c r="A3076" s="10" t="str">
        <f t="shared" si="1"/>
        <v>May</v>
      </c>
      <c r="B3076" s="11">
        <f>IFERROR(__xludf.DUMMYFUNCTION("""COMPUTED_VALUE"""),46143.0)</f>
        <v>46143</v>
      </c>
      <c r="C3076" s="2" t="str">
        <f>IFERROR(__xludf.DUMMYFUNCTION("""COMPUTED_VALUE"""),"MOBILECARE - FESTIVE WALK ILOILO")</f>
        <v>MOBILECARE - FESTIVE WALK ILOILO</v>
      </c>
      <c r="D3076" s="2" t="str">
        <f>IFERROR(__xludf.DUMMYFUNCTION("""COMPUTED_VALUE"""),"661-21991")</f>
        <v>661-21991</v>
      </c>
      <c r="E3076" s="2" t="str">
        <f>IFERROR(__xludf.DUMMYFUNCTION("""COMPUTED_VALUE"""),"Battery, iPhone 13")</f>
        <v>Battery, iPhone 13</v>
      </c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</row>
    <row r="3077">
      <c r="A3077" s="10" t="str">
        <f t="shared" si="1"/>
        <v>April</v>
      </c>
      <c r="B3077" s="11">
        <f>IFERROR(__xludf.DUMMYFUNCTION("""COMPUTED_VALUE"""),46124.0)</f>
        <v>46124</v>
      </c>
      <c r="C3077" s="2" t="str">
        <f>IFERROR(__xludf.DUMMYFUNCTION("""COMPUTED_VALUE"""),"MOBILECARE - FESTIVE WALK ILOILO")</f>
        <v>MOBILECARE - FESTIVE WALK ILOILO</v>
      </c>
      <c r="D3077" s="2" t="str">
        <f>IFERROR(__xludf.DUMMYFUNCTION("""COMPUTED_VALUE"""),"661-44798")</f>
        <v>661-44798</v>
      </c>
      <c r="E3077" s="2" t="str">
        <f>IFERROR(__xludf.DUMMYFUNCTION("""COMPUTED_VALUE"""),"TrueDepth Camera, iPhone 16")</f>
        <v>TrueDepth Camera, iPhone 16</v>
      </c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</row>
    <row r="3078">
      <c r="A3078" s="10" t="str">
        <f t="shared" si="1"/>
        <v>April</v>
      </c>
      <c r="B3078" s="11">
        <f>IFERROR(__xludf.DUMMYFUNCTION("""COMPUTED_VALUE"""),46134.0)</f>
        <v>46134</v>
      </c>
      <c r="C3078" s="2" t="str">
        <f>IFERROR(__xludf.DUMMYFUNCTION("""COMPUTED_VALUE"""),"MOBILECARE - FESTIVE WALK ILOILO")</f>
        <v>MOBILECARE - FESTIVE WALK ILOILO</v>
      </c>
      <c r="D3078" s="2" t="str">
        <f>IFERROR(__xludf.DUMMYFUNCTION("""COMPUTED_VALUE"""),"PP661-23454")</f>
        <v>PP661-23454</v>
      </c>
      <c r="E3078" s="2" t="str">
        <f>IFERROR(__xludf.DUMMYFUNCTION("""COMPUTED_VALUE"""),"iPhone 13, Midnight, 128GB, Logic Board Assy Rear System, ROW")</f>
        <v>iPhone 13, Midnight, 128GB, Logic Board Assy Rear System, ROW</v>
      </c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</row>
    <row r="3079">
      <c r="A3079" s="10" t="str">
        <f t="shared" si="1"/>
        <v>April</v>
      </c>
      <c r="B3079" s="11">
        <f>IFERROR(__xludf.DUMMYFUNCTION("""COMPUTED_VALUE"""),46126.0)</f>
        <v>46126</v>
      </c>
      <c r="C3079" s="2" t="str">
        <f>IFERROR(__xludf.DUMMYFUNCTION("""COMPUTED_VALUE"""),"MOBILECARE - FESTIVE WALK ILOILO")</f>
        <v>MOBILECARE - FESTIVE WALK ILOILO</v>
      </c>
      <c r="D3079" s="2" t="str">
        <f>IFERROR(__xludf.DUMMYFUNCTION("""COMPUTED_VALUE"""),"PP661-22981")</f>
        <v>PP661-22981</v>
      </c>
      <c r="E3079" s="2" t="str">
        <f>IFERROR(__xludf.DUMMYFUNCTION("""COMPUTED_VALUE"""),"Starlight, 128 GB, iPhone 13, ROW, CI/AR, Philippines")</f>
        <v>Starlight, 128 GB, iPhone 13, ROW, CI/AR, Philippines</v>
      </c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</row>
    <row r="3080">
      <c r="A3080" s="10" t="str">
        <f t="shared" si="1"/>
        <v>April</v>
      </c>
      <c r="B3080" s="11">
        <f>IFERROR(__xludf.DUMMYFUNCTION("""COMPUTED_VALUE"""),46116.0)</f>
        <v>46116</v>
      </c>
      <c r="C3080" s="2" t="str">
        <f>IFERROR(__xludf.DUMMYFUNCTION("""COMPUTED_VALUE"""),"MOBILECARE - FESTIVE WALK ILOILO")</f>
        <v>MOBILECARE - FESTIVE WALK ILOILO</v>
      </c>
      <c r="D3080" s="2" t="str">
        <f>IFERROR(__xludf.DUMMYFUNCTION("""COMPUTED_VALUE"""),"PP661-23454")</f>
        <v>PP661-23454</v>
      </c>
      <c r="E3080" s="2" t="str">
        <f>IFERROR(__xludf.DUMMYFUNCTION("""COMPUTED_VALUE"""),"iPhone 13, Midnight, 128GB, Logic Board Assy Rear System, ROW")</f>
        <v>iPhone 13, Midnight, 128GB, Logic Board Assy Rear System, ROW</v>
      </c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</row>
    <row r="3081">
      <c r="A3081" s="10" t="str">
        <f t="shared" si="1"/>
        <v>March</v>
      </c>
      <c r="B3081" s="11">
        <f>IFERROR(__xludf.DUMMYFUNCTION("""COMPUTED_VALUE"""),46097.0)</f>
        <v>46097</v>
      </c>
      <c r="C3081" s="2" t="str">
        <f>IFERROR(__xludf.DUMMYFUNCTION("""COMPUTED_VALUE"""),"MOBILECARE - FESTIVE WALK ILOILO")</f>
        <v>MOBILECARE - FESTIVE WALK ILOILO</v>
      </c>
      <c r="D3081" s="2" t="str">
        <f>IFERROR(__xludf.DUMMYFUNCTION("""COMPUTED_VALUE"""),"PP661-23455")</f>
        <v>PP661-23455</v>
      </c>
      <c r="E3081" s="2" t="str">
        <f>IFERROR(__xludf.DUMMYFUNCTION("""COMPUTED_VALUE"""),"iPhone 13, Starlight, 128GB, Logic Board Assy Rear System, ROW")</f>
        <v>iPhone 13, Starlight, 128GB, Logic Board Assy Rear System, ROW</v>
      </c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</row>
    <row r="3082">
      <c r="A3082" s="10" t="str">
        <f t="shared" si="1"/>
        <v>February</v>
      </c>
      <c r="B3082" s="11">
        <f>IFERROR(__xludf.DUMMYFUNCTION("""COMPUTED_VALUE"""),46081.0)</f>
        <v>46081</v>
      </c>
      <c r="C3082" s="2" t="str">
        <f>IFERROR(__xludf.DUMMYFUNCTION("""COMPUTED_VALUE"""),"MOBILECARE - FESTIVE WALK ILOILO")</f>
        <v>MOBILECARE - FESTIVE WALK ILOILO</v>
      </c>
      <c r="D3082" s="2" t="str">
        <f>IFERROR(__xludf.DUMMYFUNCTION("""COMPUTED_VALUE"""),"661-21988")</f>
        <v>661-21988</v>
      </c>
      <c r="E3082" s="2" t="str">
        <f>IFERROR(__xludf.DUMMYFUNCTION("""COMPUTED_VALUE"""),"Display, iPhone 13")</f>
        <v>Display, iPhone 13</v>
      </c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</row>
    <row r="3083">
      <c r="A3083" s="10" t="str">
        <f t="shared" si="1"/>
        <v>March</v>
      </c>
      <c r="B3083" s="11">
        <f>IFERROR(__xludf.DUMMYFUNCTION("""COMPUTED_VALUE"""),46082.0)</f>
        <v>46082</v>
      </c>
      <c r="C3083" s="2" t="str">
        <f>IFERROR(__xludf.DUMMYFUNCTION("""COMPUTED_VALUE"""),"MOBILECARE - FESTIVE WALK ILOILO")</f>
        <v>MOBILECARE - FESTIVE WALK ILOILO</v>
      </c>
      <c r="D3083" s="2" t="str">
        <f>IFERROR(__xludf.DUMMYFUNCTION("""COMPUTED_VALUE"""),"TA661-45262")</f>
        <v>TA661-45262</v>
      </c>
      <c r="E3083" s="2" t="str">
        <f>IFERROR(__xludf.DUMMYFUNCTION("""COMPUTED_VALUE"""),"256GB, White Titanium, ROW, iPhone 16 Pro Max, CI/AR")</f>
        <v>256GB, White Titanium, ROW, iPhone 16 Pro Max, CI/AR</v>
      </c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</row>
    <row r="3084">
      <c r="A3084" s="10" t="str">
        <f t="shared" si="1"/>
        <v>February</v>
      </c>
      <c r="B3084" s="11">
        <f>IFERROR(__xludf.DUMMYFUNCTION("""COMPUTED_VALUE"""),46061.0)</f>
        <v>46061</v>
      </c>
      <c r="C3084" s="2" t="str">
        <f>IFERROR(__xludf.DUMMYFUNCTION("""COMPUTED_VALUE"""),"MOBILECARE - FESTIVE WALK ILOILO")</f>
        <v>MOBILECARE - FESTIVE WALK ILOILO</v>
      </c>
      <c r="D3084" s="2" t="str">
        <f>IFERROR(__xludf.DUMMYFUNCTION("""COMPUTED_VALUE"""),"661-44955")</f>
        <v>661-44955</v>
      </c>
      <c r="E3084" s="2" t="str">
        <f>IFERROR(__xludf.DUMMYFUNCTION("""COMPUTED_VALUE"""),"Display, iPhone 16 Pro Max")</f>
        <v>Display, iPhone 16 Pro Max</v>
      </c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</row>
    <row r="3085">
      <c r="A3085" s="10" t="str">
        <f t="shared" si="1"/>
        <v>May</v>
      </c>
      <c r="B3085" s="11">
        <f>IFERROR(__xludf.DUMMYFUNCTION("""COMPUTED_VALUE"""),46172.0)</f>
        <v>46172</v>
      </c>
      <c r="C3085" s="2" t="str">
        <f>IFERROR(__xludf.DUMMYFUNCTION("""COMPUTED_VALUE"""),"MOBILECARE - FESTIVE WALK ILOILO")</f>
        <v>MOBILECARE - FESTIVE WALK ILOILO</v>
      </c>
      <c r="D3085" s="2" t="str">
        <f>IFERROR(__xludf.DUMMYFUNCTION("""COMPUTED_VALUE"""),"661-21991")</f>
        <v>661-21991</v>
      </c>
      <c r="E3085" s="2" t="str">
        <f>IFERROR(__xludf.DUMMYFUNCTION("""COMPUTED_VALUE"""),"Battery, iPhone 13")</f>
        <v>Battery, iPhone 13</v>
      </c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</row>
    <row r="3086">
      <c r="A3086" s="10" t="str">
        <f t="shared" si="1"/>
        <v>March</v>
      </c>
      <c r="B3086" s="11">
        <f>IFERROR(__xludf.DUMMYFUNCTION("""COMPUTED_VALUE"""),46110.0)</f>
        <v>46110</v>
      </c>
      <c r="C3086" s="2" t="str">
        <f>IFERROR(__xludf.DUMMYFUNCTION("""COMPUTED_VALUE"""),"MOBILECARE - FESTIVE WALK ILOILO")</f>
        <v>MOBILECARE - FESTIVE WALK ILOILO</v>
      </c>
      <c r="D3086" s="2" t="str">
        <f>IFERROR(__xludf.DUMMYFUNCTION("""COMPUTED_VALUE"""),"TA661-43606")</f>
        <v>TA661-43606</v>
      </c>
      <c r="E3086" s="2" t="str">
        <f>IFERROR(__xludf.DUMMYFUNCTION("""COMPUTED_VALUE"""),"128GB, White, ROW, iPhone 16, Logic Board Assy Mid System")</f>
        <v>128GB, White, ROW, iPhone 16, Logic Board Assy Mid System</v>
      </c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</row>
    <row r="3087">
      <c r="A3087" s="10" t="str">
        <f t="shared" si="1"/>
        <v>March</v>
      </c>
      <c r="B3087" s="11">
        <f>IFERROR(__xludf.DUMMYFUNCTION("""COMPUTED_VALUE"""),46087.0)</f>
        <v>46087</v>
      </c>
      <c r="C3087" s="2" t="str">
        <f>IFERROR(__xludf.DUMMYFUNCTION("""COMPUTED_VALUE"""),"MOBILECARE - FESTIVE WALK ILOILO")</f>
        <v>MOBILECARE - FESTIVE WALK ILOILO</v>
      </c>
      <c r="D3087" s="2" t="str">
        <f>IFERROR(__xludf.DUMMYFUNCTION("""COMPUTED_VALUE"""),"661-21988")</f>
        <v>661-21988</v>
      </c>
      <c r="E3087" s="2" t="str">
        <f>IFERROR(__xludf.DUMMYFUNCTION("""COMPUTED_VALUE"""),"Display, iPhone 13")</f>
        <v>Display, iPhone 13</v>
      </c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</row>
    <row r="3088">
      <c r="A3088" s="10" t="str">
        <f t="shared" si="1"/>
        <v>April</v>
      </c>
      <c r="B3088" s="11">
        <f>IFERROR(__xludf.DUMMYFUNCTION("""COMPUTED_VALUE"""),46123.0)</f>
        <v>46123</v>
      </c>
      <c r="C3088" s="2" t="str">
        <f>IFERROR(__xludf.DUMMYFUNCTION("""COMPUTED_VALUE"""),"MOBILECARE - FESTIVE WALK ILOILO")</f>
        <v>MOBILECARE - FESTIVE WALK ILOILO</v>
      </c>
      <c r="D3088" s="2" t="str">
        <f>IFERROR(__xludf.DUMMYFUNCTION("""COMPUTED_VALUE"""),"PP661-23455")</f>
        <v>PP661-23455</v>
      </c>
      <c r="E3088" s="2" t="str">
        <f>IFERROR(__xludf.DUMMYFUNCTION("""COMPUTED_VALUE"""),"iPhone 13, Starlight, 128GB, Logic Board Assy Rear System, ROW")</f>
        <v>iPhone 13, Starlight, 128GB, Logic Board Assy Rear System, ROW</v>
      </c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</row>
    <row r="3089">
      <c r="A3089" s="10" t="str">
        <f t="shared" si="1"/>
        <v>April</v>
      </c>
      <c r="B3089" s="11">
        <f>IFERROR(__xludf.DUMMYFUNCTION("""COMPUTED_VALUE"""),46123.0)</f>
        <v>46123</v>
      </c>
      <c r="C3089" s="2" t="str">
        <f>IFERROR(__xludf.DUMMYFUNCTION("""COMPUTED_VALUE"""),"MOBILECARE - FESTIVE WALK ILOILO")</f>
        <v>MOBILECARE - FESTIVE WALK ILOILO</v>
      </c>
      <c r="D3089" s="2" t="str">
        <f>IFERROR(__xludf.DUMMYFUNCTION("""COMPUTED_VALUE"""),"PP661-23455")</f>
        <v>PP661-23455</v>
      </c>
      <c r="E3089" s="2" t="str">
        <f>IFERROR(__xludf.DUMMYFUNCTION("""COMPUTED_VALUE"""),"iPhone 13, Starlight, 128GB, Logic Board Assy Rear System, ROW")</f>
        <v>iPhone 13, Starlight, 128GB, Logic Board Assy Rear System, ROW</v>
      </c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</row>
    <row r="3090">
      <c r="A3090" s="10" t="str">
        <f t="shared" si="1"/>
        <v>January</v>
      </c>
      <c r="B3090" s="11">
        <f>IFERROR(__xludf.DUMMYFUNCTION("""COMPUTED_VALUE"""),46053.0)</f>
        <v>46053</v>
      </c>
      <c r="C3090" s="2" t="str">
        <f>IFERROR(__xludf.DUMMYFUNCTION("""COMPUTED_VALUE"""),"MOBILECARE - FESTIVE WALK ILOILO")</f>
        <v>MOBILECARE - FESTIVE WALK ILOILO</v>
      </c>
      <c r="D3090" s="2" t="str">
        <f>IFERROR(__xludf.DUMMYFUNCTION("""COMPUTED_VALUE"""),"661-42726")</f>
        <v>661-42726</v>
      </c>
      <c r="E3090" s="2" t="str">
        <f>IFERROR(__xludf.DUMMYFUNCTION("""COMPUTED_VALUE"""),"Display, iPhone 16 Pro")</f>
        <v>Display, iPhone 16 Pro</v>
      </c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</row>
    <row r="3091">
      <c r="A3091" s="10" t="str">
        <f t="shared" si="1"/>
        <v>January</v>
      </c>
      <c r="B3091" s="11">
        <f>IFERROR(__xludf.DUMMYFUNCTION("""COMPUTED_VALUE"""),46040.0)</f>
        <v>46040</v>
      </c>
      <c r="C3091" s="2" t="str">
        <f>IFERROR(__xludf.DUMMYFUNCTION("""COMPUTED_VALUE"""),"MOBILECARE - FESTIVE WALK ILOILO")</f>
        <v>MOBILECARE - FESTIVE WALK ILOILO</v>
      </c>
      <c r="D3091" s="2" t="str">
        <f>IFERROR(__xludf.DUMMYFUNCTION("""COMPUTED_VALUE"""),"661-21988")</f>
        <v>661-21988</v>
      </c>
      <c r="E3091" s="2" t="str">
        <f>IFERROR(__xludf.DUMMYFUNCTION("""COMPUTED_VALUE"""),"Display, iPhone 13")</f>
        <v>Display, iPhone 13</v>
      </c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</row>
    <row r="3092">
      <c r="A3092" s="10" t="str">
        <f t="shared" si="1"/>
        <v>June</v>
      </c>
      <c r="B3092" s="11">
        <f>IFERROR(__xludf.DUMMYFUNCTION("""COMPUTED_VALUE"""),46190.0)</f>
        <v>46190</v>
      </c>
      <c r="C3092" s="2" t="str">
        <f>IFERROR(__xludf.DUMMYFUNCTION("""COMPUTED_VALUE"""),"MOBILECARE - FESTIVE WALK ILOILO")</f>
        <v>MOBILECARE - FESTIVE WALK ILOILO</v>
      </c>
      <c r="D3092" s="2" t="str">
        <f>IFERROR(__xludf.DUMMYFUNCTION("""COMPUTED_VALUE"""),"661-44955")</f>
        <v>661-44955</v>
      </c>
      <c r="E3092" s="2" t="str">
        <f>IFERROR(__xludf.DUMMYFUNCTION("""COMPUTED_VALUE"""),"Display, iPhone 16 Pro Max")</f>
        <v>Display, iPhone 16 Pro Max</v>
      </c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</row>
    <row r="3093">
      <c r="A3093" s="10" t="str">
        <f t="shared" si="1"/>
        <v>June</v>
      </c>
      <c r="B3093" s="11">
        <f>IFERROR(__xludf.DUMMYFUNCTION("""COMPUTED_VALUE"""),46180.0)</f>
        <v>46180</v>
      </c>
      <c r="C3093" s="2" t="str">
        <f>IFERROR(__xludf.DUMMYFUNCTION("""COMPUTED_VALUE"""),"MOBILECARE - FESTIVE WALK ILOILO")</f>
        <v>MOBILECARE - FESTIVE WALK ILOILO</v>
      </c>
      <c r="D3093" s="2" t="str">
        <f>IFERROR(__xludf.DUMMYFUNCTION("""COMPUTED_VALUE"""),"661-56051")</f>
        <v>661-56051</v>
      </c>
      <c r="E3093" s="2" t="str">
        <f>IFERROR(__xludf.DUMMYFUNCTION("""COMPUTED_VALUE"""),"Front Camera, iPhone 17 Pro Max")</f>
        <v>Front Camera, iPhone 17 Pro Max</v>
      </c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</row>
    <row r="3094">
      <c r="A3094" s="10" t="str">
        <f t="shared" si="1"/>
        <v>April</v>
      </c>
      <c r="B3094" s="11">
        <f>IFERROR(__xludf.DUMMYFUNCTION("""COMPUTED_VALUE"""),46125.0)</f>
        <v>46125</v>
      </c>
      <c r="C3094" s="2" t="str">
        <f>IFERROR(__xludf.DUMMYFUNCTION("""COMPUTED_VALUE"""),"MOBILECARE - FESTIVE WALK ILOILO")</f>
        <v>MOBILECARE - FESTIVE WALK ILOILO</v>
      </c>
      <c r="D3094" s="2" t="str">
        <f>IFERROR(__xludf.DUMMYFUNCTION("""COMPUTED_VALUE"""),"661-56066")</f>
        <v>661-56066</v>
      </c>
      <c r="E3094" s="2" t="str">
        <f>IFERROR(__xludf.DUMMYFUNCTION("""COMPUTED_VALUE"""),"Front Camera, iPhone 17")</f>
        <v>Front Camera, iPhone 17</v>
      </c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</row>
    <row r="3095">
      <c r="A3095" s="10" t="str">
        <f t="shared" si="1"/>
        <v>April</v>
      </c>
      <c r="B3095" s="11">
        <f>IFERROR(__xludf.DUMMYFUNCTION("""COMPUTED_VALUE"""),46134.0)</f>
        <v>46134</v>
      </c>
      <c r="C3095" s="2" t="str">
        <f>IFERROR(__xludf.DUMMYFUNCTION("""COMPUTED_VALUE"""),"MOBILECARE - FESTIVE WALK ILOILO")</f>
        <v>MOBILECARE - FESTIVE WALK ILOILO</v>
      </c>
      <c r="D3095" s="2" t="str">
        <f>IFERROR(__xludf.DUMMYFUNCTION("""COMPUTED_VALUE"""),"PP661-23454")</f>
        <v>PP661-23454</v>
      </c>
      <c r="E3095" s="2" t="str">
        <f>IFERROR(__xludf.DUMMYFUNCTION("""COMPUTED_VALUE"""),"iPhone 13, Midnight, 128GB, Logic Board Assy Rear System, ROW")</f>
        <v>iPhone 13, Midnight, 128GB, Logic Board Assy Rear System, ROW</v>
      </c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</row>
    <row r="3096">
      <c r="A3096" s="10" t="str">
        <f t="shared" si="1"/>
        <v>April</v>
      </c>
      <c r="B3096" s="11">
        <f>IFERROR(__xludf.DUMMYFUNCTION("""COMPUTED_VALUE"""),46134.0)</f>
        <v>46134</v>
      </c>
      <c r="C3096" s="2" t="str">
        <f>IFERROR(__xludf.DUMMYFUNCTION("""COMPUTED_VALUE"""),"MOBILECARE - FESTIVE WALK ILOILO")</f>
        <v>MOBILECARE - FESTIVE WALK ILOILO</v>
      </c>
      <c r="D3096" s="2" t="str">
        <f>IFERROR(__xludf.DUMMYFUNCTION("""COMPUTED_VALUE"""),"PP661-23454")</f>
        <v>PP661-23454</v>
      </c>
      <c r="E3096" s="2" t="str">
        <f>IFERROR(__xludf.DUMMYFUNCTION("""COMPUTED_VALUE"""),"iPhone 13, Midnight, 128GB, Logic Board Assy Rear System, ROW")</f>
        <v>iPhone 13, Midnight, 128GB, Logic Board Assy Rear System, ROW</v>
      </c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</row>
    <row r="3097">
      <c r="A3097" s="10" t="str">
        <f t="shared" si="1"/>
        <v>March</v>
      </c>
      <c r="B3097" s="11">
        <f>IFERROR(__xludf.DUMMYFUNCTION("""COMPUTED_VALUE"""),46103.0)</f>
        <v>46103</v>
      </c>
      <c r="C3097" s="2" t="str">
        <f>IFERROR(__xludf.DUMMYFUNCTION("""COMPUTED_VALUE"""),"MOBILECARE - FESTIVE WALK ILOILO")</f>
        <v>MOBILECARE - FESTIVE WALK ILOILO</v>
      </c>
      <c r="D3097" s="2" t="str">
        <f>IFERROR(__xludf.DUMMYFUNCTION("""COMPUTED_VALUE"""),"661-21991")</f>
        <v>661-21991</v>
      </c>
      <c r="E3097" s="2" t="str">
        <f>IFERROR(__xludf.DUMMYFUNCTION("""COMPUTED_VALUE"""),"Battery, iPhone 13")</f>
        <v>Battery, iPhone 13</v>
      </c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</row>
    <row r="3098">
      <c r="A3098" s="10" t="str">
        <f t="shared" si="1"/>
        <v>June</v>
      </c>
      <c r="B3098" s="11">
        <f>IFERROR(__xludf.DUMMYFUNCTION("""COMPUTED_VALUE"""),46176.0)</f>
        <v>46176</v>
      </c>
      <c r="C3098" s="2" t="str">
        <f>IFERROR(__xludf.DUMMYFUNCTION("""COMPUTED_VALUE"""),"MOBILECARE - FESTIVE WALK ILOILO")</f>
        <v>MOBILECARE - FESTIVE WALK ILOILO</v>
      </c>
      <c r="D3098" s="2" t="str">
        <f>IFERROR(__xludf.DUMMYFUNCTION("""COMPUTED_VALUE"""),"661-21988")</f>
        <v>661-21988</v>
      </c>
      <c r="E3098" s="2" t="str">
        <f>IFERROR(__xludf.DUMMYFUNCTION("""COMPUTED_VALUE"""),"Display, iPhone 13")</f>
        <v>Display, iPhone 13</v>
      </c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</row>
    <row r="3099">
      <c r="A3099" s="10" t="str">
        <f t="shared" si="1"/>
        <v>May</v>
      </c>
      <c r="B3099" s="11">
        <f>IFERROR(__xludf.DUMMYFUNCTION("""COMPUTED_VALUE"""),46165.0)</f>
        <v>46165</v>
      </c>
      <c r="C3099" s="2" t="str">
        <f>IFERROR(__xludf.DUMMYFUNCTION("""COMPUTED_VALUE"""),"MOBILECARE - FESTIVE WALK ILOILO")</f>
        <v>MOBILECARE - FESTIVE WALK ILOILO</v>
      </c>
      <c r="D3099" s="2" t="str">
        <f>IFERROR(__xludf.DUMMYFUNCTION("""COMPUTED_VALUE"""),"661-36918")</f>
        <v>661-36918</v>
      </c>
      <c r="E3099" s="2" t="str">
        <f>IFERROR(__xludf.DUMMYFUNCTION("""COMPUTED_VALUE"""),"Battery, iPhone 15 Pro Max")</f>
        <v>Battery, iPhone 15 Pro Max</v>
      </c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</row>
    <row r="3100">
      <c r="A3100" s="10" t="str">
        <f t="shared" si="1"/>
        <v>May</v>
      </c>
      <c r="B3100" s="11">
        <f>IFERROR(__xludf.DUMMYFUNCTION("""COMPUTED_VALUE"""),46146.0)</f>
        <v>46146</v>
      </c>
      <c r="C3100" s="2" t="str">
        <f>IFERROR(__xludf.DUMMYFUNCTION("""COMPUTED_VALUE"""),"MOBILECARE - FESTIVE WALK ILOILO")</f>
        <v>MOBILECARE - FESTIVE WALK ILOILO</v>
      </c>
      <c r="D3100" s="2" t="str">
        <f>IFERROR(__xludf.DUMMYFUNCTION("""COMPUTED_VALUE"""),"661-30373")</f>
        <v>661-30373</v>
      </c>
      <c r="E3100" s="2" t="str">
        <f>IFERROR(__xludf.DUMMYFUNCTION("""COMPUTED_VALUE"""),"Battery, iPhone 14")</f>
        <v>Battery, iPhone 14</v>
      </c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</row>
    <row r="3101">
      <c r="A3101" s="10" t="str">
        <f t="shared" si="1"/>
        <v>April</v>
      </c>
      <c r="B3101" s="11">
        <f>IFERROR(__xludf.DUMMYFUNCTION("""COMPUTED_VALUE"""),46140.0)</f>
        <v>46140</v>
      </c>
      <c r="C3101" s="2" t="str">
        <f>IFERROR(__xludf.DUMMYFUNCTION("""COMPUTED_VALUE"""),"MOBILECARE - FESTIVE WALK ILOILO")</f>
        <v>MOBILECARE - FESTIVE WALK ILOILO</v>
      </c>
      <c r="D3101" s="2" t="str">
        <f>IFERROR(__xludf.DUMMYFUNCTION("""COMPUTED_VALUE"""),"TA661-45242")</f>
        <v>TA661-45242</v>
      </c>
      <c r="E3101" s="2" t="str">
        <f>IFERROR(__xludf.DUMMYFUNCTION("""COMPUTED_VALUE"""),"512GB, White, ROW, iPhone 16 Plus, Logic Board Assy Mid System")</f>
        <v>512GB, White, ROW, iPhone 16 Plus, Logic Board Assy Mid System</v>
      </c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</row>
    <row r="3102">
      <c r="A3102" s="10" t="str">
        <f t="shared" si="1"/>
        <v>February</v>
      </c>
      <c r="B3102" s="11">
        <f>IFERROR(__xludf.DUMMYFUNCTION("""COMPUTED_VALUE"""),46072.0)</f>
        <v>46072</v>
      </c>
      <c r="C3102" s="2" t="str">
        <f>IFERROR(__xludf.DUMMYFUNCTION("""COMPUTED_VALUE"""),"MOBILECARE - FESTIVE WALK ILOILO")</f>
        <v>MOBILECARE - FESTIVE WALK ILOILO</v>
      </c>
      <c r="D3102" s="2" t="str">
        <f>IFERROR(__xludf.DUMMYFUNCTION("""COMPUTED_VALUE"""),"661-21988")</f>
        <v>661-21988</v>
      </c>
      <c r="E3102" s="2" t="str">
        <f>IFERROR(__xludf.DUMMYFUNCTION("""COMPUTED_VALUE"""),"Display, iPhone 13")</f>
        <v>Display, iPhone 13</v>
      </c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</row>
    <row r="3103">
      <c r="A3103" s="10" t="str">
        <f t="shared" si="1"/>
        <v>February</v>
      </c>
      <c r="B3103" s="11">
        <f>IFERROR(__xludf.DUMMYFUNCTION("""COMPUTED_VALUE"""),46065.0)</f>
        <v>46065</v>
      </c>
      <c r="C3103" s="2" t="str">
        <f>IFERROR(__xludf.DUMMYFUNCTION("""COMPUTED_VALUE"""),"MOBILECARE - FESTIVE WALK ILOILO")</f>
        <v>MOBILECARE - FESTIVE WALK ILOILO</v>
      </c>
      <c r="D3103" s="2" t="str">
        <f>IFERROR(__xludf.DUMMYFUNCTION("""COMPUTED_VALUE"""),"661-21988")</f>
        <v>661-21988</v>
      </c>
      <c r="E3103" s="2" t="str">
        <f>IFERROR(__xludf.DUMMYFUNCTION("""COMPUTED_VALUE"""),"Display, iPhone 13")</f>
        <v>Display, iPhone 13</v>
      </c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</row>
    <row r="3104">
      <c r="A3104" s="10" t="str">
        <f t="shared" si="1"/>
        <v>February</v>
      </c>
      <c r="B3104" s="11">
        <f>IFERROR(__xludf.DUMMYFUNCTION("""COMPUTED_VALUE"""),46077.0)</f>
        <v>46077</v>
      </c>
      <c r="C3104" s="2" t="str">
        <f>IFERROR(__xludf.DUMMYFUNCTION("""COMPUTED_VALUE"""),"MOBILECARE - FESTIVE WALK ILOILO")</f>
        <v>MOBILECARE - FESTIVE WALK ILOILO</v>
      </c>
      <c r="D3104" s="2" t="str">
        <f>IFERROR(__xludf.DUMMYFUNCTION("""COMPUTED_VALUE"""),"PP661-23454")</f>
        <v>PP661-23454</v>
      </c>
      <c r="E3104" s="2" t="str">
        <f>IFERROR(__xludf.DUMMYFUNCTION("""COMPUTED_VALUE"""),"iPhone 13, Midnight, 128GB, Logic Board Assy Rear System, ROW")</f>
        <v>iPhone 13, Midnight, 128GB, Logic Board Assy Rear System, ROW</v>
      </c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</row>
    <row r="3105">
      <c r="A3105" s="10" t="str">
        <f t="shared" si="1"/>
        <v>February</v>
      </c>
      <c r="B3105" s="11">
        <f>IFERROR(__xludf.DUMMYFUNCTION("""COMPUTED_VALUE"""),46064.0)</f>
        <v>46064</v>
      </c>
      <c r="C3105" s="2" t="str">
        <f>IFERROR(__xludf.DUMMYFUNCTION("""COMPUTED_VALUE"""),"MOBILECARE - FESTIVE WALK ILOILO")</f>
        <v>MOBILECARE - FESTIVE WALK ILOILO</v>
      </c>
      <c r="D3105" s="2" t="str">
        <f>IFERROR(__xludf.DUMMYFUNCTION("""COMPUTED_VALUE"""),"661-44955")</f>
        <v>661-44955</v>
      </c>
      <c r="E3105" s="2" t="str">
        <f>IFERROR(__xludf.DUMMYFUNCTION("""COMPUTED_VALUE"""),"Display, iPhone 16 Pro Max")</f>
        <v>Display, iPhone 16 Pro Max</v>
      </c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</row>
    <row r="3106">
      <c r="A3106" s="10" t="str">
        <f t="shared" si="1"/>
        <v>February</v>
      </c>
      <c r="B3106" s="11">
        <f>IFERROR(__xludf.DUMMYFUNCTION("""COMPUTED_VALUE"""),46066.0)</f>
        <v>46066</v>
      </c>
      <c r="C3106" s="2" t="str">
        <f>IFERROR(__xludf.DUMMYFUNCTION("""COMPUTED_VALUE"""),"MOBILECARE - FESTIVE WALK ILOILO")</f>
        <v>MOBILECARE - FESTIVE WALK ILOILO</v>
      </c>
      <c r="D3106" s="2" t="str">
        <f>IFERROR(__xludf.DUMMYFUNCTION("""COMPUTED_VALUE"""),"TA661-44997")</f>
        <v>TA661-44997</v>
      </c>
      <c r="E3106" s="2" t="str">
        <f>IFERROR(__xludf.DUMMYFUNCTION("""COMPUTED_VALUE"""),"128GB, Desert Titanium, ROW, iPhone 16 Pro, Logic Board Assy Mid System")</f>
        <v>128GB, Desert Titanium, ROW, iPhone 16 Pro, Logic Board Assy Mid System</v>
      </c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</row>
    <row r="3107">
      <c r="A3107" s="10" t="str">
        <f t="shared" si="1"/>
        <v>February</v>
      </c>
      <c r="B3107" s="11">
        <f>IFERROR(__xludf.DUMMYFUNCTION("""COMPUTED_VALUE"""),46063.0)</f>
        <v>46063</v>
      </c>
      <c r="C3107" s="2" t="str">
        <f>IFERROR(__xludf.DUMMYFUNCTION("""COMPUTED_VALUE"""),"MOBILECARE - FESTIVE WALK ILOILO")</f>
        <v>MOBILECARE - FESTIVE WALK ILOILO</v>
      </c>
      <c r="D3107" s="2" t="str">
        <f>IFERROR(__xludf.DUMMYFUNCTION("""COMPUTED_VALUE"""),"661-21988")</f>
        <v>661-21988</v>
      </c>
      <c r="E3107" s="2" t="str">
        <f>IFERROR(__xludf.DUMMYFUNCTION("""COMPUTED_VALUE"""),"Display, iPhone 13")</f>
        <v>Display, iPhone 13</v>
      </c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</row>
    <row r="3108">
      <c r="A3108" s="10" t="str">
        <f t="shared" si="1"/>
        <v>June</v>
      </c>
      <c r="B3108" s="11">
        <f>IFERROR(__xludf.DUMMYFUNCTION("""COMPUTED_VALUE"""),46185.0)</f>
        <v>46185</v>
      </c>
      <c r="C3108" s="2" t="str">
        <f>IFERROR(__xludf.DUMMYFUNCTION("""COMPUTED_VALUE"""),"MOBILECARE - FESTIVE WALK ILOILO")</f>
        <v>MOBILECARE - FESTIVE WALK ILOILO</v>
      </c>
      <c r="D3108" s="2" t="str">
        <f>IFERROR(__xludf.DUMMYFUNCTION("""COMPUTED_VALUE"""),"PP661-23455")</f>
        <v>PP661-23455</v>
      </c>
      <c r="E3108" s="2" t="str">
        <f>IFERROR(__xludf.DUMMYFUNCTION("""COMPUTED_VALUE"""),"iPhone 13, Starlight, 128GB, Logic Board Assy Rear System, ROW")</f>
        <v>iPhone 13, Starlight, 128GB, Logic Board Assy Rear System, ROW</v>
      </c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</row>
    <row r="3109">
      <c r="A3109" s="10" t="str">
        <f t="shared" si="1"/>
        <v>March</v>
      </c>
      <c r="B3109" s="11">
        <f>IFERROR(__xludf.DUMMYFUNCTION("""COMPUTED_VALUE"""),46102.0)</f>
        <v>46102</v>
      </c>
      <c r="C3109" s="2" t="str">
        <f>IFERROR(__xludf.DUMMYFUNCTION("""COMPUTED_VALUE"""),"MOBILECARE - FESTIVE WALK ILOILO")</f>
        <v>MOBILECARE - FESTIVE WALK ILOILO</v>
      </c>
      <c r="D3109" s="2" t="str">
        <f>IFERROR(__xludf.DUMMYFUNCTION("""COMPUTED_VALUE"""),"661-56066")</f>
        <v>661-56066</v>
      </c>
      <c r="E3109" s="2" t="str">
        <f>IFERROR(__xludf.DUMMYFUNCTION("""COMPUTED_VALUE"""),"Front Camera, iPhone 17")</f>
        <v>Front Camera, iPhone 17</v>
      </c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</row>
    <row r="3110">
      <c r="A3110" s="10" t="str">
        <f t="shared" si="1"/>
        <v>April</v>
      </c>
      <c r="B3110" s="11">
        <f>IFERROR(__xludf.DUMMYFUNCTION("""COMPUTED_VALUE"""),46118.0)</f>
        <v>46118</v>
      </c>
      <c r="C3110" s="2" t="str">
        <f>IFERROR(__xludf.DUMMYFUNCTION("""COMPUTED_VALUE"""),"MOBILECARE - FESTIVE WALK ILOILO")</f>
        <v>MOBILECARE - FESTIVE WALK ILOILO</v>
      </c>
      <c r="D3110" s="2" t="str">
        <f>IFERROR(__xludf.DUMMYFUNCTION("""COMPUTED_VALUE"""),"PP661-23455")</f>
        <v>PP661-23455</v>
      </c>
      <c r="E3110" s="2" t="str">
        <f>IFERROR(__xludf.DUMMYFUNCTION("""COMPUTED_VALUE"""),"iPhone 13, Starlight, 128GB, Logic Board Assy Rear System, ROW")</f>
        <v>iPhone 13, Starlight, 128GB, Logic Board Assy Rear System, ROW</v>
      </c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</row>
    <row r="3111">
      <c r="A3111" s="10" t="str">
        <f t="shared" si="1"/>
        <v>June</v>
      </c>
      <c r="B3111" s="11">
        <f>IFERROR(__xludf.DUMMYFUNCTION("""COMPUTED_VALUE"""),46193.0)</f>
        <v>46193</v>
      </c>
      <c r="C3111" s="2" t="str">
        <f>IFERROR(__xludf.DUMMYFUNCTION("""COMPUTED_VALUE"""),"MOBILECARE - FESTIVE WALK ILOILO")</f>
        <v>MOBILECARE - FESTIVE WALK ILOILO</v>
      </c>
      <c r="D3111" s="2" t="str">
        <f>IFERROR(__xludf.DUMMYFUNCTION("""COMPUTED_VALUE"""),"661-22309")</f>
        <v>661-22309</v>
      </c>
      <c r="E3111" s="2" t="str">
        <f>IFERROR(__xludf.DUMMYFUNCTION("""COMPUTED_VALUE"""),"Display, iPhone 13 Pro Max")</f>
        <v>Display, iPhone 13 Pro Max</v>
      </c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</row>
    <row r="3112">
      <c r="A3112" s="10" t="str">
        <f t="shared" si="1"/>
        <v>June</v>
      </c>
      <c r="B3112" s="11">
        <f>IFERROR(__xludf.DUMMYFUNCTION("""COMPUTED_VALUE"""),46176.0)</f>
        <v>46176</v>
      </c>
      <c r="C3112" s="2" t="str">
        <f>IFERROR(__xludf.DUMMYFUNCTION("""COMPUTED_VALUE"""),"MOBILECARE - FESTIVE WALK ILOILO")</f>
        <v>MOBILECARE - FESTIVE WALK ILOILO</v>
      </c>
      <c r="D3112" s="2" t="str">
        <f>IFERROR(__xludf.DUMMYFUNCTION("""COMPUTED_VALUE"""),"661-30366")</f>
        <v>661-30366</v>
      </c>
      <c r="E3112" s="2" t="str">
        <f>IFERROR(__xludf.DUMMYFUNCTION("""COMPUTED_VALUE"""),"Display, iPhone 14")</f>
        <v>Display, iPhone 14</v>
      </c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</row>
    <row r="3113">
      <c r="A3113" s="10" t="str">
        <f t="shared" si="1"/>
        <v>May</v>
      </c>
      <c r="B3113" s="11">
        <f>IFERROR(__xludf.DUMMYFUNCTION("""COMPUTED_VALUE"""),46165.0)</f>
        <v>46165</v>
      </c>
      <c r="C3113" s="2" t="str">
        <f>IFERROR(__xludf.DUMMYFUNCTION("""COMPUTED_VALUE"""),"MOBILECARE - FESTIVE WALK ILOILO")</f>
        <v>MOBILECARE - FESTIVE WALK ILOILO</v>
      </c>
      <c r="D3113" s="2" t="str">
        <f>IFERROR(__xludf.DUMMYFUNCTION("""COMPUTED_VALUE"""),"661-21991")</f>
        <v>661-21991</v>
      </c>
      <c r="E3113" s="2" t="str">
        <f>IFERROR(__xludf.DUMMYFUNCTION("""COMPUTED_VALUE"""),"Battery, iPhone 13")</f>
        <v>Battery, iPhone 13</v>
      </c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</row>
    <row r="3114">
      <c r="A3114" s="10" t="str">
        <f t="shared" si="1"/>
        <v>June</v>
      </c>
      <c r="B3114" s="11">
        <f>IFERROR(__xludf.DUMMYFUNCTION("""COMPUTED_VALUE"""),46183.0)</f>
        <v>46183</v>
      </c>
      <c r="C3114" s="2" t="str">
        <f>IFERROR(__xludf.DUMMYFUNCTION("""COMPUTED_VALUE"""),"MOBILECARE - FESTIVE WALK ILOILO")</f>
        <v>MOBILECARE - FESTIVE WALK ILOILO</v>
      </c>
      <c r="D3114" s="2" t="str">
        <f>IFERROR(__xludf.DUMMYFUNCTION("""COMPUTED_VALUE"""),"PP661-28869")</f>
        <v>PP661-28869</v>
      </c>
      <c r="E3114" s="2" t="str">
        <f>IFERROR(__xludf.DUMMYFUNCTION("""COMPUTED_VALUE"""),"iPhone 14, Starlight, 128GB, Logic Board Assy Mid System, ROW")</f>
        <v>iPhone 14, Starlight, 128GB, Logic Board Assy Mid System, ROW</v>
      </c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</row>
    <row r="3115">
      <c r="A3115" s="10" t="str">
        <f t="shared" si="1"/>
        <v>March</v>
      </c>
      <c r="B3115" s="11">
        <f>IFERROR(__xludf.DUMMYFUNCTION("""COMPUTED_VALUE"""),46111.0)</f>
        <v>46111</v>
      </c>
      <c r="C3115" s="2" t="str">
        <f>IFERROR(__xludf.DUMMYFUNCTION("""COMPUTED_VALUE"""),"MOBILECARE - FESTIVE WALK ILOILO")</f>
        <v>MOBILECARE - FESTIVE WALK ILOILO</v>
      </c>
      <c r="D3115" s="2" t="str">
        <f>IFERROR(__xludf.DUMMYFUNCTION("""COMPUTED_VALUE"""),"661-21991")</f>
        <v>661-21991</v>
      </c>
      <c r="E3115" s="2" t="str">
        <f>IFERROR(__xludf.DUMMYFUNCTION("""COMPUTED_VALUE"""),"Battery, iPhone 13")</f>
        <v>Battery, iPhone 13</v>
      </c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</row>
    <row r="3116">
      <c r="A3116" s="10" t="str">
        <f t="shared" si="1"/>
        <v>March</v>
      </c>
      <c r="B3116" s="11">
        <f>IFERROR(__xludf.DUMMYFUNCTION("""COMPUTED_VALUE"""),46108.0)</f>
        <v>46108</v>
      </c>
      <c r="C3116" s="2" t="str">
        <f>IFERROR(__xludf.DUMMYFUNCTION("""COMPUTED_VALUE"""),"MOBILECARE - FESTIVE WALK ILOILO")</f>
        <v>MOBILECARE - FESTIVE WALK ILOILO</v>
      </c>
      <c r="D3116" s="2" t="str">
        <f>IFERROR(__xludf.DUMMYFUNCTION("""COMPUTED_VALUE"""),"PP661-23455")</f>
        <v>PP661-23455</v>
      </c>
      <c r="E3116" s="2" t="str">
        <f>IFERROR(__xludf.DUMMYFUNCTION("""COMPUTED_VALUE"""),"iPhone 13, Starlight, 128GB, Logic Board Assy Rear System, ROW")</f>
        <v>iPhone 13, Starlight, 128GB, Logic Board Assy Rear System, ROW</v>
      </c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</row>
    <row r="3117">
      <c r="A3117" s="10" t="str">
        <f t="shared" si="1"/>
        <v>March</v>
      </c>
      <c r="B3117" s="11">
        <f>IFERROR(__xludf.DUMMYFUNCTION("""COMPUTED_VALUE"""),46098.0)</f>
        <v>46098</v>
      </c>
      <c r="C3117" s="2" t="str">
        <f>IFERROR(__xludf.DUMMYFUNCTION("""COMPUTED_VALUE"""),"MOBILECARE - FESTIVE WALK ILOILO")</f>
        <v>MOBILECARE - FESTIVE WALK ILOILO</v>
      </c>
      <c r="D3117" s="2" t="str">
        <f>IFERROR(__xludf.DUMMYFUNCTION("""COMPUTED_VALUE"""),"PP661-23454")</f>
        <v>PP661-23454</v>
      </c>
      <c r="E3117" s="2" t="str">
        <f>IFERROR(__xludf.DUMMYFUNCTION("""COMPUTED_VALUE"""),"iPhone 13, Midnight, 128GB, Logic Board Assy Rear System, ROW")</f>
        <v>iPhone 13, Midnight, 128GB, Logic Board Assy Rear System, ROW</v>
      </c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</row>
    <row r="3118">
      <c r="A3118" s="10" t="str">
        <f t="shared" si="1"/>
        <v>February</v>
      </c>
      <c r="B3118" s="11">
        <f>IFERROR(__xludf.DUMMYFUNCTION("""COMPUTED_VALUE"""),46057.0)</f>
        <v>46057</v>
      </c>
      <c r="C3118" s="2" t="str">
        <f>IFERROR(__xludf.DUMMYFUNCTION("""COMPUTED_VALUE"""),"MOBILECARE - FESTIVE WALK ILOILO")</f>
        <v>MOBILECARE - FESTIVE WALK ILOILO</v>
      </c>
      <c r="D3118" s="2" t="str">
        <f>IFERROR(__xludf.DUMMYFUNCTION("""COMPUTED_VALUE"""),"PP661-28868")</f>
        <v>PP661-28868</v>
      </c>
      <c r="E3118" s="2" t="str">
        <f>IFERROR(__xludf.DUMMYFUNCTION("""COMPUTED_VALUE"""),"iPhone 14, Midnight, 128GB, Logic Board Assy Mid System, ROW")</f>
        <v>iPhone 14, Midnight, 128GB, Logic Board Assy Mid System, ROW</v>
      </c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</row>
    <row r="3119">
      <c r="A3119" s="10" t="str">
        <f t="shared" si="1"/>
        <v>June</v>
      </c>
      <c r="B3119" s="11">
        <f>IFERROR(__xludf.DUMMYFUNCTION("""COMPUTED_VALUE"""),46183.0)</f>
        <v>46183</v>
      </c>
      <c r="C3119" s="2" t="str">
        <f>IFERROR(__xludf.DUMMYFUNCTION("""COMPUTED_VALUE"""),"MOBILECARE - FESTIVE WALK ILOILO")</f>
        <v>MOBILECARE - FESTIVE WALK ILOILO</v>
      </c>
      <c r="D3119" s="2" t="str">
        <f>IFERROR(__xludf.DUMMYFUNCTION("""COMPUTED_VALUE"""),"PP661-23454")</f>
        <v>PP661-23454</v>
      </c>
      <c r="E3119" s="2" t="str">
        <f>IFERROR(__xludf.DUMMYFUNCTION("""COMPUTED_VALUE"""),"iPhone 13, Midnight, 128GB, Logic Board Assy Rear System, ROW")</f>
        <v>iPhone 13, Midnight, 128GB, Logic Board Assy Rear System, ROW</v>
      </c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</row>
    <row r="3120">
      <c r="A3120" s="10" t="str">
        <f t="shared" si="1"/>
        <v>April</v>
      </c>
      <c r="B3120" s="11">
        <f>IFERROR(__xludf.DUMMYFUNCTION("""COMPUTED_VALUE"""),46141.0)</f>
        <v>46141</v>
      </c>
      <c r="C3120" s="2" t="str">
        <f>IFERROR(__xludf.DUMMYFUNCTION("""COMPUTED_VALUE"""),"MOBILECARE - FESTIVE WALK ILOILO")</f>
        <v>MOBILECARE - FESTIVE WALK ILOILO</v>
      </c>
      <c r="D3120" s="2" t="str">
        <f>IFERROR(__xludf.DUMMYFUNCTION("""COMPUTED_VALUE"""),"PP661-28871")</f>
        <v>PP661-28871</v>
      </c>
      <c r="E3120" s="2" t="str">
        <f>IFERROR(__xludf.DUMMYFUNCTION("""COMPUTED_VALUE"""),"iPhone 14, Blue, 128GB, Logic Board Assy Mid System, ROW")</f>
        <v>iPhone 14, Blue, 128GB, Logic Board Assy Mid System, ROW</v>
      </c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</row>
    <row r="3121">
      <c r="A3121" s="10" t="str">
        <f t="shared" si="1"/>
        <v>April</v>
      </c>
      <c r="B3121" s="11">
        <f>IFERROR(__xludf.DUMMYFUNCTION("""COMPUTED_VALUE"""),46116.0)</f>
        <v>46116</v>
      </c>
      <c r="C3121" s="2" t="str">
        <f>IFERROR(__xludf.DUMMYFUNCTION("""COMPUTED_VALUE"""),"MOBILECARE - FESTIVE WALK ILOILO")</f>
        <v>MOBILECARE - FESTIVE WALK ILOILO</v>
      </c>
      <c r="D3121" s="2" t="str">
        <f>IFERROR(__xludf.DUMMYFUNCTION("""COMPUTED_VALUE"""),"TA661-45235")</f>
        <v>TA661-45235</v>
      </c>
      <c r="E3121" s="2" t="str">
        <f>IFERROR(__xludf.DUMMYFUNCTION("""COMPUTED_VALUE"""),"128GB, Teal, ROW, iPhone 16 Plus, Logic Board Assy Mid System")</f>
        <v>128GB, Teal, ROW, iPhone 16 Plus, Logic Board Assy Mid System</v>
      </c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</row>
    <row r="3122">
      <c r="A3122" s="10" t="str">
        <f t="shared" si="1"/>
        <v>March</v>
      </c>
      <c r="B3122" s="11">
        <f>IFERROR(__xludf.DUMMYFUNCTION("""COMPUTED_VALUE"""),46094.0)</f>
        <v>46094</v>
      </c>
      <c r="C3122" s="2" t="str">
        <f>IFERROR(__xludf.DUMMYFUNCTION("""COMPUTED_VALUE"""),"MOBILECARE - FESTIVE WALK ILOILO")</f>
        <v>MOBILECARE - FESTIVE WALK ILOILO</v>
      </c>
      <c r="D3122" s="2" t="str">
        <f>IFERROR(__xludf.DUMMYFUNCTION("""COMPUTED_VALUE"""),"661-21988")</f>
        <v>661-21988</v>
      </c>
      <c r="E3122" s="2" t="str">
        <f>IFERROR(__xludf.DUMMYFUNCTION("""COMPUTED_VALUE"""),"Display, iPhone 13")</f>
        <v>Display, iPhone 13</v>
      </c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</row>
    <row r="3123">
      <c r="A3123" s="10" t="str">
        <f t="shared" si="1"/>
        <v>March</v>
      </c>
      <c r="B3123" s="11">
        <f>IFERROR(__xludf.DUMMYFUNCTION("""COMPUTED_VALUE"""),46086.0)</f>
        <v>46086</v>
      </c>
      <c r="C3123" s="2" t="str">
        <f>IFERROR(__xludf.DUMMYFUNCTION("""COMPUTED_VALUE"""),"MOBILECARE - FESTIVE WALK ILOILO")</f>
        <v>MOBILECARE - FESTIVE WALK ILOILO</v>
      </c>
      <c r="D3123" s="2" t="str">
        <f>IFERROR(__xludf.DUMMYFUNCTION("""COMPUTED_VALUE"""),"661-23878")</f>
        <v>661-23878</v>
      </c>
      <c r="E3123" s="2" t="str">
        <f>IFERROR(__xludf.DUMMYFUNCTION("""COMPUTED_VALUE"""),"TrueDepth Camera, iPhone 13")</f>
        <v>TrueDepth Camera, iPhone 13</v>
      </c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</row>
    <row r="3124">
      <c r="A3124" s="10" t="str">
        <f t="shared" si="1"/>
        <v>February</v>
      </c>
      <c r="B3124" s="11">
        <f>IFERROR(__xludf.DUMMYFUNCTION("""COMPUTED_VALUE"""),46062.0)</f>
        <v>46062</v>
      </c>
      <c r="C3124" s="2" t="str">
        <f>IFERROR(__xludf.DUMMYFUNCTION("""COMPUTED_VALUE"""),"MOBILECARE - FESTIVE WALK ILOILO")</f>
        <v>MOBILECARE - FESTIVE WALK ILOILO</v>
      </c>
      <c r="D3124" s="2" t="str">
        <f>IFERROR(__xludf.DUMMYFUNCTION("""COMPUTED_VALUE"""),"PP661-23455")</f>
        <v>PP661-23455</v>
      </c>
      <c r="E3124" s="2" t="str">
        <f>IFERROR(__xludf.DUMMYFUNCTION("""COMPUTED_VALUE"""),"iPhone 13, Starlight, 128GB, Logic Board Assy Rear System, ROW")</f>
        <v>iPhone 13, Starlight, 128GB, Logic Board Assy Rear System, ROW</v>
      </c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</row>
    <row r="3125">
      <c r="A3125" s="10" t="str">
        <f t="shared" si="1"/>
        <v>January</v>
      </c>
      <c r="B3125" s="11">
        <f>IFERROR(__xludf.DUMMYFUNCTION("""COMPUTED_VALUE"""),46050.0)</f>
        <v>46050</v>
      </c>
      <c r="C3125" s="2" t="str">
        <f>IFERROR(__xludf.DUMMYFUNCTION("""COMPUTED_VALUE"""),"MOBILECARE - FESTIVE WALK ILOILO")</f>
        <v>MOBILECARE - FESTIVE WALK ILOILO</v>
      </c>
      <c r="D3125" s="2" t="str">
        <f>IFERROR(__xludf.DUMMYFUNCTION("""COMPUTED_VALUE"""),"PP661-28869")</f>
        <v>PP661-28869</v>
      </c>
      <c r="E3125" s="2" t="str">
        <f>IFERROR(__xludf.DUMMYFUNCTION("""COMPUTED_VALUE"""),"iPhone 14, Starlight, 128GB, Logic Board Assy Mid System, ROW")</f>
        <v>iPhone 14, Starlight, 128GB, Logic Board Assy Mid System, ROW</v>
      </c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</row>
    <row r="3126">
      <c r="A3126" s="10" t="str">
        <f t="shared" si="1"/>
        <v>February</v>
      </c>
      <c r="B3126" s="11">
        <f>IFERROR(__xludf.DUMMYFUNCTION("""COMPUTED_VALUE"""),46057.0)</f>
        <v>46057</v>
      </c>
      <c r="C3126" s="2" t="str">
        <f>IFERROR(__xludf.DUMMYFUNCTION("""COMPUTED_VALUE"""),"MOBILECARE - FESTIVE WALK ILOILO")</f>
        <v>MOBILECARE - FESTIVE WALK ILOILO</v>
      </c>
      <c r="D3126" s="2" t="str">
        <f>IFERROR(__xludf.DUMMYFUNCTION("""COMPUTED_VALUE"""),"TA661-42900")</f>
        <v>TA661-42900</v>
      </c>
      <c r="E3126" s="2" t="str">
        <f>IFERROR(__xludf.DUMMYFUNCTION("""COMPUTED_VALUE"""),"128GB, Natural Titanium, ROW, iPhone 16 Pro, CI/AR")</f>
        <v>128GB, Natural Titanium, ROW, iPhone 16 Pro, CI/AR</v>
      </c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</row>
    <row r="3127">
      <c r="A3127" s="10" t="str">
        <f t="shared" si="1"/>
        <v>April</v>
      </c>
      <c r="B3127" s="11">
        <f>IFERROR(__xludf.DUMMYFUNCTION("""COMPUTED_VALUE"""),46119.0)</f>
        <v>46119</v>
      </c>
      <c r="C3127" s="2" t="str">
        <f>IFERROR(__xludf.DUMMYFUNCTION("""COMPUTED_VALUE"""),"MOBILECARE - FESTIVE WALK ILOILO")</f>
        <v>MOBILECARE - FESTIVE WALK ILOILO</v>
      </c>
      <c r="D3127" s="2" t="str">
        <f>IFERROR(__xludf.DUMMYFUNCTION("""COMPUTED_VALUE"""),"661-44955")</f>
        <v>661-44955</v>
      </c>
      <c r="E3127" s="2" t="str">
        <f>IFERROR(__xludf.DUMMYFUNCTION("""COMPUTED_VALUE"""),"Display, iPhone 16 Pro Max")</f>
        <v>Display, iPhone 16 Pro Max</v>
      </c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</row>
    <row r="3128">
      <c r="A3128" s="10" t="str">
        <f t="shared" si="1"/>
        <v>April</v>
      </c>
      <c r="B3128" s="11">
        <f>IFERROR(__xludf.DUMMYFUNCTION("""COMPUTED_VALUE"""),46118.0)</f>
        <v>46118</v>
      </c>
      <c r="C3128" s="2" t="str">
        <f>IFERROR(__xludf.DUMMYFUNCTION("""COMPUTED_VALUE"""),"MOBILECARE - FESTIVE WALK ILOILO")</f>
        <v>MOBILECARE - FESTIVE WALK ILOILO</v>
      </c>
      <c r="D3128" s="2" t="str">
        <f>IFERROR(__xludf.DUMMYFUNCTION("""COMPUTED_VALUE"""),"TA661-43614")</f>
        <v>TA661-43614</v>
      </c>
      <c r="E3128" s="2" t="str">
        <f>IFERROR(__xludf.DUMMYFUNCTION("""COMPUTED_VALUE"""),"256GB, Teal, ROW, iPhone 16, Logic Board Assy Mid System")</f>
        <v>256GB, Teal, ROW, iPhone 16, Logic Board Assy Mid System</v>
      </c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</row>
    <row r="3129">
      <c r="A3129" s="10" t="str">
        <f t="shared" si="1"/>
        <v>February</v>
      </c>
      <c r="B3129" s="11">
        <f>IFERROR(__xludf.DUMMYFUNCTION("""COMPUTED_VALUE"""),46056.0)</f>
        <v>46056</v>
      </c>
      <c r="C3129" s="2" t="str">
        <f>IFERROR(__xludf.DUMMYFUNCTION("""COMPUTED_VALUE"""),"MOBILECARE - FESTIVE WALK ILOILO")</f>
        <v>MOBILECARE - FESTIVE WALK ILOILO</v>
      </c>
      <c r="D3129" s="2" t="str">
        <f>IFERROR(__xludf.DUMMYFUNCTION("""COMPUTED_VALUE"""),"661-44797")</f>
        <v>661-44797</v>
      </c>
      <c r="E3129" s="2" t="str">
        <f>IFERROR(__xludf.DUMMYFUNCTION("""COMPUTED_VALUE"""),"Display, iPhone 16")</f>
        <v>Display, iPhone 16</v>
      </c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</row>
    <row r="3130">
      <c r="A3130" s="10" t="str">
        <f t="shared" si="1"/>
        <v>January</v>
      </c>
      <c r="B3130" s="11">
        <f>IFERROR(__xludf.DUMMYFUNCTION("""COMPUTED_VALUE"""),46053.0)</f>
        <v>46053</v>
      </c>
      <c r="C3130" s="2" t="str">
        <f>IFERROR(__xludf.DUMMYFUNCTION("""COMPUTED_VALUE"""),"MOBILECARE - FESTIVE WALK ILOILO")</f>
        <v>MOBILECARE - FESTIVE WALK ILOILO</v>
      </c>
      <c r="D3130" s="2" t="str">
        <f>IFERROR(__xludf.DUMMYFUNCTION("""COMPUTED_VALUE"""),"Z661-55942")</f>
        <v>Z661-55942</v>
      </c>
      <c r="E3130" s="2" t="str">
        <f>IFERROR(__xludf.DUMMYFUNCTION("""COMPUTED_VALUE"""),"Logic Board, 256GB, A3523, ROW, iPhone 17 Pro")</f>
        <v>Logic Board, 256GB, A3523, ROW, iPhone 17 Pro</v>
      </c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</row>
    <row r="3131">
      <c r="A3131" s="10" t="str">
        <f t="shared" si="1"/>
        <v>April</v>
      </c>
      <c r="B3131" s="11">
        <f>IFERROR(__xludf.DUMMYFUNCTION("""COMPUTED_VALUE"""),46118.0)</f>
        <v>46118</v>
      </c>
      <c r="C3131" s="2" t="str">
        <f>IFERROR(__xludf.DUMMYFUNCTION("""COMPUTED_VALUE"""),"MOBILECARE - FESTIVE WALK ILOILO")</f>
        <v>MOBILECARE - FESTIVE WALK ILOILO</v>
      </c>
      <c r="D3131" s="2" t="str">
        <f>IFERROR(__xludf.DUMMYFUNCTION("""COMPUTED_VALUE"""),"661-44799")</f>
        <v>661-44799</v>
      </c>
      <c r="E3131" s="2" t="str">
        <f>IFERROR(__xludf.DUMMYFUNCTION("""COMPUTED_VALUE"""),"Camera, iPhone 16")</f>
        <v>Camera, iPhone 16</v>
      </c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</row>
    <row r="3132">
      <c r="A3132" s="10" t="str">
        <f t="shared" si="1"/>
        <v>April</v>
      </c>
      <c r="B3132" s="11">
        <f>IFERROR(__xludf.DUMMYFUNCTION("""COMPUTED_VALUE"""),46118.0)</f>
        <v>46118</v>
      </c>
      <c r="C3132" s="2" t="str">
        <f>IFERROR(__xludf.DUMMYFUNCTION("""COMPUTED_VALUE"""),"MOBILECARE - FESTIVE WALK ILOILO")</f>
        <v>MOBILECARE - FESTIVE WALK ILOILO</v>
      </c>
      <c r="D3132" s="2" t="str">
        <f>IFERROR(__xludf.DUMMYFUNCTION("""COMPUTED_VALUE"""),"661-44798")</f>
        <v>661-44798</v>
      </c>
      <c r="E3132" s="2" t="str">
        <f>IFERROR(__xludf.DUMMYFUNCTION("""COMPUTED_VALUE"""),"TrueDepth Camera, iPhone 16")</f>
        <v>TrueDepth Camera, iPhone 16</v>
      </c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</row>
    <row r="3133">
      <c r="A3133" s="10" t="str">
        <f t="shared" si="1"/>
        <v>April</v>
      </c>
      <c r="B3133" s="11">
        <f>IFERROR(__xludf.DUMMYFUNCTION("""COMPUTED_VALUE"""),46118.0)</f>
        <v>46118</v>
      </c>
      <c r="C3133" s="2" t="str">
        <f>IFERROR(__xludf.DUMMYFUNCTION("""COMPUTED_VALUE"""),"MOBILECARE - FESTIVE WALK ILOILO")</f>
        <v>MOBILECARE - FESTIVE WALK ILOILO</v>
      </c>
      <c r="D3133" s="2" t="str">
        <f>IFERROR(__xludf.DUMMYFUNCTION("""COMPUTED_VALUE"""),"661-44799")</f>
        <v>661-44799</v>
      </c>
      <c r="E3133" s="2" t="str">
        <f>IFERROR(__xludf.DUMMYFUNCTION("""COMPUTED_VALUE"""),"Camera, iPhone 16")</f>
        <v>Camera, iPhone 16</v>
      </c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</row>
    <row r="3134">
      <c r="A3134" s="10" t="str">
        <f t="shared" si="1"/>
        <v>April</v>
      </c>
      <c r="B3134" s="11">
        <f>IFERROR(__xludf.DUMMYFUNCTION("""COMPUTED_VALUE"""),46118.0)</f>
        <v>46118</v>
      </c>
      <c r="C3134" s="2" t="str">
        <f>IFERROR(__xludf.DUMMYFUNCTION("""COMPUTED_VALUE"""),"MOBILECARE - FESTIVE WALK ILOILO")</f>
        <v>MOBILECARE - FESTIVE WALK ILOILO</v>
      </c>
      <c r="D3134" s="2" t="str">
        <f>IFERROR(__xludf.DUMMYFUNCTION("""COMPUTED_VALUE"""),"661-44798")</f>
        <v>661-44798</v>
      </c>
      <c r="E3134" s="2" t="str">
        <f>IFERROR(__xludf.DUMMYFUNCTION("""COMPUTED_VALUE"""),"TrueDepth Camera, iPhone 16")</f>
        <v>TrueDepth Camera, iPhone 16</v>
      </c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</row>
    <row r="3135">
      <c r="A3135" s="10" t="str">
        <f t="shared" si="1"/>
        <v>February</v>
      </c>
      <c r="B3135" s="11">
        <f>IFERROR(__xludf.DUMMYFUNCTION("""COMPUTED_VALUE"""),46078.0)</f>
        <v>46078</v>
      </c>
      <c r="C3135" s="2" t="str">
        <f>IFERROR(__xludf.DUMMYFUNCTION("""COMPUTED_VALUE"""),"MOBILECARE - FESTIVE WALK ILOILO")</f>
        <v>MOBILECARE - FESTIVE WALK ILOILO</v>
      </c>
      <c r="D3135" s="2" t="str">
        <f>IFERROR(__xludf.DUMMYFUNCTION("""COMPUTED_VALUE"""),"PP661-23455")</f>
        <v>PP661-23455</v>
      </c>
      <c r="E3135" s="2" t="str">
        <f>IFERROR(__xludf.DUMMYFUNCTION("""COMPUTED_VALUE"""),"iPhone 13, Starlight, 128GB, Logic Board Assy Rear System, ROW")</f>
        <v>iPhone 13, Starlight, 128GB, Logic Board Assy Rear System, ROW</v>
      </c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</row>
    <row r="3136">
      <c r="A3136" s="10" t="str">
        <f t="shared" si="1"/>
        <v>June</v>
      </c>
      <c r="B3136" s="11">
        <f>IFERROR(__xludf.DUMMYFUNCTION("""COMPUTED_VALUE"""),46187.0)</f>
        <v>46187</v>
      </c>
      <c r="C3136" s="2" t="str">
        <f>IFERROR(__xludf.DUMMYFUNCTION("""COMPUTED_VALUE"""),"MOBILECARE - FESTIVE WALK ILOILO")</f>
        <v>MOBILECARE - FESTIVE WALK ILOILO</v>
      </c>
      <c r="D3136" s="2" t="str">
        <f>IFERROR(__xludf.DUMMYFUNCTION("""COMPUTED_VALUE"""),"661-42727")</f>
        <v>661-42727</v>
      </c>
      <c r="E3136" s="2" t="str">
        <f>IFERROR(__xludf.DUMMYFUNCTION("""COMPUTED_VALUE"""),"TrueDepth Camera, iPhone 16 Pro")</f>
        <v>TrueDepth Camera, iPhone 16 Pro</v>
      </c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</row>
    <row r="3137">
      <c r="A3137" s="10" t="str">
        <f t="shared" si="1"/>
        <v>May</v>
      </c>
      <c r="B3137" s="11">
        <f>IFERROR(__xludf.DUMMYFUNCTION("""COMPUTED_VALUE"""),46149.0)</f>
        <v>46149</v>
      </c>
      <c r="C3137" s="2" t="str">
        <f>IFERROR(__xludf.DUMMYFUNCTION("""COMPUTED_VALUE"""),"MOBILECARE - FESTIVE WALK ILOILO")</f>
        <v>MOBILECARE - FESTIVE WALK ILOILO</v>
      </c>
      <c r="D3137" s="2" t="str">
        <f>IFERROR(__xludf.DUMMYFUNCTION("""COMPUTED_VALUE"""),"661-21991")</f>
        <v>661-21991</v>
      </c>
      <c r="E3137" s="2" t="str">
        <f>IFERROR(__xludf.DUMMYFUNCTION("""COMPUTED_VALUE"""),"Battery, iPhone 13")</f>
        <v>Battery, iPhone 13</v>
      </c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</row>
    <row r="3138">
      <c r="A3138" s="10" t="str">
        <f t="shared" si="1"/>
        <v>April</v>
      </c>
      <c r="B3138" s="11">
        <f>IFERROR(__xludf.DUMMYFUNCTION("""COMPUTED_VALUE"""),46117.0)</f>
        <v>46117</v>
      </c>
      <c r="C3138" s="2" t="str">
        <f>IFERROR(__xludf.DUMMYFUNCTION("""COMPUTED_VALUE"""),"MOBILECARE - FESTIVE WALK ILOILO")</f>
        <v>MOBILECARE - FESTIVE WALK ILOILO</v>
      </c>
      <c r="D3138" s="2" t="str">
        <f>IFERROR(__xludf.DUMMYFUNCTION("""COMPUTED_VALUE"""),"PP661-23454")</f>
        <v>PP661-23454</v>
      </c>
      <c r="E3138" s="2" t="str">
        <f>IFERROR(__xludf.DUMMYFUNCTION("""COMPUTED_VALUE"""),"iPhone 13, Midnight, 128GB, Logic Board Assy Rear System, ROW")</f>
        <v>iPhone 13, Midnight, 128GB, Logic Board Assy Rear System, ROW</v>
      </c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</row>
    <row r="3139">
      <c r="A3139" s="10" t="str">
        <f t="shared" si="1"/>
        <v>April</v>
      </c>
      <c r="B3139" s="11">
        <f>IFERROR(__xludf.DUMMYFUNCTION("""COMPUTED_VALUE"""),46120.0)</f>
        <v>46120</v>
      </c>
      <c r="C3139" s="2" t="str">
        <f>IFERROR(__xludf.DUMMYFUNCTION("""COMPUTED_VALUE"""),"MOBILECARE - FESTIVE WALK ILOILO")</f>
        <v>MOBILECARE - FESTIVE WALK ILOILO</v>
      </c>
      <c r="D3139" s="2" t="str">
        <f>IFERROR(__xludf.DUMMYFUNCTION("""COMPUTED_VALUE"""),"TA661-36291")</f>
        <v>TA661-36291</v>
      </c>
      <c r="E3139" s="2" t="str">
        <f>IFERROR(__xludf.DUMMYFUNCTION("""COMPUTED_VALUE"""),"Black, iPhone 15, 256GB, ROW, CI/AR, Taiwan")</f>
        <v>Black, iPhone 15, 256GB, ROW, CI/AR, Taiwan</v>
      </c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</row>
    <row r="3140">
      <c r="A3140" s="10" t="str">
        <f t="shared" si="1"/>
        <v>February</v>
      </c>
      <c r="B3140" s="11">
        <f>IFERROR(__xludf.DUMMYFUNCTION("""COMPUTED_VALUE"""),46062.0)</f>
        <v>46062</v>
      </c>
      <c r="C3140" s="2" t="str">
        <f>IFERROR(__xludf.DUMMYFUNCTION("""COMPUTED_VALUE"""),"MOBILECARE - FESTIVE WALK ILOILO")</f>
        <v>MOBILECARE - FESTIVE WALK ILOILO</v>
      </c>
      <c r="D3140" s="2" t="str">
        <f>IFERROR(__xludf.DUMMYFUNCTION("""COMPUTED_VALUE"""),"PP661-22981")</f>
        <v>PP661-22981</v>
      </c>
      <c r="E3140" s="2" t="str">
        <f>IFERROR(__xludf.DUMMYFUNCTION("""COMPUTED_VALUE"""),"Starlight, 128 GB, iPhone 13, ROW, CI/AR, Philippines")</f>
        <v>Starlight, 128 GB, iPhone 13, ROW, CI/AR, Philippines</v>
      </c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</row>
    <row r="3141">
      <c r="A3141" s="10" t="str">
        <f t="shared" si="1"/>
        <v>February</v>
      </c>
      <c r="B3141" s="11">
        <f>IFERROR(__xludf.DUMMYFUNCTION("""COMPUTED_VALUE"""),46057.0)</f>
        <v>46057</v>
      </c>
      <c r="C3141" s="2" t="str">
        <f>IFERROR(__xludf.DUMMYFUNCTION("""COMPUTED_VALUE"""),"MOBILECARE - FESTIVE WALK ILOILO")</f>
        <v>MOBILECARE - FESTIVE WALK ILOILO</v>
      </c>
      <c r="D3141" s="2" t="str">
        <f>IFERROR(__xludf.DUMMYFUNCTION("""COMPUTED_VALUE"""),"PP661-23455")</f>
        <v>PP661-23455</v>
      </c>
      <c r="E3141" s="2" t="str">
        <f>IFERROR(__xludf.DUMMYFUNCTION("""COMPUTED_VALUE"""),"iPhone 13, Starlight, 128GB, Logic Board Assy Rear System, ROW")</f>
        <v>iPhone 13, Starlight, 128GB, Logic Board Assy Rear System, ROW</v>
      </c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</row>
    <row r="3142">
      <c r="A3142" s="10" t="str">
        <f t="shared" si="1"/>
        <v>January</v>
      </c>
      <c r="B3142" s="11">
        <f>IFERROR(__xludf.DUMMYFUNCTION("""COMPUTED_VALUE"""),46049.0)</f>
        <v>46049</v>
      </c>
      <c r="C3142" s="2" t="str">
        <f>IFERROR(__xludf.DUMMYFUNCTION("""COMPUTED_VALUE"""),"MOBILECARE - FESTIVE WALK ILOILO")</f>
        <v>MOBILECARE - FESTIVE WALK ILOILO</v>
      </c>
      <c r="D3142" s="2" t="str">
        <f>IFERROR(__xludf.DUMMYFUNCTION("""COMPUTED_VALUE"""),"PP661-22980")</f>
        <v>PP661-22980</v>
      </c>
      <c r="E3142" s="2" t="str">
        <f>IFERROR(__xludf.DUMMYFUNCTION("""COMPUTED_VALUE"""),"Midnight, 128 GB, iPhone 13, ROW, CI/AR, Philippines")</f>
        <v>Midnight, 128 GB, iPhone 13, ROW, CI/AR, Philippines</v>
      </c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</row>
    <row r="3143">
      <c r="A3143" s="10" t="str">
        <f t="shared" si="1"/>
        <v>June</v>
      </c>
      <c r="B3143" s="11">
        <f>IFERROR(__xludf.DUMMYFUNCTION("""COMPUTED_VALUE"""),46183.0)</f>
        <v>46183</v>
      </c>
      <c r="C3143" s="2" t="str">
        <f>IFERROR(__xludf.DUMMYFUNCTION("""COMPUTED_VALUE"""),"MOBILECARE - FESTIVE WALK ILOILO")</f>
        <v>MOBILECARE - FESTIVE WALK ILOILO</v>
      </c>
      <c r="D3143" s="2" t="str">
        <f>IFERROR(__xludf.DUMMYFUNCTION("""COMPUTED_VALUE"""),"661-21988")</f>
        <v>661-21988</v>
      </c>
      <c r="E3143" s="2" t="str">
        <f>IFERROR(__xludf.DUMMYFUNCTION("""COMPUTED_VALUE"""),"Display, iPhone 13")</f>
        <v>Display, iPhone 13</v>
      </c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</row>
    <row r="3144">
      <c r="A3144" s="10" t="str">
        <f t="shared" si="1"/>
        <v>May</v>
      </c>
      <c r="B3144" s="11">
        <f>IFERROR(__xludf.DUMMYFUNCTION("""COMPUTED_VALUE"""),46143.0)</f>
        <v>46143</v>
      </c>
      <c r="C3144" s="2" t="str">
        <f>IFERROR(__xludf.DUMMYFUNCTION("""COMPUTED_VALUE"""),"MOBILECARE - FESTIVE WALK ILOILO")</f>
        <v>MOBILECARE - FESTIVE WALK ILOILO</v>
      </c>
      <c r="D3144" s="2" t="str">
        <f>IFERROR(__xludf.DUMMYFUNCTION("""COMPUTED_VALUE"""),"661-22309")</f>
        <v>661-22309</v>
      </c>
      <c r="E3144" s="2" t="str">
        <f>IFERROR(__xludf.DUMMYFUNCTION("""COMPUTED_VALUE"""),"Display, iPhone 13 Pro Max")</f>
        <v>Display, iPhone 13 Pro Max</v>
      </c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</row>
    <row r="3145">
      <c r="A3145" s="10" t="str">
        <f t="shared" si="1"/>
        <v>April</v>
      </c>
      <c r="B3145" s="11">
        <f>IFERROR(__xludf.DUMMYFUNCTION("""COMPUTED_VALUE"""),46126.0)</f>
        <v>46126</v>
      </c>
      <c r="C3145" s="2" t="str">
        <f>IFERROR(__xludf.DUMMYFUNCTION("""COMPUTED_VALUE"""),"MOBILECARE - FESTIVE WALK ILOILO")</f>
        <v>MOBILECARE - FESTIVE WALK ILOILO</v>
      </c>
      <c r="D3145" s="2" t="str">
        <f>IFERROR(__xludf.DUMMYFUNCTION("""COMPUTED_VALUE"""),"PP661-23455")</f>
        <v>PP661-23455</v>
      </c>
      <c r="E3145" s="2" t="str">
        <f>IFERROR(__xludf.DUMMYFUNCTION("""COMPUTED_VALUE"""),"iPhone 13, Starlight, 128GB, Logic Board Assy Rear System, ROW")</f>
        <v>iPhone 13, Starlight, 128GB, Logic Board Assy Rear System, ROW</v>
      </c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</row>
    <row r="3146">
      <c r="A3146" s="10" t="str">
        <f t="shared" si="1"/>
        <v>March</v>
      </c>
      <c r="B3146" s="11">
        <f>IFERROR(__xludf.DUMMYFUNCTION("""COMPUTED_VALUE"""),46100.0)</f>
        <v>46100</v>
      </c>
      <c r="C3146" s="2" t="str">
        <f>IFERROR(__xludf.DUMMYFUNCTION("""COMPUTED_VALUE"""),"MOBILECARE - FESTIVE WALK ILOILO")</f>
        <v>MOBILECARE - FESTIVE WALK ILOILO</v>
      </c>
      <c r="D3146" s="2" t="str">
        <f>IFERROR(__xludf.DUMMYFUNCTION("""COMPUTED_VALUE"""),"PP661-23455")</f>
        <v>PP661-23455</v>
      </c>
      <c r="E3146" s="2" t="str">
        <f>IFERROR(__xludf.DUMMYFUNCTION("""COMPUTED_VALUE"""),"iPhone 13, Starlight, 128GB, Logic Board Assy Rear System, ROW")</f>
        <v>iPhone 13, Starlight, 128GB, Logic Board Assy Rear System, ROW</v>
      </c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</row>
    <row r="3147">
      <c r="A3147" s="10" t="str">
        <f t="shared" si="1"/>
        <v>March</v>
      </c>
      <c r="B3147" s="11">
        <f>IFERROR(__xludf.DUMMYFUNCTION("""COMPUTED_VALUE"""),46102.0)</f>
        <v>46102</v>
      </c>
      <c r="C3147" s="2" t="str">
        <f>IFERROR(__xludf.DUMMYFUNCTION("""COMPUTED_VALUE"""),"MOBILECARE - FESTIVE WALK ILOILO")</f>
        <v>MOBILECARE - FESTIVE WALK ILOILO</v>
      </c>
      <c r="D3147" s="2" t="str">
        <f>IFERROR(__xludf.DUMMYFUNCTION("""COMPUTED_VALUE"""),"TA661-44997")</f>
        <v>TA661-44997</v>
      </c>
      <c r="E3147" s="2" t="str">
        <f>IFERROR(__xludf.DUMMYFUNCTION("""COMPUTED_VALUE"""),"128GB, Desert Titanium, ROW, iPhone 16 Pro, Logic Board Assy Mid System")</f>
        <v>128GB, Desert Titanium, ROW, iPhone 16 Pro, Logic Board Assy Mid System</v>
      </c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</row>
    <row r="3148">
      <c r="A3148" s="10" t="str">
        <f t="shared" si="1"/>
        <v>March</v>
      </c>
      <c r="B3148" s="11">
        <f>IFERROR(__xludf.DUMMYFUNCTION("""COMPUTED_VALUE"""),46102.0)</f>
        <v>46102</v>
      </c>
      <c r="C3148" s="2" t="str">
        <f>IFERROR(__xludf.DUMMYFUNCTION("""COMPUTED_VALUE"""),"MOBILECARE - FESTIVE WALK ILOILO")</f>
        <v>MOBILECARE - FESTIVE WALK ILOILO</v>
      </c>
      <c r="D3148" s="2" t="str">
        <f>IFERROR(__xludf.DUMMYFUNCTION("""COMPUTED_VALUE"""),"661-42726")</f>
        <v>661-42726</v>
      </c>
      <c r="E3148" s="2" t="str">
        <f>IFERROR(__xludf.DUMMYFUNCTION("""COMPUTED_VALUE"""),"Display, iPhone 16 Pro")</f>
        <v>Display, iPhone 16 Pro</v>
      </c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</row>
    <row r="3149">
      <c r="A3149" s="10" t="str">
        <f t="shared" si="1"/>
        <v>March</v>
      </c>
      <c r="B3149" s="11">
        <f>IFERROR(__xludf.DUMMYFUNCTION("""COMPUTED_VALUE"""),46094.0)</f>
        <v>46094</v>
      </c>
      <c r="C3149" s="2" t="str">
        <f>IFERROR(__xludf.DUMMYFUNCTION("""COMPUTED_VALUE"""),"MOBILECARE - FESTIVE WALK ILOILO")</f>
        <v>MOBILECARE - FESTIVE WALK ILOILO</v>
      </c>
      <c r="D3149" s="2" t="str">
        <f>IFERROR(__xludf.DUMMYFUNCTION("""COMPUTED_VALUE"""),"661-21991")</f>
        <v>661-21991</v>
      </c>
      <c r="E3149" s="2" t="str">
        <f>IFERROR(__xludf.DUMMYFUNCTION("""COMPUTED_VALUE"""),"Battery, iPhone 13")</f>
        <v>Battery, iPhone 13</v>
      </c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</row>
    <row r="3150">
      <c r="A3150" s="10" t="str">
        <f t="shared" si="1"/>
        <v>April</v>
      </c>
      <c r="B3150" s="11">
        <f>IFERROR(__xludf.DUMMYFUNCTION("""COMPUTED_VALUE"""),46117.0)</f>
        <v>46117</v>
      </c>
      <c r="C3150" s="2" t="str">
        <f>IFERROR(__xludf.DUMMYFUNCTION("""COMPUTED_VALUE"""),"MOBILECARE - FESTIVE WALK ILOILO")</f>
        <v>MOBILECARE - FESTIVE WALK ILOILO</v>
      </c>
      <c r="D3150" s="2" t="str">
        <f>IFERROR(__xludf.DUMMYFUNCTION("""COMPUTED_VALUE"""),"TA661-45327")</f>
        <v>TA661-45327</v>
      </c>
      <c r="E3150" s="2" t="str">
        <f>IFERROR(__xludf.DUMMYFUNCTION("""COMPUTED_VALUE"""),"512GB, Desert Titanium, ROW, iPhone 16 Pro Max, Logic Board Assy Mid Sys")</f>
        <v>512GB, Desert Titanium, ROW, iPhone 16 Pro Max, Logic Board Assy Mid Sys</v>
      </c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</row>
    <row r="3151">
      <c r="A3151" s="10" t="str">
        <f t="shared" si="1"/>
        <v>March</v>
      </c>
      <c r="B3151" s="11">
        <f>IFERROR(__xludf.DUMMYFUNCTION("""COMPUTED_VALUE"""),46082.0)</f>
        <v>46082</v>
      </c>
      <c r="C3151" s="2" t="str">
        <f>IFERROR(__xludf.DUMMYFUNCTION("""COMPUTED_VALUE"""),"MOBILECARE - FESTIVE WALK ILOILO")</f>
        <v>MOBILECARE - FESTIVE WALK ILOILO</v>
      </c>
      <c r="D3151" s="2" t="str">
        <f>IFERROR(__xludf.DUMMYFUNCTION("""COMPUTED_VALUE"""),"661-21988")</f>
        <v>661-21988</v>
      </c>
      <c r="E3151" s="2" t="str">
        <f>IFERROR(__xludf.DUMMYFUNCTION("""COMPUTED_VALUE"""),"Display, iPhone 13")</f>
        <v>Display, iPhone 13</v>
      </c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</row>
    <row r="3152">
      <c r="A3152" s="10" t="str">
        <f t="shared" si="1"/>
        <v>February</v>
      </c>
      <c r="B3152" s="11">
        <f>IFERROR(__xludf.DUMMYFUNCTION("""COMPUTED_VALUE"""),46069.0)</f>
        <v>46069</v>
      </c>
      <c r="C3152" s="2" t="str">
        <f>IFERROR(__xludf.DUMMYFUNCTION("""COMPUTED_VALUE"""),"MOBILECARE - FESTIVE WALK ILOILO")</f>
        <v>MOBILECARE - FESTIVE WALK ILOILO</v>
      </c>
      <c r="D3152" s="2" t="str">
        <f>IFERROR(__xludf.DUMMYFUNCTION("""COMPUTED_VALUE"""),"661-21991")</f>
        <v>661-21991</v>
      </c>
      <c r="E3152" s="2" t="str">
        <f>IFERROR(__xludf.DUMMYFUNCTION("""COMPUTED_VALUE"""),"Battery, iPhone 13")</f>
        <v>Battery, iPhone 13</v>
      </c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</row>
    <row r="3153">
      <c r="A3153" s="10" t="str">
        <f t="shared" si="1"/>
        <v>June</v>
      </c>
      <c r="B3153" s="11">
        <f>IFERROR(__xludf.DUMMYFUNCTION("""COMPUTED_VALUE"""),46192.0)</f>
        <v>46192</v>
      </c>
      <c r="C3153" s="2" t="str">
        <f>IFERROR(__xludf.DUMMYFUNCTION("""COMPUTED_VALUE"""),"MOBILECARE - APP MAGNOLIA")</f>
        <v>MOBILECARE - APP MAGNOLIA</v>
      </c>
      <c r="D3153" s="2" t="str">
        <f>IFERROR(__xludf.DUMMYFUNCTION("""COMPUTED_VALUE"""),"661-35885")</f>
        <v>661-35885</v>
      </c>
      <c r="E3153" s="2" t="str">
        <f>IFERROR(__xludf.DUMMYFUNCTION("""COMPUTED_VALUE"""),"Battery, iPhone 15")</f>
        <v>Battery, iPhone 15</v>
      </c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</row>
    <row r="3154">
      <c r="A3154" s="10" t="str">
        <f t="shared" si="1"/>
        <v>May</v>
      </c>
      <c r="B3154" s="11">
        <f>IFERROR(__xludf.DUMMYFUNCTION("""COMPUTED_VALUE"""),46168.0)</f>
        <v>46168</v>
      </c>
      <c r="C3154" s="2" t="str">
        <f>IFERROR(__xludf.DUMMYFUNCTION("""COMPUTED_VALUE"""),"MOBILECARE - APP MAGNOLIA")</f>
        <v>MOBILECARE - APP MAGNOLIA</v>
      </c>
      <c r="D3154" s="2" t="str">
        <f>IFERROR(__xludf.DUMMYFUNCTION("""COMPUTED_VALUE"""),"661-30373")</f>
        <v>661-30373</v>
      </c>
      <c r="E3154" s="2" t="str">
        <f>IFERROR(__xludf.DUMMYFUNCTION("""COMPUTED_VALUE"""),"Battery, iPhone 14")</f>
        <v>Battery, iPhone 14</v>
      </c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</row>
    <row r="3155">
      <c r="A3155" s="10" t="str">
        <f t="shared" si="1"/>
        <v>May</v>
      </c>
      <c r="B3155" s="11">
        <f>IFERROR(__xludf.DUMMYFUNCTION("""COMPUTED_VALUE"""),46157.0)</f>
        <v>46157</v>
      </c>
      <c r="C3155" s="2" t="str">
        <f>IFERROR(__xludf.DUMMYFUNCTION("""COMPUTED_VALUE"""),"MOBILECARE - APP MAGNOLIA")</f>
        <v>MOBILECARE - APP MAGNOLIA</v>
      </c>
      <c r="D3155" s="2" t="str">
        <f>IFERROR(__xludf.DUMMYFUNCTION("""COMPUTED_VALUE"""),"661-42726")</f>
        <v>661-42726</v>
      </c>
      <c r="E3155" s="2" t="str">
        <f>IFERROR(__xludf.DUMMYFUNCTION("""COMPUTED_VALUE"""),"Display, iPhone 16 Pro")</f>
        <v>Display, iPhone 16 Pro</v>
      </c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</row>
    <row r="3156">
      <c r="A3156" s="10" t="str">
        <f t="shared" si="1"/>
        <v>April</v>
      </c>
      <c r="B3156" s="11">
        <f>IFERROR(__xludf.DUMMYFUNCTION("""COMPUTED_VALUE"""),46133.0)</f>
        <v>46133</v>
      </c>
      <c r="C3156" s="2" t="str">
        <f>IFERROR(__xludf.DUMMYFUNCTION("""COMPUTED_VALUE"""),"MOBILECARE - APP MAGNOLIA")</f>
        <v>MOBILECARE - APP MAGNOLIA</v>
      </c>
      <c r="D3156" s="2" t="str">
        <f>IFERROR(__xludf.DUMMYFUNCTION("""COMPUTED_VALUE"""),"661-17920")</f>
        <v>661-17920</v>
      </c>
      <c r="E3156" s="2" t="str">
        <f>IFERROR(__xludf.DUMMYFUNCTION("""COMPUTED_VALUE"""),"Battery, iPhone 12 and 12 Pro")</f>
        <v>Battery, iPhone 12 and 12 Pro</v>
      </c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</row>
    <row r="3157">
      <c r="A3157" s="10" t="str">
        <f t="shared" si="1"/>
        <v>March</v>
      </c>
      <c r="B3157" s="11">
        <f>IFERROR(__xludf.DUMMYFUNCTION("""COMPUTED_VALUE"""),46102.0)</f>
        <v>46102</v>
      </c>
      <c r="C3157" s="2" t="str">
        <f>IFERROR(__xludf.DUMMYFUNCTION("""COMPUTED_VALUE"""),"MOBILECARE - APP MAGNOLIA")</f>
        <v>MOBILECARE - APP MAGNOLIA</v>
      </c>
      <c r="D3157" s="2" t="str">
        <f>IFERROR(__xludf.DUMMYFUNCTION("""COMPUTED_VALUE"""),"661-56050")</f>
        <v>661-56050</v>
      </c>
      <c r="E3157" s="2" t="str">
        <f>IFERROR(__xludf.DUMMYFUNCTION("""COMPUTED_VALUE"""),"Display, iPhone 17 Pro Max")</f>
        <v>Display, iPhone 17 Pro Max</v>
      </c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</row>
    <row r="3158">
      <c r="A3158" s="10" t="str">
        <f t="shared" si="1"/>
        <v>March</v>
      </c>
      <c r="B3158" s="11">
        <f>IFERROR(__xludf.DUMMYFUNCTION("""COMPUTED_VALUE"""),46103.0)</f>
        <v>46103</v>
      </c>
      <c r="C3158" s="2" t="str">
        <f>IFERROR(__xludf.DUMMYFUNCTION("""COMPUTED_VALUE"""),"MOBILECARE - APP MAGNOLIA")</f>
        <v>MOBILECARE - APP MAGNOLIA</v>
      </c>
      <c r="D3158" s="2" t="str">
        <f>IFERROR(__xludf.DUMMYFUNCTION("""COMPUTED_VALUE"""),"661-21991")</f>
        <v>661-21991</v>
      </c>
      <c r="E3158" s="2" t="str">
        <f>IFERROR(__xludf.DUMMYFUNCTION("""COMPUTED_VALUE"""),"Battery, iPhone 13")</f>
        <v>Battery, iPhone 13</v>
      </c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</row>
    <row r="3159">
      <c r="A3159" s="10" t="str">
        <f t="shared" si="1"/>
        <v>March</v>
      </c>
      <c r="B3159" s="11">
        <f>IFERROR(__xludf.DUMMYFUNCTION("""COMPUTED_VALUE"""),46094.0)</f>
        <v>46094</v>
      </c>
      <c r="C3159" s="2" t="str">
        <f>IFERROR(__xludf.DUMMYFUNCTION("""COMPUTED_VALUE"""),"MOBILECARE - APP MAGNOLIA")</f>
        <v>MOBILECARE - APP MAGNOLIA</v>
      </c>
      <c r="D3159" s="2" t="str">
        <f>IFERROR(__xludf.DUMMYFUNCTION("""COMPUTED_VALUE"""),"661-44955")</f>
        <v>661-44955</v>
      </c>
      <c r="E3159" s="2" t="str">
        <f>IFERROR(__xludf.DUMMYFUNCTION("""COMPUTED_VALUE"""),"Display, iPhone 16 Pro Max")</f>
        <v>Display, iPhone 16 Pro Max</v>
      </c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</row>
    <row r="3160">
      <c r="A3160" s="10" t="str">
        <f t="shared" si="1"/>
        <v>March</v>
      </c>
      <c r="B3160" s="11">
        <f>IFERROR(__xludf.DUMMYFUNCTION("""COMPUTED_VALUE"""),46093.0)</f>
        <v>46093</v>
      </c>
      <c r="C3160" s="2" t="str">
        <f>IFERROR(__xludf.DUMMYFUNCTION("""COMPUTED_VALUE"""),"MOBILECARE - APP MAGNOLIA")</f>
        <v>MOBILECARE - APP MAGNOLIA</v>
      </c>
      <c r="D3160" s="2" t="str">
        <f>IFERROR(__xludf.DUMMYFUNCTION("""COMPUTED_VALUE"""),"661-21991")</f>
        <v>661-21991</v>
      </c>
      <c r="E3160" s="2" t="str">
        <f>IFERROR(__xludf.DUMMYFUNCTION("""COMPUTED_VALUE"""),"Battery, iPhone 13")</f>
        <v>Battery, iPhone 13</v>
      </c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</row>
    <row r="3161">
      <c r="A3161" s="10" t="str">
        <f t="shared" si="1"/>
        <v>February</v>
      </c>
      <c r="B3161" s="11">
        <f>IFERROR(__xludf.DUMMYFUNCTION("""COMPUTED_VALUE"""),46071.0)</f>
        <v>46071</v>
      </c>
      <c r="C3161" s="2" t="str">
        <f>IFERROR(__xludf.DUMMYFUNCTION("""COMPUTED_VALUE"""),"MOBILECARE - APP MAGNOLIA")</f>
        <v>MOBILECARE - APP MAGNOLIA</v>
      </c>
      <c r="D3161" s="2" t="str">
        <f>IFERROR(__xludf.DUMMYFUNCTION("""COMPUTED_VALUE"""),"661-36918")</f>
        <v>661-36918</v>
      </c>
      <c r="E3161" s="2" t="str">
        <f>IFERROR(__xludf.DUMMYFUNCTION("""COMPUTED_VALUE"""),"Battery, iPhone 15 Pro Max")</f>
        <v>Battery, iPhone 15 Pro Max</v>
      </c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</row>
    <row r="3162">
      <c r="A3162" s="10" t="str">
        <f t="shared" si="1"/>
        <v>February</v>
      </c>
      <c r="B3162" s="11">
        <f>IFERROR(__xludf.DUMMYFUNCTION("""COMPUTED_VALUE"""),46064.0)</f>
        <v>46064</v>
      </c>
      <c r="C3162" s="2" t="str">
        <f>IFERROR(__xludf.DUMMYFUNCTION("""COMPUTED_VALUE"""),"MOBILECARE - APP MAGNOLIA")</f>
        <v>MOBILECARE - APP MAGNOLIA</v>
      </c>
      <c r="D3162" s="2" t="str">
        <f>IFERROR(__xludf.DUMMYFUNCTION("""COMPUTED_VALUE"""),"923-11081")</f>
        <v>923-11081</v>
      </c>
      <c r="E3162" s="2" t="str">
        <f>IFERROR(__xludf.DUMMYFUNCTION("""COMPUTED_VALUE"""),"Bottom Speaker, iPhone 16 Pro Max")</f>
        <v>Bottom Speaker, iPhone 16 Pro Max</v>
      </c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</row>
    <row r="3163">
      <c r="A3163" s="10" t="str">
        <f t="shared" si="1"/>
        <v>April</v>
      </c>
      <c r="B3163" s="11">
        <f>IFERROR(__xludf.DUMMYFUNCTION("""COMPUTED_VALUE"""),46141.0)</f>
        <v>46141</v>
      </c>
      <c r="C3163" s="2" t="str">
        <f>IFERROR(__xludf.DUMMYFUNCTION("""COMPUTED_VALUE"""),"MOBILECARE - APP MAGNOLIA")</f>
        <v>MOBILECARE - APP MAGNOLIA</v>
      </c>
      <c r="D3163" s="2" t="str">
        <f>IFERROR(__xludf.DUMMYFUNCTION("""COMPUTED_VALUE"""),"661-30373")</f>
        <v>661-30373</v>
      </c>
      <c r="E3163" s="2" t="str">
        <f>IFERROR(__xludf.DUMMYFUNCTION("""COMPUTED_VALUE"""),"Battery, iPhone 14")</f>
        <v>Battery, iPhone 14</v>
      </c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</row>
    <row r="3164">
      <c r="A3164" s="10" t="str">
        <f t="shared" si="1"/>
        <v>April</v>
      </c>
      <c r="B3164" s="11">
        <f>IFERROR(__xludf.DUMMYFUNCTION("""COMPUTED_VALUE"""),46134.0)</f>
        <v>46134</v>
      </c>
      <c r="C3164" s="2" t="str">
        <f>IFERROR(__xludf.DUMMYFUNCTION("""COMPUTED_VALUE"""),"MOBILECARE - APP MAGNOLIA")</f>
        <v>MOBILECARE - APP MAGNOLIA</v>
      </c>
      <c r="D3164" s="2" t="str">
        <f>IFERROR(__xludf.DUMMYFUNCTION("""COMPUTED_VALUE"""),"661-30397")</f>
        <v>661-30397</v>
      </c>
      <c r="E3164" s="2" t="str">
        <f>IFERROR(__xludf.DUMMYFUNCTION("""COMPUTED_VALUE"""),"Battery, iPhone 14 Pro Max")</f>
        <v>Battery, iPhone 14 Pro Max</v>
      </c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</row>
    <row r="3165">
      <c r="A3165" s="10" t="str">
        <f t="shared" si="1"/>
        <v>April</v>
      </c>
      <c r="B3165" s="11">
        <f>IFERROR(__xludf.DUMMYFUNCTION("""COMPUTED_VALUE"""),46117.0)</f>
        <v>46117</v>
      </c>
      <c r="C3165" s="2" t="str">
        <f>IFERROR(__xludf.DUMMYFUNCTION("""COMPUTED_VALUE"""),"MOBILECARE - APP MAGNOLIA")</f>
        <v>MOBILECARE - APP MAGNOLIA</v>
      </c>
      <c r="D3165" s="2" t="str">
        <f>IFERROR(__xludf.DUMMYFUNCTION("""COMPUTED_VALUE"""),"Z661-56015")</f>
        <v>Z661-56015</v>
      </c>
      <c r="E3165" s="2" t="str">
        <f>IFERROR(__xludf.DUMMYFUNCTION("""COMPUTED_VALUE"""),"Logic Board, 256GB, iPhone 17, ROW")</f>
        <v>Logic Board, 256GB, iPhone 17, ROW</v>
      </c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</row>
    <row r="3166">
      <c r="A3166" s="10" t="str">
        <f t="shared" si="1"/>
        <v>February</v>
      </c>
      <c r="B3166" s="11">
        <f>IFERROR(__xludf.DUMMYFUNCTION("""COMPUTED_VALUE"""),46070.0)</f>
        <v>46070</v>
      </c>
      <c r="C3166" s="2" t="str">
        <f>IFERROR(__xludf.DUMMYFUNCTION("""COMPUTED_VALUE"""),"MOBILECARE - APP MAGNOLIA")</f>
        <v>MOBILECARE - APP MAGNOLIA</v>
      </c>
      <c r="D3166" s="2" t="str">
        <f>IFERROR(__xludf.DUMMYFUNCTION("""COMPUTED_VALUE"""),"661-30397")</f>
        <v>661-30397</v>
      </c>
      <c r="E3166" s="2" t="str">
        <f>IFERROR(__xludf.DUMMYFUNCTION("""COMPUTED_VALUE"""),"Battery, iPhone 14 Pro Max")</f>
        <v>Battery, iPhone 14 Pro Max</v>
      </c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</row>
    <row r="3167">
      <c r="A3167" s="10" t="str">
        <f t="shared" si="1"/>
        <v>February</v>
      </c>
      <c r="B3167" s="11">
        <f>IFERROR(__xludf.DUMMYFUNCTION("""COMPUTED_VALUE"""),46070.0)</f>
        <v>46070</v>
      </c>
      <c r="C3167" s="2" t="str">
        <f>IFERROR(__xludf.DUMMYFUNCTION("""COMPUTED_VALUE"""),"MOBILECARE - APP MAGNOLIA")</f>
        <v>MOBILECARE - APP MAGNOLIA</v>
      </c>
      <c r="D3167" s="2" t="str">
        <f>IFERROR(__xludf.DUMMYFUNCTION("""COMPUTED_VALUE"""),"661-22294")</f>
        <v>661-22294</v>
      </c>
      <c r="E3167" s="2" t="str">
        <f>IFERROR(__xludf.DUMMYFUNCTION("""COMPUTED_VALUE"""),"Battery, iPhone 13 Pro Max")</f>
        <v>Battery, iPhone 13 Pro Max</v>
      </c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</row>
    <row r="3168">
      <c r="A3168" s="10" t="str">
        <f t="shared" si="1"/>
        <v>June</v>
      </c>
      <c r="B3168" s="11">
        <f>IFERROR(__xludf.DUMMYFUNCTION("""COMPUTED_VALUE"""),46190.0)</f>
        <v>46190</v>
      </c>
      <c r="C3168" s="2" t="str">
        <f>IFERROR(__xludf.DUMMYFUNCTION("""COMPUTED_VALUE"""),"MOBILECARE - APP MAGNOLIA")</f>
        <v>MOBILECARE - APP MAGNOLIA</v>
      </c>
      <c r="D3168" s="2" t="str">
        <f>IFERROR(__xludf.DUMMYFUNCTION("""COMPUTED_VALUE"""),"PP661-29407")</f>
        <v>PP661-29407</v>
      </c>
      <c r="E3168" s="2" t="str">
        <f>IFERROR(__xludf.DUMMYFUNCTION("""COMPUTED_VALUE"""),"Purple, iPhone 14 Plus, 128GB, ROW, CI/AR, Philippines")</f>
        <v>Purple, iPhone 14 Plus, 128GB, ROW, CI/AR, Philippines</v>
      </c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</row>
    <row r="3169">
      <c r="A3169" s="10" t="str">
        <f t="shared" si="1"/>
        <v>April</v>
      </c>
      <c r="B3169" s="11">
        <f>IFERROR(__xludf.DUMMYFUNCTION("""COMPUTED_VALUE"""),46136.0)</f>
        <v>46136</v>
      </c>
      <c r="C3169" s="2" t="str">
        <f>IFERROR(__xludf.DUMMYFUNCTION("""COMPUTED_VALUE"""),"MOBILECARE - APP MAGNOLIA")</f>
        <v>MOBILECARE - APP MAGNOLIA</v>
      </c>
      <c r="D3169" s="2" t="str">
        <f>IFERROR(__xludf.DUMMYFUNCTION("""COMPUTED_VALUE"""),"Z661-55942")</f>
        <v>Z661-55942</v>
      </c>
      <c r="E3169" s="2" t="str">
        <f>IFERROR(__xludf.DUMMYFUNCTION("""COMPUTED_VALUE"""),"Logic Board, 256GB, A3523, ROW, iPhone 17 Pro")</f>
        <v>Logic Board, 256GB, A3523, ROW, iPhone 17 Pro</v>
      </c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</row>
    <row r="3170">
      <c r="A3170" s="10" t="str">
        <f t="shared" si="1"/>
        <v>February</v>
      </c>
      <c r="B3170" s="11">
        <f>IFERROR(__xludf.DUMMYFUNCTION("""COMPUTED_VALUE"""),46076.0)</f>
        <v>46076</v>
      </c>
      <c r="C3170" s="2" t="str">
        <f>IFERROR(__xludf.DUMMYFUNCTION("""COMPUTED_VALUE"""),"MOBILECARE - APP MAGNOLIA")</f>
        <v>MOBILECARE - APP MAGNOLIA</v>
      </c>
      <c r="D3170" s="2" t="str">
        <f>IFERROR(__xludf.DUMMYFUNCTION("""COMPUTED_VALUE"""),"661-56126")</f>
        <v>661-56126</v>
      </c>
      <c r="E3170" s="2" t="str">
        <f>IFERROR(__xludf.DUMMYFUNCTION("""COMPUTED_VALUE"""),"Front Camera, iPhone 17 Pro")</f>
        <v>Front Camera, iPhone 17 Pro</v>
      </c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</row>
    <row r="3171">
      <c r="A3171" s="10" t="str">
        <f t="shared" si="1"/>
        <v>June</v>
      </c>
      <c r="B3171" s="11">
        <f>IFERROR(__xludf.DUMMYFUNCTION("""COMPUTED_VALUE"""),46193.0)</f>
        <v>46193</v>
      </c>
      <c r="C3171" s="2" t="str">
        <f>IFERROR(__xludf.DUMMYFUNCTION("""COMPUTED_VALUE"""),"MOBILECARE - APP MAGNOLIA")</f>
        <v>MOBILECARE - APP MAGNOLIA</v>
      </c>
      <c r="D3171" s="2" t="str">
        <f>IFERROR(__xludf.DUMMYFUNCTION("""COMPUTED_VALUE"""),"661-22294")</f>
        <v>661-22294</v>
      </c>
      <c r="E3171" s="2" t="str">
        <f>IFERROR(__xludf.DUMMYFUNCTION("""COMPUTED_VALUE"""),"Battery, iPhone 13 Pro Max")</f>
        <v>Battery, iPhone 13 Pro Max</v>
      </c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</row>
    <row r="3172">
      <c r="A3172" s="10" t="str">
        <f t="shared" si="1"/>
        <v>May</v>
      </c>
      <c r="B3172" s="11">
        <f>IFERROR(__xludf.DUMMYFUNCTION("""COMPUTED_VALUE"""),46171.0)</f>
        <v>46171</v>
      </c>
      <c r="C3172" s="2" t="str">
        <f>IFERROR(__xludf.DUMMYFUNCTION("""COMPUTED_VALUE"""),"MOBILECARE - APP MAGNOLIA")</f>
        <v>MOBILECARE - APP MAGNOLIA</v>
      </c>
      <c r="D3172" s="2" t="str">
        <f>IFERROR(__xludf.DUMMYFUNCTION("""COMPUTED_VALUE"""),"661-35694")</f>
        <v>661-35694</v>
      </c>
      <c r="E3172" s="2" t="str">
        <f>IFERROR(__xludf.DUMMYFUNCTION("""COMPUTED_VALUE"""),"Battery, iPhone 15 Pro")</f>
        <v>Battery, iPhone 15 Pro</v>
      </c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</row>
    <row r="3173">
      <c r="A3173" s="10" t="str">
        <f t="shared" si="1"/>
        <v>May</v>
      </c>
      <c r="B3173" s="11">
        <f>IFERROR(__xludf.DUMMYFUNCTION("""COMPUTED_VALUE"""),46143.0)</f>
        <v>46143</v>
      </c>
      <c r="C3173" s="2" t="str">
        <f>IFERROR(__xludf.DUMMYFUNCTION("""COMPUTED_VALUE"""),"MOBILECARE - APP MAGNOLIA")</f>
        <v>MOBILECARE - APP MAGNOLIA</v>
      </c>
      <c r="D3173" s="2" t="str">
        <f>IFERROR(__xludf.DUMMYFUNCTION("""COMPUTED_VALUE"""),"661-21991")</f>
        <v>661-21991</v>
      </c>
      <c r="E3173" s="2" t="str">
        <f>IFERROR(__xludf.DUMMYFUNCTION("""COMPUTED_VALUE"""),"Battery, iPhone 13")</f>
        <v>Battery, iPhone 13</v>
      </c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</row>
    <row r="3174">
      <c r="A3174" s="10" t="str">
        <f t="shared" si="1"/>
        <v>June</v>
      </c>
      <c r="B3174" s="11">
        <f>IFERROR(__xludf.DUMMYFUNCTION("""COMPUTED_VALUE"""),46182.0)</f>
        <v>46182</v>
      </c>
      <c r="C3174" s="2" t="str">
        <f>IFERROR(__xludf.DUMMYFUNCTION("""COMPUTED_VALUE"""),"MOBILECARE - APP MAGNOLIA")</f>
        <v>MOBILECARE - APP MAGNOLIA</v>
      </c>
      <c r="D3174" s="2" t="str">
        <f>IFERROR(__xludf.DUMMYFUNCTION("""COMPUTED_VALUE"""),"TA661-55150")</f>
        <v>TA661-55150</v>
      </c>
      <c r="E3174" s="2" t="str">
        <f>IFERROR(__xludf.DUMMYFUNCTION("""COMPUTED_VALUE"""),"Cosmic Orange, 256GB, iPhone 17 Pro, ROW, CI/AR, Taiwan")</f>
        <v>Cosmic Orange, 256GB, iPhone 17 Pro, ROW, CI/AR, Taiwan</v>
      </c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</row>
    <row r="3175">
      <c r="A3175" s="10" t="str">
        <f t="shared" si="1"/>
        <v>April</v>
      </c>
      <c r="B3175" s="11">
        <f>IFERROR(__xludf.DUMMYFUNCTION("""COMPUTED_VALUE"""),46134.0)</f>
        <v>46134</v>
      </c>
      <c r="C3175" s="2" t="str">
        <f>IFERROR(__xludf.DUMMYFUNCTION("""COMPUTED_VALUE"""),"MOBILECARE - APP MAGNOLIA")</f>
        <v>MOBILECARE - APP MAGNOLIA</v>
      </c>
      <c r="D3175" s="2" t="str">
        <f>IFERROR(__xludf.DUMMYFUNCTION("""COMPUTED_VALUE"""),"ZP923-13771")</f>
        <v>ZP923-13771</v>
      </c>
      <c r="E3175" s="2" t="str">
        <f>IFERROR(__xludf.DUMMYFUNCTION("""COMPUTED_VALUE"""),"Black, Enclosure, iPhone 17, ROW")</f>
        <v>Black, Enclosure, iPhone 17, ROW</v>
      </c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</row>
    <row r="3176">
      <c r="A3176" s="10" t="str">
        <f t="shared" si="1"/>
        <v>April</v>
      </c>
      <c r="B3176" s="11">
        <f>IFERROR(__xludf.DUMMYFUNCTION("""COMPUTED_VALUE"""),46134.0)</f>
        <v>46134</v>
      </c>
      <c r="C3176" s="2" t="str">
        <f>IFERROR(__xludf.DUMMYFUNCTION("""COMPUTED_VALUE"""),"MOBILECARE - APP MAGNOLIA")</f>
        <v>MOBILECARE - APP MAGNOLIA</v>
      </c>
      <c r="D3176" s="2" t="str">
        <f>IFERROR(__xludf.DUMMYFUNCTION("""COMPUTED_VALUE"""),"661-56064")</f>
        <v>661-56064</v>
      </c>
      <c r="E3176" s="2" t="str">
        <f>IFERROR(__xludf.DUMMYFUNCTION("""COMPUTED_VALUE"""),"Battery, iPhone 17")</f>
        <v>Battery, iPhone 17</v>
      </c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</row>
    <row r="3177">
      <c r="A3177" s="10" t="str">
        <f t="shared" si="1"/>
        <v>March</v>
      </c>
      <c r="B3177" s="11">
        <f>IFERROR(__xludf.DUMMYFUNCTION("""COMPUTED_VALUE"""),46096.0)</f>
        <v>46096</v>
      </c>
      <c r="C3177" s="2" t="str">
        <f>IFERROR(__xludf.DUMMYFUNCTION("""COMPUTED_VALUE"""),"MOBILECARE - APP MAGNOLIA")</f>
        <v>MOBILECARE - APP MAGNOLIA</v>
      </c>
      <c r="D3177" s="2" t="str">
        <f>IFERROR(__xludf.DUMMYFUNCTION("""COMPUTED_VALUE"""),"661-35694")</f>
        <v>661-35694</v>
      </c>
      <c r="E3177" s="2" t="str">
        <f>IFERROR(__xludf.DUMMYFUNCTION("""COMPUTED_VALUE"""),"Battery, iPhone 15 Pro")</f>
        <v>Battery, iPhone 15 Pro</v>
      </c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</row>
    <row r="3178">
      <c r="A3178" s="10" t="str">
        <f t="shared" si="1"/>
        <v>January</v>
      </c>
      <c r="B3178" s="11">
        <f>IFERROR(__xludf.DUMMYFUNCTION("""COMPUTED_VALUE"""),46036.0)</f>
        <v>46036</v>
      </c>
      <c r="C3178" s="2" t="str">
        <f>IFERROR(__xludf.DUMMYFUNCTION("""COMPUTED_VALUE"""),"MOBILECARE - APP MAGNOLIA")</f>
        <v>MOBILECARE - APP MAGNOLIA</v>
      </c>
      <c r="D3178" s="2" t="str">
        <f>IFERROR(__xludf.DUMMYFUNCTION("""COMPUTED_VALUE"""),"661-23878")</f>
        <v>661-23878</v>
      </c>
      <c r="E3178" s="2" t="str">
        <f>IFERROR(__xludf.DUMMYFUNCTION("""COMPUTED_VALUE"""),"TrueDepth Camera, iPhone 13")</f>
        <v>TrueDepth Camera, iPhone 13</v>
      </c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</row>
    <row r="3179">
      <c r="A3179" s="10" t="str">
        <f t="shared" si="1"/>
        <v>June</v>
      </c>
      <c r="B3179" s="11">
        <f>IFERROR(__xludf.DUMMYFUNCTION("""COMPUTED_VALUE"""),46193.0)</f>
        <v>46193</v>
      </c>
      <c r="C3179" s="2" t="str">
        <f>IFERROR(__xludf.DUMMYFUNCTION("""COMPUTED_VALUE"""),"MOBILECARE - APP MAGNOLIA")</f>
        <v>MOBILECARE - APP MAGNOLIA</v>
      </c>
      <c r="D3179" s="2" t="str">
        <f>IFERROR(__xludf.DUMMYFUNCTION("""COMPUTED_VALUE"""),"661-21991")</f>
        <v>661-21991</v>
      </c>
      <c r="E3179" s="2" t="str">
        <f>IFERROR(__xludf.DUMMYFUNCTION("""COMPUTED_VALUE"""),"Battery, iPhone 13")</f>
        <v>Battery, iPhone 13</v>
      </c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</row>
    <row r="3180">
      <c r="A3180" s="10" t="str">
        <f t="shared" si="1"/>
        <v>May</v>
      </c>
      <c r="B3180" s="11">
        <f>IFERROR(__xludf.DUMMYFUNCTION("""COMPUTED_VALUE"""),46150.0)</f>
        <v>46150</v>
      </c>
      <c r="C3180" s="2" t="str">
        <f>IFERROR(__xludf.DUMMYFUNCTION("""COMPUTED_VALUE"""),"MOBILECARE - APP MAGNOLIA")</f>
        <v>MOBILECARE - APP MAGNOLIA</v>
      </c>
      <c r="D3180" s="2" t="str">
        <f>IFERROR(__xludf.DUMMYFUNCTION("""COMPUTED_VALUE"""),"661-30382")</f>
        <v>661-30382</v>
      </c>
      <c r="E3180" s="2" t="str">
        <f>IFERROR(__xludf.DUMMYFUNCTION("""COMPUTED_VALUE"""),"Battery, iPhone 14 Pro")</f>
        <v>Battery, iPhone 14 Pro</v>
      </c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</row>
    <row r="3181">
      <c r="A3181" s="10" t="str">
        <f t="shared" si="1"/>
        <v>February</v>
      </c>
      <c r="B3181" s="11">
        <f>IFERROR(__xludf.DUMMYFUNCTION("""COMPUTED_VALUE"""),46073.0)</f>
        <v>46073</v>
      </c>
      <c r="C3181" s="2" t="str">
        <f>IFERROR(__xludf.DUMMYFUNCTION("""COMPUTED_VALUE"""),"MOBILECARE - APP MAGNOLIA")</f>
        <v>MOBILECARE - APP MAGNOLIA</v>
      </c>
      <c r="D3181" s="2" t="str">
        <f>IFERROR(__xludf.DUMMYFUNCTION("""COMPUTED_VALUE"""),"661-56052")</f>
        <v>661-56052</v>
      </c>
      <c r="E3181" s="2" t="str">
        <f>IFERROR(__xludf.DUMMYFUNCTION("""COMPUTED_VALUE"""),"Camera, iPhone 17 Pro Max")</f>
        <v>Camera, iPhone 17 Pro Max</v>
      </c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</row>
    <row r="3182">
      <c r="A3182" s="10" t="str">
        <f t="shared" si="1"/>
        <v>March</v>
      </c>
      <c r="B3182" s="11">
        <f>IFERROR(__xludf.DUMMYFUNCTION("""COMPUTED_VALUE"""),46089.0)</f>
        <v>46089</v>
      </c>
      <c r="C3182" s="2" t="str">
        <f>IFERROR(__xludf.DUMMYFUNCTION("""COMPUTED_VALUE"""),"MOBILECARE - APP MAGNOLIA")</f>
        <v>MOBILECARE - APP MAGNOLIA</v>
      </c>
      <c r="D3182" s="2" t="str">
        <f>IFERROR(__xludf.DUMMYFUNCTION("""COMPUTED_VALUE"""),"661-22293")</f>
        <v>661-22293</v>
      </c>
      <c r="E3182" s="2" t="str">
        <f>IFERROR(__xludf.DUMMYFUNCTION("""COMPUTED_VALUE"""),"Camera, iPhone 13 Pro and 13 Pro Max")</f>
        <v>Camera, iPhone 13 Pro and 13 Pro Max</v>
      </c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</row>
    <row r="3183">
      <c r="A3183" s="10" t="str">
        <f t="shared" si="1"/>
        <v>March</v>
      </c>
      <c r="B3183" s="11">
        <f>IFERROR(__xludf.DUMMYFUNCTION("""COMPUTED_VALUE"""),46089.0)</f>
        <v>46089</v>
      </c>
      <c r="C3183" s="2" t="str">
        <f>IFERROR(__xludf.DUMMYFUNCTION("""COMPUTED_VALUE"""),"MOBILECARE - APP MAGNOLIA")</f>
        <v>MOBILECARE - APP MAGNOLIA</v>
      </c>
      <c r="D3183" s="2" t="str">
        <f>IFERROR(__xludf.DUMMYFUNCTION("""COMPUTED_VALUE"""),"661-22294")</f>
        <v>661-22294</v>
      </c>
      <c r="E3183" s="2" t="str">
        <f>IFERROR(__xludf.DUMMYFUNCTION("""COMPUTED_VALUE"""),"Battery, iPhone 13 Pro Max")</f>
        <v>Battery, iPhone 13 Pro Max</v>
      </c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</row>
    <row r="3184">
      <c r="A3184" s="10" t="str">
        <f t="shared" si="1"/>
        <v>March</v>
      </c>
      <c r="B3184" s="11">
        <f>IFERROR(__xludf.DUMMYFUNCTION("""COMPUTED_VALUE"""),46089.0)</f>
        <v>46089</v>
      </c>
      <c r="C3184" s="2" t="str">
        <f>IFERROR(__xludf.DUMMYFUNCTION("""COMPUTED_VALUE"""),"MOBILECARE - APP MAGNOLIA")</f>
        <v>MOBILECARE - APP MAGNOLIA</v>
      </c>
      <c r="D3184" s="2" t="str">
        <f>IFERROR(__xludf.DUMMYFUNCTION("""COMPUTED_VALUE"""),"661-22309")</f>
        <v>661-22309</v>
      </c>
      <c r="E3184" s="2" t="str">
        <f>IFERROR(__xludf.DUMMYFUNCTION("""COMPUTED_VALUE"""),"Display, iPhone 13 Pro Max")</f>
        <v>Display, iPhone 13 Pro Max</v>
      </c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</row>
    <row r="3185">
      <c r="A3185" s="10" t="str">
        <f t="shared" si="1"/>
        <v>March</v>
      </c>
      <c r="B3185" s="11">
        <f>IFERROR(__xludf.DUMMYFUNCTION("""COMPUTED_VALUE"""),46103.0)</f>
        <v>46103</v>
      </c>
      <c r="C3185" s="2" t="str">
        <f>IFERROR(__xludf.DUMMYFUNCTION("""COMPUTED_VALUE"""),"MOBILECARE - APP MAGNOLIA")</f>
        <v>MOBILECARE - APP MAGNOLIA</v>
      </c>
      <c r="D3185" s="2" t="str">
        <f>IFERROR(__xludf.DUMMYFUNCTION("""COMPUTED_VALUE"""),"661-56050")</f>
        <v>661-56050</v>
      </c>
      <c r="E3185" s="2" t="str">
        <f>IFERROR(__xludf.DUMMYFUNCTION("""COMPUTED_VALUE"""),"Display, iPhone 17 Pro Max")</f>
        <v>Display, iPhone 17 Pro Max</v>
      </c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</row>
    <row r="3186">
      <c r="A3186" s="10" t="str">
        <f t="shared" si="1"/>
        <v>March</v>
      </c>
      <c r="B3186" s="11">
        <f>IFERROR(__xludf.DUMMYFUNCTION("""COMPUTED_VALUE"""),46103.0)</f>
        <v>46103</v>
      </c>
      <c r="C3186" s="2" t="str">
        <f>IFERROR(__xludf.DUMMYFUNCTION("""COMPUTED_VALUE"""),"MOBILECARE - APP MAGNOLIA")</f>
        <v>MOBILECARE - APP MAGNOLIA</v>
      </c>
      <c r="D3186" s="2" t="str">
        <f>IFERROR(__xludf.DUMMYFUNCTION("""COMPUTED_VALUE"""),"661-56052")</f>
        <v>661-56052</v>
      </c>
      <c r="E3186" s="2" t="str">
        <f>IFERROR(__xludf.DUMMYFUNCTION("""COMPUTED_VALUE"""),"Camera, iPhone 17 Pro Max")</f>
        <v>Camera, iPhone 17 Pro Max</v>
      </c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</row>
    <row r="3187">
      <c r="A3187" s="10" t="str">
        <f t="shared" si="1"/>
        <v>March</v>
      </c>
      <c r="B3187" s="11">
        <f>IFERROR(__xludf.DUMMYFUNCTION("""COMPUTED_VALUE"""),46108.0)</f>
        <v>46108</v>
      </c>
      <c r="C3187" s="2" t="str">
        <f>IFERROR(__xludf.DUMMYFUNCTION("""COMPUTED_VALUE"""),"MOBILECARE - APP MAGNOLIA")</f>
        <v>MOBILECARE - APP MAGNOLIA</v>
      </c>
      <c r="D3187" s="2" t="str">
        <f>IFERROR(__xludf.DUMMYFUNCTION("""COMPUTED_VALUE"""),"Z661-55957")</f>
        <v>Z661-55957</v>
      </c>
      <c r="E3187" s="2" t="str">
        <f>IFERROR(__xludf.DUMMYFUNCTION("""COMPUTED_VALUE"""),"Logic Board, 512GB, iPhone 17 Pro Max, ROW")</f>
        <v>Logic Board, 512GB, iPhone 17 Pro Max, ROW</v>
      </c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</row>
    <row r="3188">
      <c r="A3188" s="10" t="str">
        <f t="shared" si="1"/>
        <v>January</v>
      </c>
      <c r="B3188" s="11">
        <f>IFERROR(__xludf.DUMMYFUNCTION("""COMPUTED_VALUE"""),46046.0)</f>
        <v>46046</v>
      </c>
      <c r="C3188" s="2" t="str">
        <f>IFERROR(__xludf.DUMMYFUNCTION("""COMPUTED_VALUE"""),"MOBILECARE - APP MAGNOLIA")</f>
        <v>MOBILECARE - APP MAGNOLIA</v>
      </c>
      <c r="D3188" s="2" t="str">
        <f>IFERROR(__xludf.DUMMYFUNCTION("""COMPUTED_VALUE"""),"661-22294")</f>
        <v>661-22294</v>
      </c>
      <c r="E3188" s="2" t="str">
        <f>IFERROR(__xludf.DUMMYFUNCTION("""COMPUTED_VALUE"""),"Battery, iPhone 13 Pro Max")</f>
        <v>Battery, iPhone 13 Pro Max</v>
      </c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</row>
    <row r="3189">
      <c r="A3189" s="10" t="str">
        <f t="shared" si="1"/>
        <v>June</v>
      </c>
      <c r="B3189" s="11">
        <f>IFERROR(__xludf.DUMMYFUNCTION("""COMPUTED_VALUE"""),46180.0)</f>
        <v>46180</v>
      </c>
      <c r="C3189" s="2" t="str">
        <f>IFERROR(__xludf.DUMMYFUNCTION("""COMPUTED_VALUE"""),"MOBILECARE - APP MAGNOLIA")</f>
        <v>MOBILECARE - APP MAGNOLIA</v>
      </c>
      <c r="D3189" s="2" t="str">
        <f>IFERROR(__xludf.DUMMYFUNCTION("""COMPUTED_VALUE"""),"661-21993")</f>
        <v>661-21993</v>
      </c>
      <c r="E3189" s="2" t="str">
        <f>IFERROR(__xludf.DUMMYFUNCTION("""COMPUTED_VALUE"""),"Display, iPhone 13 Pro")</f>
        <v>Display, iPhone 13 Pro</v>
      </c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</row>
    <row r="3190">
      <c r="A3190" s="10" t="str">
        <f t="shared" si="1"/>
        <v>May</v>
      </c>
      <c r="B3190" s="11">
        <f>IFERROR(__xludf.DUMMYFUNCTION("""COMPUTED_VALUE"""),46143.0)</f>
        <v>46143</v>
      </c>
      <c r="C3190" s="2" t="str">
        <f>IFERROR(__xludf.DUMMYFUNCTION("""COMPUTED_VALUE"""),"MOBILECARE - APP MAGNOLIA")</f>
        <v>MOBILECARE - APP MAGNOLIA</v>
      </c>
      <c r="D3190" s="2" t="str">
        <f>IFERROR(__xludf.DUMMYFUNCTION("""COMPUTED_VALUE"""),"661-44955")</f>
        <v>661-44955</v>
      </c>
      <c r="E3190" s="2" t="str">
        <f>IFERROR(__xludf.DUMMYFUNCTION("""COMPUTED_VALUE"""),"Display, iPhone 16 Pro Max")</f>
        <v>Display, iPhone 16 Pro Max</v>
      </c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</row>
    <row r="3191">
      <c r="A3191" s="10" t="str">
        <f t="shared" si="1"/>
        <v>April</v>
      </c>
      <c r="B3191" s="11">
        <f>IFERROR(__xludf.DUMMYFUNCTION("""COMPUTED_VALUE"""),46133.0)</f>
        <v>46133</v>
      </c>
      <c r="C3191" s="2" t="str">
        <f>IFERROR(__xludf.DUMMYFUNCTION("""COMPUTED_VALUE"""),"MOBILECARE - APP MAGNOLIA")</f>
        <v>MOBILECARE - APP MAGNOLIA</v>
      </c>
      <c r="D3191" s="2" t="str">
        <f>IFERROR(__xludf.DUMMYFUNCTION("""COMPUTED_VALUE"""),"661-22309")</f>
        <v>661-22309</v>
      </c>
      <c r="E3191" s="2" t="str">
        <f>IFERROR(__xludf.DUMMYFUNCTION("""COMPUTED_VALUE"""),"Display, iPhone 13 Pro Max")</f>
        <v>Display, iPhone 13 Pro Max</v>
      </c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</row>
    <row r="3192">
      <c r="A3192" s="10" t="str">
        <f t="shared" si="1"/>
        <v>March</v>
      </c>
      <c r="B3192" s="11">
        <f>IFERROR(__xludf.DUMMYFUNCTION("""COMPUTED_VALUE"""),46102.0)</f>
        <v>46102</v>
      </c>
      <c r="C3192" s="2" t="str">
        <f>IFERROR(__xludf.DUMMYFUNCTION("""COMPUTED_VALUE"""),"MOBILECARE - APP MAGNOLIA")</f>
        <v>MOBILECARE - APP MAGNOLIA</v>
      </c>
      <c r="D3192" s="2" t="str">
        <f>IFERROR(__xludf.DUMMYFUNCTION("""COMPUTED_VALUE"""),"661-44957")</f>
        <v>661-44957</v>
      </c>
      <c r="E3192" s="2" t="str">
        <f>IFERROR(__xludf.DUMMYFUNCTION("""COMPUTED_VALUE"""),"Camera, iPhone 16 Pro Max")</f>
        <v>Camera, iPhone 16 Pro Max</v>
      </c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</row>
    <row r="3193">
      <c r="A3193" s="10" t="str">
        <f t="shared" si="1"/>
        <v>February</v>
      </c>
      <c r="B3193" s="11">
        <f>IFERROR(__xludf.DUMMYFUNCTION("""COMPUTED_VALUE"""),46056.0)</f>
        <v>46056</v>
      </c>
      <c r="C3193" s="2" t="str">
        <f>IFERROR(__xludf.DUMMYFUNCTION("""COMPUTED_VALUE"""),"MOBILECARE - APP MAGNOLIA")</f>
        <v>MOBILECARE - APP MAGNOLIA</v>
      </c>
      <c r="D3193" s="2" t="str">
        <f>IFERROR(__xludf.DUMMYFUNCTION("""COMPUTED_VALUE"""),"661-21991")</f>
        <v>661-21991</v>
      </c>
      <c r="E3193" s="2" t="str">
        <f>IFERROR(__xludf.DUMMYFUNCTION("""COMPUTED_VALUE"""),"Battery, iPhone 13")</f>
        <v>Battery, iPhone 13</v>
      </c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</row>
    <row r="3194">
      <c r="A3194" s="10" t="str">
        <f t="shared" si="1"/>
        <v>January</v>
      </c>
      <c r="B3194" s="11">
        <f>IFERROR(__xludf.DUMMYFUNCTION("""COMPUTED_VALUE"""),46048.0)</f>
        <v>46048</v>
      </c>
      <c r="C3194" s="2" t="str">
        <f>IFERROR(__xludf.DUMMYFUNCTION("""COMPUTED_VALUE"""),"MOBILECARE - APP MAGNOLIA")</f>
        <v>MOBILECARE - APP MAGNOLIA</v>
      </c>
      <c r="D3194" s="2" t="str">
        <f>IFERROR(__xludf.DUMMYFUNCTION("""COMPUTED_VALUE"""),"661-22294")</f>
        <v>661-22294</v>
      </c>
      <c r="E3194" s="2" t="str">
        <f>IFERROR(__xludf.DUMMYFUNCTION("""COMPUTED_VALUE"""),"Battery, iPhone 13 Pro Max")</f>
        <v>Battery, iPhone 13 Pro Max</v>
      </c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</row>
    <row r="3195">
      <c r="A3195" s="10" t="str">
        <f t="shared" si="1"/>
        <v>February</v>
      </c>
      <c r="B3195" s="11">
        <f>IFERROR(__xludf.DUMMYFUNCTION("""COMPUTED_VALUE"""),46064.0)</f>
        <v>46064</v>
      </c>
      <c r="C3195" s="2" t="str">
        <f>IFERROR(__xludf.DUMMYFUNCTION("""COMPUTED_VALUE"""),"MOBILECARE - APP MAGNOLIA")</f>
        <v>MOBILECARE - APP MAGNOLIA</v>
      </c>
      <c r="D3195" s="2" t="str">
        <f>IFERROR(__xludf.DUMMYFUNCTION("""COMPUTED_VALUE"""),"661-22294")</f>
        <v>661-22294</v>
      </c>
      <c r="E3195" s="2" t="str">
        <f>IFERROR(__xludf.DUMMYFUNCTION("""COMPUTED_VALUE"""),"Battery, iPhone 13 Pro Max")</f>
        <v>Battery, iPhone 13 Pro Max</v>
      </c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</row>
    <row r="3196">
      <c r="A3196" s="10" t="str">
        <f t="shared" si="1"/>
        <v>June</v>
      </c>
      <c r="B3196" s="11">
        <f>IFERROR(__xludf.DUMMYFUNCTION("""COMPUTED_VALUE"""),46176.0)</f>
        <v>46176</v>
      </c>
      <c r="C3196" s="2" t="str">
        <f>IFERROR(__xludf.DUMMYFUNCTION("""COMPUTED_VALUE"""),"MOBILECARE - APP MAGNOLIA")</f>
        <v>MOBILECARE - APP MAGNOLIA</v>
      </c>
      <c r="D3196" s="2" t="str">
        <f>IFERROR(__xludf.DUMMYFUNCTION("""COMPUTED_VALUE"""),"661-10850")</f>
        <v>661-10850</v>
      </c>
      <c r="E3196" s="2" t="str">
        <f>IFERROR(__xludf.DUMMYFUNCTION("""COMPUTED_VALUE"""),"Battery, iPhone XR")</f>
        <v>Battery, iPhone XR</v>
      </c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</row>
    <row r="3197">
      <c r="A3197" s="10" t="str">
        <f t="shared" si="1"/>
        <v>June</v>
      </c>
      <c r="B3197" s="11">
        <f>IFERROR(__xludf.DUMMYFUNCTION("""COMPUTED_VALUE"""),46176.0)</f>
        <v>46176</v>
      </c>
      <c r="C3197" s="2" t="str">
        <f>IFERROR(__xludf.DUMMYFUNCTION("""COMPUTED_VALUE"""),"MOBILECARE - APP MAGNOLIA")</f>
        <v>MOBILECARE - APP MAGNOLIA</v>
      </c>
      <c r="D3197" s="2" t="str">
        <f>IFERROR(__xludf.DUMMYFUNCTION("""COMPUTED_VALUE"""),"923-02609")</f>
        <v>923-02609</v>
      </c>
      <c r="E3197" s="2" t="str">
        <f>IFERROR(__xludf.DUMMYFUNCTION("""COMPUTED_VALUE"""),"Speaker, iPhone XR")</f>
        <v>Speaker, iPhone XR</v>
      </c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</row>
    <row r="3198">
      <c r="A3198" s="10" t="str">
        <f t="shared" si="1"/>
        <v>May</v>
      </c>
      <c r="B3198" s="11">
        <f>IFERROR(__xludf.DUMMYFUNCTION("""COMPUTED_VALUE"""),46144.0)</f>
        <v>46144</v>
      </c>
      <c r="C3198" s="2" t="str">
        <f>IFERROR(__xludf.DUMMYFUNCTION("""COMPUTED_VALUE"""),"MOBILECARE - APP MAGNOLIA")</f>
        <v>MOBILECARE - APP MAGNOLIA</v>
      </c>
      <c r="D3198" s="2" t="str">
        <f>IFERROR(__xludf.DUMMYFUNCTION("""COMPUTED_VALUE"""),"661-21991")</f>
        <v>661-21991</v>
      </c>
      <c r="E3198" s="2" t="str">
        <f>IFERROR(__xludf.DUMMYFUNCTION("""COMPUTED_VALUE"""),"Battery, iPhone 13")</f>
        <v>Battery, iPhone 13</v>
      </c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</row>
    <row r="3199">
      <c r="A3199" s="10" t="str">
        <f t="shared" si="1"/>
        <v>March</v>
      </c>
      <c r="B3199" s="11">
        <f>IFERROR(__xludf.DUMMYFUNCTION("""COMPUTED_VALUE"""),46109.0)</f>
        <v>46109</v>
      </c>
      <c r="C3199" s="2" t="str">
        <f>IFERROR(__xludf.DUMMYFUNCTION("""COMPUTED_VALUE"""),"MOBILECARE - APP MAGNOLIA")</f>
        <v>MOBILECARE - APP MAGNOLIA</v>
      </c>
      <c r="D3199" s="2" t="str">
        <f>IFERROR(__xludf.DUMMYFUNCTION("""COMPUTED_VALUE"""),"661-22294")</f>
        <v>661-22294</v>
      </c>
      <c r="E3199" s="2" t="str">
        <f>IFERROR(__xludf.DUMMYFUNCTION("""COMPUTED_VALUE"""),"Battery, iPhone 13 Pro Max")</f>
        <v>Battery, iPhone 13 Pro Max</v>
      </c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</row>
    <row r="3200">
      <c r="A3200" s="10" t="str">
        <f t="shared" si="1"/>
        <v>March</v>
      </c>
      <c r="B3200" s="11">
        <f>IFERROR(__xludf.DUMMYFUNCTION("""COMPUTED_VALUE"""),46095.0)</f>
        <v>46095</v>
      </c>
      <c r="C3200" s="2" t="str">
        <f>IFERROR(__xludf.DUMMYFUNCTION("""COMPUTED_VALUE"""),"MOBILECARE - APP MAGNOLIA")</f>
        <v>MOBILECARE - APP MAGNOLIA</v>
      </c>
      <c r="D3200" s="2" t="str">
        <f>IFERROR(__xludf.DUMMYFUNCTION("""COMPUTED_VALUE"""),"661-23878")</f>
        <v>661-23878</v>
      </c>
      <c r="E3200" s="2" t="str">
        <f>IFERROR(__xludf.DUMMYFUNCTION("""COMPUTED_VALUE"""),"TrueDepth Camera, iPhone 13")</f>
        <v>TrueDepth Camera, iPhone 13</v>
      </c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</row>
    <row r="3201">
      <c r="A3201" s="10" t="str">
        <f t="shared" si="1"/>
        <v>March</v>
      </c>
      <c r="B3201" s="11">
        <f>IFERROR(__xludf.DUMMYFUNCTION("""COMPUTED_VALUE"""),46091.0)</f>
        <v>46091</v>
      </c>
      <c r="C3201" s="2" t="str">
        <f>IFERROR(__xludf.DUMMYFUNCTION("""COMPUTED_VALUE"""),"MOBILECARE - APP MAGNOLIA")</f>
        <v>MOBILECARE - APP MAGNOLIA</v>
      </c>
      <c r="D3201" s="2" t="str">
        <f>IFERROR(__xludf.DUMMYFUNCTION("""COMPUTED_VALUE"""),"661-44955")</f>
        <v>661-44955</v>
      </c>
      <c r="E3201" s="2" t="str">
        <f>IFERROR(__xludf.DUMMYFUNCTION("""COMPUTED_VALUE"""),"Display, iPhone 16 Pro Max")</f>
        <v>Display, iPhone 16 Pro Max</v>
      </c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</row>
    <row r="3202">
      <c r="A3202" s="10" t="str">
        <f t="shared" si="1"/>
        <v>February</v>
      </c>
      <c r="B3202" s="11">
        <f>IFERROR(__xludf.DUMMYFUNCTION("""COMPUTED_VALUE"""),46072.0)</f>
        <v>46072</v>
      </c>
      <c r="C3202" s="2" t="str">
        <f>IFERROR(__xludf.DUMMYFUNCTION("""COMPUTED_VALUE"""),"MOBILECARE - APP MAGNOLIA")</f>
        <v>MOBILECARE - APP MAGNOLIA</v>
      </c>
      <c r="D3202" s="2" t="str">
        <f>IFERROR(__xludf.DUMMYFUNCTION("""COMPUTED_VALUE"""),"661-36918")</f>
        <v>661-36918</v>
      </c>
      <c r="E3202" s="2" t="str">
        <f>IFERROR(__xludf.DUMMYFUNCTION("""COMPUTED_VALUE"""),"Battery, iPhone 15 Pro Max")</f>
        <v>Battery, iPhone 15 Pro Max</v>
      </c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</row>
    <row r="3203">
      <c r="A3203" s="10" t="str">
        <f t="shared" si="1"/>
        <v>February</v>
      </c>
      <c r="B3203" s="11">
        <f>IFERROR(__xludf.DUMMYFUNCTION("""COMPUTED_VALUE"""),46072.0)</f>
        <v>46072</v>
      </c>
      <c r="C3203" s="2" t="str">
        <f>IFERROR(__xludf.DUMMYFUNCTION("""COMPUTED_VALUE"""),"MOBILECARE - APP MAGNOLIA")</f>
        <v>MOBILECARE - APP MAGNOLIA</v>
      </c>
      <c r="D3203" s="2" t="str">
        <f>IFERROR(__xludf.DUMMYFUNCTION("""COMPUTED_VALUE"""),"661-36915")</f>
        <v>661-36915</v>
      </c>
      <c r="E3203" s="2" t="str">
        <f>IFERROR(__xludf.DUMMYFUNCTION("""COMPUTED_VALUE"""),"Display, iPhone 15 Pro Max")</f>
        <v>Display, iPhone 15 Pro Max</v>
      </c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</row>
    <row r="3204">
      <c r="A3204" s="10" t="str">
        <f t="shared" si="1"/>
        <v>January</v>
      </c>
      <c r="B3204" s="11">
        <f>IFERROR(__xludf.DUMMYFUNCTION("""COMPUTED_VALUE"""),46043.0)</f>
        <v>46043</v>
      </c>
      <c r="C3204" s="2" t="str">
        <f>IFERROR(__xludf.DUMMYFUNCTION("""COMPUTED_VALUE"""),"MOBILECARE - APP MAGNOLIA")</f>
        <v>MOBILECARE - APP MAGNOLIA</v>
      </c>
      <c r="D3204" s="2" t="str">
        <f>IFERROR(__xludf.DUMMYFUNCTION("""COMPUTED_VALUE"""),"661-36829")</f>
        <v>661-36829</v>
      </c>
      <c r="E3204" s="2" t="str">
        <f>IFERROR(__xludf.DUMMYFUNCTION("""COMPUTED_VALUE"""),"TrueDepth Camera, iPhone 15")</f>
        <v>TrueDepth Camera, iPhone 15</v>
      </c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</row>
    <row r="3205">
      <c r="A3205" s="10" t="str">
        <f t="shared" si="1"/>
        <v>April</v>
      </c>
      <c r="B3205" s="11">
        <f>IFERROR(__xludf.DUMMYFUNCTION("""COMPUTED_VALUE"""),46128.0)</f>
        <v>46128</v>
      </c>
      <c r="C3205" s="2" t="str">
        <f>IFERROR(__xludf.DUMMYFUNCTION("""COMPUTED_VALUE"""),"MOBILECARE - APP MAGNOLIA")</f>
        <v>MOBILECARE - APP MAGNOLIA</v>
      </c>
      <c r="D3205" s="2" t="str">
        <f>IFERROR(__xludf.DUMMYFUNCTION("""COMPUTED_VALUE"""),"661-21991")</f>
        <v>661-21991</v>
      </c>
      <c r="E3205" s="2" t="str">
        <f>IFERROR(__xludf.DUMMYFUNCTION("""COMPUTED_VALUE"""),"Battery, iPhone 13")</f>
        <v>Battery, iPhone 13</v>
      </c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</row>
    <row r="3206">
      <c r="A3206" s="10" t="str">
        <f t="shared" si="1"/>
        <v>February</v>
      </c>
      <c r="B3206" s="11">
        <f>IFERROR(__xludf.DUMMYFUNCTION("""COMPUTED_VALUE"""),46071.0)</f>
        <v>46071</v>
      </c>
      <c r="C3206" s="2" t="str">
        <f>IFERROR(__xludf.DUMMYFUNCTION("""COMPUTED_VALUE"""),"MOBILECARE - APP MAGNOLIA")</f>
        <v>MOBILECARE - APP MAGNOLIA</v>
      </c>
      <c r="D3206" s="2" t="str">
        <f>IFERROR(__xludf.DUMMYFUNCTION("""COMPUTED_VALUE"""),"661-21991")</f>
        <v>661-21991</v>
      </c>
      <c r="E3206" s="2" t="str">
        <f>IFERROR(__xludf.DUMMYFUNCTION("""COMPUTED_VALUE"""),"Battery, iPhone 13")</f>
        <v>Battery, iPhone 13</v>
      </c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</row>
    <row r="3207">
      <c r="A3207" s="10" t="str">
        <f t="shared" si="1"/>
        <v>February</v>
      </c>
      <c r="B3207" s="11">
        <f>IFERROR(__xludf.DUMMYFUNCTION("""COMPUTED_VALUE"""),46074.0)</f>
        <v>46074</v>
      </c>
      <c r="C3207" s="2" t="str">
        <f>IFERROR(__xludf.DUMMYFUNCTION("""COMPUTED_VALUE"""),"MOBILECARE - APP MAGNOLIA")</f>
        <v>MOBILECARE - APP MAGNOLIA</v>
      </c>
      <c r="D3207" s="2" t="str">
        <f>IFERROR(__xludf.DUMMYFUNCTION("""COMPUTED_VALUE"""),"661-13574")</f>
        <v>661-13574</v>
      </c>
      <c r="E3207" s="2" t="str">
        <f>IFERROR(__xludf.DUMMYFUNCTION("""COMPUTED_VALUE"""),"Battery, iPhone 11")</f>
        <v>Battery, iPhone 11</v>
      </c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</row>
    <row r="3208">
      <c r="A3208" s="10" t="str">
        <f t="shared" si="1"/>
        <v>February</v>
      </c>
      <c r="B3208" s="11">
        <f>IFERROR(__xludf.DUMMYFUNCTION("""COMPUTED_VALUE"""),46055.0)</f>
        <v>46055</v>
      </c>
      <c r="C3208" s="2" t="str">
        <f>IFERROR(__xludf.DUMMYFUNCTION("""COMPUTED_VALUE"""),"MOBILECARE - APP MAGNOLIA")</f>
        <v>MOBILECARE - APP MAGNOLIA</v>
      </c>
      <c r="D3208" s="2" t="str">
        <f>IFERROR(__xludf.DUMMYFUNCTION("""COMPUTED_VALUE"""),"661-21991")</f>
        <v>661-21991</v>
      </c>
      <c r="E3208" s="2" t="str">
        <f>IFERROR(__xludf.DUMMYFUNCTION("""COMPUTED_VALUE"""),"Battery, iPhone 13")</f>
        <v>Battery, iPhone 13</v>
      </c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</row>
    <row r="3209">
      <c r="A3209" s="10" t="str">
        <f t="shared" si="1"/>
        <v>January</v>
      </c>
      <c r="B3209" s="11">
        <f>IFERROR(__xludf.DUMMYFUNCTION("""COMPUTED_VALUE"""),46043.0)</f>
        <v>46043</v>
      </c>
      <c r="C3209" s="2" t="str">
        <f>IFERROR(__xludf.DUMMYFUNCTION("""COMPUTED_VALUE"""),"MOBILECARE - APP MAGNOLIA")</f>
        <v>MOBILECARE - APP MAGNOLIA</v>
      </c>
      <c r="D3209" s="2" t="str">
        <f>IFERROR(__xludf.DUMMYFUNCTION("""COMPUTED_VALUE"""),"661-30382")</f>
        <v>661-30382</v>
      </c>
      <c r="E3209" s="2" t="str">
        <f>IFERROR(__xludf.DUMMYFUNCTION("""COMPUTED_VALUE"""),"Battery, iPhone 14 Pro")</f>
        <v>Battery, iPhone 14 Pro</v>
      </c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</row>
    <row r="3210">
      <c r="A3210" s="10" t="str">
        <f t="shared" si="1"/>
        <v>April</v>
      </c>
      <c r="B3210" s="11">
        <f>IFERROR(__xludf.DUMMYFUNCTION("""COMPUTED_VALUE"""),46121.0)</f>
        <v>46121</v>
      </c>
      <c r="C3210" s="2" t="str">
        <f>IFERROR(__xludf.DUMMYFUNCTION("""COMPUTED_VALUE"""),"MOBILECARE - APP MAGNOLIA")</f>
        <v>MOBILECARE - APP MAGNOLIA</v>
      </c>
      <c r="D3210" s="2" t="str">
        <f>IFERROR(__xludf.DUMMYFUNCTION("""COMPUTED_VALUE"""),"661-44955")</f>
        <v>661-44955</v>
      </c>
      <c r="E3210" s="2" t="str">
        <f>IFERROR(__xludf.DUMMYFUNCTION("""COMPUTED_VALUE"""),"Display, iPhone 16 Pro Max")</f>
        <v>Display, iPhone 16 Pro Max</v>
      </c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</row>
    <row r="3211">
      <c r="A3211" s="10" t="str">
        <f t="shared" si="1"/>
        <v>March</v>
      </c>
      <c r="B3211" s="11">
        <f>IFERROR(__xludf.DUMMYFUNCTION("""COMPUTED_VALUE"""),46103.0)</f>
        <v>46103</v>
      </c>
      <c r="C3211" s="2" t="str">
        <f>IFERROR(__xludf.DUMMYFUNCTION("""COMPUTED_VALUE"""),"MOBILECARE - APP MAGNOLIA")</f>
        <v>MOBILECARE - APP MAGNOLIA</v>
      </c>
      <c r="D3211" s="2" t="str">
        <f>IFERROR(__xludf.DUMMYFUNCTION("""COMPUTED_VALUE"""),"661-56123")</f>
        <v>661-56123</v>
      </c>
      <c r="E3211" s="2" t="str">
        <f>IFERROR(__xludf.DUMMYFUNCTION("""COMPUTED_VALUE"""),"Cosmic Orange, Back Glass, iPhone 17 Pro")</f>
        <v>Cosmic Orange, Back Glass, iPhone 17 Pro</v>
      </c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</row>
    <row r="3212">
      <c r="A3212" s="10" t="str">
        <f t="shared" si="1"/>
        <v>January</v>
      </c>
      <c r="B3212" s="11">
        <f>IFERROR(__xludf.DUMMYFUNCTION("""COMPUTED_VALUE"""),46045.0)</f>
        <v>46045</v>
      </c>
      <c r="C3212" s="2" t="str">
        <f>IFERROR(__xludf.DUMMYFUNCTION("""COMPUTED_VALUE"""),"MOBILECARE - APP MAGNOLIA")</f>
        <v>MOBILECARE - APP MAGNOLIA</v>
      </c>
      <c r="D3212" s="2" t="str">
        <f>IFERROR(__xludf.DUMMYFUNCTION("""COMPUTED_VALUE"""),"661-56050")</f>
        <v>661-56050</v>
      </c>
      <c r="E3212" s="2" t="str">
        <f>IFERROR(__xludf.DUMMYFUNCTION("""COMPUTED_VALUE"""),"Display, iPhone 17 Pro Max")</f>
        <v>Display, iPhone 17 Pro Max</v>
      </c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</row>
    <row r="3213">
      <c r="A3213" s="10" t="str">
        <f t="shared" si="1"/>
        <v>January</v>
      </c>
      <c r="B3213" s="11">
        <f>IFERROR(__xludf.DUMMYFUNCTION("""COMPUTED_VALUE"""),46047.0)</f>
        <v>46047</v>
      </c>
      <c r="C3213" s="2" t="str">
        <f>IFERROR(__xludf.DUMMYFUNCTION("""COMPUTED_VALUE"""),"MOBILECARE - APP MAGNOLIA")</f>
        <v>MOBILECARE - APP MAGNOLIA</v>
      </c>
      <c r="D3213" s="2" t="str">
        <f>IFERROR(__xludf.DUMMYFUNCTION("""COMPUTED_VALUE"""),"661-17920")</f>
        <v>661-17920</v>
      </c>
      <c r="E3213" s="2" t="str">
        <f>IFERROR(__xludf.DUMMYFUNCTION("""COMPUTED_VALUE"""),"Battery, iPhone 12 and 12 Pro")</f>
        <v>Battery, iPhone 12 and 12 Pro</v>
      </c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</row>
    <row r="3214">
      <c r="A3214" s="10" t="str">
        <f t="shared" si="1"/>
        <v>January</v>
      </c>
      <c r="B3214" s="11">
        <f>IFERROR(__xludf.DUMMYFUNCTION("""COMPUTED_VALUE"""),46037.0)</f>
        <v>46037</v>
      </c>
      <c r="C3214" s="2" t="str">
        <f>IFERROR(__xludf.DUMMYFUNCTION("""COMPUTED_VALUE"""),"MOBILECARE - APP MAGNOLIA")</f>
        <v>MOBILECARE - APP MAGNOLIA</v>
      </c>
      <c r="D3214" s="2" t="str">
        <f>IFERROR(__xludf.DUMMYFUNCTION("""COMPUTED_VALUE"""),"661-22309")</f>
        <v>661-22309</v>
      </c>
      <c r="E3214" s="2" t="str">
        <f>IFERROR(__xludf.DUMMYFUNCTION("""COMPUTED_VALUE"""),"Display, iPhone 13 Pro Max")</f>
        <v>Display, iPhone 13 Pro Max</v>
      </c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</row>
    <row r="3215">
      <c r="A3215" s="10" t="str">
        <f t="shared" si="1"/>
        <v>May</v>
      </c>
      <c r="B3215" s="11">
        <f>IFERROR(__xludf.DUMMYFUNCTION("""COMPUTED_VALUE"""),46162.0)</f>
        <v>46162</v>
      </c>
      <c r="C3215" s="2" t="str">
        <f>IFERROR(__xludf.DUMMYFUNCTION("""COMPUTED_VALUE"""),"MOBILECARE - APP MAGNOLIA")</f>
        <v>MOBILECARE - APP MAGNOLIA</v>
      </c>
      <c r="D3215" s="2" t="str">
        <f>IFERROR(__xludf.DUMMYFUNCTION("""COMPUTED_VALUE"""),"661-22309")</f>
        <v>661-22309</v>
      </c>
      <c r="E3215" s="2" t="str">
        <f>IFERROR(__xludf.DUMMYFUNCTION("""COMPUTED_VALUE"""),"Display, iPhone 13 Pro Max")</f>
        <v>Display, iPhone 13 Pro Max</v>
      </c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</row>
    <row r="3216">
      <c r="A3216" s="10" t="str">
        <f t="shared" si="1"/>
        <v>May</v>
      </c>
      <c r="B3216" s="11">
        <f>IFERROR(__xludf.DUMMYFUNCTION("""COMPUTED_VALUE"""),46155.0)</f>
        <v>46155</v>
      </c>
      <c r="C3216" s="2" t="str">
        <f>IFERROR(__xludf.DUMMYFUNCTION("""COMPUTED_VALUE"""),"MOBILECARE - APP MAGNOLIA")</f>
        <v>MOBILECARE - APP MAGNOLIA</v>
      </c>
      <c r="D3216" s="2" t="str">
        <f>IFERROR(__xludf.DUMMYFUNCTION("""COMPUTED_VALUE"""),"661-35702")</f>
        <v>661-35702</v>
      </c>
      <c r="E3216" s="2" t="str">
        <f>IFERROR(__xludf.DUMMYFUNCTION("""COMPUTED_VALUE"""),"Natural Titanium, Back Glass, iPhone 15 Pro")</f>
        <v>Natural Titanium, Back Glass, iPhone 15 Pro</v>
      </c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</row>
    <row r="3217">
      <c r="A3217" s="10" t="str">
        <f t="shared" si="1"/>
        <v>May</v>
      </c>
      <c r="B3217" s="11">
        <f>IFERROR(__xludf.DUMMYFUNCTION("""COMPUTED_VALUE"""),46145.0)</f>
        <v>46145</v>
      </c>
      <c r="C3217" s="2" t="str">
        <f>IFERROR(__xludf.DUMMYFUNCTION("""COMPUTED_VALUE"""),"MOBILECARE - APP MAGNOLIA")</f>
        <v>MOBILECARE - APP MAGNOLIA</v>
      </c>
      <c r="D3217" s="2" t="str">
        <f>IFERROR(__xludf.DUMMYFUNCTION("""COMPUTED_VALUE"""),"661-30393")</f>
        <v>661-30393</v>
      </c>
      <c r="E3217" s="2" t="str">
        <f>IFERROR(__xludf.DUMMYFUNCTION("""COMPUTED_VALUE"""),"Camera, iPhone 14 Plus")</f>
        <v>Camera, iPhone 14 Plus</v>
      </c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</row>
    <row r="3218">
      <c r="A3218" s="10" t="str">
        <f t="shared" si="1"/>
        <v>February</v>
      </c>
      <c r="B3218" s="11">
        <f>IFERROR(__xludf.DUMMYFUNCTION("""COMPUTED_VALUE"""),46073.0)</f>
        <v>46073</v>
      </c>
      <c r="C3218" s="2" t="str">
        <f>IFERROR(__xludf.DUMMYFUNCTION("""COMPUTED_VALUE"""),"MOBILECARE - APP MAGNOLIA")</f>
        <v>MOBILECARE - APP MAGNOLIA</v>
      </c>
      <c r="D3218" s="2" t="str">
        <f>IFERROR(__xludf.DUMMYFUNCTION("""COMPUTED_VALUE"""),"661-22309")</f>
        <v>661-22309</v>
      </c>
      <c r="E3218" s="2" t="str">
        <f>IFERROR(__xludf.DUMMYFUNCTION("""COMPUTED_VALUE"""),"Display, iPhone 13 Pro Max")</f>
        <v>Display, iPhone 13 Pro Max</v>
      </c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</row>
    <row r="3219">
      <c r="A3219" s="10" t="str">
        <f t="shared" si="1"/>
        <v>February</v>
      </c>
      <c r="B3219" s="11">
        <f>IFERROR(__xludf.DUMMYFUNCTION("""COMPUTED_VALUE"""),46075.0)</f>
        <v>46075</v>
      </c>
      <c r="C3219" s="2" t="str">
        <f>IFERROR(__xludf.DUMMYFUNCTION("""COMPUTED_VALUE"""),"MOBILECARE - APP MAGNOLIA")</f>
        <v>MOBILECARE - APP MAGNOLIA</v>
      </c>
      <c r="D3219" s="2" t="str">
        <f>IFERROR(__xludf.DUMMYFUNCTION("""COMPUTED_VALUE"""),"661-30393")</f>
        <v>661-30393</v>
      </c>
      <c r="E3219" s="2" t="str">
        <f>IFERROR(__xludf.DUMMYFUNCTION("""COMPUTED_VALUE"""),"Camera, iPhone 14 Plus")</f>
        <v>Camera, iPhone 14 Plus</v>
      </c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</row>
    <row r="3220">
      <c r="A3220" s="10" t="str">
        <f t="shared" si="1"/>
        <v>May</v>
      </c>
      <c r="B3220" s="11">
        <f>IFERROR(__xludf.DUMMYFUNCTION("""COMPUTED_VALUE"""),46160.0)</f>
        <v>46160</v>
      </c>
      <c r="C3220" s="2" t="str">
        <f>IFERROR(__xludf.DUMMYFUNCTION("""COMPUTED_VALUE"""),"MOBILECARE - APP MAGNOLIA")</f>
        <v>MOBILECARE - APP MAGNOLIA</v>
      </c>
      <c r="D3220" s="2" t="str">
        <f>IFERROR(__xludf.DUMMYFUNCTION("""COMPUTED_VALUE"""),"661-56052")</f>
        <v>661-56052</v>
      </c>
      <c r="E3220" s="2" t="str">
        <f>IFERROR(__xludf.DUMMYFUNCTION("""COMPUTED_VALUE"""),"Camera, iPhone 17 Pro Max")</f>
        <v>Camera, iPhone 17 Pro Max</v>
      </c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</row>
    <row r="3221">
      <c r="A3221" s="10" t="str">
        <f t="shared" si="1"/>
        <v>April</v>
      </c>
      <c r="B3221" s="11">
        <f>IFERROR(__xludf.DUMMYFUNCTION("""COMPUTED_VALUE"""),46130.0)</f>
        <v>46130</v>
      </c>
      <c r="C3221" s="2" t="str">
        <f>IFERROR(__xludf.DUMMYFUNCTION("""COMPUTED_VALUE"""),"MOBILECARE - APP MAGNOLIA")</f>
        <v>MOBILECARE - APP MAGNOLIA</v>
      </c>
      <c r="D3221" s="2" t="str">
        <f>IFERROR(__xludf.DUMMYFUNCTION("""COMPUTED_VALUE"""),"661-30393")</f>
        <v>661-30393</v>
      </c>
      <c r="E3221" s="2" t="str">
        <f>IFERROR(__xludf.DUMMYFUNCTION("""COMPUTED_VALUE"""),"Camera, iPhone 14 Plus")</f>
        <v>Camera, iPhone 14 Plus</v>
      </c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</row>
    <row r="3222">
      <c r="A3222" s="10" t="str">
        <f t="shared" si="1"/>
        <v>May</v>
      </c>
      <c r="B3222" s="11">
        <f>IFERROR(__xludf.DUMMYFUNCTION("""COMPUTED_VALUE"""),46155.0)</f>
        <v>46155</v>
      </c>
      <c r="C3222" s="2" t="str">
        <f>IFERROR(__xludf.DUMMYFUNCTION("""COMPUTED_VALUE"""),"MOBILECARE - APP MAGNOLIA")</f>
        <v>MOBILECARE - APP MAGNOLIA</v>
      </c>
      <c r="D3222" s="2" t="str">
        <f>IFERROR(__xludf.DUMMYFUNCTION("""COMPUTED_VALUE"""),"661-36915")</f>
        <v>661-36915</v>
      </c>
      <c r="E3222" s="2" t="str">
        <f>IFERROR(__xludf.DUMMYFUNCTION("""COMPUTED_VALUE"""),"Display, iPhone 15 Pro Max")</f>
        <v>Display, iPhone 15 Pro Max</v>
      </c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</row>
    <row r="3223">
      <c r="A3223" s="10" t="str">
        <f t="shared" si="1"/>
        <v>May</v>
      </c>
      <c r="B3223" s="11">
        <f>IFERROR(__xludf.DUMMYFUNCTION("""COMPUTED_VALUE"""),46147.0)</f>
        <v>46147</v>
      </c>
      <c r="C3223" s="2" t="str">
        <f>IFERROR(__xludf.DUMMYFUNCTION("""COMPUTED_VALUE"""),"MOBILECARE - APP MAGNOLIA")</f>
        <v>MOBILECARE - APP MAGNOLIA</v>
      </c>
      <c r="D3223" s="2" t="str">
        <f>IFERROR(__xludf.DUMMYFUNCTION("""COMPUTED_VALUE"""),"661-22294")</f>
        <v>661-22294</v>
      </c>
      <c r="E3223" s="2" t="str">
        <f>IFERROR(__xludf.DUMMYFUNCTION("""COMPUTED_VALUE"""),"Battery, iPhone 13 Pro Max")</f>
        <v>Battery, iPhone 13 Pro Max</v>
      </c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</row>
    <row r="3224">
      <c r="A3224" s="10" t="str">
        <f t="shared" si="1"/>
        <v>May</v>
      </c>
      <c r="B3224" s="11">
        <f>IFERROR(__xludf.DUMMYFUNCTION("""COMPUTED_VALUE"""),46147.0)</f>
        <v>46147</v>
      </c>
      <c r="C3224" s="2" t="str">
        <f>IFERROR(__xludf.DUMMYFUNCTION("""COMPUTED_VALUE"""),"MOBILECARE - APP MAGNOLIA")</f>
        <v>MOBILECARE - APP MAGNOLIA</v>
      </c>
      <c r="D3224" s="2" t="str">
        <f>IFERROR(__xludf.DUMMYFUNCTION("""COMPUTED_VALUE"""),"661-22309")</f>
        <v>661-22309</v>
      </c>
      <c r="E3224" s="2" t="str">
        <f>IFERROR(__xludf.DUMMYFUNCTION("""COMPUTED_VALUE"""),"Display, iPhone 13 Pro Max")</f>
        <v>Display, iPhone 13 Pro Max</v>
      </c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</row>
    <row r="3225">
      <c r="A3225" s="10" t="str">
        <f t="shared" si="1"/>
        <v>May</v>
      </c>
      <c r="B3225" s="11">
        <f>IFERROR(__xludf.DUMMYFUNCTION("""COMPUTED_VALUE"""),46147.0)</f>
        <v>46147</v>
      </c>
      <c r="C3225" s="2" t="str">
        <f>IFERROR(__xludf.DUMMYFUNCTION("""COMPUTED_VALUE"""),"MOBILECARE - APP MAGNOLIA")</f>
        <v>MOBILECARE - APP MAGNOLIA</v>
      </c>
      <c r="D3225" s="2" t="str">
        <f>IFERROR(__xludf.DUMMYFUNCTION("""COMPUTED_VALUE"""),"661-22309")</f>
        <v>661-22309</v>
      </c>
      <c r="E3225" s="2" t="str">
        <f>IFERROR(__xludf.DUMMYFUNCTION("""COMPUTED_VALUE"""),"Display, iPhone 13 Pro Max")</f>
        <v>Display, iPhone 13 Pro Max</v>
      </c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</row>
    <row r="3226">
      <c r="A3226" s="10" t="str">
        <f t="shared" si="1"/>
        <v>May</v>
      </c>
      <c r="B3226" s="11">
        <f>IFERROR(__xludf.DUMMYFUNCTION("""COMPUTED_VALUE"""),46145.0)</f>
        <v>46145</v>
      </c>
      <c r="C3226" s="2" t="str">
        <f>IFERROR(__xludf.DUMMYFUNCTION("""COMPUTED_VALUE"""),"MOBILECARE - APP MAGNOLIA")</f>
        <v>MOBILECARE - APP MAGNOLIA</v>
      </c>
      <c r="D3226" s="2" t="str">
        <f>IFERROR(__xludf.DUMMYFUNCTION("""COMPUTED_VALUE"""),"661-30397")</f>
        <v>661-30397</v>
      </c>
      <c r="E3226" s="2" t="str">
        <f>IFERROR(__xludf.DUMMYFUNCTION("""COMPUTED_VALUE"""),"Battery, iPhone 14 Pro Max")</f>
        <v>Battery, iPhone 14 Pro Max</v>
      </c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</row>
    <row r="3227">
      <c r="A3227" s="10" t="str">
        <f t="shared" si="1"/>
        <v>April</v>
      </c>
      <c r="B3227" s="11">
        <f>IFERROR(__xludf.DUMMYFUNCTION("""COMPUTED_VALUE"""),46133.0)</f>
        <v>46133</v>
      </c>
      <c r="C3227" s="2" t="str">
        <f>IFERROR(__xludf.DUMMYFUNCTION("""COMPUTED_VALUE"""),"MOBILECARE - APP MAGNOLIA")</f>
        <v>MOBILECARE - APP MAGNOLIA</v>
      </c>
      <c r="D3227" s="2" t="str">
        <f>IFERROR(__xludf.DUMMYFUNCTION("""COMPUTED_VALUE"""),"661-21991")</f>
        <v>661-21991</v>
      </c>
      <c r="E3227" s="2" t="str">
        <f>IFERROR(__xludf.DUMMYFUNCTION("""COMPUTED_VALUE"""),"Battery, iPhone 13")</f>
        <v>Battery, iPhone 13</v>
      </c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</row>
    <row r="3228">
      <c r="A3228" s="10" t="str">
        <f t="shared" si="1"/>
        <v>April</v>
      </c>
      <c r="B3228" s="11">
        <f>IFERROR(__xludf.DUMMYFUNCTION("""COMPUTED_VALUE"""),46130.0)</f>
        <v>46130</v>
      </c>
      <c r="C3228" s="2" t="str">
        <f>IFERROR(__xludf.DUMMYFUNCTION("""COMPUTED_VALUE"""),"MOBILECARE - APP MAGNOLIA")</f>
        <v>MOBILECARE - APP MAGNOLIA</v>
      </c>
      <c r="D3228" s="2" t="str">
        <f>IFERROR(__xludf.DUMMYFUNCTION("""COMPUTED_VALUE"""),"661-56049")</f>
        <v>661-56049</v>
      </c>
      <c r="E3228" s="2" t="str">
        <f>IFERROR(__xludf.DUMMYFUNCTION("""COMPUTED_VALUE"""),"Battery, pSIM, iPhone 17 Pro Max")</f>
        <v>Battery, pSIM, iPhone 17 Pro Max</v>
      </c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</row>
    <row r="3229">
      <c r="A3229" s="10" t="str">
        <f t="shared" si="1"/>
        <v>February</v>
      </c>
      <c r="B3229" s="11">
        <f>IFERROR(__xludf.DUMMYFUNCTION("""COMPUTED_VALUE"""),46071.0)</f>
        <v>46071</v>
      </c>
      <c r="C3229" s="2" t="str">
        <f>IFERROR(__xludf.DUMMYFUNCTION("""COMPUTED_VALUE"""),"MOBILECARE - APP MAGNOLIA")</f>
        <v>MOBILECARE - APP MAGNOLIA</v>
      </c>
      <c r="D3229" s="2" t="str">
        <f>IFERROR(__xludf.DUMMYFUNCTION("""COMPUTED_VALUE"""),"661-21996")</f>
        <v>661-21996</v>
      </c>
      <c r="E3229" s="2" t="str">
        <f>IFERROR(__xludf.DUMMYFUNCTION("""COMPUTED_VALUE"""),"Battery, iPhone 13 Pro")</f>
        <v>Battery, iPhone 13 Pro</v>
      </c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</row>
    <row r="3230">
      <c r="A3230" s="10" t="str">
        <f t="shared" si="1"/>
        <v>May</v>
      </c>
      <c r="B3230" s="11">
        <f>IFERROR(__xludf.DUMMYFUNCTION("""COMPUTED_VALUE"""),46153.0)</f>
        <v>46153</v>
      </c>
      <c r="C3230" s="2" t="str">
        <f>IFERROR(__xludf.DUMMYFUNCTION("""COMPUTED_VALUE"""),"MOBILECARE - APP MAGNOLIA")</f>
        <v>MOBILECARE - APP MAGNOLIA</v>
      </c>
      <c r="D3230" s="2" t="str">
        <f>IFERROR(__xludf.DUMMYFUNCTION("""COMPUTED_VALUE"""),"661-22309")</f>
        <v>661-22309</v>
      </c>
      <c r="E3230" s="2" t="str">
        <f>IFERROR(__xludf.DUMMYFUNCTION("""COMPUTED_VALUE"""),"Display, iPhone 13 Pro Max")</f>
        <v>Display, iPhone 13 Pro Max</v>
      </c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</row>
    <row r="3231">
      <c r="A3231" s="10" t="str">
        <f t="shared" si="1"/>
        <v>March</v>
      </c>
      <c r="B3231" s="11">
        <f>IFERROR(__xludf.DUMMYFUNCTION("""COMPUTED_VALUE"""),46084.0)</f>
        <v>46084</v>
      </c>
      <c r="C3231" s="2" t="str">
        <f>IFERROR(__xludf.DUMMYFUNCTION("""COMPUTED_VALUE"""),"MOBILECARE - APP MAGNOLIA")</f>
        <v>MOBILECARE - APP MAGNOLIA</v>
      </c>
      <c r="D3231" s="2" t="str">
        <f>IFERROR(__xludf.DUMMYFUNCTION("""COMPUTED_VALUE"""),"661-44955")</f>
        <v>661-44955</v>
      </c>
      <c r="E3231" s="2" t="str">
        <f>IFERROR(__xludf.DUMMYFUNCTION("""COMPUTED_VALUE"""),"Display, iPhone 16 Pro Max")</f>
        <v>Display, iPhone 16 Pro Max</v>
      </c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</row>
    <row r="3232">
      <c r="A3232" s="10" t="str">
        <f t="shared" si="1"/>
        <v>January</v>
      </c>
      <c r="B3232" s="11">
        <f>IFERROR(__xludf.DUMMYFUNCTION("""COMPUTED_VALUE"""),46049.0)</f>
        <v>46049</v>
      </c>
      <c r="C3232" s="2" t="str">
        <f>IFERROR(__xludf.DUMMYFUNCTION("""COMPUTED_VALUE"""),"MOBILECARE - APP MAGNOLIA")</f>
        <v>MOBILECARE - APP MAGNOLIA</v>
      </c>
      <c r="D3232" s="2" t="str">
        <f>IFERROR(__xludf.DUMMYFUNCTION("""COMPUTED_VALUE"""),"661-17920")</f>
        <v>661-17920</v>
      </c>
      <c r="E3232" s="2" t="str">
        <f>IFERROR(__xludf.DUMMYFUNCTION("""COMPUTED_VALUE"""),"Battery, iPhone 12 and 12 Pro")</f>
        <v>Battery, iPhone 12 and 12 Pro</v>
      </c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</row>
    <row r="3233">
      <c r="A3233" s="10" t="str">
        <f t="shared" si="1"/>
        <v>January</v>
      </c>
      <c r="B3233" s="11">
        <f>IFERROR(__xludf.DUMMYFUNCTION("""COMPUTED_VALUE"""),46049.0)</f>
        <v>46049</v>
      </c>
      <c r="C3233" s="2" t="str">
        <f>IFERROR(__xludf.DUMMYFUNCTION("""COMPUTED_VALUE"""),"MOBILECARE - APP MAGNOLIA")</f>
        <v>MOBILECARE - APP MAGNOLIA</v>
      </c>
      <c r="D3233" s="2" t="str">
        <f>IFERROR(__xludf.DUMMYFUNCTION("""COMPUTED_VALUE"""),"661-18503")</f>
        <v>661-18503</v>
      </c>
      <c r="E3233" s="2" t="str">
        <f>IFERROR(__xludf.DUMMYFUNCTION("""COMPUTED_VALUE"""),"Display, iPhone 12")</f>
        <v>Display, iPhone 12</v>
      </c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</row>
    <row r="3234">
      <c r="A3234" s="10" t="str">
        <f t="shared" si="1"/>
        <v>March</v>
      </c>
      <c r="B3234" s="11">
        <f>IFERROR(__xludf.DUMMYFUNCTION("""COMPUTED_VALUE"""),46096.0)</f>
        <v>46096</v>
      </c>
      <c r="C3234" s="2" t="str">
        <f>IFERROR(__xludf.DUMMYFUNCTION("""COMPUTED_VALUE"""),"MOBILECARE - APP MAGNOLIA")</f>
        <v>MOBILECARE - APP MAGNOLIA</v>
      </c>
      <c r="D3234" s="2" t="str">
        <f>IFERROR(__xludf.DUMMYFUNCTION("""COMPUTED_VALUE"""),"661-36915")</f>
        <v>661-36915</v>
      </c>
      <c r="E3234" s="2" t="str">
        <f>IFERROR(__xludf.DUMMYFUNCTION("""COMPUTED_VALUE"""),"Display, iPhone 15 Pro Max")</f>
        <v>Display, iPhone 15 Pro Max</v>
      </c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</row>
    <row r="3235">
      <c r="A3235" s="10" t="str">
        <f t="shared" si="1"/>
        <v>February</v>
      </c>
      <c r="B3235" s="11">
        <f>IFERROR(__xludf.DUMMYFUNCTION("""COMPUTED_VALUE"""),46073.0)</f>
        <v>46073</v>
      </c>
      <c r="C3235" s="2" t="str">
        <f>IFERROR(__xludf.DUMMYFUNCTION("""COMPUTED_VALUE"""),"MOBILECARE - APP MAGNOLIA")</f>
        <v>MOBILECARE - APP MAGNOLIA</v>
      </c>
      <c r="D3235" s="2" t="str">
        <f>IFERROR(__xludf.DUMMYFUNCTION("""COMPUTED_VALUE"""),"661-42726")</f>
        <v>661-42726</v>
      </c>
      <c r="E3235" s="2" t="str">
        <f>IFERROR(__xludf.DUMMYFUNCTION("""COMPUTED_VALUE"""),"Display, iPhone 16 Pro")</f>
        <v>Display, iPhone 16 Pro</v>
      </c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</row>
    <row r="3236">
      <c r="A3236" s="10" t="str">
        <f t="shared" si="1"/>
        <v>February</v>
      </c>
      <c r="B3236" s="11">
        <f>IFERROR(__xludf.DUMMYFUNCTION("""COMPUTED_VALUE"""),46069.0)</f>
        <v>46069</v>
      </c>
      <c r="C3236" s="2" t="str">
        <f>IFERROR(__xludf.DUMMYFUNCTION("""COMPUTED_VALUE"""),"MOBILECARE - APP MAGNOLIA")</f>
        <v>MOBILECARE - APP MAGNOLIA</v>
      </c>
      <c r="D3236" s="2" t="str">
        <f>IFERROR(__xludf.DUMMYFUNCTION("""COMPUTED_VALUE"""),"661-22309")</f>
        <v>661-22309</v>
      </c>
      <c r="E3236" s="2" t="str">
        <f>IFERROR(__xludf.DUMMYFUNCTION("""COMPUTED_VALUE"""),"Display, iPhone 13 Pro Max")</f>
        <v>Display, iPhone 13 Pro Max</v>
      </c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</row>
    <row r="3237">
      <c r="A3237" s="10" t="str">
        <f t="shared" si="1"/>
        <v>April</v>
      </c>
      <c r="B3237" s="11">
        <f>IFERROR(__xludf.DUMMYFUNCTION("""COMPUTED_VALUE"""),46139.0)</f>
        <v>46139</v>
      </c>
      <c r="C3237" s="2" t="str">
        <f>IFERROR(__xludf.DUMMYFUNCTION("""COMPUTED_VALUE"""),"MOBILECARE - APP MAGNOLIA")</f>
        <v>MOBILECARE - APP MAGNOLIA</v>
      </c>
      <c r="D3237" s="2" t="str">
        <f>IFERROR(__xludf.DUMMYFUNCTION("""COMPUTED_VALUE"""),"661-42726")</f>
        <v>661-42726</v>
      </c>
      <c r="E3237" s="2" t="str">
        <f>IFERROR(__xludf.DUMMYFUNCTION("""COMPUTED_VALUE"""),"Display, iPhone 16 Pro")</f>
        <v>Display, iPhone 16 Pro</v>
      </c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</row>
    <row r="3238">
      <c r="A3238" s="10" t="str">
        <f t="shared" si="1"/>
        <v>March</v>
      </c>
      <c r="B3238" s="11">
        <f>IFERROR(__xludf.DUMMYFUNCTION("""COMPUTED_VALUE"""),46102.0)</f>
        <v>46102</v>
      </c>
      <c r="C3238" s="2" t="str">
        <f>IFERROR(__xludf.DUMMYFUNCTION("""COMPUTED_VALUE"""),"MOBILECARE - APP MAGNOLIA")</f>
        <v>MOBILECARE - APP MAGNOLIA</v>
      </c>
      <c r="D3238" s="2" t="str">
        <f>IFERROR(__xludf.DUMMYFUNCTION("""COMPUTED_VALUE"""),"661-22309")</f>
        <v>661-22309</v>
      </c>
      <c r="E3238" s="2" t="str">
        <f>IFERROR(__xludf.DUMMYFUNCTION("""COMPUTED_VALUE"""),"Display, iPhone 13 Pro Max")</f>
        <v>Display, iPhone 13 Pro Max</v>
      </c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</row>
    <row r="3239">
      <c r="A3239" s="10" t="str">
        <f t="shared" si="1"/>
        <v>February</v>
      </c>
      <c r="B3239" s="11">
        <f>IFERROR(__xludf.DUMMYFUNCTION("""COMPUTED_VALUE"""),46057.0)</f>
        <v>46057</v>
      </c>
      <c r="C3239" s="2" t="str">
        <f>IFERROR(__xludf.DUMMYFUNCTION("""COMPUTED_VALUE"""),"MOBILECARE - APP MAGNOLIA")</f>
        <v>MOBILECARE - APP MAGNOLIA</v>
      </c>
      <c r="D3239" s="2" t="str">
        <f>IFERROR(__xludf.DUMMYFUNCTION("""COMPUTED_VALUE"""),"661-56127")</f>
        <v>661-56127</v>
      </c>
      <c r="E3239" s="2" t="str">
        <f>IFERROR(__xludf.DUMMYFUNCTION("""COMPUTED_VALUE"""),"Camera, iPhone 17 Pro")</f>
        <v>Camera, iPhone 17 Pro</v>
      </c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</row>
    <row r="3240">
      <c r="A3240" s="10" t="str">
        <f t="shared" si="1"/>
        <v>June</v>
      </c>
      <c r="B3240" s="11">
        <f>IFERROR(__xludf.DUMMYFUNCTION("""COMPUTED_VALUE"""),46175.0)</f>
        <v>46175</v>
      </c>
      <c r="C3240" s="2" t="str">
        <f>IFERROR(__xludf.DUMMYFUNCTION("""COMPUTED_VALUE"""),"MOBILECARE - APP MAGNOLIA")</f>
        <v>MOBILECARE - APP MAGNOLIA</v>
      </c>
      <c r="D3240" s="2" t="str">
        <f>IFERROR(__xludf.DUMMYFUNCTION("""COMPUTED_VALUE"""),"661-44955")</f>
        <v>661-44955</v>
      </c>
      <c r="E3240" s="2" t="str">
        <f>IFERROR(__xludf.DUMMYFUNCTION("""COMPUTED_VALUE"""),"Display, iPhone 16 Pro Max")</f>
        <v>Display, iPhone 16 Pro Max</v>
      </c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</row>
    <row r="3241">
      <c r="A3241" s="10" t="str">
        <f t="shared" si="1"/>
        <v>January</v>
      </c>
      <c r="B3241" s="11">
        <f>IFERROR(__xludf.DUMMYFUNCTION("""COMPUTED_VALUE"""),46044.0)</f>
        <v>46044</v>
      </c>
      <c r="C3241" s="2" t="str">
        <f>IFERROR(__xludf.DUMMYFUNCTION("""COMPUTED_VALUE"""),"MOBILECARE - APP MAGNOLIA")</f>
        <v>MOBILECARE - APP MAGNOLIA</v>
      </c>
      <c r="D3241" s="2" t="str">
        <f>IFERROR(__xludf.DUMMYFUNCTION("""COMPUTED_VALUE"""),"661-56050")</f>
        <v>661-56050</v>
      </c>
      <c r="E3241" s="2" t="str">
        <f>IFERROR(__xludf.DUMMYFUNCTION("""COMPUTED_VALUE"""),"Display, iPhone 17 Pro Max")</f>
        <v>Display, iPhone 17 Pro Max</v>
      </c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</row>
    <row r="3242">
      <c r="A3242" s="10" t="str">
        <f t="shared" si="1"/>
        <v>June</v>
      </c>
      <c r="B3242" s="11">
        <f>IFERROR(__xludf.DUMMYFUNCTION("""COMPUTED_VALUE"""),46191.0)</f>
        <v>46191</v>
      </c>
      <c r="C3242" s="2" t="str">
        <f>IFERROR(__xludf.DUMMYFUNCTION("""COMPUTED_VALUE"""),"MOBILECARE - APP MAGNOLIA")</f>
        <v>MOBILECARE - APP MAGNOLIA</v>
      </c>
      <c r="D3242" s="2" t="str">
        <f>IFERROR(__xludf.DUMMYFUNCTION("""COMPUTED_VALUE"""),"661-30382")</f>
        <v>661-30382</v>
      </c>
      <c r="E3242" s="2" t="str">
        <f>IFERROR(__xludf.DUMMYFUNCTION("""COMPUTED_VALUE"""),"Battery, iPhone 14 Pro")</f>
        <v>Battery, iPhone 14 Pro</v>
      </c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</row>
    <row r="3243">
      <c r="A3243" s="10" t="str">
        <f t="shared" si="1"/>
        <v>June</v>
      </c>
      <c r="B3243" s="11">
        <f>IFERROR(__xludf.DUMMYFUNCTION("""COMPUTED_VALUE"""),46174.0)</f>
        <v>46174</v>
      </c>
      <c r="C3243" s="2" t="str">
        <f>IFERROR(__xludf.DUMMYFUNCTION("""COMPUTED_VALUE"""),"MOBILECARE - APP MAGNOLIA")</f>
        <v>MOBILECARE - APP MAGNOLIA</v>
      </c>
      <c r="D3243" s="2" t="str">
        <f>IFERROR(__xludf.DUMMYFUNCTION("""COMPUTED_VALUE"""),"661-35699")</f>
        <v>661-35699</v>
      </c>
      <c r="E3243" s="2" t="str">
        <f>IFERROR(__xludf.DUMMYFUNCTION("""COMPUTED_VALUE"""),"Display, iPhone 15 Pro")</f>
        <v>Display, iPhone 15 Pro</v>
      </c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</row>
    <row r="3244">
      <c r="A3244" s="10" t="str">
        <f t="shared" si="1"/>
        <v>April</v>
      </c>
      <c r="B3244" s="11">
        <f>IFERROR(__xludf.DUMMYFUNCTION("""COMPUTED_VALUE"""),46142.0)</f>
        <v>46142</v>
      </c>
      <c r="C3244" s="2" t="str">
        <f>IFERROR(__xludf.DUMMYFUNCTION("""COMPUTED_VALUE"""),"MOBILECARE - APP MAGNOLIA")</f>
        <v>MOBILECARE - APP MAGNOLIA</v>
      </c>
      <c r="D3244" s="2" t="str">
        <f>IFERROR(__xludf.DUMMYFUNCTION("""COMPUTED_VALUE"""),"661-17920")</f>
        <v>661-17920</v>
      </c>
      <c r="E3244" s="2" t="str">
        <f>IFERROR(__xludf.DUMMYFUNCTION("""COMPUTED_VALUE"""),"Battery, iPhone 12 and 12 Pro")</f>
        <v>Battery, iPhone 12 and 12 Pro</v>
      </c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</row>
    <row r="3245">
      <c r="A3245" s="10" t="str">
        <f t="shared" si="1"/>
        <v>April</v>
      </c>
      <c r="B3245" s="11">
        <f>IFERROR(__xludf.DUMMYFUNCTION("""COMPUTED_VALUE"""),46142.0)</f>
        <v>46142</v>
      </c>
      <c r="C3245" s="2" t="str">
        <f>IFERROR(__xludf.DUMMYFUNCTION("""COMPUTED_VALUE"""),"MOBILECARE - APP MAGNOLIA")</f>
        <v>MOBILECARE - APP MAGNOLIA</v>
      </c>
      <c r="D3245" s="2" t="str">
        <f>IFERROR(__xludf.DUMMYFUNCTION("""COMPUTED_VALUE"""),"661-42726")</f>
        <v>661-42726</v>
      </c>
      <c r="E3245" s="2" t="str">
        <f>IFERROR(__xludf.DUMMYFUNCTION("""COMPUTED_VALUE"""),"Display, iPhone 16 Pro")</f>
        <v>Display, iPhone 16 Pro</v>
      </c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</row>
    <row r="3246">
      <c r="A3246" s="10" t="str">
        <f t="shared" si="1"/>
        <v>February</v>
      </c>
      <c r="B3246" s="11">
        <f>IFERROR(__xludf.DUMMYFUNCTION("""COMPUTED_VALUE"""),46079.0)</f>
        <v>46079</v>
      </c>
      <c r="C3246" s="2" t="str">
        <f>IFERROR(__xludf.DUMMYFUNCTION("""COMPUTED_VALUE"""),"MOBILECARE - APP MAGNOLIA")</f>
        <v>MOBILECARE - APP MAGNOLIA</v>
      </c>
      <c r="D3246" s="2" t="str">
        <f>IFERROR(__xludf.DUMMYFUNCTION("""COMPUTED_VALUE"""),"661-44955")</f>
        <v>661-44955</v>
      </c>
      <c r="E3246" s="2" t="str">
        <f>IFERROR(__xludf.DUMMYFUNCTION("""COMPUTED_VALUE"""),"Display, iPhone 16 Pro Max")</f>
        <v>Display, iPhone 16 Pro Max</v>
      </c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</row>
    <row r="3247">
      <c r="A3247" s="10" t="str">
        <f t="shared" si="1"/>
        <v>March</v>
      </c>
      <c r="B3247" s="11">
        <f>IFERROR(__xludf.DUMMYFUNCTION("""COMPUTED_VALUE"""),46090.0)</f>
        <v>46090</v>
      </c>
      <c r="C3247" s="2" t="str">
        <f>IFERROR(__xludf.DUMMYFUNCTION("""COMPUTED_VALUE"""),"MOBILECARE - APP MAGNOLIA")</f>
        <v>MOBILECARE - APP MAGNOLIA</v>
      </c>
      <c r="D3247" s="2" t="str">
        <f>IFERROR(__xludf.DUMMYFUNCTION("""COMPUTED_VALUE"""),"661-22294")</f>
        <v>661-22294</v>
      </c>
      <c r="E3247" s="2" t="str">
        <f>IFERROR(__xludf.DUMMYFUNCTION("""COMPUTED_VALUE"""),"Battery, iPhone 13 Pro Max")</f>
        <v>Battery, iPhone 13 Pro Max</v>
      </c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</row>
    <row r="3248">
      <c r="A3248" s="10" t="str">
        <f t="shared" si="1"/>
        <v>February</v>
      </c>
      <c r="B3248" s="11">
        <f>IFERROR(__xludf.DUMMYFUNCTION("""COMPUTED_VALUE"""),46078.0)</f>
        <v>46078</v>
      </c>
      <c r="C3248" s="2" t="str">
        <f>IFERROR(__xludf.DUMMYFUNCTION("""COMPUTED_VALUE"""),"MOBILECARE - APP MAGNOLIA")</f>
        <v>MOBILECARE - APP MAGNOLIA</v>
      </c>
      <c r="D3248" s="2" t="str">
        <f>IFERROR(__xludf.DUMMYFUNCTION("""COMPUTED_VALUE"""),"661-30366")</f>
        <v>661-30366</v>
      </c>
      <c r="E3248" s="2" t="str">
        <f>IFERROR(__xludf.DUMMYFUNCTION("""COMPUTED_VALUE"""),"Display, iPhone 14")</f>
        <v>Display, iPhone 14</v>
      </c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</row>
    <row r="3249">
      <c r="A3249" s="10" t="str">
        <f t="shared" si="1"/>
        <v>February</v>
      </c>
      <c r="B3249" s="11">
        <f>IFERROR(__xludf.DUMMYFUNCTION("""COMPUTED_VALUE"""),46076.0)</f>
        <v>46076</v>
      </c>
      <c r="C3249" s="2" t="str">
        <f>IFERROR(__xludf.DUMMYFUNCTION("""COMPUTED_VALUE"""),"MOBILECARE - APP MAGNOLIA")</f>
        <v>MOBILECARE - APP MAGNOLIA</v>
      </c>
      <c r="D3249" s="2" t="str">
        <f>IFERROR(__xludf.DUMMYFUNCTION("""COMPUTED_VALUE"""),"661-42726")</f>
        <v>661-42726</v>
      </c>
      <c r="E3249" s="2" t="str">
        <f>IFERROR(__xludf.DUMMYFUNCTION("""COMPUTED_VALUE"""),"Display, iPhone 16 Pro")</f>
        <v>Display, iPhone 16 Pro</v>
      </c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</row>
    <row r="3250">
      <c r="A3250" s="10" t="str">
        <f t="shared" si="1"/>
        <v>February</v>
      </c>
      <c r="B3250" s="11">
        <f>IFERROR(__xludf.DUMMYFUNCTION("""COMPUTED_VALUE"""),46076.0)</f>
        <v>46076</v>
      </c>
      <c r="C3250" s="2" t="str">
        <f>IFERROR(__xludf.DUMMYFUNCTION("""COMPUTED_VALUE"""),"MOBILECARE - APP MAGNOLIA")</f>
        <v>MOBILECARE - APP MAGNOLIA</v>
      </c>
      <c r="D3250" s="2" t="str">
        <f>IFERROR(__xludf.DUMMYFUNCTION("""COMPUTED_VALUE"""),"923-10745")</f>
        <v>923-10745</v>
      </c>
      <c r="E3250" s="2" t="str">
        <f>IFERROR(__xludf.DUMMYFUNCTION("""COMPUTED_VALUE"""),"Taptic Engine, iPhone 16 Pro")</f>
        <v>Taptic Engine, iPhone 16 Pro</v>
      </c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</row>
    <row r="3251">
      <c r="A3251" s="10" t="str">
        <f t="shared" si="1"/>
        <v>February</v>
      </c>
      <c r="B3251" s="11">
        <f>IFERROR(__xludf.DUMMYFUNCTION("""COMPUTED_VALUE"""),46054.0)</f>
        <v>46054</v>
      </c>
      <c r="C3251" s="2" t="str">
        <f>IFERROR(__xludf.DUMMYFUNCTION("""COMPUTED_VALUE"""),"MOBILECARE - APP MAGNOLIA")</f>
        <v>MOBILECARE - APP MAGNOLIA</v>
      </c>
      <c r="D3251" s="2" t="str">
        <f>IFERROR(__xludf.DUMMYFUNCTION("""COMPUTED_VALUE"""),"661-22294")</f>
        <v>661-22294</v>
      </c>
      <c r="E3251" s="2" t="str">
        <f>IFERROR(__xludf.DUMMYFUNCTION("""COMPUTED_VALUE"""),"Battery, iPhone 13 Pro Max")</f>
        <v>Battery, iPhone 13 Pro Max</v>
      </c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</row>
    <row r="3252">
      <c r="A3252" s="10" t="str">
        <f t="shared" si="1"/>
        <v>June</v>
      </c>
      <c r="B3252" s="11">
        <f>IFERROR(__xludf.DUMMYFUNCTION("""COMPUTED_VALUE"""),46191.0)</f>
        <v>46191</v>
      </c>
      <c r="C3252" s="2" t="str">
        <f>IFERROR(__xludf.DUMMYFUNCTION("""COMPUTED_VALUE"""),"MOBILECARE - APP MAGNOLIA")</f>
        <v>MOBILECARE - APP MAGNOLIA</v>
      </c>
      <c r="D3252" s="2" t="str">
        <f>IFERROR(__xludf.DUMMYFUNCTION("""COMPUTED_VALUE"""),"661-17920")</f>
        <v>661-17920</v>
      </c>
      <c r="E3252" s="2" t="str">
        <f>IFERROR(__xludf.DUMMYFUNCTION("""COMPUTED_VALUE"""),"Battery, iPhone 12 and 12 Pro")</f>
        <v>Battery, iPhone 12 and 12 Pro</v>
      </c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</row>
    <row r="3253">
      <c r="A3253" s="10" t="str">
        <f t="shared" si="1"/>
        <v>May</v>
      </c>
      <c r="B3253" s="11">
        <f>IFERROR(__xludf.DUMMYFUNCTION("""COMPUTED_VALUE"""),46146.0)</f>
        <v>46146</v>
      </c>
      <c r="C3253" s="2" t="str">
        <f>IFERROR(__xludf.DUMMYFUNCTION("""COMPUTED_VALUE"""),"MOBILECARE - APP MAGNOLIA")</f>
        <v>MOBILECARE - APP MAGNOLIA</v>
      </c>
      <c r="D3253" s="2" t="str">
        <f>IFERROR(__xludf.DUMMYFUNCTION("""COMPUTED_VALUE"""),"661-56059")</f>
        <v>661-56059</v>
      </c>
      <c r="E3253" s="2" t="str">
        <f>IFERROR(__xludf.DUMMYFUNCTION("""COMPUTED_VALUE"""),"Mist Blue, Back Glass, iPhone 17")</f>
        <v>Mist Blue, Back Glass, iPhone 17</v>
      </c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</row>
    <row r="3254">
      <c r="A3254" s="10" t="str">
        <f t="shared" si="1"/>
        <v>May</v>
      </c>
      <c r="B3254" s="11">
        <f>IFERROR(__xludf.DUMMYFUNCTION("""COMPUTED_VALUE"""),46146.0)</f>
        <v>46146</v>
      </c>
      <c r="C3254" s="2" t="str">
        <f>IFERROR(__xludf.DUMMYFUNCTION("""COMPUTED_VALUE"""),"MOBILECARE - APP MAGNOLIA")</f>
        <v>MOBILECARE - APP MAGNOLIA</v>
      </c>
      <c r="D3254" s="2" t="str">
        <f>IFERROR(__xludf.DUMMYFUNCTION("""COMPUTED_VALUE"""),"661-56067")</f>
        <v>661-56067</v>
      </c>
      <c r="E3254" s="2" t="str">
        <f>IFERROR(__xludf.DUMMYFUNCTION("""COMPUTED_VALUE"""),"Camera, iPhone 17")</f>
        <v>Camera, iPhone 17</v>
      </c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</row>
    <row r="3255">
      <c r="A3255" s="10" t="str">
        <f t="shared" si="1"/>
        <v>May</v>
      </c>
      <c r="B3255" s="11">
        <f>IFERROR(__xludf.DUMMYFUNCTION("""COMPUTED_VALUE"""),46146.0)</f>
        <v>46146</v>
      </c>
      <c r="C3255" s="2" t="str">
        <f>IFERROR(__xludf.DUMMYFUNCTION("""COMPUTED_VALUE"""),"MOBILECARE - APP MAGNOLIA")</f>
        <v>MOBILECARE - APP MAGNOLIA</v>
      </c>
      <c r="D3255" s="2" t="str">
        <f>IFERROR(__xludf.DUMMYFUNCTION("""COMPUTED_VALUE"""),"661-56066")</f>
        <v>661-56066</v>
      </c>
      <c r="E3255" s="2" t="str">
        <f>IFERROR(__xludf.DUMMYFUNCTION("""COMPUTED_VALUE"""),"Front Camera, iPhone 17")</f>
        <v>Front Camera, iPhone 17</v>
      </c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</row>
    <row r="3256">
      <c r="A3256" s="10" t="str">
        <f t="shared" si="1"/>
        <v>March</v>
      </c>
      <c r="B3256" s="11">
        <f>IFERROR(__xludf.DUMMYFUNCTION("""COMPUTED_VALUE"""),46110.0)</f>
        <v>46110</v>
      </c>
      <c r="C3256" s="2" t="str">
        <f>IFERROR(__xludf.DUMMYFUNCTION("""COMPUTED_VALUE"""),"MOBILECARE - APP MAGNOLIA")</f>
        <v>MOBILECARE - APP MAGNOLIA</v>
      </c>
      <c r="D3256" s="2" t="str">
        <f>IFERROR(__xludf.DUMMYFUNCTION("""COMPUTED_VALUE"""),"661-21991")</f>
        <v>661-21991</v>
      </c>
      <c r="E3256" s="2" t="str">
        <f>IFERROR(__xludf.DUMMYFUNCTION("""COMPUTED_VALUE"""),"Battery, iPhone 13")</f>
        <v>Battery, iPhone 13</v>
      </c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</row>
    <row r="3257">
      <c r="A3257" s="10" t="str">
        <f t="shared" si="1"/>
        <v>March</v>
      </c>
      <c r="B3257" s="11">
        <f>IFERROR(__xludf.DUMMYFUNCTION("""COMPUTED_VALUE"""),46099.0)</f>
        <v>46099</v>
      </c>
      <c r="C3257" s="2" t="str">
        <f>IFERROR(__xludf.DUMMYFUNCTION("""COMPUTED_VALUE"""),"MOBILECARE - APP MAGNOLIA")</f>
        <v>MOBILECARE - APP MAGNOLIA</v>
      </c>
      <c r="D3257" s="2" t="str">
        <f>IFERROR(__xludf.DUMMYFUNCTION("""COMPUTED_VALUE"""),"661-22309")</f>
        <v>661-22309</v>
      </c>
      <c r="E3257" s="2" t="str">
        <f>IFERROR(__xludf.DUMMYFUNCTION("""COMPUTED_VALUE"""),"Display, iPhone 13 Pro Max")</f>
        <v>Display, iPhone 13 Pro Max</v>
      </c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</row>
    <row r="3258">
      <c r="A3258" s="10" t="str">
        <f t="shared" si="1"/>
        <v>June</v>
      </c>
      <c r="B3258" s="11">
        <f>IFERROR(__xludf.DUMMYFUNCTION("""COMPUTED_VALUE"""),46182.0)</f>
        <v>46182</v>
      </c>
      <c r="C3258" s="2" t="str">
        <f>IFERROR(__xludf.DUMMYFUNCTION("""COMPUTED_VALUE"""),"MOBILECARE - APP MAGNOLIA")</f>
        <v>MOBILECARE - APP MAGNOLIA</v>
      </c>
      <c r="D3258" s="2" t="str">
        <f>IFERROR(__xludf.DUMMYFUNCTION("""COMPUTED_VALUE"""),"661-56050")</f>
        <v>661-56050</v>
      </c>
      <c r="E3258" s="2" t="str">
        <f>IFERROR(__xludf.DUMMYFUNCTION("""COMPUTED_VALUE"""),"Display, iPhone 17 Pro Max")</f>
        <v>Display, iPhone 17 Pro Max</v>
      </c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</row>
    <row r="3259">
      <c r="A3259" s="10" t="str">
        <f t="shared" si="1"/>
        <v>May</v>
      </c>
      <c r="B3259" s="11">
        <f>IFERROR(__xludf.DUMMYFUNCTION("""COMPUTED_VALUE"""),46150.0)</f>
        <v>46150</v>
      </c>
      <c r="C3259" s="2" t="str">
        <f>IFERROR(__xludf.DUMMYFUNCTION("""COMPUTED_VALUE"""),"MOBILECARE - APP MAGNOLIA")</f>
        <v>MOBILECARE - APP MAGNOLIA</v>
      </c>
      <c r="D3259" s="2" t="str">
        <f>IFERROR(__xludf.DUMMYFUNCTION("""COMPUTED_VALUE"""),"661-44955")</f>
        <v>661-44955</v>
      </c>
      <c r="E3259" s="2" t="str">
        <f>IFERROR(__xludf.DUMMYFUNCTION("""COMPUTED_VALUE"""),"Display, iPhone 16 Pro Max")</f>
        <v>Display, iPhone 16 Pro Max</v>
      </c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</row>
    <row r="3260">
      <c r="A3260" s="10" t="str">
        <f t="shared" si="1"/>
        <v>April</v>
      </c>
      <c r="B3260" s="11">
        <f>IFERROR(__xludf.DUMMYFUNCTION("""COMPUTED_VALUE"""),46135.0)</f>
        <v>46135</v>
      </c>
      <c r="C3260" s="2" t="str">
        <f>IFERROR(__xludf.DUMMYFUNCTION("""COMPUTED_VALUE"""),"MOBILECARE - APP MAGNOLIA")</f>
        <v>MOBILECARE - APP MAGNOLIA</v>
      </c>
      <c r="D3260" s="2" t="str">
        <f>IFERROR(__xludf.DUMMYFUNCTION("""COMPUTED_VALUE"""),"ZP923-13774")</f>
        <v>ZP923-13774</v>
      </c>
      <c r="E3260" s="2" t="str">
        <f>IFERROR(__xludf.DUMMYFUNCTION("""COMPUTED_VALUE"""),"Lavender, Enclosure, iPhone 17, ROW")</f>
        <v>Lavender, Enclosure, iPhone 17, ROW</v>
      </c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</row>
    <row r="3261">
      <c r="A3261" s="10" t="str">
        <f t="shared" si="1"/>
        <v>April</v>
      </c>
      <c r="B3261" s="11">
        <f>IFERROR(__xludf.DUMMYFUNCTION("""COMPUTED_VALUE"""),46135.0)</f>
        <v>46135</v>
      </c>
      <c r="C3261" s="2" t="str">
        <f>IFERROR(__xludf.DUMMYFUNCTION("""COMPUTED_VALUE"""),"MOBILECARE - APP MAGNOLIA")</f>
        <v>MOBILECARE - APP MAGNOLIA</v>
      </c>
      <c r="D3261" s="2" t="str">
        <f>IFERROR(__xludf.DUMMYFUNCTION("""COMPUTED_VALUE"""),"661-56064")</f>
        <v>661-56064</v>
      </c>
      <c r="E3261" s="2" t="str">
        <f>IFERROR(__xludf.DUMMYFUNCTION("""COMPUTED_VALUE"""),"Battery, iPhone 17")</f>
        <v>Battery, iPhone 17</v>
      </c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</row>
    <row r="3262">
      <c r="A3262" s="10" t="str">
        <f t="shared" si="1"/>
        <v>May</v>
      </c>
      <c r="B3262" s="11">
        <f>IFERROR(__xludf.DUMMYFUNCTION("""COMPUTED_VALUE"""),46157.0)</f>
        <v>46157</v>
      </c>
      <c r="C3262" s="2" t="str">
        <f>IFERROR(__xludf.DUMMYFUNCTION("""COMPUTED_VALUE"""),"MOBILECARE - APP MAGNOLIA")</f>
        <v>MOBILECARE - APP MAGNOLIA</v>
      </c>
      <c r="D3262" s="2" t="str">
        <f>IFERROR(__xludf.DUMMYFUNCTION("""COMPUTED_VALUE"""),"661-36706")</f>
        <v>661-36706</v>
      </c>
      <c r="E3262" s="2" t="str">
        <f>IFERROR(__xludf.DUMMYFUNCTION("""COMPUTED_VALUE"""),"Display, iPhone 15")</f>
        <v>Display, iPhone 15</v>
      </c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</row>
    <row r="3263">
      <c r="A3263" s="10" t="str">
        <f t="shared" si="1"/>
        <v>April</v>
      </c>
      <c r="B3263" s="11">
        <f>IFERROR(__xludf.DUMMYFUNCTION("""COMPUTED_VALUE"""),46141.0)</f>
        <v>46141</v>
      </c>
      <c r="C3263" s="2" t="str">
        <f>IFERROR(__xludf.DUMMYFUNCTION("""COMPUTED_VALUE"""),"MOBILECARE - APP MAGNOLIA")</f>
        <v>MOBILECARE - APP MAGNOLIA</v>
      </c>
      <c r="D3263" s="2" t="str">
        <f>IFERROR(__xludf.DUMMYFUNCTION("""COMPUTED_VALUE"""),"661-30397")</f>
        <v>661-30397</v>
      </c>
      <c r="E3263" s="2" t="str">
        <f>IFERROR(__xludf.DUMMYFUNCTION("""COMPUTED_VALUE"""),"Battery, iPhone 14 Pro Max")</f>
        <v>Battery, iPhone 14 Pro Max</v>
      </c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</row>
    <row r="3264">
      <c r="A3264" s="10" t="str">
        <f t="shared" si="1"/>
        <v>March</v>
      </c>
      <c r="B3264" s="11">
        <f>IFERROR(__xludf.DUMMYFUNCTION("""COMPUTED_VALUE"""),46106.0)</f>
        <v>46106</v>
      </c>
      <c r="C3264" s="2" t="str">
        <f>IFERROR(__xludf.DUMMYFUNCTION("""COMPUTED_VALUE"""),"MOBILECARE - APP MAGNOLIA")</f>
        <v>MOBILECARE - APP MAGNOLIA</v>
      </c>
      <c r="D3264" s="2" t="str">
        <f>IFERROR(__xludf.DUMMYFUNCTION("""COMPUTED_VALUE"""),"661-42726")</f>
        <v>661-42726</v>
      </c>
      <c r="E3264" s="2" t="str">
        <f>IFERROR(__xludf.DUMMYFUNCTION("""COMPUTED_VALUE"""),"Display, iPhone 16 Pro")</f>
        <v>Display, iPhone 16 Pro</v>
      </c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</row>
    <row r="3265">
      <c r="A3265" s="10" t="str">
        <f t="shared" si="1"/>
        <v>March</v>
      </c>
      <c r="B3265" s="11">
        <f>IFERROR(__xludf.DUMMYFUNCTION("""COMPUTED_VALUE"""),46106.0)</f>
        <v>46106</v>
      </c>
      <c r="C3265" s="2" t="str">
        <f>IFERROR(__xludf.DUMMYFUNCTION("""COMPUTED_VALUE"""),"MOBILECARE - APP MAGNOLIA")</f>
        <v>MOBILECARE - APP MAGNOLIA</v>
      </c>
      <c r="D3265" s="2" t="str">
        <f>IFERROR(__xludf.DUMMYFUNCTION("""COMPUTED_VALUE"""),"661-42728")</f>
        <v>661-42728</v>
      </c>
      <c r="E3265" s="2" t="str">
        <f>IFERROR(__xludf.DUMMYFUNCTION("""COMPUTED_VALUE"""),"Camera, iPhone 16 Pro")</f>
        <v>Camera, iPhone 16 Pro</v>
      </c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</row>
    <row r="3266">
      <c r="A3266" s="10" t="str">
        <f t="shared" si="1"/>
        <v>June</v>
      </c>
      <c r="B3266" s="11">
        <f>IFERROR(__xludf.DUMMYFUNCTION("""COMPUTED_VALUE"""),46191.0)</f>
        <v>46191</v>
      </c>
      <c r="C3266" s="2" t="str">
        <f>IFERROR(__xludf.DUMMYFUNCTION("""COMPUTED_VALUE"""),"MOBILECARE - APP MAGNOLIA")</f>
        <v>MOBILECARE - APP MAGNOLIA</v>
      </c>
      <c r="D3266" s="2" t="str">
        <f>IFERROR(__xludf.DUMMYFUNCTION("""COMPUTED_VALUE"""),"661-56065")</f>
        <v>661-56065</v>
      </c>
      <c r="E3266" s="2" t="str">
        <f>IFERROR(__xludf.DUMMYFUNCTION("""COMPUTED_VALUE"""),"Display, iPhone 17")</f>
        <v>Display, iPhone 17</v>
      </c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</row>
    <row r="3267">
      <c r="A3267" s="10" t="str">
        <f t="shared" si="1"/>
        <v>April</v>
      </c>
      <c r="B3267" s="11">
        <f>IFERROR(__xludf.DUMMYFUNCTION("""COMPUTED_VALUE"""),46138.0)</f>
        <v>46138</v>
      </c>
      <c r="C3267" s="2" t="str">
        <f>IFERROR(__xludf.DUMMYFUNCTION("""COMPUTED_VALUE"""),"MOBILECARE - APP MAGNOLIA")</f>
        <v>MOBILECARE - APP MAGNOLIA</v>
      </c>
      <c r="D3267" s="2" t="str">
        <f>IFERROR(__xludf.DUMMYFUNCTION("""COMPUTED_VALUE"""),"661-21988")</f>
        <v>661-21988</v>
      </c>
      <c r="E3267" s="2" t="str">
        <f>IFERROR(__xludf.DUMMYFUNCTION("""COMPUTED_VALUE"""),"Display, iPhone 13")</f>
        <v>Display, iPhone 13</v>
      </c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</row>
    <row r="3268">
      <c r="A3268" s="10" t="str">
        <f t="shared" si="1"/>
        <v>April</v>
      </c>
      <c r="B3268" s="11">
        <f>IFERROR(__xludf.DUMMYFUNCTION("""COMPUTED_VALUE"""),46124.0)</f>
        <v>46124</v>
      </c>
      <c r="C3268" s="2" t="str">
        <f>IFERROR(__xludf.DUMMYFUNCTION("""COMPUTED_VALUE"""),"MOBILECARE - APP MAGNOLIA")</f>
        <v>MOBILECARE - APP MAGNOLIA</v>
      </c>
      <c r="D3268" s="2" t="str">
        <f>IFERROR(__xludf.DUMMYFUNCTION("""COMPUTED_VALUE"""),"Z661-55956")</f>
        <v>Z661-55956</v>
      </c>
      <c r="E3268" s="2" t="str">
        <f>IFERROR(__xludf.DUMMYFUNCTION("""COMPUTED_VALUE"""),"Logic Board, 256GB, iPhone 17 Pro Max, ROW")</f>
        <v>Logic Board, 256GB, iPhone 17 Pro Max, ROW</v>
      </c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</row>
    <row r="3269">
      <c r="A3269" s="10" t="str">
        <f t="shared" si="1"/>
        <v>February</v>
      </c>
      <c r="B3269" s="11">
        <f>IFERROR(__xludf.DUMMYFUNCTION("""COMPUTED_VALUE"""),46060.0)</f>
        <v>46060</v>
      </c>
      <c r="C3269" s="2" t="str">
        <f>IFERROR(__xludf.DUMMYFUNCTION("""COMPUTED_VALUE"""),"MOBILECARE - APP MAGNOLIA")</f>
        <v>MOBILECARE - APP MAGNOLIA</v>
      </c>
      <c r="D3269" s="2" t="str">
        <f>IFERROR(__xludf.DUMMYFUNCTION("""COMPUTED_VALUE"""),"661-36918")</f>
        <v>661-36918</v>
      </c>
      <c r="E3269" s="2" t="str">
        <f>IFERROR(__xludf.DUMMYFUNCTION("""COMPUTED_VALUE"""),"Battery, iPhone 15 Pro Max")</f>
        <v>Battery, iPhone 15 Pro Max</v>
      </c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</row>
    <row r="3270">
      <c r="A3270" s="10" t="str">
        <f t="shared" si="1"/>
        <v>June</v>
      </c>
      <c r="B3270" s="11">
        <f>IFERROR(__xludf.DUMMYFUNCTION("""COMPUTED_VALUE"""),46174.0)</f>
        <v>46174</v>
      </c>
      <c r="C3270" s="2" t="str">
        <f>IFERROR(__xludf.DUMMYFUNCTION("""COMPUTED_VALUE"""),"MOBILECARE - APP MAGNOLIA")</f>
        <v>MOBILECARE - APP MAGNOLIA</v>
      </c>
      <c r="D3270" s="2" t="str">
        <f>IFERROR(__xludf.DUMMYFUNCTION("""COMPUTED_VALUE"""),"661-21991")</f>
        <v>661-21991</v>
      </c>
      <c r="E3270" s="2" t="str">
        <f>IFERROR(__xludf.DUMMYFUNCTION("""COMPUTED_VALUE"""),"Battery, iPhone 13")</f>
        <v>Battery, iPhone 13</v>
      </c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</row>
    <row r="3271">
      <c r="A3271" s="10" t="str">
        <f t="shared" si="1"/>
        <v>May</v>
      </c>
      <c r="B3271" s="11">
        <f>IFERROR(__xludf.DUMMYFUNCTION("""COMPUTED_VALUE"""),46167.0)</f>
        <v>46167</v>
      </c>
      <c r="C3271" s="2" t="str">
        <f>IFERROR(__xludf.DUMMYFUNCTION("""COMPUTED_VALUE"""),"MOBILECARE - APP MAGNOLIA")</f>
        <v>MOBILECARE - APP MAGNOLIA</v>
      </c>
      <c r="D3271" s="2" t="str">
        <f>IFERROR(__xludf.DUMMYFUNCTION("""COMPUTED_VALUE"""),"661-21991")</f>
        <v>661-21991</v>
      </c>
      <c r="E3271" s="2" t="str">
        <f>IFERROR(__xludf.DUMMYFUNCTION("""COMPUTED_VALUE"""),"Battery, iPhone 13")</f>
        <v>Battery, iPhone 13</v>
      </c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</row>
    <row r="3272">
      <c r="A3272" s="10" t="str">
        <f t="shared" si="1"/>
        <v>January</v>
      </c>
      <c r="B3272" s="11">
        <f>IFERROR(__xludf.DUMMYFUNCTION("""COMPUTED_VALUE"""),46043.0)</f>
        <v>46043</v>
      </c>
      <c r="C3272" s="2" t="str">
        <f>IFERROR(__xludf.DUMMYFUNCTION("""COMPUTED_VALUE"""),"MOBILECARE - APP MAGNOLIA")</f>
        <v>MOBILECARE - APP MAGNOLIA</v>
      </c>
      <c r="D3272" s="2" t="str">
        <f>IFERROR(__xludf.DUMMYFUNCTION("""COMPUTED_VALUE"""),"661-42845")</f>
        <v>661-42845</v>
      </c>
      <c r="E3272" s="2" t="str">
        <f>IFERROR(__xludf.DUMMYFUNCTION("""COMPUTED_VALUE"""),"Camera, iPhone 16 Plus")</f>
        <v>Camera, iPhone 16 Plus</v>
      </c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</row>
    <row r="3273">
      <c r="A3273" s="10" t="str">
        <f t="shared" si="1"/>
        <v>March</v>
      </c>
      <c r="B3273" s="11">
        <f>IFERROR(__xludf.DUMMYFUNCTION("""COMPUTED_VALUE"""),46100.0)</f>
        <v>46100</v>
      </c>
      <c r="C3273" s="2" t="str">
        <f>IFERROR(__xludf.DUMMYFUNCTION("""COMPUTED_VALUE"""),"MOBILECARE - APP MAGNOLIA")</f>
        <v>MOBILECARE - APP MAGNOLIA</v>
      </c>
      <c r="D3273" s="2" t="str">
        <f>IFERROR(__xludf.DUMMYFUNCTION("""COMPUTED_VALUE"""),"661-44956")</f>
        <v>661-44956</v>
      </c>
      <c r="E3273" s="2" t="str">
        <f>IFERROR(__xludf.DUMMYFUNCTION("""COMPUTED_VALUE"""),"TrueDepth Camera, iPhone 16 Pro Max")</f>
        <v>TrueDepth Camera, iPhone 16 Pro Max</v>
      </c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</row>
    <row r="3274">
      <c r="A3274" s="10" t="str">
        <f t="shared" si="1"/>
        <v>March</v>
      </c>
      <c r="B3274" s="11">
        <f>IFERROR(__xludf.DUMMYFUNCTION("""COMPUTED_VALUE"""),46099.0)</f>
        <v>46099</v>
      </c>
      <c r="C3274" s="2" t="str">
        <f>IFERROR(__xludf.DUMMYFUNCTION("""COMPUTED_VALUE"""),"MOBILECARE - APP MAGNOLIA")</f>
        <v>MOBILECARE - APP MAGNOLIA</v>
      </c>
      <c r="D3274" s="2" t="str">
        <f>IFERROR(__xludf.DUMMYFUNCTION("""COMPUTED_VALUE"""),"661-44955")</f>
        <v>661-44955</v>
      </c>
      <c r="E3274" s="2" t="str">
        <f>IFERROR(__xludf.DUMMYFUNCTION("""COMPUTED_VALUE"""),"Display, iPhone 16 Pro Max")</f>
        <v>Display, iPhone 16 Pro Max</v>
      </c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</row>
    <row r="3275">
      <c r="A3275" s="10" t="str">
        <f t="shared" si="1"/>
        <v>March</v>
      </c>
      <c r="B3275" s="11">
        <f>IFERROR(__xludf.DUMMYFUNCTION("""COMPUTED_VALUE"""),46089.0)</f>
        <v>46089</v>
      </c>
      <c r="C3275" s="2" t="str">
        <f>IFERROR(__xludf.DUMMYFUNCTION("""COMPUTED_VALUE"""),"MOBILECARE - APP MAGNOLIA")</f>
        <v>MOBILECARE - APP MAGNOLIA</v>
      </c>
      <c r="D3275" s="2" t="str">
        <f>IFERROR(__xludf.DUMMYFUNCTION("""COMPUTED_VALUE"""),"661-30397")</f>
        <v>661-30397</v>
      </c>
      <c r="E3275" s="2" t="str">
        <f>IFERROR(__xludf.DUMMYFUNCTION("""COMPUTED_VALUE"""),"Battery, iPhone 14 Pro Max")</f>
        <v>Battery, iPhone 14 Pro Max</v>
      </c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</row>
    <row r="3276">
      <c r="A3276" s="10" t="str">
        <f t="shared" si="1"/>
        <v>March</v>
      </c>
      <c r="B3276" s="11">
        <f>IFERROR(__xludf.DUMMYFUNCTION("""COMPUTED_VALUE"""),46090.0)</f>
        <v>46090</v>
      </c>
      <c r="C3276" s="2" t="str">
        <f>IFERROR(__xludf.DUMMYFUNCTION("""COMPUTED_VALUE"""),"MOBILECARE - APP MAGNOLIA")</f>
        <v>MOBILECARE - APP MAGNOLIA</v>
      </c>
      <c r="D3276" s="2" t="str">
        <f>IFERROR(__xludf.DUMMYFUNCTION("""COMPUTED_VALUE"""),"661-30397")</f>
        <v>661-30397</v>
      </c>
      <c r="E3276" s="2" t="str">
        <f>IFERROR(__xludf.DUMMYFUNCTION("""COMPUTED_VALUE"""),"Battery, iPhone 14 Pro Max")</f>
        <v>Battery, iPhone 14 Pro Max</v>
      </c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</row>
    <row r="3277">
      <c r="A3277" s="10" t="str">
        <f t="shared" si="1"/>
        <v>May</v>
      </c>
      <c r="B3277" s="11">
        <f>IFERROR(__xludf.DUMMYFUNCTION("""COMPUTED_VALUE"""),46145.0)</f>
        <v>46145</v>
      </c>
      <c r="C3277" s="2" t="str">
        <f>IFERROR(__xludf.DUMMYFUNCTION("""COMPUTED_VALUE"""),"MOBILECARE - APP MAGNOLIA")</f>
        <v>MOBILECARE - APP MAGNOLIA</v>
      </c>
      <c r="D3277" s="2" t="str">
        <f>IFERROR(__xludf.DUMMYFUNCTION("""COMPUTED_VALUE"""),"661-22311")</f>
        <v>661-22311</v>
      </c>
      <c r="E3277" s="2" t="str">
        <f>IFERROR(__xludf.DUMMYFUNCTION("""COMPUTED_VALUE"""),"Display, iPhone 13 mini")</f>
        <v>Display, iPhone 13 mini</v>
      </c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</row>
    <row r="3278">
      <c r="A3278" s="10" t="str">
        <f t="shared" si="1"/>
        <v>April</v>
      </c>
      <c r="B3278" s="11">
        <f>IFERROR(__xludf.DUMMYFUNCTION("""COMPUTED_VALUE"""),46131.0)</f>
        <v>46131</v>
      </c>
      <c r="C3278" s="2" t="str">
        <f>IFERROR(__xludf.DUMMYFUNCTION("""COMPUTED_VALUE"""),"MOBILECARE - APP MAGNOLIA")</f>
        <v>MOBILECARE - APP MAGNOLIA</v>
      </c>
      <c r="D3278" s="2" t="str">
        <f>IFERROR(__xludf.DUMMYFUNCTION("""COMPUTED_VALUE"""),"661-42726")</f>
        <v>661-42726</v>
      </c>
      <c r="E3278" s="2" t="str">
        <f>IFERROR(__xludf.DUMMYFUNCTION("""COMPUTED_VALUE"""),"Display, iPhone 16 Pro")</f>
        <v>Display, iPhone 16 Pro</v>
      </c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</row>
    <row r="3279">
      <c r="A3279" s="10" t="str">
        <f t="shared" si="1"/>
        <v>March</v>
      </c>
      <c r="B3279" s="11">
        <f>IFERROR(__xludf.DUMMYFUNCTION("""COMPUTED_VALUE"""),46108.0)</f>
        <v>46108</v>
      </c>
      <c r="C3279" s="2" t="str">
        <f>IFERROR(__xludf.DUMMYFUNCTION("""COMPUTED_VALUE"""),"MOBILECARE - APP MAGNOLIA")</f>
        <v>MOBILECARE - APP MAGNOLIA</v>
      </c>
      <c r="D3279" s="2" t="str">
        <f>IFERROR(__xludf.DUMMYFUNCTION("""COMPUTED_VALUE"""),"661-21991")</f>
        <v>661-21991</v>
      </c>
      <c r="E3279" s="2" t="str">
        <f>IFERROR(__xludf.DUMMYFUNCTION("""COMPUTED_VALUE"""),"Battery, iPhone 13")</f>
        <v>Battery, iPhone 13</v>
      </c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</row>
    <row r="3280">
      <c r="A3280" s="10" t="str">
        <f t="shared" si="1"/>
        <v>February</v>
      </c>
      <c r="B3280" s="11">
        <f>IFERROR(__xludf.DUMMYFUNCTION("""COMPUTED_VALUE"""),46077.0)</f>
        <v>46077</v>
      </c>
      <c r="C3280" s="2" t="str">
        <f>IFERROR(__xludf.DUMMYFUNCTION("""COMPUTED_VALUE"""),"MOBILECARE - APP MAGNOLIA")</f>
        <v>MOBILECARE - APP MAGNOLIA</v>
      </c>
      <c r="D3280" s="2" t="str">
        <f>IFERROR(__xludf.DUMMYFUNCTION("""COMPUTED_VALUE"""),"661-30397")</f>
        <v>661-30397</v>
      </c>
      <c r="E3280" s="2" t="str">
        <f>IFERROR(__xludf.DUMMYFUNCTION("""COMPUTED_VALUE"""),"Battery, iPhone 14 Pro Max")</f>
        <v>Battery, iPhone 14 Pro Max</v>
      </c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</row>
    <row r="3281">
      <c r="A3281" s="10" t="str">
        <f t="shared" si="1"/>
        <v>February</v>
      </c>
      <c r="B3281" s="11">
        <f>IFERROR(__xludf.DUMMYFUNCTION("""COMPUTED_VALUE"""),46066.0)</f>
        <v>46066</v>
      </c>
      <c r="C3281" s="2" t="str">
        <f>IFERROR(__xludf.DUMMYFUNCTION("""COMPUTED_VALUE"""),"MOBILECARE - APP MAGNOLIA")</f>
        <v>MOBILECARE - APP MAGNOLIA</v>
      </c>
      <c r="D3281" s="2" t="str">
        <f>IFERROR(__xludf.DUMMYFUNCTION("""COMPUTED_VALUE"""),"661-21991")</f>
        <v>661-21991</v>
      </c>
      <c r="E3281" s="2" t="str">
        <f>IFERROR(__xludf.DUMMYFUNCTION("""COMPUTED_VALUE"""),"Battery, iPhone 13")</f>
        <v>Battery, iPhone 13</v>
      </c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</row>
    <row r="3282">
      <c r="A3282" s="10" t="str">
        <f t="shared" si="1"/>
        <v>June</v>
      </c>
      <c r="B3282" s="11">
        <f>IFERROR(__xludf.DUMMYFUNCTION("""COMPUTED_VALUE"""),46189.0)</f>
        <v>46189</v>
      </c>
      <c r="C3282" s="2" t="str">
        <f>IFERROR(__xludf.DUMMYFUNCTION("""COMPUTED_VALUE"""),"MOBILECARE - APP MAGNOLIA")</f>
        <v>MOBILECARE - APP MAGNOLIA</v>
      </c>
      <c r="D3282" s="2" t="str">
        <f>IFERROR(__xludf.DUMMYFUNCTION("""COMPUTED_VALUE"""),"661-30397")</f>
        <v>661-30397</v>
      </c>
      <c r="E3282" s="2" t="str">
        <f>IFERROR(__xludf.DUMMYFUNCTION("""COMPUTED_VALUE"""),"Battery, iPhone 14 Pro Max")</f>
        <v>Battery, iPhone 14 Pro Max</v>
      </c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</row>
    <row r="3283">
      <c r="A3283" s="10" t="str">
        <f t="shared" si="1"/>
        <v>April</v>
      </c>
      <c r="B3283" s="11">
        <f>IFERROR(__xludf.DUMMYFUNCTION("""COMPUTED_VALUE"""),46139.0)</f>
        <v>46139</v>
      </c>
      <c r="C3283" s="2" t="str">
        <f>IFERROR(__xludf.DUMMYFUNCTION("""COMPUTED_VALUE"""),"MOBILECARE - APP MAGNOLIA")</f>
        <v>MOBILECARE - APP MAGNOLIA</v>
      </c>
      <c r="D3283" s="2" t="str">
        <f>IFERROR(__xludf.DUMMYFUNCTION("""COMPUTED_VALUE"""),"661-17920")</f>
        <v>661-17920</v>
      </c>
      <c r="E3283" s="2" t="str">
        <f>IFERROR(__xludf.DUMMYFUNCTION("""COMPUTED_VALUE"""),"Battery, iPhone 12 and 12 Pro")</f>
        <v>Battery, iPhone 12 and 12 Pro</v>
      </c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</row>
    <row r="3284">
      <c r="A3284" s="10" t="str">
        <f t="shared" si="1"/>
        <v>April</v>
      </c>
      <c r="B3284" s="11">
        <f>IFERROR(__xludf.DUMMYFUNCTION("""COMPUTED_VALUE"""),46128.0)</f>
        <v>46128</v>
      </c>
      <c r="C3284" s="2" t="str">
        <f>IFERROR(__xludf.DUMMYFUNCTION("""COMPUTED_VALUE"""),"MOBILECARE - APP MAGNOLIA")</f>
        <v>MOBILECARE - APP MAGNOLIA</v>
      </c>
      <c r="D3284" s="2" t="str">
        <f>IFERROR(__xludf.DUMMYFUNCTION("""COMPUTED_VALUE"""),"661-21996")</f>
        <v>661-21996</v>
      </c>
      <c r="E3284" s="2" t="str">
        <f>IFERROR(__xludf.DUMMYFUNCTION("""COMPUTED_VALUE"""),"Battery, iPhone 13 Pro")</f>
        <v>Battery, iPhone 13 Pro</v>
      </c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</row>
    <row r="3285">
      <c r="A3285" s="10" t="str">
        <f t="shared" si="1"/>
        <v>March</v>
      </c>
      <c r="B3285" s="11">
        <f>IFERROR(__xludf.DUMMYFUNCTION("""COMPUTED_VALUE"""),46108.0)</f>
        <v>46108</v>
      </c>
      <c r="C3285" s="2" t="str">
        <f>IFERROR(__xludf.DUMMYFUNCTION("""COMPUTED_VALUE"""),"MOBILECARE - APP MAGNOLIA")</f>
        <v>MOBILECARE - APP MAGNOLIA</v>
      </c>
      <c r="D3285" s="2" t="str">
        <f>IFERROR(__xludf.DUMMYFUNCTION("""COMPUTED_VALUE"""),"661-36706")</f>
        <v>661-36706</v>
      </c>
      <c r="E3285" s="2" t="str">
        <f>IFERROR(__xludf.DUMMYFUNCTION("""COMPUTED_VALUE"""),"Display, iPhone 15")</f>
        <v>Display, iPhone 15</v>
      </c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</row>
    <row r="3286">
      <c r="A3286" s="10" t="str">
        <f t="shared" si="1"/>
        <v>March</v>
      </c>
      <c r="B3286" s="11">
        <f>IFERROR(__xludf.DUMMYFUNCTION("""COMPUTED_VALUE"""),46093.0)</f>
        <v>46093</v>
      </c>
      <c r="C3286" s="2" t="str">
        <f>IFERROR(__xludf.DUMMYFUNCTION("""COMPUTED_VALUE"""),"MOBILECARE - APP MAGNOLIA")</f>
        <v>MOBILECARE - APP MAGNOLIA</v>
      </c>
      <c r="D3286" s="2" t="str">
        <f>IFERROR(__xludf.DUMMYFUNCTION("""COMPUTED_VALUE"""),"661-22294")</f>
        <v>661-22294</v>
      </c>
      <c r="E3286" s="2" t="str">
        <f>IFERROR(__xludf.DUMMYFUNCTION("""COMPUTED_VALUE"""),"Battery, iPhone 13 Pro Max")</f>
        <v>Battery, iPhone 13 Pro Max</v>
      </c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</row>
    <row r="3287">
      <c r="A3287" s="10" t="str">
        <f t="shared" si="1"/>
        <v>May</v>
      </c>
      <c r="B3287" s="11">
        <f>IFERROR(__xludf.DUMMYFUNCTION("""COMPUTED_VALUE"""),46163.0)</f>
        <v>46163</v>
      </c>
      <c r="C3287" s="2" t="str">
        <f>IFERROR(__xludf.DUMMYFUNCTION("""COMPUTED_VALUE"""),"MOBILECARE - GLORIETTA 5")</f>
        <v>MOBILECARE - GLORIETTA 5</v>
      </c>
      <c r="D3287" s="2" t="str">
        <f>IFERROR(__xludf.DUMMYFUNCTION("""COMPUTED_VALUE"""),"661-56125")</f>
        <v>661-56125</v>
      </c>
      <c r="E3287" s="2" t="str">
        <f>IFERROR(__xludf.DUMMYFUNCTION("""COMPUTED_VALUE"""),"Display, iPhone 17 Pro")</f>
        <v>Display, iPhone 17 Pro</v>
      </c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</row>
    <row r="3288">
      <c r="A3288" s="10" t="str">
        <f t="shared" si="1"/>
        <v>May</v>
      </c>
      <c r="B3288" s="11">
        <f>IFERROR(__xludf.DUMMYFUNCTION("""COMPUTED_VALUE"""),46157.0)</f>
        <v>46157</v>
      </c>
      <c r="C3288" s="2" t="str">
        <f>IFERROR(__xludf.DUMMYFUNCTION("""COMPUTED_VALUE"""),"MOBILECARE - GLORIETTA 5")</f>
        <v>MOBILECARE - GLORIETTA 5</v>
      </c>
      <c r="D3288" s="2" t="str">
        <f>IFERROR(__xludf.DUMMYFUNCTION("""COMPUTED_VALUE"""),"661-17920")</f>
        <v>661-17920</v>
      </c>
      <c r="E3288" s="2" t="str">
        <f>IFERROR(__xludf.DUMMYFUNCTION("""COMPUTED_VALUE"""),"Battery, iPhone 12 and 12 Pro")</f>
        <v>Battery, iPhone 12 and 12 Pro</v>
      </c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</row>
    <row r="3289">
      <c r="A3289" s="10" t="str">
        <f t="shared" si="1"/>
        <v>May</v>
      </c>
      <c r="B3289" s="11">
        <f>IFERROR(__xludf.DUMMYFUNCTION("""COMPUTED_VALUE"""),46151.0)</f>
        <v>46151</v>
      </c>
      <c r="C3289" s="2" t="str">
        <f>IFERROR(__xludf.DUMMYFUNCTION("""COMPUTED_VALUE"""),"MOBILECARE - GLORIETTA 5")</f>
        <v>MOBILECARE - GLORIETTA 5</v>
      </c>
      <c r="D3289" s="2" t="str">
        <f>IFERROR(__xludf.DUMMYFUNCTION("""COMPUTED_VALUE"""),"661-13624")</f>
        <v>661-13624</v>
      </c>
      <c r="E3289" s="2" t="str">
        <f>IFERROR(__xludf.DUMMYFUNCTION("""COMPUTED_VALUE"""),"Battery, iPhone 11 Pro Max")</f>
        <v>Battery, iPhone 11 Pro Max</v>
      </c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</row>
    <row r="3290">
      <c r="A3290" s="10" t="str">
        <f t="shared" si="1"/>
        <v>April</v>
      </c>
      <c r="B3290" s="11">
        <f>IFERROR(__xludf.DUMMYFUNCTION("""COMPUTED_VALUE"""),46125.0)</f>
        <v>46125</v>
      </c>
      <c r="C3290" s="2" t="str">
        <f>IFERROR(__xludf.DUMMYFUNCTION("""COMPUTED_VALUE"""),"MOBILECARE - GLORIETTA 5")</f>
        <v>MOBILECARE - GLORIETTA 5</v>
      </c>
      <c r="D3290" s="2" t="str">
        <f>IFERROR(__xludf.DUMMYFUNCTION("""COMPUTED_VALUE"""),"661-30382")</f>
        <v>661-30382</v>
      </c>
      <c r="E3290" s="2" t="str">
        <f>IFERROR(__xludf.DUMMYFUNCTION("""COMPUTED_VALUE"""),"Battery, iPhone 14 Pro")</f>
        <v>Battery, iPhone 14 Pro</v>
      </c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</row>
    <row r="3291">
      <c r="A3291" s="10" t="str">
        <f t="shared" si="1"/>
        <v>February</v>
      </c>
      <c r="B3291" s="11">
        <f>IFERROR(__xludf.DUMMYFUNCTION("""COMPUTED_VALUE"""),46065.0)</f>
        <v>46065</v>
      </c>
      <c r="C3291" s="2" t="str">
        <f>IFERROR(__xludf.DUMMYFUNCTION("""COMPUTED_VALUE"""),"MOBILECARE - GLORIETTA 5")</f>
        <v>MOBILECARE - GLORIETTA 5</v>
      </c>
      <c r="D3291" s="2" t="str">
        <f>IFERROR(__xludf.DUMMYFUNCTION("""COMPUTED_VALUE"""),"661-17920")</f>
        <v>661-17920</v>
      </c>
      <c r="E3291" s="2" t="str">
        <f>IFERROR(__xludf.DUMMYFUNCTION("""COMPUTED_VALUE"""),"Battery, iPhone 12 and 12 Pro")</f>
        <v>Battery, iPhone 12 and 12 Pro</v>
      </c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</row>
    <row r="3292">
      <c r="A3292" s="10" t="str">
        <f t="shared" si="1"/>
        <v>February</v>
      </c>
      <c r="B3292" s="11">
        <f>IFERROR(__xludf.DUMMYFUNCTION("""COMPUTED_VALUE"""),46059.0)</f>
        <v>46059</v>
      </c>
      <c r="C3292" s="2" t="str">
        <f>IFERROR(__xludf.DUMMYFUNCTION("""COMPUTED_VALUE"""),"MOBILECARE - GLORIETTA 5")</f>
        <v>MOBILECARE - GLORIETTA 5</v>
      </c>
      <c r="D3292" s="2" t="str">
        <f>IFERROR(__xludf.DUMMYFUNCTION("""COMPUTED_VALUE"""),"661-22294")</f>
        <v>661-22294</v>
      </c>
      <c r="E3292" s="2" t="str">
        <f>IFERROR(__xludf.DUMMYFUNCTION("""COMPUTED_VALUE"""),"Battery, iPhone 13 Pro Max")</f>
        <v>Battery, iPhone 13 Pro Max</v>
      </c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</row>
    <row r="3293">
      <c r="A3293" s="10" t="str">
        <f t="shared" si="1"/>
        <v>February</v>
      </c>
      <c r="B3293" s="11">
        <f>IFERROR(__xludf.DUMMYFUNCTION("""COMPUTED_VALUE"""),46066.0)</f>
        <v>46066</v>
      </c>
      <c r="C3293" s="2" t="str">
        <f>IFERROR(__xludf.DUMMYFUNCTION("""COMPUTED_VALUE"""),"MOBILECARE - GLORIETTA 5")</f>
        <v>MOBILECARE - GLORIETTA 5</v>
      </c>
      <c r="D3293" s="2" t="str">
        <f>IFERROR(__xludf.DUMMYFUNCTION("""COMPUTED_VALUE"""),"661-30382")</f>
        <v>661-30382</v>
      </c>
      <c r="E3293" s="2" t="str">
        <f>IFERROR(__xludf.DUMMYFUNCTION("""COMPUTED_VALUE"""),"Battery, iPhone 14 Pro")</f>
        <v>Battery, iPhone 14 Pro</v>
      </c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</row>
    <row r="3294">
      <c r="A3294" s="10" t="str">
        <f t="shared" si="1"/>
        <v>January</v>
      </c>
      <c r="B3294" s="11">
        <f>IFERROR(__xludf.DUMMYFUNCTION("""COMPUTED_VALUE"""),46049.0)</f>
        <v>46049</v>
      </c>
      <c r="C3294" s="2" t="str">
        <f>IFERROR(__xludf.DUMMYFUNCTION("""COMPUTED_VALUE"""),"MOBILECARE - GLORIETTA 5")</f>
        <v>MOBILECARE - GLORIETTA 5</v>
      </c>
      <c r="D3294" s="2" t="str">
        <f>IFERROR(__xludf.DUMMYFUNCTION("""COMPUTED_VALUE"""),"661-35694")</f>
        <v>661-35694</v>
      </c>
      <c r="E3294" s="2" t="str">
        <f>IFERROR(__xludf.DUMMYFUNCTION("""COMPUTED_VALUE"""),"Battery, iPhone 15 Pro")</f>
        <v>Battery, iPhone 15 Pro</v>
      </c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</row>
    <row r="3295">
      <c r="A3295" s="10" t="str">
        <f t="shared" si="1"/>
        <v>May</v>
      </c>
      <c r="B3295" s="11">
        <f>IFERROR(__xludf.DUMMYFUNCTION("""COMPUTED_VALUE"""),46144.0)</f>
        <v>46144</v>
      </c>
      <c r="C3295" s="2" t="str">
        <f>IFERROR(__xludf.DUMMYFUNCTION("""COMPUTED_VALUE"""),"MOBILECARE - GLORIETTA 5")</f>
        <v>MOBILECARE - GLORIETTA 5</v>
      </c>
      <c r="D3295" s="2" t="str">
        <f>IFERROR(__xludf.DUMMYFUNCTION("""COMPUTED_VALUE"""),"661-21991")</f>
        <v>661-21991</v>
      </c>
      <c r="E3295" s="2" t="str">
        <f>IFERROR(__xludf.DUMMYFUNCTION("""COMPUTED_VALUE"""),"Battery, iPhone 13")</f>
        <v>Battery, iPhone 13</v>
      </c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</row>
    <row r="3296">
      <c r="A3296" s="10" t="str">
        <f t="shared" si="1"/>
        <v>April</v>
      </c>
      <c r="B3296" s="11">
        <f>IFERROR(__xludf.DUMMYFUNCTION("""COMPUTED_VALUE"""),46140.0)</f>
        <v>46140</v>
      </c>
      <c r="C3296" s="2" t="str">
        <f>IFERROR(__xludf.DUMMYFUNCTION("""COMPUTED_VALUE"""),"MOBILECARE - GLORIETTA 5")</f>
        <v>MOBILECARE - GLORIETTA 5</v>
      </c>
      <c r="D3296" s="2" t="str">
        <f>IFERROR(__xludf.DUMMYFUNCTION("""COMPUTED_VALUE"""),"661-22374")</f>
        <v>661-22374</v>
      </c>
      <c r="E3296" s="2" t="str">
        <f>IFERROR(__xludf.DUMMYFUNCTION("""COMPUTED_VALUE"""),"Battery, iPhone 13 mini")</f>
        <v>Battery, iPhone 13 mini</v>
      </c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</row>
    <row r="3297">
      <c r="A3297" s="10" t="str">
        <f t="shared" si="1"/>
        <v>April</v>
      </c>
      <c r="B3297" s="11">
        <f>IFERROR(__xludf.DUMMYFUNCTION("""COMPUTED_VALUE"""),46122.0)</f>
        <v>46122</v>
      </c>
      <c r="C3297" s="2" t="str">
        <f>IFERROR(__xludf.DUMMYFUNCTION("""COMPUTED_VALUE"""),"MOBILECARE - GLORIETTA 5")</f>
        <v>MOBILECARE - GLORIETTA 5</v>
      </c>
      <c r="D3297" s="2" t="str">
        <f>IFERROR(__xludf.DUMMYFUNCTION("""COMPUTED_VALUE"""),"661-56065")</f>
        <v>661-56065</v>
      </c>
      <c r="E3297" s="2" t="str">
        <f>IFERROR(__xludf.DUMMYFUNCTION("""COMPUTED_VALUE"""),"Display, iPhone 17")</f>
        <v>Display, iPhone 17</v>
      </c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</row>
    <row r="3298">
      <c r="A3298" s="10" t="str">
        <f t="shared" si="1"/>
        <v>March</v>
      </c>
      <c r="B3298" s="11">
        <f>IFERROR(__xludf.DUMMYFUNCTION("""COMPUTED_VALUE"""),46105.0)</f>
        <v>46105</v>
      </c>
      <c r="C3298" s="2" t="str">
        <f>IFERROR(__xludf.DUMMYFUNCTION("""COMPUTED_VALUE"""),"MOBILECARE - GLORIETTA 5")</f>
        <v>MOBILECARE - GLORIETTA 5</v>
      </c>
      <c r="D3298" s="2" t="str">
        <f>IFERROR(__xludf.DUMMYFUNCTION("""COMPUTED_VALUE"""),"661-30373")</f>
        <v>661-30373</v>
      </c>
      <c r="E3298" s="2" t="str">
        <f>IFERROR(__xludf.DUMMYFUNCTION("""COMPUTED_VALUE"""),"Battery, iPhone 14")</f>
        <v>Battery, iPhone 14</v>
      </c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</row>
    <row r="3299">
      <c r="A3299" s="10" t="str">
        <f t="shared" si="1"/>
        <v>April</v>
      </c>
      <c r="B3299" s="11">
        <f>IFERROR(__xludf.DUMMYFUNCTION("""COMPUTED_VALUE"""),46126.0)</f>
        <v>46126</v>
      </c>
      <c r="C3299" s="2" t="str">
        <f>IFERROR(__xludf.DUMMYFUNCTION("""COMPUTED_VALUE"""),"MOBILECARE - GLORIETTA 5")</f>
        <v>MOBILECARE - GLORIETTA 5</v>
      </c>
      <c r="D3299" s="2" t="str">
        <f>IFERROR(__xludf.DUMMYFUNCTION("""COMPUTED_VALUE"""),"661-17920")</f>
        <v>661-17920</v>
      </c>
      <c r="E3299" s="2" t="str">
        <f>IFERROR(__xludf.DUMMYFUNCTION("""COMPUTED_VALUE"""),"Battery, iPhone 12 and 12 Pro")</f>
        <v>Battery, iPhone 12 and 12 Pro</v>
      </c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</row>
    <row r="3300">
      <c r="A3300" s="10" t="str">
        <f t="shared" si="1"/>
        <v>January</v>
      </c>
      <c r="B3300" s="11">
        <f>IFERROR(__xludf.DUMMYFUNCTION("""COMPUTED_VALUE"""),46035.0)</f>
        <v>46035</v>
      </c>
      <c r="C3300" s="2" t="str">
        <f>IFERROR(__xludf.DUMMYFUNCTION("""COMPUTED_VALUE"""),"MOBILECARE - GLORIETTA 5")</f>
        <v>MOBILECARE - GLORIETTA 5</v>
      </c>
      <c r="D3300" s="2" t="str">
        <f>IFERROR(__xludf.DUMMYFUNCTION("""COMPUTED_VALUE"""),"661-17939")</f>
        <v>661-17939</v>
      </c>
      <c r="E3300" s="2" t="str">
        <f>IFERROR(__xludf.DUMMYFUNCTION("""COMPUTED_VALUE"""),"Battery, iPhone 12 mini")</f>
        <v>Battery, iPhone 12 mini</v>
      </c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</row>
    <row r="3301">
      <c r="A3301" s="10" t="str">
        <f t="shared" si="1"/>
        <v>January</v>
      </c>
      <c r="B3301" s="11">
        <f>IFERROR(__xludf.DUMMYFUNCTION("""COMPUTED_VALUE"""),46039.0)</f>
        <v>46039</v>
      </c>
      <c r="C3301" s="2" t="str">
        <f>IFERROR(__xludf.DUMMYFUNCTION("""COMPUTED_VALUE"""),"MOBILECARE - GLORIETTA 5")</f>
        <v>MOBILECARE - GLORIETTA 5</v>
      </c>
      <c r="D3301" s="2" t="str">
        <f>IFERROR(__xludf.DUMMYFUNCTION("""COMPUTED_VALUE"""),"661-13574")</f>
        <v>661-13574</v>
      </c>
      <c r="E3301" s="2" t="str">
        <f>IFERROR(__xludf.DUMMYFUNCTION("""COMPUTED_VALUE"""),"Battery, iPhone 11")</f>
        <v>Battery, iPhone 11</v>
      </c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</row>
    <row r="3302">
      <c r="A3302" s="10" t="str">
        <f t="shared" si="1"/>
        <v>June</v>
      </c>
      <c r="B3302" s="11">
        <f>IFERROR(__xludf.DUMMYFUNCTION("""COMPUTED_VALUE"""),46177.0)</f>
        <v>46177</v>
      </c>
      <c r="C3302" s="2" t="str">
        <f>IFERROR(__xludf.DUMMYFUNCTION("""COMPUTED_VALUE"""),"MOBILECARE - GLORIETTA 5")</f>
        <v>MOBILECARE - GLORIETTA 5</v>
      </c>
      <c r="D3302" s="2" t="str">
        <f>IFERROR(__xludf.DUMMYFUNCTION("""COMPUTED_VALUE"""),"661-17920")</f>
        <v>661-17920</v>
      </c>
      <c r="E3302" s="2" t="str">
        <f>IFERROR(__xludf.DUMMYFUNCTION("""COMPUTED_VALUE"""),"Battery, iPhone 12 and 12 Pro")</f>
        <v>Battery, iPhone 12 and 12 Pro</v>
      </c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</row>
    <row r="3303">
      <c r="A3303" s="10" t="str">
        <f t="shared" si="1"/>
        <v>June</v>
      </c>
      <c r="B3303" s="11">
        <f>IFERROR(__xludf.DUMMYFUNCTION("""COMPUTED_VALUE"""),46177.0)</f>
        <v>46177</v>
      </c>
      <c r="C3303" s="2" t="str">
        <f>IFERROR(__xludf.DUMMYFUNCTION("""COMPUTED_VALUE"""),"MOBILECARE - GLORIETTA 5")</f>
        <v>MOBILECARE - GLORIETTA 5</v>
      </c>
      <c r="D3303" s="2" t="str">
        <f>IFERROR(__xludf.DUMMYFUNCTION("""COMPUTED_VALUE"""),"661-18503")</f>
        <v>661-18503</v>
      </c>
      <c r="E3303" s="2" t="str">
        <f>IFERROR(__xludf.DUMMYFUNCTION("""COMPUTED_VALUE"""),"Display, iPhone 12")</f>
        <v>Display, iPhone 12</v>
      </c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</row>
    <row r="3304">
      <c r="A3304" s="10" t="str">
        <f t="shared" si="1"/>
        <v>May</v>
      </c>
      <c r="B3304" s="11">
        <f>IFERROR(__xludf.DUMMYFUNCTION("""COMPUTED_VALUE"""),46143.0)</f>
        <v>46143</v>
      </c>
      <c r="C3304" s="2" t="str">
        <f>IFERROR(__xludf.DUMMYFUNCTION("""COMPUTED_VALUE"""),"MOBILECARE - GLORIETTA 5")</f>
        <v>MOBILECARE - GLORIETTA 5</v>
      </c>
      <c r="D3304" s="2" t="str">
        <f>IFERROR(__xludf.DUMMYFUNCTION("""COMPUTED_VALUE"""),"661-15741")</f>
        <v>661-15741</v>
      </c>
      <c r="E3304" s="2" t="str">
        <f>IFERROR(__xludf.DUMMYFUNCTION("""COMPUTED_VALUE"""),"Battery, iPhone SE 2nd gen")</f>
        <v>Battery, iPhone SE 2nd gen</v>
      </c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</row>
    <row r="3305">
      <c r="A3305" s="10" t="str">
        <f t="shared" si="1"/>
        <v>April</v>
      </c>
      <c r="B3305" s="11">
        <f>IFERROR(__xludf.DUMMYFUNCTION("""COMPUTED_VALUE"""),46116.0)</f>
        <v>46116</v>
      </c>
      <c r="C3305" s="2" t="str">
        <f>IFERROR(__xludf.DUMMYFUNCTION("""COMPUTED_VALUE"""),"MOBILECARE - GLORIETTA 5")</f>
        <v>MOBILECARE - GLORIETTA 5</v>
      </c>
      <c r="D3305" s="2" t="str">
        <f>IFERROR(__xludf.DUMMYFUNCTION("""COMPUTED_VALUE"""),"661-21991")</f>
        <v>661-21991</v>
      </c>
      <c r="E3305" s="2" t="str">
        <f>IFERROR(__xludf.DUMMYFUNCTION("""COMPUTED_VALUE"""),"Battery, iPhone 13")</f>
        <v>Battery, iPhone 13</v>
      </c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</row>
    <row r="3306">
      <c r="A3306" s="10" t="str">
        <f t="shared" si="1"/>
        <v>March</v>
      </c>
      <c r="B3306" s="11">
        <f>IFERROR(__xludf.DUMMYFUNCTION("""COMPUTED_VALUE"""),46109.0)</f>
        <v>46109</v>
      </c>
      <c r="C3306" s="2" t="str">
        <f>IFERROR(__xludf.DUMMYFUNCTION("""COMPUTED_VALUE"""),"MOBILECARE - GLORIETTA 5")</f>
        <v>MOBILECARE - GLORIETTA 5</v>
      </c>
      <c r="D3306" s="2" t="str">
        <f>IFERROR(__xludf.DUMMYFUNCTION("""COMPUTED_VALUE"""),"661-18428")</f>
        <v>661-18428</v>
      </c>
      <c r="E3306" s="2" t="str">
        <f>IFERROR(__xludf.DUMMYFUNCTION("""COMPUTED_VALUE"""),"Battery, iPhone 12 Pro Max")</f>
        <v>Battery, iPhone 12 Pro Max</v>
      </c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</row>
    <row r="3307">
      <c r="A3307" s="10" t="str">
        <f t="shared" si="1"/>
        <v>June</v>
      </c>
      <c r="B3307" s="11">
        <f>IFERROR(__xludf.DUMMYFUNCTION("""COMPUTED_VALUE"""),46193.0)</f>
        <v>46193</v>
      </c>
      <c r="C3307" s="2" t="str">
        <f>IFERROR(__xludf.DUMMYFUNCTION("""COMPUTED_VALUE"""),"MOBILECARE - GLORIETTA 5")</f>
        <v>MOBILECARE - GLORIETTA 5</v>
      </c>
      <c r="D3307" s="2" t="str">
        <f>IFERROR(__xludf.DUMMYFUNCTION("""COMPUTED_VALUE"""),"661-21991")</f>
        <v>661-21991</v>
      </c>
      <c r="E3307" s="2" t="str">
        <f>IFERROR(__xludf.DUMMYFUNCTION("""COMPUTED_VALUE"""),"Battery, iPhone 13")</f>
        <v>Battery, iPhone 13</v>
      </c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</row>
    <row r="3308">
      <c r="A3308" s="10" t="str">
        <f t="shared" si="1"/>
        <v>June</v>
      </c>
      <c r="B3308" s="11">
        <f>IFERROR(__xludf.DUMMYFUNCTION("""COMPUTED_VALUE"""),46186.0)</f>
        <v>46186</v>
      </c>
      <c r="C3308" s="2" t="str">
        <f>IFERROR(__xludf.DUMMYFUNCTION("""COMPUTED_VALUE"""),"MOBILECARE - GLORIETTA 5")</f>
        <v>MOBILECARE - GLORIETTA 5</v>
      </c>
      <c r="D3308" s="2" t="str">
        <f>IFERROR(__xludf.DUMMYFUNCTION("""COMPUTED_VALUE"""),"661-21993")</f>
        <v>661-21993</v>
      </c>
      <c r="E3308" s="2" t="str">
        <f>IFERROR(__xludf.DUMMYFUNCTION("""COMPUTED_VALUE"""),"Display, iPhone 13 Pro")</f>
        <v>Display, iPhone 13 Pro</v>
      </c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</row>
    <row r="3309">
      <c r="A3309" s="10" t="str">
        <f t="shared" si="1"/>
        <v>June</v>
      </c>
      <c r="B3309" s="11">
        <f>IFERROR(__xludf.DUMMYFUNCTION("""COMPUTED_VALUE"""),46180.0)</f>
        <v>46180</v>
      </c>
      <c r="C3309" s="2" t="str">
        <f>IFERROR(__xludf.DUMMYFUNCTION("""COMPUTED_VALUE"""),"MOBILECARE - GLORIETTA 5")</f>
        <v>MOBILECARE - GLORIETTA 5</v>
      </c>
      <c r="D3309" s="2" t="str">
        <f>IFERROR(__xludf.DUMMYFUNCTION("""COMPUTED_VALUE"""),"661-22294")</f>
        <v>661-22294</v>
      </c>
      <c r="E3309" s="2" t="str">
        <f>IFERROR(__xludf.DUMMYFUNCTION("""COMPUTED_VALUE"""),"Battery, iPhone 13 Pro Max")</f>
        <v>Battery, iPhone 13 Pro Max</v>
      </c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</row>
    <row r="3310">
      <c r="A3310" s="10" t="str">
        <f t="shared" si="1"/>
        <v>May</v>
      </c>
      <c r="B3310" s="11">
        <f>IFERROR(__xludf.DUMMYFUNCTION("""COMPUTED_VALUE"""),46168.0)</f>
        <v>46168</v>
      </c>
      <c r="C3310" s="2" t="str">
        <f>IFERROR(__xludf.DUMMYFUNCTION("""COMPUTED_VALUE"""),"MOBILECARE - GLORIETTA 5")</f>
        <v>MOBILECARE - GLORIETTA 5</v>
      </c>
      <c r="D3310" s="2" t="str">
        <f>IFERROR(__xludf.DUMMYFUNCTION("""COMPUTED_VALUE"""),"661-30382")</f>
        <v>661-30382</v>
      </c>
      <c r="E3310" s="2" t="str">
        <f>IFERROR(__xludf.DUMMYFUNCTION("""COMPUTED_VALUE"""),"Battery, iPhone 14 Pro")</f>
        <v>Battery, iPhone 14 Pro</v>
      </c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</row>
    <row r="3311">
      <c r="A3311" s="10" t="str">
        <f t="shared" si="1"/>
        <v>May</v>
      </c>
      <c r="B3311" s="11">
        <f>IFERROR(__xludf.DUMMYFUNCTION("""COMPUTED_VALUE"""),46152.0)</f>
        <v>46152</v>
      </c>
      <c r="C3311" s="2" t="str">
        <f>IFERROR(__xludf.DUMMYFUNCTION("""COMPUTED_VALUE"""),"MOBILECARE - GLORIETTA 5")</f>
        <v>MOBILECARE - GLORIETTA 5</v>
      </c>
      <c r="D3311" s="2" t="str">
        <f>IFERROR(__xludf.DUMMYFUNCTION("""COMPUTED_VALUE"""),"661-21996")</f>
        <v>661-21996</v>
      </c>
      <c r="E3311" s="2" t="str">
        <f>IFERROR(__xludf.DUMMYFUNCTION("""COMPUTED_VALUE"""),"Battery, iPhone 13 Pro")</f>
        <v>Battery, iPhone 13 Pro</v>
      </c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</row>
    <row r="3312">
      <c r="A3312" s="10" t="str">
        <f t="shared" si="1"/>
        <v>May</v>
      </c>
      <c r="B3312" s="11">
        <f>IFERROR(__xludf.DUMMYFUNCTION("""COMPUTED_VALUE"""),46149.0)</f>
        <v>46149</v>
      </c>
      <c r="C3312" s="2" t="str">
        <f>IFERROR(__xludf.DUMMYFUNCTION("""COMPUTED_VALUE"""),"MOBILECARE - GLORIETTA 5")</f>
        <v>MOBILECARE - GLORIETTA 5</v>
      </c>
      <c r="D3312" s="2" t="str">
        <f>IFERROR(__xludf.DUMMYFUNCTION("""COMPUTED_VALUE"""),"661-21996")</f>
        <v>661-21996</v>
      </c>
      <c r="E3312" s="2" t="str">
        <f>IFERROR(__xludf.DUMMYFUNCTION("""COMPUTED_VALUE"""),"Battery, iPhone 13 Pro")</f>
        <v>Battery, iPhone 13 Pro</v>
      </c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</row>
    <row r="3313">
      <c r="A3313" s="10" t="str">
        <f t="shared" si="1"/>
        <v>March</v>
      </c>
      <c r="B3313" s="11">
        <f>IFERROR(__xludf.DUMMYFUNCTION("""COMPUTED_VALUE"""),46109.0)</f>
        <v>46109</v>
      </c>
      <c r="C3313" s="2" t="str">
        <f>IFERROR(__xludf.DUMMYFUNCTION("""COMPUTED_VALUE"""),"MOBILECARE - GLORIETTA 5")</f>
        <v>MOBILECARE - GLORIETTA 5</v>
      </c>
      <c r="D3313" s="2" t="str">
        <f>IFERROR(__xludf.DUMMYFUNCTION("""COMPUTED_VALUE"""),"661-30394")</f>
        <v>661-30394</v>
      </c>
      <c r="E3313" s="2" t="str">
        <f>IFERROR(__xludf.DUMMYFUNCTION("""COMPUTED_VALUE"""),"Battery, iPhone 14 Plus")</f>
        <v>Battery, iPhone 14 Plus</v>
      </c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</row>
    <row r="3314">
      <c r="A3314" s="10" t="str">
        <f t="shared" si="1"/>
        <v>February</v>
      </c>
      <c r="B3314" s="11">
        <f>IFERROR(__xludf.DUMMYFUNCTION("""COMPUTED_VALUE"""),46070.0)</f>
        <v>46070</v>
      </c>
      <c r="C3314" s="2" t="str">
        <f>IFERROR(__xludf.DUMMYFUNCTION("""COMPUTED_VALUE"""),"MOBILECARE - GLORIETTA 5")</f>
        <v>MOBILECARE - GLORIETTA 5</v>
      </c>
      <c r="D3314" s="2" t="str">
        <f>IFERROR(__xludf.DUMMYFUNCTION("""COMPUTED_VALUE"""),"661-13574")</f>
        <v>661-13574</v>
      </c>
      <c r="E3314" s="2" t="str">
        <f>IFERROR(__xludf.DUMMYFUNCTION("""COMPUTED_VALUE"""),"Battery, iPhone 11")</f>
        <v>Battery, iPhone 11</v>
      </c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</row>
    <row r="3315">
      <c r="A3315" s="10" t="str">
        <f t="shared" si="1"/>
        <v>February</v>
      </c>
      <c r="B3315" s="11">
        <f>IFERROR(__xludf.DUMMYFUNCTION("""COMPUTED_VALUE"""),46061.0)</f>
        <v>46061</v>
      </c>
      <c r="C3315" s="2" t="str">
        <f>IFERROR(__xludf.DUMMYFUNCTION("""COMPUTED_VALUE"""),"MOBILECARE - GLORIETTA 5")</f>
        <v>MOBILECARE - GLORIETTA 5</v>
      </c>
      <c r="D3315" s="2" t="str">
        <f>IFERROR(__xludf.DUMMYFUNCTION("""COMPUTED_VALUE"""),"661-49425")</f>
        <v>661-49425</v>
      </c>
      <c r="E3315" s="2" t="str">
        <f>IFERROR(__xludf.DUMMYFUNCTION("""COMPUTED_VALUE"""),"Camera, iPhone 16e")</f>
        <v>Camera, iPhone 16e</v>
      </c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</row>
    <row r="3316">
      <c r="A3316" s="10" t="str">
        <f t="shared" si="1"/>
        <v>January</v>
      </c>
      <c r="B3316" s="11">
        <f>IFERROR(__xludf.DUMMYFUNCTION("""COMPUTED_VALUE"""),46050.0)</f>
        <v>46050</v>
      </c>
      <c r="C3316" s="2" t="str">
        <f>IFERROR(__xludf.DUMMYFUNCTION("""COMPUTED_VALUE"""),"MOBILECARE - GLORIETTA 5")</f>
        <v>MOBILECARE - GLORIETTA 5</v>
      </c>
      <c r="D3316" s="2" t="str">
        <f>IFERROR(__xludf.DUMMYFUNCTION("""COMPUTED_VALUE"""),"661-21993")</f>
        <v>661-21993</v>
      </c>
      <c r="E3316" s="2" t="str">
        <f>IFERROR(__xludf.DUMMYFUNCTION("""COMPUTED_VALUE"""),"Display, iPhone 13 Pro")</f>
        <v>Display, iPhone 13 Pro</v>
      </c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</row>
    <row r="3317">
      <c r="A3317" s="10" t="str">
        <f t="shared" si="1"/>
        <v>May</v>
      </c>
      <c r="B3317" s="11">
        <f>IFERROR(__xludf.DUMMYFUNCTION("""COMPUTED_VALUE"""),46148.0)</f>
        <v>46148</v>
      </c>
      <c r="C3317" s="2" t="str">
        <f>IFERROR(__xludf.DUMMYFUNCTION("""COMPUTED_VALUE"""),"MOBILECARE - GLORIETTA 5")</f>
        <v>MOBILECARE - GLORIETTA 5</v>
      </c>
      <c r="D3317" s="2" t="str">
        <f>IFERROR(__xludf.DUMMYFUNCTION("""COMPUTED_VALUE"""),"661-36918")</f>
        <v>661-36918</v>
      </c>
      <c r="E3317" s="2" t="str">
        <f>IFERROR(__xludf.DUMMYFUNCTION("""COMPUTED_VALUE"""),"Battery, iPhone 15 Pro Max")</f>
        <v>Battery, iPhone 15 Pro Max</v>
      </c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</row>
    <row r="3318">
      <c r="A3318" s="10" t="str">
        <f t="shared" si="1"/>
        <v>March</v>
      </c>
      <c r="B3318" s="11">
        <f>IFERROR(__xludf.DUMMYFUNCTION("""COMPUTED_VALUE"""),46099.0)</f>
        <v>46099</v>
      </c>
      <c r="C3318" s="2" t="str">
        <f>IFERROR(__xludf.DUMMYFUNCTION("""COMPUTED_VALUE"""),"MOBILECARE - GLORIETTA 5")</f>
        <v>MOBILECARE - GLORIETTA 5</v>
      </c>
      <c r="D3318" s="2" t="str">
        <f>IFERROR(__xludf.DUMMYFUNCTION("""COMPUTED_VALUE"""),"661-21991")</f>
        <v>661-21991</v>
      </c>
      <c r="E3318" s="2" t="str">
        <f>IFERROR(__xludf.DUMMYFUNCTION("""COMPUTED_VALUE"""),"Battery, iPhone 13")</f>
        <v>Battery, iPhone 13</v>
      </c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</row>
    <row r="3319">
      <c r="A3319" s="10" t="str">
        <f t="shared" si="1"/>
        <v>February</v>
      </c>
      <c r="B3319" s="11">
        <f>IFERROR(__xludf.DUMMYFUNCTION("""COMPUTED_VALUE"""),46077.0)</f>
        <v>46077</v>
      </c>
      <c r="C3319" s="2" t="str">
        <f>IFERROR(__xludf.DUMMYFUNCTION("""COMPUTED_VALUE"""),"MOBILECARE - GLORIETTA 5")</f>
        <v>MOBILECARE - GLORIETTA 5</v>
      </c>
      <c r="D3319" s="2" t="str">
        <f>IFERROR(__xludf.DUMMYFUNCTION("""COMPUTED_VALUE"""),"661-30397")</f>
        <v>661-30397</v>
      </c>
      <c r="E3319" s="2" t="str">
        <f>IFERROR(__xludf.DUMMYFUNCTION("""COMPUTED_VALUE"""),"Battery, iPhone 14 Pro Max")</f>
        <v>Battery, iPhone 14 Pro Max</v>
      </c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</row>
    <row r="3320">
      <c r="A3320" s="10" t="str">
        <f t="shared" si="1"/>
        <v>February</v>
      </c>
      <c r="B3320" s="11">
        <f>IFERROR(__xludf.DUMMYFUNCTION("""COMPUTED_VALUE"""),46069.0)</f>
        <v>46069</v>
      </c>
      <c r="C3320" s="2" t="str">
        <f>IFERROR(__xludf.DUMMYFUNCTION("""COMPUTED_VALUE"""),"MOBILECARE - GLORIETTA 5")</f>
        <v>MOBILECARE - GLORIETTA 5</v>
      </c>
      <c r="D3320" s="2" t="str">
        <f>IFERROR(__xludf.DUMMYFUNCTION("""COMPUTED_VALUE"""),"661-30397")</f>
        <v>661-30397</v>
      </c>
      <c r="E3320" s="2" t="str">
        <f>IFERROR(__xludf.DUMMYFUNCTION("""COMPUTED_VALUE"""),"Battery, iPhone 14 Pro Max")</f>
        <v>Battery, iPhone 14 Pro Max</v>
      </c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</row>
    <row r="3321">
      <c r="A3321" s="10" t="str">
        <f t="shared" si="1"/>
        <v>February</v>
      </c>
      <c r="B3321" s="11">
        <f>IFERROR(__xludf.DUMMYFUNCTION("""COMPUTED_VALUE"""),46065.0)</f>
        <v>46065</v>
      </c>
      <c r="C3321" s="2" t="str">
        <f>IFERROR(__xludf.DUMMYFUNCTION("""COMPUTED_VALUE"""),"MOBILECARE - GLORIETTA 5")</f>
        <v>MOBILECARE - GLORIETTA 5</v>
      </c>
      <c r="D3321" s="2" t="str">
        <f>IFERROR(__xludf.DUMMYFUNCTION("""COMPUTED_VALUE"""),"661-55239")</f>
        <v>661-55239</v>
      </c>
      <c r="E3321" s="2" t="str">
        <f>IFERROR(__xludf.DUMMYFUNCTION("""COMPUTED_VALUE"""),"Sky Blue, Back Glass, iPhone Air")</f>
        <v>Sky Blue, Back Glass, iPhone Air</v>
      </c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</row>
    <row r="3322">
      <c r="A3322" s="10" t="str">
        <f t="shared" si="1"/>
        <v>February</v>
      </c>
      <c r="B3322" s="11">
        <f>IFERROR(__xludf.DUMMYFUNCTION("""COMPUTED_VALUE"""),46057.0)</f>
        <v>46057</v>
      </c>
      <c r="C3322" s="2" t="str">
        <f>IFERROR(__xludf.DUMMYFUNCTION("""COMPUTED_VALUE"""),"MOBILECARE - GLORIETTA 5")</f>
        <v>MOBILECARE - GLORIETTA 5</v>
      </c>
      <c r="D3322" s="2" t="str">
        <f>IFERROR(__xludf.DUMMYFUNCTION("""COMPUTED_VALUE"""),"661-17920")</f>
        <v>661-17920</v>
      </c>
      <c r="E3322" s="2" t="str">
        <f>IFERROR(__xludf.DUMMYFUNCTION("""COMPUTED_VALUE"""),"Battery, iPhone 12 and 12 Pro")</f>
        <v>Battery, iPhone 12 and 12 Pro</v>
      </c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</row>
    <row r="3323">
      <c r="A3323" s="10" t="str">
        <f t="shared" si="1"/>
        <v>January</v>
      </c>
      <c r="B3323" s="11">
        <f>IFERROR(__xludf.DUMMYFUNCTION("""COMPUTED_VALUE"""),46052.0)</f>
        <v>46052</v>
      </c>
      <c r="C3323" s="2" t="str">
        <f>IFERROR(__xludf.DUMMYFUNCTION("""COMPUTED_VALUE"""),"MOBILECARE - GLORIETTA 5")</f>
        <v>MOBILECARE - GLORIETTA 5</v>
      </c>
      <c r="D3323" s="2" t="str">
        <f>IFERROR(__xludf.DUMMYFUNCTION("""COMPUTED_VALUE"""),"661-44955")</f>
        <v>661-44955</v>
      </c>
      <c r="E3323" s="2" t="str">
        <f>IFERROR(__xludf.DUMMYFUNCTION("""COMPUTED_VALUE"""),"Display, iPhone 16 Pro Max")</f>
        <v>Display, iPhone 16 Pro Max</v>
      </c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</row>
    <row r="3324">
      <c r="A3324" s="10" t="str">
        <f t="shared" si="1"/>
        <v>January</v>
      </c>
      <c r="B3324" s="11">
        <f>IFERROR(__xludf.DUMMYFUNCTION("""COMPUTED_VALUE"""),46050.0)</f>
        <v>46050</v>
      </c>
      <c r="C3324" s="2" t="str">
        <f>IFERROR(__xludf.DUMMYFUNCTION("""COMPUTED_VALUE"""),"MOBILECARE - GLORIETTA 5")</f>
        <v>MOBILECARE - GLORIETTA 5</v>
      </c>
      <c r="D3324" s="2" t="str">
        <f>IFERROR(__xludf.DUMMYFUNCTION("""COMPUTED_VALUE"""),"661-21991")</f>
        <v>661-21991</v>
      </c>
      <c r="E3324" s="2" t="str">
        <f>IFERROR(__xludf.DUMMYFUNCTION("""COMPUTED_VALUE"""),"Battery, iPhone 13")</f>
        <v>Battery, iPhone 13</v>
      </c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</row>
    <row r="3325">
      <c r="A3325" s="10" t="str">
        <f t="shared" si="1"/>
        <v>January</v>
      </c>
      <c r="B3325" s="11">
        <f>IFERROR(__xludf.DUMMYFUNCTION("""COMPUTED_VALUE"""),46044.0)</f>
        <v>46044</v>
      </c>
      <c r="C3325" s="2" t="str">
        <f>IFERROR(__xludf.DUMMYFUNCTION("""COMPUTED_VALUE"""),"MOBILECARE - GLORIETTA 5")</f>
        <v>MOBILECARE - GLORIETTA 5</v>
      </c>
      <c r="D3325" s="2" t="str">
        <f>IFERROR(__xludf.DUMMYFUNCTION("""COMPUTED_VALUE"""),"661-35694")</f>
        <v>661-35694</v>
      </c>
      <c r="E3325" s="2" t="str">
        <f>IFERROR(__xludf.DUMMYFUNCTION("""COMPUTED_VALUE"""),"Battery, iPhone 15 Pro")</f>
        <v>Battery, iPhone 15 Pro</v>
      </c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</row>
    <row r="3326">
      <c r="A3326" s="10" t="str">
        <f t="shared" si="1"/>
        <v>May</v>
      </c>
      <c r="B3326" s="11">
        <f>IFERROR(__xludf.DUMMYFUNCTION("""COMPUTED_VALUE"""),46156.0)</f>
        <v>46156</v>
      </c>
      <c r="C3326" s="2" t="str">
        <f>IFERROR(__xludf.DUMMYFUNCTION("""COMPUTED_VALUE"""),"MOBILECARE - GLORIETTA 5")</f>
        <v>MOBILECARE - GLORIETTA 5</v>
      </c>
      <c r="D3326" s="2" t="str">
        <f>IFERROR(__xludf.DUMMYFUNCTION("""COMPUTED_VALUE"""),"661-21996")</f>
        <v>661-21996</v>
      </c>
      <c r="E3326" s="2" t="str">
        <f>IFERROR(__xludf.DUMMYFUNCTION("""COMPUTED_VALUE"""),"Battery, iPhone 13 Pro")</f>
        <v>Battery, iPhone 13 Pro</v>
      </c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</row>
    <row r="3327">
      <c r="A3327" s="10" t="str">
        <f t="shared" si="1"/>
        <v>May</v>
      </c>
      <c r="B3327" s="11">
        <f>IFERROR(__xludf.DUMMYFUNCTION("""COMPUTED_VALUE"""),46151.0)</f>
        <v>46151</v>
      </c>
      <c r="C3327" s="2" t="str">
        <f>IFERROR(__xludf.DUMMYFUNCTION("""COMPUTED_VALUE"""),"MOBILECARE - GLORIETTA 5")</f>
        <v>MOBILECARE - GLORIETTA 5</v>
      </c>
      <c r="D3327" s="2" t="str">
        <f>IFERROR(__xludf.DUMMYFUNCTION("""COMPUTED_VALUE"""),"661-21991")</f>
        <v>661-21991</v>
      </c>
      <c r="E3327" s="2" t="str">
        <f>IFERROR(__xludf.DUMMYFUNCTION("""COMPUTED_VALUE"""),"Battery, iPhone 13")</f>
        <v>Battery, iPhone 13</v>
      </c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</row>
    <row r="3328">
      <c r="A3328" s="10" t="str">
        <f t="shared" si="1"/>
        <v>May</v>
      </c>
      <c r="B3328" s="11">
        <f>IFERROR(__xludf.DUMMYFUNCTION("""COMPUTED_VALUE"""),46146.0)</f>
        <v>46146</v>
      </c>
      <c r="C3328" s="2" t="str">
        <f>IFERROR(__xludf.DUMMYFUNCTION("""COMPUTED_VALUE"""),"MOBILECARE - GLORIETTA 5")</f>
        <v>MOBILECARE - GLORIETTA 5</v>
      </c>
      <c r="D3328" s="2" t="str">
        <f>IFERROR(__xludf.DUMMYFUNCTION("""COMPUTED_VALUE"""),"661-21991")</f>
        <v>661-21991</v>
      </c>
      <c r="E3328" s="2" t="str">
        <f>IFERROR(__xludf.DUMMYFUNCTION("""COMPUTED_VALUE"""),"Battery, iPhone 13")</f>
        <v>Battery, iPhone 13</v>
      </c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</row>
    <row r="3329">
      <c r="A3329" s="10" t="str">
        <f t="shared" si="1"/>
        <v>May</v>
      </c>
      <c r="B3329" s="11">
        <f>IFERROR(__xludf.DUMMYFUNCTION("""COMPUTED_VALUE"""),46146.0)</f>
        <v>46146</v>
      </c>
      <c r="C3329" s="2" t="str">
        <f>IFERROR(__xludf.DUMMYFUNCTION("""COMPUTED_VALUE"""),"MOBILECARE - GLORIETTA 5")</f>
        <v>MOBILECARE - GLORIETTA 5</v>
      </c>
      <c r="D3329" s="2" t="str">
        <f>IFERROR(__xludf.DUMMYFUNCTION("""COMPUTED_VALUE"""),"661-17920")</f>
        <v>661-17920</v>
      </c>
      <c r="E3329" s="2" t="str">
        <f>IFERROR(__xludf.DUMMYFUNCTION("""COMPUTED_VALUE"""),"Battery, iPhone 12 and 12 Pro")</f>
        <v>Battery, iPhone 12 and 12 Pro</v>
      </c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</row>
    <row r="3330">
      <c r="A3330" s="10" t="str">
        <f t="shared" si="1"/>
        <v>March</v>
      </c>
      <c r="B3330" s="11">
        <f>IFERROR(__xludf.DUMMYFUNCTION("""COMPUTED_VALUE"""),46094.0)</f>
        <v>46094</v>
      </c>
      <c r="C3330" s="2" t="str">
        <f>IFERROR(__xludf.DUMMYFUNCTION("""COMPUTED_VALUE"""),"MOBILECARE - GLORIETTA 5")</f>
        <v>MOBILECARE - GLORIETTA 5</v>
      </c>
      <c r="D3330" s="2" t="str">
        <f>IFERROR(__xludf.DUMMYFUNCTION("""COMPUTED_VALUE"""),"661-35828")</f>
        <v>661-35828</v>
      </c>
      <c r="E3330" s="2" t="str">
        <f>IFERROR(__xludf.DUMMYFUNCTION("""COMPUTED_VALUE"""),"Camera, iPhone 15")</f>
        <v>Camera, iPhone 15</v>
      </c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</row>
    <row r="3331">
      <c r="A3331" s="10" t="str">
        <f t="shared" si="1"/>
        <v>March</v>
      </c>
      <c r="B3331" s="11">
        <f>IFERROR(__xludf.DUMMYFUNCTION("""COMPUTED_VALUE"""),46094.0)</f>
        <v>46094</v>
      </c>
      <c r="C3331" s="2" t="str">
        <f>IFERROR(__xludf.DUMMYFUNCTION("""COMPUTED_VALUE"""),"MOBILECARE - GLORIETTA 5")</f>
        <v>MOBILECARE - GLORIETTA 5</v>
      </c>
      <c r="D3331" s="2" t="str">
        <f>IFERROR(__xludf.DUMMYFUNCTION("""COMPUTED_VALUE"""),"661-35828")</f>
        <v>661-35828</v>
      </c>
      <c r="E3331" s="2" t="str">
        <f>IFERROR(__xludf.DUMMYFUNCTION("""COMPUTED_VALUE"""),"Camera, iPhone 15")</f>
        <v>Camera, iPhone 15</v>
      </c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</row>
    <row r="3332">
      <c r="A3332" s="10" t="str">
        <f t="shared" si="1"/>
        <v>February</v>
      </c>
      <c r="B3332" s="11">
        <f>IFERROR(__xludf.DUMMYFUNCTION("""COMPUTED_VALUE"""),46072.0)</f>
        <v>46072</v>
      </c>
      <c r="C3332" s="2" t="str">
        <f>IFERROR(__xludf.DUMMYFUNCTION("""COMPUTED_VALUE"""),"MOBILECARE - GLORIETTA 5")</f>
        <v>MOBILECARE - GLORIETTA 5</v>
      </c>
      <c r="D3332" s="2" t="str">
        <f>IFERROR(__xludf.DUMMYFUNCTION("""COMPUTED_VALUE"""),"661-35694")</f>
        <v>661-35694</v>
      </c>
      <c r="E3332" s="2" t="str">
        <f>IFERROR(__xludf.DUMMYFUNCTION("""COMPUTED_VALUE"""),"Battery, iPhone 15 Pro")</f>
        <v>Battery, iPhone 15 Pro</v>
      </c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</row>
    <row r="3333">
      <c r="A3333" s="10" t="str">
        <f t="shared" si="1"/>
        <v>February</v>
      </c>
      <c r="B3333" s="11">
        <f>IFERROR(__xludf.DUMMYFUNCTION("""COMPUTED_VALUE"""),46056.0)</f>
        <v>46056</v>
      </c>
      <c r="C3333" s="2" t="str">
        <f>IFERROR(__xludf.DUMMYFUNCTION("""COMPUTED_VALUE"""),"MOBILECARE - GLORIETTA 5")</f>
        <v>MOBILECARE - GLORIETTA 5</v>
      </c>
      <c r="D3333" s="2" t="str">
        <f>IFERROR(__xludf.DUMMYFUNCTION("""COMPUTED_VALUE"""),"661-21991")</f>
        <v>661-21991</v>
      </c>
      <c r="E3333" s="2" t="str">
        <f>IFERROR(__xludf.DUMMYFUNCTION("""COMPUTED_VALUE"""),"Battery, iPhone 13")</f>
        <v>Battery, iPhone 13</v>
      </c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</row>
    <row r="3334">
      <c r="A3334" s="10" t="str">
        <f t="shared" si="1"/>
        <v>February</v>
      </c>
      <c r="B3334" s="11">
        <f>IFERROR(__xludf.DUMMYFUNCTION("""COMPUTED_VALUE"""),46063.0)</f>
        <v>46063</v>
      </c>
      <c r="C3334" s="2" t="str">
        <f>IFERROR(__xludf.DUMMYFUNCTION("""COMPUTED_VALUE"""),"MOBILECARE - GLORIETTA 5")</f>
        <v>MOBILECARE - GLORIETTA 5</v>
      </c>
      <c r="D3334" s="2" t="str">
        <f>IFERROR(__xludf.DUMMYFUNCTION("""COMPUTED_VALUE"""),"661-56050")</f>
        <v>661-56050</v>
      </c>
      <c r="E3334" s="2" t="str">
        <f>IFERROR(__xludf.DUMMYFUNCTION("""COMPUTED_VALUE"""),"Display, iPhone 17 Pro Max")</f>
        <v>Display, iPhone 17 Pro Max</v>
      </c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</row>
    <row r="3335">
      <c r="A3335" s="10" t="str">
        <f t="shared" si="1"/>
        <v>February</v>
      </c>
      <c r="B3335" s="11">
        <f>IFERROR(__xludf.DUMMYFUNCTION("""COMPUTED_VALUE"""),46059.0)</f>
        <v>46059</v>
      </c>
      <c r="C3335" s="2" t="str">
        <f>IFERROR(__xludf.DUMMYFUNCTION("""COMPUTED_VALUE"""),"MOBILECARE - GLORIETTA 5")</f>
        <v>MOBILECARE - GLORIETTA 5</v>
      </c>
      <c r="D3335" s="2" t="str">
        <f>IFERROR(__xludf.DUMMYFUNCTION("""COMPUTED_VALUE"""),"661-18428")</f>
        <v>661-18428</v>
      </c>
      <c r="E3335" s="2" t="str">
        <f>IFERROR(__xludf.DUMMYFUNCTION("""COMPUTED_VALUE"""),"Battery, iPhone 12 Pro Max")</f>
        <v>Battery, iPhone 12 Pro Max</v>
      </c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</row>
    <row r="3336">
      <c r="A3336" s="10" t="str">
        <f t="shared" si="1"/>
        <v>January</v>
      </c>
      <c r="B3336" s="11">
        <f>IFERROR(__xludf.DUMMYFUNCTION("""COMPUTED_VALUE"""),46050.0)</f>
        <v>46050</v>
      </c>
      <c r="C3336" s="2" t="str">
        <f>IFERROR(__xludf.DUMMYFUNCTION("""COMPUTED_VALUE"""),"MOBILECARE - GLORIETTA 5")</f>
        <v>MOBILECARE - GLORIETTA 5</v>
      </c>
      <c r="D3336" s="2" t="str">
        <f>IFERROR(__xludf.DUMMYFUNCTION("""COMPUTED_VALUE"""),"661-30382")</f>
        <v>661-30382</v>
      </c>
      <c r="E3336" s="2" t="str">
        <f>IFERROR(__xludf.DUMMYFUNCTION("""COMPUTED_VALUE"""),"Battery, iPhone 14 Pro")</f>
        <v>Battery, iPhone 14 Pro</v>
      </c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</row>
    <row r="3337">
      <c r="A3337" s="10" t="str">
        <f t="shared" si="1"/>
        <v>January</v>
      </c>
      <c r="B3337" s="11">
        <f>IFERROR(__xludf.DUMMYFUNCTION("""COMPUTED_VALUE"""),46050.0)</f>
        <v>46050</v>
      </c>
      <c r="C3337" s="2" t="str">
        <f>IFERROR(__xludf.DUMMYFUNCTION("""COMPUTED_VALUE"""),"MOBILECARE - GLORIETTA 5")</f>
        <v>MOBILECARE - GLORIETTA 5</v>
      </c>
      <c r="D3337" s="2" t="str">
        <f>IFERROR(__xludf.DUMMYFUNCTION("""COMPUTED_VALUE"""),"661-29370")</f>
        <v>661-29370</v>
      </c>
      <c r="E3337" s="2" t="str">
        <f>IFERROR(__xludf.DUMMYFUNCTION("""COMPUTED_VALUE"""),"Display, iPhone 14 Pro")</f>
        <v>Display, iPhone 14 Pro</v>
      </c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</row>
    <row r="3338">
      <c r="A3338" s="10" t="str">
        <f t="shared" si="1"/>
        <v>June</v>
      </c>
      <c r="B3338" s="11">
        <f>IFERROR(__xludf.DUMMYFUNCTION("""COMPUTED_VALUE"""),46179.0)</f>
        <v>46179</v>
      </c>
      <c r="C3338" s="2" t="str">
        <f>IFERROR(__xludf.DUMMYFUNCTION("""COMPUTED_VALUE"""),"MOBILECARE - GLORIETTA 5")</f>
        <v>MOBILECARE - GLORIETTA 5</v>
      </c>
      <c r="D3338" s="2" t="str">
        <f>IFERROR(__xludf.DUMMYFUNCTION("""COMPUTED_VALUE"""),"661-21991")</f>
        <v>661-21991</v>
      </c>
      <c r="E3338" s="2" t="str">
        <f>IFERROR(__xludf.DUMMYFUNCTION("""COMPUTED_VALUE"""),"Battery, iPhone 13")</f>
        <v>Battery, iPhone 13</v>
      </c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</row>
    <row r="3339">
      <c r="A3339" s="10" t="str">
        <f t="shared" si="1"/>
        <v>May</v>
      </c>
      <c r="B3339" s="11">
        <f>IFERROR(__xludf.DUMMYFUNCTION("""COMPUTED_VALUE"""),46163.0)</f>
        <v>46163</v>
      </c>
      <c r="C3339" s="2" t="str">
        <f>IFERROR(__xludf.DUMMYFUNCTION("""COMPUTED_VALUE"""),"MOBILECARE - GLORIETTA 5")</f>
        <v>MOBILECARE - GLORIETTA 5</v>
      </c>
      <c r="D3339" s="2" t="str">
        <f>IFERROR(__xludf.DUMMYFUNCTION("""COMPUTED_VALUE"""),"661-17920")</f>
        <v>661-17920</v>
      </c>
      <c r="E3339" s="2" t="str">
        <f>IFERROR(__xludf.DUMMYFUNCTION("""COMPUTED_VALUE"""),"Battery, iPhone 12 and 12 Pro")</f>
        <v>Battery, iPhone 12 and 12 Pro</v>
      </c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</row>
    <row r="3340">
      <c r="A3340" s="10" t="str">
        <f t="shared" si="1"/>
        <v>April</v>
      </c>
      <c r="B3340" s="11">
        <f>IFERROR(__xludf.DUMMYFUNCTION("""COMPUTED_VALUE"""),46136.0)</f>
        <v>46136</v>
      </c>
      <c r="C3340" s="2" t="str">
        <f>IFERROR(__xludf.DUMMYFUNCTION("""COMPUTED_VALUE"""),"MOBILECARE - GLORIETTA 5")</f>
        <v>MOBILECARE - GLORIETTA 5</v>
      </c>
      <c r="D3340" s="2" t="str">
        <f>IFERROR(__xludf.DUMMYFUNCTION("""COMPUTED_VALUE"""),"661-30382")</f>
        <v>661-30382</v>
      </c>
      <c r="E3340" s="2" t="str">
        <f>IFERROR(__xludf.DUMMYFUNCTION("""COMPUTED_VALUE"""),"Battery, iPhone 14 Pro")</f>
        <v>Battery, iPhone 14 Pro</v>
      </c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</row>
    <row r="3341">
      <c r="A3341" s="10" t="str">
        <f t="shared" si="1"/>
        <v>February</v>
      </c>
      <c r="B3341" s="11">
        <f>IFERROR(__xludf.DUMMYFUNCTION("""COMPUTED_VALUE"""),46069.0)</f>
        <v>46069</v>
      </c>
      <c r="C3341" s="2" t="str">
        <f>IFERROR(__xludf.DUMMYFUNCTION("""COMPUTED_VALUE"""),"MOBILECARE - GLORIETTA 5")</f>
        <v>MOBILECARE - GLORIETTA 5</v>
      </c>
      <c r="D3341" s="2" t="str">
        <f>IFERROR(__xludf.DUMMYFUNCTION("""COMPUTED_VALUE"""),"661-30397")</f>
        <v>661-30397</v>
      </c>
      <c r="E3341" s="2" t="str">
        <f>IFERROR(__xludf.DUMMYFUNCTION("""COMPUTED_VALUE"""),"Battery, iPhone 14 Pro Max")</f>
        <v>Battery, iPhone 14 Pro Max</v>
      </c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</row>
    <row r="3342">
      <c r="A3342" s="10" t="str">
        <f t="shared" si="1"/>
        <v>January</v>
      </c>
      <c r="B3342" s="11">
        <f>IFERROR(__xludf.DUMMYFUNCTION("""COMPUTED_VALUE"""),46053.0)</f>
        <v>46053</v>
      </c>
      <c r="C3342" s="2" t="str">
        <f>IFERROR(__xludf.DUMMYFUNCTION("""COMPUTED_VALUE"""),"MOBILECARE - GLORIETTA 5")</f>
        <v>MOBILECARE - GLORIETTA 5</v>
      </c>
      <c r="D3342" s="2" t="str">
        <f>IFERROR(__xludf.DUMMYFUNCTION("""COMPUTED_VALUE"""),"661-22309")</f>
        <v>661-22309</v>
      </c>
      <c r="E3342" s="2" t="str">
        <f>IFERROR(__xludf.DUMMYFUNCTION("""COMPUTED_VALUE"""),"Display, iPhone 13 Pro Max")</f>
        <v>Display, iPhone 13 Pro Max</v>
      </c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</row>
    <row r="3343">
      <c r="A3343" s="10" t="str">
        <f t="shared" si="1"/>
        <v>May</v>
      </c>
      <c r="B3343" s="11">
        <f>IFERROR(__xludf.DUMMYFUNCTION("""COMPUTED_VALUE"""),46169.0)</f>
        <v>46169</v>
      </c>
      <c r="C3343" s="2" t="str">
        <f>IFERROR(__xludf.DUMMYFUNCTION("""COMPUTED_VALUE"""),"MOBILECARE - GLORIETTA 5")</f>
        <v>MOBILECARE - GLORIETTA 5</v>
      </c>
      <c r="D3343" s="2" t="str">
        <f>IFERROR(__xludf.DUMMYFUNCTION("""COMPUTED_VALUE"""),"661-35885")</f>
        <v>661-35885</v>
      </c>
      <c r="E3343" s="2" t="str">
        <f>IFERROR(__xludf.DUMMYFUNCTION("""COMPUTED_VALUE"""),"Battery, iPhone 15")</f>
        <v>Battery, iPhone 15</v>
      </c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</row>
    <row r="3344">
      <c r="A3344" s="10" t="str">
        <f t="shared" si="1"/>
        <v>May</v>
      </c>
      <c r="B3344" s="11">
        <f>IFERROR(__xludf.DUMMYFUNCTION("""COMPUTED_VALUE"""),46160.0)</f>
        <v>46160</v>
      </c>
      <c r="C3344" s="2" t="str">
        <f>IFERROR(__xludf.DUMMYFUNCTION("""COMPUTED_VALUE"""),"MOBILECARE - GLORIETTA 5")</f>
        <v>MOBILECARE - GLORIETTA 5</v>
      </c>
      <c r="D3344" s="2" t="str">
        <f>IFERROR(__xludf.DUMMYFUNCTION("""COMPUTED_VALUE"""),"661-30397")</f>
        <v>661-30397</v>
      </c>
      <c r="E3344" s="2" t="str">
        <f>IFERROR(__xludf.DUMMYFUNCTION("""COMPUTED_VALUE"""),"Battery, iPhone 14 Pro Max")</f>
        <v>Battery, iPhone 14 Pro Max</v>
      </c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</row>
    <row r="3345">
      <c r="A3345" s="10" t="str">
        <f t="shared" si="1"/>
        <v>May</v>
      </c>
      <c r="B3345" s="11">
        <f>IFERROR(__xludf.DUMMYFUNCTION("""COMPUTED_VALUE"""),46144.0)</f>
        <v>46144</v>
      </c>
      <c r="C3345" s="2" t="str">
        <f>IFERROR(__xludf.DUMMYFUNCTION("""COMPUTED_VALUE"""),"MOBILECARE - GLORIETTA 5")</f>
        <v>MOBILECARE - GLORIETTA 5</v>
      </c>
      <c r="D3345" s="2" t="str">
        <f>IFERROR(__xludf.DUMMYFUNCTION("""COMPUTED_VALUE"""),"661-22309")</f>
        <v>661-22309</v>
      </c>
      <c r="E3345" s="2" t="str">
        <f>IFERROR(__xludf.DUMMYFUNCTION("""COMPUTED_VALUE"""),"Display, iPhone 13 Pro Max")</f>
        <v>Display, iPhone 13 Pro Max</v>
      </c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</row>
    <row r="3346">
      <c r="A3346" s="10" t="str">
        <f t="shared" si="1"/>
        <v>April</v>
      </c>
      <c r="B3346" s="11">
        <f>IFERROR(__xludf.DUMMYFUNCTION("""COMPUTED_VALUE"""),46125.0)</f>
        <v>46125</v>
      </c>
      <c r="C3346" s="2" t="str">
        <f>IFERROR(__xludf.DUMMYFUNCTION("""COMPUTED_VALUE"""),"MOBILECARE - GLORIETTA 5")</f>
        <v>MOBILECARE - GLORIETTA 5</v>
      </c>
      <c r="D3346" s="2" t="str">
        <f>IFERROR(__xludf.DUMMYFUNCTION("""COMPUTED_VALUE"""),"661-21991")</f>
        <v>661-21991</v>
      </c>
      <c r="E3346" s="2" t="str">
        <f>IFERROR(__xludf.DUMMYFUNCTION("""COMPUTED_VALUE"""),"Battery, iPhone 13")</f>
        <v>Battery, iPhone 13</v>
      </c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</row>
    <row r="3347">
      <c r="A3347" s="10" t="str">
        <f t="shared" si="1"/>
        <v>March</v>
      </c>
      <c r="B3347" s="11">
        <f>IFERROR(__xludf.DUMMYFUNCTION("""COMPUTED_VALUE"""),46102.0)</f>
        <v>46102</v>
      </c>
      <c r="C3347" s="2" t="str">
        <f>IFERROR(__xludf.DUMMYFUNCTION("""COMPUTED_VALUE"""),"MOBILECARE - GLORIETTA 5")</f>
        <v>MOBILECARE - GLORIETTA 5</v>
      </c>
      <c r="D3347" s="2" t="str">
        <f>IFERROR(__xludf.DUMMYFUNCTION("""COMPUTED_VALUE"""),"661-21991")</f>
        <v>661-21991</v>
      </c>
      <c r="E3347" s="2" t="str">
        <f>IFERROR(__xludf.DUMMYFUNCTION("""COMPUTED_VALUE"""),"Battery, iPhone 13")</f>
        <v>Battery, iPhone 13</v>
      </c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</row>
    <row r="3348">
      <c r="A3348" s="10" t="str">
        <f t="shared" si="1"/>
        <v>March</v>
      </c>
      <c r="B3348" s="11">
        <f>IFERROR(__xludf.DUMMYFUNCTION("""COMPUTED_VALUE"""),46096.0)</f>
        <v>46096</v>
      </c>
      <c r="C3348" s="2" t="str">
        <f>IFERROR(__xludf.DUMMYFUNCTION("""COMPUTED_VALUE"""),"MOBILECARE - GLORIETTA 5")</f>
        <v>MOBILECARE - GLORIETTA 5</v>
      </c>
      <c r="D3348" s="2" t="str">
        <f>IFERROR(__xludf.DUMMYFUNCTION("""COMPUTED_VALUE"""),"661-21991")</f>
        <v>661-21991</v>
      </c>
      <c r="E3348" s="2" t="str">
        <f>IFERROR(__xludf.DUMMYFUNCTION("""COMPUTED_VALUE"""),"Battery, iPhone 13")</f>
        <v>Battery, iPhone 13</v>
      </c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</row>
    <row r="3349">
      <c r="A3349" s="10" t="str">
        <f t="shared" si="1"/>
        <v>March</v>
      </c>
      <c r="B3349" s="11">
        <f>IFERROR(__xludf.DUMMYFUNCTION("""COMPUTED_VALUE"""),46092.0)</f>
        <v>46092</v>
      </c>
      <c r="C3349" s="2" t="str">
        <f>IFERROR(__xludf.DUMMYFUNCTION("""COMPUTED_VALUE"""),"MOBILECARE - GLORIETTA 5")</f>
        <v>MOBILECARE - GLORIETTA 5</v>
      </c>
      <c r="D3349" s="2" t="str">
        <f>IFERROR(__xludf.DUMMYFUNCTION("""COMPUTED_VALUE"""),"661-22374")</f>
        <v>661-22374</v>
      </c>
      <c r="E3349" s="2" t="str">
        <f>IFERROR(__xludf.DUMMYFUNCTION("""COMPUTED_VALUE"""),"Battery, iPhone 13 mini")</f>
        <v>Battery, iPhone 13 mini</v>
      </c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</row>
    <row r="3350">
      <c r="A3350" s="10" t="str">
        <f t="shared" si="1"/>
        <v>March</v>
      </c>
      <c r="B3350" s="11">
        <f>IFERROR(__xludf.DUMMYFUNCTION("""COMPUTED_VALUE"""),46091.0)</f>
        <v>46091</v>
      </c>
      <c r="C3350" s="2" t="str">
        <f>IFERROR(__xludf.DUMMYFUNCTION("""COMPUTED_VALUE"""),"MOBILECARE - GLORIETTA 5")</f>
        <v>MOBILECARE - GLORIETTA 5</v>
      </c>
      <c r="D3350" s="2" t="str">
        <f>IFERROR(__xludf.DUMMYFUNCTION("""COMPUTED_VALUE"""),"661-21996")</f>
        <v>661-21996</v>
      </c>
      <c r="E3350" s="2" t="str">
        <f>IFERROR(__xludf.DUMMYFUNCTION("""COMPUTED_VALUE"""),"Battery, iPhone 13 Pro")</f>
        <v>Battery, iPhone 13 Pro</v>
      </c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</row>
    <row r="3351">
      <c r="A3351" s="10" t="str">
        <f t="shared" si="1"/>
        <v>March</v>
      </c>
      <c r="B3351" s="11">
        <f>IFERROR(__xludf.DUMMYFUNCTION("""COMPUTED_VALUE"""),46093.0)</f>
        <v>46093</v>
      </c>
      <c r="C3351" s="2" t="str">
        <f>IFERROR(__xludf.DUMMYFUNCTION("""COMPUTED_VALUE"""),"MOBILECARE - GLORIETTA 5")</f>
        <v>MOBILECARE - GLORIETTA 5</v>
      </c>
      <c r="D3351" s="2" t="str">
        <f>IFERROR(__xludf.DUMMYFUNCTION("""COMPUTED_VALUE"""),"661-56050")</f>
        <v>661-56050</v>
      </c>
      <c r="E3351" s="2" t="str">
        <f>IFERROR(__xludf.DUMMYFUNCTION("""COMPUTED_VALUE"""),"Display, iPhone 17 Pro Max")</f>
        <v>Display, iPhone 17 Pro Max</v>
      </c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</row>
    <row r="3352">
      <c r="A3352" s="10" t="str">
        <f t="shared" si="1"/>
        <v>March</v>
      </c>
      <c r="B3352" s="11">
        <f>IFERROR(__xludf.DUMMYFUNCTION("""COMPUTED_VALUE"""),46093.0)</f>
        <v>46093</v>
      </c>
      <c r="C3352" s="2" t="str">
        <f>IFERROR(__xludf.DUMMYFUNCTION("""COMPUTED_VALUE"""),"MOBILECARE - GLORIETTA 5")</f>
        <v>MOBILECARE - GLORIETTA 5</v>
      </c>
      <c r="D3352" s="2" t="str">
        <f>IFERROR(__xludf.DUMMYFUNCTION("""COMPUTED_VALUE"""),"ZP923-13786")</f>
        <v>ZP923-13786</v>
      </c>
      <c r="E3352" s="2" t="str">
        <f>IFERROR(__xludf.DUMMYFUNCTION("""COMPUTED_VALUE"""),"Cosmic Orange, Enclosure, iPhone 17 Pro Max, ROW")</f>
        <v>Cosmic Orange, Enclosure, iPhone 17 Pro Max, ROW</v>
      </c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</row>
    <row r="3353">
      <c r="A3353" s="10" t="str">
        <f t="shared" si="1"/>
        <v>February</v>
      </c>
      <c r="B3353" s="11">
        <f>IFERROR(__xludf.DUMMYFUNCTION("""COMPUTED_VALUE"""),46074.0)</f>
        <v>46074</v>
      </c>
      <c r="C3353" s="2" t="str">
        <f>IFERROR(__xludf.DUMMYFUNCTION("""COMPUTED_VALUE"""),"MOBILECARE - GLORIETTA 5")</f>
        <v>MOBILECARE - GLORIETTA 5</v>
      </c>
      <c r="D3353" s="2" t="str">
        <f>IFERROR(__xludf.DUMMYFUNCTION("""COMPUTED_VALUE"""),"661-22309")</f>
        <v>661-22309</v>
      </c>
      <c r="E3353" s="2" t="str">
        <f>IFERROR(__xludf.DUMMYFUNCTION("""COMPUTED_VALUE"""),"Display, iPhone 13 Pro Max")</f>
        <v>Display, iPhone 13 Pro Max</v>
      </c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</row>
    <row r="3354">
      <c r="A3354" s="10" t="str">
        <f t="shared" si="1"/>
        <v>January</v>
      </c>
      <c r="B3354" s="11">
        <f>IFERROR(__xludf.DUMMYFUNCTION("""COMPUTED_VALUE"""),46046.0)</f>
        <v>46046</v>
      </c>
      <c r="C3354" s="2" t="str">
        <f>IFERROR(__xludf.DUMMYFUNCTION("""COMPUTED_VALUE"""),"MOBILECARE - GLORIETTA 5")</f>
        <v>MOBILECARE - GLORIETTA 5</v>
      </c>
      <c r="D3354" s="2" t="str">
        <f>IFERROR(__xludf.DUMMYFUNCTION("""COMPUTED_VALUE"""),"661-22309")</f>
        <v>661-22309</v>
      </c>
      <c r="E3354" s="2" t="str">
        <f>IFERROR(__xludf.DUMMYFUNCTION("""COMPUTED_VALUE"""),"Display, iPhone 13 Pro Max")</f>
        <v>Display, iPhone 13 Pro Max</v>
      </c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</row>
    <row r="3355">
      <c r="A3355" s="10" t="str">
        <f t="shared" si="1"/>
        <v>January</v>
      </c>
      <c r="B3355" s="11">
        <f>IFERROR(__xludf.DUMMYFUNCTION("""COMPUTED_VALUE"""),46036.0)</f>
        <v>46036</v>
      </c>
      <c r="C3355" s="2" t="str">
        <f>IFERROR(__xludf.DUMMYFUNCTION("""COMPUTED_VALUE"""),"MOBILECARE - GLORIETTA 5")</f>
        <v>MOBILECARE - GLORIETTA 5</v>
      </c>
      <c r="D3355" s="2" t="str">
        <f>IFERROR(__xludf.DUMMYFUNCTION("""COMPUTED_VALUE"""),"661-22309")</f>
        <v>661-22309</v>
      </c>
      <c r="E3355" s="2" t="str">
        <f>IFERROR(__xludf.DUMMYFUNCTION("""COMPUTED_VALUE"""),"Display, iPhone 13 Pro Max")</f>
        <v>Display, iPhone 13 Pro Max</v>
      </c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</row>
    <row r="3356">
      <c r="A3356" s="10" t="str">
        <f t="shared" si="1"/>
        <v>June</v>
      </c>
      <c r="B3356" s="11">
        <f>IFERROR(__xludf.DUMMYFUNCTION("""COMPUTED_VALUE"""),46193.0)</f>
        <v>46193</v>
      </c>
      <c r="C3356" s="2" t="str">
        <f>IFERROR(__xludf.DUMMYFUNCTION("""COMPUTED_VALUE"""),"MOBILECARE - GLORIETTA 5")</f>
        <v>MOBILECARE - GLORIETTA 5</v>
      </c>
      <c r="D3356" s="2" t="str">
        <f>IFERROR(__xludf.DUMMYFUNCTION("""COMPUTED_VALUE"""),"661-21996")</f>
        <v>661-21996</v>
      </c>
      <c r="E3356" s="2" t="str">
        <f>IFERROR(__xludf.DUMMYFUNCTION("""COMPUTED_VALUE"""),"Battery, iPhone 13 Pro")</f>
        <v>Battery, iPhone 13 Pro</v>
      </c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</row>
    <row r="3357">
      <c r="A3357" s="10" t="str">
        <f t="shared" si="1"/>
        <v>June</v>
      </c>
      <c r="B3357" s="11">
        <f>IFERROR(__xludf.DUMMYFUNCTION("""COMPUTED_VALUE"""),46192.0)</f>
        <v>46192</v>
      </c>
      <c r="C3357" s="2" t="str">
        <f>IFERROR(__xludf.DUMMYFUNCTION("""COMPUTED_VALUE"""),"MOBILECARE - GLORIETTA 5")</f>
        <v>MOBILECARE - GLORIETTA 5</v>
      </c>
      <c r="D3357" s="2" t="str">
        <f>IFERROR(__xludf.DUMMYFUNCTION("""COMPUTED_VALUE"""),"661-35694")</f>
        <v>661-35694</v>
      </c>
      <c r="E3357" s="2" t="str">
        <f>IFERROR(__xludf.DUMMYFUNCTION("""COMPUTED_VALUE"""),"Battery, iPhone 15 Pro")</f>
        <v>Battery, iPhone 15 Pro</v>
      </c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</row>
    <row r="3358">
      <c r="A3358" s="10" t="str">
        <f t="shared" si="1"/>
        <v>April</v>
      </c>
      <c r="B3358" s="11">
        <f>IFERROR(__xludf.DUMMYFUNCTION("""COMPUTED_VALUE"""),46126.0)</f>
        <v>46126</v>
      </c>
      <c r="C3358" s="2" t="str">
        <f>IFERROR(__xludf.DUMMYFUNCTION("""COMPUTED_VALUE"""),"MOBILECARE - GLORIETTA 5")</f>
        <v>MOBILECARE - GLORIETTA 5</v>
      </c>
      <c r="D3358" s="2" t="str">
        <f>IFERROR(__xludf.DUMMYFUNCTION("""COMPUTED_VALUE"""),"661-21996")</f>
        <v>661-21996</v>
      </c>
      <c r="E3358" s="2" t="str">
        <f>IFERROR(__xludf.DUMMYFUNCTION("""COMPUTED_VALUE"""),"Battery, iPhone 13 Pro")</f>
        <v>Battery, iPhone 13 Pro</v>
      </c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</row>
    <row r="3359">
      <c r="A3359" s="10" t="str">
        <f t="shared" si="1"/>
        <v>April</v>
      </c>
      <c r="B3359" s="11">
        <f>IFERROR(__xludf.DUMMYFUNCTION("""COMPUTED_VALUE"""),46122.0)</f>
        <v>46122</v>
      </c>
      <c r="C3359" s="2" t="str">
        <f>IFERROR(__xludf.DUMMYFUNCTION("""COMPUTED_VALUE"""),"MOBILECARE - GLORIETTA 5")</f>
        <v>MOBILECARE - GLORIETTA 5</v>
      </c>
      <c r="D3359" s="2" t="str">
        <f>IFERROR(__xludf.DUMMYFUNCTION("""COMPUTED_VALUE"""),"661-35885")</f>
        <v>661-35885</v>
      </c>
      <c r="E3359" s="2" t="str">
        <f>IFERROR(__xludf.DUMMYFUNCTION("""COMPUTED_VALUE"""),"Battery, iPhone 15")</f>
        <v>Battery, iPhone 15</v>
      </c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</row>
    <row r="3360">
      <c r="A3360" s="10" t="str">
        <f t="shared" si="1"/>
        <v>March</v>
      </c>
      <c r="B3360" s="11">
        <f>IFERROR(__xludf.DUMMYFUNCTION("""COMPUTED_VALUE"""),46111.0)</f>
        <v>46111</v>
      </c>
      <c r="C3360" s="2" t="str">
        <f>IFERROR(__xludf.DUMMYFUNCTION("""COMPUTED_VALUE"""),"MOBILECARE - GLORIETTA 5")</f>
        <v>MOBILECARE - GLORIETTA 5</v>
      </c>
      <c r="D3360" s="2" t="str">
        <f>IFERROR(__xludf.DUMMYFUNCTION("""COMPUTED_VALUE"""),"661-42726")</f>
        <v>661-42726</v>
      </c>
      <c r="E3360" s="2" t="str">
        <f>IFERROR(__xludf.DUMMYFUNCTION("""COMPUTED_VALUE"""),"Display, iPhone 16 Pro")</f>
        <v>Display, iPhone 16 Pro</v>
      </c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</row>
    <row r="3361">
      <c r="A3361" s="10" t="str">
        <f t="shared" si="1"/>
        <v>March</v>
      </c>
      <c r="B3361" s="11">
        <f>IFERROR(__xludf.DUMMYFUNCTION("""COMPUTED_VALUE"""),46109.0)</f>
        <v>46109</v>
      </c>
      <c r="C3361" s="2" t="str">
        <f>IFERROR(__xludf.DUMMYFUNCTION("""COMPUTED_VALUE"""),"MOBILECARE - GLORIETTA 5")</f>
        <v>MOBILECARE - GLORIETTA 5</v>
      </c>
      <c r="D3361" s="2" t="str">
        <f>IFERROR(__xludf.DUMMYFUNCTION("""COMPUTED_VALUE"""),"661-44955")</f>
        <v>661-44955</v>
      </c>
      <c r="E3361" s="2" t="str">
        <f>IFERROR(__xludf.DUMMYFUNCTION("""COMPUTED_VALUE"""),"Display, iPhone 16 Pro Max")</f>
        <v>Display, iPhone 16 Pro Max</v>
      </c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</row>
    <row r="3362">
      <c r="A3362" s="10" t="str">
        <f t="shared" si="1"/>
        <v>March</v>
      </c>
      <c r="B3362" s="11">
        <f>IFERROR(__xludf.DUMMYFUNCTION("""COMPUTED_VALUE"""),46101.0)</f>
        <v>46101</v>
      </c>
      <c r="C3362" s="2" t="str">
        <f>IFERROR(__xludf.DUMMYFUNCTION("""COMPUTED_VALUE"""),"MOBILECARE - GLORIETTA 5")</f>
        <v>MOBILECARE - GLORIETTA 5</v>
      </c>
      <c r="D3362" s="2" t="str">
        <f>IFERROR(__xludf.DUMMYFUNCTION("""COMPUTED_VALUE"""),"661-22309")</f>
        <v>661-22309</v>
      </c>
      <c r="E3362" s="2" t="str">
        <f>IFERROR(__xludf.DUMMYFUNCTION("""COMPUTED_VALUE"""),"Display, iPhone 13 Pro Max")</f>
        <v>Display, iPhone 13 Pro Max</v>
      </c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</row>
    <row r="3363">
      <c r="A3363" s="10" t="str">
        <f t="shared" si="1"/>
        <v>March</v>
      </c>
      <c r="B3363" s="11">
        <f>IFERROR(__xludf.DUMMYFUNCTION("""COMPUTED_VALUE"""),46095.0)</f>
        <v>46095</v>
      </c>
      <c r="C3363" s="2" t="str">
        <f>IFERROR(__xludf.DUMMYFUNCTION("""COMPUTED_VALUE"""),"MOBILECARE - GLORIETTA 5")</f>
        <v>MOBILECARE - GLORIETTA 5</v>
      </c>
      <c r="D3363" s="2" t="str">
        <f>IFERROR(__xludf.DUMMYFUNCTION("""COMPUTED_VALUE"""),"661-13574")</f>
        <v>661-13574</v>
      </c>
      <c r="E3363" s="2" t="str">
        <f>IFERROR(__xludf.DUMMYFUNCTION("""COMPUTED_VALUE"""),"Battery, iPhone 11")</f>
        <v>Battery, iPhone 11</v>
      </c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</row>
    <row r="3364">
      <c r="A3364" s="10" t="str">
        <f t="shared" si="1"/>
        <v>March</v>
      </c>
      <c r="B3364" s="11">
        <f>IFERROR(__xludf.DUMMYFUNCTION("""COMPUTED_VALUE"""),46107.0)</f>
        <v>46107</v>
      </c>
      <c r="C3364" s="2" t="str">
        <f>IFERROR(__xludf.DUMMYFUNCTION("""COMPUTED_VALUE"""),"MOBILECARE - GLORIETTA 5")</f>
        <v>MOBILECARE - GLORIETTA 5</v>
      </c>
      <c r="D3364" s="2" t="str">
        <f>IFERROR(__xludf.DUMMYFUNCTION("""COMPUTED_VALUE"""),"661-17920")</f>
        <v>661-17920</v>
      </c>
      <c r="E3364" s="2" t="str">
        <f>IFERROR(__xludf.DUMMYFUNCTION("""COMPUTED_VALUE"""),"Battery, iPhone 12 and 12 Pro")</f>
        <v>Battery, iPhone 12 and 12 Pro</v>
      </c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</row>
    <row r="3365">
      <c r="A3365" s="10" t="str">
        <f t="shared" si="1"/>
        <v>February</v>
      </c>
      <c r="B3365" s="11">
        <f>IFERROR(__xludf.DUMMYFUNCTION("""COMPUTED_VALUE"""),46072.0)</f>
        <v>46072</v>
      </c>
      <c r="C3365" s="2" t="str">
        <f>IFERROR(__xludf.DUMMYFUNCTION("""COMPUTED_VALUE"""),"MOBILECARE - GLORIETTA 5")</f>
        <v>MOBILECARE - GLORIETTA 5</v>
      </c>
      <c r="D3365" s="2" t="str">
        <f>IFERROR(__xludf.DUMMYFUNCTION("""COMPUTED_VALUE"""),"661-30382")</f>
        <v>661-30382</v>
      </c>
      <c r="E3365" s="2" t="str">
        <f>IFERROR(__xludf.DUMMYFUNCTION("""COMPUTED_VALUE"""),"Battery, iPhone 14 Pro")</f>
        <v>Battery, iPhone 14 Pro</v>
      </c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</row>
    <row r="3366">
      <c r="A3366" s="10" t="str">
        <f t="shared" si="1"/>
        <v>February</v>
      </c>
      <c r="B3366" s="11">
        <f>IFERROR(__xludf.DUMMYFUNCTION("""COMPUTED_VALUE"""),46070.0)</f>
        <v>46070</v>
      </c>
      <c r="C3366" s="2" t="str">
        <f>IFERROR(__xludf.DUMMYFUNCTION("""COMPUTED_VALUE"""),"MOBILECARE - GLORIETTA 5")</f>
        <v>MOBILECARE - GLORIETTA 5</v>
      </c>
      <c r="D3366" s="2" t="str">
        <f>IFERROR(__xludf.DUMMYFUNCTION("""COMPUTED_VALUE"""),"661-44955")</f>
        <v>661-44955</v>
      </c>
      <c r="E3366" s="2" t="str">
        <f>IFERROR(__xludf.DUMMYFUNCTION("""COMPUTED_VALUE"""),"Display, iPhone 16 Pro Max")</f>
        <v>Display, iPhone 16 Pro Max</v>
      </c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</row>
    <row r="3367">
      <c r="A3367" s="10" t="str">
        <f t="shared" si="1"/>
        <v>January</v>
      </c>
      <c r="B3367" s="11">
        <f>IFERROR(__xludf.DUMMYFUNCTION("""COMPUTED_VALUE"""),46037.0)</f>
        <v>46037</v>
      </c>
      <c r="C3367" s="2" t="str">
        <f>IFERROR(__xludf.DUMMYFUNCTION("""COMPUTED_VALUE"""),"MOBILECARE - GLORIETTA 5")</f>
        <v>MOBILECARE - GLORIETTA 5</v>
      </c>
      <c r="D3367" s="2" t="str">
        <f>IFERROR(__xludf.DUMMYFUNCTION("""COMPUTED_VALUE"""),"661-22309")</f>
        <v>661-22309</v>
      </c>
      <c r="E3367" s="2" t="str">
        <f>IFERROR(__xludf.DUMMYFUNCTION("""COMPUTED_VALUE"""),"Display, iPhone 13 Pro Max")</f>
        <v>Display, iPhone 13 Pro Max</v>
      </c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</row>
    <row r="3368">
      <c r="A3368" s="10" t="str">
        <f t="shared" si="1"/>
        <v>June</v>
      </c>
      <c r="B3368" s="11">
        <f>IFERROR(__xludf.DUMMYFUNCTION("""COMPUTED_VALUE"""),46188.0)</f>
        <v>46188</v>
      </c>
      <c r="C3368" s="2" t="str">
        <f>IFERROR(__xludf.DUMMYFUNCTION("""COMPUTED_VALUE"""),"MOBILECARE - GLORIETTA 5")</f>
        <v>MOBILECARE - GLORIETTA 5</v>
      </c>
      <c r="D3368" s="2" t="str">
        <f>IFERROR(__xludf.DUMMYFUNCTION("""COMPUTED_VALUE"""),"661-35885")</f>
        <v>661-35885</v>
      </c>
      <c r="E3368" s="2" t="str">
        <f>IFERROR(__xludf.DUMMYFUNCTION("""COMPUTED_VALUE"""),"Battery, iPhone 15")</f>
        <v>Battery, iPhone 15</v>
      </c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</row>
    <row r="3369">
      <c r="A3369" s="10" t="str">
        <f t="shared" si="1"/>
        <v>May</v>
      </c>
      <c r="B3369" s="11">
        <f>IFERROR(__xludf.DUMMYFUNCTION("""COMPUTED_VALUE"""),46156.0)</f>
        <v>46156</v>
      </c>
      <c r="C3369" s="2" t="str">
        <f>IFERROR(__xludf.DUMMYFUNCTION("""COMPUTED_VALUE"""),"MOBILECARE - GLORIETTA 5")</f>
        <v>MOBILECARE - GLORIETTA 5</v>
      </c>
      <c r="D3369" s="2" t="str">
        <f>IFERROR(__xludf.DUMMYFUNCTION("""COMPUTED_VALUE"""),"661-56050")</f>
        <v>661-56050</v>
      </c>
      <c r="E3369" s="2" t="str">
        <f>IFERROR(__xludf.DUMMYFUNCTION("""COMPUTED_VALUE"""),"Display, iPhone 17 Pro Max")</f>
        <v>Display, iPhone 17 Pro Max</v>
      </c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</row>
    <row r="3370">
      <c r="A3370" s="10" t="str">
        <f t="shared" si="1"/>
        <v>May</v>
      </c>
      <c r="B3370" s="11">
        <f>IFERROR(__xludf.DUMMYFUNCTION("""COMPUTED_VALUE"""),46144.0)</f>
        <v>46144</v>
      </c>
      <c r="C3370" s="2" t="str">
        <f>IFERROR(__xludf.DUMMYFUNCTION("""COMPUTED_VALUE"""),"MOBILECARE - GLORIETTA 5")</f>
        <v>MOBILECARE - GLORIETTA 5</v>
      </c>
      <c r="D3370" s="2" t="str">
        <f>IFERROR(__xludf.DUMMYFUNCTION("""COMPUTED_VALUE"""),"661-30382")</f>
        <v>661-30382</v>
      </c>
      <c r="E3370" s="2" t="str">
        <f>IFERROR(__xludf.DUMMYFUNCTION("""COMPUTED_VALUE"""),"Battery, iPhone 14 Pro")</f>
        <v>Battery, iPhone 14 Pro</v>
      </c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</row>
    <row r="3371">
      <c r="A3371" s="10" t="str">
        <f t="shared" si="1"/>
        <v>April</v>
      </c>
      <c r="B3371" s="11">
        <f>IFERROR(__xludf.DUMMYFUNCTION("""COMPUTED_VALUE"""),46138.0)</f>
        <v>46138</v>
      </c>
      <c r="C3371" s="2" t="str">
        <f>IFERROR(__xludf.DUMMYFUNCTION("""COMPUTED_VALUE"""),"MOBILECARE - GLORIETTA 5")</f>
        <v>MOBILECARE - GLORIETTA 5</v>
      </c>
      <c r="D3371" s="2" t="str">
        <f>IFERROR(__xludf.DUMMYFUNCTION("""COMPUTED_VALUE"""),"661-17920")</f>
        <v>661-17920</v>
      </c>
      <c r="E3371" s="2" t="str">
        <f>IFERROR(__xludf.DUMMYFUNCTION("""COMPUTED_VALUE"""),"Battery, iPhone 12 and 12 Pro")</f>
        <v>Battery, iPhone 12 and 12 Pro</v>
      </c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</row>
    <row r="3372">
      <c r="A3372" s="10" t="str">
        <f t="shared" si="1"/>
        <v>April</v>
      </c>
      <c r="B3372" s="11">
        <f>IFERROR(__xludf.DUMMYFUNCTION("""COMPUTED_VALUE"""),46134.0)</f>
        <v>46134</v>
      </c>
      <c r="C3372" s="2" t="str">
        <f>IFERROR(__xludf.DUMMYFUNCTION("""COMPUTED_VALUE"""),"MOBILECARE - GLORIETTA 5")</f>
        <v>MOBILECARE - GLORIETTA 5</v>
      </c>
      <c r="D3372" s="2" t="str">
        <f>IFERROR(__xludf.DUMMYFUNCTION("""COMPUTED_VALUE"""),"661-18428")</f>
        <v>661-18428</v>
      </c>
      <c r="E3372" s="2" t="str">
        <f>IFERROR(__xludf.DUMMYFUNCTION("""COMPUTED_VALUE"""),"Battery, iPhone 12 Pro Max")</f>
        <v>Battery, iPhone 12 Pro Max</v>
      </c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</row>
    <row r="3373">
      <c r="A3373" s="10" t="str">
        <f t="shared" si="1"/>
        <v>April</v>
      </c>
      <c r="B3373" s="11">
        <f>IFERROR(__xludf.DUMMYFUNCTION("""COMPUTED_VALUE"""),46128.0)</f>
        <v>46128</v>
      </c>
      <c r="C3373" s="2" t="str">
        <f>IFERROR(__xludf.DUMMYFUNCTION("""COMPUTED_VALUE"""),"MOBILECARE - GLORIETTA 5")</f>
        <v>MOBILECARE - GLORIETTA 5</v>
      </c>
      <c r="D3373" s="2" t="str">
        <f>IFERROR(__xludf.DUMMYFUNCTION("""COMPUTED_VALUE"""),"661-17939")</f>
        <v>661-17939</v>
      </c>
      <c r="E3373" s="2" t="str">
        <f>IFERROR(__xludf.DUMMYFUNCTION("""COMPUTED_VALUE"""),"Battery, iPhone 12 mini")</f>
        <v>Battery, iPhone 12 mini</v>
      </c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</row>
    <row r="3374">
      <c r="A3374" s="10" t="str">
        <f t="shared" si="1"/>
        <v>March</v>
      </c>
      <c r="B3374" s="11">
        <f>IFERROR(__xludf.DUMMYFUNCTION("""COMPUTED_VALUE"""),46085.0)</f>
        <v>46085</v>
      </c>
      <c r="C3374" s="2" t="str">
        <f>IFERROR(__xludf.DUMMYFUNCTION("""COMPUTED_VALUE"""),"MOBILECARE - GLORIETTA 5")</f>
        <v>MOBILECARE - GLORIETTA 5</v>
      </c>
      <c r="D3374" s="2" t="str">
        <f>IFERROR(__xludf.DUMMYFUNCTION("""COMPUTED_VALUE"""),"661-22309")</f>
        <v>661-22309</v>
      </c>
      <c r="E3374" s="2" t="str">
        <f>IFERROR(__xludf.DUMMYFUNCTION("""COMPUTED_VALUE"""),"Display, iPhone 13 Pro Max")</f>
        <v>Display, iPhone 13 Pro Max</v>
      </c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</row>
    <row r="3375">
      <c r="A3375" s="10" t="str">
        <f t="shared" si="1"/>
        <v>February</v>
      </c>
      <c r="B3375" s="11">
        <f>IFERROR(__xludf.DUMMYFUNCTION("""COMPUTED_VALUE"""),46076.0)</f>
        <v>46076</v>
      </c>
      <c r="C3375" s="2" t="str">
        <f>IFERROR(__xludf.DUMMYFUNCTION("""COMPUTED_VALUE"""),"MOBILECARE - GLORIETTA 5")</f>
        <v>MOBILECARE - GLORIETTA 5</v>
      </c>
      <c r="D3375" s="2" t="str">
        <f>IFERROR(__xludf.DUMMYFUNCTION("""COMPUTED_VALUE"""),"661-21991")</f>
        <v>661-21991</v>
      </c>
      <c r="E3375" s="2" t="str">
        <f>IFERROR(__xludf.DUMMYFUNCTION("""COMPUTED_VALUE"""),"Battery, iPhone 13")</f>
        <v>Battery, iPhone 13</v>
      </c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</row>
    <row r="3376">
      <c r="A3376" s="10" t="str">
        <f t="shared" si="1"/>
        <v>February</v>
      </c>
      <c r="B3376" s="11">
        <f>IFERROR(__xludf.DUMMYFUNCTION("""COMPUTED_VALUE"""),46056.0)</f>
        <v>46056</v>
      </c>
      <c r="C3376" s="2" t="str">
        <f>IFERROR(__xludf.DUMMYFUNCTION("""COMPUTED_VALUE"""),"MOBILECARE - GLORIETTA 5")</f>
        <v>MOBILECARE - GLORIETTA 5</v>
      </c>
      <c r="D3376" s="2" t="str">
        <f>IFERROR(__xludf.DUMMYFUNCTION("""COMPUTED_VALUE"""),"661-22294")</f>
        <v>661-22294</v>
      </c>
      <c r="E3376" s="2" t="str">
        <f>IFERROR(__xludf.DUMMYFUNCTION("""COMPUTED_VALUE"""),"Battery, iPhone 13 Pro Max")</f>
        <v>Battery, iPhone 13 Pro Max</v>
      </c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</row>
    <row r="3377">
      <c r="A3377" s="10" t="str">
        <f t="shared" si="1"/>
        <v>January</v>
      </c>
      <c r="B3377" s="11">
        <f>IFERROR(__xludf.DUMMYFUNCTION("""COMPUTED_VALUE"""),46046.0)</f>
        <v>46046</v>
      </c>
      <c r="C3377" s="2" t="str">
        <f>IFERROR(__xludf.DUMMYFUNCTION("""COMPUTED_VALUE"""),"MOBILECARE - GLORIETTA 5")</f>
        <v>MOBILECARE - GLORIETTA 5</v>
      </c>
      <c r="D3377" s="2" t="str">
        <f>IFERROR(__xludf.DUMMYFUNCTION("""COMPUTED_VALUE"""),"661-22294")</f>
        <v>661-22294</v>
      </c>
      <c r="E3377" s="2" t="str">
        <f>IFERROR(__xludf.DUMMYFUNCTION("""COMPUTED_VALUE"""),"Battery, iPhone 13 Pro Max")</f>
        <v>Battery, iPhone 13 Pro Max</v>
      </c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</row>
    <row r="3378">
      <c r="A3378" s="10" t="str">
        <f t="shared" si="1"/>
        <v>January</v>
      </c>
      <c r="B3378" s="11">
        <f>IFERROR(__xludf.DUMMYFUNCTION("""COMPUTED_VALUE"""),46046.0)</f>
        <v>46046</v>
      </c>
      <c r="C3378" s="2" t="str">
        <f>IFERROR(__xludf.DUMMYFUNCTION("""COMPUTED_VALUE"""),"MOBILECARE - GLORIETTA 5")</f>
        <v>MOBILECARE - GLORIETTA 5</v>
      </c>
      <c r="D3378" s="2" t="str">
        <f>IFERROR(__xludf.DUMMYFUNCTION("""COMPUTED_VALUE"""),"661-44955")</f>
        <v>661-44955</v>
      </c>
      <c r="E3378" s="2" t="str">
        <f>IFERROR(__xludf.DUMMYFUNCTION("""COMPUTED_VALUE"""),"Display, iPhone 16 Pro Max")</f>
        <v>Display, iPhone 16 Pro Max</v>
      </c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</row>
    <row r="3379">
      <c r="A3379" s="10" t="str">
        <f t="shared" si="1"/>
        <v>January</v>
      </c>
      <c r="B3379" s="11">
        <f>IFERROR(__xludf.DUMMYFUNCTION("""COMPUTED_VALUE"""),46038.0)</f>
        <v>46038</v>
      </c>
      <c r="C3379" s="2" t="str">
        <f>IFERROR(__xludf.DUMMYFUNCTION("""COMPUTED_VALUE"""),"MOBILECARE - GLORIETTA 5")</f>
        <v>MOBILECARE - GLORIETTA 5</v>
      </c>
      <c r="D3379" s="2" t="str">
        <f>IFERROR(__xludf.DUMMYFUNCTION("""COMPUTED_VALUE"""),"661-22374")</f>
        <v>661-22374</v>
      </c>
      <c r="E3379" s="2" t="str">
        <f>IFERROR(__xludf.DUMMYFUNCTION("""COMPUTED_VALUE"""),"Battery, iPhone 13 mini")</f>
        <v>Battery, iPhone 13 mini</v>
      </c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</row>
    <row r="3380">
      <c r="A3380" s="10" t="str">
        <f t="shared" si="1"/>
        <v>June</v>
      </c>
      <c r="B3380" s="11">
        <f>IFERROR(__xludf.DUMMYFUNCTION("""COMPUTED_VALUE"""),46189.0)</f>
        <v>46189</v>
      </c>
      <c r="C3380" s="2" t="str">
        <f>IFERROR(__xludf.DUMMYFUNCTION("""COMPUTED_VALUE"""),"MOBILECARE - GLORIETTA 5")</f>
        <v>MOBILECARE - GLORIETTA 5</v>
      </c>
      <c r="D3380" s="2" t="str">
        <f>IFERROR(__xludf.DUMMYFUNCTION("""COMPUTED_VALUE"""),"661-30382")</f>
        <v>661-30382</v>
      </c>
      <c r="E3380" s="2" t="str">
        <f>IFERROR(__xludf.DUMMYFUNCTION("""COMPUTED_VALUE"""),"Battery, iPhone 14 Pro")</f>
        <v>Battery, iPhone 14 Pro</v>
      </c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</row>
    <row r="3381">
      <c r="A3381" s="10" t="str">
        <f t="shared" si="1"/>
        <v>June</v>
      </c>
      <c r="B3381" s="11">
        <f>IFERROR(__xludf.DUMMYFUNCTION("""COMPUTED_VALUE"""),46180.0)</f>
        <v>46180</v>
      </c>
      <c r="C3381" s="2" t="str">
        <f>IFERROR(__xludf.DUMMYFUNCTION("""COMPUTED_VALUE"""),"MOBILECARE - GLORIETTA 5")</f>
        <v>MOBILECARE - GLORIETTA 5</v>
      </c>
      <c r="D3381" s="2" t="str">
        <f>IFERROR(__xludf.DUMMYFUNCTION("""COMPUTED_VALUE"""),"661-44954")</f>
        <v>661-44954</v>
      </c>
      <c r="E3381" s="2" t="str">
        <f>IFERROR(__xludf.DUMMYFUNCTION("""COMPUTED_VALUE"""),"Battery, iPhone 16 Pro Max")</f>
        <v>Battery, iPhone 16 Pro Max</v>
      </c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</row>
    <row r="3382">
      <c r="A3382" s="10" t="str">
        <f t="shared" si="1"/>
        <v>March</v>
      </c>
      <c r="B3382" s="11">
        <f>IFERROR(__xludf.DUMMYFUNCTION("""COMPUTED_VALUE"""),46099.0)</f>
        <v>46099</v>
      </c>
      <c r="C3382" s="2" t="str">
        <f>IFERROR(__xludf.DUMMYFUNCTION("""COMPUTED_VALUE"""),"MOBILECARE - GLORIETTA 5")</f>
        <v>MOBILECARE - GLORIETTA 5</v>
      </c>
      <c r="D3382" s="2" t="str">
        <f>IFERROR(__xludf.DUMMYFUNCTION("""COMPUTED_VALUE"""),"661-17939")</f>
        <v>661-17939</v>
      </c>
      <c r="E3382" s="2" t="str">
        <f>IFERROR(__xludf.DUMMYFUNCTION("""COMPUTED_VALUE"""),"Battery, iPhone 12 mini")</f>
        <v>Battery, iPhone 12 mini</v>
      </c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</row>
    <row r="3383">
      <c r="A3383" s="10" t="str">
        <f t="shared" si="1"/>
        <v>March</v>
      </c>
      <c r="B3383" s="11">
        <f>IFERROR(__xludf.DUMMYFUNCTION("""COMPUTED_VALUE"""),46105.0)</f>
        <v>46105</v>
      </c>
      <c r="C3383" s="2" t="str">
        <f>IFERROR(__xludf.DUMMYFUNCTION("""COMPUTED_VALUE"""),"MOBILECARE - GLORIETTA 5")</f>
        <v>MOBILECARE - GLORIETTA 5</v>
      </c>
      <c r="D3383" s="2" t="str">
        <f>IFERROR(__xludf.DUMMYFUNCTION("""COMPUTED_VALUE"""),"661-56125")</f>
        <v>661-56125</v>
      </c>
      <c r="E3383" s="2" t="str">
        <f>IFERROR(__xludf.DUMMYFUNCTION("""COMPUTED_VALUE"""),"Display, iPhone 17 Pro")</f>
        <v>Display, iPhone 17 Pro</v>
      </c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</row>
    <row r="3384">
      <c r="A3384" s="10" t="str">
        <f t="shared" si="1"/>
        <v>March</v>
      </c>
      <c r="B3384" s="11">
        <f>IFERROR(__xludf.DUMMYFUNCTION("""COMPUTED_VALUE"""),46099.0)</f>
        <v>46099</v>
      </c>
      <c r="C3384" s="2" t="str">
        <f>IFERROR(__xludf.DUMMYFUNCTION("""COMPUTED_VALUE"""),"MOBILECARE - GLORIETTA 5")</f>
        <v>MOBILECARE - GLORIETTA 5</v>
      </c>
      <c r="D3384" s="2" t="str">
        <f>IFERROR(__xludf.DUMMYFUNCTION("""COMPUTED_VALUE"""),"661-56050")</f>
        <v>661-56050</v>
      </c>
      <c r="E3384" s="2" t="str">
        <f>IFERROR(__xludf.DUMMYFUNCTION("""COMPUTED_VALUE"""),"Display, iPhone 17 Pro Max")</f>
        <v>Display, iPhone 17 Pro Max</v>
      </c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</row>
    <row r="3385">
      <c r="A3385" s="10" t="str">
        <f t="shared" si="1"/>
        <v>March</v>
      </c>
      <c r="B3385" s="11">
        <f>IFERROR(__xludf.DUMMYFUNCTION("""COMPUTED_VALUE"""),46083.0)</f>
        <v>46083</v>
      </c>
      <c r="C3385" s="2" t="str">
        <f>IFERROR(__xludf.DUMMYFUNCTION("""COMPUTED_VALUE"""),"MOBILECARE - GLORIETTA 5")</f>
        <v>MOBILECARE - GLORIETTA 5</v>
      </c>
      <c r="D3385" s="2" t="str">
        <f>IFERROR(__xludf.DUMMYFUNCTION("""COMPUTED_VALUE"""),"661-22294")</f>
        <v>661-22294</v>
      </c>
      <c r="E3385" s="2" t="str">
        <f>IFERROR(__xludf.DUMMYFUNCTION("""COMPUTED_VALUE"""),"Battery, iPhone 13 Pro Max")</f>
        <v>Battery, iPhone 13 Pro Max</v>
      </c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</row>
    <row r="3386">
      <c r="A3386" s="10" t="str">
        <f t="shared" si="1"/>
        <v>February</v>
      </c>
      <c r="B3386" s="11">
        <f>IFERROR(__xludf.DUMMYFUNCTION("""COMPUTED_VALUE"""),46081.0)</f>
        <v>46081</v>
      </c>
      <c r="C3386" s="2" t="str">
        <f>IFERROR(__xludf.DUMMYFUNCTION("""COMPUTED_VALUE"""),"MOBILECARE - GLORIETTA 5")</f>
        <v>MOBILECARE - GLORIETTA 5</v>
      </c>
      <c r="D3386" s="2" t="str">
        <f>IFERROR(__xludf.DUMMYFUNCTION("""COMPUTED_VALUE"""),"661-17920")</f>
        <v>661-17920</v>
      </c>
      <c r="E3386" s="2" t="str">
        <f>IFERROR(__xludf.DUMMYFUNCTION("""COMPUTED_VALUE"""),"Battery, iPhone 12 and 12 Pro")</f>
        <v>Battery, iPhone 12 and 12 Pro</v>
      </c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</row>
    <row r="3387">
      <c r="A3387" s="10" t="str">
        <f t="shared" si="1"/>
        <v>February</v>
      </c>
      <c r="B3387" s="11">
        <f>IFERROR(__xludf.DUMMYFUNCTION("""COMPUTED_VALUE"""),46073.0)</f>
        <v>46073</v>
      </c>
      <c r="C3387" s="2" t="str">
        <f>IFERROR(__xludf.DUMMYFUNCTION("""COMPUTED_VALUE"""),"MOBILECARE - GLORIETTA 5")</f>
        <v>MOBILECARE - GLORIETTA 5</v>
      </c>
      <c r="D3387" s="2" t="str">
        <f>IFERROR(__xludf.DUMMYFUNCTION("""COMPUTED_VALUE"""),"661-35694")</f>
        <v>661-35694</v>
      </c>
      <c r="E3387" s="2" t="str">
        <f>IFERROR(__xludf.DUMMYFUNCTION("""COMPUTED_VALUE"""),"Battery, iPhone 15 Pro")</f>
        <v>Battery, iPhone 15 Pro</v>
      </c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</row>
    <row r="3388">
      <c r="A3388" s="10" t="str">
        <f t="shared" si="1"/>
        <v>February</v>
      </c>
      <c r="B3388" s="11">
        <f>IFERROR(__xludf.DUMMYFUNCTION("""COMPUTED_VALUE"""),46062.0)</f>
        <v>46062</v>
      </c>
      <c r="C3388" s="2" t="str">
        <f>IFERROR(__xludf.DUMMYFUNCTION("""COMPUTED_VALUE"""),"MOBILECARE - GLORIETTA 5")</f>
        <v>MOBILECARE - GLORIETTA 5</v>
      </c>
      <c r="D3388" s="2" t="str">
        <f>IFERROR(__xludf.DUMMYFUNCTION("""COMPUTED_VALUE"""),"661-36918")</f>
        <v>661-36918</v>
      </c>
      <c r="E3388" s="2" t="str">
        <f>IFERROR(__xludf.DUMMYFUNCTION("""COMPUTED_VALUE"""),"Battery, iPhone 15 Pro Max")</f>
        <v>Battery, iPhone 15 Pro Max</v>
      </c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</row>
    <row r="3389">
      <c r="A3389" s="10" t="str">
        <f t="shared" si="1"/>
        <v>June</v>
      </c>
      <c r="B3389" s="11">
        <f>IFERROR(__xludf.DUMMYFUNCTION("""COMPUTED_VALUE"""),46189.0)</f>
        <v>46189</v>
      </c>
      <c r="C3389" s="2" t="str">
        <f>IFERROR(__xludf.DUMMYFUNCTION("""COMPUTED_VALUE"""),"MOBILECARE - GLORIETTA 5")</f>
        <v>MOBILECARE - GLORIETTA 5</v>
      </c>
      <c r="D3389" s="2" t="str">
        <f>IFERROR(__xludf.DUMMYFUNCTION("""COMPUTED_VALUE"""),"661-56050")</f>
        <v>661-56050</v>
      </c>
      <c r="E3389" s="2" t="str">
        <f>IFERROR(__xludf.DUMMYFUNCTION("""COMPUTED_VALUE"""),"Display, iPhone 17 Pro Max")</f>
        <v>Display, iPhone 17 Pro Max</v>
      </c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</row>
    <row r="3390">
      <c r="A3390" s="10" t="str">
        <f t="shared" si="1"/>
        <v>June</v>
      </c>
      <c r="B3390" s="11">
        <f>IFERROR(__xludf.DUMMYFUNCTION("""COMPUTED_VALUE"""),46189.0)</f>
        <v>46189</v>
      </c>
      <c r="C3390" s="2" t="str">
        <f>IFERROR(__xludf.DUMMYFUNCTION("""COMPUTED_VALUE"""),"MOBILECARE - GLORIETTA 5")</f>
        <v>MOBILECARE - GLORIETTA 5</v>
      </c>
      <c r="D3390" s="2" t="str">
        <f>IFERROR(__xludf.DUMMYFUNCTION("""COMPUTED_VALUE"""),"ZP923-13785")</f>
        <v>ZP923-13785</v>
      </c>
      <c r="E3390" s="2" t="str">
        <f>IFERROR(__xludf.DUMMYFUNCTION("""COMPUTED_VALUE"""),"Silver, Enclosure, iPhone 17 Pro Max, ROW")</f>
        <v>Silver, Enclosure, iPhone 17 Pro Max, ROW</v>
      </c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</row>
    <row r="3391">
      <c r="A3391" s="10" t="str">
        <f t="shared" si="1"/>
        <v>June</v>
      </c>
      <c r="B3391" s="11">
        <f>IFERROR(__xludf.DUMMYFUNCTION("""COMPUTED_VALUE"""),46178.0)</f>
        <v>46178</v>
      </c>
      <c r="C3391" s="2" t="str">
        <f>IFERROR(__xludf.DUMMYFUNCTION("""COMPUTED_VALUE"""),"MOBILECARE - GLORIETTA 5")</f>
        <v>MOBILECARE - GLORIETTA 5</v>
      </c>
      <c r="D3391" s="2" t="str">
        <f>IFERROR(__xludf.DUMMYFUNCTION("""COMPUTED_VALUE"""),"661-21991")</f>
        <v>661-21991</v>
      </c>
      <c r="E3391" s="2" t="str">
        <f>IFERROR(__xludf.DUMMYFUNCTION("""COMPUTED_VALUE"""),"Battery, iPhone 13")</f>
        <v>Battery, iPhone 13</v>
      </c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</row>
    <row r="3392">
      <c r="A3392" s="10" t="str">
        <f t="shared" si="1"/>
        <v>May</v>
      </c>
      <c r="B3392" s="11">
        <f>IFERROR(__xludf.DUMMYFUNCTION("""COMPUTED_VALUE"""),46158.0)</f>
        <v>46158</v>
      </c>
      <c r="C3392" s="2" t="str">
        <f>IFERROR(__xludf.DUMMYFUNCTION("""COMPUTED_VALUE"""),"MOBILECARE - GLORIETTA 5")</f>
        <v>MOBILECARE - GLORIETTA 5</v>
      </c>
      <c r="D3392" s="2" t="str">
        <f>IFERROR(__xludf.DUMMYFUNCTION("""COMPUTED_VALUE"""),"661-13574")</f>
        <v>661-13574</v>
      </c>
      <c r="E3392" s="2" t="str">
        <f>IFERROR(__xludf.DUMMYFUNCTION("""COMPUTED_VALUE"""),"Battery, iPhone 11")</f>
        <v>Battery, iPhone 11</v>
      </c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</row>
    <row r="3393">
      <c r="A3393" s="10" t="str">
        <f t="shared" si="1"/>
        <v>May</v>
      </c>
      <c r="B3393" s="11">
        <f>IFERROR(__xludf.DUMMYFUNCTION("""COMPUTED_VALUE"""),46158.0)</f>
        <v>46158</v>
      </c>
      <c r="C3393" s="2" t="str">
        <f>IFERROR(__xludf.DUMMYFUNCTION("""COMPUTED_VALUE"""),"MOBILECARE - GLORIETTA 5")</f>
        <v>MOBILECARE - GLORIETTA 5</v>
      </c>
      <c r="D3393" s="2" t="str">
        <f>IFERROR(__xludf.DUMMYFUNCTION("""COMPUTED_VALUE"""),"661-21991")</f>
        <v>661-21991</v>
      </c>
      <c r="E3393" s="2" t="str">
        <f>IFERROR(__xludf.DUMMYFUNCTION("""COMPUTED_VALUE"""),"Battery, iPhone 13")</f>
        <v>Battery, iPhone 13</v>
      </c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</row>
    <row r="3394">
      <c r="A3394" s="10" t="str">
        <f t="shared" si="1"/>
        <v>March</v>
      </c>
      <c r="B3394" s="11">
        <f>IFERROR(__xludf.DUMMYFUNCTION("""COMPUTED_VALUE"""),46108.0)</f>
        <v>46108</v>
      </c>
      <c r="C3394" s="2" t="str">
        <f>IFERROR(__xludf.DUMMYFUNCTION("""COMPUTED_VALUE"""),"MOBILECARE - GLORIETTA 5")</f>
        <v>MOBILECARE - GLORIETTA 5</v>
      </c>
      <c r="D3394" s="2" t="str">
        <f>IFERROR(__xludf.DUMMYFUNCTION("""COMPUTED_VALUE"""),"661-30373")</f>
        <v>661-30373</v>
      </c>
      <c r="E3394" s="2" t="str">
        <f>IFERROR(__xludf.DUMMYFUNCTION("""COMPUTED_VALUE"""),"Battery, iPhone 14")</f>
        <v>Battery, iPhone 14</v>
      </c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</row>
    <row r="3395">
      <c r="A3395" s="10" t="str">
        <f t="shared" si="1"/>
        <v>March</v>
      </c>
      <c r="B3395" s="11">
        <f>IFERROR(__xludf.DUMMYFUNCTION("""COMPUTED_VALUE"""),46103.0)</f>
        <v>46103</v>
      </c>
      <c r="C3395" s="2" t="str">
        <f>IFERROR(__xludf.DUMMYFUNCTION("""COMPUTED_VALUE"""),"MOBILECARE - GLORIETTA 5")</f>
        <v>MOBILECARE - GLORIETTA 5</v>
      </c>
      <c r="D3395" s="2" t="str">
        <f>IFERROR(__xludf.DUMMYFUNCTION("""COMPUTED_VALUE"""),"661-13574")</f>
        <v>661-13574</v>
      </c>
      <c r="E3395" s="2" t="str">
        <f>IFERROR(__xludf.DUMMYFUNCTION("""COMPUTED_VALUE"""),"Battery, iPhone 11")</f>
        <v>Battery, iPhone 11</v>
      </c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</row>
    <row r="3396">
      <c r="A3396" s="10" t="str">
        <f t="shared" si="1"/>
        <v>February</v>
      </c>
      <c r="B3396" s="11">
        <f>IFERROR(__xludf.DUMMYFUNCTION("""COMPUTED_VALUE"""),46071.0)</f>
        <v>46071</v>
      </c>
      <c r="C3396" s="2" t="str">
        <f>IFERROR(__xludf.DUMMYFUNCTION("""COMPUTED_VALUE"""),"MOBILECARE - GLORIETTA 5")</f>
        <v>MOBILECARE - GLORIETTA 5</v>
      </c>
      <c r="D3396" s="2" t="str">
        <f>IFERROR(__xludf.DUMMYFUNCTION("""COMPUTED_VALUE"""),"661-13624")</f>
        <v>661-13624</v>
      </c>
      <c r="E3396" s="2" t="str">
        <f>IFERROR(__xludf.DUMMYFUNCTION("""COMPUTED_VALUE"""),"Battery, iPhone 11 Pro Max")</f>
        <v>Battery, iPhone 11 Pro Max</v>
      </c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</row>
    <row r="3397">
      <c r="A3397" s="10" t="str">
        <f t="shared" si="1"/>
        <v>June</v>
      </c>
      <c r="B3397" s="11">
        <f>IFERROR(__xludf.DUMMYFUNCTION("""COMPUTED_VALUE"""),46190.0)</f>
        <v>46190</v>
      </c>
      <c r="C3397" s="2" t="str">
        <f>IFERROR(__xludf.DUMMYFUNCTION("""COMPUTED_VALUE"""),"MOBILECARE - GLORIETTA 5")</f>
        <v>MOBILECARE - GLORIETTA 5</v>
      </c>
      <c r="D3397" s="2" t="str">
        <f>IFERROR(__xludf.DUMMYFUNCTION("""COMPUTED_VALUE"""),"661-35694")</f>
        <v>661-35694</v>
      </c>
      <c r="E3397" s="2" t="str">
        <f>IFERROR(__xludf.DUMMYFUNCTION("""COMPUTED_VALUE"""),"Battery, iPhone 15 Pro")</f>
        <v>Battery, iPhone 15 Pro</v>
      </c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</row>
    <row r="3398">
      <c r="A3398" s="10" t="str">
        <f t="shared" si="1"/>
        <v>May</v>
      </c>
      <c r="B3398" s="11">
        <f>IFERROR(__xludf.DUMMYFUNCTION("""COMPUTED_VALUE"""),46169.0)</f>
        <v>46169</v>
      </c>
      <c r="C3398" s="2" t="str">
        <f>IFERROR(__xludf.DUMMYFUNCTION("""COMPUTED_VALUE"""),"MOBILECARE - GLORIETTA 5")</f>
        <v>MOBILECARE - GLORIETTA 5</v>
      </c>
      <c r="D3398" s="2" t="str">
        <f>IFERROR(__xludf.DUMMYFUNCTION("""COMPUTED_VALUE"""),"661-42726")</f>
        <v>661-42726</v>
      </c>
      <c r="E3398" s="2" t="str">
        <f>IFERROR(__xludf.DUMMYFUNCTION("""COMPUTED_VALUE"""),"Display, iPhone 16 Pro")</f>
        <v>Display, iPhone 16 Pro</v>
      </c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</row>
    <row r="3399">
      <c r="A3399" s="10" t="str">
        <f t="shared" si="1"/>
        <v>May</v>
      </c>
      <c r="B3399" s="11">
        <f>IFERROR(__xludf.DUMMYFUNCTION("""COMPUTED_VALUE"""),46150.0)</f>
        <v>46150</v>
      </c>
      <c r="C3399" s="2" t="str">
        <f>IFERROR(__xludf.DUMMYFUNCTION("""COMPUTED_VALUE"""),"MOBILECARE - GLORIETTA 5")</f>
        <v>MOBILECARE - GLORIETTA 5</v>
      </c>
      <c r="D3399" s="2" t="str">
        <f>IFERROR(__xludf.DUMMYFUNCTION("""COMPUTED_VALUE"""),"661-21991")</f>
        <v>661-21991</v>
      </c>
      <c r="E3399" s="2" t="str">
        <f>IFERROR(__xludf.DUMMYFUNCTION("""COMPUTED_VALUE"""),"Battery, iPhone 13")</f>
        <v>Battery, iPhone 13</v>
      </c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</row>
    <row r="3400">
      <c r="A3400" s="10" t="str">
        <f t="shared" si="1"/>
        <v>May</v>
      </c>
      <c r="B3400" s="11">
        <f>IFERROR(__xludf.DUMMYFUNCTION("""COMPUTED_VALUE"""),46154.0)</f>
        <v>46154</v>
      </c>
      <c r="C3400" s="2" t="str">
        <f>IFERROR(__xludf.DUMMYFUNCTION("""COMPUTED_VALUE"""),"MOBILECARE - GLORIETTA 5")</f>
        <v>MOBILECARE - GLORIETTA 5</v>
      </c>
      <c r="D3400" s="2" t="str">
        <f>IFERROR(__xludf.DUMMYFUNCTION("""COMPUTED_VALUE"""),"661-30382")</f>
        <v>661-30382</v>
      </c>
      <c r="E3400" s="2" t="str">
        <f>IFERROR(__xludf.DUMMYFUNCTION("""COMPUTED_VALUE"""),"Battery, iPhone 14 Pro")</f>
        <v>Battery, iPhone 14 Pro</v>
      </c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</row>
    <row r="3401">
      <c r="A3401" s="10" t="str">
        <f t="shared" si="1"/>
        <v>April</v>
      </c>
      <c r="B3401" s="11">
        <f>IFERROR(__xludf.DUMMYFUNCTION("""COMPUTED_VALUE"""),46116.0)</f>
        <v>46116</v>
      </c>
      <c r="C3401" s="2" t="str">
        <f>IFERROR(__xludf.DUMMYFUNCTION("""COMPUTED_VALUE"""),"MOBILECARE - GLORIETTA 5")</f>
        <v>MOBILECARE - GLORIETTA 5</v>
      </c>
      <c r="D3401" s="2" t="str">
        <f>IFERROR(__xludf.DUMMYFUNCTION("""COMPUTED_VALUE"""),"661-30382")</f>
        <v>661-30382</v>
      </c>
      <c r="E3401" s="2" t="str">
        <f>IFERROR(__xludf.DUMMYFUNCTION("""COMPUTED_VALUE"""),"Battery, iPhone 14 Pro")</f>
        <v>Battery, iPhone 14 Pro</v>
      </c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</row>
    <row r="3402">
      <c r="A3402" s="10" t="str">
        <f t="shared" si="1"/>
        <v>March</v>
      </c>
      <c r="B3402" s="11">
        <f>IFERROR(__xludf.DUMMYFUNCTION("""COMPUTED_VALUE"""),46090.0)</f>
        <v>46090</v>
      </c>
      <c r="C3402" s="2" t="str">
        <f>IFERROR(__xludf.DUMMYFUNCTION("""COMPUTED_VALUE"""),"MOBILECARE - GLORIETTA 5")</f>
        <v>MOBILECARE - GLORIETTA 5</v>
      </c>
      <c r="D3402" s="2" t="str">
        <f>IFERROR(__xludf.DUMMYFUNCTION("""COMPUTED_VALUE"""),"661-36915")</f>
        <v>661-36915</v>
      </c>
      <c r="E3402" s="2" t="str">
        <f>IFERROR(__xludf.DUMMYFUNCTION("""COMPUTED_VALUE"""),"Display, iPhone 15 Pro Max")</f>
        <v>Display, iPhone 15 Pro Max</v>
      </c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</row>
    <row r="3403">
      <c r="A3403" s="10" t="str">
        <f t="shared" si="1"/>
        <v>February</v>
      </c>
      <c r="B3403" s="11">
        <f>IFERROR(__xludf.DUMMYFUNCTION("""COMPUTED_VALUE"""),46067.0)</f>
        <v>46067</v>
      </c>
      <c r="C3403" s="2" t="str">
        <f>IFERROR(__xludf.DUMMYFUNCTION("""COMPUTED_VALUE"""),"MOBILECARE - GLORIETTA 5")</f>
        <v>MOBILECARE - GLORIETTA 5</v>
      </c>
      <c r="D3403" s="2" t="str">
        <f>IFERROR(__xludf.DUMMYFUNCTION("""COMPUTED_VALUE"""),"661-44955")</f>
        <v>661-44955</v>
      </c>
      <c r="E3403" s="2" t="str">
        <f>IFERROR(__xludf.DUMMYFUNCTION("""COMPUTED_VALUE"""),"Display, iPhone 16 Pro Max")</f>
        <v>Display, iPhone 16 Pro Max</v>
      </c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</row>
    <row r="3404">
      <c r="A3404" s="10" t="str">
        <f t="shared" si="1"/>
        <v>January</v>
      </c>
      <c r="B3404" s="11">
        <f>IFERROR(__xludf.DUMMYFUNCTION("""COMPUTED_VALUE"""),46047.0)</f>
        <v>46047</v>
      </c>
      <c r="C3404" s="2" t="str">
        <f>IFERROR(__xludf.DUMMYFUNCTION("""COMPUTED_VALUE"""),"MOBILECARE - GLORIETTA 5")</f>
        <v>MOBILECARE - GLORIETTA 5</v>
      </c>
      <c r="D3404" s="2" t="str">
        <f>IFERROR(__xludf.DUMMYFUNCTION("""COMPUTED_VALUE"""),"661-37213")</f>
        <v>661-37213</v>
      </c>
      <c r="E3404" s="2" t="str">
        <f>IFERROR(__xludf.DUMMYFUNCTION("""COMPUTED_VALUE"""),"Display, iPhone 15 Plus")</f>
        <v>Display, iPhone 15 Plus</v>
      </c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</row>
    <row r="3405">
      <c r="A3405" s="10" t="str">
        <f t="shared" si="1"/>
        <v>April</v>
      </c>
      <c r="B3405" s="11">
        <f>IFERROR(__xludf.DUMMYFUNCTION("""COMPUTED_VALUE"""),46121.0)</f>
        <v>46121</v>
      </c>
      <c r="C3405" s="2" t="str">
        <f>IFERROR(__xludf.DUMMYFUNCTION("""COMPUTED_VALUE"""),"MOBILECARE - GLORIETTA 5")</f>
        <v>MOBILECARE - GLORIETTA 5</v>
      </c>
      <c r="D3405" s="2" t="str">
        <f>IFERROR(__xludf.DUMMYFUNCTION("""COMPUTED_VALUE"""),"661-21991")</f>
        <v>661-21991</v>
      </c>
      <c r="E3405" s="2" t="str">
        <f>IFERROR(__xludf.DUMMYFUNCTION("""COMPUTED_VALUE"""),"Battery, iPhone 13")</f>
        <v>Battery, iPhone 13</v>
      </c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</row>
    <row r="3406">
      <c r="A3406" s="10" t="str">
        <f t="shared" si="1"/>
        <v>March</v>
      </c>
      <c r="B3406" s="11">
        <f>IFERROR(__xludf.DUMMYFUNCTION("""COMPUTED_VALUE"""),46108.0)</f>
        <v>46108</v>
      </c>
      <c r="C3406" s="2" t="str">
        <f>IFERROR(__xludf.DUMMYFUNCTION("""COMPUTED_VALUE"""),"MOBILECARE - GLORIETTA 5")</f>
        <v>MOBILECARE - GLORIETTA 5</v>
      </c>
      <c r="D3406" s="2" t="str">
        <f>IFERROR(__xludf.DUMMYFUNCTION("""COMPUTED_VALUE"""),"661-23878")</f>
        <v>661-23878</v>
      </c>
      <c r="E3406" s="2" t="str">
        <f>IFERROR(__xludf.DUMMYFUNCTION("""COMPUTED_VALUE"""),"TrueDepth Camera, iPhone 13")</f>
        <v>TrueDepth Camera, iPhone 13</v>
      </c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</row>
    <row r="3407">
      <c r="A3407" s="10" t="str">
        <f t="shared" si="1"/>
        <v>March</v>
      </c>
      <c r="B3407" s="11">
        <f>IFERROR(__xludf.DUMMYFUNCTION("""COMPUTED_VALUE"""),46110.0)</f>
        <v>46110</v>
      </c>
      <c r="C3407" s="2" t="str">
        <f>IFERROR(__xludf.DUMMYFUNCTION("""COMPUTED_VALUE"""),"MOBILECARE - GLORIETTA 5")</f>
        <v>MOBILECARE - GLORIETTA 5</v>
      </c>
      <c r="D3407" s="2" t="str">
        <f>IFERROR(__xludf.DUMMYFUNCTION("""COMPUTED_VALUE"""),"661-29369")</f>
        <v>661-29369</v>
      </c>
      <c r="E3407" s="2" t="str">
        <f>IFERROR(__xludf.DUMMYFUNCTION("""COMPUTED_VALUE"""),"Camera, iPhone 14 Pro")</f>
        <v>Camera, iPhone 14 Pro</v>
      </c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</row>
    <row r="3408">
      <c r="A3408" s="10" t="str">
        <f t="shared" si="1"/>
        <v>March</v>
      </c>
      <c r="B3408" s="11">
        <f>IFERROR(__xludf.DUMMYFUNCTION("""COMPUTED_VALUE"""),46110.0)</f>
        <v>46110</v>
      </c>
      <c r="C3408" s="2" t="str">
        <f>IFERROR(__xludf.DUMMYFUNCTION("""COMPUTED_VALUE"""),"MOBILECARE - GLORIETTA 5")</f>
        <v>MOBILECARE - GLORIETTA 5</v>
      </c>
      <c r="D3408" s="2" t="str">
        <f>IFERROR(__xludf.DUMMYFUNCTION("""COMPUTED_VALUE"""),"661-30382")</f>
        <v>661-30382</v>
      </c>
      <c r="E3408" s="2" t="str">
        <f>IFERROR(__xludf.DUMMYFUNCTION("""COMPUTED_VALUE"""),"Battery, iPhone 14 Pro")</f>
        <v>Battery, iPhone 14 Pro</v>
      </c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</row>
    <row r="3409">
      <c r="A3409" s="10" t="str">
        <f t="shared" si="1"/>
        <v>March</v>
      </c>
      <c r="B3409" s="11">
        <f>IFERROR(__xludf.DUMMYFUNCTION("""COMPUTED_VALUE"""),46083.0)</f>
        <v>46083</v>
      </c>
      <c r="C3409" s="2" t="str">
        <f>IFERROR(__xludf.DUMMYFUNCTION("""COMPUTED_VALUE"""),"MOBILECARE - GLORIETTA 5")</f>
        <v>MOBILECARE - GLORIETTA 5</v>
      </c>
      <c r="D3409" s="2" t="str">
        <f>IFERROR(__xludf.DUMMYFUNCTION("""COMPUTED_VALUE"""),"661-30397")</f>
        <v>661-30397</v>
      </c>
      <c r="E3409" s="2" t="str">
        <f>IFERROR(__xludf.DUMMYFUNCTION("""COMPUTED_VALUE"""),"Battery, iPhone 14 Pro Max")</f>
        <v>Battery, iPhone 14 Pro Max</v>
      </c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</row>
    <row r="3410">
      <c r="A3410" s="10" t="str">
        <f t="shared" si="1"/>
        <v>February</v>
      </c>
      <c r="B3410" s="11">
        <f>IFERROR(__xludf.DUMMYFUNCTION("""COMPUTED_VALUE"""),46079.0)</f>
        <v>46079</v>
      </c>
      <c r="C3410" s="2" t="str">
        <f>IFERROR(__xludf.DUMMYFUNCTION("""COMPUTED_VALUE"""),"MOBILECARE - GLORIETTA 5")</f>
        <v>MOBILECARE - GLORIETTA 5</v>
      </c>
      <c r="D3410" s="2" t="str">
        <f>IFERROR(__xludf.DUMMYFUNCTION("""COMPUTED_VALUE"""),"661-36706")</f>
        <v>661-36706</v>
      </c>
      <c r="E3410" s="2" t="str">
        <f>IFERROR(__xludf.DUMMYFUNCTION("""COMPUTED_VALUE"""),"Display, iPhone 15")</f>
        <v>Display, iPhone 15</v>
      </c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</row>
    <row r="3411">
      <c r="A3411" s="10" t="str">
        <f t="shared" si="1"/>
        <v>March</v>
      </c>
      <c r="B3411" s="11">
        <f>IFERROR(__xludf.DUMMYFUNCTION("""COMPUTED_VALUE"""),46088.0)</f>
        <v>46088</v>
      </c>
      <c r="C3411" s="2" t="str">
        <f>IFERROR(__xludf.DUMMYFUNCTION("""COMPUTED_VALUE"""),"MOBILECARE - GLORIETTA 5")</f>
        <v>MOBILECARE - GLORIETTA 5</v>
      </c>
      <c r="D3411" s="2" t="str">
        <f>IFERROR(__xludf.DUMMYFUNCTION("""COMPUTED_VALUE"""),"661-36706")</f>
        <v>661-36706</v>
      </c>
      <c r="E3411" s="2" t="str">
        <f>IFERROR(__xludf.DUMMYFUNCTION("""COMPUTED_VALUE"""),"Display, iPhone 15")</f>
        <v>Display, iPhone 15</v>
      </c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</row>
    <row r="3412">
      <c r="A3412" s="10" t="str">
        <f t="shared" si="1"/>
        <v>February</v>
      </c>
      <c r="B3412" s="11">
        <f>IFERROR(__xludf.DUMMYFUNCTION("""COMPUTED_VALUE"""),46064.0)</f>
        <v>46064</v>
      </c>
      <c r="C3412" s="2" t="str">
        <f>IFERROR(__xludf.DUMMYFUNCTION("""COMPUTED_VALUE"""),"MOBILECARE - GLORIETTA 5")</f>
        <v>MOBILECARE - GLORIETTA 5</v>
      </c>
      <c r="D3412" s="2" t="str">
        <f>IFERROR(__xludf.DUMMYFUNCTION("""COMPUTED_VALUE"""),"661-42726")</f>
        <v>661-42726</v>
      </c>
      <c r="E3412" s="2" t="str">
        <f>IFERROR(__xludf.DUMMYFUNCTION("""COMPUTED_VALUE"""),"Display, iPhone 16 Pro")</f>
        <v>Display, iPhone 16 Pro</v>
      </c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</row>
    <row r="3413">
      <c r="A3413" s="10" t="str">
        <f t="shared" si="1"/>
        <v>January</v>
      </c>
      <c r="B3413" s="11">
        <f>IFERROR(__xludf.DUMMYFUNCTION("""COMPUTED_VALUE"""),46046.0)</f>
        <v>46046</v>
      </c>
      <c r="C3413" s="2" t="str">
        <f>IFERROR(__xludf.DUMMYFUNCTION("""COMPUTED_VALUE"""),"MOBILECARE - GLORIETTA 5")</f>
        <v>MOBILECARE - GLORIETTA 5</v>
      </c>
      <c r="D3413" s="2" t="str">
        <f>IFERROR(__xludf.DUMMYFUNCTION("""COMPUTED_VALUE"""),"661-21996")</f>
        <v>661-21996</v>
      </c>
      <c r="E3413" s="2" t="str">
        <f>IFERROR(__xludf.DUMMYFUNCTION("""COMPUTED_VALUE"""),"Battery, iPhone 13 Pro")</f>
        <v>Battery, iPhone 13 Pro</v>
      </c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</row>
    <row r="3414">
      <c r="A3414" s="10" t="str">
        <f t="shared" si="1"/>
        <v>June</v>
      </c>
      <c r="B3414" s="11">
        <f>IFERROR(__xludf.DUMMYFUNCTION("""COMPUTED_VALUE"""),46188.0)</f>
        <v>46188</v>
      </c>
      <c r="C3414" s="2" t="str">
        <f>IFERROR(__xludf.DUMMYFUNCTION("""COMPUTED_VALUE"""),"MOBILECARE - GLORIETTA 5")</f>
        <v>MOBILECARE - GLORIETTA 5</v>
      </c>
      <c r="D3414" s="2" t="str">
        <f>IFERROR(__xludf.DUMMYFUNCTION("""COMPUTED_VALUE"""),"661-21991")</f>
        <v>661-21991</v>
      </c>
      <c r="E3414" s="2" t="str">
        <f>IFERROR(__xludf.DUMMYFUNCTION("""COMPUTED_VALUE"""),"Battery, iPhone 13")</f>
        <v>Battery, iPhone 13</v>
      </c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</row>
    <row r="3415">
      <c r="A3415" s="10" t="str">
        <f t="shared" si="1"/>
        <v>May</v>
      </c>
      <c r="B3415" s="11">
        <f>IFERROR(__xludf.DUMMYFUNCTION("""COMPUTED_VALUE"""),46153.0)</f>
        <v>46153</v>
      </c>
      <c r="C3415" s="2" t="str">
        <f>IFERROR(__xludf.DUMMYFUNCTION("""COMPUTED_VALUE"""),"MOBILECARE - GLORIETTA 5")</f>
        <v>MOBILECARE - GLORIETTA 5</v>
      </c>
      <c r="D3415" s="2" t="str">
        <f>IFERROR(__xludf.DUMMYFUNCTION("""COMPUTED_VALUE"""),"661-37207")</f>
        <v>661-37207</v>
      </c>
      <c r="E3415" s="2" t="str">
        <f>IFERROR(__xludf.DUMMYFUNCTION("""COMPUTED_VALUE"""),"Battery, iPhone 15 Plus")</f>
        <v>Battery, iPhone 15 Plus</v>
      </c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</row>
    <row r="3416">
      <c r="A3416" s="10" t="str">
        <f t="shared" si="1"/>
        <v>April</v>
      </c>
      <c r="B3416" s="11">
        <f>IFERROR(__xludf.DUMMYFUNCTION("""COMPUTED_VALUE"""),46140.0)</f>
        <v>46140</v>
      </c>
      <c r="C3416" s="2" t="str">
        <f>IFERROR(__xludf.DUMMYFUNCTION("""COMPUTED_VALUE"""),"MOBILECARE - GLORIETTA 5")</f>
        <v>MOBILECARE - GLORIETTA 5</v>
      </c>
      <c r="D3416" s="2" t="str">
        <f>IFERROR(__xludf.DUMMYFUNCTION("""COMPUTED_VALUE"""),"661-35694")</f>
        <v>661-35694</v>
      </c>
      <c r="E3416" s="2" t="str">
        <f>IFERROR(__xludf.DUMMYFUNCTION("""COMPUTED_VALUE"""),"Battery, iPhone 15 Pro")</f>
        <v>Battery, iPhone 15 Pro</v>
      </c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</row>
    <row r="3417">
      <c r="A3417" s="10" t="str">
        <f t="shared" si="1"/>
        <v>April</v>
      </c>
      <c r="B3417" s="11">
        <f>IFERROR(__xludf.DUMMYFUNCTION("""COMPUTED_VALUE"""),46132.0)</f>
        <v>46132</v>
      </c>
      <c r="C3417" s="2" t="str">
        <f>IFERROR(__xludf.DUMMYFUNCTION("""COMPUTED_VALUE"""),"MOBILECARE - GLORIETTA 5")</f>
        <v>MOBILECARE - GLORIETTA 5</v>
      </c>
      <c r="D3417" s="2" t="str">
        <f>IFERROR(__xludf.DUMMYFUNCTION("""COMPUTED_VALUE"""),"661-21996")</f>
        <v>661-21996</v>
      </c>
      <c r="E3417" s="2" t="str">
        <f>IFERROR(__xludf.DUMMYFUNCTION("""COMPUTED_VALUE"""),"Battery, iPhone 13 Pro")</f>
        <v>Battery, iPhone 13 Pro</v>
      </c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</row>
    <row r="3418">
      <c r="A3418" s="10" t="str">
        <f t="shared" si="1"/>
        <v>April</v>
      </c>
      <c r="B3418" s="11">
        <f>IFERROR(__xludf.DUMMYFUNCTION("""COMPUTED_VALUE"""),46135.0)</f>
        <v>46135</v>
      </c>
      <c r="C3418" s="2" t="str">
        <f>IFERROR(__xludf.DUMMYFUNCTION("""COMPUTED_VALUE"""),"MOBILECARE - GLORIETTA 5")</f>
        <v>MOBILECARE - GLORIETTA 5</v>
      </c>
      <c r="D3418" s="2" t="str">
        <f>IFERROR(__xludf.DUMMYFUNCTION("""COMPUTED_VALUE"""),"661-56121")</f>
        <v>661-56121</v>
      </c>
      <c r="E3418" s="2" t="str">
        <f>IFERROR(__xludf.DUMMYFUNCTION("""COMPUTED_VALUE"""),"Battery, pSIM, iPhone 17 Pro")</f>
        <v>Battery, pSIM, iPhone 17 Pro</v>
      </c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</row>
    <row r="3419">
      <c r="A3419" s="10" t="str">
        <f t="shared" si="1"/>
        <v>April</v>
      </c>
      <c r="B3419" s="11">
        <f>IFERROR(__xludf.DUMMYFUNCTION("""COMPUTED_VALUE"""),46135.0)</f>
        <v>46135</v>
      </c>
      <c r="C3419" s="2" t="str">
        <f>IFERROR(__xludf.DUMMYFUNCTION("""COMPUTED_VALUE"""),"MOBILECARE - GLORIETTA 5")</f>
        <v>MOBILECARE - GLORIETTA 5</v>
      </c>
      <c r="D3419" s="2" t="str">
        <f>IFERROR(__xludf.DUMMYFUNCTION("""COMPUTED_VALUE"""),"661-56122")</f>
        <v>661-56122</v>
      </c>
      <c r="E3419" s="2" t="str">
        <f>IFERROR(__xludf.DUMMYFUNCTION("""COMPUTED_VALUE"""),"Silver, Back Glass, iPhone 17 Pro")</f>
        <v>Silver, Back Glass, iPhone 17 Pro</v>
      </c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</row>
    <row r="3420">
      <c r="A3420" s="10" t="str">
        <f t="shared" si="1"/>
        <v>April</v>
      </c>
      <c r="B3420" s="11">
        <f>IFERROR(__xludf.DUMMYFUNCTION("""COMPUTED_VALUE"""),46123.0)</f>
        <v>46123</v>
      </c>
      <c r="C3420" s="2" t="str">
        <f>IFERROR(__xludf.DUMMYFUNCTION("""COMPUTED_VALUE"""),"MOBILECARE - GLORIETTA 5")</f>
        <v>MOBILECARE - GLORIETTA 5</v>
      </c>
      <c r="D3420" s="2" t="str">
        <f>IFERROR(__xludf.DUMMYFUNCTION("""COMPUTED_VALUE"""),"661-22309")</f>
        <v>661-22309</v>
      </c>
      <c r="E3420" s="2" t="str">
        <f>IFERROR(__xludf.DUMMYFUNCTION("""COMPUTED_VALUE"""),"Display, iPhone 13 Pro Max")</f>
        <v>Display, iPhone 13 Pro Max</v>
      </c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</row>
    <row r="3421">
      <c r="A3421" s="10" t="str">
        <f t="shared" si="1"/>
        <v>March</v>
      </c>
      <c r="B3421" s="11">
        <f>IFERROR(__xludf.DUMMYFUNCTION("""COMPUTED_VALUE"""),46092.0)</f>
        <v>46092</v>
      </c>
      <c r="C3421" s="2" t="str">
        <f>IFERROR(__xludf.DUMMYFUNCTION("""COMPUTED_VALUE"""),"MOBILECARE - GLORIETTA 5")</f>
        <v>MOBILECARE - GLORIETTA 5</v>
      </c>
      <c r="D3421" s="2" t="str">
        <f>IFERROR(__xludf.DUMMYFUNCTION("""COMPUTED_VALUE"""),"661-30397")</f>
        <v>661-30397</v>
      </c>
      <c r="E3421" s="2" t="str">
        <f>IFERROR(__xludf.DUMMYFUNCTION("""COMPUTED_VALUE"""),"Battery, iPhone 14 Pro Max")</f>
        <v>Battery, iPhone 14 Pro Max</v>
      </c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</row>
    <row r="3422">
      <c r="A3422" s="10" t="str">
        <f t="shared" si="1"/>
        <v>February</v>
      </c>
      <c r="B3422" s="11">
        <f>IFERROR(__xludf.DUMMYFUNCTION("""COMPUTED_VALUE"""),46061.0)</f>
        <v>46061</v>
      </c>
      <c r="C3422" s="2" t="str">
        <f>IFERROR(__xludf.DUMMYFUNCTION("""COMPUTED_VALUE"""),"MOBILECARE - GLORIETTA 5")</f>
        <v>MOBILECARE - GLORIETTA 5</v>
      </c>
      <c r="D3422" s="2" t="str">
        <f>IFERROR(__xludf.DUMMYFUNCTION("""COMPUTED_VALUE"""),"661-21996")</f>
        <v>661-21996</v>
      </c>
      <c r="E3422" s="2" t="str">
        <f>IFERROR(__xludf.DUMMYFUNCTION("""COMPUTED_VALUE"""),"Battery, iPhone 13 Pro")</f>
        <v>Battery, iPhone 13 Pro</v>
      </c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</row>
    <row r="3423">
      <c r="A3423" s="10" t="str">
        <f t="shared" si="1"/>
        <v>January</v>
      </c>
      <c r="B3423" s="11">
        <f>IFERROR(__xludf.DUMMYFUNCTION("""COMPUTED_VALUE"""),46050.0)</f>
        <v>46050</v>
      </c>
      <c r="C3423" s="2" t="str">
        <f>IFERROR(__xludf.DUMMYFUNCTION("""COMPUTED_VALUE"""),"MOBILECARE - GLORIETTA 5")</f>
        <v>MOBILECARE - GLORIETTA 5</v>
      </c>
      <c r="D3423" s="2" t="str">
        <f>IFERROR(__xludf.DUMMYFUNCTION("""COMPUTED_VALUE"""),"661-30397")</f>
        <v>661-30397</v>
      </c>
      <c r="E3423" s="2" t="str">
        <f>IFERROR(__xludf.DUMMYFUNCTION("""COMPUTED_VALUE"""),"Battery, iPhone 14 Pro Max")</f>
        <v>Battery, iPhone 14 Pro Max</v>
      </c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</row>
    <row r="3424">
      <c r="A3424" s="10" t="str">
        <f t="shared" si="1"/>
        <v>January</v>
      </c>
      <c r="B3424" s="11">
        <f>IFERROR(__xludf.DUMMYFUNCTION("""COMPUTED_VALUE"""),46048.0)</f>
        <v>46048</v>
      </c>
      <c r="C3424" s="2" t="str">
        <f>IFERROR(__xludf.DUMMYFUNCTION("""COMPUTED_VALUE"""),"MOBILECARE - GLORIETTA 5")</f>
        <v>MOBILECARE - GLORIETTA 5</v>
      </c>
      <c r="D3424" s="2" t="str">
        <f>IFERROR(__xludf.DUMMYFUNCTION("""COMPUTED_VALUE"""),"661-56067")</f>
        <v>661-56067</v>
      </c>
      <c r="E3424" s="2" t="str">
        <f>IFERROR(__xludf.DUMMYFUNCTION("""COMPUTED_VALUE"""),"Camera, iPhone 17")</f>
        <v>Camera, iPhone 17</v>
      </c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</row>
    <row r="3425">
      <c r="A3425" s="10" t="str">
        <f t="shared" si="1"/>
        <v>May</v>
      </c>
      <c r="B3425" s="11">
        <f>IFERROR(__xludf.DUMMYFUNCTION("""COMPUTED_VALUE"""),46151.0)</f>
        <v>46151</v>
      </c>
      <c r="C3425" s="2" t="str">
        <f>IFERROR(__xludf.DUMMYFUNCTION("""COMPUTED_VALUE"""),"MOBILECARE - GLORIETTA 5")</f>
        <v>MOBILECARE - GLORIETTA 5</v>
      </c>
      <c r="D3425" s="2" t="str">
        <f>IFERROR(__xludf.DUMMYFUNCTION("""COMPUTED_VALUE"""),"661-30373")</f>
        <v>661-30373</v>
      </c>
      <c r="E3425" s="2" t="str">
        <f>IFERROR(__xludf.DUMMYFUNCTION("""COMPUTED_VALUE"""),"Battery, iPhone 14")</f>
        <v>Battery, iPhone 14</v>
      </c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</row>
    <row r="3426">
      <c r="A3426" s="10" t="str">
        <f t="shared" si="1"/>
        <v>May</v>
      </c>
      <c r="B3426" s="11">
        <f>IFERROR(__xludf.DUMMYFUNCTION("""COMPUTED_VALUE"""),46151.0)</f>
        <v>46151</v>
      </c>
      <c r="C3426" s="2" t="str">
        <f>IFERROR(__xludf.DUMMYFUNCTION("""COMPUTED_VALUE"""),"MOBILECARE - GLORIETTA 5")</f>
        <v>MOBILECARE - GLORIETTA 5</v>
      </c>
      <c r="D3426" s="2" t="str">
        <f>IFERROR(__xludf.DUMMYFUNCTION("""COMPUTED_VALUE"""),"661-30397")</f>
        <v>661-30397</v>
      </c>
      <c r="E3426" s="2" t="str">
        <f>IFERROR(__xludf.DUMMYFUNCTION("""COMPUTED_VALUE"""),"Battery, iPhone 14 Pro Max")</f>
        <v>Battery, iPhone 14 Pro Max</v>
      </c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</row>
    <row r="3427">
      <c r="A3427" s="10" t="str">
        <f t="shared" si="1"/>
        <v>May</v>
      </c>
      <c r="B3427" s="11">
        <f>IFERROR(__xludf.DUMMYFUNCTION("""COMPUTED_VALUE"""),46151.0)</f>
        <v>46151</v>
      </c>
      <c r="C3427" s="2" t="str">
        <f>IFERROR(__xludf.DUMMYFUNCTION("""COMPUTED_VALUE"""),"MOBILECARE - GLORIETTA 5")</f>
        <v>MOBILECARE - GLORIETTA 5</v>
      </c>
      <c r="D3427" s="2" t="str">
        <f>IFERROR(__xludf.DUMMYFUNCTION("""COMPUTED_VALUE"""),"661-30401")</f>
        <v>661-30401</v>
      </c>
      <c r="E3427" s="2" t="str">
        <f>IFERROR(__xludf.DUMMYFUNCTION("""COMPUTED_VALUE"""),"Display, iPhone 14 Pro Max")</f>
        <v>Display, iPhone 14 Pro Max</v>
      </c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</row>
    <row r="3428">
      <c r="A3428" s="10" t="str">
        <f t="shared" si="1"/>
        <v>May</v>
      </c>
      <c r="B3428" s="11">
        <f>IFERROR(__xludf.DUMMYFUNCTION("""COMPUTED_VALUE"""),46143.0)</f>
        <v>46143</v>
      </c>
      <c r="C3428" s="2" t="str">
        <f>IFERROR(__xludf.DUMMYFUNCTION("""COMPUTED_VALUE"""),"MOBILECARE - GLORIETTA 5")</f>
        <v>MOBILECARE - GLORIETTA 5</v>
      </c>
      <c r="D3428" s="2" t="str">
        <f>IFERROR(__xludf.DUMMYFUNCTION("""COMPUTED_VALUE"""),"661-22294")</f>
        <v>661-22294</v>
      </c>
      <c r="E3428" s="2" t="str">
        <f>IFERROR(__xludf.DUMMYFUNCTION("""COMPUTED_VALUE"""),"Battery, iPhone 13 Pro Max")</f>
        <v>Battery, iPhone 13 Pro Max</v>
      </c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</row>
    <row r="3429">
      <c r="A3429" s="10" t="str">
        <f t="shared" si="1"/>
        <v>April</v>
      </c>
      <c r="B3429" s="11">
        <f>IFERROR(__xludf.DUMMYFUNCTION("""COMPUTED_VALUE"""),46130.0)</f>
        <v>46130</v>
      </c>
      <c r="C3429" s="2" t="str">
        <f>IFERROR(__xludf.DUMMYFUNCTION("""COMPUTED_VALUE"""),"MOBILECARE - GLORIETTA 5")</f>
        <v>MOBILECARE - GLORIETTA 5</v>
      </c>
      <c r="D3429" s="2" t="str">
        <f>IFERROR(__xludf.DUMMYFUNCTION("""COMPUTED_VALUE"""),"661-22294")</f>
        <v>661-22294</v>
      </c>
      <c r="E3429" s="2" t="str">
        <f>IFERROR(__xludf.DUMMYFUNCTION("""COMPUTED_VALUE"""),"Battery, iPhone 13 Pro Max")</f>
        <v>Battery, iPhone 13 Pro Max</v>
      </c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</row>
    <row r="3430">
      <c r="A3430" s="10" t="str">
        <f t="shared" si="1"/>
        <v>March</v>
      </c>
      <c r="B3430" s="11">
        <f>IFERROR(__xludf.DUMMYFUNCTION("""COMPUTED_VALUE"""),46087.0)</f>
        <v>46087</v>
      </c>
      <c r="C3430" s="2" t="str">
        <f>IFERROR(__xludf.DUMMYFUNCTION("""COMPUTED_VALUE"""),"MOBILECARE - GLORIETTA 5")</f>
        <v>MOBILECARE - GLORIETTA 5</v>
      </c>
      <c r="D3430" s="2" t="str">
        <f>IFERROR(__xludf.DUMMYFUNCTION("""COMPUTED_VALUE"""),"661-21991")</f>
        <v>661-21991</v>
      </c>
      <c r="E3430" s="2" t="str">
        <f>IFERROR(__xludf.DUMMYFUNCTION("""COMPUTED_VALUE"""),"Battery, iPhone 13")</f>
        <v>Battery, iPhone 13</v>
      </c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</row>
    <row r="3431">
      <c r="A3431" s="10" t="str">
        <f t="shared" si="1"/>
        <v>February</v>
      </c>
      <c r="B3431" s="11">
        <f>IFERROR(__xludf.DUMMYFUNCTION("""COMPUTED_VALUE"""),46065.0)</f>
        <v>46065</v>
      </c>
      <c r="C3431" s="2" t="str">
        <f>IFERROR(__xludf.DUMMYFUNCTION("""COMPUTED_VALUE"""),"MOBILECARE - GLORIETTA 5")</f>
        <v>MOBILECARE - GLORIETTA 5</v>
      </c>
      <c r="D3431" s="2" t="str">
        <f>IFERROR(__xludf.DUMMYFUNCTION("""COMPUTED_VALUE"""),"661-21991")</f>
        <v>661-21991</v>
      </c>
      <c r="E3431" s="2" t="str">
        <f>IFERROR(__xludf.DUMMYFUNCTION("""COMPUTED_VALUE"""),"Battery, iPhone 13")</f>
        <v>Battery, iPhone 13</v>
      </c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</row>
    <row r="3432">
      <c r="A3432" s="10" t="str">
        <f t="shared" si="1"/>
        <v>June</v>
      </c>
      <c r="B3432" s="11">
        <f>IFERROR(__xludf.DUMMYFUNCTION("""COMPUTED_VALUE"""),46190.0)</f>
        <v>46190</v>
      </c>
      <c r="C3432" s="2" t="str">
        <f>IFERROR(__xludf.DUMMYFUNCTION("""COMPUTED_VALUE"""),"MOBILECARE - GLORIETTA 5")</f>
        <v>MOBILECARE - GLORIETTA 5</v>
      </c>
      <c r="D3432" s="2" t="str">
        <f>IFERROR(__xludf.DUMMYFUNCTION("""COMPUTED_VALUE"""),"661-21996")</f>
        <v>661-21996</v>
      </c>
      <c r="E3432" s="2" t="str">
        <f>IFERROR(__xludf.DUMMYFUNCTION("""COMPUTED_VALUE"""),"Battery, iPhone 13 Pro")</f>
        <v>Battery, iPhone 13 Pro</v>
      </c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</row>
    <row r="3433">
      <c r="A3433" s="10" t="str">
        <f t="shared" si="1"/>
        <v>June</v>
      </c>
      <c r="B3433" s="11">
        <f>IFERROR(__xludf.DUMMYFUNCTION("""COMPUTED_VALUE"""),46188.0)</f>
        <v>46188</v>
      </c>
      <c r="C3433" s="2" t="str">
        <f>IFERROR(__xludf.DUMMYFUNCTION("""COMPUTED_VALUE"""),"MOBILECARE - GLORIETTA 5")</f>
        <v>MOBILECARE - GLORIETTA 5</v>
      </c>
      <c r="D3433" s="2" t="str">
        <f>IFERROR(__xludf.DUMMYFUNCTION("""COMPUTED_VALUE"""),"661-30382")</f>
        <v>661-30382</v>
      </c>
      <c r="E3433" s="2" t="str">
        <f>IFERROR(__xludf.DUMMYFUNCTION("""COMPUTED_VALUE"""),"Battery, iPhone 14 Pro")</f>
        <v>Battery, iPhone 14 Pro</v>
      </c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</row>
    <row r="3434">
      <c r="A3434" s="10" t="str">
        <f t="shared" si="1"/>
        <v>May</v>
      </c>
      <c r="B3434" s="11">
        <f>IFERROR(__xludf.DUMMYFUNCTION("""COMPUTED_VALUE"""),46167.0)</f>
        <v>46167</v>
      </c>
      <c r="C3434" s="2" t="str">
        <f>IFERROR(__xludf.DUMMYFUNCTION("""COMPUTED_VALUE"""),"MOBILECARE - GLORIETTA 5")</f>
        <v>MOBILECARE - GLORIETTA 5</v>
      </c>
      <c r="D3434" s="2" t="str">
        <f>IFERROR(__xludf.DUMMYFUNCTION("""COMPUTED_VALUE"""),"661-22374")</f>
        <v>661-22374</v>
      </c>
      <c r="E3434" s="2" t="str">
        <f>IFERROR(__xludf.DUMMYFUNCTION("""COMPUTED_VALUE"""),"Battery, iPhone 13 mini")</f>
        <v>Battery, iPhone 13 mini</v>
      </c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</row>
    <row r="3435">
      <c r="A3435" s="10" t="str">
        <f t="shared" si="1"/>
        <v>May</v>
      </c>
      <c r="B3435" s="11">
        <f>IFERROR(__xludf.DUMMYFUNCTION("""COMPUTED_VALUE"""),46160.0)</f>
        <v>46160</v>
      </c>
      <c r="C3435" s="2" t="str">
        <f>IFERROR(__xludf.DUMMYFUNCTION("""COMPUTED_VALUE"""),"MOBILECARE - GLORIETTA 5")</f>
        <v>MOBILECARE - GLORIETTA 5</v>
      </c>
      <c r="D3435" s="2" t="str">
        <f>IFERROR(__xludf.DUMMYFUNCTION("""COMPUTED_VALUE"""),"661-21991")</f>
        <v>661-21991</v>
      </c>
      <c r="E3435" s="2" t="str">
        <f>IFERROR(__xludf.DUMMYFUNCTION("""COMPUTED_VALUE"""),"Battery, iPhone 13")</f>
        <v>Battery, iPhone 13</v>
      </c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</row>
    <row r="3436">
      <c r="A3436" s="10" t="str">
        <f t="shared" si="1"/>
        <v>April</v>
      </c>
      <c r="B3436" s="11">
        <f>IFERROR(__xludf.DUMMYFUNCTION("""COMPUTED_VALUE"""),46126.0)</f>
        <v>46126</v>
      </c>
      <c r="C3436" s="2" t="str">
        <f>IFERROR(__xludf.DUMMYFUNCTION("""COMPUTED_VALUE"""),"MOBILECARE - GLORIETTA 5")</f>
        <v>MOBILECARE - GLORIETTA 5</v>
      </c>
      <c r="D3436" s="2" t="str">
        <f>IFERROR(__xludf.DUMMYFUNCTION("""COMPUTED_VALUE"""),"661-30382")</f>
        <v>661-30382</v>
      </c>
      <c r="E3436" s="2" t="str">
        <f>IFERROR(__xludf.DUMMYFUNCTION("""COMPUTED_VALUE"""),"Battery, iPhone 14 Pro")</f>
        <v>Battery, iPhone 14 Pro</v>
      </c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</row>
    <row r="3437">
      <c r="A3437" s="10" t="str">
        <f t="shared" si="1"/>
        <v>April</v>
      </c>
      <c r="B3437" s="11">
        <f>IFERROR(__xludf.DUMMYFUNCTION("""COMPUTED_VALUE"""),46123.0)</f>
        <v>46123</v>
      </c>
      <c r="C3437" s="2" t="str">
        <f>IFERROR(__xludf.DUMMYFUNCTION("""COMPUTED_VALUE"""),"MOBILECARE - GLORIETTA 5")</f>
        <v>MOBILECARE - GLORIETTA 5</v>
      </c>
      <c r="D3437" s="2" t="str">
        <f>IFERROR(__xludf.DUMMYFUNCTION("""COMPUTED_VALUE"""),"661-30373")</f>
        <v>661-30373</v>
      </c>
      <c r="E3437" s="2" t="str">
        <f>IFERROR(__xludf.DUMMYFUNCTION("""COMPUTED_VALUE"""),"Battery, iPhone 14")</f>
        <v>Battery, iPhone 14</v>
      </c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</row>
    <row r="3438">
      <c r="A3438" s="10" t="str">
        <f t="shared" si="1"/>
        <v>April</v>
      </c>
      <c r="B3438" s="11">
        <f>IFERROR(__xludf.DUMMYFUNCTION("""COMPUTED_VALUE"""),46122.0)</f>
        <v>46122</v>
      </c>
      <c r="C3438" s="2" t="str">
        <f>IFERROR(__xludf.DUMMYFUNCTION("""COMPUTED_VALUE"""),"MOBILECARE - GLORIETTA 5")</f>
        <v>MOBILECARE - GLORIETTA 5</v>
      </c>
      <c r="D3438" s="2" t="str">
        <f>IFERROR(__xludf.DUMMYFUNCTION("""COMPUTED_VALUE"""),"661-30366")</f>
        <v>661-30366</v>
      </c>
      <c r="E3438" s="2" t="str">
        <f>IFERROR(__xludf.DUMMYFUNCTION("""COMPUTED_VALUE"""),"Display, iPhone 14")</f>
        <v>Display, iPhone 14</v>
      </c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</row>
    <row r="3439">
      <c r="A3439" s="10" t="str">
        <f t="shared" si="1"/>
        <v>March</v>
      </c>
      <c r="B3439" s="11">
        <f>IFERROR(__xludf.DUMMYFUNCTION("""COMPUTED_VALUE"""),46112.0)</f>
        <v>46112</v>
      </c>
      <c r="C3439" s="2" t="str">
        <f>IFERROR(__xludf.DUMMYFUNCTION("""COMPUTED_VALUE"""),"MOBILECARE - GLORIETTA 5")</f>
        <v>MOBILECARE - GLORIETTA 5</v>
      </c>
      <c r="D3439" s="2" t="str">
        <f>IFERROR(__xludf.DUMMYFUNCTION("""COMPUTED_VALUE"""),"661-21993")</f>
        <v>661-21993</v>
      </c>
      <c r="E3439" s="2" t="str">
        <f>IFERROR(__xludf.DUMMYFUNCTION("""COMPUTED_VALUE"""),"Display, iPhone 13 Pro")</f>
        <v>Display, iPhone 13 Pro</v>
      </c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</row>
    <row r="3440">
      <c r="A3440" s="10" t="str">
        <f t="shared" si="1"/>
        <v>February</v>
      </c>
      <c r="B3440" s="11">
        <f>IFERROR(__xludf.DUMMYFUNCTION("""COMPUTED_VALUE"""),46057.0)</f>
        <v>46057</v>
      </c>
      <c r="C3440" s="2" t="str">
        <f>IFERROR(__xludf.DUMMYFUNCTION("""COMPUTED_VALUE"""),"MOBILECARE - GLORIETTA 5")</f>
        <v>MOBILECARE - GLORIETTA 5</v>
      </c>
      <c r="D3440" s="2" t="str">
        <f>IFERROR(__xludf.DUMMYFUNCTION("""COMPUTED_VALUE"""),"661-30397")</f>
        <v>661-30397</v>
      </c>
      <c r="E3440" s="2" t="str">
        <f>IFERROR(__xludf.DUMMYFUNCTION("""COMPUTED_VALUE"""),"Battery, iPhone 14 Pro Max")</f>
        <v>Battery, iPhone 14 Pro Max</v>
      </c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</row>
    <row r="3441">
      <c r="A3441" s="10" t="str">
        <f t="shared" si="1"/>
        <v>January</v>
      </c>
      <c r="B3441" s="11">
        <f>IFERROR(__xludf.DUMMYFUNCTION("""COMPUTED_VALUE"""),46038.0)</f>
        <v>46038</v>
      </c>
      <c r="C3441" s="2" t="str">
        <f>IFERROR(__xludf.DUMMYFUNCTION("""COMPUTED_VALUE"""),"MOBILECARE - GLORIETTA 5")</f>
        <v>MOBILECARE - GLORIETTA 5</v>
      </c>
      <c r="D3441" s="2" t="str">
        <f>IFERROR(__xludf.DUMMYFUNCTION("""COMPUTED_VALUE"""),"661-21991")</f>
        <v>661-21991</v>
      </c>
      <c r="E3441" s="2" t="str">
        <f>IFERROR(__xludf.DUMMYFUNCTION("""COMPUTED_VALUE"""),"Battery, iPhone 13")</f>
        <v>Battery, iPhone 13</v>
      </c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</row>
    <row r="3442">
      <c r="A3442" s="10" t="str">
        <f t="shared" si="1"/>
        <v>June</v>
      </c>
      <c r="B3442" s="11">
        <f>IFERROR(__xludf.DUMMYFUNCTION("""COMPUTED_VALUE"""),46190.0)</f>
        <v>46190</v>
      </c>
      <c r="C3442" s="2" t="str">
        <f>IFERROR(__xludf.DUMMYFUNCTION("""COMPUTED_VALUE"""),"MOBILECARE - GLORIETTA 5")</f>
        <v>MOBILECARE - GLORIETTA 5</v>
      </c>
      <c r="D3442" s="2" t="str">
        <f>IFERROR(__xludf.DUMMYFUNCTION("""COMPUTED_VALUE"""),"661-17920")</f>
        <v>661-17920</v>
      </c>
      <c r="E3442" s="2" t="str">
        <f>IFERROR(__xludf.DUMMYFUNCTION("""COMPUTED_VALUE"""),"Battery, iPhone 12 and 12 Pro")</f>
        <v>Battery, iPhone 12 and 12 Pro</v>
      </c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</row>
    <row r="3443">
      <c r="A3443" s="10" t="str">
        <f t="shared" si="1"/>
        <v>May</v>
      </c>
      <c r="B3443" s="11">
        <f>IFERROR(__xludf.DUMMYFUNCTION("""COMPUTED_VALUE"""),46154.0)</f>
        <v>46154</v>
      </c>
      <c r="C3443" s="2" t="str">
        <f>IFERROR(__xludf.DUMMYFUNCTION("""COMPUTED_VALUE"""),"MOBILECARE - GLORIETTA 5")</f>
        <v>MOBILECARE - GLORIETTA 5</v>
      </c>
      <c r="D3443" s="2" t="str">
        <f>IFERROR(__xludf.DUMMYFUNCTION("""COMPUTED_VALUE"""),"661-35694")</f>
        <v>661-35694</v>
      </c>
      <c r="E3443" s="2" t="str">
        <f>IFERROR(__xludf.DUMMYFUNCTION("""COMPUTED_VALUE"""),"Battery, iPhone 15 Pro")</f>
        <v>Battery, iPhone 15 Pro</v>
      </c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</row>
    <row r="3444">
      <c r="A3444" s="10" t="str">
        <f t="shared" si="1"/>
        <v>April</v>
      </c>
      <c r="B3444" s="11">
        <f>IFERROR(__xludf.DUMMYFUNCTION("""COMPUTED_VALUE"""),46136.0)</f>
        <v>46136</v>
      </c>
      <c r="C3444" s="2" t="str">
        <f>IFERROR(__xludf.DUMMYFUNCTION("""COMPUTED_VALUE"""),"MOBILECARE - GLORIETTA 5")</f>
        <v>MOBILECARE - GLORIETTA 5</v>
      </c>
      <c r="D3444" s="2" t="str">
        <f>IFERROR(__xludf.DUMMYFUNCTION("""COMPUTED_VALUE"""),"661-30382")</f>
        <v>661-30382</v>
      </c>
      <c r="E3444" s="2" t="str">
        <f>IFERROR(__xludf.DUMMYFUNCTION("""COMPUTED_VALUE"""),"Battery, iPhone 14 Pro")</f>
        <v>Battery, iPhone 14 Pro</v>
      </c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</row>
    <row r="3445">
      <c r="A3445" s="10" t="str">
        <f t="shared" si="1"/>
        <v>April</v>
      </c>
      <c r="B3445" s="11">
        <f>IFERROR(__xludf.DUMMYFUNCTION("""COMPUTED_VALUE"""),46133.0)</f>
        <v>46133</v>
      </c>
      <c r="C3445" s="2" t="str">
        <f>IFERROR(__xludf.DUMMYFUNCTION("""COMPUTED_VALUE"""),"MOBILECARE - GLORIETTA 5")</f>
        <v>MOBILECARE - GLORIETTA 5</v>
      </c>
      <c r="D3445" s="2" t="str">
        <f>IFERROR(__xludf.DUMMYFUNCTION("""COMPUTED_VALUE"""),"661-21991")</f>
        <v>661-21991</v>
      </c>
      <c r="E3445" s="2" t="str">
        <f>IFERROR(__xludf.DUMMYFUNCTION("""COMPUTED_VALUE"""),"Battery, iPhone 13")</f>
        <v>Battery, iPhone 13</v>
      </c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</row>
    <row r="3446">
      <c r="A3446" s="10" t="str">
        <f t="shared" si="1"/>
        <v>March</v>
      </c>
      <c r="B3446" s="11">
        <f>IFERROR(__xludf.DUMMYFUNCTION("""COMPUTED_VALUE"""),46085.0)</f>
        <v>46085</v>
      </c>
      <c r="C3446" s="2" t="str">
        <f>IFERROR(__xludf.DUMMYFUNCTION("""COMPUTED_VALUE"""),"MOBILECARE - GLORIETTA 5")</f>
        <v>MOBILECARE - GLORIETTA 5</v>
      </c>
      <c r="D3446" s="2" t="str">
        <f>IFERROR(__xludf.DUMMYFUNCTION("""COMPUTED_VALUE"""),"661-21991")</f>
        <v>661-21991</v>
      </c>
      <c r="E3446" s="2" t="str">
        <f>IFERROR(__xludf.DUMMYFUNCTION("""COMPUTED_VALUE"""),"Battery, iPhone 13")</f>
        <v>Battery, iPhone 13</v>
      </c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</row>
    <row r="3447">
      <c r="A3447" s="10" t="str">
        <f t="shared" si="1"/>
        <v>February</v>
      </c>
      <c r="B3447" s="11">
        <f>IFERROR(__xludf.DUMMYFUNCTION("""COMPUTED_VALUE"""),46067.0)</f>
        <v>46067</v>
      </c>
      <c r="C3447" s="2" t="str">
        <f>IFERROR(__xludf.DUMMYFUNCTION("""COMPUTED_VALUE"""),"MOBILECARE - GLORIETTA 5")</f>
        <v>MOBILECARE - GLORIETTA 5</v>
      </c>
      <c r="D3447" s="2" t="str">
        <f>IFERROR(__xludf.DUMMYFUNCTION("""COMPUTED_VALUE"""),"661-17939")</f>
        <v>661-17939</v>
      </c>
      <c r="E3447" s="2" t="str">
        <f>IFERROR(__xludf.DUMMYFUNCTION("""COMPUTED_VALUE"""),"Battery, iPhone 12 mini")</f>
        <v>Battery, iPhone 12 mini</v>
      </c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</row>
    <row r="3448">
      <c r="A3448" s="10" t="str">
        <f t="shared" si="1"/>
        <v>February</v>
      </c>
      <c r="B3448" s="11">
        <f>IFERROR(__xludf.DUMMYFUNCTION("""COMPUTED_VALUE"""),46075.0)</f>
        <v>46075</v>
      </c>
      <c r="C3448" s="2" t="str">
        <f>IFERROR(__xludf.DUMMYFUNCTION("""COMPUTED_VALUE"""),"MOBILECARE - GLORIETTA 5")</f>
        <v>MOBILECARE - GLORIETTA 5</v>
      </c>
      <c r="D3448" s="2" t="str">
        <f>IFERROR(__xludf.DUMMYFUNCTION("""COMPUTED_VALUE"""),"661-30382")</f>
        <v>661-30382</v>
      </c>
      <c r="E3448" s="2" t="str">
        <f>IFERROR(__xludf.DUMMYFUNCTION("""COMPUTED_VALUE"""),"Battery, iPhone 14 Pro")</f>
        <v>Battery, iPhone 14 Pro</v>
      </c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</row>
    <row r="3449">
      <c r="A3449" s="10" t="str">
        <f t="shared" si="1"/>
        <v>January</v>
      </c>
      <c r="B3449" s="11">
        <f>IFERROR(__xludf.DUMMYFUNCTION("""COMPUTED_VALUE"""),46042.0)</f>
        <v>46042</v>
      </c>
      <c r="C3449" s="2" t="str">
        <f>IFERROR(__xludf.DUMMYFUNCTION("""COMPUTED_VALUE"""),"MOBILECARE - GLORIETTA 5")</f>
        <v>MOBILECARE - GLORIETTA 5</v>
      </c>
      <c r="D3449" s="2" t="str">
        <f>IFERROR(__xludf.DUMMYFUNCTION("""COMPUTED_VALUE"""),"661-18428")</f>
        <v>661-18428</v>
      </c>
      <c r="E3449" s="2" t="str">
        <f>IFERROR(__xludf.DUMMYFUNCTION("""COMPUTED_VALUE"""),"Battery, iPhone 12 Pro Max")</f>
        <v>Battery, iPhone 12 Pro Max</v>
      </c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</row>
    <row r="3450">
      <c r="A3450" s="10" t="str">
        <f t="shared" si="1"/>
        <v>January</v>
      </c>
      <c r="B3450" s="11">
        <f>IFERROR(__xludf.DUMMYFUNCTION("""COMPUTED_VALUE"""),46042.0)</f>
        <v>46042</v>
      </c>
      <c r="C3450" s="2" t="str">
        <f>IFERROR(__xludf.DUMMYFUNCTION("""COMPUTED_VALUE"""),"MOBILECARE - GLORIETTA 5")</f>
        <v>MOBILECARE - GLORIETTA 5</v>
      </c>
      <c r="D3450" s="2" t="str">
        <f>IFERROR(__xludf.DUMMYFUNCTION("""COMPUTED_VALUE"""),"661-21993")</f>
        <v>661-21993</v>
      </c>
      <c r="E3450" s="2" t="str">
        <f>IFERROR(__xludf.DUMMYFUNCTION("""COMPUTED_VALUE"""),"Display, iPhone 13 Pro")</f>
        <v>Display, iPhone 13 Pro</v>
      </c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</row>
    <row r="3451">
      <c r="A3451" s="10" t="str">
        <f t="shared" si="1"/>
        <v>June</v>
      </c>
      <c r="B3451" s="11">
        <f>IFERROR(__xludf.DUMMYFUNCTION("""COMPUTED_VALUE"""),46186.0)</f>
        <v>46186</v>
      </c>
      <c r="C3451" s="2" t="str">
        <f>IFERROR(__xludf.DUMMYFUNCTION("""COMPUTED_VALUE"""),"MOBILECARE - GLORIETTA 5")</f>
        <v>MOBILECARE - GLORIETTA 5</v>
      </c>
      <c r="D3451" s="2" t="str">
        <f>IFERROR(__xludf.DUMMYFUNCTION("""COMPUTED_VALUE"""),"661-17920")</f>
        <v>661-17920</v>
      </c>
      <c r="E3451" s="2" t="str">
        <f>IFERROR(__xludf.DUMMYFUNCTION("""COMPUTED_VALUE"""),"Battery, iPhone 12 and 12 Pro")</f>
        <v>Battery, iPhone 12 and 12 Pro</v>
      </c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</row>
    <row r="3452">
      <c r="A3452" s="10" t="str">
        <f t="shared" si="1"/>
        <v>May</v>
      </c>
      <c r="B3452" s="11">
        <f>IFERROR(__xludf.DUMMYFUNCTION("""COMPUTED_VALUE"""),46164.0)</f>
        <v>46164</v>
      </c>
      <c r="C3452" s="2" t="str">
        <f>IFERROR(__xludf.DUMMYFUNCTION("""COMPUTED_VALUE"""),"MOBILECARE - GLORIETTA 5")</f>
        <v>MOBILECARE - GLORIETTA 5</v>
      </c>
      <c r="D3452" s="2" t="str">
        <f>IFERROR(__xludf.DUMMYFUNCTION("""COMPUTED_VALUE"""),"661-21991")</f>
        <v>661-21991</v>
      </c>
      <c r="E3452" s="2" t="str">
        <f>IFERROR(__xludf.DUMMYFUNCTION("""COMPUTED_VALUE"""),"Battery, iPhone 13")</f>
        <v>Battery, iPhone 13</v>
      </c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</row>
    <row r="3453">
      <c r="A3453" s="10" t="str">
        <f t="shared" si="1"/>
        <v>April</v>
      </c>
      <c r="B3453" s="11">
        <f>IFERROR(__xludf.DUMMYFUNCTION("""COMPUTED_VALUE"""),46118.0)</f>
        <v>46118</v>
      </c>
      <c r="C3453" s="2" t="str">
        <f>IFERROR(__xludf.DUMMYFUNCTION("""COMPUTED_VALUE"""),"MOBILECARE - GLORIETTA 5")</f>
        <v>MOBILECARE - GLORIETTA 5</v>
      </c>
      <c r="D3453" s="2" t="str">
        <f>IFERROR(__xludf.DUMMYFUNCTION("""COMPUTED_VALUE"""),"661-22374")</f>
        <v>661-22374</v>
      </c>
      <c r="E3453" s="2" t="str">
        <f>IFERROR(__xludf.DUMMYFUNCTION("""COMPUTED_VALUE"""),"Battery, iPhone 13 mini")</f>
        <v>Battery, iPhone 13 mini</v>
      </c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</row>
    <row r="3454">
      <c r="A3454" s="10" t="str">
        <f t="shared" si="1"/>
        <v>April</v>
      </c>
      <c r="B3454" s="11">
        <f>IFERROR(__xludf.DUMMYFUNCTION("""COMPUTED_VALUE"""),46120.0)</f>
        <v>46120</v>
      </c>
      <c r="C3454" s="2" t="str">
        <f>IFERROR(__xludf.DUMMYFUNCTION("""COMPUTED_VALUE"""),"MOBILECARE - GLORIETTA 5")</f>
        <v>MOBILECARE - GLORIETTA 5</v>
      </c>
      <c r="D3454" s="2" t="str">
        <f>IFERROR(__xludf.DUMMYFUNCTION("""COMPUTED_VALUE"""),"661-25890")</f>
        <v>661-25890</v>
      </c>
      <c r="E3454" s="2" t="str">
        <f>IFERROR(__xludf.DUMMYFUNCTION("""COMPUTED_VALUE"""),"Battery, iPhone SE 3rd generation")</f>
        <v>Battery, iPhone SE 3rd generation</v>
      </c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</row>
    <row r="3455">
      <c r="A3455" s="10" t="str">
        <f t="shared" si="1"/>
        <v>March</v>
      </c>
      <c r="B3455" s="11">
        <f>IFERROR(__xludf.DUMMYFUNCTION("""COMPUTED_VALUE"""),46107.0)</f>
        <v>46107</v>
      </c>
      <c r="C3455" s="2" t="str">
        <f>IFERROR(__xludf.DUMMYFUNCTION("""COMPUTED_VALUE"""),"MOBILECARE - GLORIETTA 5")</f>
        <v>MOBILECARE - GLORIETTA 5</v>
      </c>
      <c r="D3455" s="2" t="str">
        <f>IFERROR(__xludf.DUMMYFUNCTION("""COMPUTED_VALUE"""),"661-22374")</f>
        <v>661-22374</v>
      </c>
      <c r="E3455" s="2" t="str">
        <f>IFERROR(__xludf.DUMMYFUNCTION("""COMPUTED_VALUE"""),"Battery, iPhone 13 mini")</f>
        <v>Battery, iPhone 13 mini</v>
      </c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</row>
    <row r="3456">
      <c r="A3456" s="10" t="str">
        <f t="shared" si="1"/>
        <v>March</v>
      </c>
      <c r="B3456" s="11">
        <f>IFERROR(__xludf.DUMMYFUNCTION("""COMPUTED_VALUE"""),46101.0)</f>
        <v>46101</v>
      </c>
      <c r="C3456" s="2" t="str">
        <f>IFERROR(__xludf.DUMMYFUNCTION("""COMPUTED_VALUE"""),"MOBILECARE - GLORIETTA 5")</f>
        <v>MOBILECARE - GLORIETTA 5</v>
      </c>
      <c r="D3456" s="2" t="str">
        <f>IFERROR(__xludf.DUMMYFUNCTION("""COMPUTED_VALUE"""),"661-13574")</f>
        <v>661-13574</v>
      </c>
      <c r="E3456" s="2" t="str">
        <f>IFERROR(__xludf.DUMMYFUNCTION("""COMPUTED_VALUE"""),"Battery, iPhone 11")</f>
        <v>Battery, iPhone 11</v>
      </c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</row>
    <row r="3457">
      <c r="A3457" s="10" t="str">
        <f t="shared" si="1"/>
        <v>March</v>
      </c>
      <c r="B3457" s="11">
        <f>IFERROR(__xludf.DUMMYFUNCTION("""COMPUTED_VALUE"""),46102.0)</f>
        <v>46102</v>
      </c>
      <c r="C3457" s="2" t="str">
        <f>IFERROR(__xludf.DUMMYFUNCTION("""COMPUTED_VALUE"""),"MOBILECARE - GLORIETTA 5")</f>
        <v>MOBILECARE - GLORIETTA 5</v>
      </c>
      <c r="D3457" s="2" t="str">
        <f>IFERROR(__xludf.DUMMYFUNCTION("""COMPUTED_VALUE"""),"661-30397")</f>
        <v>661-30397</v>
      </c>
      <c r="E3457" s="2" t="str">
        <f>IFERROR(__xludf.DUMMYFUNCTION("""COMPUTED_VALUE"""),"Battery, iPhone 14 Pro Max")</f>
        <v>Battery, iPhone 14 Pro Max</v>
      </c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</row>
    <row r="3458">
      <c r="A3458" s="10" t="str">
        <f t="shared" si="1"/>
        <v>March</v>
      </c>
      <c r="B3458" s="11">
        <f>IFERROR(__xludf.DUMMYFUNCTION("""COMPUTED_VALUE"""),46091.0)</f>
        <v>46091</v>
      </c>
      <c r="C3458" s="2" t="str">
        <f>IFERROR(__xludf.DUMMYFUNCTION("""COMPUTED_VALUE"""),"MOBILECARE - GLORIETTA 5")</f>
        <v>MOBILECARE - GLORIETTA 5</v>
      </c>
      <c r="D3458" s="2" t="str">
        <f>IFERROR(__xludf.DUMMYFUNCTION("""COMPUTED_VALUE"""),"661-30397")</f>
        <v>661-30397</v>
      </c>
      <c r="E3458" s="2" t="str">
        <f>IFERROR(__xludf.DUMMYFUNCTION("""COMPUTED_VALUE"""),"Battery, iPhone 14 Pro Max")</f>
        <v>Battery, iPhone 14 Pro Max</v>
      </c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</row>
    <row r="3459">
      <c r="A3459" s="10" t="str">
        <f t="shared" si="1"/>
        <v>March</v>
      </c>
      <c r="B3459" s="11">
        <f>IFERROR(__xludf.DUMMYFUNCTION("""COMPUTED_VALUE"""),46091.0)</f>
        <v>46091</v>
      </c>
      <c r="C3459" s="2" t="str">
        <f>IFERROR(__xludf.DUMMYFUNCTION("""COMPUTED_VALUE"""),"MOBILECARE - GLORIETTA 5")</f>
        <v>MOBILECARE - GLORIETTA 5</v>
      </c>
      <c r="D3459" s="2" t="str">
        <f>IFERROR(__xludf.DUMMYFUNCTION("""COMPUTED_VALUE"""),"661-30401")</f>
        <v>661-30401</v>
      </c>
      <c r="E3459" s="2" t="str">
        <f>IFERROR(__xludf.DUMMYFUNCTION("""COMPUTED_VALUE"""),"Display, iPhone 14 Pro Max")</f>
        <v>Display, iPhone 14 Pro Max</v>
      </c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</row>
    <row r="3460">
      <c r="A3460" s="10" t="str">
        <f t="shared" si="1"/>
        <v>February</v>
      </c>
      <c r="B3460" s="11">
        <f>IFERROR(__xludf.DUMMYFUNCTION("""COMPUTED_VALUE"""),46070.0)</f>
        <v>46070</v>
      </c>
      <c r="C3460" s="2" t="str">
        <f>IFERROR(__xludf.DUMMYFUNCTION("""COMPUTED_VALUE"""),"MOBILECARE - GLORIETTA 5")</f>
        <v>MOBILECARE - GLORIETTA 5</v>
      </c>
      <c r="D3460" s="2" t="str">
        <f>IFERROR(__xludf.DUMMYFUNCTION("""COMPUTED_VALUE"""),"661-30397")</f>
        <v>661-30397</v>
      </c>
      <c r="E3460" s="2" t="str">
        <f>IFERROR(__xludf.DUMMYFUNCTION("""COMPUTED_VALUE"""),"Battery, iPhone 14 Pro Max")</f>
        <v>Battery, iPhone 14 Pro Max</v>
      </c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</row>
    <row r="3461">
      <c r="A3461" s="10" t="str">
        <f t="shared" si="1"/>
        <v>February</v>
      </c>
      <c r="B3461" s="11">
        <f>IFERROR(__xludf.DUMMYFUNCTION("""COMPUTED_VALUE"""),46075.0)</f>
        <v>46075</v>
      </c>
      <c r="C3461" s="2" t="str">
        <f>IFERROR(__xludf.DUMMYFUNCTION("""COMPUTED_VALUE"""),"MOBILECARE - GLORIETTA 5")</f>
        <v>MOBILECARE - GLORIETTA 5</v>
      </c>
      <c r="D3461" s="2" t="str">
        <f>IFERROR(__xludf.DUMMYFUNCTION("""COMPUTED_VALUE"""),"661-22309")</f>
        <v>661-22309</v>
      </c>
      <c r="E3461" s="2" t="str">
        <f>IFERROR(__xludf.DUMMYFUNCTION("""COMPUTED_VALUE"""),"Display, iPhone 13 Pro Max")</f>
        <v>Display, iPhone 13 Pro Max</v>
      </c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</row>
    <row r="3462">
      <c r="A3462" s="10" t="str">
        <f t="shared" si="1"/>
        <v>January</v>
      </c>
      <c r="B3462" s="11">
        <f>IFERROR(__xludf.DUMMYFUNCTION("""COMPUTED_VALUE"""),46044.0)</f>
        <v>46044</v>
      </c>
      <c r="C3462" s="2" t="str">
        <f>IFERROR(__xludf.DUMMYFUNCTION("""COMPUTED_VALUE"""),"MOBILECARE - GLORIETTA 5")</f>
        <v>MOBILECARE - GLORIETTA 5</v>
      </c>
      <c r="D3462" s="2" t="str">
        <f>IFERROR(__xludf.DUMMYFUNCTION("""COMPUTED_VALUE"""),"661-22294")</f>
        <v>661-22294</v>
      </c>
      <c r="E3462" s="2" t="str">
        <f>IFERROR(__xludf.DUMMYFUNCTION("""COMPUTED_VALUE"""),"Battery, iPhone 13 Pro Max")</f>
        <v>Battery, iPhone 13 Pro Max</v>
      </c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</row>
    <row r="3463">
      <c r="A3463" s="10" t="str">
        <f t="shared" si="1"/>
        <v>May</v>
      </c>
      <c r="B3463" s="11">
        <f>IFERROR(__xludf.DUMMYFUNCTION("""COMPUTED_VALUE"""),46173.0)</f>
        <v>46173</v>
      </c>
      <c r="C3463" s="2" t="str">
        <f>IFERROR(__xludf.DUMMYFUNCTION("""COMPUTED_VALUE"""),"MOBILECARE - GLORIETTA 5")</f>
        <v>MOBILECARE - GLORIETTA 5</v>
      </c>
      <c r="D3463" s="2" t="str">
        <f>IFERROR(__xludf.DUMMYFUNCTION("""COMPUTED_VALUE"""),"661-42726")</f>
        <v>661-42726</v>
      </c>
      <c r="E3463" s="2" t="str">
        <f>IFERROR(__xludf.DUMMYFUNCTION("""COMPUTED_VALUE"""),"Display, iPhone 16 Pro")</f>
        <v>Display, iPhone 16 Pro</v>
      </c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</row>
    <row r="3464">
      <c r="A3464" s="10" t="str">
        <f t="shared" si="1"/>
        <v>April</v>
      </c>
      <c r="B3464" s="11">
        <f>IFERROR(__xludf.DUMMYFUNCTION("""COMPUTED_VALUE"""),46141.0)</f>
        <v>46141</v>
      </c>
      <c r="C3464" s="2" t="str">
        <f>IFERROR(__xludf.DUMMYFUNCTION("""COMPUTED_VALUE"""),"MOBILECARE - GLORIETTA 5")</f>
        <v>MOBILECARE - GLORIETTA 5</v>
      </c>
      <c r="D3464" s="2" t="str">
        <f>IFERROR(__xludf.DUMMYFUNCTION("""COMPUTED_VALUE"""),"661-42726")</f>
        <v>661-42726</v>
      </c>
      <c r="E3464" s="2" t="str">
        <f>IFERROR(__xludf.DUMMYFUNCTION("""COMPUTED_VALUE"""),"Display, iPhone 16 Pro")</f>
        <v>Display, iPhone 16 Pro</v>
      </c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</row>
    <row r="3465">
      <c r="A3465" s="10" t="str">
        <f t="shared" si="1"/>
        <v>April</v>
      </c>
      <c r="B3465" s="11">
        <f>IFERROR(__xludf.DUMMYFUNCTION("""COMPUTED_VALUE"""),46140.0)</f>
        <v>46140</v>
      </c>
      <c r="C3465" s="2" t="str">
        <f>IFERROR(__xludf.DUMMYFUNCTION("""COMPUTED_VALUE"""),"MOBILECARE - GLORIETTA 5")</f>
        <v>MOBILECARE - GLORIETTA 5</v>
      </c>
      <c r="D3465" s="2" t="str">
        <f>IFERROR(__xludf.DUMMYFUNCTION("""COMPUTED_VALUE"""),"661-21991")</f>
        <v>661-21991</v>
      </c>
      <c r="E3465" s="2" t="str">
        <f>IFERROR(__xludf.DUMMYFUNCTION("""COMPUTED_VALUE"""),"Battery, iPhone 13")</f>
        <v>Battery, iPhone 13</v>
      </c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</row>
    <row r="3466">
      <c r="A3466" s="10" t="str">
        <f t="shared" si="1"/>
        <v>April</v>
      </c>
      <c r="B3466" s="11">
        <f>IFERROR(__xludf.DUMMYFUNCTION("""COMPUTED_VALUE"""),46137.0)</f>
        <v>46137</v>
      </c>
      <c r="C3466" s="2" t="str">
        <f>IFERROR(__xludf.DUMMYFUNCTION("""COMPUTED_VALUE"""),"MOBILECARE - GLORIETTA 5")</f>
        <v>MOBILECARE - GLORIETTA 5</v>
      </c>
      <c r="D3466" s="2" t="str">
        <f>IFERROR(__xludf.DUMMYFUNCTION("""COMPUTED_VALUE"""),"661-35694")</f>
        <v>661-35694</v>
      </c>
      <c r="E3466" s="2" t="str">
        <f>IFERROR(__xludf.DUMMYFUNCTION("""COMPUTED_VALUE"""),"Battery, iPhone 15 Pro")</f>
        <v>Battery, iPhone 15 Pro</v>
      </c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</row>
    <row r="3467">
      <c r="A3467" s="10" t="str">
        <f t="shared" si="1"/>
        <v>April</v>
      </c>
      <c r="B3467" s="11">
        <f>IFERROR(__xludf.DUMMYFUNCTION("""COMPUTED_VALUE"""),46123.0)</f>
        <v>46123</v>
      </c>
      <c r="C3467" s="2" t="str">
        <f>IFERROR(__xludf.DUMMYFUNCTION("""COMPUTED_VALUE"""),"MOBILECARE - GLORIETTA 5")</f>
        <v>MOBILECARE - GLORIETTA 5</v>
      </c>
      <c r="D3467" s="2" t="str">
        <f>IFERROR(__xludf.DUMMYFUNCTION("""COMPUTED_VALUE"""),"661-22294")</f>
        <v>661-22294</v>
      </c>
      <c r="E3467" s="2" t="str">
        <f>IFERROR(__xludf.DUMMYFUNCTION("""COMPUTED_VALUE"""),"Battery, iPhone 13 Pro Max")</f>
        <v>Battery, iPhone 13 Pro Max</v>
      </c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</row>
    <row r="3468">
      <c r="A3468" s="10" t="str">
        <f t="shared" si="1"/>
        <v>February</v>
      </c>
      <c r="B3468" s="11">
        <f>IFERROR(__xludf.DUMMYFUNCTION("""COMPUTED_VALUE"""),46065.0)</f>
        <v>46065</v>
      </c>
      <c r="C3468" s="2" t="str">
        <f>IFERROR(__xludf.DUMMYFUNCTION("""COMPUTED_VALUE"""),"MOBILECARE - GLORIETTA 5")</f>
        <v>MOBILECARE - GLORIETTA 5</v>
      </c>
      <c r="D3468" s="2" t="str">
        <f>IFERROR(__xludf.DUMMYFUNCTION("""COMPUTED_VALUE"""),"661-42726")</f>
        <v>661-42726</v>
      </c>
      <c r="E3468" s="2" t="str">
        <f>IFERROR(__xludf.DUMMYFUNCTION("""COMPUTED_VALUE"""),"Display, iPhone 16 Pro")</f>
        <v>Display, iPhone 16 Pro</v>
      </c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</row>
    <row r="3469">
      <c r="A3469" s="10" t="str">
        <f t="shared" si="1"/>
        <v>June</v>
      </c>
      <c r="B3469" s="11">
        <f>IFERROR(__xludf.DUMMYFUNCTION("""COMPUTED_VALUE"""),46190.0)</f>
        <v>46190</v>
      </c>
      <c r="C3469" s="2" t="str">
        <f>IFERROR(__xludf.DUMMYFUNCTION("""COMPUTED_VALUE"""),"MOBILECARE - GLORIETTA 5")</f>
        <v>MOBILECARE - GLORIETTA 5</v>
      </c>
      <c r="D3469" s="2" t="str">
        <f>IFERROR(__xludf.DUMMYFUNCTION("""COMPUTED_VALUE"""),"661-56125")</f>
        <v>661-56125</v>
      </c>
      <c r="E3469" s="2" t="str">
        <f>IFERROR(__xludf.DUMMYFUNCTION("""COMPUTED_VALUE"""),"Display, iPhone 17 Pro")</f>
        <v>Display, iPhone 17 Pro</v>
      </c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</row>
    <row r="3470">
      <c r="A3470" s="10" t="str">
        <f t="shared" si="1"/>
        <v>June</v>
      </c>
      <c r="B3470" s="11">
        <f>IFERROR(__xludf.DUMMYFUNCTION("""COMPUTED_VALUE"""),46175.0)</f>
        <v>46175</v>
      </c>
      <c r="C3470" s="2" t="str">
        <f>IFERROR(__xludf.DUMMYFUNCTION("""COMPUTED_VALUE"""),"MOBILECARE - GLORIETTA 5")</f>
        <v>MOBILECARE - GLORIETTA 5</v>
      </c>
      <c r="D3470" s="2" t="str">
        <f>IFERROR(__xludf.DUMMYFUNCTION("""COMPUTED_VALUE"""),"661-30382")</f>
        <v>661-30382</v>
      </c>
      <c r="E3470" s="2" t="str">
        <f>IFERROR(__xludf.DUMMYFUNCTION("""COMPUTED_VALUE"""),"Battery, iPhone 14 Pro")</f>
        <v>Battery, iPhone 14 Pro</v>
      </c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</row>
    <row r="3471">
      <c r="A3471" s="10" t="str">
        <f t="shared" si="1"/>
        <v>May</v>
      </c>
      <c r="B3471" s="11">
        <f>IFERROR(__xludf.DUMMYFUNCTION("""COMPUTED_VALUE"""),46153.0)</f>
        <v>46153</v>
      </c>
      <c r="C3471" s="2" t="str">
        <f>IFERROR(__xludf.DUMMYFUNCTION("""COMPUTED_VALUE"""),"MOBILECARE - GLORIETTA 5")</f>
        <v>MOBILECARE - GLORIETTA 5</v>
      </c>
      <c r="D3471" s="2" t="str">
        <f>IFERROR(__xludf.DUMMYFUNCTION("""COMPUTED_VALUE"""),"661-22294")</f>
        <v>661-22294</v>
      </c>
      <c r="E3471" s="2" t="str">
        <f>IFERROR(__xludf.DUMMYFUNCTION("""COMPUTED_VALUE"""),"Battery, iPhone 13 Pro Max")</f>
        <v>Battery, iPhone 13 Pro Max</v>
      </c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</row>
    <row r="3472">
      <c r="A3472" s="10" t="str">
        <f t="shared" si="1"/>
        <v>May</v>
      </c>
      <c r="B3472" s="11">
        <f>IFERROR(__xludf.DUMMYFUNCTION("""COMPUTED_VALUE"""),46148.0)</f>
        <v>46148</v>
      </c>
      <c r="C3472" s="2" t="str">
        <f>IFERROR(__xludf.DUMMYFUNCTION("""COMPUTED_VALUE"""),"MOBILECARE - GLORIETTA 5")</f>
        <v>MOBILECARE - GLORIETTA 5</v>
      </c>
      <c r="D3472" s="2" t="str">
        <f>IFERROR(__xludf.DUMMYFUNCTION("""COMPUTED_VALUE"""),"661-21991")</f>
        <v>661-21991</v>
      </c>
      <c r="E3472" s="2" t="str">
        <f>IFERROR(__xludf.DUMMYFUNCTION("""COMPUTED_VALUE"""),"Battery, iPhone 13")</f>
        <v>Battery, iPhone 13</v>
      </c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</row>
    <row r="3473">
      <c r="A3473" s="10" t="str">
        <f t="shared" si="1"/>
        <v>April</v>
      </c>
      <c r="B3473" s="11">
        <f>IFERROR(__xludf.DUMMYFUNCTION("""COMPUTED_VALUE"""),46142.0)</f>
        <v>46142</v>
      </c>
      <c r="C3473" s="2" t="str">
        <f>IFERROR(__xludf.DUMMYFUNCTION("""COMPUTED_VALUE"""),"MOBILECARE - GLORIETTA 5")</f>
        <v>MOBILECARE - GLORIETTA 5</v>
      </c>
      <c r="D3473" s="2" t="str">
        <f>IFERROR(__xludf.DUMMYFUNCTION("""COMPUTED_VALUE"""),"661-56050")</f>
        <v>661-56050</v>
      </c>
      <c r="E3473" s="2" t="str">
        <f>IFERROR(__xludf.DUMMYFUNCTION("""COMPUTED_VALUE"""),"Display, iPhone 17 Pro Max")</f>
        <v>Display, iPhone 17 Pro Max</v>
      </c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</row>
    <row r="3474">
      <c r="A3474" s="10" t="str">
        <f t="shared" si="1"/>
        <v>May</v>
      </c>
      <c r="B3474" s="11">
        <f>IFERROR(__xludf.DUMMYFUNCTION("""COMPUTED_VALUE"""),46146.0)</f>
        <v>46146</v>
      </c>
      <c r="C3474" s="2" t="str">
        <f>IFERROR(__xludf.DUMMYFUNCTION("""COMPUTED_VALUE"""),"MOBILECARE - GLORIETTA 5")</f>
        <v>MOBILECARE - GLORIETTA 5</v>
      </c>
      <c r="D3474" s="2" t="str">
        <f>IFERROR(__xludf.DUMMYFUNCTION("""COMPUTED_VALUE"""),"661-21991")</f>
        <v>661-21991</v>
      </c>
      <c r="E3474" s="2" t="str">
        <f>IFERROR(__xludf.DUMMYFUNCTION("""COMPUTED_VALUE"""),"Battery, iPhone 13")</f>
        <v>Battery, iPhone 13</v>
      </c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</row>
    <row r="3475">
      <c r="A3475" s="10" t="str">
        <f t="shared" si="1"/>
        <v>April</v>
      </c>
      <c r="B3475" s="11">
        <f>IFERROR(__xludf.DUMMYFUNCTION("""COMPUTED_VALUE"""),46132.0)</f>
        <v>46132</v>
      </c>
      <c r="C3475" s="2" t="str">
        <f>IFERROR(__xludf.DUMMYFUNCTION("""COMPUTED_VALUE"""),"MOBILECARE - GLORIETTA 5")</f>
        <v>MOBILECARE - GLORIETTA 5</v>
      </c>
      <c r="D3475" s="2" t="str">
        <f>IFERROR(__xludf.DUMMYFUNCTION("""COMPUTED_VALUE"""),"661-21991")</f>
        <v>661-21991</v>
      </c>
      <c r="E3475" s="2" t="str">
        <f>IFERROR(__xludf.DUMMYFUNCTION("""COMPUTED_VALUE"""),"Battery, iPhone 13")</f>
        <v>Battery, iPhone 13</v>
      </c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</row>
    <row r="3476">
      <c r="A3476" s="10" t="str">
        <f t="shared" si="1"/>
        <v>March</v>
      </c>
      <c r="B3476" s="11">
        <f>IFERROR(__xludf.DUMMYFUNCTION("""COMPUTED_VALUE"""),46106.0)</f>
        <v>46106</v>
      </c>
      <c r="C3476" s="2" t="str">
        <f>IFERROR(__xludf.DUMMYFUNCTION("""COMPUTED_VALUE"""),"MOBILECARE - GLORIETTA 5")</f>
        <v>MOBILECARE - GLORIETTA 5</v>
      </c>
      <c r="D3476" s="2" t="str">
        <f>IFERROR(__xludf.DUMMYFUNCTION("""COMPUTED_VALUE"""),"661-42840")</f>
        <v>661-42840</v>
      </c>
      <c r="E3476" s="2" t="str">
        <f>IFERROR(__xludf.DUMMYFUNCTION("""COMPUTED_VALUE"""),"PinkBack Glass, iPhone 16 Plus")</f>
        <v>PinkBack Glass, iPhone 16 Plus</v>
      </c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</row>
    <row r="3477">
      <c r="A3477" s="10" t="str">
        <f t="shared" si="1"/>
        <v>February</v>
      </c>
      <c r="B3477" s="11">
        <f>IFERROR(__xludf.DUMMYFUNCTION("""COMPUTED_VALUE"""),46081.0)</f>
        <v>46081</v>
      </c>
      <c r="C3477" s="2" t="str">
        <f>IFERROR(__xludf.DUMMYFUNCTION("""COMPUTED_VALUE"""),"MOBILECARE - GLORIETTA 5")</f>
        <v>MOBILECARE - GLORIETTA 5</v>
      </c>
      <c r="D3477" s="2" t="str">
        <f>IFERROR(__xludf.DUMMYFUNCTION("""COMPUTED_VALUE"""),"661-29369")</f>
        <v>661-29369</v>
      </c>
      <c r="E3477" s="2" t="str">
        <f>IFERROR(__xludf.DUMMYFUNCTION("""COMPUTED_VALUE"""),"Camera, iPhone 14 Pro")</f>
        <v>Camera, iPhone 14 Pro</v>
      </c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</row>
    <row r="3478">
      <c r="A3478" s="10" t="str">
        <f t="shared" si="1"/>
        <v>February</v>
      </c>
      <c r="B3478" s="11">
        <f>IFERROR(__xludf.DUMMYFUNCTION("""COMPUTED_VALUE"""),46081.0)</f>
        <v>46081</v>
      </c>
      <c r="C3478" s="2" t="str">
        <f>IFERROR(__xludf.DUMMYFUNCTION("""COMPUTED_VALUE"""),"MOBILECARE - GLORIETTA 5")</f>
        <v>MOBILECARE - GLORIETTA 5</v>
      </c>
      <c r="D3478" s="2" t="str">
        <f>IFERROR(__xludf.DUMMYFUNCTION("""COMPUTED_VALUE"""),"661-30382")</f>
        <v>661-30382</v>
      </c>
      <c r="E3478" s="2" t="str">
        <f>IFERROR(__xludf.DUMMYFUNCTION("""COMPUTED_VALUE"""),"Battery, iPhone 14 Pro")</f>
        <v>Battery, iPhone 14 Pro</v>
      </c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</row>
    <row r="3479">
      <c r="A3479" s="10" t="str">
        <f t="shared" si="1"/>
        <v>February</v>
      </c>
      <c r="B3479" s="11">
        <f>IFERROR(__xludf.DUMMYFUNCTION("""COMPUTED_VALUE"""),46059.0)</f>
        <v>46059</v>
      </c>
      <c r="C3479" s="2" t="str">
        <f>IFERROR(__xludf.DUMMYFUNCTION("""COMPUTED_VALUE"""),"MOBILECARE - GLORIETTA 5")</f>
        <v>MOBILECARE - GLORIETTA 5</v>
      </c>
      <c r="D3479" s="2" t="str">
        <f>IFERROR(__xludf.DUMMYFUNCTION("""COMPUTED_VALUE"""),"661-30393")</f>
        <v>661-30393</v>
      </c>
      <c r="E3479" s="2" t="str">
        <f>IFERROR(__xludf.DUMMYFUNCTION("""COMPUTED_VALUE"""),"Camera, iPhone 14 Plus")</f>
        <v>Camera, iPhone 14 Plus</v>
      </c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</row>
    <row r="3480">
      <c r="A3480" s="10" t="str">
        <f t="shared" si="1"/>
        <v>January</v>
      </c>
      <c r="B3480" s="11">
        <f>IFERROR(__xludf.DUMMYFUNCTION("""COMPUTED_VALUE"""),46045.0)</f>
        <v>46045</v>
      </c>
      <c r="C3480" s="2" t="str">
        <f>IFERROR(__xludf.DUMMYFUNCTION("""COMPUTED_VALUE"""),"MOBILECARE - GLORIETTA 5")</f>
        <v>MOBILECARE - GLORIETTA 5</v>
      </c>
      <c r="D3480" s="2" t="str">
        <f>IFERROR(__xludf.DUMMYFUNCTION("""COMPUTED_VALUE"""),"661-13574")</f>
        <v>661-13574</v>
      </c>
      <c r="E3480" s="2" t="str">
        <f>IFERROR(__xludf.DUMMYFUNCTION("""COMPUTED_VALUE"""),"Battery, iPhone 11")</f>
        <v>Battery, iPhone 11</v>
      </c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</row>
    <row r="3481">
      <c r="A3481" s="10" t="str">
        <f t="shared" si="1"/>
        <v>January</v>
      </c>
      <c r="B3481" s="11">
        <f>IFERROR(__xludf.DUMMYFUNCTION("""COMPUTED_VALUE"""),46053.0)</f>
        <v>46053</v>
      </c>
      <c r="C3481" s="2" t="str">
        <f>IFERROR(__xludf.DUMMYFUNCTION("""COMPUTED_VALUE"""),"MOBILECARE - GLORIETTA 5")</f>
        <v>MOBILECARE - GLORIETTA 5</v>
      </c>
      <c r="D3481" s="2" t="str">
        <f>IFERROR(__xludf.DUMMYFUNCTION("""COMPUTED_VALUE"""),"661-35694")</f>
        <v>661-35694</v>
      </c>
      <c r="E3481" s="2" t="str">
        <f>IFERROR(__xludf.DUMMYFUNCTION("""COMPUTED_VALUE"""),"Battery, iPhone 15 Pro")</f>
        <v>Battery, iPhone 15 Pro</v>
      </c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</row>
    <row r="3482">
      <c r="A3482" s="10" t="str">
        <f t="shared" si="1"/>
        <v>May</v>
      </c>
      <c r="B3482" s="11">
        <f>IFERROR(__xludf.DUMMYFUNCTION("""COMPUTED_VALUE"""),46169.0)</f>
        <v>46169</v>
      </c>
      <c r="C3482" s="2" t="str">
        <f>IFERROR(__xludf.DUMMYFUNCTION("""COMPUTED_VALUE"""),"MOBILECARE - GLORIETTA 5")</f>
        <v>MOBILECARE - GLORIETTA 5</v>
      </c>
      <c r="D3482" s="2" t="str">
        <f>IFERROR(__xludf.DUMMYFUNCTION("""COMPUTED_VALUE"""),"661-30382")</f>
        <v>661-30382</v>
      </c>
      <c r="E3482" s="2" t="str">
        <f>IFERROR(__xludf.DUMMYFUNCTION("""COMPUTED_VALUE"""),"Battery, iPhone 14 Pro")</f>
        <v>Battery, iPhone 14 Pro</v>
      </c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</row>
    <row r="3483">
      <c r="A3483" s="10" t="str">
        <f t="shared" si="1"/>
        <v>May</v>
      </c>
      <c r="B3483" s="11">
        <f>IFERROR(__xludf.DUMMYFUNCTION("""COMPUTED_VALUE"""),46165.0)</f>
        <v>46165</v>
      </c>
      <c r="C3483" s="2" t="str">
        <f>IFERROR(__xludf.DUMMYFUNCTION("""COMPUTED_VALUE"""),"MOBILECARE - GLORIETTA 5")</f>
        <v>MOBILECARE - GLORIETTA 5</v>
      </c>
      <c r="D3483" s="2" t="str">
        <f>IFERROR(__xludf.DUMMYFUNCTION("""COMPUTED_VALUE"""),"661-17920")</f>
        <v>661-17920</v>
      </c>
      <c r="E3483" s="2" t="str">
        <f>IFERROR(__xludf.DUMMYFUNCTION("""COMPUTED_VALUE"""),"Battery, iPhone 12 and 12 Pro")</f>
        <v>Battery, iPhone 12 and 12 Pro</v>
      </c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</row>
    <row r="3484">
      <c r="A3484" s="10" t="str">
        <f t="shared" si="1"/>
        <v>May</v>
      </c>
      <c r="B3484" s="11">
        <f>IFERROR(__xludf.DUMMYFUNCTION("""COMPUTED_VALUE"""),46165.0)</f>
        <v>46165</v>
      </c>
      <c r="C3484" s="2" t="str">
        <f>IFERROR(__xludf.DUMMYFUNCTION("""COMPUTED_VALUE"""),"MOBILECARE - GLORIETTA 5")</f>
        <v>MOBILECARE - GLORIETTA 5</v>
      </c>
      <c r="D3484" s="2" t="str">
        <f>IFERROR(__xludf.DUMMYFUNCTION("""COMPUTED_VALUE"""),"661-17921")</f>
        <v>661-17921</v>
      </c>
      <c r="E3484" s="2" t="str">
        <f>IFERROR(__xludf.DUMMYFUNCTION("""COMPUTED_VALUE"""),"Camera, iPhone 12")</f>
        <v>Camera, iPhone 12</v>
      </c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</row>
    <row r="3485">
      <c r="A3485" s="10" t="str">
        <f t="shared" si="1"/>
        <v>April</v>
      </c>
      <c r="B3485" s="11">
        <f>IFERROR(__xludf.DUMMYFUNCTION("""COMPUTED_VALUE"""),46135.0)</f>
        <v>46135</v>
      </c>
      <c r="C3485" s="2" t="str">
        <f>IFERROR(__xludf.DUMMYFUNCTION("""COMPUTED_VALUE"""),"MOBILECARE - GLORIETTA 5")</f>
        <v>MOBILECARE - GLORIETTA 5</v>
      </c>
      <c r="D3485" s="2" t="str">
        <f>IFERROR(__xludf.DUMMYFUNCTION("""COMPUTED_VALUE"""),"661-30393")</f>
        <v>661-30393</v>
      </c>
      <c r="E3485" s="2" t="str">
        <f>IFERROR(__xludf.DUMMYFUNCTION("""COMPUTED_VALUE"""),"Camera, iPhone 14 Plus")</f>
        <v>Camera, iPhone 14 Plus</v>
      </c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</row>
    <row r="3486">
      <c r="A3486" s="10" t="str">
        <f t="shared" si="1"/>
        <v>April</v>
      </c>
      <c r="B3486" s="11">
        <f>IFERROR(__xludf.DUMMYFUNCTION("""COMPUTED_VALUE"""),46135.0)</f>
        <v>46135</v>
      </c>
      <c r="C3486" s="2" t="str">
        <f>IFERROR(__xludf.DUMMYFUNCTION("""COMPUTED_VALUE"""),"MOBILECARE - GLORIETTA 5")</f>
        <v>MOBILECARE - GLORIETTA 5</v>
      </c>
      <c r="D3486" s="2" t="str">
        <f>IFERROR(__xludf.DUMMYFUNCTION("""COMPUTED_VALUE"""),"661-30387")</f>
        <v>661-30387</v>
      </c>
      <c r="E3486" s="2" t="str">
        <f>IFERROR(__xludf.DUMMYFUNCTION("""COMPUTED_VALUE"""),"Purple, Back Glass, iPhone 14 Plus")</f>
        <v>Purple, Back Glass, iPhone 14 Plus</v>
      </c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</row>
    <row r="3487">
      <c r="A3487" s="10" t="str">
        <f t="shared" si="1"/>
        <v>March</v>
      </c>
      <c r="B3487" s="11">
        <f>IFERROR(__xludf.DUMMYFUNCTION("""COMPUTED_VALUE"""),46101.0)</f>
        <v>46101</v>
      </c>
      <c r="C3487" s="2" t="str">
        <f>IFERROR(__xludf.DUMMYFUNCTION("""COMPUTED_VALUE"""),"MOBILECARE - GLORIETTA 5")</f>
        <v>MOBILECARE - GLORIETTA 5</v>
      </c>
      <c r="D3487" s="2" t="str">
        <f>IFERROR(__xludf.DUMMYFUNCTION("""COMPUTED_VALUE"""),"661-36918")</f>
        <v>661-36918</v>
      </c>
      <c r="E3487" s="2" t="str">
        <f>IFERROR(__xludf.DUMMYFUNCTION("""COMPUTED_VALUE"""),"Battery, iPhone 15 Pro Max")</f>
        <v>Battery, iPhone 15 Pro Max</v>
      </c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</row>
    <row r="3488">
      <c r="A3488" s="10" t="str">
        <f t="shared" si="1"/>
        <v>March</v>
      </c>
      <c r="B3488" s="11">
        <f>IFERROR(__xludf.DUMMYFUNCTION("""COMPUTED_VALUE"""),46097.0)</f>
        <v>46097</v>
      </c>
      <c r="C3488" s="2" t="str">
        <f>IFERROR(__xludf.DUMMYFUNCTION("""COMPUTED_VALUE"""),"MOBILECARE - GLORIETTA 5")</f>
        <v>MOBILECARE - GLORIETTA 5</v>
      </c>
      <c r="D3488" s="2" t="str">
        <f>IFERROR(__xludf.DUMMYFUNCTION("""COMPUTED_VALUE"""),"661-22294")</f>
        <v>661-22294</v>
      </c>
      <c r="E3488" s="2" t="str">
        <f>IFERROR(__xludf.DUMMYFUNCTION("""COMPUTED_VALUE"""),"Battery, iPhone 13 Pro Max")</f>
        <v>Battery, iPhone 13 Pro Max</v>
      </c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</row>
    <row r="3489">
      <c r="A3489" s="10" t="str">
        <f t="shared" si="1"/>
        <v>March</v>
      </c>
      <c r="B3489" s="11">
        <f>IFERROR(__xludf.DUMMYFUNCTION("""COMPUTED_VALUE"""),46095.0)</f>
        <v>46095</v>
      </c>
      <c r="C3489" s="2" t="str">
        <f>IFERROR(__xludf.DUMMYFUNCTION("""COMPUTED_VALUE"""),"MOBILECARE - GLORIETTA 5")</f>
        <v>MOBILECARE - GLORIETTA 5</v>
      </c>
      <c r="D3489" s="2" t="str">
        <f>IFERROR(__xludf.DUMMYFUNCTION("""COMPUTED_VALUE"""),"661-30382")</f>
        <v>661-30382</v>
      </c>
      <c r="E3489" s="2" t="str">
        <f>IFERROR(__xludf.DUMMYFUNCTION("""COMPUTED_VALUE"""),"Battery, iPhone 14 Pro")</f>
        <v>Battery, iPhone 14 Pro</v>
      </c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</row>
    <row r="3490">
      <c r="A3490" s="10" t="str">
        <f t="shared" si="1"/>
        <v>March</v>
      </c>
      <c r="B3490" s="11">
        <f>IFERROR(__xludf.DUMMYFUNCTION("""COMPUTED_VALUE"""),46084.0)</f>
        <v>46084</v>
      </c>
      <c r="C3490" s="2" t="str">
        <f>IFERROR(__xludf.DUMMYFUNCTION("""COMPUTED_VALUE"""),"MOBILECARE - GLORIETTA 5")</f>
        <v>MOBILECARE - GLORIETTA 5</v>
      </c>
      <c r="D3490" s="2" t="str">
        <f>IFERROR(__xludf.DUMMYFUNCTION("""COMPUTED_VALUE"""),"661-22374")</f>
        <v>661-22374</v>
      </c>
      <c r="E3490" s="2" t="str">
        <f>IFERROR(__xludf.DUMMYFUNCTION("""COMPUTED_VALUE"""),"Battery, iPhone 13 mini")</f>
        <v>Battery, iPhone 13 mini</v>
      </c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</row>
    <row r="3491">
      <c r="A3491" s="10" t="str">
        <f t="shared" si="1"/>
        <v>May</v>
      </c>
      <c r="B3491" s="11">
        <f>IFERROR(__xludf.DUMMYFUNCTION("""COMPUTED_VALUE"""),46148.0)</f>
        <v>46148</v>
      </c>
      <c r="C3491" s="2" t="str">
        <f>IFERROR(__xludf.DUMMYFUNCTION("""COMPUTED_VALUE"""),"MOBILECARE - GLORIETTA 5")</f>
        <v>MOBILECARE - GLORIETTA 5</v>
      </c>
      <c r="D3491" s="2" t="str">
        <f>IFERROR(__xludf.DUMMYFUNCTION("""COMPUTED_VALUE"""),"661-56050")</f>
        <v>661-56050</v>
      </c>
      <c r="E3491" s="2" t="str">
        <f>IFERROR(__xludf.DUMMYFUNCTION("""COMPUTED_VALUE"""),"Display, iPhone 17 Pro Max")</f>
        <v>Display, iPhone 17 Pro Max</v>
      </c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</row>
    <row r="3492">
      <c r="A3492" s="10" t="str">
        <f t="shared" si="1"/>
        <v>April</v>
      </c>
      <c r="B3492" s="11">
        <f>IFERROR(__xludf.DUMMYFUNCTION("""COMPUTED_VALUE"""),46126.0)</f>
        <v>46126</v>
      </c>
      <c r="C3492" s="2" t="str">
        <f>IFERROR(__xludf.DUMMYFUNCTION("""COMPUTED_VALUE"""),"MOBILECARE - GLORIETTA 5")</f>
        <v>MOBILECARE - GLORIETTA 5</v>
      </c>
      <c r="D3492" s="2" t="str">
        <f>IFERROR(__xludf.DUMMYFUNCTION("""COMPUTED_VALUE"""),"661-21991")</f>
        <v>661-21991</v>
      </c>
      <c r="E3492" s="2" t="str">
        <f>IFERROR(__xludf.DUMMYFUNCTION("""COMPUTED_VALUE"""),"Battery, iPhone 13")</f>
        <v>Battery, iPhone 13</v>
      </c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</row>
    <row r="3493">
      <c r="A3493" s="10" t="str">
        <f t="shared" si="1"/>
        <v>March</v>
      </c>
      <c r="B3493" s="11">
        <f>IFERROR(__xludf.DUMMYFUNCTION("""COMPUTED_VALUE"""),46092.0)</f>
        <v>46092</v>
      </c>
      <c r="C3493" s="2" t="str">
        <f>IFERROR(__xludf.DUMMYFUNCTION("""COMPUTED_VALUE"""),"MOBILECARE - GLORIETTA 5")</f>
        <v>MOBILECARE - GLORIETTA 5</v>
      </c>
      <c r="D3493" s="2" t="str">
        <f>IFERROR(__xludf.DUMMYFUNCTION("""COMPUTED_VALUE"""),"661-18428")</f>
        <v>661-18428</v>
      </c>
      <c r="E3493" s="2" t="str">
        <f>IFERROR(__xludf.DUMMYFUNCTION("""COMPUTED_VALUE"""),"Battery, iPhone 12 Pro Max")</f>
        <v>Battery, iPhone 12 Pro Max</v>
      </c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</row>
    <row r="3494">
      <c r="A3494" s="10" t="str">
        <f t="shared" si="1"/>
        <v>March</v>
      </c>
      <c r="B3494" s="11">
        <f>IFERROR(__xludf.DUMMYFUNCTION("""COMPUTED_VALUE"""),46093.0)</f>
        <v>46093</v>
      </c>
      <c r="C3494" s="2" t="str">
        <f>IFERROR(__xludf.DUMMYFUNCTION("""COMPUTED_VALUE"""),"MOBILECARE - GLORIETTA 5")</f>
        <v>MOBILECARE - GLORIETTA 5</v>
      </c>
      <c r="D3494" s="2" t="str">
        <f>IFERROR(__xludf.DUMMYFUNCTION("""COMPUTED_VALUE"""),"661-36829")</f>
        <v>661-36829</v>
      </c>
      <c r="E3494" s="2" t="str">
        <f>IFERROR(__xludf.DUMMYFUNCTION("""COMPUTED_VALUE"""),"TrueDepth Camera, iPhone 15")</f>
        <v>TrueDepth Camera, iPhone 15</v>
      </c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</row>
    <row r="3495">
      <c r="A3495" s="10" t="str">
        <f t="shared" si="1"/>
        <v>March</v>
      </c>
      <c r="B3495" s="11">
        <f>IFERROR(__xludf.DUMMYFUNCTION("""COMPUTED_VALUE"""),46084.0)</f>
        <v>46084</v>
      </c>
      <c r="C3495" s="2" t="str">
        <f>IFERROR(__xludf.DUMMYFUNCTION("""COMPUTED_VALUE"""),"MOBILECARE - GLORIETTA 5")</f>
        <v>MOBILECARE - GLORIETTA 5</v>
      </c>
      <c r="D3495" s="2" t="str">
        <f>IFERROR(__xludf.DUMMYFUNCTION("""COMPUTED_VALUE"""),"661-22309")</f>
        <v>661-22309</v>
      </c>
      <c r="E3495" s="2" t="str">
        <f>IFERROR(__xludf.DUMMYFUNCTION("""COMPUTED_VALUE"""),"Display, iPhone 13 Pro Max")</f>
        <v>Display, iPhone 13 Pro Max</v>
      </c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</row>
    <row r="3496">
      <c r="A3496" s="10" t="str">
        <f t="shared" si="1"/>
        <v>February</v>
      </c>
      <c r="B3496" s="11">
        <f>IFERROR(__xludf.DUMMYFUNCTION("""COMPUTED_VALUE"""),46073.0)</f>
        <v>46073</v>
      </c>
      <c r="C3496" s="2" t="str">
        <f>IFERROR(__xludf.DUMMYFUNCTION("""COMPUTED_VALUE"""),"MOBILECARE - GLORIETTA 5")</f>
        <v>MOBILECARE - GLORIETTA 5</v>
      </c>
      <c r="D3496" s="2" t="str">
        <f>IFERROR(__xludf.DUMMYFUNCTION("""COMPUTED_VALUE"""),"661-35694")</f>
        <v>661-35694</v>
      </c>
      <c r="E3496" s="2" t="str">
        <f>IFERROR(__xludf.DUMMYFUNCTION("""COMPUTED_VALUE"""),"Battery, iPhone 15 Pro")</f>
        <v>Battery, iPhone 15 Pro</v>
      </c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</row>
    <row r="3497">
      <c r="A3497" s="10" t="str">
        <f t="shared" si="1"/>
        <v>February</v>
      </c>
      <c r="B3497" s="11">
        <f>IFERROR(__xludf.DUMMYFUNCTION("""COMPUTED_VALUE"""),46059.0)</f>
        <v>46059</v>
      </c>
      <c r="C3497" s="2" t="str">
        <f>IFERROR(__xludf.DUMMYFUNCTION("""COMPUTED_VALUE"""),"MOBILECARE - GLORIETTA 5")</f>
        <v>MOBILECARE - GLORIETTA 5</v>
      </c>
      <c r="D3497" s="2" t="str">
        <f>IFERROR(__xludf.DUMMYFUNCTION("""COMPUTED_VALUE"""),"661-21991")</f>
        <v>661-21991</v>
      </c>
      <c r="E3497" s="2" t="str">
        <f>IFERROR(__xludf.DUMMYFUNCTION("""COMPUTED_VALUE"""),"Battery, iPhone 13")</f>
        <v>Battery, iPhone 13</v>
      </c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</row>
    <row r="3498">
      <c r="A3498" s="10" t="str">
        <f t="shared" si="1"/>
        <v>February</v>
      </c>
      <c r="B3498" s="11">
        <f>IFERROR(__xludf.DUMMYFUNCTION("""COMPUTED_VALUE"""),46054.0)</f>
        <v>46054</v>
      </c>
      <c r="C3498" s="2" t="str">
        <f>IFERROR(__xludf.DUMMYFUNCTION("""COMPUTED_VALUE"""),"MOBILECARE - GLORIETTA 5")</f>
        <v>MOBILECARE - GLORIETTA 5</v>
      </c>
      <c r="D3498" s="2" t="str">
        <f>IFERROR(__xludf.DUMMYFUNCTION("""COMPUTED_VALUE"""),"PP661-22982")</f>
        <v>PP661-22982</v>
      </c>
      <c r="E3498" s="2" t="str">
        <f>IFERROR(__xludf.DUMMYFUNCTION("""COMPUTED_VALUE"""),"Pink, 128 GB, iPhone 13, ROW, CI/AR, Philippines")</f>
        <v>Pink, 128 GB, iPhone 13, ROW, CI/AR, Philippines</v>
      </c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</row>
    <row r="3499">
      <c r="A3499" s="10" t="str">
        <f t="shared" si="1"/>
        <v>June</v>
      </c>
      <c r="B3499" s="11">
        <f>IFERROR(__xludf.DUMMYFUNCTION("""COMPUTED_VALUE"""),46193.0)</f>
        <v>46193</v>
      </c>
      <c r="C3499" s="2" t="str">
        <f>IFERROR(__xludf.DUMMYFUNCTION("""COMPUTED_VALUE"""),"MOBILECARE - GLORIETTA 5")</f>
        <v>MOBILECARE - GLORIETTA 5</v>
      </c>
      <c r="D3499" s="2" t="str">
        <f>IFERROR(__xludf.DUMMYFUNCTION("""COMPUTED_VALUE"""),"661-21991")</f>
        <v>661-21991</v>
      </c>
      <c r="E3499" s="2" t="str">
        <f>IFERROR(__xludf.DUMMYFUNCTION("""COMPUTED_VALUE"""),"Battery, iPhone 13")</f>
        <v>Battery, iPhone 13</v>
      </c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</row>
    <row r="3500">
      <c r="A3500" s="10" t="str">
        <f t="shared" si="1"/>
        <v>June</v>
      </c>
      <c r="B3500" s="11">
        <f>IFERROR(__xludf.DUMMYFUNCTION("""COMPUTED_VALUE"""),46177.0)</f>
        <v>46177</v>
      </c>
      <c r="C3500" s="2" t="str">
        <f>IFERROR(__xludf.DUMMYFUNCTION("""COMPUTED_VALUE"""),"MOBILECARE - GLORIETTA 5")</f>
        <v>MOBILECARE - GLORIETTA 5</v>
      </c>
      <c r="D3500" s="2" t="str">
        <f>IFERROR(__xludf.DUMMYFUNCTION("""COMPUTED_VALUE"""),"661-44955")</f>
        <v>661-44955</v>
      </c>
      <c r="E3500" s="2" t="str">
        <f>IFERROR(__xludf.DUMMYFUNCTION("""COMPUTED_VALUE"""),"Display, iPhone 16 Pro Max")</f>
        <v>Display, iPhone 16 Pro Max</v>
      </c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</row>
    <row r="3501">
      <c r="A3501" s="10" t="str">
        <f t="shared" si="1"/>
        <v>May</v>
      </c>
      <c r="B3501" s="11">
        <f>IFERROR(__xludf.DUMMYFUNCTION("""COMPUTED_VALUE"""),46161.0)</f>
        <v>46161</v>
      </c>
      <c r="C3501" s="2" t="str">
        <f>IFERROR(__xludf.DUMMYFUNCTION("""COMPUTED_VALUE"""),"MOBILECARE - GLORIETTA 5")</f>
        <v>MOBILECARE - GLORIETTA 5</v>
      </c>
      <c r="D3501" s="2" t="str">
        <f>IFERROR(__xludf.DUMMYFUNCTION("""COMPUTED_VALUE"""),"661-13624")</f>
        <v>661-13624</v>
      </c>
      <c r="E3501" s="2" t="str">
        <f>IFERROR(__xludf.DUMMYFUNCTION("""COMPUTED_VALUE"""),"Battery, iPhone 11 Pro Max")</f>
        <v>Battery, iPhone 11 Pro Max</v>
      </c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</row>
    <row r="3502">
      <c r="A3502" s="10" t="str">
        <f t="shared" si="1"/>
        <v>March</v>
      </c>
      <c r="B3502" s="11">
        <f>IFERROR(__xludf.DUMMYFUNCTION("""COMPUTED_VALUE"""),46111.0)</f>
        <v>46111</v>
      </c>
      <c r="C3502" s="2" t="str">
        <f>IFERROR(__xludf.DUMMYFUNCTION("""COMPUTED_VALUE"""),"MOBILECARE - GLORIETTA 5")</f>
        <v>MOBILECARE - GLORIETTA 5</v>
      </c>
      <c r="D3502" s="2" t="str">
        <f>IFERROR(__xludf.DUMMYFUNCTION("""COMPUTED_VALUE"""),"661-22374")</f>
        <v>661-22374</v>
      </c>
      <c r="E3502" s="2" t="str">
        <f>IFERROR(__xludf.DUMMYFUNCTION("""COMPUTED_VALUE"""),"Battery, iPhone 13 mini")</f>
        <v>Battery, iPhone 13 mini</v>
      </c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</row>
    <row r="3503">
      <c r="A3503" s="10" t="str">
        <f t="shared" si="1"/>
        <v>March</v>
      </c>
      <c r="B3503" s="11">
        <f>IFERROR(__xludf.DUMMYFUNCTION("""COMPUTED_VALUE"""),46109.0)</f>
        <v>46109</v>
      </c>
      <c r="C3503" s="2" t="str">
        <f>IFERROR(__xludf.DUMMYFUNCTION("""COMPUTED_VALUE"""),"MOBILECARE - GLORIETTA 5")</f>
        <v>MOBILECARE - GLORIETTA 5</v>
      </c>
      <c r="D3503" s="2" t="str">
        <f>IFERROR(__xludf.DUMMYFUNCTION("""COMPUTED_VALUE"""),"661-21991")</f>
        <v>661-21991</v>
      </c>
      <c r="E3503" s="2" t="str">
        <f>IFERROR(__xludf.DUMMYFUNCTION("""COMPUTED_VALUE"""),"Battery, iPhone 13")</f>
        <v>Battery, iPhone 13</v>
      </c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</row>
    <row r="3504">
      <c r="A3504" s="10" t="str">
        <f t="shared" si="1"/>
        <v>March</v>
      </c>
      <c r="B3504" s="11">
        <f>IFERROR(__xludf.DUMMYFUNCTION("""COMPUTED_VALUE"""),46100.0)</f>
        <v>46100</v>
      </c>
      <c r="C3504" s="2" t="str">
        <f>IFERROR(__xludf.DUMMYFUNCTION("""COMPUTED_VALUE"""),"MOBILECARE - GLORIETTA 5")</f>
        <v>MOBILECARE - GLORIETTA 5</v>
      </c>
      <c r="D3504" s="2" t="str">
        <f>IFERROR(__xludf.DUMMYFUNCTION("""COMPUTED_VALUE"""),"TA661-55207")</f>
        <v>TA661-55207</v>
      </c>
      <c r="E3504" s="2" t="str">
        <f>IFERROR(__xludf.DUMMYFUNCTION("""COMPUTED_VALUE"""),"Cosmic Orange, 256GB, iPhone 17 Pro Max, ROW, CI/AR, Taiwan")</f>
        <v>Cosmic Orange, 256GB, iPhone 17 Pro Max, ROW, CI/AR, Taiwan</v>
      </c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</row>
    <row r="3505">
      <c r="A3505" s="10" t="str">
        <f t="shared" si="1"/>
        <v>February</v>
      </c>
      <c r="B3505" s="11">
        <f>IFERROR(__xludf.DUMMYFUNCTION("""COMPUTED_VALUE"""),46058.0)</f>
        <v>46058</v>
      </c>
      <c r="C3505" s="2" t="str">
        <f>IFERROR(__xludf.DUMMYFUNCTION("""COMPUTED_VALUE"""),"MOBILECARE - GLORIETTA 5")</f>
        <v>MOBILECARE - GLORIETTA 5</v>
      </c>
      <c r="D3505" s="2" t="str">
        <f>IFERROR(__xludf.DUMMYFUNCTION("""COMPUTED_VALUE"""),"661-15741")</f>
        <v>661-15741</v>
      </c>
      <c r="E3505" s="2" t="str">
        <f>IFERROR(__xludf.DUMMYFUNCTION("""COMPUTED_VALUE"""),"Battery, iPhone SE 2nd gen")</f>
        <v>Battery, iPhone SE 2nd gen</v>
      </c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</row>
    <row r="3506">
      <c r="A3506" s="10" t="str">
        <f t="shared" si="1"/>
        <v>January</v>
      </c>
      <c r="B3506" s="11">
        <f>IFERROR(__xludf.DUMMYFUNCTION("""COMPUTED_VALUE"""),46044.0)</f>
        <v>46044</v>
      </c>
      <c r="C3506" s="2" t="str">
        <f>IFERROR(__xludf.DUMMYFUNCTION("""COMPUTED_VALUE"""),"MOBILECARE - GLORIETTA 5")</f>
        <v>MOBILECARE - GLORIETTA 5</v>
      </c>
      <c r="D3506" s="2" t="str">
        <f>IFERROR(__xludf.DUMMYFUNCTION("""COMPUTED_VALUE"""),"661-17920")</f>
        <v>661-17920</v>
      </c>
      <c r="E3506" s="2" t="str">
        <f>IFERROR(__xludf.DUMMYFUNCTION("""COMPUTED_VALUE"""),"Battery, iPhone 12 and 12 Pro")</f>
        <v>Battery, iPhone 12 and 12 Pro</v>
      </c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</row>
    <row r="3507">
      <c r="A3507" s="10" t="str">
        <f t="shared" si="1"/>
        <v>January</v>
      </c>
      <c r="B3507" s="11">
        <f>IFERROR(__xludf.DUMMYFUNCTION("""COMPUTED_VALUE"""),46044.0)</f>
        <v>46044</v>
      </c>
      <c r="C3507" s="2" t="str">
        <f>IFERROR(__xludf.DUMMYFUNCTION("""COMPUTED_VALUE"""),"MOBILECARE - GLORIETTA 5")</f>
        <v>MOBILECARE - GLORIETTA 5</v>
      </c>
      <c r="D3507" s="2" t="str">
        <f>IFERROR(__xludf.DUMMYFUNCTION("""COMPUTED_VALUE"""),"661-18504")</f>
        <v>661-18504</v>
      </c>
      <c r="E3507" s="2" t="str">
        <f>IFERROR(__xludf.DUMMYFUNCTION("""COMPUTED_VALUE"""),"Display, iPhone 12 Pro")</f>
        <v>Display, iPhone 12 Pro</v>
      </c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</row>
    <row r="3508">
      <c r="A3508" s="10" t="str">
        <f t="shared" si="1"/>
        <v>June</v>
      </c>
      <c r="B3508" s="11">
        <f>IFERROR(__xludf.DUMMYFUNCTION("""COMPUTED_VALUE"""),46193.0)</f>
        <v>46193</v>
      </c>
      <c r="C3508" s="2" t="str">
        <f>IFERROR(__xludf.DUMMYFUNCTION("""COMPUTED_VALUE"""),"MOBILECARE - GLORIETTA 5")</f>
        <v>MOBILECARE - GLORIETTA 5</v>
      </c>
      <c r="D3508" s="2" t="str">
        <f>IFERROR(__xludf.DUMMYFUNCTION("""COMPUTED_VALUE"""),"661-17920")</f>
        <v>661-17920</v>
      </c>
      <c r="E3508" s="2" t="str">
        <f>IFERROR(__xludf.DUMMYFUNCTION("""COMPUTED_VALUE"""),"Battery, iPhone 12 and 12 Pro")</f>
        <v>Battery, iPhone 12 and 12 Pro</v>
      </c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</row>
    <row r="3509">
      <c r="A3509" s="10" t="str">
        <f t="shared" si="1"/>
        <v>May</v>
      </c>
      <c r="B3509" s="11">
        <f>IFERROR(__xludf.DUMMYFUNCTION("""COMPUTED_VALUE"""),46146.0)</f>
        <v>46146</v>
      </c>
      <c r="C3509" s="2" t="str">
        <f>IFERROR(__xludf.DUMMYFUNCTION("""COMPUTED_VALUE"""),"MOBILECARE - GLORIETTA 5")</f>
        <v>MOBILECARE - GLORIETTA 5</v>
      </c>
      <c r="D3509" s="2" t="str">
        <f>IFERROR(__xludf.DUMMYFUNCTION("""COMPUTED_VALUE"""),"661-30382")</f>
        <v>661-30382</v>
      </c>
      <c r="E3509" s="2" t="str">
        <f>IFERROR(__xludf.DUMMYFUNCTION("""COMPUTED_VALUE"""),"Battery, iPhone 14 Pro")</f>
        <v>Battery, iPhone 14 Pro</v>
      </c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</row>
    <row r="3510">
      <c r="A3510" s="10" t="str">
        <f t="shared" si="1"/>
        <v>April</v>
      </c>
      <c r="B3510" s="11">
        <f>IFERROR(__xludf.DUMMYFUNCTION("""COMPUTED_VALUE"""),46133.0)</f>
        <v>46133</v>
      </c>
      <c r="C3510" s="2" t="str">
        <f>IFERROR(__xludf.DUMMYFUNCTION("""COMPUTED_VALUE"""),"MOBILECARE - GLORIETTA 5")</f>
        <v>MOBILECARE - GLORIETTA 5</v>
      </c>
      <c r="D3510" s="2" t="str">
        <f>IFERROR(__xludf.DUMMYFUNCTION("""COMPUTED_VALUE"""),"661-35694")</f>
        <v>661-35694</v>
      </c>
      <c r="E3510" s="2" t="str">
        <f>IFERROR(__xludf.DUMMYFUNCTION("""COMPUTED_VALUE"""),"Battery, iPhone 15 Pro")</f>
        <v>Battery, iPhone 15 Pro</v>
      </c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</row>
    <row r="3511">
      <c r="A3511" s="10" t="str">
        <f t="shared" si="1"/>
        <v>April</v>
      </c>
      <c r="B3511" s="11">
        <f>IFERROR(__xludf.DUMMYFUNCTION("""COMPUTED_VALUE"""),46128.0)</f>
        <v>46128</v>
      </c>
      <c r="C3511" s="2" t="str">
        <f>IFERROR(__xludf.DUMMYFUNCTION("""COMPUTED_VALUE"""),"MOBILECARE - GLORIETTA 5")</f>
        <v>MOBILECARE - GLORIETTA 5</v>
      </c>
      <c r="D3511" s="2" t="str">
        <f>IFERROR(__xludf.DUMMYFUNCTION("""COMPUTED_VALUE"""),"661-30393")</f>
        <v>661-30393</v>
      </c>
      <c r="E3511" s="2" t="str">
        <f>IFERROR(__xludf.DUMMYFUNCTION("""COMPUTED_VALUE"""),"Camera, iPhone 14 Plus")</f>
        <v>Camera, iPhone 14 Plus</v>
      </c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</row>
    <row r="3512">
      <c r="A3512" s="10" t="str">
        <f t="shared" si="1"/>
        <v>March</v>
      </c>
      <c r="B3512" s="11">
        <f>IFERROR(__xludf.DUMMYFUNCTION("""COMPUTED_VALUE"""),46106.0)</f>
        <v>46106</v>
      </c>
      <c r="C3512" s="2" t="str">
        <f>IFERROR(__xludf.DUMMYFUNCTION("""COMPUTED_VALUE"""),"MOBILECARE - GLORIETTA 5")</f>
        <v>MOBILECARE - GLORIETTA 5</v>
      </c>
      <c r="D3512" s="2" t="str">
        <f>IFERROR(__xludf.DUMMYFUNCTION("""COMPUTED_VALUE"""),"661-13624")</f>
        <v>661-13624</v>
      </c>
      <c r="E3512" s="2" t="str">
        <f>IFERROR(__xludf.DUMMYFUNCTION("""COMPUTED_VALUE"""),"Battery, iPhone 11 Pro Max")</f>
        <v>Battery, iPhone 11 Pro Max</v>
      </c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</row>
    <row r="3513">
      <c r="A3513" s="10" t="str">
        <f t="shared" si="1"/>
        <v>March</v>
      </c>
      <c r="B3513" s="11">
        <f>IFERROR(__xludf.DUMMYFUNCTION("""COMPUTED_VALUE"""),46091.0)</f>
        <v>46091</v>
      </c>
      <c r="C3513" s="2" t="str">
        <f>IFERROR(__xludf.DUMMYFUNCTION("""COMPUTED_VALUE"""),"MOBILECARE - GLORIETTA 5")</f>
        <v>MOBILECARE - GLORIETTA 5</v>
      </c>
      <c r="D3513" s="2" t="str">
        <f>IFERROR(__xludf.DUMMYFUNCTION("""COMPUTED_VALUE"""),"661-56050")</f>
        <v>661-56050</v>
      </c>
      <c r="E3513" s="2" t="str">
        <f>IFERROR(__xludf.DUMMYFUNCTION("""COMPUTED_VALUE"""),"Display, iPhone 17 Pro Max")</f>
        <v>Display, iPhone 17 Pro Max</v>
      </c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</row>
    <row r="3514">
      <c r="A3514" s="10" t="str">
        <f t="shared" si="1"/>
        <v>February</v>
      </c>
      <c r="B3514" s="11">
        <f>IFERROR(__xludf.DUMMYFUNCTION("""COMPUTED_VALUE"""),46072.0)</f>
        <v>46072</v>
      </c>
      <c r="C3514" s="2" t="str">
        <f>IFERROR(__xludf.DUMMYFUNCTION("""COMPUTED_VALUE"""),"MOBILECARE - GLORIETTA 5")</f>
        <v>MOBILECARE - GLORIETTA 5</v>
      </c>
      <c r="D3514" s="2" t="str">
        <f>IFERROR(__xludf.DUMMYFUNCTION("""COMPUTED_VALUE"""),"661-21996")</f>
        <v>661-21996</v>
      </c>
      <c r="E3514" s="2" t="str">
        <f>IFERROR(__xludf.DUMMYFUNCTION("""COMPUTED_VALUE"""),"Battery, iPhone 13 Pro")</f>
        <v>Battery, iPhone 13 Pro</v>
      </c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</row>
    <row r="3515">
      <c r="A3515" s="10" t="str">
        <f t="shared" si="1"/>
        <v>February</v>
      </c>
      <c r="B3515" s="11">
        <f>IFERROR(__xludf.DUMMYFUNCTION("""COMPUTED_VALUE"""),46068.0)</f>
        <v>46068</v>
      </c>
      <c r="C3515" s="2" t="str">
        <f>IFERROR(__xludf.DUMMYFUNCTION("""COMPUTED_VALUE"""),"MOBILECARE - GLORIETTA 5")</f>
        <v>MOBILECARE - GLORIETTA 5</v>
      </c>
      <c r="D3515" s="2" t="str">
        <f>IFERROR(__xludf.DUMMYFUNCTION("""COMPUTED_VALUE"""),"661-36918")</f>
        <v>661-36918</v>
      </c>
      <c r="E3515" s="2" t="str">
        <f>IFERROR(__xludf.DUMMYFUNCTION("""COMPUTED_VALUE"""),"Battery, iPhone 15 Pro Max")</f>
        <v>Battery, iPhone 15 Pro Max</v>
      </c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</row>
    <row r="3516">
      <c r="A3516" s="10" t="str">
        <f t="shared" si="1"/>
        <v>February</v>
      </c>
      <c r="B3516" s="11">
        <f>IFERROR(__xludf.DUMMYFUNCTION("""COMPUTED_VALUE"""),46054.0)</f>
        <v>46054</v>
      </c>
      <c r="C3516" s="2" t="str">
        <f>IFERROR(__xludf.DUMMYFUNCTION("""COMPUTED_VALUE"""),"MOBILECARE - GLORIETTA 5")</f>
        <v>MOBILECARE - GLORIETTA 5</v>
      </c>
      <c r="D3516" s="2" t="str">
        <f>IFERROR(__xludf.DUMMYFUNCTION("""COMPUTED_VALUE"""),"661-30366")</f>
        <v>661-30366</v>
      </c>
      <c r="E3516" s="2" t="str">
        <f>IFERROR(__xludf.DUMMYFUNCTION("""COMPUTED_VALUE"""),"Display, iPhone 14")</f>
        <v>Display, iPhone 14</v>
      </c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</row>
    <row r="3517">
      <c r="A3517" s="10" t="str">
        <f t="shared" si="1"/>
        <v>January</v>
      </c>
      <c r="B3517" s="11">
        <f>IFERROR(__xludf.DUMMYFUNCTION("""COMPUTED_VALUE"""),46036.0)</f>
        <v>46036</v>
      </c>
      <c r="C3517" s="2" t="str">
        <f>IFERROR(__xludf.DUMMYFUNCTION("""COMPUTED_VALUE"""),"MOBILECARE - GLORIETTA 5")</f>
        <v>MOBILECARE - GLORIETTA 5</v>
      </c>
      <c r="D3517" s="2" t="str">
        <f>IFERROR(__xludf.DUMMYFUNCTION("""COMPUTED_VALUE"""),"661-21991")</f>
        <v>661-21991</v>
      </c>
      <c r="E3517" s="2" t="str">
        <f>IFERROR(__xludf.DUMMYFUNCTION("""COMPUTED_VALUE"""),"Battery, iPhone 13")</f>
        <v>Battery, iPhone 13</v>
      </c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</row>
    <row r="3518">
      <c r="A3518" s="10" t="str">
        <f t="shared" si="1"/>
        <v>May</v>
      </c>
      <c r="B3518" s="11">
        <f>IFERROR(__xludf.DUMMYFUNCTION("""COMPUTED_VALUE"""),46156.0)</f>
        <v>46156</v>
      </c>
      <c r="C3518" s="2" t="str">
        <f>IFERROR(__xludf.DUMMYFUNCTION("""COMPUTED_VALUE"""),"MOBILECARE - GLORIETTA 5")</f>
        <v>MOBILECARE - GLORIETTA 5</v>
      </c>
      <c r="D3518" s="2" t="str">
        <f>IFERROR(__xludf.DUMMYFUNCTION("""COMPUTED_VALUE"""),"661-21991")</f>
        <v>661-21991</v>
      </c>
      <c r="E3518" s="2" t="str">
        <f>IFERROR(__xludf.DUMMYFUNCTION("""COMPUTED_VALUE"""),"Battery, iPhone 13")</f>
        <v>Battery, iPhone 13</v>
      </c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</row>
    <row r="3519">
      <c r="A3519" s="10" t="str">
        <f t="shared" si="1"/>
        <v>May</v>
      </c>
      <c r="B3519" s="11">
        <f>IFERROR(__xludf.DUMMYFUNCTION("""COMPUTED_VALUE"""),46147.0)</f>
        <v>46147</v>
      </c>
      <c r="C3519" s="2" t="str">
        <f>IFERROR(__xludf.DUMMYFUNCTION("""COMPUTED_VALUE"""),"MOBILECARE - GLORIETTA 5")</f>
        <v>MOBILECARE - GLORIETTA 5</v>
      </c>
      <c r="D3519" s="2" t="str">
        <f>IFERROR(__xludf.DUMMYFUNCTION("""COMPUTED_VALUE"""),"661-22374")</f>
        <v>661-22374</v>
      </c>
      <c r="E3519" s="2" t="str">
        <f>IFERROR(__xludf.DUMMYFUNCTION("""COMPUTED_VALUE"""),"Battery, iPhone 13 mini")</f>
        <v>Battery, iPhone 13 mini</v>
      </c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</row>
    <row r="3520">
      <c r="A3520" s="10" t="str">
        <f t="shared" si="1"/>
        <v>May</v>
      </c>
      <c r="B3520" s="11">
        <f>IFERROR(__xludf.DUMMYFUNCTION("""COMPUTED_VALUE"""),46147.0)</f>
        <v>46147</v>
      </c>
      <c r="C3520" s="2" t="str">
        <f>IFERROR(__xludf.DUMMYFUNCTION("""COMPUTED_VALUE"""),"MOBILECARE - GLORIETTA 5")</f>
        <v>MOBILECARE - GLORIETTA 5</v>
      </c>
      <c r="D3520" s="2" t="str">
        <f>IFERROR(__xludf.DUMMYFUNCTION("""COMPUTED_VALUE"""),"661-22311")</f>
        <v>661-22311</v>
      </c>
      <c r="E3520" s="2" t="str">
        <f>IFERROR(__xludf.DUMMYFUNCTION("""COMPUTED_VALUE"""),"Display, iPhone 13 mini")</f>
        <v>Display, iPhone 13 mini</v>
      </c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</row>
    <row r="3521">
      <c r="A3521" s="10" t="str">
        <f t="shared" si="1"/>
        <v>April</v>
      </c>
      <c r="B3521" s="11">
        <f>IFERROR(__xludf.DUMMYFUNCTION("""COMPUTED_VALUE"""),46129.0)</f>
        <v>46129</v>
      </c>
      <c r="C3521" s="2" t="str">
        <f>IFERROR(__xludf.DUMMYFUNCTION("""COMPUTED_VALUE"""),"MOBILECARE - GLORIETTA 5")</f>
        <v>MOBILECARE - GLORIETTA 5</v>
      </c>
      <c r="D3521" s="2" t="str">
        <f>IFERROR(__xludf.DUMMYFUNCTION("""COMPUTED_VALUE"""),"661-30397")</f>
        <v>661-30397</v>
      </c>
      <c r="E3521" s="2" t="str">
        <f>IFERROR(__xludf.DUMMYFUNCTION("""COMPUTED_VALUE"""),"Battery, iPhone 14 Pro Max")</f>
        <v>Battery, iPhone 14 Pro Max</v>
      </c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</row>
    <row r="3522">
      <c r="A3522" s="10" t="str">
        <f t="shared" si="1"/>
        <v>March</v>
      </c>
      <c r="B3522" s="11">
        <f>IFERROR(__xludf.DUMMYFUNCTION("""COMPUTED_VALUE"""),46093.0)</f>
        <v>46093</v>
      </c>
      <c r="C3522" s="2" t="str">
        <f>IFERROR(__xludf.DUMMYFUNCTION("""COMPUTED_VALUE"""),"MOBILECARE - GLORIETTA 5")</f>
        <v>MOBILECARE - GLORIETTA 5</v>
      </c>
      <c r="D3522" s="2" t="str">
        <f>IFERROR(__xludf.DUMMYFUNCTION("""COMPUTED_VALUE"""),"661-22294")</f>
        <v>661-22294</v>
      </c>
      <c r="E3522" s="2" t="str">
        <f>IFERROR(__xludf.DUMMYFUNCTION("""COMPUTED_VALUE"""),"Battery, iPhone 13 Pro Max")</f>
        <v>Battery, iPhone 13 Pro Max</v>
      </c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</row>
    <row r="3523">
      <c r="A3523" s="10" t="str">
        <f t="shared" si="1"/>
        <v>February</v>
      </c>
      <c r="B3523" s="11">
        <f>IFERROR(__xludf.DUMMYFUNCTION("""COMPUTED_VALUE"""),46079.0)</f>
        <v>46079</v>
      </c>
      <c r="C3523" s="2" t="str">
        <f>IFERROR(__xludf.DUMMYFUNCTION("""COMPUTED_VALUE"""),"MOBILECARE - GLORIETTA 5")</f>
        <v>MOBILECARE - GLORIETTA 5</v>
      </c>
      <c r="D3523" s="2" t="str">
        <f>IFERROR(__xludf.DUMMYFUNCTION("""COMPUTED_VALUE"""),"661-21991")</f>
        <v>661-21991</v>
      </c>
      <c r="E3523" s="2" t="str">
        <f>IFERROR(__xludf.DUMMYFUNCTION("""COMPUTED_VALUE"""),"Battery, iPhone 13")</f>
        <v>Battery, iPhone 13</v>
      </c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</row>
    <row r="3524">
      <c r="A3524" s="10" t="str">
        <f t="shared" si="1"/>
        <v>February</v>
      </c>
      <c r="B3524" s="11">
        <f>IFERROR(__xludf.DUMMYFUNCTION("""COMPUTED_VALUE"""),46072.0)</f>
        <v>46072</v>
      </c>
      <c r="C3524" s="2" t="str">
        <f>IFERROR(__xludf.DUMMYFUNCTION("""COMPUTED_VALUE"""),"MOBILECARE - GLORIETTA 5")</f>
        <v>MOBILECARE - GLORIETTA 5</v>
      </c>
      <c r="D3524" s="2" t="str">
        <f>IFERROR(__xludf.DUMMYFUNCTION("""COMPUTED_VALUE"""),"661-21991")</f>
        <v>661-21991</v>
      </c>
      <c r="E3524" s="2" t="str">
        <f>IFERROR(__xludf.DUMMYFUNCTION("""COMPUTED_VALUE"""),"Battery, iPhone 13")</f>
        <v>Battery, iPhone 13</v>
      </c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</row>
    <row r="3525">
      <c r="A3525" s="10" t="str">
        <f t="shared" si="1"/>
        <v>February</v>
      </c>
      <c r="B3525" s="11">
        <f>IFERROR(__xludf.DUMMYFUNCTION("""COMPUTED_VALUE"""),46069.0)</f>
        <v>46069</v>
      </c>
      <c r="C3525" s="2" t="str">
        <f>IFERROR(__xludf.DUMMYFUNCTION("""COMPUTED_VALUE"""),"MOBILECARE - GLORIETTA 5")</f>
        <v>MOBILECARE - GLORIETTA 5</v>
      </c>
      <c r="D3525" s="2" t="str">
        <f>IFERROR(__xludf.DUMMYFUNCTION("""COMPUTED_VALUE"""),"661-22294")</f>
        <v>661-22294</v>
      </c>
      <c r="E3525" s="2" t="str">
        <f>IFERROR(__xludf.DUMMYFUNCTION("""COMPUTED_VALUE"""),"Battery, iPhone 13 Pro Max")</f>
        <v>Battery, iPhone 13 Pro Max</v>
      </c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</row>
    <row r="3526">
      <c r="A3526" s="10" t="str">
        <f t="shared" si="1"/>
        <v>February</v>
      </c>
      <c r="B3526" s="11">
        <f>IFERROR(__xludf.DUMMYFUNCTION("""COMPUTED_VALUE"""),46061.0)</f>
        <v>46061</v>
      </c>
      <c r="C3526" s="2" t="str">
        <f>IFERROR(__xludf.DUMMYFUNCTION("""COMPUTED_VALUE"""),"MOBILECARE - GLORIETTA 5")</f>
        <v>MOBILECARE - GLORIETTA 5</v>
      </c>
      <c r="D3526" s="2" t="str">
        <f>IFERROR(__xludf.DUMMYFUNCTION("""COMPUTED_VALUE"""),"661-21991")</f>
        <v>661-21991</v>
      </c>
      <c r="E3526" s="2" t="str">
        <f>IFERROR(__xludf.DUMMYFUNCTION("""COMPUTED_VALUE"""),"Battery, iPhone 13")</f>
        <v>Battery, iPhone 13</v>
      </c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</row>
    <row r="3527">
      <c r="A3527" s="10" t="str">
        <f t="shared" si="1"/>
        <v>January</v>
      </c>
      <c r="B3527" s="11">
        <f>IFERROR(__xludf.DUMMYFUNCTION("""COMPUTED_VALUE"""),46035.0)</f>
        <v>46035</v>
      </c>
      <c r="C3527" s="2" t="str">
        <f>IFERROR(__xludf.DUMMYFUNCTION("""COMPUTED_VALUE"""),"MOBILECARE - GLORIETTA 5")</f>
        <v>MOBILECARE - GLORIETTA 5</v>
      </c>
      <c r="D3527" s="2" t="str">
        <f>IFERROR(__xludf.DUMMYFUNCTION("""COMPUTED_VALUE"""),"661-21996")</f>
        <v>661-21996</v>
      </c>
      <c r="E3527" s="2" t="str">
        <f>IFERROR(__xludf.DUMMYFUNCTION("""COMPUTED_VALUE"""),"Battery, iPhone 13 Pro")</f>
        <v>Battery, iPhone 13 Pro</v>
      </c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</row>
    <row r="3528">
      <c r="A3528" s="10" t="str">
        <f t="shared" si="1"/>
        <v>May</v>
      </c>
      <c r="B3528" s="11">
        <f>IFERROR(__xludf.DUMMYFUNCTION("""COMPUTED_VALUE"""),46170.0)</f>
        <v>46170</v>
      </c>
      <c r="C3528" s="2" t="str">
        <f>IFERROR(__xludf.DUMMYFUNCTION("""COMPUTED_VALUE"""),"MOBILECARE - GLORIETTA 5")</f>
        <v>MOBILECARE - GLORIETTA 5</v>
      </c>
      <c r="D3528" s="2" t="str">
        <f>IFERROR(__xludf.DUMMYFUNCTION("""COMPUTED_VALUE"""),"661-21996")</f>
        <v>661-21996</v>
      </c>
      <c r="E3528" s="2" t="str">
        <f>IFERROR(__xludf.DUMMYFUNCTION("""COMPUTED_VALUE"""),"Battery, iPhone 13 Pro")</f>
        <v>Battery, iPhone 13 Pro</v>
      </c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</row>
    <row r="3529">
      <c r="A3529" s="10" t="str">
        <f t="shared" si="1"/>
        <v>May</v>
      </c>
      <c r="B3529" s="11">
        <f>IFERROR(__xludf.DUMMYFUNCTION("""COMPUTED_VALUE"""),46167.0)</f>
        <v>46167</v>
      </c>
      <c r="C3529" s="2" t="str">
        <f>IFERROR(__xludf.DUMMYFUNCTION("""COMPUTED_VALUE"""),"MOBILECARE - GLORIETTA 5")</f>
        <v>MOBILECARE - GLORIETTA 5</v>
      </c>
      <c r="D3529" s="2" t="str">
        <f>IFERROR(__xludf.DUMMYFUNCTION("""COMPUTED_VALUE"""),"661-56050")</f>
        <v>661-56050</v>
      </c>
      <c r="E3529" s="2" t="str">
        <f>IFERROR(__xludf.DUMMYFUNCTION("""COMPUTED_VALUE"""),"Display, iPhone 17 Pro Max")</f>
        <v>Display, iPhone 17 Pro Max</v>
      </c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</row>
    <row r="3530">
      <c r="A3530" s="10" t="str">
        <f t="shared" si="1"/>
        <v>May</v>
      </c>
      <c r="B3530" s="11">
        <f>IFERROR(__xludf.DUMMYFUNCTION("""COMPUTED_VALUE"""),46160.0)</f>
        <v>46160</v>
      </c>
      <c r="C3530" s="2" t="str">
        <f>IFERROR(__xludf.DUMMYFUNCTION("""COMPUTED_VALUE"""),"MOBILECARE - GLORIETTA 5")</f>
        <v>MOBILECARE - GLORIETTA 5</v>
      </c>
      <c r="D3530" s="2" t="str">
        <f>IFERROR(__xludf.DUMMYFUNCTION("""COMPUTED_VALUE"""),"661-30397")</f>
        <v>661-30397</v>
      </c>
      <c r="E3530" s="2" t="str">
        <f>IFERROR(__xludf.DUMMYFUNCTION("""COMPUTED_VALUE"""),"Battery, iPhone 14 Pro Max")</f>
        <v>Battery, iPhone 14 Pro Max</v>
      </c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</row>
    <row r="3531">
      <c r="A3531" s="10" t="str">
        <f t="shared" si="1"/>
        <v>May</v>
      </c>
      <c r="B3531" s="11">
        <f>IFERROR(__xludf.DUMMYFUNCTION("""COMPUTED_VALUE"""),46150.0)</f>
        <v>46150</v>
      </c>
      <c r="C3531" s="2" t="str">
        <f>IFERROR(__xludf.DUMMYFUNCTION("""COMPUTED_VALUE"""),"MOBILECARE - GLORIETTA 5")</f>
        <v>MOBILECARE - GLORIETTA 5</v>
      </c>
      <c r="D3531" s="2" t="str">
        <f>IFERROR(__xludf.DUMMYFUNCTION("""COMPUTED_VALUE"""),"661-22294")</f>
        <v>661-22294</v>
      </c>
      <c r="E3531" s="2" t="str">
        <f>IFERROR(__xludf.DUMMYFUNCTION("""COMPUTED_VALUE"""),"Battery, iPhone 13 Pro Max")</f>
        <v>Battery, iPhone 13 Pro Max</v>
      </c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</row>
    <row r="3532">
      <c r="A3532" s="10" t="str">
        <f t="shared" si="1"/>
        <v>March</v>
      </c>
      <c r="B3532" s="11">
        <f>IFERROR(__xludf.DUMMYFUNCTION("""COMPUTED_VALUE"""),46112.0)</f>
        <v>46112</v>
      </c>
      <c r="C3532" s="2" t="str">
        <f>IFERROR(__xludf.DUMMYFUNCTION("""COMPUTED_VALUE"""),"MOBILECARE - GLORIETTA 5")</f>
        <v>MOBILECARE - GLORIETTA 5</v>
      </c>
      <c r="D3532" s="2" t="str">
        <f>IFERROR(__xludf.DUMMYFUNCTION("""COMPUTED_VALUE"""),"661-18428")</f>
        <v>661-18428</v>
      </c>
      <c r="E3532" s="2" t="str">
        <f>IFERROR(__xludf.DUMMYFUNCTION("""COMPUTED_VALUE"""),"Battery, iPhone 12 Pro Max")</f>
        <v>Battery, iPhone 12 Pro Max</v>
      </c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</row>
    <row r="3533">
      <c r="A3533" s="10" t="str">
        <f t="shared" si="1"/>
        <v>March</v>
      </c>
      <c r="B3533" s="11">
        <f>IFERROR(__xludf.DUMMYFUNCTION("""COMPUTED_VALUE"""),46103.0)</f>
        <v>46103</v>
      </c>
      <c r="C3533" s="2" t="str">
        <f>IFERROR(__xludf.DUMMYFUNCTION("""COMPUTED_VALUE"""),"MOBILECARE - GLORIETTA 5")</f>
        <v>MOBILECARE - GLORIETTA 5</v>
      </c>
      <c r="D3533" s="2" t="str">
        <f>IFERROR(__xludf.DUMMYFUNCTION("""COMPUTED_VALUE"""),"661-21991")</f>
        <v>661-21991</v>
      </c>
      <c r="E3533" s="2" t="str">
        <f>IFERROR(__xludf.DUMMYFUNCTION("""COMPUTED_VALUE"""),"Battery, iPhone 13")</f>
        <v>Battery, iPhone 13</v>
      </c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</row>
    <row r="3534">
      <c r="A3534" s="10" t="str">
        <f t="shared" si="1"/>
        <v>February</v>
      </c>
      <c r="B3534" s="11">
        <f>IFERROR(__xludf.DUMMYFUNCTION("""COMPUTED_VALUE"""),46057.0)</f>
        <v>46057</v>
      </c>
      <c r="C3534" s="2" t="str">
        <f>IFERROR(__xludf.DUMMYFUNCTION("""COMPUTED_VALUE"""),"MOBILECARE - GLORIETTA 5")</f>
        <v>MOBILECARE - GLORIETTA 5</v>
      </c>
      <c r="D3534" s="2" t="str">
        <f>IFERROR(__xludf.DUMMYFUNCTION("""COMPUTED_VALUE"""),"661-22294")</f>
        <v>661-22294</v>
      </c>
      <c r="E3534" s="2" t="str">
        <f>IFERROR(__xludf.DUMMYFUNCTION("""COMPUTED_VALUE"""),"Battery, iPhone 13 Pro Max")</f>
        <v>Battery, iPhone 13 Pro Max</v>
      </c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</row>
    <row r="3535">
      <c r="A3535" s="10" t="str">
        <f t="shared" si="1"/>
        <v>January</v>
      </c>
      <c r="B3535" s="11">
        <f>IFERROR(__xludf.DUMMYFUNCTION("""COMPUTED_VALUE"""),46051.0)</f>
        <v>46051</v>
      </c>
      <c r="C3535" s="2" t="str">
        <f>IFERROR(__xludf.DUMMYFUNCTION("""COMPUTED_VALUE"""),"MOBILECARE - GLORIETTA 5")</f>
        <v>MOBILECARE - GLORIETTA 5</v>
      </c>
      <c r="D3535" s="2" t="str">
        <f>IFERROR(__xludf.DUMMYFUNCTION("""COMPUTED_VALUE"""),"661-36915")</f>
        <v>661-36915</v>
      </c>
      <c r="E3535" s="2" t="str">
        <f>IFERROR(__xludf.DUMMYFUNCTION("""COMPUTED_VALUE"""),"Display, iPhone 15 Pro Max")</f>
        <v>Display, iPhone 15 Pro Max</v>
      </c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</row>
    <row r="3536">
      <c r="A3536" s="10" t="str">
        <f t="shared" si="1"/>
        <v>January</v>
      </c>
      <c r="B3536" s="11">
        <f>IFERROR(__xludf.DUMMYFUNCTION("""COMPUTED_VALUE"""),46042.0)</f>
        <v>46042</v>
      </c>
      <c r="C3536" s="2" t="str">
        <f>IFERROR(__xludf.DUMMYFUNCTION("""COMPUTED_VALUE"""),"MOBILECARE - GLORIETTA 5")</f>
        <v>MOBILECARE - GLORIETTA 5</v>
      </c>
      <c r="D3536" s="2" t="str">
        <f>IFERROR(__xludf.DUMMYFUNCTION("""COMPUTED_VALUE"""),"661-13574")</f>
        <v>661-13574</v>
      </c>
      <c r="E3536" s="2" t="str">
        <f>IFERROR(__xludf.DUMMYFUNCTION("""COMPUTED_VALUE"""),"Battery, iPhone 11")</f>
        <v>Battery, iPhone 11</v>
      </c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</row>
    <row r="3537">
      <c r="A3537" s="10" t="str">
        <f t="shared" si="1"/>
        <v>May</v>
      </c>
      <c r="B3537" s="11">
        <f>IFERROR(__xludf.DUMMYFUNCTION("""COMPUTED_VALUE"""),46169.0)</f>
        <v>46169</v>
      </c>
      <c r="C3537" s="2" t="str">
        <f>IFERROR(__xludf.DUMMYFUNCTION("""COMPUTED_VALUE"""),"MOBILECARE - GLORIETTA 5")</f>
        <v>MOBILECARE - GLORIETTA 5</v>
      </c>
      <c r="D3537" s="2" t="str">
        <f>IFERROR(__xludf.DUMMYFUNCTION("""COMPUTED_VALUE"""),"661-22374")</f>
        <v>661-22374</v>
      </c>
      <c r="E3537" s="2" t="str">
        <f>IFERROR(__xludf.DUMMYFUNCTION("""COMPUTED_VALUE"""),"Battery, iPhone 13 mini")</f>
        <v>Battery, iPhone 13 mini</v>
      </c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</row>
    <row r="3538">
      <c r="A3538" s="10" t="str">
        <f t="shared" si="1"/>
        <v>May</v>
      </c>
      <c r="B3538" s="11">
        <f>IFERROR(__xludf.DUMMYFUNCTION("""COMPUTED_VALUE"""),46172.0)</f>
        <v>46172</v>
      </c>
      <c r="C3538" s="2" t="str">
        <f>IFERROR(__xludf.DUMMYFUNCTION("""COMPUTED_VALUE"""),"MOBILECARE - GLORIETTA 5")</f>
        <v>MOBILECARE - GLORIETTA 5</v>
      </c>
      <c r="D3538" s="2" t="str">
        <f>IFERROR(__xludf.DUMMYFUNCTION("""COMPUTED_VALUE"""),"661-30373")</f>
        <v>661-30373</v>
      </c>
      <c r="E3538" s="2" t="str">
        <f>IFERROR(__xludf.DUMMYFUNCTION("""COMPUTED_VALUE"""),"Battery, iPhone 14")</f>
        <v>Battery, iPhone 14</v>
      </c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</row>
    <row r="3539">
      <c r="A3539" s="10" t="str">
        <f t="shared" si="1"/>
        <v>May</v>
      </c>
      <c r="B3539" s="11">
        <f>IFERROR(__xludf.DUMMYFUNCTION("""COMPUTED_VALUE"""),46149.0)</f>
        <v>46149</v>
      </c>
      <c r="C3539" s="2" t="str">
        <f>IFERROR(__xludf.DUMMYFUNCTION("""COMPUTED_VALUE"""),"MOBILECARE - GLORIETTA 5")</f>
        <v>MOBILECARE - GLORIETTA 5</v>
      </c>
      <c r="D3539" s="2" t="str">
        <f>IFERROR(__xludf.DUMMYFUNCTION("""COMPUTED_VALUE"""),"661-35694")</f>
        <v>661-35694</v>
      </c>
      <c r="E3539" s="2" t="str">
        <f>IFERROR(__xludf.DUMMYFUNCTION("""COMPUTED_VALUE"""),"Battery, iPhone 15 Pro")</f>
        <v>Battery, iPhone 15 Pro</v>
      </c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</row>
    <row r="3540">
      <c r="A3540" s="10" t="str">
        <f t="shared" si="1"/>
        <v>May</v>
      </c>
      <c r="B3540" s="11">
        <f>IFERROR(__xludf.DUMMYFUNCTION("""COMPUTED_VALUE"""),46151.0)</f>
        <v>46151</v>
      </c>
      <c r="C3540" s="2" t="str">
        <f>IFERROR(__xludf.DUMMYFUNCTION("""COMPUTED_VALUE"""),"MOBILECARE - GLORIETTA 5")</f>
        <v>MOBILECARE - GLORIETTA 5</v>
      </c>
      <c r="D3540" s="2" t="str">
        <f>IFERROR(__xludf.DUMMYFUNCTION("""COMPUTED_VALUE"""),"ZP923-13640")</f>
        <v>ZP923-13640</v>
      </c>
      <c r="E3540" s="2" t="str">
        <f>IFERROR(__xludf.DUMMYFUNCTION("""COMPUTED_VALUE"""),"Deep Blue, Enclosure, ROW, iPhone 17 Pro")</f>
        <v>Deep Blue, Enclosure, ROW, iPhone 17 Pro</v>
      </c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</row>
    <row r="3541">
      <c r="A3541" s="10" t="str">
        <f t="shared" si="1"/>
        <v>April</v>
      </c>
      <c r="B3541" s="11">
        <f>IFERROR(__xludf.DUMMYFUNCTION("""COMPUTED_VALUE"""),46137.0)</f>
        <v>46137</v>
      </c>
      <c r="C3541" s="2" t="str">
        <f>IFERROR(__xludf.DUMMYFUNCTION("""COMPUTED_VALUE"""),"MOBILECARE - GLORIETTA 5")</f>
        <v>MOBILECARE - GLORIETTA 5</v>
      </c>
      <c r="D3541" s="2" t="str">
        <f>IFERROR(__xludf.DUMMYFUNCTION("""COMPUTED_VALUE"""),"661-44956")</f>
        <v>661-44956</v>
      </c>
      <c r="E3541" s="2" t="str">
        <f>IFERROR(__xludf.DUMMYFUNCTION("""COMPUTED_VALUE"""),"TrueDepth Camera, iPhone 16 Pro Max")</f>
        <v>TrueDepth Camera, iPhone 16 Pro Max</v>
      </c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</row>
    <row r="3542">
      <c r="A3542" s="10" t="str">
        <f t="shared" si="1"/>
        <v>April</v>
      </c>
      <c r="B3542" s="11">
        <f>IFERROR(__xludf.DUMMYFUNCTION("""COMPUTED_VALUE"""),46123.0)</f>
        <v>46123</v>
      </c>
      <c r="C3542" s="2" t="str">
        <f>IFERROR(__xludf.DUMMYFUNCTION("""COMPUTED_VALUE"""),"MOBILECARE - GLORIETTA 5")</f>
        <v>MOBILECARE - GLORIETTA 5</v>
      </c>
      <c r="D3542" s="2" t="str">
        <f>IFERROR(__xludf.DUMMYFUNCTION("""COMPUTED_VALUE"""),"661-56051")</f>
        <v>661-56051</v>
      </c>
      <c r="E3542" s="2" t="str">
        <f>IFERROR(__xludf.DUMMYFUNCTION("""COMPUTED_VALUE"""),"Front Camera, iPhone 17 Pro Max")</f>
        <v>Front Camera, iPhone 17 Pro Max</v>
      </c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</row>
    <row r="3543">
      <c r="A3543" s="10" t="str">
        <f t="shared" si="1"/>
        <v>March</v>
      </c>
      <c r="B3543" s="11">
        <f>IFERROR(__xludf.DUMMYFUNCTION("""COMPUTED_VALUE"""),46112.0)</f>
        <v>46112</v>
      </c>
      <c r="C3543" s="2" t="str">
        <f>IFERROR(__xludf.DUMMYFUNCTION("""COMPUTED_VALUE"""),"MOBILECARE - GLORIETTA 5")</f>
        <v>MOBILECARE - GLORIETTA 5</v>
      </c>
      <c r="D3543" s="2" t="str">
        <f>IFERROR(__xludf.DUMMYFUNCTION("""COMPUTED_VALUE"""),"661-21991")</f>
        <v>661-21991</v>
      </c>
      <c r="E3543" s="2" t="str">
        <f>IFERROR(__xludf.DUMMYFUNCTION("""COMPUTED_VALUE"""),"Battery, iPhone 13")</f>
        <v>Battery, iPhone 13</v>
      </c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</row>
    <row r="3544">
      <c r="A3544" s="10" t="str">
        <f t="shared" si="1"/>
        <v>March</v>
      </c>
      <c r="B3544" s="11">
        <f>IFERROR(__xludf.DUMMYFUNCTION("""COMPUTED_VALUE"""),46085.0)</f>
        <v>46085</v>
      </c>
      <c r="C3544" s="2" t="str">
        <f>IFERROR(__xludf.DUMMYFUNCTION("""COMPUTED_VALUE"""),"MOBILECARE - GLORIETTA 5")</f>
        <v>MOBILECARE - GLORIETTA 5</v>
      </c>
      <c r="D3544" s="2" t="str">
        <f>IFERROR(__xludf.DUMMYFUNCTION("""COMPUTED_VALUE"""),"661-42726")</f>
        <v>661-42726</v>
      </c>
      <c r="E3544" s="2" t="str">
        <f>IFERROR(__xludf.DUMMYFUNCTION("""COMPUTED_VALUE"""),"Display, iPhone 16 Pro")</f>
        <v>Display, iPhone 16 Pro</v>
      </c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</row>
    <row r="3545">
      <c r="A3545" s="10" t="str">
        <f t="shared" si="1"/>
        <v>February</v>
      </c>
      <c r="B3545" s="11">
        <f>IFERROR(__xludf.DUMMYFUNCTION("""COMPUTED_VALUE"""),46073.0)</f>
        <v>46073</v>
      </c>
      <c r="C3545" s="2" t="str">
        <f>IFERROR(__xludf.DUMMYFUNCTION("""COMPUTED_VALUE"""),"MOBILECARE - GLORIETTA 5")</f>
        <v>MOBILECARE - GLORIETTA 5</v>
      </c>
      <c r="D3545" s="2" t="str">
        <f>IFERROR(__xludf.DUMMYFUNCTION("""COMPUTED_VALUE"""),"661-21991")</f>
        <v>661-21991</v>
      </c>
      <c r="E3545" s="2" t="str">
        <f>IFERROR(__xludf.DUMMYFUNCTION("""COMPUTED_VALUE"""),"Battery, iPhone 13")</f>
        <v>Battery, iPhone 13</v>
      </c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</row>
    <row r="3546">
      <c r="A3546" s="10" t="str">
        <f t="shared" si="1"/>
        <v>February</v>
      </c>
      <c r="B3546" s="11">
        <f>IFERROR(__xludf.DUMMYFUNCTION("""COMPUTED_VALUE"""),46068.0)</f>
        <v>46068</v>
      </c>
      <c r="C3546" s="2" t="str">
        <f>IFERROR(__xludf.DUMMYFUNCTION("""COMPUTED_VALUE"""),"MOBILECARE - GLORIETTA 5")</f>
        <v>MOBILECARE - GLORIETTA 5</v>
      </c>
      <c r="D3546" s="2" t="str">
        <f>IFERROR(__xludf.DUMMYFUNCTION("""COMPUTED_VALUE"""),"661-30382")</f>
        <v>661-30382</v>
      </c>
      <c r="E3546" s="2" t="str">
        <f>IFERROR(__xludf.DUMMYFUNCTION("""COMPUTED_VALUE"""),"Battery, iPhone 14 Pro")</f>
        <v>Battery, iPhone 14 Pro</v>
      </c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</row>
    <row r="3547">
      <c r="A3547" s="10" t="str">
        <f t="shared" si="1"/>
        <v>February</v>
      </c>
      <c r="B3547" s="11">
        <f>IFERROR(__xludf.DUMMYFUNCTION("""COMPUTED_VALUE"""),46055.0)</f>
        <v>46055</v>
      </c>
      <c r="C3547" s="2" t="str">
        <f>IFERROR(__xludf.DUMMYFUNCTION("""COMPUTED_VALUE"""),"MOBILECARE - GLORIETTA 5")</f>
        <v>MOBILECARE - GLORIETTA 5</v>
      </c>
      <c r="D3547" s="2" t="str">
        <f>IFERROR(__xludf.DUMMYFUNCTION("""COMPUTED_VALUE"""),"661-13574")</f>
        <v>661-13574</v>
      </c>
      <c r="E3547" s="2" t="str">
        <f>IFERROR(__xludf.DUMMYFUNCTION("""COMPUTED_VALUE"""),"Battery, iPhone 11")</f>
        <v>Battery, iPhone 11</v>
      </c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</row>
    <row r="3548">
      <c r="A3548" s="10" t="str">
        <f t="shared" si="1"/>
        <v>January</v>
      </c>
      <c r="B3548" s="11">
        <f>IFERROR(__xludf.DUMMYFUNCTION("""COMPUTED_VALUE"""),46041.0)</f>
        <v>46041</v>
      </c>
      <c r="C3548" s="2" t="str">
        <f>IFERROR(__xludf.DUMMYFUNCTION("""COMPUTED_VALUE"""),"MOBILECARE - GLORIETTA 5")</f>
        <v>MOBILECARE - GLORIETTA 5</v>
      </c>
      <c r="D3548" s="2" t="str">
        <f>IFERROR(__xludf.DUMMYFUNCTION("""COMPUTED_VALUE"""),"661-22294")</f>
        <v>661-22294</v>
      </c>
      <c r="E3548" s="2" t="str">
        <f>IFERROR(__xludf.DUMMYFUNCTION("""COMPUTED_VALUE"""),"Battery, iPhone 13 Pro Max")</f>
        <v>Battery, iPhone 13 Pro Max</v>
      </c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</row>
    <row r="3549">
      <c r="A3549" s="10" t="str">
        <f t="shared" si="1"/>
        <v>January</v>
      </c>
      <c r="B3549" s="11">
        <f>IFERROR(__xludf.DUMMYFUNCTION("""COMPUTED_VALUE"""),46046.0)</f>
        <v>46046</v>
      </c>
      <c r="C3549" s="2" t="str">
        <f>IFERROR(__xludf.DUMMYFUNCTION("""COMPUTED_VALUE"""),"MOBILECARE - GLORIETTA 5")</f>
        <v>MOBILECARE - GLORIETTA 5</v>
      </c>
      <c r="D3549" s="2" t="str">
        <f>IFERROR(__xludf.DUMMYFUNCTION("""COMPUTED_VALUE"""),"661-30397")</f>
        <v>661-30397</v>
      </c>
      <c r="E3549" s="2" t="str">
        <f>IFERROR(__xludf.DUMMYFUNCTION("""COMPUTED_VALUE"""),"Battery, iPhone 14 Pro Max")</f>
        <v>Battery, iPhone 14 Pro Max</v>
      </c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</row>
    <row r="3550">
      <c r="A3550" s="10" t="str">
        <f t="shared" si="1"/>
        <v>January</v>
      </c>
      <c r="B3550" s="11">
        <f>IFERROR(__xludf.DUMMYFUNCTION("""COMPUTED_VALUE"""),46046.0)</f>
        <v>46046</v>
      </c>
      <c r="C3550" s="2" t="str">
        <f>IFERROR(__xludf.DUMMYFUNCTION("""COMPUTED_VALUE"""),"MOBILECARE - GLORIETTA 5")</f>
        <v>MOBILECARE - GLORIETTA 5</v>
      </c>
      <c r="D3550" s="2" t="str">
        <f>IFERROR(__xludf.DUMMYFUNCTION("""COMPUTED_VALUE"""),"661-30401")</f>
        <v>661-30401</v>
      </c>
      <c r="E3550" s="2" t="str">
        <f>IFERROR(__xludf.DUMMYFUNCTION("""COMPUTED_VALUE"""),"Display, iPhone 14 Pro Max")</f>
        <v>Display, iPhone 14 Pro Max</v>
      </c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</row>
    <row r="3551">
      <c r="A3551" s="10" t="str">
        <f t="shared" si="1"/>
        <v>June</v>
      </c>
      <c r="B3551" s="11">
        <f>IFERROR(__xludf.DUMMYFUNCTION("""COMPUTED_VALUE"""),46192.0)</f>
        <v>46192</v>
      </c>
      <c r="C3551" s="2" t="str">
        <f>IFERROR(__xludf.DUMMYFUNCTION("""COMPUTED_VALUE"""),"MOBILECARE - GLORIETTA 5")</f>
        <v>MOBILECARE - GLORIETTA 5</v>
      </c>
      <c r="D3551" s="2" t="str">
        <f>IFERROR(__xludf.DUMMYFUNCTION("""COMPUTED_VALUE"""),"661-21991")</f>
        <v>661-21991</v>
      </c>
      <c r="E3551" s="2" t="str">
        <f>IFERROR(__xludf.DUMMYFUNCTION("""COMPUTED_VALUE"""),"Battery, iPhone 13")</f>
        <v>Battery, iPhone 13</v>
      </c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</row>
    <row r="3552">
      <c r="A3552" s="10" t="str">
        <f t="shared" si="1"/>
        <v>June</v>
      </c>
      <c r="B3552" s="11">
        <f>IFERROR(__xludf.DUMMYFUNCTION("""COMPUTED_VALUE"""),46183.0)</f>
        <v>46183</v>
      </c>
      <c r="C3552" s="2" t="str">
        <f>IFERROR(__xludf.DUMMYFUNCTION("""COMPUTED_VALUE"""),"MOBILECARE - GLORIETTA 5")</f>
        <v>MOBILECARE - GLORIETTA 5</v>
      </c>
      <c r="D3552" s="2" t="str">
        <f>IFERROR(__xludf.DUMMYFUNCTION("""COMPUTED_VALUE"""),"661-13574")</f>
        <v>661-13574</v>
      </c>
      <c r="E3552" s="2" t="str">
        <f>IFERROR(__xludf.DUMMYFUNCTION("""COMPUTED_VALUE"""),"Battery, iPhone 11")</f>
        <v>Battery, iPhone 11</v>
      </c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</row>
    <row r="3553">
      <c r="A3553" s="10" t="str">
        <f t="shared" si="1"/>
        <v>May</v>
      </c>
      <c r="B3553" s="11">
        <f>IFERROR(__xludf.DUMMYFUNCTION("""COMPUTED_VALUE"""),46161.0)</f>
        <v>46161</v>
      </c>
      <c r="C3553" s="2" t="str">
        <f>IFERROR(__xludf.DUMMYFUNCTION("""COMPUTED_VALUE"""),"MOBILECARE - GLORIETTA 5")</f>
        <v>MOBILECARE - GLORIETTA 5</v>
      </c>
      <c r="D3553" s="2" t="str">
        <f>IFERROR(__xludf.DUMMYFUNCTION("""COMPUTED_VALUE"""),"661-42726")</f>
        <v>661-42726</v>
      </c>
      <c r="E3553" s="2" t="str">
        <f>IFERROR(__xludf.DUMMYFUNCTION("""COMPUTED_VALUE"""),"Display, iPhone 16 Pro")</f>
        <v>Display, iPhone 16 Pro</v>
      </c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</row>
    <row r="3554">
      <c r="A3554" s="10" t="str">
        <f t="shared" si="1"/>
        <v>April</v>
      </c>
      <c r="B3554" s="11">
        <f>IFERROR(__xludf.DUMMYFUNCTION("""COMPUTED_VALUE"""),46138.0)</f>
        <v>46138</v>
      </c>
      <c r="C3554" s="2" t="str">
        <f>IFERROR(__xludf.DUMMYFUNCTION("""COMPUTED_VALUE"""),"MOBILECARE - GLORIETTA 5")</f>
        <v>MOBILECARE - GLORIETTA 5</v>
      </c>
      <c r="D3554" s="2" t="str">
        <f>IFERROR(__xludf.DUMMYFUNCTION("""COMPUTED_VALUE"""),"661-35694")</f>
        <v>661-35694</v>
      </c>
      <c r="E3554" s="2" t="str">
        <f>IFERROR(__xludf.DUMMYFUNCTION("""COMPUTED_VALUE"""),"Battery, iPhone 15 Pro")</f>
        <v>Battery, iPhone 15 Pro</v>
      </c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</row>
    <row r="3555">
      <c r="A3555" s="10" t="str">
        <f t="shared" si="1"/>
        <v>April</v>
      </c>
      <c r="B3555" s="11">
        <f>IFERROR(__xludf.DUMMYFUNCTION("""COMPUTED_VALUE"""),46130.0)</f>
        <v>46130</v>
      </c>
      <c r="C3555" s="2" t="str">
        <f>IFERROR(__xludf.DUMMYFUNCTION("""COMPUTED_VALUE"""),"MOBILECARE - GLORIETTA 5")</f>
        <v>MOBILECARE - GLORIETTA 5</v>
      </c>
      <c r="D3555" s="2" t="str">
        <f>IFERROR(__xludf.DUMMYFUNCTION("""COMPUTED_VALUE"""),"661-21991")</f>
        <v>661-21991</v>
      </c>
      <c r="E3555" s="2" t="str">
        <f>IFERROR(__xludf.DUMMYFUNCTION("""COMPUTED_VALUE"""),"Battery, iPhone 13")</f>
        <v>Battery, iPhone 13</v>
      </c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</row>
    <row r="3556">
      <c r="A3556" s="10" t="str">
        <f t="shared" si="1"/>
        <v>April</v>
      </c>
      <c r="B3556" s="11">
        <f>IFERROR(__xludf.DUMMYFUNCTION("""COMPUTED_VALUE"""),46123.0)</f>
        <v>46123</v>
      </c>
      <c r="C3556" s="2" t="str">
        <f>IFERROR(__xludf.DUMMYFUNCTION("""COMPUTED_VALUE"""),"MOBILECARE - GLORIETTA 5")</f>
        <v>MOBILECARE - GLORIETTA 5</v>
      </c>
      <c r="D3556" s="2" t="str">
        <f>IFERROR(__xludf.DUMMYFUNCTION("""COMPUTED_VALUE"""),"661-21991")</f>
        <v>661-21991</v>
      </c>
      <c r="E3556" s="2" t="str">
        <f>IFERROR(__xludf.DUMMYFUNCTION("""COMPUTED_VALUE"""),"Battery, iPhone 13")</f>
        <v>Battery, iPhone 13</v>
      </c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</row>
    <row r="3557">
      <c r="A3557" s="10" t="str">
        <f t="shared" si="1"/>
        <v>March</v>
      </c>
      <c r="B3557" s="11">
        <f>IFERROR(__xludf.DUMMYFUNCTION("""COMPUTED_VALUE"""),46109.0)</f>
        <v>46109</v>
      </c>
      <c r="C3557" s="2" t="str">
        <f>IFERROR(__xludf.DUMMYFUNCTION("""COMPUTED_VALUE"""),"MOBILECARE - GLORIETTA 5")</f>
        <v>MOBILECARE - GLORIETTA 5</v>
      </c>
      <c r="D3557" s="2" t="str">
        <f>IFERROR(__xludf.DUMMYFUNCTION("""COMPUTED_VALUE"""),"661-21991")</f>
        <v>661-21991</v>
      </c>
      <c r="E3557" s="2" t="str">
        <f>IFERROR(__xludf.DUMMYFUNCTION("""COMPUTED_VALUE"""),"Battery, iPhone 13")</f>
        <v>Battery, iPhone 13</v>
      </c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</row>
    <row r="3558">
      <c r="A3558" s="10" t="str">
        <f t="shared" si="1"/>
        <v>March</v>
      </c>
      <c r="B3558" s="11">
        <f>IFERROR(__xludf.DUMMYFUNCTION("""COMPUTED_VALUE"""),46086.0)</f>
        <v>46086</v>
      </c>
      <c r="C3558" s="2" t="str">
        <f>IFERROR(__xludf.DUMMYFUNCTION("""COMPUTED_VALUE"""),"MOBILECARE - GLORIETTA 5")</f>
        <v>MOBILECARE - GLORIETTA 5</v>
      </c>
      <c r="D3558" s="2" t="str">
        <f>IFERROR(__xludf.DUMMYFUNCTION("""COMPUTED_VALUE"""),"661-21991")</f>
        <v>661-21991</v>
      </c>
      <c r="E3558" s="2" t="str">
        <f>IFERROR(__xludf.DUMMYFUNCTION("""COMPUTED_VALUE"""),"Battery, iPhone 13")</f>
        <v>Battery, iPhone 13</v>
      </c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</row>
    <row r="3559">
      <c r="A3559" s="10" t="str">
        <f t="shared" si="1"/>
        <v>March</v>
      </c>
      <c r="B3559" s="11">
        <f>IFERROR(__xludf.DUMMYFUNCTION("""COMPUTED_VALUE"""),46084.0)</f>
        <v>46084</v>
      </c>
      <c r="C3559" s="2" t="str">
        <f>IFERROR(__xludf.DUMMYFUNCTION("""COMPUTED_VALUE"""),"MOBILECARE - GLORIETTA 5")</f>
        <v>MOBILECARE - GLORIETTA 5</v>
      </c>
      <c r="D3559" s="2" t="str">
        <f>IFERROR(__xludf.DUMMYFUNCTION("""COMPUTED_VALUE"""),"661-35694")</f>
        <v>661-35694</v>
      </c>
      <c r="E3559" s="2" t="str">
        <f>IFERROR(__xludf.DUMMYFUNCTION("""COMPUTED_VALUE"""),"Battery, iPhone 15 Pro")</f>
        <v>Battery, iPhone 15 Pro</v>
      </c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</row>
    <row r="3560">
      <c r="A3560" s="10" t="str">
        <f t="shared" si="1"/>
        <v>March</v>
      </c>
      <c r="B3560" s="11">
        <f>IFERROR(__xludf.DUMMYFUNCTION("""COMPUTED_VALUE"""),46088.0)</f>
        <v>46088</v>
      </c>
      <c r="C3560" s="2" t="str">
        <f>IFERROR(__xludf.DUMMYFUNCTION("""COMPUTED_VALUE"""),"MOBILECARE - GLORIETTA 5")</f>
        <v>MOBILECARE - GLORIETTA 5</v>
      </c>
      <c r="D3560" s="2" t="str">
        <f>IFERROR(__xludf.DUMMYFUNCTION("""COMPUTED_VALUE"""),"661-30383")</f>
        <v>661-30383</v>
      </c>
      <c r="E3560" s="2" t="str">
        <f>IFERROR(__xludf.DUMMYFUNCTION("""COMPUTED_VALUE"""),"Midnight, Back Glass, iPhone 14 Plus")</f>
        <v>Midnight, Back Glass, iPhone 14 Plus</v>
      </c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</row>
    <row r="3561">
      <c r="A3561" s="10" t="str">
        <f t="shared" si="1"/>
        <v>March</v>
      </c>
      <c r="B3561" s="11">
        <f>IFERROR(__xludf.DUMMYFUNCTION("""COMPUTED_VALUE"""),46088.0)</f>
        <v>46088</v>
      </c>
      <c r="C3561" s="2" t="str">
        <f>IFERROR(__xludf.DUMMYFUNCTION("""COMPUTED_VALUE"""),"MOBILECARE - GLORIETTA 5")</f>
        <v>MOBILECARE - GLORIETTA 5</v>
      </c>
      <c r="D3561" s="2" t="str">
        <f>IFERROR(__xludf.DUMMYFUNCTION("""COMPUTED_VALUE"""),"661-30393")</f>
        <v>661-30393</v>
      </c>
      <c r="E3561" s="2" t="str">
        <f>IFERROR(__xludf.DUMMYFUNCTION("""COMPUTED_VALUE"""),"Camera, iPhone 14 Plus")</f>
        <v>Camera, iPhone 14 Plus</v>
      </c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</row>
    <row r="3562">
      <c r="A3562" s="10" t="str">
        <f t="shared" si="1"/>
        <v>February</v>
      </c>
      <c r="B3562" s="11">
        <f>IFERROR(__xludf.DUMMYFUNCTION("""COMPUTED_VALUE"""),46075.0)</f>
        <v>46075</v>
      </c>
      <c r="C3562" s="2" t="str">
        <f>IFERROR(__xludf.DUMMYFUNCTION("""COMPUTED_VALUE"""),"MOBILECARE - GLORIETTA 5")</f>
        <v>MOBILECARE - GLORIETTA 5</v>
      </c>
      <c r="D3562" s="2" t="str">
        <f>IFERROR(__xludf.DUMMYFUNCTION("""COMPUTED_VALUE"""),"661-21991")</f>
        <v>661-21991</v>
      </c>
      <c r="E3562" s="2" t="str">
        <f>IFERROR(__xludf.DUMMYFUNCTION("""COMPUTED_VALUE"""),"Battery, iPhone 13")</f>
        <v>Battery, iPhone 13</v>
      </c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</row>
    <row r="3563">
      <c r="A3563" s="10" t="str">
        <f t="shared" si="1"/>
        <v>February</v>
      </c>
      <c r="B3563" s="11">
        <f>IFERROR(__xludf.DUMMYFUNCTION("""COMPUTED_VALUE"""),46066.0)</f>
        <v>46066</v>
      </c>
      <c r="C3563" s="2" t="str">
        <f>IFERROR(__xludf.DUMMYFUNCTION("""COMPUTED_VALUE"""),"MOBILECARE - GLORIETTA 5")</f>
        <v>MOBILECARE - GLORIETTA 5</v>
      </c>
      <c r="D3563" s="2" t="str">
        <f>IFERROR(__xludf.DUMMYFUNCTION("""COMPUTED_VALUE"""),"661-44955")</f>
        <v>661-44955</v>
      </c>
      <c r="E3563" s="2" t="str">
        <f>IFERROR(__xludf.DUMMYFUNCTION("""COMPUTED_VALUE"""),"Display, iPhone 16 Pro Max")</f>
        <v>Display, iPhone 16 Pro Max</v>
      </c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</row>
    <row r="3564">
      <c r="A3564" s="10" t="str">
        <f t="shared" si="1"/>
        <v>January</v>
      </c>
      <c r="B3564" s="11">
        <f>IFERROR(__xludf.DUMMYFUNCTION("""COMPUTED_VALUE"""),46036.0)</f>
        <v>46036</v>
      </c>
      <c r="C3564" s="2" t="str">
        <f>IFERROR(__xludf.DUMMYFUNCTION("""COMPUTED_VALUE"""),"MOBILECARE - GLORIETTA 5")</f>
        <v>MOBILECARE - GLORIETTA 5</v>
      </c>
      <c r="D3564" s="2" t="str">
        <f>IFERROR(__xludf.DUMMYFUNCTION("""COMPUTED_VALUE"""),"661-22309")</f>
        <v>661-22309</v>
      </c>
      <c r="E3564" s="2" t="str">
        <f>IFERROR(__xludf.DUMMYFUNCTION("""COMPUTED_VALUE"""),"Display, iPhone 13 Pro Max")</f>
        <v>Display, iPhone 13 Pro Max</v>
      </c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</row>
    <row r="3565">
      <c r="A3565" s="10" t="str">
        <f t="shared" si="1"/>
        <v>April</v>
      </c>
      <c r="B3565" s="11">
        <f>IFERROR(__xludf.DUMMYFUNCTION("""COMPUTED_VALUE"""),46134.0)</f>
        <v>46134</v>
      </c>
      <c r="C3565" s="2" t="str">
        <f>IFERROR(__xludf.DUMMYFUNCTION("""COMPUTED_VALUE"""),"MOBILECARE - GLORIETTA 5")</f>
        <v>MOBILECARE - GLORIETTA 5</v>
      </c>
      <c r="D3565" s="2" t="str">
        <f>IFERROR(__xludf.DUMMYFUNCTION("""COMPUTED_VALUE"""),"661-17920")</f>
        <v>661-17920</v>
      </c>
      <c r="E3565" s="2" t="str">
        <f>IFERROR(__xludf.DUMMYFUNCTION("""COMPUTED_VALUE"""),"Battery, iPhone 12 and 12 Pro")</f>
        <v>Battery, iPhone 12 and 12 Pro</v>
      </c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</row>
    <row r="3566">
      <c r="A3566" s="10" t="str">
        <f t="shared" si="1"/>
        <v>March</v>
      </c>
      <c r="B3566" s="11">
        <f>IFERROR(__xludf.DUMMYFUNCTION("""COMPUTED_VALUE"""),46102.0)</f>
        <v>46102</v>
      </c>
      <c r="C3566" s="2" t="str">
        <f>IFERROR(__xludf.DUMMYFUNCTION("""COMPUTED_VALUE"""),"MOBILECARE - GLORIETTA 5")</f>
        <v>MOBILECARE - GLORIETTA 5</v>
      </c>
      <c r="D3566" s="2" t="str">
        <f>IFERROR(__xludf.DUMMYFUNCTION("""COMPUTED_VALUE"""),"661-22374")</f>
        <v>661-22374</v>
      </c>
      <c r="E3566" s="2" t="str">
        <f>IFERROR(__xludf.DUMMYFUNCTION("""COMPUTED_VALUE"""),"Battery, iPhone 13 mini")</f>
        <v>Battery, iPhone 13 mini</v>
      </c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</row>
    <row r="3567">
      <c r="A3567" s="10" t="str">
        <f t="shared" si="1"/>
        <v>March</v>
      </c>
      <c r="B3567" s="11">
        <f>IFERROR(__xludf.DUMMYFUNCTION("""COMPUTED_VALUE"""),46102.0)</f>
        <v>46102</v>
      </c>
      <c r="C3567" s="2" t="str">
        <f>IFERROR(__xludf.DUMMYFUNCTION("""COMPUTED_VALUE"""),"MOBILECARE - GLORIETTA 5")</f>
        <v>MOBILECARE - GLORIETTA 5</v>
      </c>
      <c r="D3567" s="2" t="str">
        <f>IFERROR(__xludf.DUMMYFUNCTION("""COMPUTED_VALUE"""),"661-22311")</f>
        <v>661-22311</v>
      </c>
      <c r="E3567" s="2" t="str">
        <f>IFERROR(__xludf.DUMMYFUNCTION("""COMPUTED_VALUE"""),"Display, iPhone 13 mini")</f>
        <v>Display, iPhone 13 mini</v>
      </c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</row>
    <row r="3568">
      <c r="A3568" s="10" t="str">
        <f t="shared" si="1"/>
        <v>February</v>
      </c>
      <c r="B3568" s="11">
        <f>IFERROR(__xludf.DUMMYFUNCTION("""COMPUTED_VALUE"""),46069.0)</f>
        <v>46069</v>
      </c>
      <c r="C3568" s="2" t="str">
        <f>IFERROR(__xludf.DUMMYFUNCTION("""COMPUTED_VALUE"""),"MOBILECARE - GLORIETTA 5")</f>
        <v>MOBILECARE - GLORIETTA 5</v>
      </c>
      <c r="D3568" s="2" t="str">
        <f>IFERROR(__xludf.DUMMYFUNCTION("""COMPUTED_VALUE"""),"661-22294")</f>
        <v>661-22294</v>
      </c>
      <c r="E3568" s="2" t="str">
        <f>IFERROR(__xludf.DUMMYFUNCTION("""COMPUTED_VALUE"""),"Battery, iPhone 13 Pro Max")</f>
        <v>Battery, iPhone 13 Pro Max</v>
      </c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</row>
    <row r="3569">
      <c r="A3569" s="10" t="str">
        <f t="shared" si="1"/>
        <v>February</v>
      </c>
      <c r="B3569" s="11">
        <f>IFERROR(__xludf.DUMMYFUNCTION("""COMPUTED_VALUE"""),46060.0)</f>
        <v>46060</v>
      </c>
      <c r="C3569" s="2" t="str">
        <f>IFERROR(__xludf.DUMMYFUNCTION("""COMPUTED_VALUE"""),"MOBILECARE - GLORIETTA 5")</f>
        <v>MOBILECARE - GLORIETTA 5</v>
      </c>
      <c r="D3569" s="2" t="str">
        <f>IFERROR(__xludf.DUMMYFUNCTION("""COMPUTED_VALUE"""),"661-21996")</f>
        <v>661-21996</v>
      </c>
      <c r="E3569" s="2" t="str">
        <f>IFERROR(__xludf.DUMMYFUNCTION("""COMPUTED_VALUE"""),"Battery, iPhone 13 Pro")</f>
        <v>Battery, iPhone 13 Pro</v>
      </c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</row>
    <row r="3570">
      <c r="A3570" s="10" t="str">
        <f t="shared" si="1"/>
        <v>February</v>
      </c>
      <c r="B3570" s="11">
        <f>IFERROR(__xludf.DUMMYFUNCTION("""COMPUTED_VALUE"""),46057.0)</f>
        <v>46057</v>
      </c>
      <c r="C3570" s="2" t="str">
        <f>IFERROR(__xludf.DUMMYFUNCTION("""COMPUTED_VALUE"""),"MOBILECARE - GLORIETTA 5")</f>
        <v>MOBILECARE - GLORIETTA 5</v>
      </c>
      <c r="D3570" s="2" t="str">
        <f>IFERROR(__xludf.DUMMYFUNCTION("""COMPUTED_VALUE"""),"661-29370")</f>
        <v>661-29370</v>
      </c>
      <c r="E3570" s="2" t="str">
        <f>IFERROR(__xludf.DUMMYFUNCTION("""COMPUTED_VALUE"""),"Display, iPhone 14 Pro")</f>
        <v>Display, iPhone 14 Pro</v>
      </c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</row>
    <row r="3571">
      <c r="A3571" s="10" t="str">
        <f t="shared" si="1"/>
        <v>January</v>
      </c>
      <c r="B3571" s="11">
        <f>IFERROR(__xludf.DUMMYFUNCTION("""COMPUTED_VALUE"""),46050.0)</f>
        <v>46050</v>
      </c>
      <c r="C3571" s="2" t="str">
        <f>IFERROR(__xludf.DUMMYFUNCTION("""COMPUTED_VALUE"""),"MOBILECARE - GLORIETTA 5")</f>
        <v>MOBILECARE - GLORIETTA 5</v>
      </c>
      <c r="D3571" s="2" t="str">
        <f>IFERROR(__xludf.DUMMYFUNCTION("""COMPUTED_VALUE"""),"661-13574")</f>
        <v>661-13574</v>
      </c>
      <c r="E3571" s="2" t="str">
        <f>IFERROR(__xludf.DUMMYFUNCTION("""COMPUTED_VALUE"""),"Battery, iPhone 11")</f>
        <v>Battery, iPhone 11</v>
      </c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</row>
    <row r="3572">
      <c r="A3572" s="10" t="str">
        <f t="shared" si="1"/>
        <v>April</v>
      </c>
      <c r="B3572" s="11">
        <f>IFERROR(__xludf.DUMMYFUNCTION("""COMPUTED_VALUE"""),46142.0)</f>
        <v>46142</v>
      </c>
      <c r="C3572" s="2" t="str">
        <f>IFERROR(__xludf.DUMMYFUNCTION("""COMPUTED_VALUE"""),"MOBILECARE - GLORIETTA 5")</f>
        <v>MOBILECARE - GLORIETTA 5</v>
      </c>
      <c r="D3572" s="2" t="str">
        <f>IFERROR(__xludf.DUMMYFUNCTION("""COMPUTED_VALUE"""),"661-35694")</f>
        <v>661-35694</v>
      </c>
      <c r="E3572" s="2" t="str">
        <f>IFERROR(__xludf.DUMMYFUNCTION("""COMPUTED_VALUE"""),"Battery, iPhone 15 Pro")</f>
        <v>Battery, iPhone 15 Pro</v>
      </c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</row>
    <row r="3573">
      <c r="A3573" s="10" t="str">
        <f t="shared" si="1"/>
        <v>March</v>
      </c>
      <c r="B3573" s="11">
        <f>IFERROR(__xludf.DUMMYFUNCTION("""COMPUTED_VALUE"""),46102.0)</f>
        <v>46102</v>
      </c>
      <c r="C3573" s="2" t="str">
        <f>IFERROR(__xludf.DUMMYFUNCTION("""COMPUTED_VALUE"""),"MOBILECARE - GLORIETTA 5")</f>
        <v>MOBILECARE - GLORIETTA 5</v>
      </c>
      <c r="D3573" s="2" t="str">
        <f>IFERROR(__xludf.DUMMYFUNCTION("""COMPUTED_VALUE"""),"661-30382")</f>
        <v>661-30382</v>
      </c>
      <c r="E3573" s="2" t="str">
        <f>IFERROR(__xludf.DUMMYFUNCTION("""COMPUTED_VALUE"""),"Battery, iPhone 14 Pro")</f>
        <v>Battery, iPhone 14 Pro</v>
      </c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</row>
    <row r="3574">
      <c r="A3574" s="10" t="str">
        <f t="shared" si="1"/>
        <v>March</v>
      </c>
      <c r="B3574" s="11">
        <f>IFERROR(__xludf.DUMMYFUNCTION("""COMPUTED_VALUE"""),46101.0)</f>
        <v>46101</v>
      </c>
      <c r="C3574" s="2" t="str">
        <f>IFERROR(__xludf.DUMMYFUNCTION("""COMPUTED_VALUE"""),"MOBILECARE - GLORIETTA 5")</f>
        <v>MOBILECARE - GLORIETTA 5</v>
      </c>
      <c r="D3574" s="2" t="str">
        <f>IFERROR(__xludf.DUMMYFUNCTION("""COMPUTED_VALUE"""),"661-56051")</f>
        <v>661-56051</v>
      </c>
      <c r="E3574" s="2" t="str">
        <f>IFERROR(__xludf.DUMMYFUNCTION("""COMPUTED_VALUE"""),"Front Camera, iPhone 17 Pro Max")</f>
        <v>Front Camera, iPhone 17 Pro Max</v>
      </c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</row>
    <row r="3575">
      <c r="A3575" s="10" t="str">
        <f t="shared" si="1"/>
        <v>March</v>
      </c>
      <c r="B3575" s="11">
        <f>IFERROR(__xludf.DUMMYFUNCTION("""COMPUTED_VALUE"""),46095.0)</f>
        <v>46095</v>
      </c>
      <c r="C3575" s="2" t="str">
        <f>IFERROR(__xludf.DUMMYFUNCTION("""COMPUTED_VALUE"""),"MOBILECARE - GLORIETTA 5")</f>
        <v>MOBILECARE - GLORIETTA 5</v>
      </c>
      <c r="D3575" s="2" t="str">
        <f>IFERROR(__xludf.DUMMYFUNCTION("""COMPUTED_VALUE"""),"661-42726")</f>
        <v>661-42726</v>
      </c>
      <c r="E3575" s="2" t="str">
        <f>IFERROR(__xludf.DUMMYFUNCTION("""COMPUTED_VALUE"""),"Display, iPhone 16 Pro")</f>
        <v>Display, iPhone 16 Pro</v>
      </c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</row>
    <row r="3576">
      <c r="A3576" s="10" t="str">
        <f t="shared" si="1"/>
        <v>February</v>
      </c>
      <c r="B3576" s="11">
        <f>IFERROR(__xludf.DUMMYFUNCTION("""COMPUTED_VALUE"""),46079.0)</f>
        <v>46079</v>
      </c>
      <c r="C3576" s="2" t="str">
        <f>IFERROR(__xludf.DUMMYFUNCTION("""COMPUTED_VALUE"""),"MOBILECARE - GLORIETTA 5")</f>
        <v>MOBILECARE - GLORIETTA 5</v>
      </c>
      <c r="D3576" s="2" t="str">
        <f>IFERROR(__xludf.DUMMYFUNCTION("""COMPUTED_VALUE"""),"661-21996")</f>
        <v>661-21996</v>
      </c>
      <c r="E3576" s="2" t="str">
        <f>IFERROR(__xludf.DUMMYFUNCTION("""COMPUTED_VALUE"""),"Battery, iPhone 13 Pro")</f>
        <v>Battery, iPhone 13 Pro</v>
      </c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</row>
    <row r="3577">
      <c r="A3577" s="10" t="str">
        <f t="shared" si="1"/>
        <v>February</v>
      </c>
      <c r="B3577" s="11">
        <f>IFERROR(__xludf.DUMMYFUNCTION("""COMPUTED_VALUE"""),46055.0)</f>
        <v>46055</v>
      </c>
      <c r="C3577" s="2" t="str">
        <f>IFERROR(__xludf.DUMMYFUNCTION("""COMPUTED_VALUE"""),"MOBILECARE - GLORIETTA 5")</f>
        <v>MOBILECARE - GLORIETTA 5</v>
      </c>
      <c r="D3577" s="2" t="str">
        <f>IFERROR(__xludf.DUMMYFUNCTION("""COMPUTED_VALUE"""),"661-18428")</f>
        <v>661-18428</v>
      </c>
      <c r="E3577" s="2" t="str">
        <f>IFERROR(__xludf.DUMMYFUNCTION("""COMPUTED_VALUE"""),"Battery, iPhone 12 Pro Max")</f>
        <v>Battery, iPhone 12 Pro Max</v>
      </c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</row>
    <row r="3578">
      <c r="A3578" s="10" t="str">
        <f t="shared" si="1"/>
        <v>January</v>
      </c>
      <c r="B3578" s="11">
        <f>IFERROR(__xludf.DUMMYFUNCTION("""COMPUTED_VALUE"""),46042.0)</f>
        <v>46042</v>
      </c>
      <c r="C3578" s="2" t="str">
        <f>IFERROR(__xludf.DUMMYFUNCTION("""COMPUTED_VALUE"""),"MOBILECARE - GLORIETTA 5")</f>
        <v>MOBILECARE - GLORIETTA 5</v>
      </c>
      <c r="D3578" s="2" t="str">
        <f>IFERROR(__xludf.DUMMYFUNCTION("""COMPUTED_VALUE"""),"661-42727")</f>
        <v>661-42727</v>
      </c>
      <c r="E3578" s="2" t="str">
        <f>IFERROR(__xludf.DUMMYFUNCTION("""COMPUTED_VALUE"""),"TrueDepth Camera, iPhone 16 Pro")</f>
        <v>TrueDepth Camera, iPhone 16 Pro</v>
      </c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</row>
    <row r="3579">
      <c r="A3579" s="10" t="str">
        <f t="shared" si="1"/>
        <v>April</v>
      </c>
      <c r="B3579" s="11">
        <f>IFERROR(__xludf.DUMMYFUNCTION("""COMPUTED_VALUE"""),46135.0)</f>
        <v>46135</v>
      </c>
      <c r="C3579" s="2" t="str">
        <f>IFERROR(__xludf.DUMMYFUNCTION("""COMPUTED_VALUE"""),"MOBILECARE - NORTHEAST SQUARE")</f>
        <v>MOBILECARE - NORTHEAST SQUARE</v>
      </c>
      <c r="D3579" s="2" t="str">
        <f>IFERROR(__xludf.DUMMYFUNCTION("""COMPUTED_VALUE"""),"661-17920")</f>
        <v>661-17920</v>
      </c>
      <c r="E3579" s="2" t="str">
        <f>IFERROR(__xludf.DUMMYFUNCTION("""COMPUTED_VALUE"""),"Battery, iPhone 12 and 12 Pro")</f>
        <v>Battery, iPhone 12 and 12 Pro</v>
      </c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</row>
    <row r="3580">
      <c r="A3580" s="10" t="str">
        <f t="shared" si="1"/>
        <v>June</v>
      </c>
      <c r="B3580" s="11">
        <f>IFERROR(__xludf.DUMMYFUNCTION("""COMPUTED_VALUE"""),46184.0)</f>
        <v>46184</v>
      </c>
      <c r="C3580" s="2" t="str">
        <f>IFERROR(__xludf.DUMMYFUNCTION("""COMPUTED_VALUE"""),"MOBILECARE - NORTHEAST SQUARE")</f>
        <v>MOBILECARE - NORTHEAST SQUARE</v>
      </c>
      <c r="D3580" s="2" t="str">
        <f>IFERROR(__xludf.DUMMYFUNCTION("""COMPUTED_VALUE"""),"661-21988")</f>
        <v>661-21988</v>
      </c>
      <c r="E3580" s="2" t="str">
        <f>IFERROR(__xludf.DUMMYFUNCTION("""COMPUTED_VALUE"""),"Display, iPhone 13")</f>
        <v>Display, iPhone 13</v>
      </c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</row>
    <row r="3581">
      <c r="A3581" s="10" t="str">
        <f t="shared" si="1"/>
        <v>June</v>
      </c>
      <c r="B3581" s="11">
        <f>IFERROR(__xludf.DUMMYFUNCTION("""COMPUTED_VALUE"""),46181.0)</f>
        <v>46181</v>
      </c>
      <c r="C3581" s="2" t="str">
        <f>IFERROR(__xludf.DUMMYFUNCTION("""COMPUTED_VALUE"""),"MOBILECARE - NORTHEAST SQUARE")</f>
        <v>MOBILECARE - NORTHEAST SQUARE</v>
      </c>
      <c r="D3581" s="2" t="str">
        <f>IFERROR(__xludf.DUMMYFUNCTION("""COMPUTED_VALUE"""),"661-21991")</f>
        <v>661-21991</v>
      </c>
      <c r="E3581" s="2" t="str">
        <f>IFERROR(__xludf.DUMMYFUNCTION("""COMPUTED_VALUE"""),"Battery, iPhone 13")</f>
        <v>Battery, iPhone 13</v>
      </c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</row>
    <row r="3582">
      <c r="A3582" s="10" t="str">
        <f t="shared" si="1"/>
        <v>May</v>
      </c>
      <c r="B3582" s="11">
        <f>IFERROR(__xludf.DUMMYFUNCTION("""COMPUTED_VALUE"""),46161.0)</f>
        <v>46161</v>
      </c>
      <c r="C3582" s="2" t="str">
        <f>IFERROR(__xludf.DUMMYFUNCTION("""COMPUTED_VALUE"""),"MOBILECARE - NORTHEAST SQUARE")</f>
        <v>MOBILECARE - NORTHEAST SQUARE</v>
      </c>
      <c r="D3582" s="2" t="str">
        <f>IFERROR(__xludf.DUMMYFUNCTION("""COMPUTED_VALUE"""),"661-56058")</f>
        <v>661-56058</v>
      </c>
      <c r="E3582" s="2" t="str">
        <f>IFERROR(__xludf.DUMMYFUNCTION("""COMPUTED_VALUE"""),"White, Back Glass, iPhone 17")</f>
        <v>White, Back Glass, iPhone 17</v>
      </c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</row>
    <row r="3583">
      <c r="A3583" s="10" t="str">
        <f t="shared" si="1"/>
        <v>May</v>
      </c>
      <c r="B3583" s="11">
        <f>IFERROR(__xludf.DUMMYFUNCTION("""COMPUTED_VALUE"""),46161.0)</f>
        <v>46161</v>
      </c>
      <c r="C3583" s="2" t="str">
        <f>IFERROR(__xludf.DUMMYFUNCTION("""COMPUTED_VALUE"""),"MOBILECARE - NORTHEAST SQUARE")</f>
        <v>MOBILECARE - NORTHEAST SQUARE</v>
      </c>
      <c r="D3583" s="2" t="str">
        <f>IFERROR(__xludf.DUMMYFUNCTION("""COMPUTED_VALUE"""),"661-56067")</f>
        <v>661-56067</v>
      </c>
      <c r="E3583" s="2" t="str">
        <f>IFERROR(__xludf.DUMMYFUNCTION("""COMPUTED_VALUE"""),"Camera, iPhone 17")</f>
        <v>Camera, iPhone 17</v>
      </c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</row>
    <row r="3584">
      <c r="A3584" s="10" t="str">
        <f t="shared" si="1"/>
        <v>May</v>
      </c>
      <c r="B3584" s="11">
        <f>IFERROR(__xludf.DUMMYFUNCTION("""COMPUTED_VALUE"""),46161.0)</f>
        <v>46161</v>
      </c>
      <c r="C3584" s="2" t="str">
        <f>IFERROR(__xludf.DUMMYFUNCTION("""COMPUTED_VALUE"""),"MOBILECARE - NORTHEAST SQUARE")</f>
        <v>MOBILECARE - NORTHEAST SQUARE</v>
      </c>
      <c r="D3584" s="2" t="str">
        <f>IFERROR(__xludf.DUMMYFUNCTION("""COMPUTED_VALUE"""),"661-56066")</f>
        <v>661-56066</v>
      </c>
      <c r="E3584" s="2" t="str">
        <f>IFERROR(__xludf.DUMMYFUNCTION("""COMPUTED_VALUE"""),"Front Camera, iPhone 17")</f>
        <v>Front Camera, iPhone 17</v>
      </c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</row>
    <row r="3585">
      <c r="A3585" s="10" t="str">
        <f t="shared" si="1"/>
        <v>May</v>
      </c>
      <c r="B3585" s="11">
        <f>IFERROR(__xludf.DUMMYFUNCTION("""COMPUTED_VALUE"""),46161.0)</f>
        <v>46161</v>
      </c>
      <c r="C3585" s="2" t="str">
        <f>IFERROR(__xludf.DUMMYFUNCTION("""COMPUTED_VALUE"""),"MOBILECARE - NORTHEAST SQUARE")</f>
        <v>MOBILECARE - NORTHEAST SQUARE</v>
      </c>
      <c r="D3585" s="2" t="str">
        <f>IFERROR(__xludf.DUMMYFUNCTION("""COMPUTED_VALUE"""),"661-56065")</f>
        <v>661-56065</v>
      </c>
      <c r="E3585" s="2" t="str">
        <f>IFERROR(__xludf.DUMMYFUNCTION("""COMPUTED_VALUE"""),"Display, iPhone 17")</f>
        <v>Display, iPhone 17</v>
      </c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</row>
    <row r="3586">
      <c r="A3586" s="10" t="str">
        <f t="shared" si="1"/>
        <v>February</v>
      </c>
      <c r="B3586" s="11">
        <f>IFERROR(__xludf.DUMMYFUNCTION("""COMPUTED_VALUE"""),46072.0)</f>
        <v>46072</v>
      </c>
      <c r="C3586" s="2" t="str">
        <f>IFERROR(__xludf.DUMMYFUNCTION("""COMPUTED_VALUE"""),"MOBILECARE - NORTHEAST SQUARE")</f>
        <v>MOBILECARE - NORTHEAST SQUARE</v>
      </c>
      <c r="D3586" s="2" t="str">
        <f>IFERROR(__xludf.DUMMYFUNCTION("""COMPUTED_VALUE"""),"661-36706")</f>
        <v>661-36706</v>
      </c>
      <c r="E3586" s="2" t="str">
        <f>IFERROR(__xludf.DUMMYFUNCTION("""COMPUTED_VALUE"""),"Display, iPhone 15")</f>
        <v>Display, iPhone 15</v>
      </c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</row>
    <row r="3587">
      <c r="A3587" s="10" t="str">
        <f t="shared" si="1"/>
        <v>February</v>
      </c>
      <c r="B3587" s="11">
        <f>IFERROR(__xludf.DUMMYFUNCTION("""COMPUTED_VALUE"""),46056.0)</f>
        <v>46056</v>
      </c>
      <c r="C3587" s="2" t="str">
        <f>IFERROR(__xludf.DUMMYFUNCTION("""COMPUTED_VALUE"""),"MOBILECARE - NORTHEAST SQUARE")</f>
        <v>MOBILECARE - NORTHEAST SQUARE</v>
      </c>
      <c r="D3587" s="2" t="str">
        <f>IFERROR(__xludf.DUMMYFUNCTION("""COMPUTED_VALUE"""),"661-21988")</f>
        <v>661-21988</v>
      </c>
      <c r="E3587" s="2" t="str">
        <f>IFERROR(__xludf.DUMMYFUNCTION("""COMPUTED_VALUE"""),"Display, iPhone 13")</f>
        <v>Display, iPhone 13</v>
      </c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</row>
    <row r="3588">
      <c r="A3588" s="10" t="str">
        <f t="shared" si="1"/>
        <v>January</v>
      </c>
      <c r="B3588" s="11">
        <f>IFERROR(__xludf.DUMMYFUNCTION("""COMPUTED_VALUE"""),46049.0)</f>
        <v>46049</v>
      </c>
      <c r="C3588" s="2" t="str">
        <f>IFERROR(__xludf.DUMMYFUNCTION("""COMPUTED_VALUE"""),"MOBILECARE - NORTHEAST SQUARE")</f>
        <v>MOBILECARE - NORTHEAST SQUARE</v>
      </c>
      <c r="D3588" s="2" t="str">
        <f>IFERROR(__xludf.DUMMYFUNCTION("""COMPUTED_VALUE"""),"661-36918")</f>
        <v>661-36918</v>
      </c>
      <c r="E3588" s="2" t="str">
        <f>IFERROR(__xludf.DUMMYFUNCTION("""COMPUTED_VALUE"""),"Battery, iPhone 15 Pro Max")</f>
        <v>Battery, iPhone 15 Pro Max</v>
      </c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</row>
    <row r="3589">
      <c r="A3589" s="10" t="str">
        <f t="shared" si="1"/>
        <v>June</v>
      </c>
      <c r="B3589" s="11">
        <f>IFERROR(__xludf.DUMMYFUNCTION("""COMPUTED_VALUE"""),46190.0)</f>
        <v>46190</v>
      </c>
      <c r="C3589" s="2" t="str">
        <f>IFERROR(__xludf.DUMMYFUNCTION("""COMPUTED_VALUE"""),"MOBILECARE - NORTHEAST SQUARE")</f>
        <v>MOBILECARE - NORTHEAST SQUARE</v>
      </c>
      <c r="D3589" s="2" t="str">
        <f>IFERROR(__xludf.DUMMYFUNCTION("""COMPUTED_VALUE"""),"661-22309")</f>
        <v>661-22309</v>
      </c>
      <c r="E3589" s="2" t="str">
        <f>IFERROR(__xludf.DUMMYFUNCTION("""COMPUTED_VALUE"""),"Display, iPhone 13 Pro Max")</f>
        <v>Display, iPhone 13 Pro Max</v>
      </c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</row>
    <row r="3590">
      <c r="A3590" s="10" t="str">
        <f t="shared" si="1"/>
        <v>June</v>
      </c>
      <c r="B3590" s="11">
        <f>IFERROR(__xludf.DUMMYFUNCTION("""COMPUTED_VALUE"""),46179.0)</f>
        <v>46179</v>
      </c>
      <c r="C3590" s="2" t="str">
        <f>IFERROR(__xludf.DUMMYFUNCTION("""COMPUTED_VALUE"""),"MOBILECARE - NORTHEAST SQUARE")</f>
        <v>MOBILECARE - NORTHEAST SQUARE</v>
      </c>
      <c r="D3590" s="2" t="str">
        <f>IFERROR(__xludf.DUMMYFUNCTION("""COMPUTED_VALUE"""),"661-36918")</f>
        <v>661-36918</v>
      </c>
      <c r="E3590" s="2" t="str">
        <f>IFERROR(__xludf.DUMMYFUNCTION("""COMPUTED_VALUE"""),"Battery, iPhone 15 Pro Max")</f>
        <v>Battery, iPhone 15 Pro Max</v>
      </c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</row>
    <row r="3591">
      <c r="A3591" s="10" t="str">
        <f t="shared" si="1"/>
        <v>March</v>
      </c>
      <c r="B3591" s="11">
        <f>IFERROR(__xludf.DUMMYFUNCTION("""COMPUTED_VALUE"""),46091.0)</f>
        <v>46091</v>
      </c>
      <c r="C3591" s="2" t="str">
        <f>IFERROR(__xludf.DUMMYFUNCTION("""COMPUTED_VALUE"""),"MOBILECARE - NORTHEAST SQUARE")</f>
        <v>MOBILECARE - NORTHEAST SQUARE</v>
      </c>
      <c r="D3591" s="2" t="str">
        <f>IFERROR(__xludf.DUMMYFUNCTION("""COMPUTED_VALUE"""),"661-13569")</f>
        <v>661-13569</v>
      </c>
      <c r="E3591" s="2" t="str">
        <f>IFERROR(__xludf.DUMMYFUNCTION("""COMPUTED_VALUE"""),"Battery, iPhone 11 Pro")</f>
        <v>Battery, iPhone 11 Pro</v>
      </c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</row>
    <row r="3592">
      <c r="A3592" s="10" t="str">
        <f t="shared" si="1"/>
        <v>May</v>
      </c>
      <c r="B3592" s="11">
        <f>IFERROR(__xludf.DUMMYFUNCTION("""COMPUTED_VALUE"""),46171.0)</f>
        <v>46171</v>
      </c>
      <c r="C3592" s="2" t="str">
        <f>IFERROR(__xludf.DUMMYFUNCTION("""COMPUTED_VALUE"""),"MOBILECARE - NORTHEAST SQUARE")</f>
        <v>MOBILECARE - NORTHEAST SQUARE</v>
      </c>
      <c r="D3592" s="2" t="str">
        <f>IFERROR(__xludf.DUMMYFUNCTION("""COMPUTED_VALUE"""),"661-44960")</f>
        <v>661-44960</v>
      </c>
      <c r="E3592" s="2" t="str">
        <f>IFERROR(__xludf.DUMMYFUNCTION("""COMPUTED_VALUE"""),"Desert Titanium, Back Glass, iPhone 16 Pro Max")</f>
        <v>Desert Titanium, Back Glass, iPhone 16 Pro Max</v>
      </c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</row>
    <row r="3593">
      <c r="A3593" s="10" t="str">
        <f t="shared" si="1"/>
        <v>May</v>
      </c>
      <c r="B3593" s="11">
        <f>IFERROR(__xludf.DUMMYFUNCTION("""COMPUTED_VALUE"""),46171.0)</f>
        <v>46171</v>
      </c>
      <c r="C3593" s="2" t="str">
        <f>IFERROR(__xludf.DUMMYFUNCTION("""COMPUTED_VALUE"""),"MOBILECARE - NORTHEAST SQUARE")</f>
        <v>MOBILECARE - NORTHEAST SQUARE</v>
      </c>
      <c r="D3593" s="2" t="str">
        <f>IFERROR(__xludf.DUMMYFUNCTION("""COMPUTED_VALUE"""),"661-44955")</f>
        <v>661-44955</v>
      </c>
      <c r="E3593" s="2" t="str">
        <f>IFERROR(__xludf.DUMMYFUNCTION("""COMPUTED_VALUE"""),"Display, iPhone 16 Pro Max")</f>
        <v>Display, iPhone 16 Pro Max</v>
      </c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</row>
    <row r="3594">
      <c r="A3594" s="10" t="str">
        <f t="shared" si="1"/>
        <v>March</v>
      </c>
      <c r="B3594" s="11">
        <f>IFERROR(__xludf.DUMMYFUNCTION("""COMPUTED_VALUE"""),46104.0)</f>
        <v>46104</v>
      </c>
      <c r="C3594" s="2" t="str">
        <f>IFERROR(__xludf.DUMMYFUNCTION("""COMPUTED_VALUE"""),"MOBILECARE - NORTHEAST SQUARE")</f>
        <v>MOBILECARE - NORTHEAST SQUARE</v>
      </c>
      <c r="D3594" s="2" t="str">
        <f>IFERROR(__xludf.DUMMYFUNCTION("""COMPUTED_VALUE"""),"661-22309")</f>
        <v>661-22309</v>
      </c>
      <c r="E3594" s="2" t="str">
        <f>IFERROR(__xludf.DUMMYFUNCTION("""COMPUTED_VALUE"""),"Display, iPhone 13 Pro Max")</f>
        <v>Display, iPhone 13 Pro Max</v>
      </c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</row>
    <row r="3595">
      <c r="A3595" s="10" t="str">
        <f t="shared" si="1"/>
        <v>March</v>
      </c>
      <c r="B3595" s="11">
        <f>IFERROR(__xludf.DUMMYFUNCTION("""COMPUTED_VALUE"""),46102.0)</f>
        <v>46102</v>
      </c>
      <c r="C3595" s="2" t="str">
        <f>IFERROR(__xludf.DUMMYFUNCTION("""COMPUTED_VALUE"""),"MOBILECARE - NORTHEAST SQUARE")</f>
        <v>MOBILECARE - NORTHEAST SQUARE</v>
      </c>
      <c r="D3595" s="2" t="str">
        <f>IFERROR(__xludf.DUMMYFUNCTION("""COMPUTED_VALUE"""),"661-44955")</f>
        <v>661-44955</v>
      </c>
      <c r="E3595" s="2" t="str">
        <f>IFERROR(__xludf.DUMMYFUNCTION("""COMPUTED_VALUE"""),"Display, iPhone 16 Pro Max")</f>
        <v>Display, iPhone 16 Pro Max</v>
      </c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</row>
    <row r="3596">
      <c r="A3596" s="10" t="str">
        <f t="shared" si="1"/>
        <v>April</v>
      </c>
      <c r="B3596" s="11">
        <f>IFERROR(__xludf.DUMMYFUNCTION("""COMPUTED_VALUE"""),46113.0)</f>
        <v>46113</v>
      </c>
      <c r="C3596" s="2" t="str">
        <f>IFERROR(__xludf.DUMMYFUNCTION("""COMPUTED_VALUE"""),"MOBILECARE - NORTHEAST SQUARE")</f>
        <v>MOBILECARE - NORTHEAST SQUARE</v>
      </c>
      <c r="D3596" s="2" t="str">
        <f>IFERROR(__xludf.DUMMYFUNCTION("""COMPUTED_VALUE"""),"661-22294")</f>
        <v>661-22294</v>
      </c>
      <c r="E3596" s="2" t="str">
        <f>IFERROR(__xludf.DUMMYFUNCTION("""COMPUTED_VALUE"""),"Battery, iPhone 13 Pro Max")</f>
        <v>Battery, iPhone 13 Pro Max</v>
      </c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</row>
    <row r="3597">
      <c r="A3597" s="10" t="str">
        <f t="shared" si="1"/>
        <v>June</v>
      </c>
      <c r="B3597" s="11">
        <f>IFERROR(__xludf.DUMMYFUNCTION("""COMPUTED_VALUE"""),46192.0)</f>
        <v>46192</v>
      </c>
      <c r="C3597" s="2" t="str">
        <f>IFERROR(__xludf.DUMMYFUNCTION("""COMPUTED_VALUE"""),"MOBILECARE - NORTHEAST SQUARE")</f>
        <v>MOBILECARE - NORTHEAST SQUARE</v>
      </c>
      <c r="D3597" s="2" t="str">
        <f>IFERROR(__xludf.DUMMYFUNCTION("""COMPUTED_VALUE"""),"661-21996")</f>
        <v>661-21996</v>
      </c>
      <c r="E3597" s="2" t="str">
        <f>IFERROR(__xludf.DUMMYFUNCTION("""COMPUTED_VALUE"""),"Battery, iPhone 13 Pro")</f>
        <v>Battery, iPhone 13 Pro</v>
      </c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</row>
    <row r="3598">
      <c r="A3598" s="10" t="str">
        <f t="shared" si="1"/>
        <v>May</v>
      </c>
      <c r="B3598" s="11">
        <f>IFERROR(__xludf.DUMMYFUNCTION("""COMPUTED_VALUE"""),46151.0)</f>
        <v>46151</v>
      </c>
      <c r="C3598" s="2" t="str">
        <f>IFERROR(__xludf.DUMMYFUNCTION("""COMPUTED_VALUE"""),"MOBILECARE - NORTHEAST SQUARE")</f>
        <v>MOBILECARE - NORTHEAST SQUARE</v>
      </c>
      <c r="D3598" s="2" t="str">
        <f>IFERROR(__xludf.DUMMYFUNCTION("""COMPUTED_VALUE"""),"661-21991")</f>
        <v>661-21991</v>
      </c>
      <c r="E3598" s="2" t="str">
        <f>IFERROR(__xludf.DUMMYFUNCTION("""COMPUTED_VALUE"""),"Battery, iPhone 13")</f>
        <v>Battery, iPhone 13</v>
      </c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</row>
    <row r="3599">
      <c r="A3599" s="10" t="str">
        <f t="shared" si="1"/>
        <v>April</v>
      </c>
      <c r="B3599" s="11">
        <f>IFERROR(__xludf.DUMMYFUNCTION("""COMPUTED_VALUE"""),46133.0)</f>
        <v>46133</v>
      </c>
      <c r="C3599" s="2" t="str">
        <f>IFERROR(__xludf.DUMMYFUNCTION("""COMPUTED_VALUE"""),"MOBILECARE - NORTHEAST SQUARE")</f>
        <v>MOBILECARE - NORTHEAST SQUARE</v>
      </c>
      <c r="D3599" s="2" t="str">
        <f>IFERROR(__xludf.DUMMYFUNCTION("""COMPUTED_VALUE"""),"661-21993")</f>
        <v>661-21993</v>
      </c>
      <c r="E3599" s="2" t="str">
        <f>IFERROR(__xludf.DUMMYFUNCTION("""COMPUTED_VALUE"""),"Display, iPhone 13 Pro")</f>
        <v>Display, iPhone 13 Pro</v>
      </c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</row>
    <row r="3600">
      <c r="A3600" s="10" t="str">
        <f t="shared" si="1"/>
        <v>April</v>
      </c>
      <c r="B3600" s="11">
        <f>IFERROR(__xludf.DUMMYFUNCTION("""COMPUTED_VALUE"""),46133.0)</f>
        <v>46133</v>
      </c>
      <c r="C3600" s="2" t="str">
        <f>IFERROR(__xludf.DUMMYFUNCTION("""COMPUTED_VALUE"""),"MOBILECARE - NORTHEAST SQUARE")</f>
        <v>MOBILECARE - NORTHEAST SQUARE</v>
      </c>
      <c r="D3600" s="2" t="str">
        <f>IFERROR(__xludf.DUMMYFUNCTION("""COMPUTED_VALUE"""),"661-21996")</f>
        <v>661-21996</v>
      </c>
      <c r="E3600" s="2" t="str">
        <f>IFERROR(__xludf.DUMMYFUNCTION("""COMPUTED_VALUE"""),"Battery, iPhone 13 Pro")</f>
        <v>Battery, iPhone 13 Pro</v>
      </c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</row>
    <row r="3601">
      <c r="A3601" s="10" t="str">
        <f t="shared" si="1"/>
        <v>February</v>
      </c>
      <c r="B3601" s="11">
        <f>IFERROR(__xludf.DUMMYFUNCTION("""COMPUTED_VALUE"""),46071.0)</f>
        <v>46071</v>
      </c>
      <c r="C3601" s="2" t="str">
        <f>IFERROR(__xludf.DUMMYFUNCTION("""COMPUTED_VALUE"""),"MOBILECARE - NORTHEAST SQUARE")</f>
        <v>MOBILECARE - NORTHEAST SQUARE</v>
      </c>
      <c r="D3601" s="2" t="str">
        <f>IFERROR(__xludf.DUMMYFUNCTION("""COMPUTED_VALUE"""),"661-13574")</f>
        <v>661-13574</v>
      </c>
      <c r="E3601" s="2" t="str">
        <f>IFERROR(__xludf.DUMMYFUNCTION("""COMPUTED_VALUE"""),"Battery, iPhone 11")</f>
        <v>Battery, iPhone 11</v>
      </c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</row>
    <row r="3602">
      <c r="A3602" s="10" t="str">
        <f t="shared" si="1"/>
        <v>January</v>
      </c>
      <c r="B3602" s="11">
        <f>IFERROR(__xludf.DUMMYFUNCTION("""COMPUTED_VALUE"""),46042.0)</f>
        <v>46042</v>
      </c>
      <c r="C3602" s="2" t="str">
        <f>IFERROR(__xludf.DUMMYFUNCTION("""COMPUTED_VALUE"""),"MOBILECARE - NORTHEAST SQUARE")</f>
        <v>MOBILECARE - NORTHEAST SQUARE</v>
      </c>
      <c r="D3602" s="2" t="str">
        <f>IFERROR(__xludf.DUMMYFUNCTION("""COMPUTED_VALUE"""),"661-22294")</f>
        <v>661-22294</v>
      </c>
      <c r="E3602" s="2" t="str">
        <f>IFERROR(__xludf.DUMMYFUNCTION("""COMPUTED_VALUE"""),"Battery, iPhone 13 Pro Max")</f>
        <v>Battery, iPhone 13 Pro Max</v>
      </c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</row>
    <row r="3603">
      <c r="A3603" s="10" t="str">
        <f t="shared" si="1"/>
        <v>April</v>
      </c>
      <c r="B3603" s="11">
        <f>IFERROR(__xludf.DUMMYFUNCTION("""COMPUTED_VALUE"""),46138.0)</f>
        <v>46138</v>
      </c>
      <c r="C3603" s="2" t="str">
        <f>IFERROR(__xludf.DUMMYFUNCTION("""COMPUTED_VALUE"""),"MOBILECARE - NORTHEAST SQUARE")</f>
        <v>MOBILECARE - NORTHEAST SQUARE</v>
      </c>
      <c r="D3603" s="2" t="str">
        <f>IFERROR(__xludf.DUMMYFUNCTION("""COMPUTED_VALUE"""),"661-42726")</f>
        <v>661-42726</v>
      </c>
      <c r="E3603" s="2" t="str">
        <f>IFERROR(__xludf.DUMMYFUNCTION("""COMPUTED_VALUE"""),"Display, iPhone 16 Pro")</f>
        <v>Display, iPhone 16 Pro</v>
      </c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</row>
    <row r="3604">
      <c r="A3604" s="10" t="str">
        <f t="shared" si="1"/>
        <v>February</v>
      </c>
      <c r="B3604" s="11">
        <f>IFERROR(__xludf.DUMMYFUNCTION("""COMPUTED_VALUE"""),46064.0)</f>
        <v>46064</v>
      </c>
      <c r="C3604" s="2" t="str">
        <f>IFERROR(__xludf.DUMMYFUNCTION("""COMPUTED_VALUE"""),"MOBILECARE - NORTHEAST SQUARE")</f>
        <v>MOBILECARE - NORTHEAST SQUARE</v>
      </c>
      <c r="D3604" s="2" t="str">
        <f>IFERROR(__xludf.DUMMYFUNCTION("""COMPUTED_VALUE"""),"661-22309")</f>
        <v>661-22309</v>
      </c>
      <c r="E3604" s="2" t="str">
        <f>IFERROR(__xludf.DUMMYFUNCTION("""COMPUTED_VALUE"""),"Display, iPhone 13 Pro Max")</f>
        <v>Display, iPhone 13 Pro Max</v>
      </c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</row>
    <row r="3605">
      <c r="A3605" s="10" t="str">
        <f t="shared" si="1"/>
        <v>June</v>
      </c>
      <c r="B3605" s="11">
        <f>IFERROR(__xludf.DUMMYFUNCTION("""COMPUTED_VALUE"""),46177.0)</f>
        <v>46177</v>
      </c>
      <c r="C3605" s="2" t="str">
        <f>IFERROR(__xludf.DUMMYFUNCTION("""COMPUTED_VALUE"""),"MOBILECARE - NORTHEAST SQUARE")</f>
        <v>MOBILECARE - NORTHEAST SQUARE</v>
      </c>
      <c r="D3605" s="2" t="str">
        <f>IFERROR(__xludf.DUMMYFUNCTION("""COMPUTED_VALUE"""),"661-22309")</f>
        <v>661-22309</v>
      </c>
      <c r="E3605" s="2" t="str">
        <f>IFERROR(__xludf.DUMMYFUNCTION("""COMPUTED_VALUE"""),"Display, iPhone 13 Pro Max")</f>
        <v>Display, iPhone 13 Pro Max</v>
      </c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</row>
    <row r="3606">
      <c r="A3606" s="10" t="str">
        <f t="shared" si="1"/>
        <v>February</v>
      </c>
      <c r="B3606" s="11">
        <f>IFERROR(__xludf.DUMMYFUNCTION("""COMPUTED_VALUE"""),46071.0)</f>
        <v>46071</v>
      </c>
      <c r="C3606" s="2" t="str">
        <f>IFERROR(__xludf.DUMMYFUNCTION("""COMPUTED_VALUE"""),"MOBILECARE - NORTHEAST SQUARE")</f>
        <v>MOBILECARE - NORTHEAST SQUARE</v>
      </c>
      <c r="D3606" s="2" t="str">
        <f>IFERROR(__xludf.DUMMYFUNCTION("""COMPUTED_VALUE"""),"661-35694")</f>
        <v>661-35694</v>
      </c>
      <c r="E3606" s="2" t="str">
        <f>IFERROR(__xludf.DUMMYFUNCTION("""COMPUTED_VALUE"""),"Battery, iPhone 15 Pro")</f>
        <v>Battery, iPhone 15 Pro</v>
      </c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</row>
    <row r="3607">
      <c r="A3607" s="10" t="str">
        <f t="shared" si="1"/>
        <v>February</v>
      </c>
      <c r="B3607" s="11">
        <f>IFERROR(__xludf.DUMMYFUNCTION("""COMPUTED_VALUE"""),46068.0)</f>
        <v>46068</v>
      </c>
      <c r="C3607" s="2" t="str">
        <f>IFERROR(__xludf.DUMMYFUNCTION("""COMPUTED_VALUE"""),"MOBILECARE - NORTHEAST SQUARE")</f>
        <v>MOBILECARE - NORTHEAST SQUARE</v>
      </c>
      <c r="D3607" s="2" t="str">
        <f>IFERROR(__xludf.DUMMYFUNCTION("""COMPUTED_VALUE"""),"661-17920")</f>
        <v>661-17920</v>
      </c>
      <c r="E3607" s="2" t="str">
        <f>IFERROR(__xludf.DUMMYFUNCTION("""COMPUTED_VALUE"""),"Battery, iPhone 12 and 12 Pro")</f>
        <v>Battery, iPhone 12 and 12 Pro</v>
      </c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</row>
    <row r="3608">
      <c r="A3608" s="10" t="str">
        <f t="shared" si="1"/>
        <v>February</v>
      </c>
      <c r="B3608" s="11">
        <f>IFERROR(__xludf.DUMMYFUNCTION("""COMPUTED_VALUE"""),46068.0)</f>
        <v>46068</v>
      </c>
      <c r="C3608" s="2" t="str">
        <f>IFERROR(__xludf.DUMMYFUNCTION("""COMPUTED_VALUE"""),"MOBILECARE - NORTHEAST SQUARE")</f>
        <v>MOBILECARE - NORTHEAST SQUARE</v>
      </c>
      <c r="D3608" s="2" t="str">
        <f>IFERROR(__xludf.DUMMYFUNCTION("""COMPUTED_VALUE"""),"661-18504")</f>
        <v>661-18504</v>
      </c>
      <c r="E3608" s="2" t="str">
        <f>IFERROR(__xludf.DUMMYFUNCTION("""COMPUTED_VALUE"""),"Display, iPhone 12 Pro")</f>
        <v>Display, iPhone 12 Pro</v>
      </c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</row>
    <row r="3609">
      <c r="A3609" s="10" t="str">
        <f t="shared" si="1"/>
        <v>January</v>
      </c>
      <c r="B3609" s="11">
        <f>IFERROR(__xludf.DUMMYFUNCTION("""COMPUTED_VALUE"""),46034.0)</f>
        <v>46034</v>
      </c>
      <c r="C3609" s="2" t="str">
        <f>IFERROR(__xludf.DUMMYFUNCTION("""COMPUTED_VALUE"""),"MOBILECARE - NORTHEAST SQUARE")</f>
        <v>MOBILECARE - NORTHEAST SQUARE</v>
      </c>
      <c r="D3609" s="2" t="str">
        <f>IFERROR(__xludf.DUMMYFUNCTION("""COMPUTED_VALUE"""),"661-21991")</f>
        <v>661-21991</v>
      </c>
      <c r="E3609" s="2" t="str">
        <f>IFERROR(__xludf.DUMMYFUNCTION("""COMPUTED_VALUE"""),"Battery, iPhone 13")</f>
        <v>Battery, iPhone 13</v>
      </c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</row>
    <row r="3610">
      <c r="A3610" s="10" t="str">
        <f t="shared" si="1"/>
        <v>May</v>
      </c>
      <c r="B3610" s="11">
        <f>IFERROR(__xludf.DUMMYFUNCTION("""COMPUTED_VALUE"""),46168.0)</f>
        <v>46168</v>
      </c>
      <c r="C3610" s="2" t="str">
        <f>IFERROR(__xludf.DUMMYFUNCTION("""COMPUTED_VALUE"""),"MOBILECARE - NORTHEAST SQUARE")</f>
        <v>MOBILECARE - NORTHEAST SQUARE</v>
      </c>
      <c r="D3610" s="2" t="str">
        <f>IFERROR(__xludf.DUMMYFUNCTION("""COMPUTED_VALUE"""),"661-21991")</f>
        <v>661-21991</v>
      </c>
      <c r="E3610" s="2" t="str">
        <f>IFERROR(__xludf.DUMMYFUNCTION("""COMPUTED_VALUE"""),"Battery, iPhone 13")</f>
        <v>Battery, iPhone 13</v>
      </c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</row>
    <row r="3611">
      <c r="A3611" s="10" t="str">
        <f t="shared" si="1"/>
        <v>April</v>
      </c>
      <c r="B3611" s="11">
        <f>IFERROR(__xludf.DUMMYFUNCTION("""COMPUTED_VALUE"""),46139.0)</f>
        <v>46139</v>
      </c>
      <c r="C3611" s="2" t="str">
        <f>IFERROR(__xludf.DUMMYFUNCTION("""COMPUTED_VALUE"""),"MOBILECARE - NORTHEAST SQUARE")</f>
        <v>MOBILECARE - NORTHEAST SQUARE</v>
      </c>
      <c r="D3611" s="2" t="str">
        <f>IFERROR(__xludf.DUMMYFUNCTION("""COMPUTED_VALUE"""),"661-21991")</f>
        <v>661-21991</v>
      </c>
      <c r="E3611" s="2" t="str">
        <f>IFERROR(__xludf.DUMMYFUNCTION("""COMPUTED_VALUE"""),"Battery, iPhone 13")</f>
        <v>Battery, iPhone 13</v>
      </c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</row>
    <row r="3612">
      <c r="A3612" s="10" t="str">
        <f t="shared" si="1"/>
        <v>March</v>
      </c>
      <c r="B3612" s="11">
        <f>IFERROR(__xludf.DUMMYFUNCTION("""COMPUTED_VALUE"""),46091.0)</f>
        <v>46091</v>
      </c>
      <c r="C3612" s="2" t="str">
        <f>IFERROR(__xludf.DUMMYFUNCTION("""COMPUTED_VALUE"""),"MOBILECARE - NORTHEAST SQUARE")</f>
        <v>MOBILECARE - NORTHEAST SQUARE</v>
      </c>
      <c r="D3612" s="2" t="str">
        <f>IFERROR(__xludf.DUMMYFUNCTION("""COMPUTED_VALUE"""),"661-21991")</f>
        <v>661-21991</v>
      </c>
      <c r="E3612" s="2" t="str">
        <f>IFERROR(__xludf.DUMMYFUNCTION("""COMPUTED_VALUE"""),"Battery, iPhone 13")</f>
        <v>Battery, iPhone 13</v>
      </c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</row>
    <row r="3613">
      <c r="A3613" s="10" t="str">
        <f t="shared" si="1"/>
        <v>February</v>
      </c>
      <c r="B3613" s="11">
        <f>IFERROR(__xludf.DUMMYFUNCTION("""COMPUTED_VALUE"""),46070.0)</f>
        <v>46070</v>
      </c>
      <c r="C3613" s="2" t="str">
        <f>IFERROR(__xludf.DUMMYFUNCTION("""COMPUTED_VALUE"""),"MOBILECARE - NORTHEAST SQUARE")</f>
        <v>MOBILECARE - NORTHEAST SQUARE</v>
      </c>
      <c r="D3613" s="2" t="str">
        <f>IFERROR(__xludf.DUMMYFUNCTION("""COMPUTED_VALUE"""),"661-22294")</f>
        <v>661-22294</v>
      </c>
      <c r="E3613" s="2" t="str">
        <f>IFERROR(__xludf.DUMMYFUNCTION("""COMPUTED_VALUE"""),"Battery, iPhone 13 Pro Max")</f>
        <v>Battery, iPhone 13 Pro Max</v>
      </c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</row>
    <row r="3614">
      <c r="A3614" s="10" t="str">
        <f t="shared" si="1"/>
        <v>April</v>
      </c>
      <c r="B3614" s="11">
        <f>IFERROR(__xludf.DUMMYFUNCTION("""COMPUTED_VALUE"""),46121.0)</f>
        <v>46121</v>
      </c>
      <c r="C3614" s="2" t="str">
        <f>IFERROR(__xludf.DUMMYFUNCTION("""COMPUTED_VALUE"""),"MOBILECARE - NORTHEAST SQUARE")</f>
        <v>MOBILECARE - NORTHEAST SQUARE</v>
      </c>
      <c r="D3614" s="2" t="str">
        <f>IFERROR(__xludf.DUMMYFUNCTION("""COMPUTED_VALUE"""),"661-21991")</f>
        <v>661-21991</v>
      </c>
      <c r="E3614" s="2" t="str">
        <f>IFERROR(__xludf.DUMMYFUNCTION("""COMPUTED_VALUE"""),"Battery, iPhone 13")</f>
        <v>Battery, iPhone 13</v>
      </c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</row>
    <row r="3615">
      <c r="A3615" s="10" t="str">
        <f t="shared" si="1"/>
        <v>March</v>
      </c>
      <c r="B3615" s="11">
        <f>IFERROR(__xludf.DUMMYFUNCTION("""COMPUTED_VALUE"""),46088.0)</f>
        <v>46088</v>
      </c>
      <c r="C3615" s="2" t="str">
        <f>IFERROR(__xludf.DUMMYFUNCTION("""COMPUTED_VALUE"""),"MOBILECARE - NORTHEAST SQUARE")</f>
        <v>MOBILECARE - NORTHEAST SQUARE</v>
      </c>
      <c r="D3615" s="2" t="str">
        <f>IFERROR(__xludf.DUMMYFUNCTION("""COMPUTED_VALUE"""),"661-30382")</f>
        <v>661-30382</v>
      </c>
      <c r="E3615" s="2" t="str">
        <f>IFERROR(__xludf.DUMMYFUNCTION("""COMPUTED_VALUE"""),"Battery, iPhone 14 Pro")</f>
        <v>Battery, iPhone 14 Pro</v>
      </c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</row>
    <row r="3616">
      <c r="A3616" s="10" t="str">
        <f t="shared" si="1"/>
        <v>January</v>
      </c>
      <c r="B3616" s="11">
        <f>IFERROR(__xludf.DUMMYFUNCTION("""COMPUTED_VALUE"""),46046.0)</f>
        <v>46046</v>
      </c>
      <c r="C3616" s="2" t="str">
        <f>IFERROR(__xludf.DUMMYFUNCTION("""COMPUTED_VALUE"""),"MOBILECARE - NORTHEAST SQUARE")</f>
        <v>MOBILECARE - NORTHEAST SQUARE</v>
      </c>
      <c r="D3616" s="2" t="str">
        <f>IFERROR(__xludf.DUMMYFUNCTION("""COMPUTED_VALUE"""),"661-30366")</f>
        <v>661-30366</v>
      </c>
      <c r="E3616" s="2" t="str">
        <f>IFERROR(__xludf.DUMMYFUNCTION("""COMPUTED_VALUE"""),"Display, iPhone 14")</f>
        <v>Display, iPhone 14</v>
      </c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</row>
    <row r="3617">
      <c r="A3617" s="10" t="str">
        <f t="shared" si="1"/>
        <v>January</v>
      </c>
      <c r="B3617" s="11">
        <f>IFERROR(__xludf.DUMMYFUNCTION("""COMPUTED_VALUE"""),46034.0)</f>
        <v>46034</v>
      </c>
      <c r="C3617" s="2" t="str">
        <f>IFERROR(__xludf.DUMMYFUNCTION("""COMPUTED_VALUE"""),"MOBILECARE - NORTHEAST SQUARE")</f>
        <v>MOBILECARE - NORTHEAST SQUARE</v>
      </c>
      <c r="D3617" s="2" t="str">
        <f>IFERROR(__xludf.DUMMYFUNCTION("""COMPUTED_VALUE"""),"661-44955")</f>
        <v>661-44955</v>
      </c>
      <c r="E3617" s="2" t="str">
        <f>IFERROR(__xludf.DUMMYFUNCTION("""COMPUTED_VALUE"""),"Display, iPhone 16 Pro Max")</f>
        <v>Display, iPhone 16 Pro Max</v>
      </c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</row>
    <row r="3618">
      <c r="A3618" s="10" t="str">
        <f t="shared" si="1"/>
        <v>April</v>
      </c>
      <c r="B3618" s="11">
        <f>IFERROR(__xludf.DUMMYFUNCTION("""COMPUTED_VALUE"""),46133.0)</f>
        <v>46133</v>
      </c>
      <c r="C3618" s="2" t="str">
        <f>IFERROR(__xludf.DUMMYFUNCTION("""COMPUTED_VALUE"""),"MOBILECARE - NORTHEAST SQUARE")</f>
        <v>MOBILECARE - NORTHEAST SQUARE</v>
      </c>
      <c r="D3618" s="2" t="str">
        <f>IFERROR(__xludf.DUMMYFUNCTION("""COMPUTED_VALUE"""),"661-21991")</f>
        <v>661-21991</v>
      </c>
      <c r="E3618" s="2" t="str">
        <f>IFERROR(__xludf.DUMMYFUNCTION("""COMPUTED_VALUE"""),"Battery, iPhone 13")</f>
        <v>Battery, iPhone 13</v>
      </c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</row>
    <row r="3619">
      <c r="A3619" s="10" t="str">
        <f t="shared" si="1"/>
        <v>June</v>
      </c>
      <c r="B3619" s="11">
        <f>IFERROR(__xludf.DUMMYFUNCTION("""COMPUTED_VALUE"""),46179.0)</f>
        <v>46179</v>
      </c>
      <c r="C3619" s="2" t="str">
        <f>IFERROR(__xludf.DUMMYFUNCTION("""COMPUTED_VALUE"""),"MOBILECARE - NORTHEAST SQUARE")</f>
        <v>MOBILECARE - NORTHEAST SQUARE</v>
      </c>
      <c r="D3619" s="2" t="str">
        <f>IFERROR(__xludf.DUMMYFUNCTION("""COMPUTED_VALUE"""),"661-44955")</f>
        <v>661-44955</v>
      </c>
      <c r="E3619" s="2" t="str">
        <f>IFERROR(__xludf.DUMMYFUNCTION("""COMPUTED_VALUE"""),"Display, iPhone 16 Pro Max")</f>
        <v>Display, iPhone 16 Pro Max</v>
      </c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</row>
    <row r="3620">
      <c r="A3620" s="10" t="str">
        <f t="shared" si="1"/>
        <v>April</v>
      </c>
      <c r="B3620" s="11">
        <f>IFERROR(__xludf.DUMMYFUNCTION("""COMPUTED_VALUE"""),46126.0)</f>
        <v>46126</v>
      </c>
      <c r="C3620" s="2" t="str">
        <f>IFERROR(__xludf.DUMMYFUNCTION("""COMPUTED_VALUE"""),"MOBILECARE - NORTHEAST SQUARE")</f>
        <v>MOBILECARE - NORTHEAST SQUARE</v>
      </c>
      <c r="D3620" s="2" t="str">
        <f>IFERROR(__xludf.DUMMYFUNCTION("""COMPUTED_VALUE"""),"661-44955")</f>
        <v>661-44955</v>
      </c>
      <c r="E3620" s="2" t="str">
        <f>IFERROR(__xludf.DUMMYFUNCTION("""COMPUTED_VALUE"""),"Display, iPhone 16 Pro Max")</f>
        <v>Display, iPhone 16 Pro Max</v>
      </c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</row>
    <row r="3621">
      <c r="A3621" s="10" t="str">
        <f t="shared" si="1"/>
        <v>March</v>
      </c>
      <c r="B3621" s="11">
        <f>IFERROR(__xludf.DUMMYFUNCTION("""COMPUTED_VALUE"""),46110.0)</f>
        <v>46110</v>
      </c>
      <c r="C3621" s="2" t="str">
        <f>IFERROR(__xludf.DUMMYFUNCTION("""COMPUTED_VALUE"""),"MOBILECARE - NORTHEAST SQUARE")</f>
        <v>MOBILECARE - NORTHEAST SQUARE</v>
      </c>
      <c r="D3621" s="2" t="str">
        <f>IFERROR(__xludf.DUMMYFUNCTION("""COMPUTED_VALUE"""),"661-10850")</f>
        <v>661-10850</v>
      </c>
      <c r="E3621" s="2" t="str">
        <f>IFERROR(__xludf.DUMMYFUNCTION("""COMPUTED_VALUE"""),"Battery, iPhone XR")</f>
        <v>Battery, iPhone XR</v>
      </c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</row>
    <row r="3622">
      <c r="A3622" s="10" t="str">
        <f t="shared" si="1"/>
        <v>March</v>
      </c>
      <c r="B3622" s="11">
        <f>IFERROR(__xludf.DUMMYFUNCTION("""COMPUTED_VALUE"""),46110.0)</f>
        <v>46110</v>
      </c>
      <c r="C3622" s="2" t="str">
        <f>IFERROR(__xludf.DUMMYFUNCTION("""COMPUTED_VALUE"""),"MOBILECARE - NORTHEAST SQUARE")</f>
        <v>MOBILECARE - NORTHEAST SQUARE</v>
      </c>
      <c r="D3622" s="2" t="str">
        <f>IFERROR(__xludf.DUMMYFUNCTION("""COMPUTED_VALUE"""),"923-02609")</f>
        <v>923-02609</v>
      </c>
      <c r="E3622" s="2" t="str">
        <f>IFERROR(__xludf.DUMMYFUNCTION("""COMPUTED_VALUE"""),"Speaker, iPhone XR")</f>
        <v>Speaker, iPhone XR</v>
      </c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</row>
    <row r="3623">
      <c r="A3623" s="10" t="str">
        <f t="shared" si="1"/>
        <v>February</v>
      </c>
      <c r="B3623" s="11">
        <f>IFERROR(__xludf.DUMMYFUNCTION("""COMPUTED_VALUE"""),46065.0)</f>
        <v>46065</v>
      </c>
      <c r="C3623" s="2" t="str">
        <f>IFERROR(__xludf.DUMMYFUNCTION("""COMPUTED_VALUE"""),"MOBILECARE - NORTHEAST SQUARE")</f>
        <v>MOBILECARE - NORTHEAST SQUARE</v>
      </c>
      <c r="D3623" s="2" t="str">
        <f>IFERROR(__xludf.DUMMYFUNCTION("""COMPUTED_VALUE"""),"661-22309")</f>
        <v>661-22309</v>
      </c>
      <c r="E3623" s="2" t="str">
        <f>IFERROR(__xludf.DUMMYFUNCTION("""COMPUTED_VALUE"""),"Display, iPhone 13 Pro Max")</f>
        <v>Display, iPhone 13 Pro Max</v>
      </c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</row>
    <row r="3624">
      <c r="A3624" s="10" t="str">
        <f t="shared" si="1"/>
        <v>April</v>
      </c>
      <c r="B3624" s="11">
        <f>IFERROR(__xludf.DUMMYFUNCTION("""COMPUTED_VALUE"""),46139.0)</f>
        <v>46139</v>
      </c>
      <c r="C3624" s="2" t="str">
        <f>IFERROR(__xludf.DUMMYFUNCTION("""COMPUTED_VALUE"""),"MOBILECARE - NORTHEAST SQUARE")</f>
        <v>MOBILECARE - NORTHEAST SQUARE</v>
      </c>
      <c r="D3624" s="2" t="str">
        <f>IFERROR(__xludf.DUMMYFUNCTION("""COMPUTED_VALUE"""),"661-35700")</f>
        <v>661-35700</v>
      </c>
      <c r="E3624" s="2" t="str">
        <f>IFERROR(__xludf.DUMMYFUNCTION("""COMPUTED_VALUE"""),"Black Titanium, Back Glass, iPhone 15 Pro")</f>
        <v>Black Titanium, Back Glass, iPhone 15 Pro</v>
      </c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</row>
    <row r="3625">
      <c r="A3625" s="10" t="str">
        <f t="shared" si="1"/>
        <v>April</v>
      </c>
      <c r="B3625" s="11">
        <f>IFERROR(__xludf.DUMMYFUNCTION("""COMPUTED_VALUE"""),46126.0)</f>
        <v>46126</v>
      </c>
      <c r="C3625" s="2" t="str">
        <f>IFERROR(__xludf.DUMMYFUNCTION("""COMPUTED_VALUE"""),"MOBILECARE - NORTHEAST SQUARE")</f>
        <v>MOBILECARE - NORTHEAST SQUARE</v>
      </c>
      <c r="D3625" s="2" t="str">
        <f>IFERROR(__xludf.DUMMYFUNCTION("""COMPUTED_VALUE"""),"661-30382")</f>
        <v>661-30382</v>
      </c>
      <c r="E3625" s="2" t="str">
        <f>IFERROR(__xludf.DUMMYFUNCTION("""COMPUTED_VALUE"""),"Battery, iPhone 14 Pro")</f>
        <v>Battery, iPhone 14 Pro</v>
      </c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</row>
    <row r="3626">
      <c r="A3626" s="10" t="str">
        <f t="shared" si="1"/>
        <v>February</v>
      </c>
      <c r="B3626" s="11">
        <f>IFERROR(__xludf.DUMMYFUNCTION("""COMPUTED_VALUE"""),46060.0)</f>
        <v>46060</v>
      </c>
      <c r="C3626" s="2" t="str">
        <f>IFERROR(__xludf.DUMMYFUNCTION("""COMPUTED_VALUE"""),"MOBILECARE - NORTHEAST SQUARE")</f>
        <v>MOBILECARE - NORTHEAST SQUARE</v>
      </c>
      <c r="D3626" s="2" t="str">
        <f>IFERROR(__xludf.DUMMYFUNCTION("""COMPUTED_VALUE"""),"661-35694")</f>
        <v>661-35694</v>
      </c>
      <c r="E3626" s="2" t="str">
        <f>IFERROR(__xludf.DUMMYFUNCTION("""COMPUTED_VALUE"""),"Battery, iPhone 15 Pro")</f>
        <v>Battery, iPhone 15 Pro</v>
      </c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</row>
    <row r="3627">
      <c r="A3627" s="10" t="str">
        <f t="shared" si="1"/>
        <v>June</v>
      </c>
      <c r="B3627" s="11">
        <f>IFERROR(__xludf.DUMMYFUNCTION("""COMPUTED_VALUE"""),46190.0)</f>
        <v>46190</v>
      </c>
      <c r="C3627" s="2" t="str">
        <f>IFERROR(__xludf.DUMMYFUNCTION("""COMPUTED_VALUE"""),"MOBILECARE - NORTHEAST SQUARE")</f>
        <v>MOBILECARE - NORTHEAST SQUARE</v>
      </c>
      <c r="D3627" s="2" t="str">
        <f>IFERROR(__xludf.DUMMYFUNCTION("""COMPUTED_VALUE"""),"PP661-22980")</f>
        <v>PP661-22980</v>
      </c>
      <c r="E3627" s="2" t="str">
        <f>IFERROR(__xludf.DUMMYFUNCTION("""COMPUTED_VALUE"""),"Midnight, 128 GB, iPhone 13, ROW, CI/AR, Philippines")</f>
        <v>Midnight, 128 GB, iPhone 13, ROW, CI/AR, Philippines</v>
      </c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</row>
    <row r="3628">
      <c r="A3628" s="10" t="str">
        <f t="shared" si="1"/>
        <v>April</v>
      </c>
      <c r="B3628" s="11">
        <f>IFERROR(__xludf.DUMMYFUNCTION("""COMPUTED_VALUE"""),46141.0)</f>
        <v>46141</v>
      </c>
      <c r="C3628" s="2" t="str">
        <f>IFERROR(__xludf.DUMMYFUNCTION("""COMPUTED_VALUE"""),"MOBILECARE - NORTHEAST SQUARE")</f>
        <v>MOBILECARE - NORTHEAST SQUARE</v>
      </c>
      <c r="D3628" s="2" t="str">
        <f>IFERROR(__xludf.DUMMYFUNCTION("""COMPUTED_VALUE"""),"661-18428")</f>
        <v>661-18428</v>
      </c>
      <c r="E3628" s="2" t="str">
        <f>IFERROR(__xludf.DUMMYFUNCTION("""COMPUTED_VALUE"""),"Battery, iPhone 12 Pro Max")</f>
        <v>Battery, iPhone 12 Pro Max</v>
      </c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</row>
    <row r="3629">
      <c r="A3629" s="10" t="str">
        <f t="shared" si="1"/>
        <v>March</v>
      </c>
      <c r="B3629" s="11">
        <f>IFERROR(__xludf.DUMMYFUNCTION("""COMPUTED_VALUE"""),46108.0)</f>
        <v>46108</v>
      </c>
      <c r="C3629" s="2" t="str">
        <f>IFERROR(__xludf.DUMMYFUNCTION("""COMPUTED_VALUE"""),"MOBILECARE - NORTHEAST SQUARE")</f>
        <v>MOBILECARE - NORTHEAST SQUARE</v>
      </c>
      <c r="D3629" s="2" t="str">
        <f>IFERROR(__xludf.DUMMYFUNCTION("""COMPUTED_VALUE"""),"661-30397")</f>
        <v>661-30397</v>
      </c>
      <c r="E3629" s="2" t="str">
        <f>IFERROR(__xludf.DUMMYFUNCTION("""COMPUTED_VALUE"""),"Battery, iPhone 14 Pro Max")</f>
        <v>Battery, iPhone 14 Pro Max</v>
      </c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</row>
    <row r="3630">
      <c r="A3630" s="10" t="str">
        <f t="shared" si="1"/>
        <v>March</v>
      </c>
      <c r="B3630" s="11">
        <f>IFERROR(__xludf.DUMMYFUNCTION("""COMPUTED_VALUE"""),46108.0)</f>
        <v>46108</v>
      </c>
      <c r="C3630" s="2" t="str">
        <f>IFERROR(__xludf.DUMMYFUNCTION("""COMPUTED_VALUE"""),"MOBILECARE - NORTHEAST SQUARE")</f>
        <v>MOBILECARE - NORTHEAST SQUARE</v>
      </c>
      <c r="D3630" s="2" t="str">
        <f>IFERROR(__xludf.DUMMYFUNCTION("""COMPUTED_VALUE"""),"661-30401")</f>
        <v>661-30401</v>
      </c>
      <c r="E3630" s="2" t="str">
        <f>IFERROR(__xludf.DUMMYFUNCTION("""COMPUTED_VALUE"""),"Display, iPhone 14 Pro Max")</f>
        <v>Display, iPhone 14 Pro Max</v>
      </c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</row>
    <row r="3631">
      <c r="A3631" s="10" t="str">
        <f t="shared" si="1"/>
        <v>February</v>
      </c>
      <c r="B3631" s="11">
        <f>IFERROR(__xludf.DUMMYFUNCTION("""COMPUTED_VALUE"""),46065.0)</f>
        <v>46065</v>
      </c>
      <c r="C3631" s="2" t="str">
        <f>IFERROR(__xludf.DUMMYFUNCTION("""COMPUTED_VALUE"""),"MOBILECARE - NORTHEAST SQUARE")</f>
        <v>MOBILECARE - NORTHEAST SQUARE</v>
      </c>
      <c r="D3631" s="2" t="str">
        <f>IFERROR(__xludf.DUMMYFUNCTION("""COMPUTED_VALUE"""),"661-18428")</f>
        <v>661-18428</v>
      </c>
      <c r="E3631" s="2" t="str">
        <f>IFERROR(__xludf.DUMMYFUNCTION("""COMPUTED_VALUE"""),"Battery, iPhone 12 Pro Max")</f>
        <v>Battery, iPhone 12 Pro Max</v>
      </c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</row>
    <row r="3632">
      <c r="A3632" s="10" t="str">
        <f t="shared" si="1"/>
        <v>June</v>
      </c>
      <c r="B3632" s="11">
        <f>IFERROR(__xludf.DUMMYFUNCTION("""COMPUTED_VALUE"""),46189.0)</f>
        <v>46189</v>
      </c>
      <c r="C3632" s="2" t="str">
        <f>IFERROR(__xludf.DUMMYFUNCTION("""COMPUTED_VALUE"""),"MOBILECARE - NORTHEAST SQUARE")</f>
        <v>MOBILECARE - NORTHEAST SQUARE</v>
      </c>
      <c r="D3632" s="2" t="str">
        <f>IFERROR(__xludf.DUMMYFUNCTION("""COMPUTED_VALUE"""),"661-21991")</f>
        <v>661-21991</v>
      </c>
      <c r="E3632" s="2" t="str">
        <f>IFERROR(__xludf.DUMMYFUNCTION("""COMPUTED_VALUE"""),"Battery, iPhone 13")</f>
        <v>Battery, iPhone 13</v>
      </c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</row>
    <row r="3633">
      <c r="A3633" s="10" t="str">
        <f t="shared" si="1"/>
        <v>June</v>
      </c>
      <c r="B3633" s="11">
        <f>IFERROR(__xludf.DUMMYFUNCTION("""COMPUTED_VALUE"""),46181.0)</f>
        <v>46181</v>
      </c>
      <c r="C3633" s="2" t="str">
        <f>IFERROR(__xludf.DUMMYFUNCTION("""COMPUTED_VALUE"""),"MOBILECARE - NORTHEAST SQUARE")</f>
        <v>MOBILECARE - NORTHEAST SQUARE</v>
      </c>
      <c r="D3633" s="2" t="str">
        <f>IFERROR(__xludf.DUMMYFUNCTION("""COMPUTED_VALUE"""),"661-22309")</f>
        <v>661-22309</v>
      </c>
      <c r="E3633" s="2" t="str">
        <f>IFERROR(__xludf.DUMMYFUNCTION("""COMPUTED_VALUE"""),"Display, iPhone 13 Pro Max")</f>
        <v>Display, iPhone 13 Pro Max</v>
      </c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</row>
    <row r="3634">
      <c r="A3634" s="10" t="str">
        <f t="shared" si="1"/>
        <v>June</v>
      </c>
      <c r="B3634" s="11">
        <f>IFERROR(__xludf.DUMMYFUNCTION("""COMPUTED_VALUE"""),46181.0)</f>
        <v>46181</v>
      </c>
      <c r="C3634" s="2" t="str">
        <f>IFERROR(__xludf.DUMMYFUNCTION("""COMPUTED_VALUE"""),"MOBILECARE - NORTHEAST SQUARE")</f>
        <v>MOBILECARE - NORTHEAST SQUARE</v>
      </c>
      <c r="D3634" s="2" t="str">
        <f>IFERROR(__xludf.DUMMYFUNCTION("""COMPUTED_VALUE"""),"661-21991")</f>
        <v>661-21991</v>
      </c>
      <c r="E3634" s="2" t="str">
        <f>IFERROR(__xludf.DUMMYFUNCTION("""COMPUTED_VALUE"""),"Battery, iPhone 13")</f>
        <v>Battery, iPhone 13</v>
      </c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</row>
    <row r="3635">
      <c r="A3635" s="10" t="str">
        <f t="shared" si="1"/>
        <v>March</v>
      </c>
      <c r="B3635" s="11">
        <f>IFERROR(__xludf.DUMMYFUNCTION("""COMPUTED_VALUE"""),46084.0)</f>
        <v>46084</v>
      </c>
      <c r="C3635" s="2" t="str">
        <f>IFERROR(__xludf.DUMMYFUNCTION("""COMPUTED_VALUE"""),"MOBILECARE - NORTHEAST SQUARE")</f>
        <v>MOBILECARE - NORTHEAST SQUARE</v>
      </c>
      <c r="D3635" s="2" t="str">
        <f>IFERROR(__xludf.DUMMYFUNCTION("""COMPUTED_VALUE"""),"661-21991")</f>
        <v>661-21991</v>
      </c>
      <c r="E3635" s="2" t="str">
        <f>IFERROR(__xludf.DUMMYFUNCTION("""COMPUTED_VALUE"""),"Battery, iPhone 13")</f>
        <v>Battery, iPhone 13</v>
      </c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</row>
    <row r="3636">
      <c r="A3636" s="10" t="str">
        <f t="shared" si="1"/>
        <v>February</v>
      </c>
      <c r="B3636" s="11">
        <f>IFERROR(__xludf.DUMMYFUNCTION("""COMPUTED_VALUE"""),46081.0)</f>
        <v>46081</v>
      </c>
      <c r="C3636" s="2" t="str">
        <f>IFERROR(__xludf.DUMMYFUNCTION("""COMPUTED_VALUE"""),"MOBILECARE - NORTHEAST SQUARE")</f>
        <v>MOBILECARE - NORTHEAST SQUARE</v>
      </c>
      <c r="D3636" s="2" t="str">
        <f>IFERROR(__xludf.DUMMYFUNCTION("""COMPUTED_VALUE"""),"661-35694")</f>
        <v>661-35694</v>
      </c>
      <c r="E3636" s="2" t="str">
        <f>IFERROR(__xludf.DUMMYFUNCTION("""COMPUTED_VALUE"""),"Battery, iPhone 15 Pro")</f>
        <v>Battery, iPhone 15 Pro</v>
      </c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</row>
    <row r="3637">
      <c r="A3637" s="10" t="str">
        <f t="shared" si="1"/>
        <v>March</v>
      </c>
      <c r="B3637" s="11">
        <f>IFERROR(__xludf.DUMMYFUNCTION("""COMPUTED_VALUE"""),46091.0)</f>
        <v>46091</v>
      </c>
      <c r="C3637" s="2" t="str">
        <f>IFERROR(__xludf.DUMMYFUNCTION("""COMPUTED_VALUE"""),"MOBILECARE - NORTHEAST SQUARE")</f>
        <v>MOBILECARE - NORTHEAST SQUARE</v>
      </c>
      <c r="D3637" s="2" t="str">
        <f>IFERROR(__xludf.DUMMYFUNCTION("""COMPUTED_VALUE"""),"661-22294")</f>
        <v>661-22294</v>
      </c>
      <c r="E3637" s="2" t="str">
        <f>IFERROR(__xludf.DUMMYFUNCTION("""COMPUTED_VALUE"""),"Battery, iPhone 13 Pro Max")</f>
        <v>Battery, iPhone 13 Pro Max</v>
      </c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</row>
    <row r="3638">
      <c r="A3638" s="10" t="str">
        <f t="shared" si="1"/>
        <v>June</v>
      </c>
      <c r="B3638" s="11">
        <f>IFERROR(__xludf.DUMMYFUNCTION("""COMPUTED_VALUE"""),46191.0)</f>
        <v>46191</v>
      </c>
      <c r="C3638" s="2" t="str">
        <f>IFERROR(__xludf.DUMMYFUNCTION("""COMPUTED_VALUE"""),"MOBILECARE - NORTHEAST SQUARE")</f>
        <v>MOBILECARE - NORTHEAST SQUARE</v>
      </c>
      <c r="D3638" s="2" t="str">
        <f>IFERROR(__xludf.DUMMYFUNCTION("""COMPUTED_VALUE"""),"661-42726")</f>
        <v>661-42726</v>
      </c>
      <c r="E3638" s="2" t="str">
        <f>IFERROR(__xludf.DUMMYFUNCTION("""COMPUTED_VALUE"""),"Display, iPhone 16 Pro")</f>
        <v>Display, iPhone 16 Pro</v>
      </c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</row>
    <row r="3639">
      <c r="A3639" s="10" t="str">
        <f t="shared" si="1"/>
        <v>June</v>
      </c>
      <c r="B3639" s="11">
        <f>IFERROR(__xludf.DUMMYFUNCTION("""COMPUTED_VALUE"""),46189.0)</f>
        <v>46189</v>
      </c>
      <c r="C3639" s="2" t="str">
        <f>IFERROR(__xludf.DUMMYFUNCTION("""COMPUTED_VALUE"""),"MOBILECARE - NORTHEAST SQUARE")</f>
        <v>MOBILECARE - NORTHEAST SQUARE</v>
      </c>
      <c r="D3639" s="2" t="str">
        <f>IFERROR(__xludf.DUMMYFUNCTION("""COMPUTED_VALUE"""),"661-21996")</f>
        <v>661-21996</v>
      </c>
      <c r="E3639" s="2" t="str">
        <f>IFERROR(__xludf.DUMMYFUNCTION("""COMPUTED_VALUE"""),"Battery, iPhone 13 Pro")</f>
        <v>Battery, iPhone 13 Pro</v>
      </c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</row>
    <row r="3640">
      <c r="A3640" s="10" t="str">
        <f t="shared" si="1"/>
        <v>June</v>
      </c>
      <c r="B3640" s="11">
        <f>IFERROR(__xludf.DUMMYFUNCTION("""COMPUTED_VALUE"""),46189.0)</f>
        <v>46189</v>
      </c>
      <c r="C3640" s="2" t="str">
        <f>IFERROR(__xludf.DUMMYFUNCTION("""COMPUTED_VALUE"""),"MOBILECARE - NORTHEAST SQUARE")</f>
        <v>MOBILECARE - NORTHEAST SQUARE</v>
      </c>
      <c r="D3640" s="2" t="str">
        <f>IFERROR(__xludf.DUMMYFUNCTION("""COMPUTED_VALUE"""),"661-21991")</f>
        <v>661-21991</v>
      </c>
      <c r="E3640" s="2" t="str">
        <f>IFERROR(__xludf.DUMMYFUNCTION("""COMPUTED_VALUE"""),"Battery, iPhone 13")</f>
        <v>Battery, iPhone 13</v>
      </c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</row>
    <row r="3641">
      <c r="A3641" s="10" t="str">
        <f t="shared" si="1"/>
        <v>June</v>
      </c>
      <c r="B3641" s="11">
        <f>IFERROR(__xludf.DUMMYFUNCTION("""COMPUTED_VALUE"""),46189.0)</f>
        <v>46189</v>
      </c>
      <c r="C3641" s="2" t="str">
        <f>IFERROR(__xludf.DUMMYFUNCTION("""COMPUTED_VALUE"""),"MOBILECARE - NORTHEAST SQUARE")</f>
        <v>MOBILECARE - NORTHEAST SQUARE</v>
      </c>
      <c r="D3641" s="2" t="str">
        <f>IFERROR(__xludf.DUMMYFUNCTION("""COMPUTED_VALUE"""),"661-21988")</f>
        <v>661-21988</v>
      </c>
      <c r="E3641" s="2" t="str">
        <f>IFERROR(__xludf.DUMMYFUNCTION("""COMPUTED_VALUE"""),"Display, iPhone 13")</f>
        <v>Display, iPhone 13</v>
      </c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</row>
    <row r="3642">
      <c r="A3642" s="10" t="str">
        <f t="shared" si="1"/>
        <v>May</v>
      </c>
      <c r="B3642" s="11">
        <f>IFERROR(__xludf.DUMMYFUNCTION("""COMPUTED_VALUE"""),46162.0)</f>
        <v>46162</v>
      </c>
      <c r="C3642" s="2" t="str">
        <f>IFERROR(__xludf.DUMMYFUNCTION("""COMPUTED_VALUE"""),"MOBILECARE - NORTHEAST SQUARE")</f>
        <v>MOBILECARE - NORTHEAST SQUARE</v>
      </c>
      <c r="D3642" s="2" t="str">
        <f>IFERROR(__xludf.DUMMYFUNCTION("""COMPUTED_VALUE"""),"661-22374")</f>
        <v>661-22374</v>
      </c>
      <c r="E3642" s="2" t="str">
        <f>IFERROR(__xludf.DUMMYFUNCTION("""COMPUTED_VALUE"""),"Battery, iPhone 13 mini")</f>
        <v>Battery, iPhone 13 mini</v>
      </c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</row>
    <row r="3643">
      <c r="A3643" s="10" t="str">
        <f t="shared" si="1"/>
        <v>May</v>
      </c>
      <c r="B3643" s="11">
        <f>IFERROR(__xludf.DUMMYFUNCTION("""COMPUTED_VALUE"""),46161.0)</f>
        <v>46161</v>
      </c>
      <c r="C3643" s="2" t="str">
        <f>IFERROR(__xludf.DUMMYFUNCTION("""COMPUTED_VALUE"""),"MOBILECARE - NORTHEAST SQUARE")</f>
        <v>MOBILECARE - NORTHEAST SQUARE</v>
      </c>
      <c r="D3643" s="2" t="str">
        <f>IFERROR(__xludf.DUMMYFUNCTION("""COMPUTED_VALUE"""),"661-22294")</f>
        <v>661-22294</v>
      </c>
      <c r="E3643" s="2" t="str">
        <f>IFERROR(__xludf.DUMMYFUNCTION("""COMPUTED_VALUE"""),"Battery, iPhone 13 Pro Max")</f>
        <v>Battery, iPhone 13 Pro Max</v>
      </c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</row>
    <row r="3644">
      <c r="A3644" s="10" t="str">
        <f t="shared" si="1"/>
        <v>May</v>
      </c>
      <c r="B3644" s="11">
        <f>IFERROR(__xludf.DUMMYFUNCTION("""COMPUTED_VALUE"""),46156.0)</f>
        <v>46156</v>
      </c>
      <c r="C3644" s="2" t="str">
        <f>IFERROR(__xludf.DUMMYFUNCTION("""COMPUTED_VALUE"""),"MOBILECARE - NORTHEAST SQUARE")</f>
        <v>MOBILECARE - NORTHEAST SQUARE</v>
      </c>
      <c r="D3644" s="2" t="str">
        <f>IFERROR(__xludf.DUMMYFUNCTION("""COMPUTED_VALUE"""),"661-44956")</f>
        <v>661-44956</v>
      </c>
      <c r="E3644" s="2" t="str">
        <f>IFERROR(__xludf.DUMMYFUNCTION("""COMPUTED_VALUE"""),"TrueDepth Camera, iPhone 16 Pro Max")</f>
        <v>TrueDepth Camera, iPhone 16 Pro Max</v>
      </c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</row>
    <row r="3645">
      <c r="A3645" s="10" t="str">
        <f t="shared" si="1"/>
        <v>March</v>
      </c>
      <c r="B3645" s="11">
        <f>IFERROR(__xludf.DUMMYFUNCTION("""COMPUTED_VALUE"""),46092.0)</f>
        <v>46092</v>
      </c>
      <c r="C3645" s="2" t="str">
        <f>IFERROR(__xludf.DUMMYFUNCTION("""COMPUTED_VALUE"""),"MOBILECARE - NORTHEAST SQUARE")</f>
        <v>MOBILECARE - NORTHEAST SQUARE</v>
      </c>
      <c r="D3645" s="2" t="str">
        <f>IFERROR(__xludf.DUMMYFUNCTION("""COMPUTED_VALUE"""),"661-22294")</f>
        <v>661-22294</v>
      </c>
      <c r="E3645" s="2" t="str">
        <f>IFERROR(__xludf.DUMMYFUNCTION("""COMPUTED_VALUE"""),"Battery, iPhone 13 Pro Max")</f>
        <v>Battery, iPhone 13 Pro Max</v>
      </c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</row>
    <row r="3646">
      <c r="A3646" s="10" t="str">
        <f t="shared" si="1"/>
        <v>January</v>
      </c>
      <c r="B3646" s="11">
        <f>IFERROR(__xludf.DUMMYFUNCTION("""COMPUTED_VALUE"""),46050.0)</f>
        <v>46050</v>
      </c>
      <c r="C3646" s="2" t="str">
        <f>IFERROR(__xludf.DUMMYFUNCTION("""COMPUTED_VALUE"""),"MOBILECARE - NORTHEAST SQUARE")</f>
        <v>MOBILECARE - NORTHEAST SQUARE</v>
      </c>
      <c r="D3646" s="2" t="str">
        <f>IFERROR(__xludf.DUMMYFUNCTION("""COMPUTED_VALUE"""),"661-44797")</f>
        <v>661-44797</v>
      </c>
      <c r="E3646" s="2" t="str">
        <f>IFERROR(__xludf.DUMMYFUNCTION("""COMPUTED_VALUE"""),"Display, iPhone 16")</f>
        <v>Display, iPhone 16</v>
      </c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</row>
    <row r="3647">
      <c r="A3647" s="10" t="str">
        <f t="shared" si="1"/>
        <v>January</v>
      </c>
      <c r="B3647" s="11">
        <f>IFERROR(__xludf.DUMMYFUNCTION("""COMPUTED_VALUE"""),46041.0)</f>
        <v>46041</v>
      </c>
      <c r="C3647" s="2" t="str">
        <f>IFERROR(__xludf.DUMMYFUNCTION("""COMPUTED_VALUE"""),"MOBILECARE - NORTHEAST SQUARE")</f>
        <v>MOBILECARE - NORTHEAST SQUARE</v>
      </c>
      <c r="D3647" s="2" t="str">
        <f>IFERROR(__xludf.DUMMYFUNCTION("""COMPUTED_VALUE"""),"661-21991")</f>
        <v>661-21991</v>
      </c>
      <c r="E3647" s="2" t="str">
        <f>IFERROR(__xludf.DUMMYFUNCTION("""COMPUTED_VALUE"""),"Battery, iPhone 13")</f>
        <v>Battery, iPhone 13</v>
      </c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</row>
    <row r="3648">
      <c r="A3648" s="10" t="str">
        <f t="shared" si="1"/>
        <v>May</v>
      </c>
      <c r="B3648" s="11">
        <f>IFERROR(__xludf.DUMMYFUNCTION("""COMPUTED_VALUE"""),46155.0)</f>
        <v>46155</v>
      </c>
      <c r="C3648" s="2" t="str">
        <f>IFERROR(__xludf.DUMMYFUNCTION("""COMPUTED_VALUE"""),"MOBILECARE - NORTHEAST SQUARE")</f>
        <v>MOBILECARE - NORTHEAST SQUARE</v>
      </c>
      <c r="D3648" s="2" t="str">
        <f>IFERROR(__xludf.DUMMYFUNCTION("""COMPUTED_VALUE"""),"661-30382")</f>
        <v>661-30382</v>
      </c>
      <c r="E3648" s="2" t="str">
        <f>IFERROR(__xludf.DUMMYFUNCTION("""COMPUTED_VALUE"""),"Battery, iPhone 14 Pro")</f>
        <v>Battery, iPhone 14 Pro</v>
      </c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</row>
    <row r="3649">
      <c r="A3649" s="10" t="str">
        <f t="shared" si="1"/>
        <v>February</v>
      </c>
      <c r="B3649" s="11">
        <f>IFERROR(__xludf.DUMMYFUNCTION("""COMPUTED_VALUE"""),46069.0)</f>
        <v>46069</v>
      </c>
      <c r="C3649" s="2" t="str">
        <f>IFERROR(__xludf.DUMMYFUNCTION("""COMPUTED_VALUE"""),"MOBILECARE - NORTHEAST SQUARE")</f>
        <v>MOBILECARE - NORTHEAST SQUARE</v>
      </c>
      <c r="D3649" s="2" t="str">
        <f>IFERROR(__xludf.DUMMYFUNCTION("""COMPUTED_VALUE"""),"661-21991")</f>
        <v>661-21991</v>
      </c>
      <c r="E3649" s="2" t="str">
        <f>IFERROR(__xludf.DUMMYFUNCTION("""COMPUTED_VALUE"""),"Battery, iPhone 13")</f>
        <v>Battery, iPhone 13</v>
      </c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</row>
    <row r="3650">
      <c r="A3650" s="10" t="str">
        <f t="shared" si="1"/>
        <v>January</v>
      </c>
      <c r="B3650" s="11">
        <f>IFERROR(__xludf.DUMMYFUNCTION("""COMPUTED_VALUE"""),46045.0)</f>
        <v>46045</v>
      </c>
      <c r="C3650" s="2" t="str">
        <f>IFERROR(__xludf.DUMMYFUNCTION("""COMPUTED_VALUE"""),"MOBILECARE - NORTHEAST SQUARE")</f>
        <v>MOBILECARE - NORTHEAST SQUARE</v>
      </c>
      <c r="D3650" s="2" t="str">
        <f>IFERROR(__xludf.DUMMYFUNCTION("""COMPUTED_VALUE"""),"661-30382")</f>
        <v>661-30382</v>
      </c>
      <c r="E3650" s="2" t="str">
        <f>IFERROR(__xludf.DUMMYFUNCTION("""COMPUTED_VALUE"""),"Battery, iPhone 14 Pro")</f>
        <v>Battery, iPhone 14 Pro</v>
      </c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</row>
    <row r="3651">
      <c r="A3651" s="10" t="str">
        <f t="shared" si="1"/>
        <v>June</v>
      </c>
      <c r="B3651" s="11">
        <f>IFERROR(__xludf.DUMMYFUNCTION("""COMPUTED_VALUE"""),46174.0)</f>
        <v>46174</v>
      </c>
      <c r="C3651" s="2" t="str">
        <f>IFERROR(__xludf.DUMMYFUNCTION("""COMPUTED_VALUE"""),"MOBILECARE - NORTHEAST SQUARE")</f>
        <v>MOBILECARE - NORTHEAST SQUARE</v>
      </c>
      <c r="D3651" s="2" t="str">
        <f>IFERROR(__xludf.DUMMYFUNCTION("""COMPUTED_VALUE"""),"661-44955")</f>
        <v>661-44955</v>
      </c>
      <c r="E3651" s="2" t="str">
        <f>IFERROR(__xludf.DUMMYFUNCTION("""COMPUTED_VALUE"""),"Display, iPhone 16 Pro Max")</f>
        <v>Display, iPhone 16 Pro Max</v>
      </c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</row>
    <row r="3652">
      <c r="A3652" s="10" t="str">
        <f t="shared" si="1"/>
        <v>April</v>
      </c>
      <c r="B3652" s="11">
        <f>IFERROR(__xludf.DUMMYFUNCTION("""COMPUTED_VALUE"""),46132.0)</f>
        <v>46132</v>
      </c>
      <c r="C3652" s="2" t="str">
        <f>IFERROR(__xludf.DUMMYFUNCTION("""COMPUTED_VALUE"""),"MOBILECARE - NORTHEAST SQUARE")</f>
        <v>MOBILECARE - NORTHEAST SQUARE</v>
      </c>
      <c r="D3652" s="2" t="str">
        <f>IFERROR(__xludf.DUMMYFUNCTION("""COMPUTED_VALUE"""),"661-36918")</f>
        <v>661-36918</v>
      </c>
      <c r="E3652" s="2" t="str">
        <f>IFERROR(__xludf.DUMMYFUNCTION("""COMPUTED_VALUE"""),"Battery, iPhone 15 Pro Max")</f>
        <v>Battery, iPhone 15 Pro Max</v>
      </c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</row>
    <row r="3653">
      <c r="A3653" s="10" t="str">
        <f t="shared" si="1"/>
        <v>April</v>
      </c>
      <c r="B3653" s="11">
        <f>IFERROR(__xludf.DUMMYFUNCTION("""COMPUTED_VALUE"""),46136.0)</f>
        <v>46136</v>
      </c>
      <c r="C3653" s="2" t="str">
        <f>IFERROR(__xludf.DUMMYFUNCTION("""COMPUTED_VALUE"""),"MOBILECARE - NORTHEAST SQUARE")</f>
        <v>MOBILECARE - NORTHEAST SQUARE</v>
      </c>
      <c r="D3653" s="2" t="str">
        <f>IFERROR(__xludf.DUMMYFUNCTION("""COMPUTED_VALUE"""),"661-17920")</f>
        <v>661-17920</v>
      </c>
      <c r="E3653" s="2" t="str">
        <f>IFERROR(__xludf.DUMMYFUNCTION("""COMPUTED_VALUE"""),"Battery, iPhone 12 and 12 Pro")</f>
        <v>Battery, iPhone 12 and 12 Pro</v>
      </c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</row>
    <row r="3654">
      <c r="A3654" s="10" t="str">
        <f t="shared" si="1"/>
        <v>April</v>
      </c>
      <c r="B3654" s="11">
        <f>IFERROR(__xludf.DUMMYFUNCTION("""COMPUTED_VALUE"""),46136.0)</f>
        <v>46136</v>
      </c>
      <c r="C3654" s="2" t="str">
        <f>IFERROR(__xludf.DUMMYFUNCTION("""COMPUTED_VALUE"""),"MOBILECARE - NORTHEAST SQUARE")</f>
        <v>MOBILECARE - NORTHEAST SQUARE</v>
      </c>
      <c r="D3654" s="2" t="str">
        <f>IFERROR(__xludf.DUMMYFUNCTION("""COMPUTED_VALUE"""),"661-18503")</f>
        <v>661-18503</v>
      </c>
      <c r="E3654" s="2" t="str">
        <f>IFERROR(__xludf.DUMMYFUNCTION("""COMPUTED_VALUE"""),"Display, iPhone 12")</f>
        <v>Display, iPhone 12</v>
      </c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</row>
    <row r="3655">
      <c r="A3655" s="10" t="str">
        <f t="shared" si="1"/>
        <v>April</v>
      </c>
      <c r="B3655" s="11">
        <f>IFERROR(__xludf.DUMMYFUNCTION("""COMPUTED_VALUE"""),46126.0)</f>
        <v>46126</v>
      </c>
      <c r="C3655" s="2" t="str">
        <f>IFERROR(__xludf.DUMMYFUNCTION("""COMPUTED_VALUE"""),"MOBILECARE - NORTHEAST SQUARE")</f>
        <v>MOBILECARE - NORTHEAST SQUARE</v>
      </c>
      <c r="D3655" s="2" t="str">
        <f>IFERROR(__xludf.DUMMYFUNCTION("""COMPUTED_VALUE"""),"661-35694")</f>
        <v>661-35694</v>
      </c>
      <c r="E3655" s="2" t="str">
        <f>IFERROR(__xludf.DUMMYFUNCTION("""COMPUTED_VALUE"""),"Battery, iPhone 15 Pro")</f>
        <v>Battery, iPhone 15 Pro</v>
      </c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</row>
    <row r="3656">
      <c r="A3656" s="10" t="str">
        <f t="shared" si="1"/>
        <v>March</v>
      </c>
      <c r="B3656" s="11">
        <f>IFERROR(__xludf.DUMMYFUNCTION("""COMPUTED_VALUE"""),46107.0)</f>
        <v>46107</v>
      </c>
      <c r="C3656" s="2" t="str">
        <f>IFERROR(__xludf.DUMMYFUNCTION("""COMPUTED_VALUE"""),"MOBILECARE - NORTHEAST SQUARE")</f>
        <v>MOBILECARE - NORTHEAST SQUARE</v>
      </c>
      <c r="D3656" s="2" t="str">
        <f>IFERROR(__xludf.DUMMYFUNCTION("""COMPUTED_VALUE"""),"661-36918")</f>
        <v>661-36918</v>
      </c>
      <c r="E3656" s="2" t="str">
        <f>IFERROR(__xludf.DUMMYFUNCTION("""COMPUTED_VALUE"""),"Battery, iPhone 15 Pro Max")</f>
        <v>Battery, iPhone 15 Pro Max</v>
      </c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</row>
    <row r="3657">
      <c r="A3657" s="10" t="str">
        <f t="shared" si="1"/>
        <v>January</v>
      </c>
      <c r="B3657" s="11">
        <f>IFERROR(__xludf.DUMMYFUNCTION("""COMPUTED_VALUE"""),46034.0)</f>
        <v>46034</v>
      </c>
      <c r="C3657" s="2" t="str">
        <f>IFERROR(__xludf.DUMMYFUNCTION("""COMPUTED_VALUE"""),"MOBILECARE - NORTHEAST SQUARE")</f>
        <v>MOBILECARE - NORTHEAST SQUARE</v>
      </c>
      <c r="D3657" s="2" t="str">
        <f>IFERROR(__xludf.DUMMYFUNCTION("""COMPUTED_VALUE"""),"661-30382")</f>
        <v>661-30382</v>
      </c>
      <c r="E3657" s="2" t="str">
        <f>IFERROR(__xludf.DUMMYFUNCTION("""COMPUTED_VALUE"""),"Battery, iPhone 14 Pro")</f>
        <v>Battery, iPhone 14 Pro</v>
      </c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</row>
    <row r="3658">
      <c r="A3658" s="10" t="str">
        <f t="shared" si="1"/>
        <v>May</v>
      </c>
      <c r="B3658" s="11">
        <f>IFERROR(__xludf.DUMMYFUNCTION("""COMPUTED_VALUE"""),46170.0)</f>
        <v>46170</v>
      </c>
      <c r="C3658" s="2" t="str">
        <f>IFERROR(__xludf.DUMMYFUNCTION("""COMPUTED_VALUE"""),"MOBILECARE - NORTHEAST SQUARE")</f>
        <v>MOBILECARE - NORTHEAST SQUARE</v>
      </c>
      <c r="D3658" s="2" t="str">
        <f>IFERROR(__xludf.DUMMYFUNCTION("""COMPUTED_VALUE"""),"661-35694")</f>
        <v>661-35694</v>
      </c>
      <c r="E3658" s="2" t="str">
        <f>IFERROR(__xludf.DUMMYFUNCTION("""COMPUTED_VALUE"""),"Battery, iPhone 15 Pro")</f>
        <v>Battery, iPhone 15 Pro</v>
      </c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</row>
    <row r="3659">
      <c r="A3659" s="10" t="str">
        <f t="shared" si="1"/>
        <v>March</v>
      </c>
      <c r="B3659" s="11">
        <f>IFERROR(__xludf.DUMMYFUNCTION("""COMPUTED_VALUE"""),46102.0)</f>
        <v>46102</v>
      </c>
      <c r="C3659" s="2" t="str">
        <f>IFERROR(__xludf.DUMMYFUNCTION("""COMPUTED_VALUE"""),"MOBILECARE - NORTHEAST SQUARE")</f>
        <v>MOBILECARE - NORTHEAST SQUARE</v>
      </c>
      <c r="D3659" s="2" t="str">
        <f>IFERROR(__xludf.DUMMYFUNCTION("""COMPUTED_VALUE"""),"661-56125")</f>
        <v>661-56125</v>
      </c>
      <c r="E3659" s="2" t="str">
        <f>IFERROR(__xludf.DUMMYFUNCTION("""COMPUTED_VALUE"""),"Display, iPhone 17 Pro")</f>
        <v>Display, iPhone 17 Pro</v>
      </c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</row>
    <row r="3660">
      <c r="A3660" s="10" t="str">
        <f t="shared" si="1"/>
        <v>February</v>
      </c>
      <c r="B3660" s="11">
        <f>IFERROR(__xludf.DUMMYFUNCTION("""COMPUTED_VALUE"""),46078.0)</f>
        <v>46078</v>
      </c>
      <c r="C3660" s="2" t="str">
        <f>IFERROR(__xludf.DUMMYFUNCTION("""COMPUTED_VALUE"""),"MOBILECARE - NORTHEAST SQUARE")</f>
        <v>MOBILECARE - NORTHEAST SQUARE</v>
      </c>
      <c r="D3660" s="2" t="str">
        <f>IFERROR(__xludf.DUMMYFUNCTION("""COMPUTED_VALUE"""),"661-21991")</f>
        <v>661-21991</v>
      </c>
      <c r="E3660" s="2" t="str">
        <f>IFERROR(__xludf.DUMMYFUNCTION("""COMPUTED_VALUE"""),"Battery, iPhone 13")</f>
        <v>Battery, iPhone 13</v>
      </c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</row>
    <row r="3661">
      <c r="A3661" s="10" t="str">
        <f t="shared" si="1"/>
        <v>January</v>
      </c>
      <c r="B3661" s="11">
        <f>IFERROR(__xludf.DUMMYFUNCTION("""COMPUTED_VALUE"""),46043.0)</f>
        <v>46043</v>
      </c>
      <c r="C3661" s="2" t="str">
        <f>IFERROR(__xludf.DUMMYFUNCTION("""COMPUTED_VALUE"""),"MOBILECARE - NORTHEAST SQUARE")</f>
        <v>MOBILECARE - NORTHEAST SQUARE</v>
      </c>
      <c r="D3661" s="2" t="str">
        <f>IFERROR(__xludf.DUMMYFUNCTION("""COMPUTED_VALUE"""),"661-21991")</f>
        <v>661-21991</v>
      </c>
      <c r="E3661" s="2" t="str">
        <f>IFERROR(__xludf.DUMMYFUNCTION("""COMPUTED_VALUE"""),"Battery, iPhone 13")</f>
        <v>Battery, iPhone 13</v>
      </c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</row>
    <row r="3662">
      <c r="A3662" s="10" t="str">
        <f t="shared" si="1"/>
        <v>May</v>
      </c>
      <c r="B3662" s="11">
        <f>IFERROR(__xludf.DUMMYFUNCTION("""COMPUTED_VALUE"""),46171.0)</f>
        <v>46171</v>
      </c>
      <c r="C3662" s="2" t="str">
        <f>IFERROR(__xludf.DUMMYFUNCTION("""COMPUTED_VALUE"""),"MOBILECARE - NORTHEAST SQUARE")</f>
        <v>MOBILECARE - NORTHEAST SQUARE</v>
      </c>
      <c r="D3662" s="2" t="str">
        <f>IFERROR(__xludf.DUMMYFUNCTION("""COMPUTED_VALUE"""),"661-42843")</f>
        <v>661-42843</v>
      </c>
      <c r="E3662" s="2" t="str">
        <f>IFERROR(__xludf.DUMMYFUNCTION("""COMPUTED_VALUE"""),"Display, iPhone 16 Plus")</f>
        <v>Display, iPhone 16 Plus</v>
      </c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</row>
    <row r="3663">
      <c r="A3663" s="10" t="str">
        <f t="shared" si="1"/>
        <v>February</v>
      </c>
      <c r="B3663" s="11">
        <f>IFERROR(__xludf.DUMMYFUNCTION("""COMPUTED_VALUE"""),46080.0)</f>
        <v>46080</v>
      </c>
      <c r="C3663" s="2" t="str">
        <f>IFERROR(__xludf.DUMMYFUNCTION("""COMPUTED_VALUE"""),"MOBILECARE - NORTHEAST SQUARE")</f>
        <v>MOBILECARE - NORTHEAST SQUARE</v>
      </c>
      <c r="D3663" s="2" t="str">
        <f>IFERROR(__xludf.DUMMYFUNCTION("""COMPUTED_VALUE"""),"661-22374")</f>
        <v>661-22374</v>
      </c>
      <c r="E3663" s="2" t="str">
        <f>IFERROR(__xludf.DUMMYFUNCTION("""COMPUTED_VALUE"""),"Battery, iPhone 13 mini")</f>
        <v>Battery, iPhone 13 mini</v>
      </c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</row>
    <row r="3664">
      <c r="A3664" s="10" t="str">
        <f t="shared" si="1"/>
        <v>March</v>
      </c>
      <c r="B3664" s="11">
        <f>IFERROR(__xludf.DUMMYFUNCTION("""COMPUTED_VALUE"""),46082.0)</f>
        <v>46082</v>
      </c>
      <c r="C3664" s="2" t="str">
        <f>IFERROR(__xludf.DUMMYFUNCTION("""COMPUTED_VALUE"""),"MOBILECARE - NORTHEAST SQUARE")</f>
        <v>MOBILECARE - NORTHEAST SQUARE</v>
      </c>
      <c r="D3664" s="2" t="str">
        <f>IFERROR(__xludf.DUMMYFUNCTION("""COMPUTED_VALUE"""),"661-42726")</f>
        <v>661-42726</v>
      </c>
      <c r="E3664" s="2" t="str">
        <f>IFERROR(__xludf.DUMMYFUNCTION("""COMPUTED_VALUE"""),"Display, iPhone 16 Pro")</f>
        <v>Display, iPhone 16 Pro</v>
      </c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</row>
    <row r="3665">
      <c r="A3665" s="10" t="str">
        <f t="shared" si="1"/>
        <v>April</v>
      </c>
      <c r="B3665" s="11">
        <f>IFERROR(__xludf.DUMMYFUNCTION("""COMPUTED_VALUE"""),46134.0)</f>
        <v>46134</v>
      </c>
      <c r="C3665" s="2" t="str">
        <f>IFERROR(__xludf.DUMMYFUNCTION("""COMPUTED_VALUE"""),"MOBILECARE - NORTHEAST SQUARE")</f>
        <v>MOBILECARE - NORTHEAST SQUARE</v>
      </c>
      <c r="D3665" s="2" t="str">
        <f>IFERROR(__xludf.DUMMYFUNCTION("""COMPUTED_VALUE"""),"661-21991")</f>
        <v>661-21991</v>
      </c>
      <c r="E3665" s="2" t="str">
        <f>IFERROR(__xludf.DUMMYFUNCTION("""COMPUTED_VALUE"""),"Battery, iPhone 13")</f>
        <v>Battery, iPhone 13</v>
      </c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</row>
    <row r="3666">
      <c r="A3666" s="10" t="str">
        <f t="shared" si="1"/>
        <v>February</v>
      </c>
      <c r="B3666" s="11">
        <f>IFERROR(__xludf.DUMMYFUNCTION("""COMPUTED_VALUE"""),46067.0)</f>
        <v>46067</v>
      </c>
      <c r="C3666" s="2" t="str">
        <f>IFERROR(__xludf.DUMMYFUNCTION("""COMPUTED_VALUE"""),"MOBILECARE - NORTHEAST SQUARE")</f>
        <v>MOBILECARE - NORTHEAST SQUARE</v>
      </c>
      <c r="D3666" s="2" t="str">
        <f>IFERROR(__xludf.DUMMYFUNCTION("""COMPUTED_VALUE"""),"661-21991")</f>
        <v>661-21991</v>
      </c>
      <c r="E3666" s="2" t="str">
        <f>IFERROR(__xludf.DUMMYFUNCTION("""COMPUTED_VALUE"""),"Battery, iPhone 13")</f>
        <v>Battery, iPhone 13</v>
      </c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</row>
    <row r="3667">
      <c r="A3667" s="10" t="str">
        <f t="shared" si="1"/>
        <v>January</v>
      </c>
      <c r="B3667" s="11">
        <f>IFERROR(__xludf.DUMMYFUNCTION("""COMPUTED_VALUE"""),46045.0)</f>
        <v>46045</v>
      </c>
      <c r="C3667" s="2" t="str">
        <f>IFERROR(__xludf.DUMMYFUNCTION("""COMPUTED_VALUE"""),"MOBILECARE - NORTHEAST SQUARE")</f>
        <v>MOBILECARE - NORTHEAST SQUARE</v>
      </c>
      <c r="D3667" s="2" t="str">
        <f>IFERROR(__xludf.DUMMYFUNCTION("""COMPUTED_VALUE"""),"661-42726")</f>
        <v>661-42726</v>
      </c>
      <c r="E3667" s="2" t="str">
        <f>IFERROR(__xludf.DUMMYFUNCTION("""COMPUTED_VALUE"""),"Display, iPhone 16 Pro")</f>
        <v>Display, iPhone 16 Pro</v>
      </c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</row>
    <row r="3668">
      <c r="A3668" s="10" t="str">
        <f t="shared" si="1"/>
        <v>June</v>
      </c>
      <c r="B3668" s="11">
        <f>IFERROR(__xludf.DUMMYFUNCTION("""COMPUTED_VALUE"""),46193.0)</f>
        <v>46193</v>
      </c>
      <c r="C3668" s="2" t="str">
        <f>IFERROR(__xludf.DUMMYFUNCTION("""COMPUTED_VALUE"""),"MOBILECARE - NORTHEAST SQUARE")</f>
        <v>MOBILECARE - NORTHEAST SQUARE</v>
      </c>
      <c r="D3668" s="2" t="str">
        <f>IFERROR(__xludf.DUMMYFUNCTION("""COMPUTED_VALUE"""),"661-36918")</f>
        <v>661-36918</v>
      </c>
      <c r="E3668" s="2" t="str">
        <f>IFERROR(__xludf.DUMMYFUNCTION("""COMPUTED_VALUE"""),"Battery, iPhone 15 Pro Max")</f>
        <v>Battery, iPhone 15 Pro Max</v>
      </c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</row>
    <row r="3669">
      <c r="A3669" s="10" t="str">
        <f t="shared" si="1"/>
        <v>June</v>
      </c>
      <c r="B3669" s="11">
        <f>IFERROR(__xludf.DUMMYFUNCTION("""COMPUTED_VALUE"""),46177.0)</f>
        <v>46177</v>
      </c>
      <c r="C3669" s="2" t="str">
        <f>IFERROR(__xludf.DUMMYFUNCTION("""COMPUTED_VALUE"""),"MOBILECARE - NORTHEAST SQUARE")</f>
        <v>MOBILECARE - NORTHEAST SQUARE</v>
      </c>
      <c r="D3669" s="2" t="str">
        <f>IFERROR(__xludf.DUMMYFUNCTION("""COMPUTED_VALUE"""),"661-56050")</f>
        <v>661-56050</v>
      </c>
      <c r="E3669" s="2" t="str">
        <f>IFERROR(__xludf.DUMMYFUNCTION("""COMPUTED_VALUE"""),"Display, iPhone 17 Pro Max")</f>
        <v>Display, iPhone 17 Pro Max</v>
      </c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</row>
    <row r="3670">
      <c r="A3670" s="10" t="str">
        <f t="shared" si="1"/>
        <v>April</v>
      </c>
      <c r="B3670" s="11">
        <f>IFERROR(__xludf.DUMMYFUNCTION("""COMPUTED_VALUE"""),46113.0)</f>
        <v>46113</v>
      </c>
      <c r="C3670" s="2" t="str">
        <f>IFERROR(__xludf.DUMMYFUNCTION("""COMPUTED_VALUE"""),"MOBILECARE - NORTHEAST SQUARE")</f>
        <v>MOBILECARE - NORTHEAST SQUARE</v>
      </c>
      <c r="D3670" s="2" t="str">
        <f>IFERROR(__xludf.DUMMYFUNCTION("""COMPUTED_VALUE"""),"661-21996")</f>
        <v>661-21996</v>
      </c>
      <c r="E3670" s="2" t="str">
        <f>IFERROR(__xludf.DUMMYFUNCTION("""COMPUTED_VALUE"""),"Battery, iPhone 13 Pro")</f>
        <v>Battery, iPhone 13 Pro</v>
      </c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</row>
    <row r="3671">
      <c r="A3671" s="10" t="str">
        <f t="shared" si="1"/>
        <v>March</v>
      </c>
      <c r="B3671" s="11">
        <f>IFERROR(__xludf.DUMMYFUNCTION("""COMPUTED_VALUE"""),46095.0)</f>
        <v>46095</v>
      </c>
      <c r="C3671" s="2" t="str">
        <f>IFERROR(__xludf.DUMMYFUNCTION("""COMPUTED_VALUE"""),"MOBILECARE - NORTHEAST SQUARE")</f>
        <v>MOBILECARE - NORTHEAST SQUARE</v>
      </c>
      <c r="D3671" s="2" t="str">
        <f>IFERROR(__xludf.DUMMYFUNCTION("""COMPUTED_VALUE"""),"661-21988")</f>
        <v>661-21988</v>
      </c>
      <c r="E3671" s="2" t="str">
        <f>IFERROR(__xludf.DUMMYFUNCTION("""COMPUTED_VALUE"""),"Display, iPhone 13")</f>
        <v>Display, iPhone 13</v>
      </c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</row>
    <row r="3672">
      <c r="A3672" s="10" t="str">
        <f t="shared" si="1"/>
        <v>March</v>
      </c>
      <c r="B3672" s="11">
        <f>IFERROR(__xludf.DUMMYFUNCTION("""COMPUTED_VALUE"""),46106.0)</f>
        <v>46106</v>
      </c>
      <c r="C3672" s="2" t="str">
        <f>IFERROR(__xludf.DUMMYFUNCTION("""COMPUTED_VALUE"""),"MOBILECARE - NORTHEAST SQUARE")</f>
        <v>MOBILECARE - NORTHEAST SQUARE</v>
      </c>
      <c r="D3672" s="2" t="str">
        <f>IFERROR(__xludf.DUMMYFUNCTION("""COMPUTED_VALUE"""),"TA661-45268")</f>
        <v>TA661-45268</v>
      </c>
      <c r="E3672" s="2" t="str">
        <f>IFERROR(__xludf.DUMMYFUNCTION("""COMPUTED_VALUE"""),"512GB, Natural Titanium, ROW, iPhone 16 Pro Max, CI/AR")</f>
        <v>512GB, Natural Titanium, ROW, iPhone 16 Pro Max, CI/AR</v>
      </c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</row>
    <row r="3673">
      <c r="A3673" s="10" t="str">
        <f t="shared" si="1"/>
        <v>May</v>
      </c>
      <c r="B3673" s="11">
        <f>IFERROR(__xludf.DUMMYFUNCTION("""COMPUTED_VALUE"""),46170.0)</f>
        <v>46170</v>
      </c>
      <c r="C3673" s="2" t="str">
        <f>IFERROR(__xludf.DUMMYFUNCTION("""COMPUTED_VALUE"""),"MOBILECARE - NORTHEAST SQUARE")</f>
        <v>MOBILECARE - NORTHEAST SQUARE</v>
      </c>
      <c r="D3673" s="2" t="str">
        <f>IFERROR(__xludf.DUMMYFUNCTION("""COMPUTED_VALUE"""),"661-44799")</f>
        <v>661-44799</v>
      </c>
      <c r="E3673" s="2" t="str">
        <f>IFERROR(__xludf.DUMMYFUNCTION("""COMPUTED_VALUE"""),"Camera, iPhone 16")</f>
        <v>Camera, iPhone 16</v>
      </c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</row>
    <row r="3674">
      <c r="A3674" s="10" t="str">
        <f t="shared" si="1"/>
        <v>April</v>
      </c>
      <c r="B3674" s="11">
        <f>IFERROR(__xludf.DUMMYFUNCTION("""COMPUTED_VALUE"""),46126.0)</f>
        <v>46126</v>
      </c>
      <c r="C3674" s="2" t="str">
        <f>IFERROR(__xludf.DUMMYFUNCTION("""COMPUTED_VALUE"""),"MOBILECARE - NORTHEAST SQUARE")</f>
        <v>MOBILECARE - NORTHEAST SQUARE</v>
      </c>
      <c r="D3674" s="2" t="str">
        <f>IFERROR(__xludf.DUMMYFUNCTION("""COMPUTED_VALUE"""),"661-30382")</f>
        <v>661-30382</v>
      </c>
      <c r="E3674" s="2" t="str">
        <f>IFERROR(__xludf.DUMMYFUNCTION("""COMPUTED_VALUE"""),"Battery, iPhone 14 Pro")</f>
        <v>Battery, iPhone 14 Pro</v>
      </c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</row>
    <row r="3675">
      <c r="A3675" s="10" t="str">
        <f t="shared" si="1"/>
        <v>May</v>
      </c>
      <c r="B3675" s="11">
        <f>IFERROR(__xludf.DUMMYFUNCTION("""COMPUTED_VALUE"""),46144.0)</f>
        <v>46144</v>
      </c>
      <c r="C3675" s="2" t="str">
        <f>IFERROR(__xludf.DUMMYFUNCTION("""COMPUTED_VALUE"""),"MOBILECARE - NORTHEAST SQUARE")</f>
        <v>MOBILECARE - NORTHEAST SQUARE</v>
      </c>
      <c r="D3675" s="2" t="str">
        <f>IFERROR(__xludf.DUMMYFUNCTION("""COMPUTED_VALUE"""),"923-08354")</f>
        <v>923-08354</v>
      </c>
      <c r="E3675" s="2" t="str">
        <f>IFERROR(__xludf.DUMMYFUNCTION("""COMPUTED_VALUE"""),"SIM Tray, Single, Space Black, iPhone 14 Pro/Pro Max")</f>
        <v>SIM Tray, Single, Space Black, iPhone 14 Pro/Pro Max</v>
      </c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</row>
    <row r="3676">
      <c r="A3676" s="10" t="str">
        <f t="shared" si="1"/>
        <v>March</v>
      </c>
      <c r="B3676" s="11">
        <f>IFERROR(__xludf.DUMMYFUNCTION("""COMPUTED_VALUE"""),46099.0)</f>
        <v>46099</v>
      </c>
      <c r="C3676" s="2" t="str">
        <f>IFERROR(__xludf.DUMMYFUNCTION("""COMPUTED_VALUE"""),"MOBILECARE - NORTHEAST SQUARE")</f>
        <v>MOBILECARE - NORTHEAST SQUARE</v>
      </c>
      <c r="D3676" s="2" t="str">
        <f>IFERROR(__xludf.DUMMYFUNCTION("""COMPUTED_VALUE"""),"661-35694")</f>
        <v>661-35694</v>
      </c>
      <c r="E3676" s="2" t="str">
        <f>IFERROR(__xludf.DUMMYFUNCTION("""COMPUTED_VALUE"""),"Battery, iPhone 15 Pro")</f>
        <v>Battery, iPhone 15 Pro</v>
      </c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</row>
    <row r="3677">
      <c r="A3677" s="10" t="str">
        <f t="shared" si="1"/>
        <v>February</v>
      </c>
      <c r="B3677" s="11">
        <f>IFERROR(__xludf.DUMMYFUNCTION("""COMPUTED_VALUE"""),46070.0)</f>
        <v>46070</v>
      </c>
      <c r="C3677" s="2" t="str">
        <f>IFERROR(__xludf.DUMMYFUNCTION("""COMPUTED_VALUE"""),"MOBILECARE - NORTHEAST SQUARE")</f>
        <v>MOBILECARE - NORTHEAST SQUARE</v>
      </c>
      <c r="D3677" s="2" t="str">
        <f>IFERROR(__xludf.DUMMYFUNCTION("""COMPUTED_VALUE"""),"661-30397")</f>
        <v>661-30397</v>
      </c>
      <c r="E3677" s="2" t="str">
        <f>IFERROR(__xludf.DUMMYFUNCTION("""COMPUTED_VALUE"""),"Battery, iPhone 14 Pro Max")</f>
        <v>Battery, iPhone 14 Pro Max</v>
      </c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</row>
    <row r="3678">
      <c r="A3678" s="10" t="str">
        <f t="shared" si="1"/>
        <v>January</v>
      </c>
      <c r="B3678" s="11">
        <f>IFERROR(__xludf.DUMMYFUNCTION("""COMPUTED_VALUE"""),46043.0)</f>
        <v>46043</v>
      </c>
      <c r="C3678" s="2" t="str">
        <f>IFERROR(__xludf.DUMMYFUNCTION("""COMPUTED_VALUE"""),"MOBILECARE - NORTHEAST SQUARE")</f>
        <v>MOBILECARE - NORTHEAST SQUARE</v>
      </c>
      <c r="D3678" s="2" t="str">
        <f>IFERROR(__xludf.DUMMYFUNCTION("""COMPUTED_VALUE"""),"661-22309")</f>
        <v>661-22309</v>
      </c>
      <c r="E3678" s="2" t="str">
        <f>IFERROR(__xludf.DUMMYFUNCTION("""COMPUTED_VALUE"""),"Display, iPhone 13 Pro Max")</f>
        <v>Display, iPhone 13 Pro Max</v>
      </c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</row>
    <row r="3679">
      <c r="A3679" s="10" t="str">
        <f t="shared" si="1"/>
        <v>June</v>
      </c>
      <c r="B3679" s="11">
        <f>IFERROR(__xludf.DUMMYFUNCTION("""COMPUTED_VALUE"""),46190.0)</f>
        <v>46190</v>
      </c>
      <c r="C3679" s="2" t="str">
        <f>IFERROR(__xludf.DUMMYFUNCTION("""COMPUTED_VALUE"""),"MOBILECARE - NORTHEAST SQUARE")</f>
        <v>MOBILECARE - NORTHEAST SQUARE</v>
      </c>
      <c r="D3679" s="2" t="str">
        <f>IFERROR(__xludf.DUMMYFUNCTION("""COMPUTED_VALUE"""),"661-22309")</f>
        <v>661-22309</v>
      </c>
      <c r="E3679" s="2" t="str">
        <f>IFERROR(__xludf.DUMMYFUNCTION("""COMPUTED_VALUE"""),"Display, iPhone 13 Pro Max")</f>
        <v>Display, iPhone 13 Pro Max</v>
      </c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</row>
    <row r="3680">
      <c r="A3680" s="10" t="str">
        <f t="shared" si="1"/>
        <v>April</v>
      </c>
      <c r="B3680" s="11">
        <f>IFERROR(__xludf.DUMMYFUNCTION("""COMPUTED_VALUE"""),46137.0)</f>
        <v>46137</v>
      </c>
      <c r="C3680" s="2" t="str">
        <f>IFERROR(__xludf.DUMMYFUNCTION("""COMPUTED_VALUE"""),"MOBILECARE - NORTHEAST SQUARE")</f>
        <v>MOBILECARE - NORTHEAST SQUARE</v>
      </c>
      <c r="D3680" s="2" t="str">
        <f>IFERROR(__xludf.DUMMYFUNCTION("""COMPUTED_VALUE"""),"661-30382")</f>
        <v>661-30382</v>
      </c>
      <c r="E3680" s="2" t="str">
        <f>IFERROR(__xludf.DUMMYFUNCTION("""COMPUTED_VALUE"""),"Battery, iPhone 14 Pro")</f>
        <v>Battery, iPhone 14 Pro</v>
      </c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</row>
    <row r="3681">
      <c r="A3681" s="10" t="str">
        <f t="shared" si="1"/>
        <v>June</v>
      </c>
      <c r="B3681" s="11">
        <f>IFERROR(__xludf.DUMMYFUNCTION("""COMPUTED_VALUE"""),46174.0)</f>
        <v>46174</v>
      </c>
      <c r="C3681" s="2" t="str">
        <f>IFERROR(__xludf.DUMMYFUNCTION("""COMPUTED_VALUE"""),"MOBILECARE - NORTHEAST SQUARE")</f>
        <v>MOBILECARE - NORTHEAST SQUARE</v>
      </c>
      <c r="D3681" s="2" t="str">
        <f>IFERROR(__xludf.DUMMYFUNCTION("""COMPUTED_VALUE"""),"661-18428")</f>
        <v>661-18428</v>
      </c>
      <c r="E3681" s="2" t="str">
        <f>IFERROR(__xludf.DUMMYFUNCTION("""COMPUTED_VALUE"""),"Battery, iPhone 12 Pro Max")</f>
        <v>Battery, iPhone 12 Pro Max</v>
      </c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</row>
    <row r="3682">
      <c r="A3682" s="10" t="str">
        <f t="shared" si="1"/>
        <v>June</v>
      </c>
      <c r="B3682" s="11">
        <f>IFERROR(__xludf.DUMMYFUNCTION("""COMPUTED_VALUE"""),46174.0)</f>
        <v>46174</v>
      </c>
      <c r="C3682" s="2" t="str">
        <f>IFERROR(__xludf.DUMMYFUNCTION("""COMPUTED_VALUE"""),"MOBILECARE - NORTHEAST SQUARE")</f>
        <v>MOBILECARE - NORTHEAST SQUARE</v>
      </c>
      <c r="D3682" s="2" t="str">
        <f>IFERROR(__xludf.DUMMYFUNCTION("""COMPUTED_VALUE"""),"661-18466")</f>
        <v>661-18466</v>
      </c>
      <c r="E3682" s="2" t="str">
        <f>IFERROR(__xludf.DUMMYFUNCTION("""COMPUTED_VALUE"""),"Display, iPhone 12 Pro Max")</f>
        <v>Display, iPhone 12 Pro Max</v>
      </c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</row>
    <row r="3683">
      <c r="A3683" s="10" t="str">
        <f t="shared" si="1"/>
        <v>April</v>
      </c>
      <c r="B3683" s="11">
        <f>IFERROR(__xludf.DUMMYFUNCTION("""COMPUTED_VALUE"""),46118.0)</f>
        <v>46118</v>
      </c>
      <c r="C3683" s="2" t="str">
        <f>IFERROR(__xludf.DUMMYFUNCTION("""COMPUTED_VALUE"""),"MOBILECARE - NORTHEAST SQUARE")</f>
        <v>MOBILECARE - NORTHEAST SQUARE</v>
      </c>
      <c r="D3683" s="2" t="str">
        <f>IFERROR(__xludf.DUMMYFUNCTION("""COMPUTED_VALUE"""),"661-21991")</f>
        <v>661-21991</v>
      </c>
      <c r="E3683" s="2" t="str">
        <f>IFERROR(__xludf.DUMMYFUNCTION("""COMPUTED_VALUE"""),"Battery, iPhone 13")</f>
        <v>Battery, iPhone 13</v>
      </c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</row>
    <row r="3684">
      <c r="A3684" s="10" t="str">
        <f t="shared" si="1"/>
        <v>March</v>
      </c>
      <c r="B3684" s="11">
        <f>IFERROR(__xludf.DUMMYFUNCTION("""COMPUTED_VALUE"""),46097.0)</f>
        <v>46097</v>
      </c>
      <c r="C3684" s="2" t="str">
        <f>IFERROR(__xludf.DUMMYFUNCTION("""COMPUTED_VALUE"""),"MOBILECARE - NORTHEAST SQUARE")</f>
        <v>MOBILECARE - NORTHEAST SQUARE</v>
      </c>
      <c r="D3684" s="2" t="str">
        <f>IFERROR(__xludf.DUMMYFUNCTION("""COMPUTED_VALUE"""),"661-30382")</f>
        <v>661-30382</v>
      </c>
      <c r="E3684" s="2" t="str">
        <f>IFERROR(__xludf.DUMMYFUNCTION("""COMPUTED_VALUE"""),"Battery, iPhone 14 Pro")</f>
        <v>Battery, iPhone 14 Pro</v>
      </c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</row>
    <row r="3685">
      <c r="A3685" s="10" t="str">
        <f t="shared" si="1"/>
        <v>March</v>
      </c>
      <c r="B3685" s="11">
        <f>IFERROR(__xludf.DUMMYFUNCTION("""COMPUTED_VALUE"""),46086.0)</f>
        <v>46086</v>
      </c>
      <c r="C3685" s="2" t="str">
        <f>IFERROR(__xludf.DUMMYFUNCTION("""COMPUTED_VALUE"""),"MOBILECARE - NORTHEAST SQUARE")</f>
        <v>MOBILECARE - NORTHEAST SQUARE</v>
      </c>
      <c r="D3685" s="2" t="str">
        <f>IFERROR(__xludf.DUMMYFUNCTION("""COMPUTED_VALUE"""),"661-22309")</f>
        <v>661-22309</v>
      </c>
      <c r="E3685" s="2" t="str">
        <f>IFERROR(__xludf.DUMMYFUNCTION("""COMPUTED_VALUE"""),"Display, iPhone 13 Pro Max")</f>
        <v>Display, iPhone 13 Pro Max</v>
      </c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</row>
    <row r="3686">
      <c r="A3686" s="10" t="str">
        <f t="shared" si="1"/>
        <v>February</v>
      </c>
      <c r="B3686" s="11">
        <f>IFERROR(__xludf.DUMMYFUNCTION("""COMPUTED_VALUE"""),46055.0)</f>
        <v>46055</v>
      </c>
      <c r="C3686" s="2" t="str">
        <f>IFERROR(__xludf.DUMMYFUNCTION("""COMPUTED_VALUE"""),"MOBILECARE - NORTHEAST SQUARE")</f>
        <v>MOBILECARE - NORTHEAST SQUARE</v>
      </c>
      <c r="D3686" s="2" t="str">
        <f>IFERROR(__xludf.DUMMYFUNCTION("""COMPUTED_VALUE"""),"661-18428")</f>
        <v>661-18428</v>
      </c>
      <c r="E3686" s="2" t="str">
        <f>IFERROR(__xludf.DUMMYFUNCTION("""COMPUTED_VALUE"""),"Battery, iPhone 12 Pro Max")</f>
        <v>Battery, iPhone 12 Pro Max</v>
      </c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</row>
    <row r="3687">
      <c r="A3687" s="10" t="str">
        <f t="shared" si="1"/>
        <v>February</v>
      </c>
      <c r="B3687" s="11">
        <f>IFERROR(__xludf.DUMMYFUNCTION("""COMPUTED_VALUE"""),46055.0)</f>
        <v>46055</v>
      </c>
      <c r="C3687" s="2" t="str">
        <f>IFERROR(__xludf.DUMMYFUNCTION("""COMPUTED_VALUE"""),"MOBILECARE - NORTHEAST SQUARE")</f>
        <v>MOBILECARE - NORTHEAST SQUARE</v>
      </c>
      <c r="D3687" s="2" t="str">
        <f>IFERROR(__xludf.DUMMYFUNCTION("""COMPUTED_VALUE"""),"661-18466")</f>
        <v>661-18466</v>
      </c>
      <c r="E3687" s="2" t="str">
        <f>IFERROR(__xludf.DUMMYFUNCTION("""COMPUTED_VALUE"""),"Display, iPhone 12 Pro Max")</f>
        <v>Display, iPhone 12 Pro Max</v>
      </c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</row>
    <row r="3688">
      <c r="A3688" s="10" t="str">
        <f t="shared" si="1"/>
        <v>June</v>
      </c>
      <c r="B3688" s="11">
        <f>IFERROR(__xludf.DUMMYFUNCTION("""COMPUTED_VALUE"""),46175.0)</f>
        <v>46175</v>
      </c>
      <c r="C3688" s="2" t="str">
        <f>IFERROR(__xludf.DUMMYFUNCTION("""COMPUTED_VALUE"""),"MOBILECARE - NORTHEAST SQUARE")</f>
        <v>MOBILECARE - NORTHEAST SQUARE</v>
      </c>
      <c r="D3688" s="2" t="str">
        <f>IFERROR(__xludf.DUMMYFUNCTION("""COMPUTED_VALUE"""),"661-13574")</f>
        <v>661-13574</v>
      </c>
      <c r="E3688" s="2" t="str">
        <f>IFERROR(__xludf.DUMMYFUNCTION("""COMPUTED_VALUE"""),"Battery, iPhone 11")</f>
        <v>Battery, iPhone 11</v>
      </c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</row>
    <row r="3689">
      <c r="A3689" s="10" t="str">
        <f t="shared" si="1"/>
        <v>March</v>
      </c>
      <c r="B3689" s="11">
        <f>IFERROR(__xludf.DUMMYFUNCTION("""COMPUTED_VALUE"""),46111.0)</f>
        <v>46111</v>
      </c>
      <c r="C3689" s="2" t="str">
        <f>IFERROR(__xludf.DUMMYFUNCTION("""COMPUTED_VALUE"""),"MOBILECARE - NORTHEAST SQUARE")</f>
        <v>MOBILECARE - NORTHEAST SQUARE</v>
      </c>
      <c r="D3689" s="2" t="str">
        <f>IFERROR(__xludf.DUMMYFUNCTION("""COMPUTED_VALUE"""),"661-44955")</f>
        <v>661-44955</v>
      </c>
      <c r="E3689" s="2" t="str">
        <f>IFERROR(__xludf.DUMMYFUNCTION("""COMPUTED_VALUE"""),"Display, iPhone 16 Pro Max")</f>
        <v>Display, iPhone 16 Pro Max</v>
      </c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</row>
    <row r="3690">
      <c r="A3690" s="10" t="str">
        <f t="shared" si="1"/>
        <v>April</v>
      </c>
      <c r="B3690" s="11">
        <f>IFERROR(__xludf.DUMMYFUNCTION("""COMPUTED_VALUE"""),46119.0)</f>
        <v>46119</v>
      </c>
      <c r="C3690" s="2" t="str">
        <f>IFERROR(__xludf.DUMMYFUNCTION("""COMPUTED_VALUE"""),"MOBILECARE - NORTHEAST SQUARE")</f>
        <v>MOBILECARE - NORTHEAST SQUARE</v>
      </c>
      <c r="D3690" s="2" t="str">
        <f>IFERROR(__xludf.DUMMYFUNCTION("""COMPUTED_VALUE"""),"PP661-22980")</f>
        <v>PP661-22980</v>
      </c>
      <c r="E3690" s="2" t="str">
        <f>IFERROR(__xludf.DUMMYFUNCTION("""COMPUTED_VALUE"""),"Midnight, 128 GB, iPhone 13, ROW, CI/AR, Philippines")</f>
        <v>Midnight, 128 GB, iPhone 13, ROW, CI/AR, Philippines</v>
      </c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</row>
    <row r="3691">
      <c r="A3691" s="10" t="str">
        <f t="shared" si="1"/>
        <v>February</v>
      </c>
      <c r="B3691" s="11">
        <f>IFERROR(__xludf.DUMMYFUNCTION("""COMPUTED_VALUE"""),46074.0)</f>
        <v>46074</v>
      </c>
      <c r="C3691" s="2" t="str">
        <f>IFERROR(__xludf.DUMMYFUNCTION("""COMPUTED_VALUE"""),"MOBILECARE - NORTHEAST SQUARE")</f>
        <v>MOBILECARE - NORTHEAST SQUARE</v>
      </c>
      <c r="D3691" s="2" t="str">
        <f>IFERROR(__xludf.DUMMYFUNCTION("""COMPUTED_VALUE"""),"661-30382")</f>
        <v>661-30382</v>
      </c>
      <c r="E3691" s="2" t="str">
        <f>IFERROR(__xludf.DUMMYFUNCTION("""COMPUTED_VALUE"""),"Battery, iPhone 14 Pro")</f>
        <v>Battery, iPhone 14 Pro</v>
      </c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</row>
    <row r="3692">
      <c r="A3692" s="10" t="str">
        <f t="shared" si="1"/>
        <v>February</v>
      </c>
      <c r="B3692" s="11">
        <f>IFERROR(__xludf.DUMMYFUNCTION("""COMPUTED_VALUE"""),46072.0)</f>
        <v>46072</v>
      </c>
      <c r="C3692" s="2" t="str">
        <f>IFERROR(__xludf.DUMMYFUNCTION("""COMPUTED_VALUE"""),"MOBILECARE - NORTHEAST SQUARE")</f>
        <v>MOBILECARE - NORTHEAST SQUARE</v>
      </c>
      <c r="D3692" s="2" t="str">
        <f>IFERROR(__xludf.DUMMYFUNCTION("""COMPUTED_VALUE"""),"661-21996")</f>
        <v>661-21996</v>
      </c>
      <c r="E3692" s="2" t="str">
        <f>IFERROR(__xludf.DUMMYFUNCTION("""COMPUTED_VALUE"""),"Battery, iPhone 13 Pro")</f>
        <v>Battery, iPhone 13 Pro</v>
      </c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</row>
    <row r="3693">
      <c r="A3693" s="10" t="str">
        <f t="shared" si="1"/>
        <v>February</v>
      </c>
      <c r="B3693" s="11">
        <f>IFERROR(__xludf.DUMMYFUNCTION("""COMPUTED_VALUE"""),46070.0)</f>
        <v>46070</v>
      </c>
      <c r="C3693" s="2" t="str">
        <f>IFERROR(__xludf.DUMMYFUNCTION("""COMPUTED_VALUE"""),"MOBILECARE - NORTHEAST SQUARE")</f>
        <v>MOBILECARE - NORTHEAST SQUARE</v>
      </c>
      <c r="D3693" s="2" t="str">
        <f>IFERROR(__xludf.DUMMYFUNCTION("""COMPUTED_VALUE"""),"661-18428")</f>
        <v>661-18428</v>
      </c>
      <c r="E3693" s="2" t="str">
        <f>IFERROR(__xludf.DUMMYFUNCTION("""COMPUTED_VALUE"""),"Battery, iPhone 12 Pro Max")</f>
        <v>Battery, iPhone 12 Pro Max</v>
      </c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</row>
    <row r="3694">
      <c r="A3694" s="10" t="str">
        <f t="shared" si="1"/>
        <v>January</v>
      </c>
      <c r="B3694" s="11">
        <f>IFERROR(__xludf.DUMMYFUNCTION("""COMPUTED_VALUE"""),46053.0)</f>
        <v>46053</v>
      </c>
      <c r="C3694" s="2" t="str">
        <f>IFERROR(__xludf.DUMMYFUNCTION("""COMPUTED_VALUE"""),"MOBILECARE - NORTHEAST SQUARE")</f>
        <v>MOBILECARE - NORTHEAST SQUARE</v>
      </c>
      <c r="D3694" s="2" t="str">
        <f>IFERROR(__xludf.DUMMYFUNCTION("""COMPUTED_VALUE"""),"661-21991")</f>
        <v>661-21991</v>
      </c>
      <c r="E3694" s="2" t="str">
        <f>IFERROR(__xludf.DUMMYFUNCTION("""COMPUTED_VALUE"""),"Battery, iPhone 13")</f>
        <v>Battery, iPhone 13</v>
      </c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</row>
    <row r="3695">
      <c r="A3695" s="10" t="str">
        <f t="shared" si="1"/>
        <v>June</v>
      </c>
      <c r="B3695" s="11">
        <f>IFERROR(__xludf.DUMMYFUNCTION("""COMPUTED_VALUE"""),46186.0)</f>
        <v>46186</v>
      </c>
      <c r="C3695" s="2" t="str">
        <f>IFERROR(__xludf.DUMMYFUNCTION("""COMPUTED_VALUE"""),"MOBILECARE - NORTHEAST SQUARE")</f>
        <v>MOBILECARE - NORTHEAST SQUARE</v>
      </c>
      <c r="D3695" s="2" t="str">
        <f>IFERROR(__xludf.DUMMYFUNCTION("""COMPUTED_VALUE"""),"TA661-55210")</f>
        <v>TA661-55210</v>
      </c>
      <c r="E3695" s="2" t="str">
        <f>IFERROR(__xludf.DUMMYFUNCTION("""COMPUTED_VALUE"""),"Cosmic Orange, 512GB, iPhone 17 Pro Max, ROW, CI/AR, Taiwan")</f>
        <v>Cosmic Orange, 512GB, iPhone 17 Pro Max, ROW, CI/AR, Taiwan</v>
      </c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</row>
    <row r="3696">
      <c r="A3696" s="10" t="str">
        <f t="shared" si="1"/>
        <v>May</v>
      </c>
      <c r="B3696" s="11">
        <f>IFERROR(__xludf.DUMMYFUNCTION("""COMPUTED_VALUE"""),46146.0)</f>
        <v>46146</v>
      </c>
      <c r="C3696" s="2" t="str">
        <f>IFERROR(__xludf.DUMMYFUNCTION("""COMPUTED_VALUE"""),"MOBILECARE - NORTHEAST SQUARE")</f>
        <v>MOBILECARE - NORTHEAST SQUARE</v>
      </c>
      <c r="D3696" s="2" t="str">
        <f>IFERROR(__xludf.DUMMYFUNCTION("""COMPUTED_VALUE"""),"661-30382")</f>
        <v>661-30382</v>
      </c>
      <c r="E3696" s="2" t="str">
        <f>IFERROR(__xludf.DUMMYFUNCTION("""COMPUTED_VALUE"""),"Battery, iPhone 14 Pro")</f>
        <v>Battery, iPhone 14 Pro</v>
      </c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</row>
    <row r="3697">
      <c r="A3697" s="10" t="str">
        <f t="shared" si="1"/>
        <v>April</v>
      </c>
      <c r="B3697" s="11">
        <f>IFERROR(__xludf.DUMMYFUNCTION("""COMPUTED_VALUE"""),46139.0)</f>
        <v>46139</v>
      </c>
      <c r="C3697" s="2" t="str">
        <f>IFERROR(__xludf.DUMMYFUNCTION("""COMPUTED_VALUE"""),"MOBILECARE - NORTHEAST SQUARE")</f>
        <v>MOBILECARE - NORTHEAST SQUARE</v>
      </c>
      <c r="D3697" s="2" t="str">
        <f>IFERROR(__xludf.DUMMYFUNCTION("""COMPUTED_VALUE"""),"661-35694")</f>
        <v>661-35694</v>
      </c>
      <c r="E3697" s="2" t="str">
        <f>IFERROR(__xludf.DUMMYFUNCTION("""COMPUTED_VALUE"""),"Battery, iPhone 15 Pro")</f>
        <v>Battery, iPhone 15 Pro</v>
      </c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</row>
    <row r="3698">
      <c r="A3698" s="10" t="str">
        <f t="shared" si="1"/>
        <v>March</v>
      </c>
      <c r="B3698" s="11">
        <f>IFERROR(__xludf.DUMMYFUNCTION("""COMPUTED_VALUE"""),46110.0)</f>
        <v>46110</v>
      </c>
      <c r="C3698" s="2" t="str">
        <f>IFERROR(__xludf.DUMMYFUNCTION("""COMPUTED_VALUE"""),"MOBILECARE - NORTHEAST SQUARE")</f>
        <v>MOBILECARE - NORTHEAST SQUARE</v>
      </c>
      <c r="D3698" s="2" t="str">
        <f>IFERROR(__xludf.DUMMYFUNCTION("""COMPUTED_VALUE"""),"661-36918")</f>
        <v>661-36918</v>
      </c>
      <c r="E3698" s="2" t="str">
        <f>IFERROR(__xludf.DUMMYFUNCTION("""COMPUTED_VALUE"""),"Battery, iPhone 15 Pro Max")</f>
        <v>Battery, iPhone 15 Pro Max</v>
      </c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</row>
    <row r="3699">
      <c r="A3699" s="10" t="str">
        <f t="shared" si="1"/>
        <v>March</v>
      </c>
      <c r="B3699" s="11">
        <f>IFERROR(__xludf.DUMMYFUNCTION("""COMPUTED_VALUE"""),46100.0)</f>
        <v>46100</v>
      </c>
      <c r="C3699" s="2" t="str">
        <f>IFERROR(__xludf.DUMMYFUNCTION("""COMPUTED_VALUE"""),"MOBILECARE - NORTHEAST SQUARE")</f>
        <v>MOBILECARE - NORTHEAST SQUARE</v>
      </c>
      <c r="D3699" s="2" t="str">
        <f>IFERROR(__xludf.DUMMYFUNCTION("""COMPUTED_VALUE"""),"661-21996")</f>
        <v>661-21996</v>
      </c>
      <c r="E3699" s="2" t="str">
        <f>IFERROR(__xludf.DUMMYFUNCTION("""COMPUTED_VALUE"""),"Battery, iPhone 13 Pro")</f>
        <v>Battery, iPhone 13 Pro</v>
      </c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</row>
    <row r="3700">
      <c r="A3700" s="10" t="str">
        <f t="shared" si="1"/>
        <v>March</v>
      </c>
      <c r="B3700" s="11">
        <f>IFERROR(__xludf.DUMMYFUNCTION("""COMPUTED_VALUE"""),46092.0)</f>
        <v>46092</v>
      </c>
      <c r="C3700" s="2" t="str">
        <f>IFERROR(__xludf.DUMMYFUNCTION("""COMPUTED_VALUE"""),"MOBILECARE - NORTHEAST SQUARE")</f>
        <v>MOBILECARE - NORTHEAST SQUARE</v>
      </c>
      <c r="D3700" s="2" t="str">
        <f>IFERROR(__xludf.DUMMYFUNCTION("""COMPUTED_VALUE"""),"661-21996")</f>
        <v>661-21996</v>
      </c>
      <c r="E3700" s="2" t="str">
        <f>IFERROR(__xludf.DUMMYFUNCTION("""COMPUTED_VALUE"""),"Battery, iPhone 13 Pro")</f>
        <v>Battery, iPhone 13 Pro</v>
      </c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</row>
    <row r="3701">
      <c r="A3701" s="10" t="str">
        <f t="shared" si="1"/>
        <v>March</v>
      </c>
      <c r="B3701" s="11">
        <f>IFERROR(__xludf.DUMMYFUNCTION("""COMPUTED_VALUE"""),46091.0)</f>
        <v>46091</v>
      </c>
      <c r="C3701" s="2" t="str">
        <f>IFERROR(__xludf.DUMMYFUNCTION("""COMPUTED_VALUE"""),"MOBILECARE - NORTHEAST SQUARE")</f>
        <v>MOBILECARE - NORTHEAST SQUARE</v>
      </c>
      <c r="D3701" s="2" t="str">
        <f>IFERROR(__xludf.DUMMYFUNCTION("""COMPUTED_VALUE"""),"661-42726")</f>
        <v>661-42726</v>
      </c>
      <c r="E3701" s="2" t="str">
        <f>IFERROR(__xludf.DUMMYFUNCTION("""COMPUTED_VALUE"""),"Display, iPhone 16 Pro")</f>
        <v>Display, iPhone 16 Pro</v>
      </c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</row>
    <row r="3702">
      <c r="A3702" s="10" t="str">
        <f t="shared" si="1"/>
        <v>May</v>
      </c>
      <c r="B3702" s="11">
        <f>IFERROR(__xludf.DUMMYFUNCTION("""COMPUTED_VALUE"""),46147.0)</f>
        <v>46147</v>
      </c>
      <c r="C3702" s="2" t="str">
        <f>IFERROR(__xludf.DUMMYFUNCTION("""COMPUTED_VALUE"""),"MOBILECARE - APP MEGAMALL")</f>
        <v>MOBILECARE - APP MEGAMALL</v>
      </c>
      <c r="D3702" s="2" t="str">
        <f>IFERROR(__xludf.DUMMYFUNCTION("""COMPUTED_VALUE"""),"661-56050")</f>
        <v>661-56050</v>
      </c>
      <c r="E3702" s="2" t="str">
        <f>IFERROR(__xludf.DUMMYFUNCTION("""COMPUTED_VALUE"""),"Display, iPhone 17 Pro Max")</f>
        <v>Display, iPhone 17 Pro Max</v>
      </c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</row>
    <row r="3703">
      <c r="A3703" s="10" t="str">
        <f t="shared" si="1"/>
        <v>March</v>
      </c>
      <c r="B3703" s="11">
        <f>IFERROR(__xludf.DUMMYFUNCTION("""COMPUTED_VALUE"""),46084.0)</f>
        <v>46084</v>
      </c>
      <c r="C3703" s="2" t="str">
        <f>IFERROR(__xludf.DUMMYFUNCTION("""COMPUTED_VALUE"""),"MOBILECARE - APP MEGAMALL")</f>
        <v>MOBILECARE - APP MEGAMALL</v>
      </c>
      <c r="D3703" s="2" t="str">
        <f>IFERROR(__xludf.DUMMYFUNCTION("""COMPUTED_VALUE"""),"661-30397")</f>
        <v>661-30397</v>
      </c>
      <c r="E3703" s="2" t="str">
        <f>IFERROR(__xludf.DUMMYFUNCTION("""COMPUTED_VALUE"""),"Battery, iPhone 14 Pro Max")</f>
        <v>Battery, iPhone 14 Pro Max</v>
      </c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</row>
    <row r="3704">
      <c r="A3704" s="10" t="str">
        <f t="shared" si="1"/>
        <v>March</v>
      </c>
      <c r="B3704" s="11">
        <f>IFERROR(__xludf.DUMMYFUNCTION("""COMPUTED_VALUE"""),46084.0)</f>
        <v>46084</v>
      </c>
      <c r="C3704" s="2" t="str">
        <f>IFERROR(__xludf.DUMMYFUNCTION("""COMPUTED_VALUE"""),"MOBILECARE - APP MEGAMALL")</f>
        <v>MOBILECARE - APP MEGAMALL</v>
      </c>
      <c r="D3704" s="2" t="str">
        <f>IFERROR(__xludf.DUMMYFUNCTION("""COMPUTED_VALUE"""),"661-30401")</f>
        <v>661-30401</v>
      </c>
      <c r="E3704" s="2" t="str">
        <f>IFERROR(__xludf.DUMMYFUNCTION("""COMPUTED_VALUE"""),"Display, iPhone 14 Pro Max")</f>
        <v>Display, iPhone 14 Pro Max</v>
      </c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</row>
    <row r="3705">
      <c r="A3705" s="10" t="str">
        <f t="shared" si="1"/>
        <v>April</v>
      </c>
      <c r="B3705" s="11">
        <f>IFERROR(__xludf.DUMMYFUNCTION("""COMPUTED_VALUE"""),46113.0)</f>
        <v>46113</v>
      </c>
      <c r="C3705" s="2" t="str">
        <f>IFERROR(__xludf.DUMMYFUNCTION("""COMPUTED_VALUE"""),"MOBILECARE - APP MEGAMALL")</f>
        <v>MOBILECARE - APP MEGAMALL</v>
      </c>
      <c r="D3705" s="2" t="str">
        <f>IFERROR(__xludf.DUMMYFUNCTION("""COMPUTED_VALUE"""),"661-10850")</f>
        <v>661-10850</v>
      </c>
      <c r="E3705" s="2" t="str">
        <f>IFERROR(__xludf.DUMMYFUNCTION("""COMPUTED_VALUE"""),"Battery, iPhone XR")</f>
        <v>Battery, iPhone XR</v>
      </c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</row>
    <row r="3706">
      <c r="A3706" s="10" t="str">
        <f t="shared" si="1"/>
        <v>April</v>
      </c>
      <c r="B3706" s="11">
        <f>IFERROR(__xludf.DUMMYFUNCTION("""COMPUTED_VALUE"""),46113.0)</f>
        <v>46113</v>
      </c>
      <c r="C3706" s="2" t="str">
        <f>IFERROR(__xludf.DUMMYFUNCTION("""COMPUTED_VALUE"""),"MOBILECARE - APP MEGAMALL")</f>
        <v>MOBILECARE - APP MEGAMALL</v>
      </c>
      <c r="D3706" s="2" t="str">
        <f>IFERROR(__xludf.DUMMYFUNCTION("""COMPUTED_VALUE"""),"923-02609")</f>
        <v>923-02609</v>
      </c>
      <c r="E3706" s="2" t="str">
        <f>IFERROR(__xludf.DUMMYFUNCTION("""COMPUTED_VALUE"""),"Speaker, iPhone XR")</f>
        <v>Speaker, iPhone XR</v>
      </c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</row>
    <row r="3707">
      <c r="A3707" s="10" t="str">
        <f t="shared" si="1"/>
        <v>June</v>
      </c>
      <c r="B3707" s="11">
        <f>IFERROR(__xludf.DUMMYFUNCTION("""COMPUTED_VALUE"""),46178.0)</f>
        <v>46178</v>
      </c>
      <c r="C3707" s="2" t="str">
        <f>IFERROR(__xludf.DUMMYFUNCTION("""COMPUTED_VALUE"""),"MOBILECARE - APP MEGAMALL")</f>
        <v>MOBILECARE - APP MEGAMALL</v>
      </c>
      <c r="D3707" s="2" t="str">
        <f>IFERROR(__xludf.DUMMYFUNCTION("""COMPUTED_VALUE"""),"661-10850")</f>
        <v>661-10850</v>
      </c>
      <c r="E3707" s="2" t="str">
        <f>IFERROR(__xludf.DUMMYFUNCTION("""COMPUTED_VALUE"""),"Battery, iPhone XR")</f>
        <v>Battery, iPhone XR</v>
      </c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</row>
    <row r="3708">
      <c r="A3708" s="10" t="str">
        <f t="shared" si="1"/>
        <v>June</v>
      </c>
      <c r="B3708" s="11">
        <f>IFERROR(__xludf.DUMMYFUNCTION("""COMPUTED_VALUE"""),46178.0)</f>
        <v>46178</v>
      </c>
      <c r="C3708" s="2" t="str">
        <f>IFERROR(__xludf.DUMMYFUNCTION("""COMPUTED_VALUE"""),"MOBILECARE - APP MEGAMALL")</f>
        <v>MOBILECARE - APP MEGAMALL</v>
      </c>
      <c r="D3708" s="2" t="str">
        <f>IFERROR(__xludf.DUMMYFUNCTION("""COMPUTED_VALUE"""),"923-02609")</f>
        <v>923-02609</v>
      </c>
      <c r="E3708" s="2" t="str">
        <f>IFERROR(__xludf.DUMMYFUNCTION("""COMPUTED_VALUE"""),"Speaker, iPhone XR")</f>
        <v>Speaker, iPhone XR</v>
      </c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</row>
    <row r="3709">
      <c r="A3709" s="10" t="str">
        <f t="shared" si="1"/>
        <v>April</v>
      </c>
      <c r="B3709" s="11">
        <f>IFERROR(__xludf.DUMMYFUNCTION("""COMPUTED_VALUE"""),46141.0)</f>
        <v>46141</v>
      </c>
      <c r="C3709" s="2" t="str">
        <f>IFERROR(__xludf.DUMMYFUNCTION("""COMPUTED_VALUE"""),"MOBILECARE - APP MEGAMALL")</f>
        <v>MOBILECARE - APP MEGAMALL</v>
      </c>
      <c r="D3709" s="2" t="str">
        <f>IFERROR(__xludf.DUMMYFUNCTION("""COMPUTED_VALUE"""),"661-30366")</f>
        <v>661-30366</v>
      </c>
      <c r="E3709" s="2" t="str">
        <f>IFERROR(__xludf.DUMMYFUNCTION("""COMPUTED_VALUE"""),"Display, iPhone 14")</f>
        <v>Display, iPhone 14</v>
      </c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</row>
    <row r="3710">
      <c r="A3710" s="10" t="str">
        <f t="shared" si="1"/>
        <v>April</v>
      </c>
      <c r="B3710" s="11">
        <f>IFERROR(__xludf.DUMMYFUNCTION("""COMPUTED_VALUE"""),46141.0)</f>
        <v>46141</v>
      </c>
      <c r="C3710" s="2" t="str">
        <f>IFERROR(__xludf.DUMMYFUNCTION("""COMPUTED_VALUE"""),"MOBILECARE - APP MEGAMALL")</f>
        <v>MOBILECARE - APP MEGAMALL</v>
      </c>
      <c r="D3710" s="2" t="str">
        <f>IFERROR(__xludf.DUMMYFUNCTION("""COMPUTED_VALUE"""),"923-08211")</f>
        <v>923-08211</v>
      </c>
      <c r="E3710" s="2" t="str">
        <f>IFERROR(__xludf.DUMMYFUNCTION("""COMPUTED_VALUE"""),"Top Speaker, iPhone 14")</f>
        <v>Top Speaker, iPhone 14</v>
      </c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</row>
    <row r="3711">
      <c r="A3711" s="10" t="str">
        <f t="shared" si="1"/>
        <v>May</v>
      </c>
      <c r="B3711" s="11">
        <f>IFERROR(__xludf.DUMMYFUNCTION("""COMPUTED_VALUE"""),46170.0)</f>
        <v>46170</v>
      </c>
      <c r="C3711" s="2" t="str">
        <f>IFERROR(__xludf.DUMMYFUNCTION("""COMPUTED_VALUE"""),"MOBILECARE - APP MEGAMALL")</f>
        <v>MOBILECARE - APP MEGAMALL</v>
      </c>
      <c r="D3711" s="2" t="str">
        <f>IFERROR(__xludf.DUMMYFUNCTION("""COMPUTED_VALUE"""),"661-22294")</f>
        <v>661-22294</v>
      </c>
      <c r="E3711" s="2" t="str">
        <f>IFERROR(__xludf.DUMMYFUNCTION("""COMPUTED_VALUE"""),"Battery, iPhone 13 Pro Max")</f>
        <v>Battery, iPhone 13 Pro Max</v>
      </c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</row>
    <row r="3712">
      <c r="A3712" s="10" t="str">
        <f t="shared" si="1"/>
        <v>April</v>
      </c>
      <c r="B3712" s="11">
        <f>IFERROR(__xludf.DUMMYFUNCTION("""COMPUTED_VALUE"""),46121.0)</f>
        <v>46121</v>
      </c>
      <c r="C3712" s="2" t="str">
        <f>IFERROR(__xludf.DUMMYFUNCTION("""COMPUTED_VALUE"""),"MOBILECARE - APP MEGAMALL")</f>
        <v>MOBILECARE - APP MEGAMALL</v>
      </c>
      <c r="D3712" s="2" t="str">
        <f>IFERROR(__xludf.DUMMYFUNCTION("""COMPUTED_VALUE"""),"Z661-55957")</f>
        <v>Z661-55957</v>
      </c>
      <c r="E3712" s="2" t="str">
        <f>IFERROR(__xludf.DUMMYFUNCTION("""COMPUTED_VALUE"""),"Logic Board, 512GB, iPhone 17 Pro Max, ROW")</f>
        <v>Logic Board, 512GB, iPhone 17 Pro Max, ROW</v>
      </c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</row>
    <row r="3713">
      <c r="A3713" s="10" t="str">
        <f t="shared" si="1"/>
        <v>March</v>
      </c>
      <c r="B3713" s="11">
        <f>IFERROR(__xludf.DUMMYFUNCTION("""COMPUTED_VALUE"""),46093.0)</f>
        <v>46093</v>
      </c>
      <c r="C3713" s="2" t="str">
        <f>IFERROR(__xludf.DUMMYFUNCTION("""COMPUTED_VALUE"""),"MOBILECARE - APP MEGAMALL")</f>
        <v>MOBILECARE - APP MEGAMALL</v>
      </c>
      <c r="D3713" s="2" t="str">
        <f>IFERROR(__xludf.DUMMYFUNCTION("""COMPUTED_VALUE"""),"661-22294")</f>
        <v>661-22294</v>
      </c>
      <c r="E3713" s="2" t="str">
        <f>IFERROR(__xludf.DUMMYFUNCTION("""COMPUTED_VALUE"""),"Battery, iPhone 13 Pro Max")</f>
        <v>Battery, iPhone 13 Pro Max</v>
      </c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</row>
    <row r="3714">
      <c r="A3714" s="10" t="str">
        <f t="shared" si="1"/>
        <v>March</v>
      </c>
      <c r="B3714" s="11">
        <f>IFERROR(__xludf.DUMMYFUNCTION("""COMPUTED_VALUE"""),46087.0)</f>
        <v>46087</v>
      </c>
      <c r="C3714" s="2" t="str">
        <f>IFERROR(__xludf.DUMMYFUNCTION("""COMPUTED_VALUE"""),"MOBILECARE - APP MEGAMALL")</f>
        <v>MOBILECARE - APP MEGAMALL</v>
      </c>
      <c r="D3714" s="2" t="str">
        <f>IFERROR(__xludf.DUMMYFUNCTION("""COMPUTED_VALUE"""),"661-30397")</f>
        <v>661-30397</v>
      </c>
      <c r="E3714" s="2" t="str">
        <f>IFERROR(__xludf.DUMMYFUNCTION("""COMPUTED_VALUE"""),"Battery, iPhone 14 Pro Max")</f>
        <v>Battery, iPhone 14 Pro Max</v>
      </c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</row>
    <row r="3715">
      <c r="A3715" s="10" t="str">
        <f t="shared" si="1"/>
        <v>March</v>
      </c>
      <c r="B3715" s="11">
        <f>IFERROR(__xludf.DUMMYFUNCTION("""COMPUTED_VALUE"""),46087.0)</f>
        <v>46087</v>
      </c>
      <c r="C3715" s="2" t="str">
        <f>IFERROR(__xludf.DUMMYFUNCTION("""COMPUTED_VALUE"""),"MOBILECARE - APP MEGAMALL")</f>
        <v>MOBILECARE - APP MEGAMALL</v>
      </c>
      <c r="D3715" s="2" t="str">
        <f>IFERROR(__xludf.DUMMYFUNCTION("""COMPUTED_VALUE"""),"661-30397")</f>
        <v>661-30397</v>
      </c>
      <c r="E3715" s="2" t="str">
        <f>IFERROR(__xludf.DUMMYFUNCTION("""COMPUTED_VALUE"""),"Battery, iPhone 14 Pro Max")</f>
        <v>Battery, iPhone 14 Pro Max</v>
      </c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</row>
    <row r="3716">
      <c r="A3716" s="10" t="str">
        <f t="shared" si="1"/>
        <v>June</v>
      </c>
      <c r="B3716" s="11">
        <f>IFERROR(__xludf.DUMMYFUNCTION("""COMPUTED_VALUE"""),46176.0)</f>
        <v>46176</v>
      </c>
      <c r="C3716" s="2" t="str">
        <f>IFERROR(__xludf.DUMMYFUNCTION("""COMPUTED_VALUE"""),"MOBILECARE - APP MEGAMALL")</f>
        <v>MOBILECARE - APP MEGAMALL</v>
      </c>
      <c r="D3716" s="2" t="str">
        <f>IFERROR(__xludf.DUMMYFUNCTION("""COMPUTED_VALUE"""),"661-30397")</f>
        <v>661-30397</v>
      </c>
      <c r="E3716" s="2" t="str">
        <f>IFERROR(__xludf.DUMMYFUNCTION("""COMPUTED_VALUE"""),"Battery, iPhone 14 Pro Max")</f>
        <v>Battery, iPhone 14 Pro Max</v>
      </c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</row>
    <row r="3717">
      <c r="A3717" s="10" t="str">
        <f t="shared" si="1"/>
        <v>May</v>
      </c>
      <c r="B3717" s="11">
        <f>IFERROR(__xludf.DUMMYFUNCTION("""COMPUTED_VALUE"""),46145.0)</f>
        <v>46145</v>
      </c>
      <c r="C3717" s="2" t="str">
        <f>IFERROR(__xludf.DUMMYFUNCTION("""COMPUTED_VALUE"""),"MOBILECARE - APP MEGAMALL")</f>
        <v>MOBILECARE - APP MEGAMALL</v>
      </c>
      <c r="D3717" s="2" t="str">
        <f>IFERROR(__xludf.DUMMYFUNCTION("""COMPUTED_VALUE"""),"661-21996")</f>
        <v>661-21996</v>
      </c>
      <c r="E3717" s="2" t="str">
        <f>IFERROR(__xludf.DUMMYFUNCTION("""COMPUTED_VALUE"""),"Battery, iPhone 13 Pro")</f>
        <v>Battery, iPhone 13 Pro</v>
      </c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</row>
    <row r="3718">
      <c r="A3718" s="10" t="str">
        <f t="shared" si="1"/>
        <v>April</v>
      </c>
      <c r="B3718" s="11">
        <f>IFERROR(__xludf.DUMMYFUNCTION("""COMPUTED_VALUE"""),46141.0)</f>
        <v>46141</v>
      </c>
      <c r="C3718" s="2" t="str">
        <f>IFERROR(__xludf.DUMMYFUNCTION("""COMPUTED_VALUE"""),"MOBILECARE - APP MEGAMALL")</f>
        <v>MOBILECARE - APP MEGAMALL</v>
      </c>
      <c r="D3718" s="2" t="str">
        <f>IFERROR(__xludf.DUMMYFUNCTION("""COMPUTED_VALUE"""),"661-21991")</f>
        <v>661-21991</v>
      </c>
      <c r="E3718" s="2" t="str">
        <f>IFERROR(__xludf.DUMMYFUNCTION("""COMPUTED_VALUE"""),"Battery, iPhone 13")</f>
        <v>Battery, iPhone 13</v>
      </c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</row>
    <row r="3719">
      <c r="A3719" s="10" t="str">
        <f t="shared" si="1"/>
        <v>April</v>
      </c>
      <c r="B3719" s="11">
        <f>IFERROR(__xludf.DUMMYFUNCTION("""COMPUTED_VALUE"""),46137.0)</f>
        <v>46137</v>
      </c>
      <c r="C3719" s="2" t="str">
        <f>IFERROR(__xludf.DUMMYFUNCTION("""COMPUTED_VALUE"""),"MOBILECARE - APP MEGAMALL")</f>
        <v>MOBILECARE - APP MEGAMALL</v>
      </c>
      <c r="D3719" s="2" t="str">
        <f>IFERROR(__xludf.DUMMYFUNCTION("""COMPUTED_VALUE"""),"661-30393")</f>
        <v>661-30393</v>
      </c>
      <c r="E3719" s="2" t="str">
        <f>IFERROR(__xludf.DUMMYFUNCTION("""COMPUTED_VALUE"""),"Camera, iPhone 14 Plus")</f>
        <v>Camera, iPhone 14 Plus</v>
      </c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</row>
    <row r="3720">
      <c r="A3720" s="10" t="str">
        <f t="shared" si="1"/>
        <v>April</v>
      </c>
      <c r="B3720" s="11">
        <f>IFERROR(__xludf.DUMMYFUNCTION("""COMPUTED_VALUE"""),46136.0)</f>
        <v>46136</v>
      </c>
      <c r="C3720" s="2" t="str">
        <f>IFERROR(__xludf.DUMMYFUNCTION("""COMPUTED_VALUE"""),"MOBILECARE - APP MEGAMALL")</f>
        <v>MOBILECARE - APP MEGAMALL</v>
      </c>
      <c r="D3720" s="2" t="str">
        <f>IFERROR(__xludf.DUMMYFUNCTION("""COMPUTED_VALUE"""),"661-56122")</f>
        <v>661-56122</v>
      </c>
      <c r="E3720" s="2" t="str">
        <f>IFERROR(__xludf.DUMMYFUNCTION("""COMPUTED_VALUE"""),"Silver, Back Glass, iPhone 17 Pro")</f>
        <v>Silver, Back Glass, iPhone 17 Pro</v>
      </c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</row>
    <row r="3721">
      <c r="A3721" s="10" t="str">
        <f t="shared" si="1"/>
        <v>March</v>
      </c>
      <c r="B3721" s="11">
        <f>IFERROR(__xludf.DUMMYFUNCTION("""COMPUTED_VALUE"""),46101.0)</f>
        <v>46101</v>
      </c>
      <c r="C3721" s="2" t="str">
        <f>IFERROR(__xludf.DUMMYFUNCTION("""COMPUTED_VALUE"""),"MOBILECARE - APP MEGAMALL")</f>
        <v>MOBILECARE - APP MEGAMALL</v>
      </c>
      <c r="D3721" s="2" t="str">
        <f>IFERROR(__xludf.DUMMYFUNCTION("""COMPUTED_VALUE"""),"661-21996")</f>
        <v>661-21996</v>
      </c>
      <c r="E3721" s="2" t="str">
        <f>IFERROR(__xludf.DUMMYFUNCTION("""COMPUTED_VALUE"""),"Battery, iPhone 13 Pro")</f>
        <v>Battery, iPhone 13 Pro</v>
      </c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</row>
    <row r="3722">
      <c r="A3722" s="10" t="str">
        <f t="shared" si="1"/>
        <v>April</v>
      </c>
      <c r="B3722" s="11">
        <f>IFERROR(__xludf.DUMMYFUNCTION("""COMPUTED_VALUE"""),46136.0)</f>
        <v>46136</v>
      </c>
      <c r="C3722" s="2" t="str">
        <f>IFERROR(__xludf.DUMMYFUNCTION("""COMPUTED_VALUE"""),"MOBILECARE - APP MEGAMALL")</f>
        <v>MOBILECARE - APP MEGAMALL</v>
      </c>
      <c r="D3722" s="2" t="str">
        <f>IFERROR(__xludf.DUMMYFUNCTION("""COMPUTED_VALUE"""),"661-30397")</f>
        <v>661-30397</v>
      </c>
      <c r="E3722" s="2" t="str">
        <f>IFERROR(__xludf.DUMMYFUNCTION("""COMPUTED_VALUE"""),"Battery, iPhone 14 Pro Max")</f>
        <v>Battery, iPhone 14 Pro Max</v>
      </c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</row>
    <row r="3723">
      <c r="A3723" s="10" t="str">
        <f t="shared" si="1"/>
        <v>February</v>
      </c>
      <c r="B3723" s="11">
        <f>IFERROR(__xludf.DUMMYFUNCTION("""COMPUTED_VALUE"""),46072.0)</f>
        <v>46072</v>
      </c>
      <c r="C3723" s="2" t="str">
        <f>IFERROR(__xludf.DUMMYFUNCTION("""COMPUTED_VALUE"""),"MOBILECARE - APP MEGAMALL")</f>
        <v>MOBILECARE - APP MEGAMALL</v>
      </c>
      <c r="D3723" s="2" t="str">
        <f>IFERROR(__xludf.DUMMYFUNCTION("""COMPUTED_VALUE"""),"661-21996")</f>
        <v>661-21996</v>
      </c>
      <c r="E3723" s="2" t="str">
        <f>IFERROR(__xludf.DUMMYFUNCTION("""COMPUTED_VALUE"""),"Battery, iPhone 13 Pro")</f>
        <v>Battery, iPhone 13 Pro</v>
      </c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</row>
    <row r="3724">
      <c r="A3724" s="10" t="str">
        <f t="shared" si="1"/>
        <v>February</v>
      </c>
      <c r="B3724" s="11">
        <f>IFERROR(__xludf.DUMMYFUNCTION("""COMPUTED_VALUE"""),46066.0)</f>
        <v>46066</v>
      </c>
      <c r="C3724" s="2" t="str">
        <f>IFERROR(__xludf.DUMMYFUNCTION("""COMPUTED_VALUE"""),"MOBILECARE - APP MEGAMALL")</f>
        <v>MOBILECARE - APP MEGAMALL</v>
      </c>
      <c r="D3724" s="2" t="str">
        <f>IFERROR(__xludf.DUMMYFUNCTION("""COMPUTED_VALUE"""),"661-56052")</f>
        <v>661-56052</v>
      </c>
      <c r="E3724" s="2" t="str">
        <f>IFERROR(__xludf.DUMMYFUNCTION("""COMPUTED_VALUE"""),"Camera, iPhone 17 Pro Max")</f>
        <v>Camera, iPhone 17 Pro Max</v>
      </c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</row>
    <row r="3725">
      <c r="A3725" s="10" t="str">
        <f t="shared" si="1"/>
        <v>February</v>
      </c>
      <c r="B3725" s="11">
        <f>IFERROR(__xludf.DUMMYFUNCTION("""COMPUTED_VALUE"""),46066.0)</f>
        <v>46066</v>
      </c>
      <c r="C3725" s="2" t="str">
        <f>IFERROR(__xludf.DUMMYFUNCTION("""COMPUTED_VALUE"""),"MOBILECARE - APP MEGAMALL")</f>
        <v>MOBILECARE - APP MEGAMALL</v>
      </c>
      <c r="D3725" s="2" t="str">
        <f>IFERROR(__xludf.DUMMYFUNCTION("""COMPUTED_VALUE"""),"661-56051")</f>
        <v>661-56051</v>
      </c>
      <c r="E3725" s="2" t="str">
        <f>IFERROR(__xludf.DUMMYFUNCTION("""COMPUTED_VALUE"""),"Front Camera, iPhone 17 Pro Max")</f>
        <v>Front Camera, iPhone 17 Pro Max</v>
      </c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</row>
    <row r="3726">
      <c r="A3726" s="10" t="str">
        <f t="shared" si="1"/>
        <v>January</v>
      </c>
      <c r="B3726" s="11">
        <f>IFERROR(__xludf.DUMMYFUNCTION("""COMPUTED_VALUE"""),46053.0)</f>
        <v>46053</v>
      </c>
      <c r="C3726" s="2" t="str">
        <f>IFERROR(__xludf.DUMMYFUNCTION("""COMPUTED_VALUE"""),"MOBILECARE - APP MEGAMALL")</f>
        <v>MOBILECARE - APP MEGAMALL</v>
      </c>
      <c r="D3726" s="2" t="str">
        <f>IFERROR(__xludf.DUMMYFUNCTION("""COMPUTED_VALUE"""),"661-44955")</f>
        <v>661-44955</v>
      </c>
      <c r="E3726" s="2" t="str">
        <f>IFERROR(__xludf.DUMMYFUNCTION("""COMPUTED_VALUE"""),"Display, iPhone 16 Pro Max")</f>
        <v>Display, iPhone 16 Pro Max</v>
      </c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</row>
    <row r="3727">
      <c r="A3727" s="10" t="str">
        <f t="shared" si="1"/>
        <v>January</v>
      </c>
      <c r="B3727" s="11">
        <f>IFERROR(__xludf.DUMMYFUNCTION("""COMPUTED_VALUE"""),46053.0)</f>
        <v>46053</v>
      </c>
      <c r="C3727" s="2" t="str">
        <f>IFERROR(__xludf.DUMMYFUNCTION("""COMPUTED_VALUE"""),"MOBILECARE - APP MEGAMALL")</f>
        <v>MOBILECARE - APP MEGAMALL</v>
      </c>
      <c r="D3727" s="2" t="str">
        <f>IFERROR(__xludf.DUMMYFUNCTION("""COMPUTED_VALUE"""),"661-44956")</f>
        <v>661-44956</v>
      </c>
      <c r="E3727" s="2" t="str">
        <f>IFERROR(__xludf.DUMMYFUNCTION("""COMPUTED_VALUE"""),"TrueDepth Camera, iPhone 16 Pro Max")</f>
        <v>TrueDepth Camera, iPhone 16 Pro Max</v>
      </c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</row>
    <row r="3728">
      <c r="A3728" s="10" t="str">
        <f t="shared" si="1"/>
        <v>January</v>
      </c>
      <c r="B3728" s="11">
        <f>IFERROR(__xludf.DUMMYFUNCTION("""COMPUTED_VALUE"""),46044.0)</f>
        <v>46044</v>
      </c>
      <c r="C3728" s="2" t="str">
        <f>IFERROR(__xludf.DUMMYFUNCTION("""COMPUTED_VALUE"""),"MOBILECARE - APP MEGAMALL")</f>
        <v>MOBILECARE - APP MEGAMALL</v>
      </c>
      <c r="D3728" s="2" t="str">
        <f>IFERROR(__xludf.DUMMYFUNCTION("""COMPUTED_VALUE"""),"661-21991")</f>
        <v>661-21991</v>
      </c>
      <c r="E3728" s="2" t="str">
        <f>IFERROR(__xludf.DUMMYFUNCTION("""COMPUTED_VALUE"""),"Battery, iPhone 13")</f>
        <v>Battery, iPhone 13</v>
      </c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</row>
    <row r="3729">
      <c r="A3729" s="10" t="str">
        <f t="shared" si="1"/>
        <v>May</v>
      </c>
      <c r="B3729" s="11">
        <f>IFERROR(__xludf.DUMMYFUNCTION("""COMPUTED_VALUE"""),46171.0)</f>
        <v>46171</v>
      </c>
      <c r="C3729" s="2" t="str">
        <f>IFERROR(__xludf.DUMMYFUNCTION("""COMPUTED_VALUE"""),"MOBILECARE - APP MEGAMALL")</f>
        <v>MOBILECARE - APP MEGAMALL</v>
      </c>
      <c r="D3729" s="2" t="str">
        <f>IFERROR(__xludf.DUMMYFUNCTION("""COMPUTED_VALUE"""),"661-22374")</f>
        <v>661-22374</v>
      </c>
      <c r="E3729" s="2" t="str">
        <f>IFERROR(__xludf.DUMMYFUNCTION("""COMPUTED_VALUE"""),"Battery, iPhone 13 mini")</f>
        <v>Battery, iPhone 13 mini</v>
      </c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</row>
    <row r="3730">
      <c r="A3730" s="10" t="str">
        <f t="shared" si="1"/>
        <v>May</v>
      </c>
      <c r="B3730" s="11">
        <f>IFERROR(__xludf.DUMMYFUNCTION("""COMPUTED_VALUE"""),46149.0)</f>
        <v>46149</v>
      </c>
      <c r="C3730" s="2" t="str">
        <f>IFERROR(__xludf.DUMMYFUNCTION("""COMPUTED_VALUE"""),"MOBILECARE - APP MEGAMALL")</f>
        <v>MOBILECARE - APP MEGAMALL</v>
      </c>
      <c r="D3730" s="2" t="str">
        <f>IFERROR(__xludf.DUMMYFUNCTION("""COMPUTED_VALUE"""),"661-13574")</f>
        <v>661-13574</v>
      </c>
      <c r="E3730" s="2" t="str">
        <f>IFERROR(__xludf.DUMMYFUNCTION("""COMPUTED_VALUE"""),"Battery, iPhone 11")</f>
        <v>Battery, iPhone 11</v>
      </c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</row>
    <row r="3731">
      <c r="A3731" s="10" t="str">
        <f t="shared" si="1"/>
        <v>March</v>
      </c>
      <c r="B3731" s="11">
        <f>IFERROR(__xludf.DUMMYFUNCTION("""COMPUTED_VALUE"""),46093.0)</f>
        <v>46093</v>
      </c>
      <c r="C3731" s="2" t="str">
        <f>IFERROR(__xludf.DUMMYFUNCTION("""COMPUTED_VALUE"""),"MOBILECARE - APP MEGAMALL")</f>
        <v>MOBILECARE - APP MEGAMALL</v>
      </c>
      <c r="D3731" s="2" t="str">
        <f>IFERROR(__xludf.DUMMYFUNCTION("""COMPUTED_VALUE"""),"661-21991")</f>
        <v>661-21991</v>
      </c>
      <c r="E3731" s="2" t="str">
        <f>IFERROR(__xludf.DUMMYFUNCTION("""COMPUTED_VALUE"""),"Battery, iPhone 13")</f>
        <v>Battery, iPhone 13</v>
      </c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</row>
    <row r="3732">
      <c r="A3732" s="10" t="str">
        <f t="shared" si="1"/>
        <v>February</v>
      </c>
      <c r="B3732" s="11">
        <f>IFERROR(__xludf.DUMMYFUNCTION("""COMPUTED_VALUE"""),46071.0)</f>
        <v>46071</v>
      </c>
      <c r="C3732" s="2" t="str">
        <f>IFERROR(__xludf.DUMMYFUNCTION("""COMPUTED_VALUE"""),"MOBILECARE - APP MEGAMALL")</f>
        <v>MOBILECARE - APP MEGAMALL</v>
      </c>
      <c r="D3732" s="2" t="str">
        <f>IFERROR(__xludf.DUMMYFUNCTION("""COMPUTED_VALUE"""),"661-22294")</f>
        <v>661-22294</v>
      </c>
      <c r="E3732" s="2" t="str">
        <f>IFERROR(__xludf.DUMMYFUNCTION("""COMPUTED_VALUE"""),"Battery, iPhone 13 Pro Max")</f>
        <v>Battery, iPhone 13 Pro Max</v>
      </c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</row>
    <row r="3733">
      <c r="A3733" s="10" t="str">
        <f t="shared" si="1"/>
        <v>March</v>
      </c>
      <c r="B3733" s="11">
        <f>IFERROR(__xludf.DUMMYFUNCTION("""COMPUTED_VALUE"""),46107.0)</f>
        <v>46107</v>
      </c>
      <c r="C3733" s="2" t="str">
        <f>IFERROR(__xludf.DUMMYFUNCTION("""COMPUTED_VALUE"""),"MOBILECARE - APP MEGAMALL")</f>
        <v>MOBILECARE - APP MEGAMALL</v>
      </c>
      <c r="D3733" s="2" t="str">
        <f>IFERROR(__xludf.DUMMYFUNCTION("""COMPUTED_VALUE"""),"661-21991")</f>
        <v>661-21991</v>
      </c>
      <c r="E3733" s="2" t="str">
        <f>IFERROR(__xludf.DUMMYFUNCTION("""COMPUTED_VALUE"""),"Battery, iPhone 13")</f>
        <v>Battery, iPhone 13</v>
      </c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</row>
    <row r="3734">
      <c r="A3734" s="10" t="str">
        <f t="shared" si="1"/>
        <v>February</v>
      </c>
      <c r="B3734" s="11">
        <f>IFERROR(__xludf.DUMMYFUNCTION("""COMPUTED_VALUE"""),46080.0)</f>
        <v>46080</v>
      </c>
      <c r="C3734" s="2" t="str">
        <f>IFERROR(__xludf.DUMMYFUNCTION("""COMPUTED_VALUE"""),"MOBILECARE - APP MEGAMALL")</f>
        <v>MOBILECARE - APP MEGAMALL</v>
      </c>
      <c r="D3734" s="2" t="str">
        <f>IFERROR(__xludf.DUMMYFUNCTION("""COMPUTED_VALUE"""),"661-21991")</f>
        <v>661-21991</v>
      </c>
      <c r="E3734" s="2" t="str">
        <f>IFERROR(__xludf.DUMMYFUNCTION("""COMPUTED_VALUE"""),"Battery, iPhone 13")</f>
        <v>Battery, iPhone 13</v>
      </c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</row>
    <row r="3735">
      <c r="A3735" s="10" t="str">
        <f t="shared" si="1"/>
        <v>April</v>
      </c>
      <c r="B3735" s="11">
        <f>IFERROR(__xludf.DUMMYFUNCTION("""COMPUTED_VALUE"""),46129.0)</f>
        <v>46129</v>
      </c>
      <c r="C3735" s="2" t="str">
        <f>IFERROR(__xludf.DUMMYFUNCTION("""COMPUTED_VALUE"""),"MOBILECARE - APP MEGAMALL")</f>
        <v>MOBILECARE - APP MEGAMALL</v>
      </c>
      <c r="D3735" s="2" t="str">
        <f>IFERROR(__xludf.DUMMYFUNCTION("""COMPUTED_VALUE"""),"661-56125")</f>
        <v>661-56125</v>
      </c>
      <c r="E3735" s="2" t="str">
        <f>IFERROR(__xludf.DUMMYFUNCTION("""COMPUTED_VALUE"""),"Display, iPhone 17 Pro")</f>
        <v>Display, iPhone 17 Pro</v>
      </c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</row>
    <row r="3736">
      <c r="A3736" s="10" t="str">
        <f t="shared" si="1"/>
        <v>April</v>
      </c>
      <c r="B3736" s="11">
        <f>IFERROR(__xludf.DUMMYFUNCTION("""COMPUTED_VALUE"""),46134.0)</f>
        <v>46134</v>
      </c>
      <c r="C3736" s="2" t="str">
        <f>IFERROR(__xludf.DUMMYFUNCTION("""COMPUTED_VALUE"""),"MOBILECARE - APP MEGAMALL")</f>
        <v>MOBILECARE - APP MEGAMALL</v>
      </c>
      <c r="D3736" s="2" t="str">
        <f>IFERROR(__xludf.DUMMYFUNCTION("""COMPUTED_VALUE"""),"661-21991")</f>
        <v>661-21991</v>
      </c>
      <c r="E3736" s="2" t="str">
        <f>IFERROR(__xludf.DUMMYFUNCTION("""COMPUTED_VALUE"""),"Battery, iPhone 13")</f>
        <v>Battery, iPhone 13</v>
      </c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</row>
    <row r="3737">
      <c r="A3737" s="10" t="str">
        <f t="shared" si="1"/>
        <v>June</v>
      </c>
      <c r="B3737" s="11">
        <f>IFERROR(__xludf.DUMMYFUNCTION("""COMPUTED_VALUE"""),46176.0)</f>
        <v>46176</v>
      </c>
      <c r="C3737" s="2" t="str">
        <f>IFERROR(__xludf.DUMMYFUNCTION("""COMPUTED_VALUE"""),"MOBILECARE - APP MEGAMALL")</f>
        <v>MOBILECARE - APP MEGAMALL</v>
      </c>
      <c r="D3737" s="2" t="str">
        <f>IFERROR(__xludf.DUMMYFUNCTION("""COMPUTED_VALUE"""),"661-44955")</f>
        <v>661-44955</v>
      </c>
      <c r="E3737" s="2" t="str">
        <f>IFERROR(__xludf.DUMMYFUNCTION("""COMPUTED_VALUE"""),"Display, iPhone 16 Pro Max")</f>
        <v>Display, iPhone 16 Pro Max</v>
      </c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</row>
    <row r="3738">
      <c r="A3738" s="10" t="str">
        <f t="shared" si="1"/>
        <v>May</v>
      </c>
      <c r="B3738" s="11">
        <f>IFERROR(__xludf.DUMMYFUNCTION("""COMPUTED_VALUE"""),46159.0)</f>
        <v>46159</v>
      </c>
      <c r="C3738" s="2" t="str">
        <f>IFERROR(__xludf.DUMMYFUNCTION("""COMPUTED_VALUE"""),"MOBILECARE - APP MEGAMALL")</f>
        <v>MOBILECARE - APP MEGAMALL</v>
      </c>
      <c r="D3738" s="2" t="str">
        <f>IFERROR(__xludf.DUMMYFUNCTION("""COMPUTED_VALUE"""),"661-30382")</f>
        <v>661-30382</v>
      </c>
      <c r="E3738" s="2" t="str">
        <f>IFERROR(__xludf.DUMMYFUNCTION("""COMPUTED_VALUE"""),"Battery, iPhone 14 Pro")</f>
        <v>Battery, iPhone 14 Pro</v>
      </c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</row>
    <row r="3739">
      <c r="A3739" s="10" t="str">
        <f t="shared" si="1"/>
        <v>April</v>
      </c>
      <c r="B3739" s="11">
        <f>IFERROR(__xludf.DUMMYFUNCTION("""COMPUTED_VALUE"""),46127.0)</f>
        <v>46127</v>
      </c>
      <c r="C3739" s="2" t="str">
        <f>IFERROR(__xludf.DUMMYFUNCTION("""COMPUTED_VALUE"""),"MOBILECARE - APP MEGAMALL")</f>
        <v>MOBILECARE - APP MEGAMALL</v>
      </c>
      <c r="D3739" s="2" t="str">
        <f>IFERROR(__xludf.DUMMYFUNCTION("""COMPUTED_VALUE"""),"661-56050")</f>
        <v>661-56050</v>
      </c>
      <c r="E3739" s="2" t="str">
        <f>IFERROR(__xludf.DUMMYFUNCTION("""COMPUTED_VALUE"""),"Display, iPhone 17 Pro Max")</f>
        <v>Display, iPhone 17 Pro Max</v>
      </c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</row>
    <row r="3740">
      <c r="A3740" s="10" t="str">
        <f t="shared" si="1"/>
        <v>April</v>
      </c>
      <c r="B3740" s="11">
        <f>IFERROR(__xludf.DUMMYFUNCTION("""COMPUTED_VALUE"""),46127.0)</f>
        <v>46127</v>
      </c>
      <c r="C3740" s="2" t="str">
        <f>IFERROR(__xludf.DUMMYFUNCTION("""COMPUTED_VALUE"""),"MOBILECARE - APP MEGAMALL")</f>
        <v>MOBILECARE - APP MEGAMALL</v>
      </c>
      <c r="D3740" s="2" t="str">
        <f>IFERROR(__xludf.DUMMYFUNCTION("""COMPUTED_VALUE"""),"ZP923-13787")</f>
        <v>ZP923-13787</v>
      </c>
      <c r="E3740" s="2" t="str">
        <f>IFERROR(__xludf.DUMMYFUNCTION("""COMPUTED_VALUE"""),"Deep Blue, Enclosure, iPhone 17 Pro Max, ROW")</f>
        <v>Deep Blue, Enclosure, iPhone 17 Pro Max, ROW</v>
      </c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</row>
    <row r="3741">
      <c r="A3741" s="10" t="str">
        <f t="shared" si="1"/>
        <v>June</v>
      </c>
      <c r="B3741" s="11">
        <f>IFERROR(__xludf.DUMMYFUNCTION("""COMPUTED_VALUE"""),46188.0)</f>
        <v>46188</v>
      </c>
      <c r="C3741" s="2" t="str">
        <f>IFERROR(__xludf.DUMMYFUNCTION("""COMPUTED_VALUE"""),"MOBILECARE - APP MEGAMALL")</f>
        <v>MOBILECARE - APP MEGAMALL</v>
      </c>
      <c r="D3741" s="2" t="str">
        <f>IFERROR(__xludf.DUMMYFUNCTION("""COMPUTED_VALUE"""),"661-13574")</f>
        <v>661-13574</v>
      </c>
      <c r="E3741" s="2" t="str">
        <f>IFERROR(__xludf.DUMMYFUNCTION("""COMPUTED_VALUE"""),"Battery, iPhone 11")</f>
        <v>Battery, iPhone 11</v>
      </c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</row>
    <row r="3742">
      <c r="A3742" s="10" t="str">
        <f t="shared" si="1"/>
        <v>June</v>
      </c>
      <c r="B3742" s="11">
        <f>IFERROR(__xludf.DUMMYFUNCTION("""COMPUTED_VALUE"""),46188.0)</f>
        <v>46188</v>
      </c>
      <c r="C3742" s="2" t="str">
        <f>IFERROR(__xludf.DUMMYFUNCTION("""COMPUTED_VALUE"""),"MOBILECARE - APP MEGAMALL")</f>
        <v>MOBILECARE - APP MEGAMALL</v>
      </c>
      <c r="D3742" s="2" t="str">
        <f>IFERROR(__xludf.DUMMYFUNCTION("""COMPUTED_VALUE"""),"661-56050")</f>
        <v>661-56050</v>
      </c>
      <c r="E3742" s="2" t="str">
        <f>IFERROR(__xludf.DUMMYFUNCTION("""COMPUTED_VALUE"""),"Display, iPhone 17 Pro Max")</f>
        <v>Display, iPhone 17 Pro Max</v>
      </c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</row>
    <row r="3743">
      <c r="A3743" s="10" t="str">
        <f t="shared" si="1"/>
        <v>June</v>
      </c>
      <c r="B3743" s="11">
        <f>IFERROR(__xludf.DUMMYFUNCTION("""COMPUTED_VALUE"""),46188.0)</f>
        <v>46188</v>
      </c>
      <c r="C3743" s="2" t="str">
        <f>IFERROR(__xludf.DUMMYFUNCTION("""COMPUTED_VALUE"""),"MOBILECARE - APP MEGAMALL")</f>
        <v>MOBILECARE - APP MEGAMALL</v>
      </c>
      <c r="D3743" s="2" t="str">
        <f>IFERROR(__xludf.DUMMYFUNCTION("""COMPUTED_VALUE"""),"661-56051")</f>
        <v>661-56051</v>
      </c>
      <c r="E3743" s="2" t="str">
        <f>IFERROR(__xludf.DUMMYFUNCTION("""COMPUTED_VALUE"""),"Front Camera, iPhone 17 Pro Max")</f>
        <v>Front Camera, iPhone 17 Pro Max</v>
      </c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</row>
    <row r="3744">
      <c r="A3744" s="10" t="str">
        <f t="shared" si="1"/>
        <v>May</v>
      </c>
      <c r="B3744" s="11">
        <f>IFERROR(__xludf.DUMMYFUNCTION("""COMPUTED_VALUE"""),46147.0)</f>
        <v>46147</v>
      </c>
      <c r="C3744" s="2" t="str">
        <f>IFERROR(__xludf.DUMMYFUNCTION("""COMPUTED_VALUE"""),"MOBILECARE - APP MEGAMALL")</f>
        <v>MOBILECARE - APP MEGAMALL</v>
      </c>
      <c r="D3744" s="2" t="str">
        <f>IFERROR(__xludf.DUMMYFUNCTION("""COMPUTED_VALUE"""),"661-30397")</f>
        <v>661-30397</v>
      </c>
      <c r="E3744" s="2" t="str">
        <f>IFERROR(__xludf.DUMMYFUNCTION("""COMPUTED_VALUE"""),"Battery, iPhone 14 Pro Max")</f>
        <v>Battery, iPhone 14 Pro Max</v>
      </c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</row>
    <row r="3745">
      <c r="A3745" s="10" t="str">
        <f t="shared" si="1"/>
        <v>March</v>
      </c>
      <c r="B3745" s="11">
        <f>IFERROR(__xludf.DUMMYFUNCTION("""COMPUTED_VALUE"""),46086.0)</f>
        <v>46086</v>
      </c>
      <c r="C3745" s="2" t="str">
        <f>IFERROR(__xludf.DUMMYFUNCTION("""COMPUTED_VALUE"""),"MOBILECARE - APP MEGAMALL")</f>
        <v>MOBILECARE - APP MEGAMALL</v>
      </c>
      <c r="D3745" s="2" t="str">
        <f>IFERROR(__xludf.DUMMYFUNCTION("""COMPUTED_VALUE"""),"661-56065")</f>
        <v>661-56065</v>
      </c>
      <c r="E3745" s="2" t="str">
        <f>IFERROR(__xludf.DUMMYFUNCTION("""COMPUTED_VALUE"""),"Display, iPhone 17")</f>
        <v>Display, iPhone 17</v>
      </c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</row>
    <row r="3746">
      <c r="A3746" s="10" t="str">
        <f t="shared" si="1"/>
        <v>March</v>
      </c>
      <c r="B3746" s="11">
        <f>IFERROR(__xludf.DUMMYFUNCTION("""COMPUTED_VALUE"""),46086.0)</f>
        <v>46086</v>
      </c>
      <c r="C3746" s="2" t="str">
        <f>IFERROR(__xludf.DUMMYFUNCTION("""COMPUTED_VALUE"""),"MOBILECARE - APP MEGAMALL")</f>
        <v>MOBILECARE - APP MEGAMALL</v>
      </c>
      <c r="D3746" s="2" t="str">
        <f>IFERROR(__xludf.DUMMYFUNCTION("""COMPUTED_VALUE"""),"661-56066")</f>
        <v>661-56066</v>
      </c>
      <c r="E3746" s="2" t="str">
        <f>IFERROR(__xludf.DUMMYFUNCTION("""COMPUTED_VALUE"""),"Front Camera, iPhone 17")</f>
        <v>Front Camera, iPhone 17</v>
      </c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</row>
    <row r="3747">
      <c r="A3747" s="10" t="str">
        <f t="shared" si="1"/>
        <v>March</v>
      </c>
      <c r="B3747" s="11">
        <f>IFERROR(__xludf.DUMMYFUNCTION("""COMPUTED_VALUE"""),46086.0)</f>
        <v>46086</v>
      </c>
      <c r="C3747" s="2" t="str">
        <f>IFERROR(__xludf.DUMMYFUNCTION("""COMPUTED_VALUE"""),"MOBILECARE - APP MEGAMALL")</f>
        <v>MOBILECARE - APP MEGAMALL</v>
      </c>
      <c r="D3747" s="2" t="str">
        <f>IFERROR(__xludf.DUMMYFUNCTION("""COMPUTED_VALUE"""),"661-56067")</f>
        <v>661-56067</v>
      </c>
      <c r="E3747" s="2" t="str">
        <f>IFERROR(__xludf.DUMMYFUNCTION("""COMPUTED_VALUE"""),"Camera, iPhone 17")</f>
        <v>Camera, iPhone 17</v>
      </c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</row>
    <row r="3748">
      <c r="A3748" s="10" t="str">
        <f t="shared" si="1"/>
        <v>April</v>
      </c>
      <c r="B3748" s="11">
        <f>IFERROR(__xludf.DUMMYFUNCTION("""COMPUTED_VALUE"""),46134.0)</f>
        <v>46134</v>
      </c>
      <c r="C3748" s="2" t="str">
        <f>IFERROR(__xludf.DUMMYFUNCTION("""COMPUTED_VALUE"""),"MOBILECARE - APP MEGAMALL")</f>
        <v>MOBILECARE - APP MEGAMALL</v>
      </c>
      <c r="D3748" s="2" t="str">
        <f>IFERROR(__xludf.DUMMYFUNCTION("""COMPUTED_VALUE"""),"661-30397")</f>
        <v>661-30397</v>
      </c>
      <c r="E3748" s="2" t="str">
        <f>IFERROR(__xludf.DUMMYFUNCTION("""COMPUTED_VALUE"""),"Battery, iPhone 14 Pro Max")</f>
        <v>Battery, iPhone 14 Pro Max</v>
      </c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</row>
    <row r="3749">
      <c r="A3749" s="10" t="str">
        <f t="shared" si="1"/>
        <v>April</v>
      </c>
      <c r="B3749" s="11">
        <f>IFERROR(__xludf.DUMMYFUNCTION("""COMPUTED_VALUE"""),46133.0)</f>
        <v>46133</v>
      </c>
      <c r="C3749" s="2" t="str">
        <f>IFERROR(__xludf.DUMMYFUNCTION("""COMPUTED_VALUE"""),"MOBILECARE - APP MEGAMALL")</f>
        <v>MOBILECARE - APP MEGAMALL</v>
      </c>
      <c r="D3749" s="2" t="str">
        <f>IFERROR(__xludf.DUMMYFUNCTION("""COMPUTED_VALUE"""),"661-30373")</f>
        <v>661-30373</v>
      </c>
      <c r="E3749" s="2" t="str">
        <f>IFERROR(__xludf.DUMMYFUNCTION("""COMPUTED_VALUE"""),"Battery, iPhone 14")</f>
        <v>Battery, iPhone 14</v>
      </c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</row>
    <row r="3750">
      <c r="A3750" s="10" t="str">
        <f t="shared" si="1"/>
        <v>March</v>
      </c>
      <c r="B3750" s="11">
        <f>IFERROR(__xludf.DUMMYFUNCTION("""COMPUTED_VALUE"""),46106.0)</f>
        <v>46106</v>
      </c>
      <c r="C3750" s="2" t="str">
        <f>IFERROR(__xludf.DUMMYFUNCTION("""COMPUTED_VALUE"""),"MOBILECARE - APP MEGAMALL")</f>
        <v>MOBILECARE - APP MEGAMALL</v>
      </c>
      <c r="D3750" s="2" t="str">
        <f>IFERROR(__xludf.DUMMYFUNCTION("""COMPUTED_VALUE"""),"661-44798")</f>
        <v>661-44798</v>
      </c>
      <c r="E3750" s="2" t="str">
        <f>IFERROR(__xludf.DUMMYFUNCTION("""COMPUTED_VALUE"""),"TrueDepth Camera, iPhone 16")</f>
        <v>TrueDepth Camera, iPhone 16</v>
      </c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</row>
    <row r="3751">
      <c r="A3751" s="10" t="str">
        <f t="shared" si="1"/>
        <v>June</v>
      </c>
      <c r="B3751" s="11">
        <f>IFERROR(__xludf.DUMMYFUNCTION("""COMPUTED_VALUE"""),46192.0)</f>
        <v>46192</v>
      </c>
      <c r="C3751" s="2" t="str">
        <f>IFERROR(__xludf.DUMMYFUNCTION("""COMPUTED_VALUE"""),"MOBILECARE - APP MEGAMALL")</f>
        <v>MOBILECARE - APP MEGAMALL</v>
      </c>
      <c r="D3751" s="2" t="str">
        <f>IFERROR(__xludf.DUMMYFUNCTION("""COMPUTED_VALUE"""),"661-21996")</f>
        <v>661-21996</v>
      </c>
      <c r="E3751" s="2" t="str">
        <f>IFERROR(__xludf.DUMMYFUNCTION("""COMPUTED_VALUE"""),"Battery, iPhone 13 Pro")</f>
        <v>Battery, iPhone 13 Pro</v>
      </c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</row>
    <row r="3752">
      <c r="A3752" s="10" t="str">
        <f t="shared" si="1"/>
        <v>March</v>
      </c>
      <c r="B3752" s="11">
        <f>IFERROR(__xludf.DUMMYFUNCTION("""COMPUTED_VALUE"""),46093.0)</f>
        <v>46093</v>
      </c>
      <c r="C3752" s="2" t="str">
        <f>IFERROR(__xludf.DUMMYFUNCTION("""COMPUTED_VALUE"""),"MOBILECARE - APP MEGAMALL")</f>
        <v>MOBILECARE - APP MEGAMALL</v>
      </c>
      <c r="D3752" s="2" t="str">
        <f>IFERROR(__xludf.DUMMYFUNCTION("""COMPUTED_VALUE"""),"661-21991")</f>
        <v>661-21991</v>
      </c>
      <c r="E3752" s="2" t="str">
        <f>IFERROR(__xludf.DUMMYFUNCTION("""COMPUTED_VALUE"""),"Battery, iPhone 13")</f>
        <v>Battery, iPhone 13</v>
      </c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</row>
    <row r="3753">
      <c r="A3753" s="10" t="str">
        <f t="shared" si="1"/>
        <v>March</v>
      </c>
      <c r="B3753" s="11">
        <f>IFERROR(__xludf.DUMMYFUNCTION("""COMPUTED_VALUE"""),46086.0)</f>
        <v>46086</v>
      </c>
      <c r="C3753" s="2" t="str">
        <f>IFERROR(__xludf.DUMMYFUNCTION("""COMPUTED_VALUE"""),"MOBILECARE - APP MEGAMALL")</f>
        <v>MOBILECARE - APP MEGAMALL</v>
      </c>
      <c r="D3753" s="2" t="str">
        <f>IFERROR(__xludf.DUMMYFUNCTION("""COMPUTED_VALUE"""),"661-22374")</f>
        <v>661-22374</v>
      </c>
      <c r="E3753" s="2" t="str">
        <f>IFERROR(__xludf.DUMMYFUNCTION("""COMPUTED_VALUE"""),"Battery, iPhone 13 mini")</f>
        <v>Battery, iPhone 13 mini</v>
      </c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</row>
    <row r="3754">
      <c r="A3754" s="10" t="str">
        <f t="shared" si="1"/>
        <v>February</v>
      </c>
      <c r="B3754" s="11">
        <f>IFERROR(__xludf.DUMMYFUNCTION("""COMPUTED_VALUE"""),46070.0)</f>
        <v>46070</v>
      </c>
      <c r="C3754" s="2" t="str">
        <f>IFERROR(__xludf.DUMMYFUNCTION("""COMPUTED_VALUE"""),"MOBILECARE - APP MEGAMALL")</f>
        <v>MOBILECARE - APP MEGAMALL</v>
      </c>
      <c r="D3754" s="2" t="str">
        <f>IFERROR(__xludf.DUMMYFUNCTION("""COMPUTED_VALUE"""),"661-36918")</f>
        <v>661-36918</v>
      </c>
      <c r="E3754" s="2" t="str">
        <f>IFERROR(__xludf.DUMMYFUNCTION("""COMPUTED_VALUE"""),"Battery, iPhone 15 Pro Max")</f>
        <v>Battery, iPhone 15 Pro Max</v>
      </c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</row>
    <row r="3755">
      <c r="A3755" s="10" t="str">
        <f t="shared" si="1"/>
        <v>April</v>
      </c>
      <c r="B3755" s="11">
        <f>IFERROR(__xludf.DUMMYFUNCTION("""COMPUTED_VALUE"""),46116.0)</f>
        <v>46116</v>
      </c>
      <c r="C3755" s="2" t="str">
        <f>IFERROR(__xludf.DUMMYFUNCTION("""COMPUTED_VALUE"""),"MOBILECARE - APP MEGAMALL")</f>
        <v>MOBILECARE - APP MEGAMALL</v>
      </c>
      <c r="D3755" s="2" t="str">
        <f>IFERROR(__xludf.DUMMYFUNCTION("""COMPUTED_VALUE"""),"661-30397")</f>
        <v>661-30397</v>
      </c>
      <c r="E3755" s="2" t="str">
        <f>IFERROR(__xludf.DUMMYFUNCTION("""COMPUTED_VALUE"""),"Battery, iPhone 14 Pro Max")</f>
        <v>Battery, iPhone 14 Pro Max</v>
      </c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</row>
    <row r="3756">
      <c r="A3756" s="10" t="str">
        <f t="shared" si="1"/>
        <v>May</v>
      </c>
      <c r="B3756" s="11">
        <f>IFERROR(__xludf.DUMMYFUNCTION("""COMPUTED_VALUE"""),46152.0)</f>
        <v>46152</v>
      </c>
      <c r="C3756" s="2" t="str">
        <f>IFERROR(__xludf.DUMMYFUNCTION("""COMPUTED_VALUE"""),"MOBILECARE - APP MEGAMALL")</f>
        <v>MOBILECARE - APP MEGAMALL</v>
      </c>
      <c r="D3756" s="2" t="str">
        <f>IFERROR(__xludf.DUMMYFUNCTION("""COMPUTED_VALUE"""),"661-13574")</f>
        <v>661-13574</v>
      </c>
      <c r="E3756" s="2" t="str">
        <f>IFERROR(__xludf.DUMMYFUNCTION("""COMPUTED_VALUE"""),"Battery, iPhone 11")</f>
        <v>Battery, iPhone 11</v>
      </c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</row>
    <row r="3757">
      <c r="A3757" s="10" t="str">
        <f t="shared" si="1"/>
        <v>May</v>
      </c>
      <c r="B3757" s="11">
        <f>IFERROR(__xludf.DUMMYFUNCTION("""COMPUTED_VALUE"""),46144.0)</f>
        <v>46144</v>
      </c>
      <c r="C3757" s="2" t="str">
        <f>IFERROR(__xludf.DUMMYFUNCTION("""COMPUTED_VALUE"""),"MOBILECARE - APP MEGAMALL")</f>
        <v>MOBILECARE - APP MEGAMALL</v>
      </c>
      <c r="D3757" s="2" t="str">
        <f>IFERROR(__xludf.DUMMYFUNCTION("""COMPUTED_VALUE"""),"661-44955")</f>
        <v>661-44955</v>
      </c>
      <c r="E3757" s="2" t="str">
        <f>IFERROR(__xludf.DUMMYFUNCTION("""COMPUTED_VALUE"""),"Display, iPhone 16 Pro Max")</f>
        <v>Display, iPhone 16 Pro Max</v>
      </c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</row>
    <row r="3758">
      <c r="A3758" s="10" t="str">
        <f t="shared" si="1"/>
        <v>April</v>
      </c>
      <c r="B3758" s="11">
        <f>IFERROR(__xludf.DUMMYFUNCTION("""COMPUTED_VALUE"""),46119.0)</f>
        <v>46119</v>
      </c>
      <c r="C3758" s="2" t="str">
        <f>IFERROR(__xludf.DUMMYFUNCTION("""COMPUTED_VALUE"""),"MOBILECARE - APP MEGAMALL")</f>
        <v>MOBILECARE - APP MEGAMALL</v>
      </c>
      <c r="D3758" s="2" t="str">
        <f>IFERROR(__xludf.DUMMYFUNCTION("""COMPUTED_VALUE"""),"661-10850")</f>
        <v>661-10850</v>
      </c>
      <c r="E3758" s="2" t="str">
        <f>IFERROR(__xludf.DUMMYFUNCTION("""COMPUTED_VALUE"""),"Battery, iPhone XR")</f>
        <v>Battery, iPhone XR</v>
      </c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</row>
    <row r="3759">
      <c r="A3759" s="10" t="str">
        <f t="shared" si="1"/>
        <v>April</v>
      </c>
      <c r="B3759" s="11">
        <f>IFERROR(__xludf.DUMMYFUNCTION("""COMPUTED_VALUE"""),46119.0)</f>
        <v>46119</v>
      </c>
      <c r="C3759" s="2" t="str">
        <f>IFERROR(__xludf.DUMMYFUNCTION("""COMPUTED_VALUE"""),"MOBILECARE - APP MEGAMALL")</f>
        <v>MOBILECARE - APP MEGAMALL</v>
      </c>
      <c r="D3759" s="2" t="str">
        <f>IFERROR(__xludf.DUMMYFUNCTION("""COMPUTED_VALUE"""),"923-02609")</f>
        <v>923-02609</v>
      </c>
      <c r="E3759" s="2" t="str">
        <f>IFERROR(__xludf.DUMMYFUNCTION("""COMPUTED_VALUE"""),"Speaker, iPhone XR")</f>
        <v>Speaker, iPhone XR</v>
      </c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</row>
    <row r="3760">
      <c r="A3760" s="10" t="str">
        <f t="shared" si="1"/>
        <v>March</v>
      </c>
      <c r="B3760" s="11">
        <f>IFERROR(__xludf.DUMMYFUNCTION("""COMPUTED_VALUE"""),46099.0)</f>
        <v>46099</v>
      </c>
      <c r="C3760" s="2" t="str">
        <f>IFERROR(__xludf.DUMMYFUNCTION("""COMPUTED_VALUE"""),"MOBILECARE - APP MEGAMALL")</f>
        <v>MOBILECARE - APP MEGAMALL</v>
      </c>
      <c r="D3760" s="2" t="str">
        <f>IFERROR(__xludf.DUMMYFUNCTION("""COMPUTED_VALUE"""),"661-56051")</f>
        <v>661-56051</v>
      </c>
      <c r="E3760" s="2" t="str">
        <f>IFERROR(__xludf.DUMMYFUNCTION("""COMPUTED_VALUE"""),"Front Camera, iPhone 17 Pro Max")</f>
        <v>Front Camera, iPhone 17 Pro Max</v>
      </c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</row>
    <row r="3761">
      <c r="A3761" s="10" t="str">
        <f t="shared" si="1"/>
        <v>March</v>
      </c>
      <c r="B3761" s="11">
        <f>IFERROR(__xludf.DUMMYFUNCTION("""COMPUTED_VALUE"""),46099.0)</f>
        <v>46099</v>
      </c>
      <c r="C3761" s="2" t="str">
        <f>IFERROR(__xludf.DUMMYFUNCTION("""COMPUTED_VALUE"""),"MOBILECARE - APP MEGAMALL")</f>
        <v>MOBILECARE - APP MEGAMALL</v>
      </c>
      <c r="D3761" s="2" t="str">
        <f>IFERROR(__xludf.DUMMYFUNCTION("""COMPUTED_VALUE"""),"661-56051")</f>
        <v>661-56051</v>
      </c>
      <c r="E3761" s="2" t="str">
        <f>IFERROR(__xludf.DUMMYFUNCTION("""COMPUTED_VALUE"""),"Front Camera, iPhone 17 Pro Max")</f>
        <v>Front Camera, iPhone 17 Pro Max</v>
      </c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</row>
    <row r="3762">
      <c r="A3762" s="10" t="str">
        <f t="shared" si="1"/>
        <v>March</v>
      </c>
      <c r="B3762" s="11">
        <f>IFERROR(__xludf.DUMMYFUNCTION("""COMPUTED_VALUE"""),46099.0)</f>
        <v>46099</v>
      </c>
      <c r="C3762" s="2" t="str">
        <f>IFERROR(__xludf.DUMMYFUNCTION("""COMPUTED_VALUE"""),"MOBILECARE - APP MEGAMALL")</f>
        <v>MOBILECARE - APP MEGAMALL</v>
      </c>
      <c r="D3762" s="2" t="str">
        <f>IFERROR(__xludf.DUMMYFUNCTION("""COMPUTED_VALUE"""),"661-56052")</f>
        <v>661-56052</v>
      </c>
      <c r="E3762" s="2" t="str">
        <f>IFERROR(__xludf.DUMMYFUNCTION("""COMPUTED_VALUE"""),"Camera, iPhone 17 Pro Max")</f>
        <v>Camera, iPhone 17 Pro Max</v>
      </c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</row>
    <row r="3763">
      <c r="A3763" s="10" t="str">
        <f t="shared" si="1"/>
        <v>February</v>
      </c>
      <c r="B3763" s="11">
        <f>IFERROR(__xludf.DUMMYFUNCTION("""COMPUTED_VALUE"""),46072.0)</f>
        <v>46072</v>
      </c>
      <c r="C3763" s="2" t="str">
        <f>IFERROR(__xludf.DUMMYFUNCTION("""COMPUTED_VALUE"""),"MOBILECARE - APP MEGAMALL")</f>
        <v>MOBILECARE - APP MEGAMALL</v>
      </c>
      <c r="D3763" s="2" t="str">
        <f>IFERROR(__xludf.DUMMYFUNCTION("""COMPUTED_VALUE"""),"661-30382")</f>
        <v>661-30382</v>
      </c>
      <c r="E3763" s="2" t="str">
        <f>IFERROR(__xludf.DUMMYFUNCTION("""COMPUTED_VALUE"""),"Battery, iPhone 14 Pro")</f>
        <v>Battery, iPhone 14 Pro</v>
      </c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</row>
    <row r="3764">
      <c r="A3764" s="10" t="str">
        <f t="shared" si="1"/>
        <v>April</v>
      </c>
      <c r="B3764" s="11">
        <f>IFERROR(__xludf.DUMMYFUNCTION("""COMPUTED_VALUE"""),46121.0)</f>
        <v>46121</v>
      </c>
      <c r="C3764" s="2" t="str">
        <f>IFERROR(__xludf.DUMMYFUNCTION("""COMPUTED_VALUE"""),"MOBILECARE - APP MEGAMALL")</f>
        <v>MOBILECARE - APP MEGAMALL</v>
      </c>
      <c r="D3764" s="2" t="str">
        <f>IFERROR(__xludf.DUMMYFUNCTION("""COMPUTED_VALUE"""),"661-30366")</f>
        <v>661-30366</v>
      </c>
      <c r="E3764" s="2" t="str">
        <f>IFERROR(__xludf.DUMMYFUNCTION("""COMPUTED_VALUE"""),"Display, iPhone 14")</f>
        <v>Display, iPhone 14</v>
      </c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</row>
    <row r="3765">
      <c r="A3765" s="10" t="str">
        <f t="shared" si="1"/>
        <v>March</v>
      </c>
      <c r="B3765" s="11">
        <f>IFERROR(__xludf.DUMMYFUNCTION("""COMPUTED_VALUE"""),46088.0)</f>
        <v>46088</v>
      </c>
      <c r="C3765" s="2" t="str">
        <f>IFERROR(__xludf.DUMMYFUNCTION("""COMPUTED_VALUE"""),"MOBILECARE - APP MEGAMALL")</f>
        <v>MOBILECARE - APP MEGAMALL</v>
      </c>
      <c r="D3765" s="2" t="str">
        <f>IFERROR(__xludf.DUMMYFUNCTION("""COMPUTED_VALUE"""),"661-21991")</f>
        <v>661-21991</v>
      </c>
      <c r="E3765" s="2" t="str">
        <f>IFERROR(__xludf.DUMMYFUNCTION("""COMPUTED_VALUE"""),"Battery, iPhone 13")</f>
        <v>Battery, iPhone 13</v>
      </c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</row>
    <row r="3766">
      <c r="A3766" s="10" t="str">
        <f t="shared" si="1"/>
        <v>February</v>
      </c>
      <c r="B3766" s="11">
        <f>IFERROR(__xludf.DUMMYFUNCTION("""COMPUTED_VALUE"""),46073.0)</f>
        <v>46073</v>
      </c>
      <c r="C3766" s="2" t="str">
        <f>IFERROR(__xludf.DUMMYFUNCTION("""COMPUTED_VALUE"""),"MOBILECARE - APP MEGAMALL")</f>
        <v>MOBILECARE - APP MEGAMALL</v>
      </c>
      <c r="D3766" s="2" t="str">
        <f>IFERROR(__xludf.DUMMYFUNCTION("""COMPUTED_VALUE"""),"661-44955")</f>
        <v>661-44955</v>
      </c>
      <c r="E3766" s="2" t="str">
        <f>IFERROR(__xludf.DUMMYFUNCTION("""COMPUTED_VALUE"""),"Display, iPhone 16 Pro Max")</f>
        <v>Display, iPhone 16 Pro Max</v>
      </c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</row>
    <row r="3767">
      <c r="A3767" s="10" t="str">
        <f t="shared" si="1"/>
        <v>April</v>
      </c>
      <c r="B3767" s="11">
        <f>IFERROR(__xludf.DUMMYFUNCTION("""COMPUTED_VALUE"""),46139.0)</f>
        <v>46139</v>
      </c>
      <c r="C3767" s="2" t="str">
        <f>IFERROR(__xludf.DUMMYFUNCTION("""COMPUTED_VALUE"""),"MOBILECARE - APP MEGAMALL")</f>
        <v>MOBILECARE - APP MEGAMALL</v>
      </c>
      <c r="D3767" s="2" t="str">
        <f>IFERROR(__xludf.DUMMYFUNCTION("""COMPUTED_VALUE"""),"661-42726")</f>
        <v>661-42726</v>
      </c>
      <c r="E3767" s="2" t="str">
        <f>IFERROR(__xludf.DUMMYFUNCTION("""COMPUTED_VALUE"""),"Display, iPhone 16 Pro")</f>
        <v>Display, iPhone 16 Pro</v>
      </c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</row>
    <row r="3768">
      <c r="A3768" s="10" t="str">
        <f t="shared" si="1"/>
        <v>March</v>
      </c>
      <c r="B3768" s="11">
        <f>IFERROR(__xludf.DUMMYFUNCTION("""COMPUTED_VALUE"""),46093.0)</f>
        <v>46093</v>
      </c>
      <c r="C3768" s="2" t="str">
        <f>IFERROR(__xludf.DUMMYFUNCTION("""COMPUTED_VALUE"""),"MOBILECARE - APP MEGAMALL")</f>
        <v>MOBILECARE - APP MEGAMALL</v>
      </c>
      <c r="D3768" s="2" t="str">
        <f>IFERROR(__xludf.DUMMYFUNCTION("""COMPUTED_VALUE"""),"661-30366")</f>
        <v>661-30366</v>
      </c>
      <c r="E3768" s="2" t="str">
        <f>IFERROR(__xludf.DUMMYFUNCTION("""COMPUTED_VALUE"""),"Display, iPhone 14")</f>
        <v>Display, iPhone 14</v>
      </c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</row>
    <row r="3769">
      <c r="A3769" s="10" t="str">
        <f t="shared" si="1"/>
        <v>April</v>
      </c>
      <c r="B3769" s="11">
        <f>IFERROR(__xludf.DUMMYFUNCTION("""COMPUTED_VALUE"""),46129.0)</f>
        <v>46129</v>
      </c>
      <c r="C3769" s="2" t="str">
        <f>IFERROR(__xludf.DUMMYFUNCTION("""COMPUTED_VALUE"""),"MOBILECARE - APP MEGAMALL")</f>
        <v>MOBILECARE - APP MEGAMALL</v>
      </c>
      <c r="D3769" s="2" t="str">
        <f>IFERROR(__xludf.DUMMYFUNCTION("""COMPUTED_VALUE"""),"661-30397")</f>
        <v>661-30397</v>
      </c>
      <c r="E3769" s="2" t="str">
        <f>IFERROR(__xludf.DUMMYFUNCTION("""COMPUTED_VALUE"""),"Battery, iPhone 14 Pro Max")</f>
        <v>Battery, iPhone 14 Pro Max</v>
      </c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</row>
    <row r="3770">
      <c r="A3770" s="10" t="str">
        <f t="shared" si="1"/>
        <v>May</v>
      </c>
      <c r="B3770" s="11">
        <f>IFERROR(__xludf.DUMMYFUNCTION("""COMPUTED_VALUE"""),46147.0)</f>
        <v>46147</v>
      </c>
      <c r="C3770" s="2" t="str">
        <f>IFERROR(__xludf.DUMMYFUNCTION("""COMPUTED_VALUE"""),"MOBILECARE - APP MEGAMALL")</f>
        <v>MOBILECARE - APP MEGAMALL</v>
      </c>
      <c r="D3770" s="2" t="str">
        <f>IFERROR(__xludf.DUMMYFUNCTION("""COMPUTED_VALUE"""),"661-56066")</f>
        <v>661-56066</v>
      </c>
      <c r="E3770" s="2" t="str">
        <f>IFERROR(__xludf.DUMMYFUNCTION("""COMPUTED_VALUE"""),"Front Camera, iPhone 17")</f>
        <v>Front Camera, iPhone 17</v>
      </c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</row>
    <row r="3771">
      <c r="A3771" s="10" t="str">
        <f t="shared" si="1"/>
        <v>March</v>
      </c>
      <c r="B3771" s="11">
        <f>IFERROR(__xludf.DUMMYFUNCTION("""COMPUTED_VALUE"""),46108.0)</f>
        <v>46108</v>
      </c>
      <c r="C3771" s="2" t="str">
        <f>IFERROR(__xludf.DUMMYFUNCTION("""COMPUTED_VALUE"""),"MOBILECARE - APP MEGAMALL")</f>
        <v>MOBILECARE - APP MEGAMALL</v>
      </c>
      <c r="D3771" s="2" t="str">
        <f>IFERROR(__xludf.DUMMYFUNCTION("""COMPUTED_VALUE"""),"661-30397")</f>
        <v>661-30397</v>
      </c>
      <c r="E3771" s="2" t="str">
        <f>IFERROR(__xludf.DUMMYFUNCTION("""COMPUTED_VALUE"""),"Battery, iPhone 14 Pro Max")</f>
        <v>Battery, iPhone 14 Pro Max</v>
      </c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</row>
    <row r="3772">
      <c r="A3772" s="10" t="str">
        <f t="shared" si="1"/>
        <v>March</v>
      </c>
      <c r="B3772" s="11">
        <f>IFERROR(__xludf.DUMMYFUNCTION("""COMPUTED_VALUE"""),46087.0)</f>
        <v>46087</v>
      </c>
      <c r="C3772" s="2" t="str">
        <f>IFERROR(__xludf.DUMMYFUNCTION("""COMPUTED_VALUE"""),"MOBILECARE - APP MEGAMALL")</f>
        <v>MOBILECARE - APP MEGAMALL</v>
      </c>
      <c r="D3772" s="2" t="str">
        <f>IFERROR(__xludf.DUMMYFUNCTION("""COMPUTED_VALUE"""),"661-56125")</f>
        <v>661-56125</v>
      </c>
      <c r="E3772" s="2" t="str">
        <f>IFERROR(__xludf.DUMMYFUNCTION("""COMPUTED_VALUE"""),"Display, iPhone 17 Pro")</f>
        <v>Display, iPhone 17 Pro</v>
      </c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</row>
    <row r="3773">
      <c r="A3773" s="10" t="str">
        <f t="shared" si="1"/>
        <v>March</v>
      </c>
      <c r="B3773" s="11">
        <f>IFERROR(__xludf.DUMMYFUNCTION("""COMPUTED_VALUE"""),46087.0)</f>
        <v>46087</v>
      </c>
      <c r="C3773" s="2" t="str">
        <f>IFERROR(__xludf.DUMMYFUNCTION("""COMPUTED_VALUE"""),"MOBILECARE - APP MEGAMALL")</f>
        <v>MOBILECARE - APP MEGAMALL</v>
      </c>
      <c r="D3773" s="2" t="str">
        <f>IFERROR(__xludf.DUMMYFUNCTION("""COMPUTED_VALUE"""),"661-56126")</f>
        <v>661-56126</v>
      </c>
      <c r="E3773" s="2" t="str">
        <f>IFERROR(__xludf.DUMMYFUNCTION("""COMPUTED_VALUE"""),"Front Camera, iPhone 17 Pro")</f>
        <v>Front Camera, iPhone 17 Pro</v>
      </c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</row>
    <row r="3774">
      <c r="A3774" s="10" t="str">
        <f t="shared" si="1"/>
        <v>June</v>
      </c>
      <c r="B3774" s="11">
        <f>IFERROR(__xludf.DUMMYFUNCTION("""COMPUTED_VALUE"""),46191.0)</f>
        <v>46191</v>
      </c>
      <c r="C3774" s="2" t="str">
        <f>IFERROR(__xludf.DUMMYFUNCTION("""COMPUTED_VALUE"""),"MOBILECARE - APP MEGAMALL")</f>
        <v>MOBILECARE - APP MEGAMALL</v>
      </c>
      <c r="D3774" s="2" t="str">
        <f>IFERROR(__xludf.DUMMYFUNCTION("""COMPUTED_VALUE"""),"661-30373")</f>
        <v>661-30373</v>
      </c>
      <c r="E3774" s="2" t="str">
        <f>IFERROR(__xludf.DUMMYFUNCTION("""COMPUTED_VALUE"""),"Battery, iPhone 14")</f>
        <v>Battery, iPhone 14</v>
      </c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</row>
    <row r="3775">
      <c r="A3775" s="10" t="str">
        <f t="shared" si="1"/>
        <v>May</v>
      </c>
      <c r="B3775" s="11">
        <f>IFERROR(__xludf.DUMMYFUNCTION("""COMPUTED_VALUE"""),46173.0)</f>
        <v>46173</v>
      </c>
      <c r="C3775" s="2" t="str">
        <f>IFERROR(__xludf.DUMMYFUNCTION("""COMPUTED_VALUE"""),"MOBILECARE - APP MEGAMALL")</f>
        <v>MOBILECARE - APP MEGAMALL</v>
      </c>
      <c r="D3775" s="2" t="str">
        <f>IFERROR(__xludf.DUMMYFUNCTION("""COMPUTED_VALUE"""),"661-21991")</f>
        <v>661-21991</v>
      </c>
      <c r="E3775" s="2" t="str">
        <f>IFERROR(__xludf.DUMMYFUNCTION("""COMPUTED_VALUE"""),"Battery, iPhone 13")</f>
        <v>Battery, iPhone 13</v>
      </c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</row>
    <row r="3776">
      <c r="A3776" s="10" t="str">
        <f t="shared" si="1"/>
        <v>June</v>
      </c>
      <c r="B3776" s="11">
        <f>IFERROR(__xludf.DUMMYFUNCTION("""COMPUTED_VALUE"""),46176.0)</f>
        <v>46176</v>
      </c>
      <c r="C3776" s="2" t="str">
        <f>IFERROR(__xludf.DUMMYFUNCTION("""COMPUTED_VALUE"""),"MOBILECARE - APP MEGAMALL")</f>
        <v>MOBILECARE - APP MEGAMALL</v>
      </c>
      <c r="D3776" s="2" t="str">
        <f>IFERROR(__xludf.DUMMYFUNCTION("""COMPUTED_VALUE"""),"661-56066")</f>
        <v>661-56066</v>
      </c>
      <c r="E3776" s="2" t="str">
        <f>IFERROR(__xludf.DUMMYFUNCTION("""COMPUTED_VALUE"""),"Front Camera, iPhone 17")</f>
        <v>Front Camera, iPhone 17</v>
      </c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</row>
    <row r="3777">
      <c r="A3777" s="10" t="str">
        <f t="shared" si="1"/>
        <v>May</v>
      </c>
      <c r="B3777" s="11">
        <f>IFERROR(__xludf.DUMMYFUNCTION("""COMPUTED_VALUE"""),46160.0)</f>
        <v>46160</v>
      </c>
      <c r="C3777" s="2" t="str">
        <f>IFERROR(__xludf.DUMMYFUNCTION("""COMPUTED_VALUE"""),"MOBILECARE - APP MEGAMALL")</f>
        <v>MOBILECARE - APP MEGAMALL</v>
      </c>
      <c r="D3777" s="2" t="str">
        <f>IFERROR(__xludf.DUMMYFUNCTION("""COMPUTED_VALUE"""),"661-30382")</f>
        <v>661-30382</v>
      </c>
      <c r="E3777" s="2" t="str">
        <f>IFERROR(__xludf.DUMMYFUNCTION("""COMPUTED_VALUE"""),"Battery, iPhone 14 Pro")</f>
        <v>Battery, iPhone 14 Pro</v>
      </c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</row>
    <row r="3778">
      <c r="A3778" s="10" t="str">
        <f t="shared" si="1"/>
        <v>March</v>
      </c>
      <c r="B3778" s="11">
        <f>IFERROR(__xludf.DUMMYFUNCTION("""COMPUTED_VALUE"""),46098.0)</f>
        <v>46098</v>
      </c>
      <c r="C3778" s="2" t="str">
        <f>IFERROR(__xludf.DUMMYFUNCTION("""COMPUTED_VALUE"""),"MOBILECARE - APP MEGAMALL")</f>
        <v>MOBILECARE - APP MEGAMALL</v>
      </c>
      <c r="D3778" s="2" t="str">
        <f>IFERROR(__xludf.DUMMYFUNCTION("""COMPUTED_VALUE"""),"661-36829")</f>
        <v>661-36829</v>
      </c>
      <c r="E3778" s="2" t="str">
        <f>IFERROR(__xludf.DUMMYFUNCTION("""COMPUTED_VALUE"""),"TrueDepth Camera, iPhone 15")</f>
        <v>TrueDepth Camera, iPhone 15</v>
      </c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</row>
    <row r="3779">
      <c r="A3779" s="10" t="str">
        <f t="shared" si="1"/>
        <v>March</v>
      </c>
      <c r="B3779" s="11">
        <f>IFERROR(__xludf.DUMMYFUNCTION("""COMPUTED_VALUE"""),46089.0)</f>
        <v>46089</v>
      </c>
      <c r="C3779" s="2" t="str">
        <f>IFERROR(__xludf.DUMMYFUNCTION("""COMPUTED_VALUE"""),"MOBILECARE - APP MEGAMALL")</f>
        <v>MOBILECARE - APP MEGAMALL</v>
      </c>
      <c r="D3779" s="2" t="str">
        <f>IFERROR(__xludf.DUMMYFUNCTION("""COMPUTED_VALUE"""),"661-30397")</f>
        <v>661-30397</v>
      </c>
      <c r="E3779" s="2" t="str">
        <f>IFERROR(__xludf.DUMMYFUNCTION("""COMPUTED_VALUE"""),"Battery, iPhone 14 Pro Max")</f>
        <v>Battery, iPhone 14 Pro Max</v>
      </c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</row>
    <row r="3780">
      <c r="A3780" s="10" t="str">
        <f t="shared" si="1"/>
        <v>June</v>
      </c>
      <c r="B3780" s="11">
        <f>IFERROR(__xludf.DUMMYFUNCTION("""COMPUTED_VALUE"""),46181.0)</f>
        <v>46181</v>
      </c>
      <c r="C3780" s="2" t="str">
        <f>IFERROR(__xludf.DUMMYFUNCTION("""COMPUTED_VALUE"""),"MOBILECARE - APP MEGAMALL")</f>
        <v>MOBILECARE - APP MEGAMALL</v>
      </c>
      <c r="D3780" s="2" t="str">
        <f>IFERROR(__xludf.DUMMYFUNCTION("""COMPUTED_VALUE"""),"661-56050")</f>
        <v>661-56050</v>
      </c>
      <c r="E3780" s="2" t="str">
        <f>IFERROR(__xludf.DUMMYFUNCTION("""COMPUTED_VALUE"""),"Display, iPhone 17 Pro Max")</f>
        <v>Display, iPhone 17 Pro Max</v>
      </c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</row>
    <row r="3781">
      <c r="A3781" s="10" t="str">
        <f t="shared" si="1"/>
        <v>March</v>
      </c>
      <c r="B3781" s="11">
        <f>IFERROR(__xludf.DUMMYFUNCTION("""COMPUTED_VALUE"""),46094.0)</f>
        <v>46094</v>
      </c>
      <c r="C3781" s="2" t="str">
        <f>IFERROR(__xludf.DUMMYFUNCTION("""COMPUTED_VALUE"""),"MOBILECARE - APP MEGAMALL")</f>
        <v>MOBILECARE - APP MEGAMALL</v>
      </c>
      <c r="D3781" s="2" t="str">
        <f>IFERROR(__xludf.DUMMYFUNCTION("""COMPUTED_VALUE"""),"661-21991")</f>
        <v>661-21991</v>
      </c>
      <c r="E3781" s="2" t="str">
        <f>IFERROR(__xludf.DUMMYFUNCTION("""COMPUTED_VALUE"""),"Battery, iPhone 13")</f>
        <v>Battery, iPhone 13</v>
      </c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</row>
    <row r="3782">
      <c r="A3782" s="10" t="str">
        <f t="shared" si="1"/>
        <v>March</v>
      </c>
      <c r="B3782" s="11">
        <f>IFERROR(__xludf.DUMMYFUNCTION("""COMPUTED_VALUE"""),46105.0)</f>
        <v>46105</v>
      </c>
      <c r="C3782" s="2" t="str">
        <f>IFERROR(__xludf.DUMMYFUNCTION("""COMPUTED_VALUE"""),"MOBILECARE - APP MEGAMALL")</f>
        <v>MOBILECARE - APP MEGAMALL</v>
      </c>
      <c r="D3782" s="2" t="str">
        <f>IFERROR(__xludf.DUMMYFUNCTION("""COMPUTED_VALUE"""),"661-22309")</f>
        <v>661-22309</v>
      </c>
      <c r="E3782" s="2" t="str">
        <f>IFERROR(__xludf.DUMMYFUNCTION("""COMPUTED_VALUE"""),"Display, iPhone 13 Pro Max")</f>
        <v>Display, iPhone 13 Pro Max</v>
      </c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</row>
    <row r="3783">
      <c r="A3783" s="10" t="str">
        <f t="shared" si="1"/>
        <v>March</v>
      </c>
      <c r="B3783" s="11">
        <f>IFERROR(__xludf.DUMMYFUNCTION("""COMPUTED_VALUE"""),46105.0)</f>
        <v>46105</v>
      </c>
      <c r="C3783" s="2" t="str">
        <f>IFERROR(__xludf.DUMMYFUNCTION("""COMPUTED_VALUE"""),"MOBILECARE - APP MEGAMALL")</f>
        <v>MOBILECARE - APP MEGAMALL</v>
      </c>
      <c r="D3783" s="2" t="str">
        <f>IFERROR(__xludf.DUMMYFUNCTION("""COMPUTED_VALUE"""),"661-21991")</f>
        <v>661-21991</v>
      </c>
      <c r="E3783" s="2" t="str">
        <f>IFERROR(__xludf.DUMMYFUNCTION("""COMPUTED_VALUE"""),"Battery, iPhone 13")</f>
        <v>Battery, iPhone 13</v>
      </c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</row>
    <row r="3784">
      <c r="A3784" s="10" t="str">
        <f t="shared" si="1"/>
        <v>February</v>
      </c>
      <c r="B3784" s="11">
        <f>IFERROR(__xludf.DUMMYFUNCTION("""COMPUTED_VALUE"""),46069.0)</f>
        <v>46069</v>
      </c>
      <c r="C3784" s="2" t="str">
        <f>IFERROR(__xludf.DUMMYFUNCTION("""COMPUTED_VALUE"""),"MOBILECARE - APP MEGAMALL")</f>
        <v>MOBILECARE - APP MEGAMALL</v>
      </c>
      <c r="D3784" s="2" t="str">
        <f>IFERROR(__xludf.DUMMYFUNCTION("""COMPUTED_VALUE"""),"661-13574")</f>
        <v>661-13574</v>
      </c>
      <c r="E3784" s="2" t="str">
        <f>IFERROR(__xludf.DUMMYFUNCTION("""COMPUTED_VALUE"""),"Battery, iPhone 11")</f>
        <v>Battery, iPhone 11</v>
      </c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</row>
    <row r="3785">
      <c r="A3785" s="10" t="str">
        <f t="shared" si="1"/>
        <v>February</v>
      </c>
      <c r="B3785" s="11">
        <f>IFERROR(__xludf.DUMMYFUNCTION("""COMPUTED_VALUE"""),46068.0)</f>
        <v>46068</v>
      </c>
      <c r="C3785" s="2" t="str">
        <f>IFERROR(__xludf.DUMMYFUNCTION("""COMPUTED_VALUE"""),"MOBILECARE - APP MEGAMALL")</f>
        <v>MOBILECARE - APP MEGAMALL</v>
      </c>
      <c r="D3785" s="2" t="str">
        <f>IFERROR(__xludf.DUMMYFUNCTION("""COMPUTED_VALUE"""),"661-36918")</f>
        <v>661-36918</v>
      </c>
      <c r="E3785" s="2" t="str">
        <f>IFERROR(__xludf.DUMMYFUNCTION("""COMPUTED_VALUE"""),"Battery, iPhone 15 Pro Max")</f>
        <v>Battery, iPhone 15 Pro Max</v>
      </c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</row>
    <row r="3786">
      <c r="A3786" s="10" t="str">
        <f t="shared" si="1"/>
        <v>May</v>
      </c>
      <c r="B3786" s="11">
        <f>IFERROR(__xludf.DUMMYFUNCTION("""COMPUTED_VALUE"""),46154.0)</f>
        <v>46154</v>
      </c>
      <c r="C3786" s="2" t="str">
        <f>IFERROR(__xludf.DUMMYFUNCTION("""COMPUTED_VALUE"""),"MOBILECARE - APP MEGAMALL")</f>
        <v>MOBILECARE - APP MEGAMALL</v>
      </c>
      <c r="D3786" s="2" t="str">
        <f>IFERROR(__xludf.DUMMYFUNCTION("""COMPUTED_VALUE"""),"661-30397")</f>
        <v>661-30397</v>
      </c>
      <c r="E3786" s="2" t="str">
        <f>IFERROR(__xludf.DUMMYFUNCTION("""COMPUTED_VALUE"""),"Battery, iPhone 14 Pro Max")</f>
        <v>Battery, iPhone 14 Pro Max</v>
      </c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</row>
    <row r="3787">
      <c r="A3787" s="10" t="str">
        <f t="shared" si="1"/>
        <v>March</v>
      </c>
      <c r="B3787" s="11">
        <f>IFERROR(__xludf.DUMMYFUNCTION("""COMPUTED_VALUE"""),46111.0)</f>
        <v>46111</v>
      </c>
      <c r="C3787" s="2" t="str">
        <f>IFERROR(__xludf.DUMMYFUNCTION("""COMPUTED_VALUE"""),"MOBILECARE - APP MEGAMALL")</f>
        <v>MOBILECARE - APP MEGAMALL</v>
      </c>
      <c r="D3787" s="2" t="str">
        <f>IFERROR(__xludf.DUMMYFUNCTION("""COMPUTED_VALUE"""),"661-21991")</f>
        <v>661-21991</v>
      </c>
      <c r="E3787" s="2" t="str">
        <f>IFERROR(__xludf.DUMMYFUNCTION("""COMPUTED_VALUE"""),"Battery, iPhone 13")</f>
        <v>Battery, iPhone 13</v>
      </c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</row>
    <row r="3788">
      <c r="A3788" s="10" t="str">
        <f t="shared" si="1"/>
        <v>March</v>
      </c>
      <c r="B3788" s="11">
        <f>IFERROR(__xludf.DUMMYFUNCTION("""COMPUTED_VALUE"""),46107.0)</f>
        <v>46107</v>
      </c>
      <c r="C3788" s="2" t="str">
        <f>IFERROR(__xludf.DUMMYFUNCTION("""COMPUTED_VALUE"""),"MOBILECARE - APP MEGAMALL")</f>
        <v>MOBILECARE - APP MEGAMALL</v>
      </c>
      <c r="D3788" s="2" t="str">
        <f>IFERROR(__xludf.DUMMYFUNCTION("""COMPUTED_VALUE"""),"661-21991")</f>
        <v>661-21991</v>
      </c>
      <c r="E3788" s="2" t="str">
        <f>IFERROR(__xludf.DUMMYFUNCTION("""COMPUTED_VALUE"""),"Battery, iPhone 13")</f>
        <v>Battery, iPhone 13</v>
      </c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</row>
    <row r="3789">
      <c r="A3789" s="10" t="str">
        <f t="shared" si="1"/>
        <v>March</v>
      </c>
      <c r="B3789" s="11">
        <f>IFERROR(__xludf.DUMMYFUNCTION("""COMPUTED_VALUE"""),46085.0)</f>
        <v>46085</v>
      </c>
      <c r="C3789" s="2" t="str">
        <f>IFERROR(__xludf.DUMMYFUNCTION("""COMPUTED_VALUE"""),"MOBILECARE - APP MEGAMALL")</f>
        <v>MOBILECARE - APP MEGAMALL</v>
      </c>
      <c r="D3789" s="2" t="str">
        <f>IFERROR(__xludf.DUMMYFUNCTION("""COMPUTED_VALUE"""),"661-22309")</f>
        <v>661-22309</v>
      </c>
      <c r="E3789" s="2" t="str">
        <f>IFERROR(__xludf.DUMMYFUNCTION("""COMPUTED_VALUE"""),"Display, iPhone 13 Pro Max")</f>
        <v>Display, iPhone 13 Pro Max</v>
      </c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</row>
    <row r="3790">
      <c r="A3790" s="10" t="str">
        <f t="shared" si="1"/>
        <v>March</v>
      </c>
      <c r="B3790" s="11">
        <f>IFERROR(__xludf.DUMMYFUNCTION("""COMPUTED_VALUE"""),46085.0)</f>
        <v>46085</v>
      </c>
      <c r="C3790" s="2" t="str">
        <f>IFERROR(__xludf.DUMMYFUNCTION("""COMPUTED_VALUE"""),"MOBILECARE - APP MEGAMALL")</f>
        <v>MOBILECARE - APP MEGAMALL</v>
      </c>
      <c r="D3790" s="2" t="str">
        <f>IFERROR(__xludf.DUMMYFUNCTION("""COMPUTED_VALUE"""),"661-22309")</f>
        <v>661-22309</v>
      </c>
      <c r="E3790" s="2" t="str">
        <f>IFERROR(__xludf.DUMMYFUNCTION("""COMPUTED_VALUE"""),"Display, iPhone 13 Pro Max")</f>
        <v>Display, iPhone 13 Pro Max</v>
      </c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</row>
    <row r="3791">
      <c r="A3791" s="10" t="str">
        <f t="shared" si="1"/>
        <v>February</v>
      </c>
      <c r="B3791" s="11">
        <f>IFERROR(__xludf.DUMMYFUNCTION("""COMPUTED_VALUE"""),46058.0)</f>
        <v>46058</v>
      </c>
      <c r="C3791" s="2" t="str">
        <f>IFERROR(__xludf.DUMMYFUNCTION("""COMPUTED_VALUE"""),"MOBILECARE - APP MEGAMALL")</f>
        <v>MOBILECARE - APP MEGAMALL</v>
      </c>
      <c r="D3791" s="2" t="str">
        <f>IFERROR(__xludf.DUMMYFUNCTION("""COMPUTED_VALUE"""),"661-42726")</f>
        <v>661-42726</v>
      </c>
      <c r="E3791" s="2" t="str">
        <f>IFERROR(__xludf.DUMMYFUNCTION("""COMPUTED_VALUE"""),"Display, iPhone 16 Pro")</f>
        <v>Display, iPhone 16 Pro</v>
      </c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</row>
    <row r="3792">
      <c r="A3792" s="10" t="str">
        <f t="shared" si="1"/>
        <v>January</v>
      </c>
      <c r="B3792" s="11">
        <f>IFERROR(__xludf.DUMMYFUNCTION("""COMPUTED_VALUE"""),46053.0)</f>
        <v>46053</v>
      </c>
      <c r="C3792" s="2" t="str">
        <f>IFERROR(__xludf.DUMMYFUNCTION("""COMPUTED_VALUE"""),"MOBILECARE - APP MEGAMALL")</f>
        <v>MOBILECARE - APP MEGAMALL</v>
      </c>
      <c r="D3792" s="2" t="str">
        <f>IFERROR(__xludf.DUMMYFUNCTION("""COMPUTED_VALUE"""),"661-42726")</f>
        <v>661-42726</v>
      </c>
      <c r="E3792" s="2" t="str">
        <f>IFERROR(__xludf.DUMMYFUNCTION("""COMPUTED_VALUE"""),"Display, iPhone 16 Pro")</f>
        <v>Display, iPhone 16 Pro</v>
      </c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</row>
    <row r="3793">
      <c r="A3793" s="10" t="str">
        <f t="shared" si="1"/>
        <v>January</v>
      </c>
      <c r="B3793" s="11">
        <f>IFERROR(__xludf.DUMMYFUNCTION("""COMPUTED_VALUE"""),46053.0)</f>
        <v>46053</v>
      </c>
      <c r="C3793" s="2" t="str">
        <f>IFERROR(__xludf.DUMMYFUNCTION("""COMPUTED_VALUE"""),"MOBILECARE - APP MEGAMALL")</f>
        <v>MOBILECARE - APP MEGAMALL</v>
      </c>
      <c r="D3793" s="2" t="str">
        <f>IFERROR(__xludf.DUMMYFUNCTION("""COMPUTED_VALUE"""),"661-42726")</f>
        <v>661-42726</v>
      </c>
      <c r="E3793" s="2" t="str">
        <f>IFERROR(__xludf.DUMMYFUNCTION("""COMPUTED_VALUE"""),"Display, iPhone 16 Pro")</f>
        <v>Display, iPhone 16 Pro</v>
      </c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</row>
    <row r="3794">
      <c r="A3794" s="10" t="str">
        <f t="shared" si="1"/>
        <v>May</v>
      </c>
      <c r="B3794" s="11">
        <f>IFERROR(__xludf.DUMMYFUNCTION("""COMPUTED_VALUE"""),46152.0)</f>
        <v>46152</v>
      </c>
      <c r="C3794" s="2" t="str">
        <f>IFERROR(__xludf.DUMMYFUNCTION("""COMPUTED_VALUE"""),"MOBILECARE - APP MEGAMALL")</f>
        <v>MOBILECARE - APP MEGAMALL</v>
      </c>
      <c r="D3794" s="2" t="str">
        <f>IFERROR(__xludf.DUMMYFUNCTION("""COMPUTED_VALUE"""),"661-22374")</f>
        <v>661-22374</v>
      </c>
      <c r="E3794" s="2" t="str">
        <f>IFERROR(__xludf.DUMMYFUNCTION("""COMPUTED_VALUE"""),"Battery, iPhone 13 mini")</f>
        <v>Battery, iPhone 13 mini</v>
      </c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</row>
    <row r="3795">
      <c r="A3795" s="10" t="str">
        <f t="shared" si="1"/>
        <v>May</v>
      </c>
      <c r="B3795" s="11">
        <f>IFERROR(__xludf.DUMMYFUNCTION("""COMPUTED_VALUE"""),46147.0)</f>
        <v>46147</v>
      </c>
      <c r="C3795" s="2" t="str">
        <f>IFERROR(__xludf.DUMMYFUNCTION("""COMPUTED_VALUE"""),"MOBILECARE - APP MEGAMALL")</f>
        <v>MOBILECARE - APP MEGAMALL</v>
      </c>
      <c r="D3795" s="2" t="str">
        <f>IFERROR(__xludf.DUMMYFUNCTION("""COMPUTED_VALUE"""),"661-21996")</f>
        <v>661-21996</v>
      </c>
      <c r="E3795" s="2" t="str">
        <f>IFERROR(__xludf.DUMMYFUNCTION("""COMPUTED_VALUE"""),"Battery, iPhone 13 Pro")</f>
        <v>Battery, iPhone 13 Pro</v>
      </c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</row>
    <row r="3796">
      <c r="A3796" s="10" t="str">
        <f t="shared" si="1"/>
        <v>March</v>
      </c>
      <c r="B3796" s="11">
        <f>IFERROR(__xludf.DUMMYFUNCTION("""COMPUTED_VALUE"""),46099.0)</f>
        <v>46099</v>
      </c>
      <c r="C3796" s="2" t="str">
        <f>IFERROR(__xludf.DUMMYFUNCTION("""COMPUTED_VALUE"""),"MOBILECARE - APP MEGAMALL")</f>
        <v>MOBILECARE - APP MEGAMALL</v>
      </c>
      <c r="D3796" s="2" t="str">
        <f>IFERROR(__xludf.DUMMYFUNCTION("""COMPUTED_VALUE"""),"661-21991")</f>
        <v>661-21991</v>
      </c>
      <c r="E3796" s="2" t="str">
        <f>IFERROR(__xludf.DUMMYFUNCTION("""COMPUTED_VALUE"""),"Battery, iPhone 13")</f>
        <v>Battery, iPhone 13</v>
      </c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</row>
    <row r="3797">
      <c r="A3797" s="10" t="str">
        <f t="shared" si="1"/>
        <v>June</v>
      </c>
      <c r="B3797" s="11">
        <f>IFERROR(__xludf.DUMMYFUNCTION("""COMPUTED_VALUE"""),46181.0)</f>
        <v>46181</v>
      </c>
      <c r="C3797" s="2" t="str">
        <f>IFERROR(__xludf.DUMMYFUNCTION("""COMPUTED_VALUE"""),"MOBILECARE - APP MEGAMALL")</f>
        <v>MOBILECARE - APP MEGAMALL</v>
      </c>
      <c r="D3797" s="2" t="str">
        <f>IFERROR(__xludf.DUMMYFUNCTION("""COMPUTED_VALUE"""),"661-21991")</f>
        <v>661-21991</v>
      </c>
      <c r="E3797" s="2" t="str">
        <f>IFERROR(__xludf.DUMMYFUNCTION("""COMPUTED_VALUE"""),"Battery, iPhone 13")</f>
        <v>Battery, iPhone 13</v>
      </c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</row>
    <row r="3798">
      <c r="A3798" s="10" t="str">
        <f t="shared" si="1"/>
        <v>April</v>
      </c>
      <c r="B3798" s="11">
        <f>IFERROR(__xludf.DUMMYFUNCTION("""COMPUTED_VALUE"""),46131.0)</f>
        <v>46131</v>
      </c>
      <c r="C3798" s="2" t="str">
        <f>IFERROR(__xludf.DUMMYFUNCTION("""COMPUTED_VALUE"""),"MOBILECARE - APP MEGAMALL")</f>
        <v>MOBILECARE - APP MEGAMALL</v>
      </c>
      <c r="D3798" s="2" t="str">
        <f>IFERROR(__xludf.DUMMYFUNCTION("""COMPUTED_VALUE"""),"661-36916")</f>
        <v>661-36916</v>
      </c>
      <c r="E3798" s="2" t="str">
        <f>IFERROR(__xludf.DUMMYFUNCTION("""COMPUTED_VALUE"""),"TrueDepth Camera, iPhone 15 Pro Max")</f>
        <v>TrueDepth Camera, iPhone 15 Pro Max</v>
      </c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</row>
    <row r="3799">
      <c r="A3799" s="10" t="str">
        <f t="shared" si="1"/>
        <v>February</v>
      </c>
      <c r="B3799" s="11">
        <f>IFERROR(__xludf.DUMMYFUNCTION("""COMPUTED_VALUE"""),46074.0)</f>
        <v>46074</v>
      </c>
      <c r="C3799" s="2" t="str">
        <f>IFERROR(__xludf.DUMMYFUNCTION("""COMPUTED_VALUE"""),"MOBILECARE - APP MEGAMALL")</f>
        <v>MOBILECARE - APP MEGAMALL</v>
      </c>
      <c r="D3799" s="2" t="str">
        <f>IFERROR(__xludf.DUMMYFUNCTION("""COMPUTED_VALUE"""),"661-30397")</f>
        <v>661-30397</v>
      </c>
      <c r="E3799" s="2" t="str">
        <f>IFERROR(__xludf.DUMMYFUNCTION("""COMPUTED_VALUE"""),"Battery, iPhone 14 Pro Max")</f>
        <v>Battery, iPhone 14 Pro Max</v>
      </c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</row>
    <row r="3800">
      <c r="A3800" s="10" t="str">
        <f t="shared" si="1"/>
        <v>February</v>
      </c>
      <c r="B3800" s="11">
        <f>IFERROR(__xludf.DUMMYFUNCTION("""COMPUTED_VALUE"""),46074.0)</f>
        <v>46074</v>
      </c>
      <c r="C3800" s="2" t="str">
        <f>IFERROR(__xludf.DUMMYFUNCTION("""COMPUTED_VALUE"""),"MOBILECARE - APP MEGAMALL")</f>
        <v>MOBILECARE - APP MEGAMALL</v>
      </c>
      <c r="D3800" s="2" t="str">
        <f>IFERROR(__xludf.DUMMYFUNCTION("""COMPUTED_VALUE"""),"661-30397")</f>
        <v>661-30397</v>
      </c>
      <c r="E3800" s="2" t="str">
        <f>IFERROR(__xludf.DUMMYFUNCTION("""COMPUTED_VALUE"""),"Battery, iPhone 14 Pro Max")</f>
        <v>Battery, iPhone 14 Pro Max</v>
      </c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</row>
    <row r="3801">
      <c r="A3801" s="10" t="str">
        <f t="shared" si="1"/>
        <v>January</v>
      </c>
      <c r="B3801" s="11">
        <f>IFERROR(__xludf.DUMMYFUNCTION("""COMPUTED_VALUE"""),46047.0)</f>
        <v>46047</v>
      </c>
      <c r="C3801" s="2" t="str">
        <f>IFERROR(__xludf.DUMMYFUNCTION("""COMPUTED_VALUE"""),"MOBILECARE - APP MEGAMALL")</f>
        <v>MOBILECARE - APP MEGAMALL</v>
      </c>
      <c r="D3801" s="2" t="str">
        <f>IFERROR(__xludf.DUMMYFUNCTION("""COMPUTED_VALUE"""),"661-21991")</f>
        <v>661-21991</v>
      </c>
      <c r="E3801" s="2" t="str">
        <f>IFERROR(__xludf.DUMMYFUNCTION("""COMPUTED_VALUE"""),"Battery, iPhone 13")</f>
        <v>Battery, iPhone 13</v>
      </c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</row>
    <row r="3802">
      <c r="A3802" s="10" t="str">
        <f t="shared" si="1"/>
        <v>June</v>
      </c>
      <c r="B3802" s="11">
        <f>IFERROR(__xludf.DUMMYFUNCTION("""COMPUTED_VALUE"""),46186.0)</f>
        <v>46186</v>
      </c>
      <c r="C3802" s="2" t="str">
        <f>IFERROR(__xludf.DUMMYFUNCTION("""COMPUTED_VALUE"""),"MOBILECARE - APP GREENBELT 3")</f>
        <v>MOBILECARE - APP GREENBELT 3</v>
      </c>
      <c r="D3802" s="2" t="str">
        <f>IFERROR(__xludf.DUMMYFUNCTION("""COMPUTED_VALUE"""),"661-35885")</f>
        <v>661-35885</v>
      </c>
      <c r="E3802" s="2" t="str">
        <f>IFERROR(__xludf.DUMMYFUNCTION("""COMPUTED_VALUE"""),"Battery, iPhone 15")</f>
        <v>Battery, iPhone 15</v>
      </c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</row>
    <row r="3803">
      <c r="A3803" s="10" t="str">
        <f t="shared" si="1"/>
        <v>June</v>
      </c>
      <c r="B3803" s="11">
        <f>IFERROR(__xludf.DUMMYFUNCTION("""COMPUTED_VALUE"""),46192.0)</f>
        <v>46192</v>
      </c>
      <c r="C3803" s="2" t="str">
        <f>IFERROR(__xludf.DUMMYFUNCTION("""COMPUTED_VALUE"""),"MOBILECARE - APP GREENBELT 3")</f>
        <v>MOBILECARE - APP GREENBELT 3</v>
      </c>
      <c r="D3803" s="2" t="str">
        <f>IFERROR(__xludf.DUMMYFUNCTION("""COMPUTED_VALUE"""),"661-30397")</f>
        <v>661-30397</v>
      </c>
      <c r="E3803" s="2" t="str">
        <f>IFERROR(__xludf.DUMMYFUNCTION("""COMPUTED_VALUE"""),"Battery, iPhone 14 Pro Max")</f>
        <v>Battery, iPhone 14 Pro Max</v>
      </c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</row>
    <row r="3804">
      <c r="A3804" s="10" t="str">
        <f t="shared" si="1"/>
        <v>May</v>
      </c>
      <c r="B3804" s="11">
        <f>IFERROR(__xludf.DUMMYFUNCTION("""COMPUTED_VALUE"""),46155.0)</f>
        <v>46155</v>
      </c>
      <c r="C3804" s="2" t="str">
        <f>IFERROR(__xludf.DUMMYFUNCTION("""COMPUTED_VALUE"""),"MOBILECARE - APP GREENBELT 3")</f>
        <v>MOBILECARE - APP GREENBELT 3</v>
      </c>
      <c r="D3804" s="2" t="str">
        <f>IFERROR(__xludf.DUMMYFUNCTION("""COMPUTED_VALUE"""),"661-21991")</f>
        <v>661-21991</v>
      </c>
      <c r="E3804" s="2" t="str">
        <f>IFERROR(__xludf.DUMMYFUNCTION("""COMPUTED_VALUE"""),"Battery, iPhone 13")</f>
        <v>Battery, iPhone 13</v>
      </c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</row>
    <row r="3805">
      <c r="A3805" s="10" t="str">
        <f t="shared" si="1"/>
        <v>April</v>
      </c>
      <c r="B3805" s="11">
        <f>IFERROR(__xludf.DUMMYFUNCTION("""COMPUTED_VALUE"""),46125.0)</f>
        <v>46125</v>
      </c>
      <c r="C3805" s="2" t="str">
        <f>IFERROR(__xludf.DUMMYFUNCTION("""COMPUTED_VALUE"""),"MOBILECARE - APP GREENBELT 3")</f>
        <v>MOBILECARE - APP GREENBELT 3</v>
      </c>
      <c r="D3805" s="2" t="str">
        <f>IFERROR(__xludf.DUMMYFUNCTION("""COMPUTED_VALUE"""),"661-21991")</f>
        <v>661-21991</v>
      </c>
      <c r="E3805" s="2" t="str">
        <f>IFERROR(__xludf.DUMMYFUNCTION("""COMPUTED_VALUE"""),"Battery, iPhone 13")</f>
        <v>Battery, iPhone 13</v>
      </c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</row>
    <row r="3806">
      <c r="A3806" s="10" t="str">
        <f t="shared" si="1"/>
        <v>June</v>
      </c>
      <c r="B3806" s="11">
        <f>IFERROR(__xludf.DUMMYFUNCTION("""COMPUTED_VALUE"""),46187.0)</f>
        <v>46187</v>
      </c>
      <c r="C3806" s="2" t="str">
        <f>IFERROR(__xludf.DUMMYFUNCTION("""COMPUTED_VALUE"""),"MOBILECARE - APP GREENBELT 3")</f>
        <v>MOBILECARE - APP GREENBELT 3</v>
      </c>
      <c r="D3806" s="2" t="str">
        <f>IFERROR(__xludf.DUMMYFUNCTION("""COMPUTED_VALUE"""),"661-22294")</f>
        <v>661-22294</v>
      </c>
      <c r="E3806" s="2" t="str">
        <f>IFERROR(__xludf.DUMMYFUNCTION("""COMPUTED_VALUE"""),"Battery, iPhone 13 Pro Max")</f>
        <v>Battery, iPhone 13 Pro Max</v>
      </c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</row>
    <row r="3807">
      <c r="A3807" s="10" t="str">
        <f t="shared" si="1"/>
        <v>April</v>
      </c>
      <c r="B3807" s="11">
        <f>IFERROR(__xludf.DUMMYFUNCTION("""COMPUTED_VALUE"""),46135.0)</f>
        <v>46135</v>
      </c>
      <c r="C3807" s="2" t="str">
        <f>IFERROR(__xludf.DUMMYFUNCTION("""COMPUTED_VALUE"""),"MOBILECARE - APP GREENBELT 3")</f>
        <v>MOBILECARE - APP GREENBELT 3</v>
      </c>
      <c r="D3807" s="2" t="str">
        <f>IFERROR(__xludf.DUMMYFUNCTION("""COMPUTED_VALUE"""),"661-18428")</f>
        <v>661-18428</v>
      </c>
      <c r="E3807" s="2" t="str">
        <f>IFERROR(__xludf.DUMMYFUNCTION("""COMPUTED_VALUE"""),"Battery, iPhone 12 Pro Max")</f>
        <v>Battery, iPhone 12 Pro Max</v>
      </c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</row>
    <row r="3808">
      <c r="A3808" s="10" t="str">
        <f t="shared" si="1"/>
        <v>April</v>
      </c>
      <c r="B3808" s="11">
        <f>IFERROR(__xludf.DUMMYFUNCTION("""COMPUTED_VALUE"""),46120.0)</f>
        <v>46120</v>
      </c>
      <c r="C3808" s="2" t="str">
        <f>IFERROR(__xludf.DUMMYFUNCTION("""COMPUTED_VALUE"""),"MOBILECARE - APP GREENBELT 3")</f>
        <v>MOBILECARE - APP GREENBELT 3</v>
      </c>
      <c r="D3808" s="2" t="str">
        <f>IFERROR(__xludf.DUMMYFUNCTION("""COMPUTED_VALUE"""),"661-42727")</f>
        <v>661-42727</v>
      </c>
      <c r="E3808" s="2" t="str">
        <f>IFERROR(__xludf.DUMMYFUNCTION("""COMPUTED_VALUE"""),"TrueDepth Camera, iPhone 16 Pro")</f>
        <v>TrueDepth Camera, iPhone 16 Pro</v>
      </c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</row>
    <row r="3809">
      <c r="A3809" s="10" t="str">
        <f t="shared" si="1"/>
        <v>April</v>
      </c>
      <c r="B3809" s="11">
        <f>IFERROR(__xludf.DUMMYFUNCTION("""COMPUTED_VALUE"""),46135.0)</f>
        <v>46135</v>
      </c>
      <c r="C3809" s="2" t="str">
        <f>IFERROR(__xludf.DUMMYFUNCTION("""COMPUTED_VALUE"""),"MOBILECARE - APP GREENBELT 3")</f>
        <v>MOBILECARE - APP GREENBELT 3</v>
      </c>
      <c r="D3809" s="2" t="str">
        <f>IFERROR(__xludf.DUMMYFUNCTION("""COMPUTED_VALUE"""),"TA661-55207")</f>
        <v>TA661-55207</v>
      </c>
      <c r="E3809" s="2" t="str">
        <f>IFERROR(__xludf.DUMMYFUNCTION("""COMPUTED_VALUE"""),"Cosmic Orange, 256GB, iPhone 17 Pro Max, ROW, CI/AR, Taiwan")</f>
        <v>Cosmic Orange, 256GB, iPhone 17 Pro Max, ROW, CI/AR, Taiwan</v>
      </c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</row>
    <row r="3810">
      <c r="A3810" s="10" t="str">
        <f t="shared" si="1"/>
        <v>April</v>
      </c>
      <c r="B3810" s="11">
        <f>IFERROR(__xludf.DUMMYFUNCTION("""COMPUTED_VALUE"""),46122.0)</f>
        <v>46122</v>
      </c>
      <c r="C3810" s="2" t="str">
        <f>IFERROR(__xludf.DUMMYFUNCTION("""COMPUTED_VALUE"""),"MOBILECARE - APP GREENBELT 3")</f>
        <v>MOBILECARE - APP GREENBELT 3</v>
      </c>
      <c r="D3810" s="2" t="str">
        <f>IFERROR(__xludf.DUMMYFUNCTION("""COMPUTED_VALUE"""),"661-17920")</f>
        <v>661-17920</v>
      </c>
      <c r="E3810" s="2" t="str">
        <f>IFERROR(__xludf.DUMMYFUNCTION("""COMPUTED_VALUE"""),"Battery, iPhone 12 and 12 Pro")</f>
        <v>Battery, iPhone 12 and 12 Pro</v>
      </c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</row>
    <row r="3811">
      <c r="A3811" s="10" t="str">
        <f t="shared" si="1"/>
        <v>February</v>
      </c>
      <c r="B3811" s="11">
        <f>IFERROR(__xludf.DUMMYFUNCTION("""COMPUTED_VALUE"""),46057.0)</f>
        <v>46057</v>
      </c>
      <c r="C3811" s="2" t="str">
        <f>IFERROR(__xludf.DUMMYFUNCTION("""COMPUTED_VALUE"""),"MOBILECARE - APP GREENBELT 3")</f>
        <v>MOBILECARE - APP GREENBELT 3</v>
      </c>
      <c r="D3811" s="2" t="str">
        <f>IFERROR(__xludf.DUMMYFUNCTION("""COMPUTED_VALUE"""),"661-44957")</f>
        <v>661-44957</v>
      </c>
      <c r="E3811" s="2" t="str">
        <f>IFERROR(__xludf.DUMMYFUNCTION("""COMPUTED_VALUE"""),"Camera, iPhone 16 Pro Max")</f>
        <v>Camera, iPhone 16 Pro Max</v>
      </c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</row>
    <row r="3812">
      <c r="A3812" s="10" t="str">
        <f t="shared" si="1"/>
        <v>February</v>
      </c>
      <c r="B3812" s="11">
        <f>IFERROR(__xludf.DUMMYFUNCTION("""COMPUTED_VALUE"""),46065.0)</f>
        <v>46065</v>
      </c>
      <c r="C3812" s="2" t="str">
        <f>IFERROR(__xludf.DUMMYFUNCTION("""COMPUTED_VALUE"""),"MOBILECARE - APP GREENBELT 3")</f>
        <v>MOBILECARE - APP GREENBELT 3</v>
      </c>
      <c r="D3812" s="2" t="str">
        <f>IFERROR(__xludf.DUMMYFUNCTION("""COMPUTED_VALUE"""),"661-42726")</f>
        <v>661-42726</v>
      </c>
      <c r="E3812" s="2" t="str">
        <f>IFERROR(__xludf.DUMMYFUNCTION("""COMPUTED_VALUE"""),"Display, iPhone 16 Pro")</f>
        <v>Display, iPhone 16 Pro</v>
      </c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</row>
    <row r="3813">
      <c r="A3813" s="10" t="str">
        <f t="shared" si="1"/>
        <v>March</v>
      </c>
      <c r="B3813" s="11">
        <f>IFERROR(__xludf.DUMMYFUNCTION("""COMPUTED_VALUE"""),46092.0)</f>
        <v>46092</v>
      </c>
      <c r="C3813" s="2" t="str">
        <f>IFERROR(__xludf.DUMMYFUNCTION("""COMPUTED_VALUE"""),"MOBILECARE - APP GREENBELT 3")</f>
        <v>MOBILECARE - APP GREENBELT 3</v>
      </c>
      <c r="D3813" s="2" t="str">
        <f>IFERROR(__xludf.DUMMYFUNCTION("""COMPUTED_VALUE"""),"661-36918")</f>
        <v>661-36918</v>
      </c>
      <c r="E3813" s="2" t="str">
        <f>IFERROR(__xludf.DUMMYFUNCTION("""COMPUTED_VALUE"""),"Battery, iPhone 15 Pro Max")</f>
        <v>Battery, iPhone 15 Pro Max</v>
      </c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</row>
    <row r="3814">
      <c r="A3814" s="10" t="str">
        <f t="shared" si="1"/>
        <v>February</v>
      </c>
      <c r="B3814" s="11">
        <f>IFERROR(__xludf.DUMMYFUNCTION("""COMPUTED_VALUE"""),46079.0)</f>
        <v>46079</v>
      </c>
      <c r="C3814" s="2" t="str">
        <f>IFERROR(__xludf.DUMMYFUNCTION("""COMPUTED_VALUE"""),"MOBILECARE - APP GREENBELT 3")</f>
        <v>MOBILECARE - APP GREENBELT 3</v>
      </c>
      <c r="D3814" s="2" t="str">
        <f>IFERROR(__xludf.DUMMYFUNCTION("""COMPUTED_VALUE"""),"661-56067")</f>
        <v>661-56067</v>
      </c>
      <c r="E3814" s="2" t="str">
        <f>IFERROR(__xludf.DUMMYFUNCTION("""COMPUTED_VALUE"""),"Camera, iPhone 17")</f>
        <v>Camera, iPhone 17</v>
      </c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</row>
    <row r="3815">
      <c r="A3815" s="10" t="str">
        <f t="shared" si="1"/>
        <v>January</v>
      </c>
      <c r="B3815" s="11">
        <f>IFERROR(__xludf.DUMMYFUNCTION("""COMPUTED_VALUE"""),46045.0)</f>
        <v>46045</v>
      </c>
      <c r="C3815" s="2" t="str">
        <f>IFERROR(__xludf.DUMMYFUNCTION("""COMPUTED_VALUE"""),"MOBILECARE - APP GREENBELT 3")</f>
        <v>MOBILECARE - APP GREENBELT 3</v>
      </c>
      <c r="D3815" s="2" t="str">
        <f>IFERROR(__xludf.DUMMYFUNCTION("""COMPUTED_VALUE"""),"661-56065")</f>
        <v>661-56065</v>
      </c>
      <c r="E3815" s="2" t="str">
        <f>IFERROR(__xludf.DUMMYFUNCTION("""COMPUTED_VALUE"""),"Display, iPhone 17")</f>
        <v>Display, iPhone 17</v>
      </c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</row>
    <row r="3816">
      <c r="A3816" s="10" t="str">
        <f t="shared" si="1"/>
        <v>February</v>
      </c>
      <c r="B3816" s="11">
        <f>IFERROR(__xludf.DUMMYFUNCTION("""COMPUTED_VALUE"""),46069.0)</f>
        <v>46069</v>
      </c>
      <c r="C3816" s="2" t="str">
        <f>IFERROR(__xludf.DUMMYFUNCTION("""COMPUTED_VALUE"""),"MOBILECARE - APP GREENBELT 3")</f>
        <v>MOBILECARE - APP GREENBELT 3</v>
      </c>
      <c r="D3816" s="2" t="str">
        <f>IFERROR(__xludf.DUMMYFUNCTION("""COMPUTED_VALUE"""),"661-42726")</f>
        <v>661-42726</v>
      </c>
      <c r="E3816" s="2" t="str">
        <f>IFERROR(__xludf.DUMMYFUNCTION("""COMPUTED_VALUE"""),"Display, iPhone 16 Pro")</f>
        <v>Display, iPhone 16 Pro</v>
      </c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</row>
    <row r="3817">
      <c r="A3817" s="10" t="str">
        <f t="shared" si="1"/>
        <v>March</v>
      </c>
      <c r="B3817" s="11">
        <f>IFERROR(__xludf.DUMMYFUNCTION("""COMPUTED_VALUE"""),46110.0)</f>
        <v>46110</v>
      </c>
      <c r="C3817" s="2" t="str">
        <f>IFERROR(__xludf.DUMMYFUNCTION("""COMPUTED_VALUE"""),"MOBILECARE - APP GREENBELT 3")</f>
        <v>MOBILECARE - APP GREENBELT 3</v>
      </c>
      <c r="D3817" s="2" t="str">
        <f>IFERROR(__xludf.DUMMYFUNCTION("""COMPUTED_VALUE"""),"661-21996")</f>
        <v>661-21996</v>
      </c>
      <c r="E3817" s="2" t="str">
        <f>IFERROR(__xludf.DUMMYFUNCTION("""COMPUTED_VALUE"""),"Battery, iPhone 13 Pro")</f>
        <v>Battery, iPhone 13 Pro</v>
      </c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</row>
    <row r="3818">
      <c r="A3818" s="10" t="str">
        <f t="shared" si="1"/>
        <v>May</v>
      </c>
      <c r="B3818" s="11">
        <f>IFERROR(__xludf.DUMMYFUNCTION("""COMPUTED_VALUE"""),46170.0)</f>
        <v>46170</v>
      </c>
      <c r="C3818" s="2" t="str">
        <f>IFERROR(__xludf.DUMMYFUNCTION("""COMPUTED_VALUE"""),"MOBILECARE - APP GREENBELT 3")</f>
        <v>MOBILECARE - APP GREENBELT 3</v>
      </c>
      <c r="D3818" s="2" t="str">
        <f>IFERROR(__xludf.DUMMYFUNCTION("""COMPUTED_VALUE"""),"661-56125")</f>
        <v>661-56125</v>
      </c>
      <c r="E3818" s="2" t="str">
        <f>IFERROR(__xludf.DUMMYFUNCTION("""COMPUTED_VALUE"""),"Display, iPhone 17 Pro")</f>
        <v>Display, iPhone 17 Pro</v>
      </c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</row>
    <row r="3819">
      <c r="A3819" s="10" t="str">
        <f t="shared" si="1"/>
        <v>January</v>
      </c>
      <c r="B3819" s="11">
        <f>IFERROR(__xludf.DUMMYFUNCTION("""COMPUTED_VALUE"""),46050.0)</f>
        <v>46050</v>
      </c>
      <c r="C3819" s="2" t="str">
        <f>IFERROR(__xludf.DUMMYFUNCTION("""COMPUTED_VALUE"""),"MOBILECARE - APP GREENBELT 3")</f>
        <v>MOBILECARE - APP GREENBELT 3</v>
      </c>
      <c r="D3819" s="2" t="str">
        <f>IFERROR(__xludf.DUMMYFUNCTION("""COMPUTED_VALUE"""),"661-30397")</f>
        <v>661-30397</v>
      </c>
      <c r="E3819" s="2" t="str">
        <f>IFERROR(__xludf.DUMMYFUNCTION("""COMPUTED_VALUE"""),"Battery, iPhone 14 Pro Max")</f>
        <v>Battery, iPhone 14 Pro Max</v>
      </c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</row>
    <row r="3820">
      <c r="A3820" s="10" t="str">
        <f t="shared" si="1"/>
        <v>May</v>
      </c>
      <c r="B3820" s="11">
        <f>IFERROR(__xludf.DUMMYFUNCTION("""COMPUTED_VALUE"""),46165.0)</f>
        <v>46165</v>
      </c>
      <c r="C3820" s="2" t="str">
        <f>IFERROR(__xludf.DUMMYFUNCTION("""COMPUTED_VALUE"""),"MOBILECARE - APP GREENBELT 3")</f>
        <v>MOBILECARE - APP GREENBELT 3</v>
      </c>
      <c r="D3820" s="2" t="str">
        <f>IFERROR(__xludf.DUMMYFUNCTION("""COMPUTED_VALUE"""),"661-35694")</f>
        <v>661-35694</v>
      </c>
      <c r="E3820" s="2" t="str">
        <f>IFERROR(__xludf.DUMMYFUNCTION("""COMPUTED_VALUE"""),"Battery, iPhone 15 Pro")</f>
        <v>Battery, iPhone 15 Pro</v>
      </c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</row>
    <row r="3821">
      <c r="A3821" s="10" t="str">
        <f t="shared" si="1"/>
        <v>June</v>
      </c>
      <c r="B3821" s="11">
        <f>IFERROR(__xludf.DUMMYFUNCTION("""COMPUTED_VALUE"""),46191.0)</f>
        <v>46191</v>
      </c>
      <c r="C3821" s="2" t="str">
        <f>IFERROR(__xludf.DUMMYFUNCTION("""COMPUTED_VALUE"""),"MOBILECARE - APP GREENBELT 3")</f>
        <v>MOBILECARE - APP GREENBELT 3</v>
      </c>
      <c r="D3821" s="2" t="str">
        <f>IFERROR(__xludf.DUMMYFUNCTION("""COMPUTED_VALUE"""),"661-42726")</f>
        <v>661-42726</v>
      </c>
      <c r="E3821" s="2" t="str">
        <f>IFERROR(__xludf.DUMMYFUNCTION("""COMPUTED_VALUE"""),"Display, iPhone 16 Pro")</f>
        <v>Display, iPhone 16 Pro</v>
      </c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</row>
    <row r="3822">
      <c r="A3822" s="10" t="str">
        <f t="shared" si="1"/>
        <v>April</v>
      </c>
      <c r="B3822" s="11">
        <f>IFERROR(__xludf.DUMMYFUNCTION("""COMPUTED_VALUE"""),46117.0)</f>
        <v>46117</v>
      </c>
      <c r="C3822" s="2" t="str">
        <f>IFERROR(__xludf.DUMMYFUNCTION("""COMPUTED_VALUE"""),"MOBILECARE - APP GREENBELT 3")</f>
        <v>MOBILECARE - APP GREENBELT 3</v>
      </c>
      <c r="D3822" s="2" t="str">
        <f>IFERROR(__xludf.DUMMYFUNCTION("""COMPUTED_VALUE"""),"661-21991")</f>
        <v>661-21991</v>
      </c>
      <c r="E3822" s="2" t="str">
        <f>IFERROR(__xludf.DUMMYFUNCTION("""COMPUTED_VALUE"""),"Battery, iPhone 13")</f>
        <v>Battery, iPhone 13</v>
      </c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</row>
    <row r="3823">
      <c r="A3823" s="10" t="str">
        <f t="shared" si="1"/>
        <v>March</v>
      </c>
      <c r="B3823" s="11">
        <f>IFERROR(__xludf.DUMMYFUNCTION("""COMPUTED_VALUE"""),46091.0)</f>
        <v>46091</v>
      </c>
      <c r="C3823" s="2" t="str">
        <f>IFERROR(__xludf.DUMMYFUNCTION("""COMPUTED_VALUE"""),"MOBILECARE - APP GREENBELT 3")</f>
        <v>MOBILECARE - APP GREENBELT 3</v>
      </c>
      <c r="D3823" s="2" t="str">
        <f>IFERROR(__xludf.DUMMYFUNCTION("""COMPUTED_VALUE"""),"661-21991")</f>
        <v>661-21991</v>
      </c>
      <c r="E3823" s="2" t="str">
        <f>IFERROR(__xludf.DUMMYFUNCTION("""COMPUTED_VALUE"""),"Battery, iPhone 13")</f>
        <v>Battery, iPhone 13</v>
      </c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</row>
    <row r="3824">
      <c r="A3824" s="10" t="str">
        <f t="shared" si="1"/>
        <v>February</v>
      </c>
      <c r="B3824" s="11">
        <f>IFERROR(__xludf.DUMMYFUNCTION("""COMPUTED_VALUE"""),46070.0)</f>
        <v>46070</v>
      </c>
      <c r="C3824" s="2" t="str">
        <f>IFERROR(__xludf.DUMMYFUNCTION("""COMPUTED_VALUE"""),"MOBILECARE - APP GREENBELT 3")</f>
        <v>MOBILECARE - APP GREENBELT 3</v>
      </c>
      <c r="D3824" s="2" t="str">
        <f>IFERROR(__xludf.DUMMYFUNCTION("""COMPUTED_VALUE"""),"661-30397")</f>
        <v>661-30397</v>
      </c>
      <c r="E3824" s="2" t="str">
        <f>IFERROR(__xludf.DUMMYFUNCTION("""COMPUTED_VALUE"""),"Battery, iPhone 14 Pro Max")</f>
        <v>Battery, iPhone 14 Pro Max</v>
      </c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</row>
    <row r="3825">
      <c r="A3825" s="10" t="str">
        <f t="shared" si="1"/>
        <v>February</v>
      </c>
      <c r="B3825" s="11">
        <f>IFERROR(__xludf.DUMMYFUNCTION("""COMPUTED_VALUE"""),46069.0)</f>
        <v>46069</v>
      </c>
      <c r="C3825" s="2" t="str">
        <f>IFERROR(__xludf.DUMMYFUNCTION("""COMPUTED_VALUE"""),"MOBILECARE - APP GREENBELT 3")</f>
        <v>MOBILECARE - APP GREENBELT 3</v>
      </c>
      <c r="D3825" s="2" t="str">
        <f>IFERROR(__xludf.DUMMYFUNCTION("""COMPUTED_VALUE"""),"661-35694")</f>
        <v>661-35694</v>
      </c>
      <c r="E3825" s="2" t="str">
        <f>IFERROR(__xludf.DUMMYFUNCTION("""COMPUTED_VALUE"""),"Battery, iPhone 15 Pro")</f>
        <v>Battery, iPhone 15 Pro</v>
      </c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</row>
    <row r="3826">
      <c r="A3826" s="10" t="str">
        <f t="shared" si="1"/>
        <v>April</v>
      </c>
      <c r="B3826" s="11">
        <f>IFERROR(__xludf.DUMMYFUNCTION("""COMPUTED_VALUE"""),46139.0)</f>
        <v>46139</v>
      </c>
      <c r="C3826" s="2" t="str">
        <f>IFERROR(__xludf.DUMMYFUNCTION("""COMPUTED_VALUE"""),"MOBILECARE - APP GREENBELT 3")</f>
        <v>MOBILECARE - APP GREENBELT 3</v>
      </c>
      <c r="D3826" s="2" t="str">
        <f>IFERROR(__xludf.DUMMYFUNCTION("""COMPUTED_VALUE"""),"661-30394")</f>
        <v>661-30394</v>
      </c>
      <c r="E3826" s="2" t="str">
        <f>IFERROR(__xludf.DUMMYFUNCTION("""COMPUTED_VALUE"""),"Battery, iPhone 14 Plus")</f>
        <v>Battery, iPhone 14 Plus</v>
      </c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</row>
    <row r="3827">
      <c r="A3827" s="10" t="str">
        <f t="shared" si="1"/>
        <v>June</v>
      </c>
      <c r="B3827" s="11">
        <f>IFERROR(__xludf.DUMMYFUNCTION("""COMPUTED_VALUE"""),46188.0)</f>
        <v>46188</v>
      </c>
      <c r="C3827" s="2" t="str">
        <f>IFERROR(__xludf.DUMMYFUNCTION("""COMPUTED_VALUE"""),"MOBILECARE - APP GREENBELT 3")</f>
        <v>MOBILECARE - APP GREENBELT 3</v>
      </c>
      <c r="D3827" s="2" t="str">
        <f>IFERROR(__xludf.DUMMYFUNCTION("""COMPUTED_VALUE"""),"661-42726")</f>
        <v>661-42726</v>
      </c>
      <c r="E3827" s="2" t="str">
        <f>IFERROR(__xludf.DUMMYFUNCTION("""COMPUTED_VALUE"""),"Display, iPhone 16 Pro")</f>
        <v>Display, iPhone 16 Pro</v>
      </c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</row>
    <row r="3828">
      <c r="A3828" s="10" t="str">
        <f t="shared" si="1"/>
        <v>April</v>
      </c>
      <c r="B3828" s="11">
        <f>IFERROR(__xludf.DUMMYFUNCTION("""COMPUTED_VALUE"""),46130.0)</f>
        <v>46130</v>
      </c>
      <c r="C3828" s="2" t="str">
        <f>IFERROR(__xludf.DUMMYFUNCTION("""COMPUTED_VALUE"""),"MOBILECARE - APP GREENBELT 3")</f>
        <v>MOBILECARE - APP GREENBELT 3</v>
      </c>
      <c r="D3828" s="2" t="str">
        <f>IFERROR(__xludf.DUMMYFUNCTION("""COMPUTED_VALUE"""),"661-36918")</f>
        <v>661-36918</v>
      </c>
      <c r="E3828" s="2" t="str">
        <f>IFERROR(__xludf.DUMMYFUNCTION("""COMPUTED_VALUE"""),"Battery, iPhone 15 Pro Max")</f>
        <v>Battery, iPhone 15 Pro Max</v>
      </c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</row>
    <row r="3829">
      <c r="A3829" s="10" t="str">
        <f t="shared" si="1"/>
        <v>April</v>
      </c>
      <c r="B3829" s="11">
        <f>IFERROR(__xludf.DUMMYFUNCTION("""COMPUTED_VALUE"""),46121.0)</f>
        <v>46121</v>
      </c>
      <c r="C3829" s="2" t="str">
        <f>IFERROR(__xludf.DUMMYFUNCTION("""COMPUTED_VALUE"""),"MOBILECARE - APP GREENBELT 3")</f>
        <v>MOBILECARE - APP GREENBELT 3</v>
      </c>
      <c r="D3829" s="2" t="str">
        <f>IFERROR(__xludf.DUMMYFUNCTION("""COMPUTED_VALUE"""),"661-56050")</f>
        <v>661-56050</v>
      </c>
      <c r="E3829" s="2" t="str">
        <f>IFERROR(__xludf.DUMMYFUNCTION("""COMPUTED_VALUE"""),"Display, iPhone 17 Pro Max")</f>
        <v>Display, iPhone 17 Pro Max</v>
      </c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</row>
    <row r="3830">
      <c r="A3830" s="10" t="str">
        <f t="shared" si="1"/>
        <v>February</v>
      </c>
      <c r="B3830" s="11">
        <f>IFERROR(__xludf.DUMMYFUNCTION("""COMPUTED_VALUE"""),46063.0)</f>
        <v>46063</v>
      </c>
      <c r="C3830" s="2" t="str">
        <f>IFERROR(__xludf.DUMMYFUNCTION("""COMPUTED_VALUE"""),"MOBILECARE - APP GREENBELT 3")</f>
        <v>MOBILECARE - APP GREENBELT 3</v>
      </c>
      <c r="D3830" s="2" t="str">
        <f>IFERROR(__xludf.DUMMYFUNCTION("""COMPUTED_VALUE"""),"661-44956")</f>
        <v>661-44956</v>
      </c>
      <c r="E3830" s="2" t="str">
        <f>IFERROR(__xludf.DUMMYFUNCTION("""COMPUTED_VALUE"""),"TrueDepth Camera, iPhone 16 Pro Max")</f>
        <v>TrueDepth Camera, iPhone 16 Pro Max</v>
      </c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</row>
    <row r="3831">
      <c r="A3831" s="10" t="str">
        <f t="shared" si="1"/>
        <v>April</v>
      </c>
      <c r="B3831" s="11">
        <f>IFERROR(__xludf.DUMMYFUNCTION("""COMPUTED_VALUE"""),46142.0)</f>
        <v>46142</v>
      </c>
      <c r="C3831" s="2" t="str">
        <f>IFERROR(__xludf.DUMMYFUNCTION("""COMPUTED_VALUE"""),"MOBILECARE - APP GREENBELT 3")</f>
        <v>MOBILECARE - APP GREENBELT 3</v>
      </c>
      <c r="D3831" s="2" t="str">
        <f>IFERROR(__xludf.DUMMYFUNCTION("""COMPUTED_VALUE"""),"661-21991")</f>
        <v>661-21991</v>
      </c>
      <c r="E3831" s="2" t="str">
        <f>IFERROR(__xludf.DUMMYFUNCTION("""COMPUTED_VALUE"""),"Battery, iPhone 13")</f>
        <v>Battery, iPhone 13</v>
      </c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</row>
    <row r="3832">
      <c r="A3832" s="10" t="str">
        <f t="shared" si="1"/>
        <v>April</v>
      </c>
      <c r="B3832" s="11">
        <f>IFERROR(__xludf.DUMMYFUNCTION("""COMPUTED_VALUE"""),46134.0)</f>
        <v>46134</v>
      </c>
      <c r="C3832" s="2" t="str">
        <f>IFERROR(__xludf.DUMMYFUNCTION("""COMPUTED_VALUE"""),"MOBILECARE - APP GREENBELT 3")</f>
        <v>MOBILECARE - APP GREENBELT 3</v>
      </c>
      <c r="D3832" s="2" t="str">
        <f>IFERROR(__xludf.DUMMYFUNCTION("""COMPUTED_VALUE"""),"661-42726")</f>
        <v>661-42726</v>
      </c>
      <c r="E3832" s="2" t="str">
        <f>IFERROR(__xludf.DUMMYFUNCTION("""COMPUTED_VALUE"""),"Display, iPhone 16 Pro")</f>
        <v>Display, iPhone 16 Pro</v>
      </c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</row>
    <row r="3833">
      <c r="A3833" s="10" t="str">
        <f t="shared" si="1"/>
        <v>February</v>
      </c>
      <c r="B3833" s="11">
        <f>IFERROR(__xludf.DUMMYFUNCTION("""COMPUTED_VALUE"""),46057.0)</f>
        <v>46057</v>
      </c>
      <c r="C3833" s="2" t="str">
        <f>IFERROR(__xludf.DUMMYFUNCTION("""COMPUTED_VALUE"""),"MOBILECARE - APP GREENBELT 3")</f>
        <v>MOBILECARE - APP GREENBELT 3</v>
      </c>
      <c r="D3833" s="2" t="str">
        <f>IFERROR(__xludf.DUMMYFUNCTION("""COMPUTED_VALUE"""),"661-21993")</f>
        <v>661-21993</v>
      </c>
      <c r="E3833" s="2" t="str">
        <f>IFERROR(__xludf.DUMMYFUNCTION("""COMPUTED_VALUE"""),"Display, iPhone 13 Pro")</f>
        <v>Display, iPhone 13 Pro</v>
      </c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</row>
    <row r="3834">
      <c r="A3834" s="10" t="str">
        <f t="shared" si="1"/>
        <v>February</v>
      </c>
      <c r="B3834" s="11">
        <f>IFERROR(__xludf.DUMMYFUNCTION("""COMPUTED_VALUE"""),46057.0)</f>
        <v>46057</v>
      </c>
      <c r="C3834" s="2" t="str">
        <f>IFERROR(__xludf.DUMMYFUNCTION("""COMPUTED_VALUE"""),"MOBILECARE - APP GREENBELT 3")</f>
        <v>MOBILECARE - APP GREENBELT 3</v>
      </c>
      <c r="D3834" s="2" t="str">
        <f>IFERROR(__xludf.DUMMYFUNCTION("""COMPUTED_VALUE"""),"661-21993")</f>
        <v>661-21993</v>
      </c>
      <c r="E3834" s="2" t="str">
        <f>IFERROR(__xludf.DUMMYFUNCTION("""COMPUTED_VALUE"""),"Display, iPhone 13 Pro")</f>
        <v>Display, iPhone 13 Pro</v>
      </c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</row>
    <row r="3835">
      <c r="A3835" s="10" t="str">
        <f t="shared" si="1"/>
        <v>June</v>
      </c>
      <c r="B3835" s="11">
        <f>IFERROR(__xludf.DUMMYFUNCTION("""COMPUTED_VALUE"""),46182.0)</f>
        <v>46182</v>
      </c>
      <c r="C3835" s="2" t="str">
        <f>IFERROR(__xludf.DUMMYFUNCTION("""COMPUTED_VALUE"""),"MOBILECARE - APP GREENBELT 3")</f>
        <v>MOBILECARE - APP GREENBELT 3</v>
      </c>
      <c r="D3835" s="2" t="str">
        <f>IFERROR(__xludf.DUMMYFUNCTION("""COMPUTED_VALUE"""),"661-35699")</f>
        <v>661-35699</v>
      </c>
      <c r="E3835" s="2" t="str">
        <f>IFERROR(__xludf.DUMMYFUNCTION("""COMPUTED_VALUE"""),"Display, iPhone 15 Pro")</f>
        <v>Display, iPhone 15 Pro</v>
      </c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</row>
    <row r="3836">
      <c r="A3836" s="10" t="str">
        <f t="shared" si="1"/>
        <v>April</v>
      </c>
      <c r="B3836" s="11">
        <f>IFERROR(__xludf.DUMMYFUNCTION("""COMPUTED_VALUE"""),46132.0)</f>
        <v>46132</v>
      </c>
      <c r="C3836" s="2" t="str">
        <f>IFERROR(__xludf.DUMMYFUNCTION("""COMPUTED_VALUE"""),"MOBILECARE - APP GREENBELT 3")</f>
        <v>MOBILECARE - APP GREENBELT 3</v>
      </c>
      <c r="D3836" s="2" t="str">
        <f>IFERROR(__xludf.DUMMYFUNCTION("""COMPUTED_VALUE"""),"661-56050")</f>
        <v>661-56050</v>
      </c>
      <c r="E3836" s="2" t="str">
        <f>IFERROR(__xludf.DUMMYFUNCTION("""COMPUTED_VALUE"""),"Display, iPhone 17 Pro Max")</f>
        <v>Display, iPhone 17 Pro Max</v>
      </c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</row>
    <row r="3837">
      <c r="A3837" s="10" t="str">
        <f t="shared" si="1"/>
        <v>March</v>
      </c>
      <c r="B3837" s="11">
        <f>IFERROR(__xludf.DUMMYFUNCTION("""COMPUTED_VALUE"""),46093.0)</f>
        <v>46093</v>
      </c>
      <c r="C3837" s="2" t="str">
        <f>IFERROR(__xludf.DUMMYFUNCTION("""COMPUTED_VALUE"""),"MOBILECARE - APP GREENBELT 3")</f>
        <v>MOBILECARE - APP GREENBELT 3</v>
      </c>
      <c r="D3837" s="2" t="str">
        <f>IFERROR(__xludf.DUMMYFUNCTION("""COMPUTED_VALUE"""),"661-30397")</f>
        <v>661-30397</v>
      </c>
      <c r="E3837" s="2" t="str">
        <f>IFERROR(__xludf.DUMMYFUNCTION("""COMPUTED_VALUE"""),"Battery, iPhone 14 Pro Max")</f>
        <v>Battery, iPhone 14 Pro Max</v>
      </c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</row>
    <row r="3838">
      <c r="A3838" s="10" t="str">
        <f t="shared" si="1"/>
        <v>March</v>
      </c>
      <c r="B3838" s="11">
        <f>IFERROR(__xludf.DUMMYFUNCTION("""COMPUTED_VALUE"""),46104.0)</f>
        <v>46104</v>
      </c>
      <c r="C3838" s="2" t="str">
        <f>IFERROR(__xludf.DUMMYFUNCTION("""COMPUTED_VALUE"""),"MOBILECARE - APP GREENBELT 3")</f>
        <v>MOBILECARE - APP GREENBELT 3</v>
      </c>
      <c r="D3838" s="2" t="str">
        <f>IFERROR(__xludf.DUMMYFUNCTION("""COMPUTED_VALUE"""),"661-21991")</f>
        <v>661-21991</v>
      </c>
      <c r="E3838" s="2" t="str">
        <f>IFERROR(__xludf.DUMMYFUNCTION("""COMPUTED_VALUE"""),"Battery, iPhone 13")</f>
        <v>Battery, iPhone 13</v>
      </c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</row>
    <row r="3839">
      <c r="A3839" s="10" t="str">
        <f t="shared" si="1"/>
        <v>March</v>
      </c>
      <c r="B3839" s="11">
        <f>IFERROR(__xludf.DUMMYFUNCTION("""COMPUTED_VALUE"""),46104.0)</f>
        <v>46104</v>
      </c>
      <c r="C3839" s="2" t="str">
        <f>IFERROR(__xludf.DUMMYFUNCTION("""COMPUTED_VALUE"""),"MOBILECARE - APP GREENBELT 3")</f>
        <v>MOBILECARE - APP GREENBELT 3</v>
      </c>
      <c r="D3839" s="2" t="str">
        <f>IFERROR(__xludf.DUMMYFUNCTION("""COMPUTED_VALUE"""),"661-13574")</f>
        <v>661-13574</v>
      </c>
      <c r="E3839" s="2" t="str">
        <f>IFERROR(__xludf.DUMMYFUNCTION("""COMPUTED_VALUE"""),"Battery, iPhone 11")</f>
        <v>Battery, iPhone 11</v>
      </c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</row>
    <row r="3840">
      <c r="A3840" s="10" t="str">
        <f t="shared" si="1"/>
        <v>June</v>
      </c>
      <c r="B3840" s="11">
        <f>IFERROR(__xludf.DUMMYFUNCTION("""COMPUTED_VALUE"""),46182.0)</f>
        <v>46182</v>
      </c>
      <c r="C3840" s="2" t="str">
        <f>IFERROR(__xludf.DUMMYFUNCTION("""COMPUTED_VALUE"""),"MOBILECARE - APP GREENBELT 3")</f>
        <v>MOBILECARE - APP GREENBELT 3</v>
      </c>
      <c r="D3840" s="2" t="str">
        <f>IFERROR(__xludf.DUMMYFUNCTION("""COMPUTED_VALUE"""),"661-36706")</f>
        <v>661-36706</v>
      </c>
      <c r="E3840" s="2" t="str">
        <f>IFERROR(__xludf.DUMMYFUNCTION("""COMPUTED_VALUE"""),"Display, iPhone 15")</f>
        <v>Display, iPhone 15</v>
      </c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</row>
    <row r="3841">
      <c r="A3841" s="10" t="str">
        <f t="shared" si="1"/>
        <v>January</v>
      </c>
      <c r="B3841" s="11">
        <f>IFERROR(__xludf.DUMMYFUNCTION("""COMPUTED_VALUE"""),46047.0)</f>
        <v>46047</v>
      </c>
      <c r="C3841" s="2" t="str">
        <f>IFERROR(__xludf.DUMMYFUNCTION("""COMPUTED_VALUE"""),"MOBILECARE - APP GREENBELT 3")</f>
        <v>MOBILECARE - APP GREENBELT 3</v>
      </c>
      <c r="D3841" s="2" t="str">
        <f>IFERROR(__xludf.DUMMYFUNCTION("""COMPUTED_VALUE"""),"661-56125")</f>
        <v>661-56125</v>
      </c>
      <c r="E3841" s="2" t="str">
        <f>IFERROR(__xludf.DUMMYFUNCTION("""COMPUTED_VALUE"""),"Display, iPhone 17 Pro")</f>
        <v>Display, iPhone 17 Pro</v>
      </c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</row>
    <row r="3842">
      <c r="A3842" s="10" t="str">
        <f t="shared" si="1"/>
        <v>April</v>
      </c>
      <c r="B3842" s="11">
        <f>IFERROR(__xludf.DUMMYFUNCTION("""COMPUTED_VALUE"""),46134.0)</f>
        <v>46134</v>
      </c>
      <c r="C3842" s="2" t="str">
        <f>IFERROR(__xludf.DUMMYFUNCTION("""COMPUTED_VALUE"""),"MOBILECARE - APP GREENBELT 3")</f>
        <v>MOBILECARE - APP GREENBELT 3</v>
      </c>
      <c r="D3842" s="2" t="str">
        <f>IFERROR(__xludf.DUMMYFUNCTION("""COMPUTED_VALUE"""),"661-22294")</f>
        <v>661-22294</v>
      </c>
      <c r="E3842" s="2" t="str">
        <f>IFERROR(__xludf.DUMMYFUNCTION("""COMPUTED_VALUE"""),"Battery, iPhone 13 Pro Max")</f>
        <v>Battery, iPhone 13 Pro Max</v>
      </c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</row>
    <row r="3843">
      <c r="A3843" s="10" t="str">
        <f t="shared" si="1"/>
        <v>March</v>
      </c>
      <c r="B3843" s="11">
        <f>IFERROR(__xludf.DUMMYFUNCTION("""COMPUTED_VALUE"""),46107.0)</f>
        <v>46107</v>
      </c>
      <c r="C3843" s="2" t="str">
        <f>IFERROR(__xludf.DUMMYFUNCTION("""COMPUTED_VALUE"""),"MOBILECARE - APP GREENBELT 3")</f>
        <v>MOBILECARE - APP GREENBELT 3</v>
      </c>
      <c r="D3843" s="2" t="str">
        <f>IFERROR(__xludf.DUMMYFUNCTION("""COMPUTED_VALUE"""),"661-44960")</f>
        <v>661-44960</v>
      </c>
      <c r="E3843" s="2" t="str">
        <f>IFERROR(__xludf.DUMMYFUNCTION("""COMPUTED_VALUE"""),"Desert Titanium, Back Glass, iPhone 16 Pro Max")</f>
        <v>Desert Titanium, Back Glass, iPhone 16 Pro Max</v>
      </c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</row>
    <row r="3844">
      <c r="A3844" s="10" t="str">
        <f t="shared" si="1"/>
        <v>March</v>
      </c>
      <c r="B3844" s="11">
        <f>IFERROR(__xludf.DUMMYFUNCTION("""COMPUTED_VALUE"""),46087.0)</f>
        <v>46087</v>
      </c>
      <c r="C3844" s="2" t="str">
        <f>IFERROR(__xludf.DUMMYFUNCTION("""COMPUTED_VALUE"""),"MOBILECARE - APP GREENBELT 3")</f>
        <v>MOBILECARE - APP GREENBELT 3</v>
      </c>
      <c r="D3844" s="2" t="str">
        <f>IFERROR(__xludf.DUMMYFUNCTION("""COMPUTED_VALUE"""),"661-44799")</f>
        <v>661-44799</v>
      </c>
      <c r="E3844" s="2" t="str">
        <f>IFERROR(__xludf.DUMMYFUNCTION("""COMPUTED_VALUE"""),"Camera, iPhone 16")</f>
        <v>Camera, iPhone 16</v>
      </c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</row>
    <row r="3845">
      <c r="A3845" s="10" t="str">
        <f t="shared" si="1"/>
        <v>April</v>
      </c>
      <c r="B3845" s="11">
        <f>IFERROR(__xludf.DUMMYFUNCTION("""COMPUTED_VALUE"""),46132.0)</f>
        <v>46132</v>
      </c>
      <c r="C3845" s="2" t="str">
        <f>IFERROR(__xludf.DUMMYFUNCTION("""COMPUTED_VALUE"""),"MOBILECARE - APP GREENBELT 3")</f>
        <v>MOBILECARE - APP GREENBELT 3</v>
      </c>
      <c r="D3845" s="2" t="str">
        <f>IFERROR(__xludf.DUMMYFUNCTION("""COMPUTED_VALUE"""),"661-30397")</f>
        <v>661-30397</v>
      </c>
      <c r="E3845" s="2" t="str">
        <f>IFERROR(__xludf.DUMMYFUNCTION("""COMPUTED_VALUE"""),"Battery, iPhone 14 Pro Max")</f>
        <v>Battery, iPhone 14 Pro Max</v>
      </c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</row>
    <row r="3846">
      <c r="A3846" s="10" t="str">
        <f t="shared" si="1"/>
        <v>March</v>
      </c>
      <c r="B3846" s="11">
        <f>IFERROR(__xludf.DUMMYFUNCTION("""COMPUTED_VALUE"""),46084.0)</f>
        <v>46084</v>
      </c>
      <c r="C3846" s="2" t="str">
        <f>IFERROR(__xludf.DUMMYFUNCTION("""COMPUTED_VALUE"""),"MOBILECARE - APP GREENBELT 3")</f>
        <v>MOBILECARE - APP GREENBELT 3</v>
      </c>
      <c r="D3846" s="2" t="str">
        <f>IFERROR(__xludf.DUMMYFUNCTION("""COMPUTED_VALUE"""),"661-36918")</f>
        <v>661-36918</v>
      </c>
      <c r="E3846" s="2" t="str">
        <f>IFERROR(__xludf.DUMMYFUNCTION("""COMPUTED_VALUE"""),"Battery, iPhone 15 Pro Max")</f>
        <v>Battery, iPhone 15 Pro Max</v>
      </c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</row>
    <row r="3847">
      <c r="A3847" s="10" t="str">
        <f t="shared" si="1"/>
        <v>April</v>
      </c>
      <c r="B3847" s="11">
        <f>IFERROR(__xludf.DUMMYFUNCTION("""COMPUTED_VALUE"""),46124.0)</f>
        <v>46124</v>
      </c>
      <c r="C3847" s="2" t="str">
        <f>IFERROR(__xludf.DUMMYFUNCTION("""COMPUTED_VALUE"""),"MOBILECARE - APP GREENBELT 3")</f>
        <v>MOBILECARE - APP GREENBELT 3</v>
      </c>
      <c r="D3847" s="2" t="str">
        <f>IFERROR(__xludf.DUMMYFUNCTION("""COMPUTED_VALUE"""),"661-21991")</f>
        <v>661-21991</v>
      </c>
      <c r="E3847" s="2" t="str">
        <f>IFERROR(__xludf.DUMMYFUNCTION("""COMPUTED_VALUE"""),"Battery, iPhone 13")</f>
        <v>Battery, iPhone 13</v>
      </c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</row>
    <row r="3848">
      <c r="A3848" s="10" t="str">
        <f t="shared" si="1"/>
        <v>March</v>
      </c>
      <c r="B3848" s="11">
        <f>IFERROR(__xludf.DUMMYFUNCTION("""COMPUTED_VALUE"""),46100.0)</f>
        <v>46100</v>
      </c>
      <c r="C3848" s="2" t="str">
        <f>IFERROR(__xludf.DUMMYFUNCTION("""COMPUTED_VALUE"""),"MOBILECARE - APP GREENBELT 3")</f>
        <v>MOBILECARE - APP GREENBELT 3</v>
      </c>
      <c r="D3848" s="2" t="str">
        <f>IFERROR(__xludf.DUMMYFUNCTION("""COMPUTED_VALUE"""),"661-21991")</f>
        <v>661-21991</v>
      </c>
      <c r="E3848" s="2" t="str">
        <f>IFERROR(__xludf.DUMMYFUNCTION("""COMPUTED_VALUE"""),"Battery, iPhone 13")</f>
        <v>Battery, iPhone 13</v>
      </c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</row>
    <row r="3849">
      <c r="A3849" s="10" t="str">
        <f t="shared" si="1"/>
        <v>February</v>
      </c>
      <c r="B3849" s="11">
        <f>IFERROR(__xludf.DUMMYFUNCTION("""COMPUTED_VALUE"""),46071.0)</f>
        <v>46071</v>
      </c>
      <c r="C3849" s="2" t="str">
        <f>IFERROR(__xludf.DUMMYFUNCTION("""COMPUTED_VALUE"""),"MOBILECARE - APP GREENBELT 3")</f>
        <v>MOBILECARE - APP GREENBELT 3</v>
      </c>
      <c r="D3849" s="2" t="str">
        <f>IFERROR(__xludf.DUMMYFUNCTION("""COMPUTED_VALUE"""),"661-30366")</f>
        <v>661-30366</v>
      </c>
      <c r="E3849" s="2" t="str">
        <f>IFERROR(__xludf.DUMMYFUNCTION("""COMPUTED_VALUE"""),"Display, iPhone 14")</f>
        <v>Display, iPhone 14</v>
      </c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</row>
    <row r="3850">
      <c r="A3850" s="10" t="str">
        <f t="shared" si="1"/>
        <v>January</v>
      </c>
      <c r="B3850" s="11">
        <f>IFERROR(__xludf.DUMMYFUNCTION("""COMPUTED_VALUE"""),46043.0)</f>
        <v>46043</v>
      </c>
      <c r="C3850" s="2" t="str">
        <f>IFERROR(__xludf.DUMMYFUNCTION("""COMPUTED_VALUE"""),"MOBILECARE - APP GREENBELT 3")</f>
        <v>MOBILECARE - APP GREENBELT 3</v>
      </c>
      <c r="D3850" s="2" t="str">
        <f>IFERROR(__xludf.DUMMYFUNCTION("""COMPUTED_VALUE"""),"661-42726")</f>
        <v>661-42726</v>
      </c>
      <c r="E3850" s="2" t="str">
        <f>IFERROR(__xludf.DUMMYFUNCTION("""COMPUTED_VALUE"""),"Display, iPhone 16 Pro")</f>
        <v>Display, iPhone 16 Pro</v>
      </c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</row>
    <row r="3851">
      <c r="A3851" s="10" t="str">
        <f t="shared" si="1"/>
        <v>May</v>
      </c>
      <c r="B3851" s="11">
        <f>IFERROR(__xludf.DUMMYFUNCTION("""COMPUTED_VALUE"""),46145.0)</f>
        <v>46145</v>
      </c>
      <c r="C3851" s="2" t="str">
        <f>IFERROR(__xludf.DUMMYFUNCTION("""COMPUTED_VALUE"""),"MOBILECARE - APP GREENBELT 3")</f>
        <v>MOBILECARE - APP GREENBELT 3</v>
      </c>
      <c r="D3851" s="2" t="str">
        <f>IFERROR(__xludf.DUMMYFUNCTION("""COMPUTED_VALUE"""),"661-21991")</f>
        <v>661-21991</v>
      </c>
      <c r="E3851" s="2" t="str">
        <f>IFERROR(__xludf.DUMMYFUNCTION("""COMPUTED_VALUE"""),"Battery, iPhone 13")</f>
        <v>Battery, iPhone 13</v>
      </c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</row>
    <row r="3852">
      <c r="A3852" s="10" t="str">
        <f t="shared" si="1"/>
        <v>April</v>
      </c>
      <c r="B3852" s="11">
        <f>IFERROR(__xludf.DUMMYFUNCTION("""COMPUTED_VALUE"""),46124.0)</f>
        <v>46124</v>
      </c>
      <c r="C3852" s="2" t="str">
        <f>IFERROR(__xludf.DUMMYFUNCTION("""COMPUTED_VALUE"""),"MOBILECARE - APP GREENBELT 3")</f>
        <v>MOBILECARE - APP GREENBELT 3</v>
      </c>
      <c r="D3852" s="2" t="str">
        <f>IFERROR(__xludf.DUMMYFUNCTION("""COMPUTED_VALUE"""),"661-22309")</f>
        <v>661-22309</v>
      </c>
      <c r="E3852" s="2" t="str">
        <f>IFERROR(__xludf.DUMMYFUNCTION("""COMPUTED_VALUE"""),"Display, iPhone 13 Pro Max")</f>
        <v>Display, iPhone 13 Pro Max</v>
      </c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</row>
    <row r="3853">
      <c r="A3853" s="10" t="str">
        <f t="shared" si="1"/>
        <v>April</v>
      </c>
      <c r="B3853" s="11">
        <f>IFERROR(__xludf.DUMMYFUNCTION("""COMPUTED_VALUE"""),46128.0)</f>
        <v>46128</v>
      </c>
      <c r="C3853" s="2" t="str">
        <f>IFERROR(__xludf.DUMMYFUNCTION("""COMPUTED_VALUE"""),"MOBILECARE - APP GREENBELT 3")</f>
        <v>MOBILECARE - APP GREENBELT 3</v>
      </c>
      <c r="D3853" s="2" t="str">
        <f>IFERROR(__xludf.DUMMYFUNCTION("""COMPUTED_VALUE"""),"661-35694")</f>
        <v>661-35694</v>
      </c>
      <c r="E3853" s="2" t="str">
        <f>IFERROR(__xludf.DUMMYFUNCTION("""COMPUTED_VALUE"""),"Battery, iPhone 15 Pro")</f>
        <v>Battery, iPhone 15 Pro</v>
      </c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</row>
    <row r="3854">
      <c r="A3854" s="10" t="str">
        <f t="shared" si="1"/>
        <v>May</v>
      </c>
      <c r="B3854" s="11">
        <f>IFERROR(__xludf.DUMMYFUNCTION("""COMPUTED_VALUE"""),46167.0)</f>
        <v>46167</v>
      </c>
      <c r="C3854" s="2" t="str">
        <f>IFERROR(__xludf.DUMMYFUNCTION("""COMPUTED_VALUE"""),"MOBILECARE - APP GREENBELT 3")</f>
        <v>MOBILECARE - APP GREENBELT 3</v>
      </c>
      <c r="D3854" s="2" t="str">
        <f>IFERROR(__xludf.DUMMYFUNCTION("""COMPUTED_VALUE"""),"661-44955")</f>
        <v>661-44955</v>
      </c>
      <c r="E3854" s="2" t="str">
        <f>IFERROR(__xludf.DUMMYFUNCTION("""COMPUTED_VALUE"""),"Display, iPhone 16 Pro Max")</f>
        <v>Display, iPhone 16 Pro Max</v>
      </c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</row>
    <row r="3855">
      <c r="A3855" s="10" t="str">
        <f t="shared" si="1"/>
        <v>April</v>
      </c>
      <c r="B3855" s="11">
        <f>IFERROR(__xludf.DUMMYFUNCTION("""COMPUTED_VALUE"""),46122.0)</f>
        <v>46122</v>
      </c>
      <c r="C3855" s="2" t="str">
        <f>IFERROR(__xludf.DUMMYFUNCTION("""COMPUTED_VALUE"""),"MOBILECARE - APP GREENBELT 3")</f>
        <v>MOBILECARE - APP GREENBELT 3</v>
      </c>
      <c r="D3855" s="2" t="str">
        <f>IFERROR(__xludf.DUMMYFUNCTION("""COMPUTED_VALUE"""),"661-30393")</f>
        <v>661-30393</v>
      </c>
      <c r="E3855" s="2" t="str">
        <f>IFERROR(__xludf.DUMMYFUNCTION("""COMPUTED_VALUE"""),"Camera, iPhone 14 Plus")</f>
        <v>Camera, iPhone 14 Plus</v>
      </c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</row>
    <row r="3856">
      <c r="A3856" s="10" t="str">
        <f t="shared" si="1"/>
        <v>April</v>
      </c>
      <c r="B3856" s="11">
        <f>IFERROR(__xludf.DUMMYFUNCTION("""COMPUTED_VALUE"""),46119.0)</f>
        <v>46119</v>
      </c>
      <c r="C3856" s="2" t="str">
        <f>IFERROR(__xludf.DUMMYFUNCTION("""COMPUTED_VALUE"""),"MOBILECARE - APP GREENBELT 3")</f>
        <v>MOBILECARE - APP GREENBELT 3</v>
      </c>
      <c r="D3856" s="2" t="str">
        <f>IFERROR(__xludf.DUMMYFUNCTION("""COMPUTED_VALUE"""),"661-35694")</f>
        <v>661-35694</v>
      </c>
      <c r="E3856" s="2" t="str">
        <f>IFERROR(__xludf.DUMMYFUNCTION("""COMPUTED_VALUE"""),"Battery, iPhone 15 Pro")</f>
        <v>Battery, iPhone 15 Pro</v>
      </c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</row>
    <row r="3857">
      <c r="A3857" s="10" t="str">
        <f t="shared" si="1"/>
        <v>June</v>
      </c>
      <c r="B3857" s="11">
        <f>IFERROR(__xludf.DUMMYFUNCTION("""COMPUTED_VALUE"""),46190.0)</f>
        <v>46190</v>
      </c>
      <c r="C3857" s="2" t="str">
        <f>IFERROR(__xludf.DUMMYFUNCTION("""COMPUTED_VALUE"""),"MOBILECARE - APP GREENBELT 3")</f>
        <v>MOBILECARE - APP GREENBELT 3</v>
      </c>
      <c r="D3857" s="2" t="str">
        <f>IFERROR(__xludf.DUMMYFUNCTION("""COMPUTED_VALUE"""),"661-36706")</f>
        <v>661-36706</v>
      </c>
      <c r="E3857" s="2" t="str">
        <f>IFERROR(__xludf.DUMMYFUNCTION("""COMPUTED_VALUE"""),"Display, iPhone 15")</f>
        <v>Display, iPhone 15</v>
      </c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</row>
    <row r="3858">
      <c r="A3858" s="10" t="str">
        <f t="shared" si="1"/>
        <v>June</v>
      </c>
      <c r="B3858" s="11">
        <f>IFERROR(__xludf.DUMMYFUNCTION("""COMPUTED_VALUE"""),46189.0)</f>
        <v>46189</v>
      </c>
      <c r="C3858" s="2" t="str">
        <f>IFERROR(__xludf.DUMMYFUNCTION("""COMPUTED_VALUE"""),"MOBILECARE - APP GREENBELT 3")</f>
        <v>MOBILECARE - APP GREENBELT 3</v>
      </c>
      <c r="D3858" s="2" t="str">
        <f>IFERROR(__xludf.DUMMYFUNCTION("""COMPUTED_VALUE"""),"661-56065")</f>
        <v>661-56065</v>
      </c>
      <c r="E3858" s="2" t="str">
        <f>IFERROR(__xludf.DUMMYFUNCTION("""COMPUTED_VALUE"""),"Display, iPhone 17")</f>
        <v>Display, iPhone 17</v>
      </c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</row>
    <row r="3859">
      <c r="A3859" s="10" t="str">
        <f t="shared" si="1"/>
        <v>June</v>
      </c>
      <c r="B3859" s="11">
        <f>IFERROR(__xludf.DUMMYFUNCTION("""COMPUTED_VALUE"""),46180.0)</f>
        <v>46180</v>
      </c>
      <c r="C3859" s="2" t="str">
        <f>IFERROR(__xludf.DUMMYFUNCTION("""COMPUTED_VALUE"""),"MOBILECARE - APP GREENBELT 3")</f>
        <v>MOBILECARE - APP GREENBELT 3</v>
      </c>
      <c r="D3859" s="2" t="str">
        <f>IFERROR(__xludf.DUMMYFUNCTION("""COMPUTED_VALUE"""),"661-21991")</f>
        <v>661-21991</v>
      </c>
      <c r="E3859" s="2" t="str">
        <f>IFERROR(__xludf.DUMMYFUNCTION("""COMPUTED_VALUE"""),"Battery, iPhone 13")</f>
        <v>Battery, iPhone 13</v>
      </c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</row>
    <row r="3860">
      <c r="A3860" s="10" t="str">
        <f t="shared" si="1"/>
        <v>May</v>
      </c>
      <c r="B3860" s="11">
        <f>IFERROR(__xludf.DUMMYFUNCTION("""COMPUTED_VALUE"""),46143.0)</f>
        <v>46143</v>
      </c>
      <c r="C3860" s="2" t="str">
        <f>IFERROR(__xludf.DUMMYFUNCTION("""COMPUTED_VALUE"""),"MOBILECARE - APP GREENBELT 3")</f>
        <v>MOBILECARE - APP GREENBELT 3</v>
      </c>
      <c r="D3860" s="2" t="str">
        <f>IFERROR(__xludf.DUMMYFUNCTION("""COMPUTED_VALUE"""),"661-36918")</f>
        <v>661-36918</v>
      </c>
      <c r="E3860" s="2" t="str">
        <f>IFERROR(__xludf.DUMMYFUNCTION("""COMPUTED_VALUE"""),"Battery, iPhone 15 Pro Max")</f>
        <v>Battery, iPhone 15 Pro Max</v>
      </c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</row>
    <row r="3861">
      <c r="A3861" s="10" t="str">
        <f t="shared" si="1"/>
        <v>January</v>
      </c>
      <c r="B3861" s="11">
        <f>IFERROR(__xludf.DUMMYFUNCTION("""COMPUTED_VALUE"""),46038.0)</f>
        <v>46038</v>
      </c>
      <c r="C3861" s="2" t="str">
        <f>IFERROR(__xludf.DUMMYFUNCTION("""COMPUTED_VALUE"""),"MOBILECARE - APP GREENBELT 3")</f>
        <v>MOBILECARE - APP GREENBELT 3</v>
      </c>
      <c r="D3861" s="2" t="str">
        <f>IFERROR(__xludf.DUMMYFUNCTION("""COMPUTED_VALUE"""),"661-22309")</f>
        <v>661-22309</v>
      </c>
      <c r="E3861" s="2" t="str">
        <f>IFERROR(__xludf.DUMMYFUNCTION("""COMPUTED_VALUE"""),"Display, iPhone 13 Pro Max")</f>
        <v>Display, iPhone 13 Pro Max</v>
      </c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</row>
    <row r="3862">
      <c r="A3862" s="10" t="str">
        <f t="shared" si="1"/>
        <v>March</v>
      </c>
      <c r="B3862" s="11">
        <f>IFERROR(__xludf.DUMMYFUNCTION("""COMPUTED_VALUE"""),46104.0)</f>
        <v>46104</v>
      </c>
      <c r="C3862" s="2" t="str">
        <f>IFERROR(__xludf.DUMMYFUNCTION("""COMPUTED_VALUE"""),"MOBILECARE - APP GREENBELT 3")</f>
        <v>MOBILECARE - APP GREENBELT 3</v>
      </c>
      <c r="D3862" s="2" t="str">
        <f>IFERROR(__xludf.DUMMYFUNCTION("""COMPUTED_VALUE"""),"661-22294")</f>
        <v>661-22294</v>
      </c>
      <c r="E3862" s="2" t="str">
        <f>IFERROR(__xludf.DUMMYFUNCTION("""COMPUTED_VALUE"""),"Battery, iPhone 13 Pro Max")</f>
        <v>Battery, iPhone 13 Pro Max</v>
      </c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</row>
    <row r="3863">
      <c r="A3863" s="10" t="str">
        <f t="shared" si="1"/>
        <v>June</v>
      </c>
      <c r="B3863" s="11">
        <f>IFERROR(__xludf.DUMMYFUNCTION("""COMPUTED_VALUE"""),46184.0)</f>
        <v>46184</v>
      </c>
      <c r="C3863" s="2" t="str">
        <f>IFERROR(__xludf.DUMMYFUNCTION("""COMPUTED_VALUE"""),"MOBILECARE - APP GREENBELT 3")</f>
        <v>MOBILECARE - APP GREENBELT 3</v>
      </c>
      <c r="D3863" s="2" t="str">
        <f>IFERROR(__xludf.DUMMYFUNCTION("""COMPUTED_VALUE"""),"661-22294")</f>
        <v>661-22294</v>
      </c>
      <c r="E3863" s="2" t="str">
        <f>IFERROR(__xludf.DUMMYFUNCTION("""COMPUTED_VALUE"""),"Battery, iPhone 13 Pro Max")</f>
        <v>Battery, iPhone 13 Pro Max</v>
      </c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</row>
    <row r="3864">
      <c r="A3864" s="10" t="str">
        <f t="shared" si="1"/>
        <v>June</v>
      </c>
      <c r="B3864" s="11">
        <f>IFERROR(__xludf.DUMMYFUNCTION("""COMPUTED_VALUE"""),46184.0)</f>
        <v>46184</v>
      </c>
      <c r="C3864" s="2" t="str">
        <f>IFERROR(__xludf.DUMMYFUNCTION("""COMPUTED_VALUE"""),"MOBILECARE - APP GREENBELT 3")</f>
        <v>MOBILECARE - APP GREENBELT 3</v>
      </c>
      <c r="D3864" s="2" t="str">
        <f>IFERROR(__xludf.DUMMYFUNCTION("""COMPUTED_VALUE"""),"661-22309")</f>
        <v>661-22309</v>
      </c>
      <c r="E3864" s="2" t="str">
        <f>IFERROR(__xludf.DUMMYFUNCTION("""COMPUTED_VALUE"""),"Display, iPhone 13 Pro Max")</f>
        <v>Display, iPhone 13 Pro Max</v>
      </c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</row>
    <row r="3865">
      <c r="A3865" s="10" t="str">
        <f t="shared" si="1"/>
        <v>May</v>
      </c>
      <c r="B3865" s="11">
        <f>IFERROR(__xludf.DUMMYFUNCTION("""COMPUTED_VALUE"""),46156.0)</f>
        <v>46156</v>
      </c>
      <c r="C3865" s="2" t="str">
        <f>IFERROR(__xludf.DUMMYFUNCTION("""COMPUTED_VALUE"""),"MOBILECARE - APP TRINOMA")</f>
        <v>MOBILECARE - APP TRINOMA</v>
      </c>
      <c r="D3865" s="2" t="str">
        <f>IFERROR(__xludf.DUMMYFUNCTION("""COMPUTED_VALUE"""),"661-22294")</f>
        <v>661-22294</v>
      </c>
      <c r="E3865" s="2" t="str">
        <f>IFERROR(__xludf.DUMMYFUNCTION("""COMPUTED_VALUE"""),"Battery, iPhone 13 Pro Max")</f>
        <v>Battery, iPhone 13 Pro Max</v>
      </c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</row>
    <row r="3866">
      <c r="A3866" s="10" t="str">
        <f t="shared" si="1"/>
        <v>April</v>
      </c>
      <c r="B3866" s="11">
        <f>IFERROR(__xludf.DUMMYFUNCTION("""COMPUTED_VALUE"""),46118.0)</f>
        <v>46118</v>
      </c>
      <c r="C3866" s="2" t="str">
        <f>IFERROR(__xludf.DUMMYFUNCTION("""COMPUTED_VALUE"""),"MOBILECARE - APP TRINOMA")</f>
        <v>MOBILECARE - APP TRINOMA</v>
      </c>
      <c r="D3866" s="2" t="str">
        <f>IFERROR(__xludf.DUMMYFUNCTION("""COMPUTED_VALUE"""),"661-21991")</f>
        <v>661-21991</v>
      </c>
      <c r="E3866" s="2" t="str">
        <f>IFERROR(__xludf.DUMMYFUNCTION("""COMPUTED_VALUE"""),"Battery, iPhone 13")</f>
        <v>Battery, iPhone 13</v>
      </c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</row>
    <row r="3867">
      <c r="A3867" s="10" t="str">
        <f t="shared" si="1"/>
        <v>February</v>
      </c>
      <c r="B3867" s="11">
        <f>IFERROR(__xludf.DUMMYFUNCTION("""COMPUTED_VALUE"""),46077.0)</f>
        <v>46077</v>
      </c>
      <c r="C3867" s="2" t="str">
        <f>IFERROR(__xludf.DUMMYFUNCTION("""COMPUTED_VALUE"""),"MOBILECARE - APP TRINOMA")</f>
        <v>MOBILECARE - APP TRINOMA</v>
      </c>
      <c r="D3867" s="2" t="str">
        <f>IFERROR(__xludf.DUMMYFUNCTION("""COMPUTED_VALUE"""),"661-22309")</f>
        <v>661-22309</v>
      </c>
      <c r="E3867" s="2" t="str">
        <f>IFERROR(__xludf.DUMMYFUNCTION("""COMPUTED_VALUE"""),"Display, iPhone 13 Pro Max")</f>
        <v>Display, iPhone 13 Pro Max</v>
      </c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</row>
    <row r="3868">
      <c r="A3868" s="10" t="str">
        <f t="shared" si="1"/>
        <v>February</v>
      </c>
      <c r="B3868" s="11">
        <f>IFERROR(__xludf.DUMMYFUNCTION("""COMPUTED_VALUE"""),46077.0)</f>
        <v>46077</v>
      </c>
      <c r="C3868" s="2" t="str">
        <f>IFERROR(__xludf.DUMMYFUNCTION("""COMPUTED_VALUE"""),"MOBILECARE - APP TRINOMA")</f>
        <v>MOBILECARE - APP TRINOMA</v>
      </c>
      <c r="D3868" s="2" t="str">
        <f>IFERROR(__xludf.DUMMYFUNCTION("""COMPUTED_VALUE"""),"661-22293")</f>
        <v>661-22293</v>
      </c>
      <c r="E3868" s="2" t="str">
        <f>IFERROR(__xludf.DUMMYFUNCTION("""COMPUTED_VALUE"""),"Camera, iPhone 13 Pro and 13 Pro Max")</f>
        <v>Camera, iPhone 13 Pro and 13 Pro Max</v>
      </c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</row>
    <row r="3869">
      <c r="A3869" s="10" t="str">
        <f t="shared" si="1"/>
        <v>February</v>
      </c>
      <c r="B3869" s="11">
        <f>IFERROR(__xludf.DUMMYFUNCTION("""COMPUTED_VALUE"""),46071.0)</f>
        <v>46071</v>
      </c>
      <c r="C3869" s="2" t="str">
        <f>IFERROR(__xludf.DUMMYFUNCTION("""COMPUTED_VALUE"""),"MOBILECARE - APP TRINOMA")</f>
        <v>MOBILECARE - APP TRINOMA</v>
      </c>
      <c r="D3869" s="2" t="str">
        <f>IFERROR(__xludf.DUMMYFUNCTION("""COMPUTED_VALUE"""),"661-30382")</f>
        <v>661-30382</v>
      </c>
      <c r="E3869" s="2" t="str">
        <f>IFERROR(__xludf.DUMMYFUNCTION("""COMPUTED_VALUE"""),"Battery, iPhone 14 Pro")</f>
        <v>Battery, iPhone 14 Pro</v>
      </c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</row>
    <row r="3870">
      <c r="A3870" s="10" t="str">
        <f t="shared" si="1"/>
        <v>January</v>
      </c>
      <c r="B3870" s="11">
        <f>IFERROR(__xludf.DUMMYFUNCTION("""COMPUTED_VALUE"""),46045.0)</f>
        <v>46045</v>
      </c>
      <c r="C3870" s="2" t="str">
        <f>IFERROR(__xludf.DUMMYFUNCTION("""COMPUTED_VALUE"""),"MOBILECARE - APP TRINOMA")</f>
        <v>MOBILECARE - APP TRINOMA</v>
      </c>
      <c r="D3870" s="2" t="str">
        <f>IFERROR(__xludf.DUMMYFUNCTION("""COMPUTED_VALUE"""),"661-22309")</f>
        <v>661-22309</v>
      </c>
      <c r="E3870" s="2" t="str">
        <f>IFERROR(__xludf.DUMMYFUNCTION("""COMPUTED_VALUE"""),"Display, iPhone 13 Pro Max")</f>
        <v>Display, iPhone 13 Pro Max</v>
      </c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</row>
    <row r="3871">
      <c r="A3871" s="10" t="str">
        <f t="shared" si="1"/>
        <v>June</v>
      </c>
      <c r="B3871" s="11">
        <f>IFERROR(__xludf.DUMMYFUNCTION("""COMPUTED_VALUE"""),46185.0)</f>
        <v>46185</v>
      </c>
      <c r="C3871" s="2" t="str">
        <f>IFERROR(__xludf.DUMMYFUNCTION("""COMPUTED_VALUE"""),"MOBILECARE - APP TRINOMA")</f>
        <v>MOBILECARE - APP TRINOMA</v>
      </c>
      <c r="D3871" s="2" t="str">
        <f>IFERROR(__xludf.DUMMYFUNCTION("""COMPUTED_VALUE"""),"661-21991")</f>
        <v>661-21991</v>
      </c>
      <c r="E3871" s="2" t="str">
        <f>IFERROR(__xludf.DUMMYFUNCTION("""COMPUTED_VALUE"""),"Battery, iPhone 13")</f>
        <v>Battery, iPhone 13</v>
      </c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</row>
    <row r="3872">
      <c r="A3872" s="10" t="str">
        <f t="shared" si="1"/>
        <v>June</v>
      </c>
      <c r="B3872" s="11">
        <f>IFERROR(__xludf.DUMMYFUNCTION("""COMPUTED_VALUE"""),46193.0)</f>
        <v>46193</v>
      </c>
      <c r="C3872" s="2" t="str">
        <f>IFERROR(__xludf.DUMMYFUNCTION("""COMPUTED_VALUE"""),"MOBILECARE - APP TRINOMA")</f>
        <v>MOBILECARE - APP TRINOMA</v>
      </c>
      <c r="D3872" s="2" t="str">
        <f>IFERROR(__xludf.DUMMYFUNCTION("""COMPUTED_VALUE"""),"TA661-45263")</f>
        <v>TA661-45263</v>
      </c>
      <c r="E3872" s="2" t="str">
        <f>IFERROR(__xludf.DUMMYFUNCTION("""COMPUTED_VALUE"""),"256GB, Desert Titanium, ROW, iPhone 16 Pro Max, CI/AR")</f>
        <v>256GB, Desert Titanium, ROW, iPhone 16 Pro Max, CI/AR</v>
      </c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</row>
    <row r="3873">
      <c r="A3873" s="10" t="str">
        <f t="shared" si="1"/>
        <v>May</v>
      </c>
      <c r="B3873" s="11">
        <f>IFERROR(__xludf.DUMMYFUNCTION("""COMPUTED_VALUE"""),46167.0)</f>
        <v>46167</v>
      </c>
      <c r="C3873" s="2" t="str">
        <f>IFERROR(__xludf.DUMMYFUNCTION("""COMPUTED_VALUE"""),"MOBILECARE - APP TRINOMA")</f>
        <v>MOBILECARE - APP TRINOMA</v>
      </c>
      <c r="D3873" s="2" t="str">
        <f>IFERROR(__xludf.DUMMYFUNCTION("""COMPUTED_VALUE"""),"661-21991")</f>
        <v>661-21991</v>
      </c>
      <c r="E3873" s="2" t="str">
        <f>IFERROR(__xludf.DUMMYFUNCTION("""COMPUTED_VALUE"""),"Battery, iPhone 13")</f>
        <v>Battery, iPhone 13</v>
      </c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</row>
    <row r="3874">
      <c r="A3874" s="10" t="str">
        <f t="shared" si="1"/>
        <v>May</v>
      </c>
      <c r="B3874" s="11">
        <f>IFERROR(__xludf.DUMMYFUNCTION("""COMPUTED_VALUE"""),46164.0)</f>
        <v>46164</v>
      </c>
      <c r="C3874" s="2" t="str">
        <f>IFERROR(__xludf.DUMMYFUNCTION("""COMPUTED_VALUE"""),"MOBILECARE - APP TRINOMA")</f>
        <v>MOBILECARE - APP TRINOMA</v>
      </c>
      <c r="D3874" s="2" t="str">
        <f>IFERROR(__xludf.DUMMYFUNCTION("""COMPUTED_VALUE"""),"661-21991")</f>
        <v>661-21991</v>
      </c>
      <c r="E3874" s="2" t="str">
        <f>IFERROR(__xludf.DUMMYFUNCTION("""COMPUTED_VALUE"""),"Battery, iPhone 13")</f>
        <v>Battery, iPhone 13</v>
      </c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</row>
    <row r="3875">
      <c r="A3875" s="10" t="str">
        <f t="shared" si="1"/>
        <v>May</v>
      </c>
      <c r="B3875" s="11">
        <f>IFERROR(__xludf.DUMMYFUNCTION("""COMPUTED_VALUE"""),46147.0)</f>
        <v>46147</v>
      </c>
      <c r="C3875" s="2" t="str">
        <f>IFERROR(__xludf.DUMMYFUNCTION("""COMPUTED_VALUE"""),"MOBILECARE - APP TRINOMA")</f>
        <v>MOBILECARE - APP TRINOMA</v>
      </c>
      <c r="D3875" s="2" t="str">
        <f>IFERROR(__xludf.DUMMYFUNCTION("""COMPUTED_VALUE"""),"661-21991")</f>
        <v>661-21991</v>
      </c>
      <c r="E3875" s="2" t="str">
        <f>IFERROR(__xludf.DUMMYFUNCTION("""COMPUTED_VALUE"""),"Battery, iPhone 13")</f>
        <v>Battery, iPhone 13</v>
      </c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</row>
    <row r="3876">
      <c r="A3876" s="10" t="str">
        <f t="shared" si="1"/>
        <v>March</v>
      </c>
      <c r="B3876" s="11">
        <f>IFERROR(__xludf.DUMMYFUNCTION("""COMPUTED_VALUE"""),46111.0)</f>
        <v>46111</v>
      </c>
      <c r="C3876" s="2" t="str">
        <f>IFERROR(__xludf.DUMMYFUNCTION("""COMPUTED_VALUE"""),"MOBILECARE - APP TRINOMA")</f>
        <v>MOBILECARE - APP TRINOMA</v>
      </c>
      <c r="D3876" s="2" t="str">
        <f>IFERROR(__xludf.DUMMYFUNCTION("""COMPUTED_VALUE"""),"661-35885")</f>
        <v>661-35885</v>
      </c>
      <c r="E3876" s="2" t="str">
        <f>IFERROR(__xludf.DUMMYFUNCTION("""COMPUTED_VALUE"""),"Battery, iPhone 15")</f>
        <v>Battery, iPhone 15</v>
      </c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</row>
    <row r="3877">
      <c r="A3877" s="10" t="str">
        <f t="shared" si="1"/>
        <v>March</v>
      </c>
      <c r="B3877" s="11">
        <f>IFERROR(__xludf.DUMMYFUNCTION("""COMPUTED_VALUE"""),46112.0)</f>
        <v>46112</v>
      </c>
      <c r="C3877" s="2" t="str">
        <f>IFERROR(__xludf.DUMMYFUNCTION("""COMPUTED_VALUE"""),"MOBILECARE - APP TRINOMA")</f>
        <v>MOBILECARE - APP TRINOMA</v>
      </c>
      <c r="D3877" s="2" t="str">
        <f>IFERROR(__xludf.DUMMYFUNCTION("""COMPUTED_VALUE"""),"661-22294")</f>
        <v>661-22294</v>
      </c>
      <c r="E3877" s="2" t="str">
        <f>IFERROR(__xludf.DUMMYFUNCTION("""COMPUTED_VALUE"""),"Battery, iPhone 13 Pro Max")</f>
        <v>Battery, iPhone 13 Pro Max</v>
      </c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</row>
    <row r="3878">
      <c r="A3878" s="10" t="str">
        <f t="shared" si="1"/>
        <v>February</v>
      </c>
      <c r="B3878" s="11">
        <f>IFERROR(__xludf.DUMMYFUNCTION("""COMPUTED_VALUE"""),46059.0)</f>
        <v>46059</v>
      </c>
      <c r="C3878" s="2" t="str">
        <f>IFERROR(__xludf.DUMMYFUNCTION("""COMPUTED_VALUE"""),"MOBILECARE - APP TRINOMA")</f>
        <v>MOBILECARE - APP TRINOMA</v>
      </c>
      <c r="D3878" s="2" t="str">
        <f>IFERROR(__xludf.DUMMYFUNCTION("""COMPUTED_VALUE"""),"661-44956")</f>
        <v>661-44956</v>
      </c>
      <c r="E3878" s="2" t="str">
        <f>IFERROR(__xludf.DUMMYFUNCTION("""COMPUTED_VALUE"""),"TrueDepth Camera, iPhone 16 Pro Max")</f>
        <v>TrueDepth Camera, iPhone 16 Pro Max</v>
      </c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</row>
    <row r="3879">
      <c r="A3879" s="10" t="str">
        <f t="shared" si="1"/>
        <v>January</v>
      </c>
      <c r="B3879" s="11">
        <f>IFERROR(__xludf.DUMMYFUNCTION("""COMPUTED_VALUE"""),46047.0)</f>
        <v>46047</v>
      </c>
      <c r="C3879" s="2" t="str">
        <f>IFERROR(__xludf.DUMMYFUNCTION("""COMPUTED_VALUE"""),"MOBILECARE - APP TRINOMA")</f>
        <v>MOBILECARE - APP TRINOMA</v>
      </c>
      <c r="D3879" s="2" t="str">
        <f>IFERROR(__xludf.DUMMYFUNCTION("""COMPUTED_VALUE"""),"PP661-22986")</f>
        <v>PP661-22986</v>
      </c>
      <c r="E3879" s="2" t="str">
        <f>IFERROR(__xludf.DUMMYFUNCTION("""COMPUTED_VALUE"""),"Starlight, 256 GB, iPhone 13, ROW, CI/AR, Philippines")</f>
        <v>Starlight, 256 GB, iPhone 13, ROW, CI/AR, Philippines</v>
      </c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</row>
    <row r="3880">
      <c r="A3880" s="10" t="str">
        <f t="shared" si="1"/>
        <v>June</v>
      </c>
      <c r="B3880" s="11">
        <f>IFERROR(__xludf.DUMMYFUNCTION("""COMPUTED_VALUE"""),46189.0)</f>
        <v>46189</v>
      </c>
      <c r="C3880" s="2" t="str">
        <f>IFERROR(__xludf.DUMMYFUNCTION("""COMPUTED_VALUE"""),"MOBILECARE - APP TRINOMA")</f>
        <v>MOBILECARE - APP TRINOMA</v>
      </c>
      <c r="D3880" s="2" t="str">
        <f>IFERROR(__xludf.DUMMYFUNCTION("""COMPUTED_VALUE"""),"661-37207")</f>
        <v>661-37207</v>
      </c>
      <c r="E3880" s="2" t="str">
        <f>IFERROR(__xludf.DUMMYFUNCTION("""COMPUTED_VALUE"""),"Battery, iPhone 15 Plus")</f>
        <v>Battery, iPhone 15 Plus</v>
      </c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</row>
    <row r="3881">
      <c r="A3881" s="10" t="str">
        <f t="shared" si="1"/>
        <v>May</v>
      </c>
      <c r="B3881" s="11">
        <f>IFERROR(__xludf.DUMMYFUNCTION("""COMPUTED_VALUE"""),46163.0)</f>
        <v>46163</v>
      </c>
      <c r="C3881" s="2" t="str">
        <f>IFERROR(__xludf.DUMMYFUNCTION("""COMPUTED_VALUE"""),"MOBILECARE - APP TRINOMA")</f>
        <v>MOBILECARE - APP TRINOMA</v>
      </c>
      <c r="D3881" s="2" t="str">
        <f>IFERROR(__xludf.DUMMYFUNCTION("""COMPUTED_VALUE"""),"661-30397")</f>
        <v>661-30397</v>
      </c>
      <c r="E3881" s="2" t="str">
        <f>IFERROR(__xludf.DUMMYFUNCTION("""COMPUTED_VALUE"""),"Battery, iPhone 14 Pro Max")</f>
        <v>Battery, iPhone 14 Pro Max</v>
      </c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</row>
    <row r="3882">
      <c r="A3882" s="10" t="str">
        <f t="shared" si="1"/>
        <v>May</v>
      </c>
      <c r="B3882" s="11">
        <f>IFERROR(__xludf.DUMMYFUNCTION("""COMPUTED_VALUE"""),46156.0)</f>
        <v>46156</v>
      </c>
      <c r="C3882" s="2" t="str">
        <f>IFERROR(__xludf.DUMMYFUNCTION("""COMPUTED_VALUE"""),"MOBILECARE - APP TRINOMA")</f>
        <v>MOBILECARE - APP TRINOMA</v>
      </c>
      <c r="D3882" s="2" t="str">
        <f>IFERROR(__xludf.DUMMYFUNCTION("""COMPUTED_VALUE"""),"661-44955")</f>
        <v>661-44955</v>
      </c>
      <c r="E3882" s="2" t="str">
        <f>IFERROR(__xludf.DUMMYFUNCTION("""COMPUTED_VALUE"""),"Display, iPhone 16 Pro Max")</f>
        <v>Display, iPhone 16 Pro Max</v>
      </c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</row>
    <row r="3883">
      <c r="A3883" s="10" t="str">
        <f t="shared" si="1"/>
        <v>May</v>
      </c>
      <c r="B3883" s="11">
        <f>IFERROR(__xludf.DUMMYFUNCTION("""COMPUTED_VALUE"""),46156.0)</f>
        <v>46156</v>
      </c>
      <c r="C3883" s="2" t="str">
        <f>IFERROR(__xludf.DUMMYFUNCTION("""COMPUTED_VALUE"""),"MOBILECARE - APP TRINOMA")</f>
        <v>MOBILECARE - APP TRINOMA</v>
      </c>
      <c r="D3883" s="2" t="str">
        <f>IFERROR(__xludf.DUMMYFUNCTION("""COMPUTED_VALUE"""),"661-44957")</f>
        <v>661-44957</v>
      </c>
      <c r="E3883" s="2" t="str">
        <f>IFERROR(__xludf.DUMMYFUNCTION("""COMPUTED_VALUE"""),"Camera, iPhone 16 Pro Max")</f>
        <v>Camera, iPhone 16 Pro Max</v>
      </c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</row>
    <row r="3884">
      <c r="A3884" s="10" t="str">
        <f t="shared" si="1"/>
        <v>May</v>
      </c>
      <c r="B3884" s="11">
        <f>IFERROR(__xludf.DUMMYFUNCTION("""COMPUTED_VALUE"""),46156.0)</f>
        <v>46156</v>
      </c>
      <c r="C3884" s="2" t="str">
        <f>IFERROR(__xludf.DUMMYFUNCTION("""COMPUTED_VALUE"""),"MOBILECARE - APP TRINOMA")</f>
        <v>MOBILECARE - APP TRINOMA</v>
      </c>
      <c r="D3884" s="2" t="str">
        <f>IFERROR(__xludf.DUMMYFUNCTION("""COMPUTED_VALUE"""),"661-44957")</f>
        <v>661-44957</v>
      </c>
      <c r="E3884" s="2" t="str">
        <f>IFERROR(__xludf.DUMMYFUNCTION("""COMPUTED_VALUE"""),"Camera, iPhone 16 Pro Max")</f>
        <v>Camera, iPhone 16 Pro Max</v>
      </c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</row>
    <row r="3885">
      <c r="A3885" s="10" t="str">
        <f t="shared" si="1"/>
        <v>May</v>
      </c>
      <c r="B3885" s="11">
        <f>IFERROR(__xludf.DUMMYFUNCTION("""COMPUTED_VALUE"""),46161.0)</f>
        <v>46161</v>
      </c>
      <c r="C3885" s="2" t="str">
        <f>IFERROR(__xludf.DUMMYFUNCTION("""COMPUTED_VALUE"""),"MOBILECARE - APP TRINOMA")</f>
        <v>MOBILECARE - APP TRINOMA</v>
      </c>
      <c r="D3885" s="2" t="str">
        <f>IFERROR(__xludf.DUMMYFUNCTION("""COMPUTED_VALUE"""),"661-17920")</f>
        <v>661-17920</v>
      </c>
      <c r="E3885" s="2" t="str">
        <f>IFERROR(__xludf.DUMMYFUNCTION("""COMPUTED_VALUE"""),"Battery, iPhone 12 and 12 Pro")</f>
        <v>Battery, iPhone 12 and 12 Pro</v>
      </c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</row>
    <row r="3886">
      <c r="A3886" s="10" t="str">
        <f t="shared" si="1"/>
        <v>June</v>
      </c>
      <c r="B3886" s="11">
        <f>IFERROR(__xludf.DUMMYFUNCTION("""COMPUTED_VALUE"""),46181.0)</f>
        <v>46181</v>
      </c>
      <c r="C3886" s="2" t="str">
        <f>IFERROR(__xludf.DUMMYFUNCTION("""COMPUTED_VALUE"""),"MOBILECARE - APP TRINOMA")</f>
        <v>MOBILECARE - APP TRINOMA</v>
      </c>
      <c r="D3886" s="2" t="str">
        <f>IFERROR(__xludf.DUMMYFUNCTION("""COMPUTED_VALUE"""),"TA661-55206")</f>
        <v>TA661-55206</v>
      </c>
      <c r="E3886" s="2" t="str">
        <f>IFERROR(__xludf.DUMMYFUNCTION("""COMPUTED_VALUE"""),"Silver, 256GB, iPhone 17 Pro Max, ROW, CI/AR, Taiwan")</f>
        <v>Silver, 256GB, iPhone 17 Pro Max, ROW, CI/AR, Taiwan</v>
      </c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</row>
    <row r="3887">
      <c r="A3887" s="10" t="str">
        <f t="shared" si="1"/>
        <v>March</v>
      </c>
      <c r="B3887" s="11">
        <f>IFERROR(__xludf.DUMMYFUNCTION("""COMPUTED_VALUE"""),46104.0)</f>
        <v>46104</v>
      </c>
      <c r="C3887" s="2" t="str">
        <f>IFERROR(__xludf.DUMMYFUNCTION("""COMPUTED_VALUE"""),"MOBILECARE - APP TRINOMA")</f>
        <v>MOBILECARE - APP TRINOMA</v>
      </c>
      <c r="D3887" s="2" t="str">
        <f>IFERROR(__xludf.DUMMYFUNCTION("""COMPUTED_VALUE"""),"661-21993")</f>
        <v>661-21993</v>
      </c>
      <c r="E3887" s="2" t="str">
        <f>IFERROR(__xludf.DUMMYFUNCTION("""COMPUTED_VALUE"""),"Display, iPhone 13 Pro")</f>
        <v>Display, iPhone 13 Pro</v>
      </c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</row>
    <row r="3888">
      <c r="A3888" s="10" t="str">
        <f t="shared" si="1"/>
        <v>February</v>
      </c>
      <c r="B3888" s="11">
        <f>IFERROR(__xludf.DUMMYFUNCTION("""COMPUTED_VALUE"""),46078.0)</f>
        <v>46078</v>
      </c>
      <c r="C3888" s="2" t="str">
        <f>IFERROR(__xludf.DUMMYFUNCTION("""COMPUTED_VALUE"""),"MOBILECARE - APP TRINOMA")</f>
        <v>MOBILECARE - APP TRINOMA</v>
      </c>
      <c r="D3888" s="2" t="str">
        <f>IFERROR(__xludf.DUMMYFUNCTION("""COMPUTED_VALUE"""),"661-17920")</f>
        <v>661-17920</v>
      </c>
      <c r="E3888" s="2" t="str">
        <f>IFERROR(__xludf.DUMMYFUNCTION("""COMPUTED_VALUE"""),"Battery, iPhone 12 and 12 Pro")</f>
        <v>Battery, iPhone 12 and 12 Pro</v>
      </c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</row>
    <row r="3889">
      <c r="A3889" s="10" t="str">
        <f t="shared" si="1"/>
        <v>February</v>
      </c>
      <c r="B3889" s="11">
        <f>IFERROR(__xludf.DUMMYFUNCTION("""COMPUTED_VALUE"""),46078.0)</f>
        <v>46078</v>
      </c>
      <c r="C3889" s="2" t="str">
        <f>IFERROR(__xludf.DUMMYFUNCTION("""COMPUTED_VALUE"""),"MOBILECARE - APP TRINOMA")</f>
        <v>MOBILECARE - APP TRINOMA</v>
      </c>
      <c r="D3889" s="2" t="str">
        <f>IFERROR(__xludf.DUMMYFUNCTION("""COMPUTED_VALUE"""),"661-18504")</f>
        <v>661-18504</v>
      </c>
      <c r="E3889" s="2" t="str">
        <f>IFERROR(__xludf.DUMMYFUNCTION("""COMPUTED_VALUE"""),"Display, iPhone 12 Pro")</f>
        <v>Display, iPhone 12 Pro</v>
      </c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</row>
    <row r="3890">
      <c r="A3890" s="10" t="str">
        <f t="shared" si="1"/>
        <v>February</v>
      </c>
      <c r="B3890" s="11">
        <f>IFERROR(__xludf.DUMMYFUNCTION("""COMPUTED_VALUE"""),46064.0)</f>
        <v>46064</v>
      </c>
      <c r="C3890" s="2" t="str">
        <f>IFERROR(__xludf.DUMMYFUNCTION("""COMPUTED_VALUE"""),"MOBILECARE - APP TRINOMA")</f>
        <v>MOBILECARE - APP TRINOMA</v>
      </c>
      <c r="D3890" s="2" t="str">
        <f>IFERROR(__xludf.DUMMYFUNCTION("""COMPUTED_VALUE"""),"661-15741")</f>
        <v>661-15741</v>
      </c>
      <c r="E3890" s="2" t="str">
        <f>IFERROR(__xludf.DUMMYFUNCTION("""COMPUTED_VALUE"""),"Battery, iPhone SE 2nd gen")</f>
        <v>Battery, iPhone SE 2nd gen</v>
      </c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</row>
    <row r="3891">
      <c r="A3891" s="10" t="str">
        <f t="shared" si="1"/>
        <v>January</v>
      </c>
      <c r="B3891" s="11">
        <f>IFERROR(__xludf.DUMMYFUNCTION("""COMPUTED_VALUE"""),46039.0)</f>
        <v>46039</v>
      </c>
      <c r="C3891" s="2" t="str">
        <f>IFERROR(__xludf.DUMMYFUNCTION("""COMPUTED_VALUE"""),"MOBILECARE - APP TRINOMA")</f>
        <v>MOBILECARE - APP TRINOMA</v>
      </c>
      <c r="D3891" s="2" t="str">
        <f>IFERROR(__xludf.DUMMYFUNCTION("""COMPUTED_VALUE"""),"661-42845")</f>
        <v>661-42845</v>
      </c>
      <c r="E3891" s="2" t="str">
        <f>IFERROR(__xludf.DUMMYFUNCTION("""COMPUTED_VALUE"""),"Camera, iPhone 16 Plus")</f>
        <v>Camera, iPhone 16 Plus</v>
      </c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</row>
    <row r="3892">
      <c r="A3892" s="10" t="str">
        <f t="shared" si="1"/>
        <v>February</v>
      </c>
      <c r="B3892" s="11">
        <f>IFERROR(__xludf.DUMMYFUNCTION("""COMPUTED_VALUE"""),46054.0)</f>
        <v>46054</v>
      </c>
      <c r="C3892" s="2" t="str">
        <f>IFERROR(__xludf.DUMMYFUNCTION("""COMPUTED_VALUE"""),"MOBILECARE - APP TRINOMA")</f>
        <v>MOBILECARE - APP TRINOMA</v>
      </c>
      <c r="D3892" s="2" t="str">
        <f>IFERROR(__xludf.DUMMYFUNCTION("""COMPUTED_VALUE"""),"661-21991")</f>
        <v>661-21991</v>
      </c>
      <c r="E3892" s="2" t="str">
        <f>IFERROR(__xludf.DUMMYFUNCTION("""COMPUTED_VALUE"""),"Battery, iPhone 13")</f>
        <v>Battery, iPhone 13</v>
      </c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</row>
    <row r="3893">
      <c r="A3893" s="10" t="str">
        <f t="shared" si="1"/>
        <v>June</v>
      </c>
      <c r="B3893" s="11">
        <f>IFERROR(__xludf.DUMMYFUNCTION("""COMPUTED_VALUE"""),46182.0)</f>
        <v>46182</v>
      </c>
      <c r="C3893" s="2" t="str">
        <f>IFERROR(__xludf.DUMMYFUNCTION("""COMPUTED_VALUE"""),"MOBILECARE - APP TRINOMA")</f>
        <v>MOBILECARE - APP TRINOMA</v>
      </c>
      <c r="D3893" s="2" t="str">
        <f>IFERROR(__xludf.DUMMYFUNCTION("""COMPUTED_VALUE"""),"661-56122")</f>
        <v>661-56122</v>
      </c>
      <c r="E3893" s="2" t="str">
        <f>IFERROR(__xludf.DUMMYFUNCTION("""COMPUTED_VALUE"""),"Silver, Back Glass, iPhone 17 Pro")</f>
        <v>Silver, Back Glass, iPhone 17 Pro</v>
      </c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</row>
    <row r="3894">
      <c r="A3894" s="10" t="str">
        <f t="shared" si="1"/>
        <v>June</v>
      </c>
      <c r="B3894" s="11">
        <f>IFERROR(__xludf.DUMMYFUNCTION("""COMPUTED_VALUE"""),46177.0)</f>
        <v>46177</v>
      </c>
      <c r="C3894" s="2" t="str">
        <f>IFERROR(__xludf.DUMMYFUNCTION("""COMPUTED_VALUE"""),"MOBILECARE - APP TRINOMA")</f>
        <v>MOBILECARE - APP TRINOMA</v>
      </c>
      <c r="D3894" s="2" t="str">
        <f>IFERROR(__xludf.DUMMYFUNCTION("""COMPUTED_VALUE"""),"661-30373")</f>
        <v>661-30373</v>
      </c>
      <c r="E3894" s="2" t="str">
        <f>IFERROR(__xludf.DUMMYFUNCTION("""COMPUTED_VALUE"""),"Battery, iPhone 14")</f>
        <v>Battery, iPhone 14</v>
      </c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</row>
    <row r="3895">
      <c r="A3895" s="10" t="str">
        <f t="shared" si="1"/>
        <v>May</v>
      </c>
      <c r="B3895" s="11">
        <f>IFERROR(__xludf.DUMMYFUNCTION("""COMPUTED_VALUE"""),46169.0)</f>
        <v>46169</v>
      </c>
      <c r="C3895" s="2" t="str">
        <f>IFERROR(__xludf.DUMMYFUNCTION("""COMPUTED_VALUE"""),"MOBILECARE - APP TRINOMA")</f>
        <v>MOBILECARE - APP TRINOMA</v>
      </c>
      <c r="D3895" s="2" t="str">
        <f>IFERROR(__xludf.DUMMYFUNCTION("""COMPUTED_VALUE"""),"661-35694")</f>
        <v>661-35694</v>
      </c>
      <c r="E3895" s="2" t="str">
        <f>IFERROR(__xludf.DUMMYFUNCTION("""COMPUTED_VALUE"""),"Battery, iPhone 15 Pro")</f>
        <v>Battery, iPhone 15 Pro</v>
      </c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</row>
    <row r="3896">
      <c r="A3896" s="10" t="str">
        <f t="shared" si="1"/>
        <v>April</v>
      </c>
      <c r="B3896" s="11">
        <f>IFERROR(__xludf.DUMMYFUNCTION("""COMPUTED_VALUE"""),46139.0)</f>
        <v>46139</v>
      </c>
      <c r="C3896" s="2" t="str">
        <f>IFERROR(__xludf.DUMMYFUNCTION("""COMPUTED_VALUE"""),"MOBILECARE - APP TRINOMA")</f>
        <v>MOBILECARE - APP TRINOMA</v>
      </c>
      <c r="D3896" s="2" t="str">
        <f>IFERROR(__xludf.DUMMYFUNCTION("""COMPUTED_VALUE"""),"661-21996")</f>
        <v>661-21996</v>
      </c>
      <c r="E3896" s="2" t="str">
        <f>IFERROR(__xludf.DUMMYFUNCTION("""COMPUTED_VALUE"""),"Battery, iPhone 13 Pro")</f>
        <v>Battery, iPhone 13 Pro</v>
      </c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</row>
    <row r="3897">
      <c r="A3897" s="10" t="str">
        <f t="shared" si="1"/>
        <v>March</v>
      </c>
      <c r="B3897" s="11">
        <f>IFERROR(__xludf.DUMMYFUNCTION("""COMPUTED_VALUE"""),46091.0)</f>
        <v>46091</v>
      </c>
      <c r="C3897" s="2" t="str">
        <f>IFERROR(__xludf.DUMMYFUNCTION("""COMPUTED_VALUE"""),"MOBILECARE - APP TRINOMA")</f>
        <v>MOBILECARE - APP TRINOMA</v>
      </c>
      <c r="D3897" s="2" t="str">
        <f>IFERROR(__xludf.DUMMYFUNCTION("""COMPUTED_VALUE"""),"661-22294")</f>
        <v>661-22294</v>
      </c>
      <c r="E3897" s="2" t="str">
        <f>IFERROR(__xludf.DUMMYFUNCTION("""COMPUTED_VALUE"""),"Battery, iPhone 13 Pro Max")</f>
        <v>Battery, iPhone 13 Pro Max</v>
      </c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</row>
    <row r="3898">
      <c r="A3898" s="10" t="str">
        <f t="shared" si="1"/>
        <v>June</v>
      </c>
      <c r="B3898" s="11">
        <f>IFERROR(__xludf.DUMMYFUNCTION("""COMPUTED_VALUE"""),46183.0)</f>
        <v>46183</v>
      </c>
      <c r="C3898" s="2" t="str">
        <f>IFERROR(__xludf.DUMMYFUNCTION("""COMPUTED_VALUE"""),"MOBILECARE - APP TRINOMA")</f>
        <v>MOBILECARE - APP TRINOMA</v>
      </c>
      <c r="D3898" s="2" t="str">
        <f>IFERROR(__xludf.DUMMYFUNCTION("""COMPUTED_VALUE"""),"661-30382")</f>
        <v>661-30382</v>
      </c>
      <c r="E3898" s="2" t="str">
        <f>IFERROR(__xludf.DUMMYFUNCTION("""COMPUTED_VALUE"""),"Battery, iPhone 14 Pro")</f>
        <v>Battery, iPhone 14 Pro</v>
      </c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</row>
    <row r="3899">
      <c r="A3899" s="10" t="str">
        <f t="shared" si="1"/>
        <v>March</v>
      </c>
      <c r="B3899" s="11">
        <f>IFERROR(__xludf.DUMMYFUNCTION("""COMPUTED_VALUE"""),46092.0)</f>
        <v>46092</v>
      </c>
      <c r="C3899" s="2" t="str">
        <f>IFERROR(__xludf.DUMMYFUNCTION("""COMPUTED_VALUE"""),"MOBILECARE - APP TRINOMA")</f>
        <v>MOBILECARE - APP TRINOMA</v>
      </c>
      <c r="D3899" s="2" t="str">
        <f>IFERROR(__xludf.DUMMYFUNCTION("""COMPUTED_VALUE"""),"661-56050")</f>
        <v>661-56050</v>
      </c>
      <c r="E3899" s="2" t="str">
        <f>IFERROR(__xludf.DUMMYFUNCTION("""COMPUTED_VALUE"""),"Display, iPhone 17 Pro Max")</f>
        <v>Display, iPhone 17 Pro Max</v>
      </c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</row>
    <row r="3900">
      <c r="A3900" s="10" t="str">
        <f t="shared" si="1"/>
        <v>January</v>
      </c>
      <c r="B3900" s="11">
        <f>IFERROR(__xludf.DUMMYFUNCTION("""COMPUTED_VALUE"""),46045.0)</f>
        <v>46045</v>
      </c>
      <c r="C3900" s="2" t="str">
        <f>IFERROR(__xludf.DUMMYFUNCTION("""COMPUTED_VALUE"""),"MOBILECARE - APP TRINOMA")</f>
        <v>MOBILECARE - APP TRINOMA</v>
      </c>
      <c r="D3900" s="2" t="str">
        <f>IFERROR(__xludf.DUMMYFUNCTION("""COMPUTED_VALUE"""),"661-22294")</f>
        <v>661-22294</v>
      </c>
      <c r="E3900" s="2" t="str">
        <f>IFERROR(__xludf.DUMMYFUNCTION("""COMPUTED_VALUE"""),"Battery, iPhone 13 Pro Max")</f>
        <v>Battery, iPhone 13 Pro Max</v>
      </c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</row>
    <row r="3901">
      <c r="A3901" s="10" t="str">
        <f t="shared" si="1"/>
        <v>January</v>
      </c>
      <c r="B3901" s="11">
        <f>IFERROR(__xludf.DUMMYFUNCTION("""COMPUTED_VALUE"""),46045.0)</f>
        <v>46045</v>
      </c>
      <c r="C3901" s="2" t="str">
        <f>IFERROR(__xludf.DUMMYFUNCTION("""COMPUTED_VALUE"""),"MOBILECARE - APP TRINOMA")</f>
        <v>MOBILECARE - APP TRINOMA</v>
      </c>
      <c r="D3901" s="2" t="str">
        <f>IFERROR(__xludf.DUMMYFUNCTION("""COMPUTED_VALUE"""),"661-22309")</f>
        <v>661-22309</v>
      </c>
      <c r="E3901" s="2" t="str">
        <f>IFERROR(__xludf.DUMMYFUNCTION("""COMPUTED_VALUE"""),"Display, iPhone 13 Pro Max")</f>
        <v>Display, iPhone 13 Pro Max</v>
      </c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</row>
    <row r="3902">
      <c r="A3902" s="10" t="str">
        <f t="shared" si="1"/>
        <v>January</v>
      </c>
      <c r="B3902" s="11">
        <f>IFERROR(__xludf.DUMMYFUNCTION("""COMPUTED_VALUE"""),46038.0)</f>
        <v>46038</v>
      </c>
      <c r="C3902" s="2" t="str">
        <f>IFERROR(__xludf.DUMMYFUNCTION("""COMPUTED_VALUE"""),"MOBILECARE - APP TRINOMA")</f>
        <v>MOBILECARE - APP TRINOMA</v>
      </c>
      <c r="D3902" s="2" t="str">
        <f>IFERROR(__xludf.DUMMYFUNCTION("""COMPUTED_VALUE"""),"661-35828")</f>
        <v>661-35828</v>
      </c>
      <c r="E3902" s="2" t="str">
        <f>IFERROR(__xludf.DUMMYFUNCTION("""COMPUTED_VALUE"""),"Camera, iPhone 15")</f>
        <v>Camera, iPhone 15</v>
      </c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</row>
    <row r="3903">
      <c r="A3903" s="10" t="str">
        <f t="shared" si="1"/>
        <v>June</v>
      </c>
      <c r="B3903" s="11">
        <f>IFERROR(__xludf.DUMMYFUNCTION("""COMPUTED_VALUE"""),46193.0)</f>
        <v>46193</v>
      </c>
      <c r="C3903" s="2" t="str">
        <f>IFERROR(__xludf.DUMMYFUNCTION("""COMPUTED_VALUE"""),"MOBILECARE - APP TRINOMA")</f>
        <v>MOBILECARE - APP TRINOMA</v>
      </c>
      <c r="D3903" s="2" t="str">
        <f>IFERROR(__xludf.DUMMYFUNCTION("""COMPUTED_VALUE"""),"661-21991")</f>
        <v>661-21991</v>
      </c>
      <c r="E3903" s="2" t="str">
        <f>IFERROR(__xludf.DUMMYFUNCTION("""COMPUTED_VALUE"""),"Battery, iPhone 13")</f>
        <v>Battery, iPhone 13</v>
      </c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</row>
    <row r="3904">
      <c r="A3904" s="10" t="str">
        <f t="shared" si="1"/>
        <v>April</v>
      </c>
      <c r="B3904" s="11">
        <f>IFERROR(__xludf.DUMMYFUNCTION("""COMPUTED_VALUE"""),46128.0)</f>
        <v>46128</v>
      </c>
      <c r="C3904" s="2" t="str">
        <f>IFERROR(__xludf.DUMMYFUNCTION("""COMPUTED_VALUE"""),"MOBILECARE - APP TRINOMA")</f>
        <v>MOBILECARE - APP TRINOMA</v>
      </c>
      <c r="D3904" s="2" t="str">
        <f>IFERROR(__xludf.DUMMYFUNCTION("""COMPUTED_VALUE"""),"661-56050")</f>
        <v>661-56050</v>
      </c>
      <c r="E3904" s="2" t="str">
        <f>IFERROR(__xludf.DUMMYFUNCTION("""COMPUTED_VALUE"""),"Display, iPhone 17 Pro Max")</f>
        <v>Display, iPhone 17 Pro Max</v>
      </c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</row>
    <row r="3905">
      <c r="A3905" s="10" t="str">
        <f t="shared" si="1"/>
        <v>May</v>
      </c>
      <c r="B3905" s="11">
        <f>IFERROR(__xludf.DUMMYFUNCTION("""COMPUTED_VALUE"""),46145.0)</f>
        <v>46145</v>
      </c>
      <c r="C3905" s="2" t="str">
        <f>IFERROR(__xludf.DUMMYFUNCTION("""COMPUTED_VALUE"""),"MOBILECARE - APP TRINOMA")</f>
        <v>MOBILECARE - APP TRINOMA</v>
      </c>
      <c r="D3905" s="2" t="str">
        <f>IFERROR(__xludf.DUMMYFUNCTION("""COMPUTED_VALUE"""),"661-42726")</f>
        <v>661-42726</v>
      </c>
      <c r="E3905" s="2" t="str">
        <f>IFERROR(__xludf.DUMMYFUNCTION("""COMPUTED_VALUE"""),"Display, iPhone 16 Pro")</f>
        <v>Display, iPhone 16 Pro</v>
      </c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</row>
    <row r="3906">
      <c r="A3906" s="10" t="str">
        <f t="shared" si="1"/>
        <v>May</v>
      </c>
      <c r="B3906" s="11">
        <f>IFERROR(__xludf.DUMMYFUNCTION("""COMPUTED_VALUE"""),46148.0)</f>
        <v>46148</v>
      </c>
      <c r="C3906" s="2" t="str">
        <f>IFERROR(__xludf.DUMMYFUNCTION("""COMPUTED_VALUE"""),"MOBILECARE - APP TRINOMA")</f>
        <v>MOBILECARE - APP TRINOMA</v>
      </c>
      <c r="D3906" s="2" t="str">
        <f>IFERROR(__xludf.DUMMYFUNCTION("""COMPUTED_VALUE"""),"661-36829")</f>
        <v>661-36829</v>
      </c>
      <c r="E3906" s="2" t="str">
        <f>IFERROR(__xludf.DUMMYFUNCTION("""COMPUTED_VALUE"""),"TrueDepth Camera, iPhone 15")</f>
        <v>TrueDepth Camera, iPhone 15</v>
      </c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</row>
    <row r="3907">
      <c r="A3907" s="10" t="str">
        <f t="shared" si="1"/>
        <v>March</v>
      </c>
      <c r="B3907" s="11">
        <f>IFERROR(__xludf.DUMMYFUNCTION("""COMPUTED_VALUE"""),46098.0)</f>
        <v>46098</v>
      </c>
      <c r="C3907" s="2" t="str">
        <f>IFERROR(__xludf.DUMMYFUNCTION("""COMPUTED_VALUE"""),"MOBILECARE - APP TRINOMA")</f>
        <v>MOBILECARE - APP TRINOMA</v>
      </c>
      <c r="D3907" s="2" t="str">
        <f>IFERROR(__xludf.DUMMYFUNCTION("""COMPUTED_VALUE"""),"661-21991")</f>
        <v>661-21991</v>
      </c>
      <c r="E3907" s="2" t="str">
        <f>IFERROR(__xludf.DUMMYFUNCTION("""COMPUTED_VALUE"""),"Battery, iPhone 13")</f>
        <v>Battery, iPhone 13</v>
      </c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</row>
    <row r="3908">
      <c r="A3908" s="10" t="str">
        <f t="shared" si="1"/>
        <v>March</v>
      </c>
      <c r="B3908" s="11">
        <f>IFERROR(__xludf.DUMMYFUNCTION("""COMPUTED_VALUE"""),46109.0)</f>
        <v>46109</v>
      </c>
      <c r="C3908" s="2" t="str">
        <f>IFERROR(__xludf.DUMMYFUNCTION("""COMPUTED_VALUE"""),"MOBILECARE - APP TRINOMA")</f>
        <v>MOBILECARE - APP TRINOMA</v>
      </c>
      <c r="D3908" s="2" t="str">
        <f>IFERROR(__xludf.DUMMYFUNCTION("""COMPUTED_VALUE"""),"Z661-56015")</f>
        <v>Z661-56015</v>
      </c>
      <c r="E3908" s="2" t="str">
        <f>IFERROR(__xludf.DUMMYFUNCTION("""COMPUTED_VALUE"""),"Logic Board, 256GB, iPhone 17, ROW")</f>
        <v>Logic Board, 256GB, iPhone 17, ROW</v>
      </c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</row>
    <row r="3909">
      <c r="A3909" s="10" t="str">
        <f t="shared" si="1"/>
        <v>March</v>
      </c>
      <c r="B3909" s="11">
        <f>IFERROR(__xludf.DUMMYFUNCTION("""COMPUTED_VALUE"""),46085.0)</f>
        <v>46085</v>
      </c>
      <c r="C3909" s="2" t="str">
        <f>IFERROR(__xludf.DUMMYFUNCTION("""COMPUTED_VALUE"""),"MOBILECARE - APP TRINOMA")</f>
        <v>MOBILECARE - APP TRINOMA</v>
      </c>
      <c r="D3909" s="2" t="str">
        <f>IFERROR(__xludf.DUMMYFUNCTION("""COMPUTED_VALUE"""),"661-44955")</f>
        <v>661-44955</v>
      </c>
      <c r="E3909" s="2" t="str">
        <f>IFERROR(__xludf.DUMMYFUNCTION("""COMPUTED_VALUE"""),"Display, iPhone 16 Pro Max")</f>
        <v>Display, iPhone 16 Pro Max</v>
      </c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</row>
    <row r="3910">
      <c r="A3910" s="10" t="str">
        <f t="shared" si="1"/>
        <v>January</v>
      </c>
      <c r="B3910" s="11">
        <f>IFERROR(__xludf.DUMMYFUNCTION("""COMPUTED_VALUE"""),46048.0)</f>
        <v>46048</v>
      </c>
      <c r="C3910" s="2" t="str">
        <f>IFERROR(__xludf.DUMMYFUNCTION("""COMPUTED_VALUE"""),"MOBILECARE - APP TRINOMA")</f>
        <v>MOBILECARE - APP TRINOMA</v>
      </c>
      <c r="D3910" s="2" t="str">
        <f>IFERROR(__xludf.DUMMYFUNCTION("""COMPUTED_VALUE"""),"661-18428")</f>
        <v>661-18428</v>
      </c>
      <c r="E3910" s="2" t="str">
        <f>IFERROR(__xludf.DUMMYFUNCTION("""COMPUTED_VALUE"""),"Battery, iPhone 12 Pro Max")</f>
        <v>Battery, iPhone 12 Pro Max</v>
      </c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</row>
    <row r="3911">
      <c r="A3911" s="10" t="str">
        <f t="shared" si="1"/>
        <v>June</v>
      </c>
      <c r="B3911" s="11">
        <f>IFERROR(__xludf.DUMMYFUNCTION("""COMPUTED_VALUE"""),46179.0)</f>
        <v>46179</v>
      </c>
      <c r="C3911" s="2" t="str">
        <f>IFERROR(__xludf.DUMMYFUNCTION("""COMPUTED_VALUE"""),"MOBILECARE - APP TRINOMA")</f>
        <v>MOBILECARE - APP TRINOMA</v>
      </c>
      <c r="D3911" s="2" t="str">
        <f>IFERROR(__xludf.DUMMYFUNCTION("""COMPUTED_VALUE"""),"661-21991")</f>
        <v>661-21991</v>
      </c>
      <c r="E3911" s="2" t="str">
        <f>IFERROR(__xludf.DUMMYFUNCTION("""COMPUTED_VALUE"""),"Battery, iPhone 13")</f>
        <v>Battery, iPhone 13</v>
      </c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</row>
    <row r="3912">
      <c r="A3912" s="10" t="str">
        <f t="shared" si="1"/>
        <v>May</v>
      </c>
      <c r="B3912" s="11">
        <f>IFERROR(__xludf.DUMMYFUNCTION("""COMPUTED_VALUE"""),46147.0)</f>
        <v>46147</v>
      </c>
      <c r="C3912" s="2" t="str">
        <f>IFERROR(__xludf.DUMMYFUNCTION("""COMPUTED_VALUE"""),"MOBILECARE - APP TRINOMA")</f>
        <v>MOBILECARE - APP TRINOMA</v>
      </c>
      <c r="D3912" s="2" t="str">
        <f>IFERROR(__xludf.DUMMYFUNCTION("""COMPUTED_VALUE"""),"661-56050")</f>
        <v>661-56050</v>
      </c>
      <c r="E3912" s="2" t="str">
        <f>IFERROR(__xludf.DUMMYFUNCTION("""COMPUTED_VALUE"""),"Display, iPhone 17 Pro Max")</f>
        <v>Display, iPhone 17 Pro Max</v>
      </c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</row>
    <row r="3913">
      <c r="A3913" s="10" t="str">
        <f t="shared" si="1"/>
        <v>April</v>
      </c>
      <c r="B3913" s="11">
        <f>IFERROR(__xludf.DUMMYFUNCTION("""COMPUTED_VALUE"""),46137.0)</f>
        <v>46137</v>
      </c>
      <c r="C3913" s="2" t="str">
        <f>IFERROR(__xludf.DUMMYFUNCTION("""COMPUTED_VALUE"""),"MOBILECARE - APP TRINOMA")</f>
        <v>MOBILECARE - APP TRINOMA</v>
      </c>
      <c r="D3913" s="2" t="str">
        <f>IFERROR(__xludf.DUMMYFUNCTION("""COMPUTED_VALUE"""),"661-18428")</f>
        <v>661-18428</v>
      </c>
      <c r="E3913" s="2" t="str">
        <f>IFERROR(__xludf.DUMMYFUNCTION("""COMPUTED_VALUE"""),"Battery, iPhone 12 Pro Max")</f>
        <v>Battery, iPhone 12 Pro Max</v>
      </c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</row>
    <row r="3914">
      <c r="A3914" s="10" t="str">
        <f t="shared" si="1"/>
        <v>March</v>
      </c>
      <c r="B3914" s="11">
        <f>IFERROR(__xludf.DUMMYFUNCTION("""COMPUTED_VALUE"""),46110.0)</f>
        <v>46110</v>
      </c>
      <c r="C3914" s="2" t="str">
        <f>IFERROR(__xludf.DUMMYFUNCTION("""COMPUTED_VALUE"""),"MOBILECARE - APP TRINOMA")</f>
        <v>MOBILECARE - APP TRINOMA</v>
      </c>
      <c r="D3914" s="2" t="str">
        <f>IFERROR(__xludf.DUMMYFUNCTION("""COMPUTED_VALUE"""),"ZP923-13773")</f>
        <v>ZP923-13773</v>
      </c>
      <c r="E3914" s="2" t="str">
        <f>IFERROR(__xludf.DUMMYFUNCTION("""COMPUTED_VALUE"""),"Mist Blue, Enclosure, iPhone 17, ROW")</f>
        <v>Mist Blue, Enclosure, iPhone 17, ROW</v>
      </c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</row>
    <row r="3915">
      <c r="A3915" s="10" t="str">
        <f t="shared" si="1"/>
        <v>March</v>
      </c>
      <c r="B3915" s="11">
        <f>IFERROR(__xludf.DUMMYFUNCTION("""COMPUTED_VALUE"""),46110.0)</f>
        <v>46110</v>
      </c>
      <c r="C3915" s="2" t="str">
        <f>IFERROR(__xludf.DUMMYFUNCTION("""COMPUTED_VALUE"""),"MOBILECARE - APP TRINOMA")</f>
        <v>MOBILECARE - APP TRINOMA</v>
      </c>
      <c r="D3915" s="2" t="str">
        <f>IFERROR(__xludf.DUMMYFUNCTION("""COMPUTED_VALUE"""),"661-56064")</f>
        <v>661-56064</v>
      </c>
      <c r="E3915" s="2" t="str">
        <f>IFERROR(__xludf.DUMMYFUNCTION("""COMPUTED_VALUE"""),"Battery, iPhone 17")</f>
        <v>Battery, iPhone 17</v>
      </c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</row>
    <row r="3916">
      <c r="A3916" s="10" t="str">
        <f t="shared" si="1"/>
        <v>February</v>
      </c>
      <c r="B3916" s="11">
        <f>IFERROR(__xludf.DUMMYFUNCTION("""COMPUTED_VALUE"""),46077.0)</f>
        <v>46077</v>
      </c>
      <c r="C3916" s="2" t="str">
        <f>IFERROR(__xludf.DUMMYFUNCTION("""COMPUTED_VALUE"""),"MOBILECARE - APP TRINOMA")</f>
        <v>MOBILECARE - APP TRINOMA</v>
      </c>
      <c r="D3916" s="2" t="str">
        <f>IFERROR(__xludf.DUMMYFUNCTION("""COMPUTED_VALUE"""),"661-21991")</f>
        <v>661-21991</v>
      </c>
      <c r="E3916" s="2" t="str">
        <f>IFERROR(__xludf.DUMMYFUNCTION("""COMPUTED_VALUE"""),"Battery, iPhone 13")</f>
        <v>Battery, iPhone 13</v>
      </c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</row>
    <row r="3917">
      <c r="A3917" s="10" t="str">
        <f t="shared" si="1"/>
        <v>January</v>
      </c>
      <c r="B3917" s="11">
        <f>IFERROR(__xludf.DUMMYFUNCTION("""COMPUTED_VALUE"""),46053.0)</f>
        <v>46053</v>
      </c>
      <c r="C3917" s="2" t="str">
        <f>IFERROR(__xludf.DUMMYFUNCTION("""COMPUTED_VALUE"""),"MOBILECARE - APP TRINOMA")</f>
        <v>MOBILECARE - APP TRINOMA</v>
      </c>
      <c r="D3917" s="2" t="str">
        <f>IFERROR(__xludf.DUMMYFUNCTION("""COMPUTED_VALUE"""),"661-35828")</f>
        <v>661-35828</v>
      </c>
      <c r="E3917" s="2" t="str">
        <f>IFERROR(__xludf.DUMMYFUNCTION("""COMPUTED_VALUE"""),"Camera, iPhone 15")</f>
        <v>Camera, iPhone 15</v>
      </c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</row>
    <row r="3918">
      <c r="A3918" s="10" t="str">
        <f t="shared" si="1"/>
        <v>January</v>
      </c>
      <c r="B3918" s="11">
        <f>IFERROR(__xludf.DUMMYFUNCTION("""COMPUTED_VALUE"""),46048.0)</f>
        <v>46048</v>
      </c>
      <c r="C3918" s="2" t="str">
        <f>IFERROR(__xludf.DUMMYFUNCTION("""COMPUTED_VALUE"""),"MOBILECARE - APP TRINOMA")</f>
        <v>MOBILECARE - APP TRINOMA</v>
      </c>
      <c r="D3918" s="2" t="str">
        <f>IFERROR(__xludf.DUMMYFUNCTION("""COMPUTED_VALUE"""),"661-21991")</f>
        <v>661-21991</v>
      </c>
      <c r="E3918" s="2" t="str">
        <f>IFERROR(__xludf.DUMMYFUNCTION("""COMPUTED_VALUE"""),"Battery, iPhone 13")</f>
        <v>Battery, iPhone 13</v>
      </c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</row>
    <row r="3919">
      <c r="A3919" s="10" t="str">
        <f t="shared" si="1"/>
        <v>April</v>
      </c>
      <c r="B3919" s="11">
        <f>IFERROR(__xludf.DUMMYFUNCTION("""COMPUTED_VALUE"""),46124.0)</f>
        <v>46124</v>
      </c>
      <c r="C3919" s="2" t="str">
        <f>IFERROR(__xludf.DUMMYFUNCTION("""COMPUTED_VALUE"""),"MOBILECARE - APP TRINOMA")</f>
        <v>MOBILECARE - APP TRINOMA</v>
      </c>
      <c r="D3919" s="2" t="str">
        <f>IFERROR(__xludf.DUMMYFUNCTION("""COMPUTED_VALUE"""),"661-35885")</f>
        <v>661-35885</v>
      </c>
      <c r="E3919" s="2" t="str">
        <f>IFERROR(__xludf.DUMMYFUNCTION("""COMPUTED_VALUE"""),"Battery, iPhone 15")</f>
        <v>Battery, iPhone 15</v>
      </c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</row>
    <row r="3920">
      <c r="A3920" s="10" t="str">
        <f t="shared" si="1"/>
        <v>March</v>
      </c>
      <c r="B3920" s="11">
        <f>IFERROR(__xludf.DUMMYFUNCTION("""COMPUTED_VALUE"""),46105.0)</f>
        <v>46105</v>
      </c>
      <c r="C3920" s="2" t="str">
        <f>IFERROR(__xludf.DUMMYFUNCTION("""COMPUTED_VALUE"""),"MOBILECARE - APP TRINOMA")</f>
        <v>MOBILECARE - APP TRINOMA</v>
      </c>
      <c r="D3920" s="2" t="str">
        <f>IFERROR(__xludf.DUMMYFUNCTION("""COMPUTED_VALUE"""),"661-44799")</f>
        <v>661-44799</v>
      </c>
      <c r="E3920" s="2" t="str">
        <f>IFERROR(__xludf.DUMMYFUNCTION("""COMPUTED_VALUE"""),"Camera, iPhone 16")</f>
        <v>Camera, iPhone 16</v>
      </c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</row>
    <row r="3921">
      <c r="A3921" s="10" t="str">
        <f t="shared" si="1"/>
        <v>March</v>
      </c>
      <c r="B3921" s="11">
        <f>IFERROR(__xludf.DUMMYFUNCTION("""COMPUTED_VALUE"""),46105.0)</f>
        <v>46105</v>
      </c>
      <c r="C3921" s="2" t="str">
        <f>IFERROR(__xludf.DUMMYFUNCTION("""COMPUTED_VALUE"""),"MOBILECARE - APP TRINOMA")</f>
        <v>MOBILECARE - APP TRINOMA</v>
      </c>
      <c r="D3921" s="2" t="str">
        <f>IFERROR(__xludf.DUMMYFUNCTION("""COMPUTED_VALUE"""),"661-56066")</f>
        <v>661-56066</v>
      </c>
      <c r="E3921" s="2" t="str">
        <f>IFERROR(__xludf.DUMMYFUNCTION("""COMPUTED_VALUE"""),"Front Camera, iPhone 17")</f>
        <v>Front Camera, iPhone 17</v>
      </c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</row>
    <row r="3922">
      <c r="A3922" s="10" t="str">
        <f t="shared" si="1"/>
        <v>April</v>
      </c>
      <c r="B3922" s="11">
        <f>IFERROR(__xludf.DUMMYFUNCTION("""COMPUTED_VALUE"""),46131.0)</f>
        <v>46131</v>
      </c>
      <c r="C3922" s="2" t="str">
        <f>IFERROR(__xludf.DUMMYFUNCTION("""COMPUTED_VALUE"""),"MOBILECARE - APP TRINOMA")</f>
        <v>MOBILECARE - APP TRINOMA</v>
      </c>
      <c r="D3922" s="2" t="str">
        <f>IFERROR(__xludf.DUMMYFUNCTION("""COMPUTED_VALUE"""),"661-44957")</f>
        <v>661-44957</v>
      </c>
      <c r="E3922" s="2" t="str">
        <f>IFERROR(__xludf.DUMMYFUNCTION("""COMPUTED_VALUE"""),"Camera, iPhone 16 Pro Max")</f>
        <v>Camera, iPhone 16 Pro Max</v>
      </c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</row>
    <row r="3923">
      <c r="A3923" s="10" t="str">
        <f t="shared" si="1"/>
        <v>April</v>
      </c>
      <c r="B3923" s="11">
        <f>IFERROR(__xludf.DUMMYFUNCTION("""COMPUTED_VALUE"""),46131.0)</f>
        <v>46131</v>
      </c>
      <c r="C3923" s="2" t="str">
        <f>IFERROR(__xludf.DUMMYFUNCTION("""COMPUTED_VALUE"""),"MOBILECARE - APP TRINOMA")</f>
        <v>MOBILECARE - APP TRINOMA</v>
      </c>
      <c r="D3923" s="2" t="str">
        <f>IFERROR(__xludf.DUMMYFUNCTION("""COMPUTED_VALUE"""),"661-44957")</f>
        <v>661-44957</v>
      </c>
      <c r="E3923" s="2" t="str">
        <f>IFERROR(__xludf.DUMMYFUNCTION("""COMPUTED_VALUE"""),"Camera, iPhone 16 Pro Max")</f>
        <v>Camera, iPhone 16 Pro Max</v>
      </c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</row>
    <row r="3924">
      <c r="A3924" s="10" t="str">
        <f t="shared" si="1"/>
        <v>February</v>
      </c>
      <c r="B3924" s="11">
        <f>IFERROR(__xludf.DUMMYFUNCTION("""COMPUTED_VALUE"""),46064.0)</f>
        <v>46064</v>
      </c>
      <c r="C3924" s="2" t="str">
        <f>IFERROR(__xludf.DUMMYFUNCTION("""COMPUTED_VALUE"""),"MOBILECARE - APP TRINOMA")</f>
        <v>MOBILECARE - APP TRINOMA</v>
      </c>
      <c r="D3924" s="2" t="str">
        <f>IFERROR(__xludf.DUMMYFUNCTION("""COMPUTED_VALUE"""),"661-44956")</f>
        <v>661-44956</v>
      </c>
      <c r="E3924" s="2" t="str">
        <f>IFERROR(__xludf.DUMMYFUNCTION("""COMPUTED_VALUE"""),"TrueDepth Camera, iPhone 16 Pro Max")</f>
        <v>TrueDepth Camera, iPhone 16 Pro Max</v>
      </c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</row>
    <row r="3925">
      <c r="A3925" s="10" t="str">
        <f t="shared" si="1"/>
        <v>February</v>
      </c>
      <c r="B3925" s="11">
        <f>IFERROR(__xludf.DUMMYFUNCTION("""COMPUTED_VALUE"""),46064.0)</f>
        <v>46064</v>
      </c>
      <c r="C3925" s="2" t="str">
        <f>IFERROR(__xludf.DUMMYFUNCTION("""COMPUTED_VALUE"""),"MOBILECARE - APP TRINOMA")</f>
        <v>MOBILECARE - APP TRINOMA</v>
      </c>
      <c r="D3925" s="2" t="str">
        <f>IFERROR(__xludf.DUMMYFUNCTION("""COMPUTED_VALUE"""),"661-44957")</f>
        <v>661-44957</v>
      </c>
      <c r="E3925" s="2" t="str">
        <f>IFERROR(__xludf.DUMMYFUNCTION("""COMPUTED_VALUE"""),"Camera, iPhone 16 Pro Max")</f>
        <v>Camera, iPhone 16 Pro Max</v>
      </c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</row>
    <row r="3926">
      <c r="A3926" s="10" t="str">
        <f t="shared" si="1"/>
        <v>May</v>
      </c>
      <c r="B3926" s="11">
        <f>IFERROR(__xludf.DUMMYFUNCTION("""COMPUTED_VALUE"""),46150.0)</f>
        <v>46150</v>
      </c>
      <c r="C3926" s="2" t="str">
        <f>IFERROR(__xludf.DUMMYFUNCTION("""COMPUTED_VALUE"""),"MOBILECARE - APP TRINOMA")</f>
        <v>MOBILECARE - APP TRINOMA</v>
      </c>
      <c r="D3926" s="2" t="str">
        <f>IFERROR(__xludf.DUMMYFUNCTION("""COMPUTED_VALUE"""),"661-56065")</f>
        <v>661-56065</v>
      </c>
      <c r="E3926" s="2" t="str">
        <f>IFERROR(__xludf.DUMMYFUNCTION("""COMPUTED_VALUE"""),"Display, iPhone 17")</f>
        <v>Display, iPhone 17</v>
      </c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</row>
    <row r="3927">
      <c r="A3927" s="10" t="str">
        <f t="shared" si="1"/>
        <v>May</v>
      </c>
      <c r="B3927" s="11">
        <f>IFERROR(__xludf.DUMMYFUNCTION("""COMPUTED_VALUE"""),46150.0)</f>
        <v>46150</v>
      </c>
      <c r="C3927" s="2" t="str">
        <f>IFERROR(__xludf.DUMMYFUNCTION("""COMPUTED_VALUE"""),"MOBILECARE - APP TRINOMA")</f>
        <v>MOBILECARE - APP TRINOMA</v>
      </c>
      <c r="D3927" s="2" t="str">
        <f>IFERROR(__xludf.DUMMYFUNCTION("""COMPUTED_VALUE"""),"661-56066")</f>
        <v>661-56066</v>
      </c>
      <c r="E3927" s="2" t="str">
        <f>IFERROR(__xludf.DUMMYFUNCTION("""COMPUTED_VALUE"""),"Front Camera, iPhone 17")</f>
        <v>Front Camera, iPhone 17</v>
      </c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</row>
    <row r="3928">
      <c r="A3928" s="10" t="str">
        <f t="shared" si="1"/>
        <v>May</v>
      </c>
      <c r="B3928" s="11">
        <f>IFERROR(__xludf.DUMMYFUNCTION("""COMPUTED_VALUE"""),46150.0)</f>
        <v>46150</v>
      </c>
      <c r="C3928" s="2" t="str">
        <f>IFERROR(__xludf.DUMMYFUNCTION("""COMPUTED_VALUE"""),"MOBILECARE - APP TRINOMA")</f>
        <v>MOBILECARE - APP TRINOMA</v>
      </c>
      <c r="D3928" s="2" t="str">
        <f>IFERROR(__xludf.DUMMYFUNCTION("""COMPUTED_VALUE"""),"661-56067")</f>
        <v>661-56067</v>
      </c>
      <c r="E3928" s="2" t="str">
        <f>IFERROR(__xludf.DUMMYFUNCTION("""COMPUTED_VALUE"""),"Camera, iPhone 17")</f>
        <v>Camera, iPhone 17</v>
      </c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</row>
    <row r="3929">
      <c r="A3929" s="10" t="str">
        <f t="shared" si="1"/>
        <v>April</v>
      </c>
      <c r="B3929" s="11">
        <f>IFERROR(__xludf.DUMMYFUNCTION("""COMPUTED_VALUE"""),46121.0)</f>
        <v>46121</v>
      </c>
      <c r="C3929" s="2" t="str">
        <f>IFERROR(__xludf.DUMMYFUNCTION("""COMPUTED_VALUE"""),"MOBILECARE - APP TRINOMA")</f>
        <v>MOBILECARE - APP TRINOMA</v>
      </c>
      <c r="D3929" s="2" t="str">
        <f>IFERROR(__xludf.DUMMYFUNCTION("""COMPUTED_VALUE"""),"661-22294")</f>
        <v>661-22294</v>
      </c>
      <c r="E3929" s="2" t="str">
        <f>IFERROR(__xludf.DUMMYFUNCTION("""COMPUTED_VALUE"""),"Battery, iPhone 13 Pro Max")</f>
        <v>Battery, iPhone 13 Pro Max</v>
      </c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</row>
    <row r="3930">
      <c r="A3930" s="10" t="str">
        <f t="shared" si="1"/>
        <v>March</v>
      </c>
      <c r="B3930" s="11">
        <f>IFERROR(__xludf.DUMMYFUNCTION("""COMPUTED_VALUE"""),46102.0)</f>
        <v>46102</v>
      </c>
      <c r="C3930" s="2" t="str">
        <f>IFERROR(__xludf.DUMMYFUNCTION("""COMPUTED_VALUE"""),"MOBILECARE - APP TRINOMA")</f>
        <v>MOBILECARE - APP TRINOMA</v>
      </c>
      <c r="D3930" s="2" t="str">
        <f>IFERROR(__xludf.DUMMYFUNCTION("""COMPUTED_VALUE"""),"661-30397")</f>
        <v>661-30397</v>
      </c>
      <c r="E3930" s="2" t="str">
        <f>IFERROR(__xludf.DUMMYFUNCTION("""COMPUTED_VALUE"""),"Battery, iPhone 14 Pro Max")</f>
        <v>Battery, iPhone 14 Pro Max</v>
      </c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</row>
    <row r="3931">
      <c r="A3931" s="10" t="str">
        <f t="shared" si="1"/>
        <v>March</v>
      </c>
      <c r="B3931" s="11">
        <f>IFERROR(__xludf.DUMMYFUNCTION("""COMPUTED_VALUE"""),46093.0)</f>
        <v>46093</v>
      </c>
      <c r="C3931" s="2" t="str">
        <f>IFERROR(__xludf.DUMMYFUNCTION("""COMPUTED_VALUE"""),"MOBILECARE - APP TRINOMA")</f>
        <v>MOBILECARE - APP TRINOMA</v>
      </c>
      <c r="D3931" s="2" t="str">
        <f>IFERROR(__xludf.DUMMYFUNCTION("""COMPUTED_VALUE"""),"661-36829")</f>
        <v>661-36829</v>
      </c>
      <c r="E3931" s="2" t="str">
        <f>IFERROR(__xludf.DUMMYFUNCTION("""COMPUTED_VALUE"""),"TrueDepth Camera, iPhone 15")</f>
        <v>TrueDepth Camera, iPhone 15</v>
      </c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</row>
    <row r="3932">
      <c r="A3932" s="10" t="str">
        <f t="shared" si="1"/>
        <v>March</v>
      </c>
      <c r="B3932" s="11">
        <f>IFERROR(__xludf.DUMMYFUNCTION("""COMPUTED_VALUE"""),46093.0)</f>
        <v>46093</v>
      </c>
      <c r="C3932" s="2" t="str">
        <f>IFERROR(__xludf.DUMMYFUNCTION("""COMPUTED_VALUE"""),"MOBILECARE - APP TRINOMA")</f>
        <v>MOBILECARE - APP TRINOMA</v>
      </c>
      <c r="D3932" s="2" t="str">
        <f>IFERROR(__xludf.DUMMYFUNCTION("""COMPUTED_VALUE"""),"661-36829")</f>
        <v>661-36829</v>
      </c>
      <c r="E3932" s="2" t="str">
        <f>IFERROR(__xludf.DUMMYFUNCTION("""COMPUTED_VALUE"""),"TrueDepth Camera, iPhone 15")</f>
        <v>TrueDepth Camera, iPhone 15</v>
      </c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</row>
    <row r="3933">
      <c r="A3933" s="10" t="str">
        <f t="shared" si="1"/>
        <v>March</v>
      </c>
      <c r="B3933" s="11">
        <f>IFERROR(__xludf.DUMMYFUNCTION("""COMPUTED_VALUE"""),46087.0)</f>
        <v>46087</v>
      </c>
      <c r="C3933" s="2" t="str">
        <f>IFERROR(__xludf.DUMMYFUNCTION("""COMPUTED_VALUE"""),"MOBILECARE - APP TRINOMA")</f>
        <v>MOBILECARE - APP TRINOMA</v>
      </c>
      <c r="D3933" s="2" t="str">
        <f>IFERROR(__xludf.DUMMYFUNCTION("""COMPUTED_VALUE"""),"661-21988")</f>
        <v>661-21988</v>
      </c>
      <c r="E3933" s="2" t="str">
        <f>IFERROR(__xludf.DUMMYFUNCTION("""COMPUTED_VALUE"""),"Display, iPhone 13")</f>
        <v>Display, iPhone 13</v>
      </c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</row>
    <row r="3934">
      <c r="A3934" s="10" t="str">
        <f t="shared" si="1"/>
        <v>April</v>
      </c>
      <c r="B3934" s="11">
        <f>IFERROR(__xludf.DUMMYFUNCTION("""COMPUTED_VALUE"""),46137.0)</f>
        <v>46137</v>
      </c>
      <c r="C3934" s="2" t="str">
        <f>IFERROR(__xludf.DUMMYFUNCTION("""COMPUTED_VALUE"""),"MOBILECARE - APP TRINOMA")</f>
        <v>MOBILECARE - APP TRINOMA</v>
      </c>
      <c r="D3934" s="2" t="str">
        <f>IFERROR(__xludf.DUMMYFUNCTION("""COMPUTED_VALUE"""),"661-18428")</f>
        <v>661-18428</v>
      </c>
      <c r="E3934" s="2" t="str">
        <f>IFERROR(__xludf.DUMMYFUNCTION("""COMPUTED_VALUE"""),"Battery, iPhone 12 Pro Max")</f>
        <v>Battery, iPhone 12 Pro Max</v>
      </c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</row>
    <row r="3935">
      <c r="A3935" s="10" t="str">
        <f t="shared" si="1"/>
        <v>April</v>
      </c>
      <c r="B3935" s="11">
        <f>IFERROR(__xludf.DUMMYFUNCTION("""COMPUTED_VALUE"""),46139.0)</f>
        <v>46139</v>
      </c>
      <c r="C3935" s="2" t="str">
        <f>IFERROR(__xludf.DUMMYFUNCTION("""COMPUTED_VALUE"""),"MOBILECARE - APP TRINOMA")</f>
        <v>MOBILECARE - APP TRINOMA</v>
      </c>
      <c r="D3935" s="2" t="str">
        <f>IFERROR(__xludf.DUMMYFUNCTION("""COMPUTED_VALUE"""),"PP661-25569")</f>
        <v>PP661-25569</v>
      </c>
      <c r="E3935" s="2" t="str">
        <f>IFERROR(__xludf.DUMMYFUNCTION("""COMPUTED_VALUE"""),"Green, 128 GB, iPhone 13, ROW, CI/AR, Philippines")</f>
        <v>Green, 128 GB, iPhone 13, ROW, CI/AR, Philippines</v>
      </c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</row>
    <row r="3936">
      <c r="A3936" s="10" t="str">
        <f t="shared" si="1"/>
        <v>March</v>
      </c>
      <c r="B3936" s="11">
        <f>IFERROR(__xludf.DUMMYFUNCTION("""COMPUTED_VALUE"""),46085.0)</f>
        <v>46085</v>
      </c>
      <c r="C3936" s="2" t="str">
        <f>IFERROR(__xludf.DUMMYFUNCTION("""COMPUTED_VALUE"""),"MOBILECARE - APP TRINOMA")</f>
        <v>MOBILECARE - APP TRINOMA</v>
      </c>
      <c r="D3936" s="2" t="str">
        <f>IFERROR(__xludf.DUMMYFUNCTION("""COMPUTED_VALUE"""),"661-30373")</f>
        <v>661-30373</v>
      </c>
      <c r="E3936" s="2" t="str">
        <f>IFERROR(__xludf.DUMMYFUNCTION("""COMPUTED_VALUE"""),"Battery, iPhone 14")</f>
        <v>Battery, iPhone 14</v>
      </c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</row>
    <row r="3937">
      <c r="A3937" s="10" t="str">
        <f t="shared" si="1"/>
        <v>March</v>
      </c>
      <c r="B3937" s="11">
        <f>IFERROR(__xludf.DUMMYFUNCTION("""COMPUTED_VALUE"""),46084.0)</f>
        <v>46084</v>
      </c>
      <c r="C3937" s="2" t="str">
        <f>IFERROR(__xludf.DUMMYFUNCTION("""COMPUTED_VALUE"""),"MOBILECARE - APP TRINOMA")</f>
        <v>MOBILECARE - APP TRINOMA</v>
      </c>
      <c r="D3937" s="2" t="str">
        <f>IFERROR(__xludf.DUMMYFUNCTION("""COMPUTED_VALUE"""),"661-21991")</f>
        <v>661-21991</v>
      </c>
      <c r="E3937" s="2" t="str">
        <f>IFERROR(__xludf.DUMMYFUNCTION("""COMPUTED_VALUE"""),"Battery, iPhone 13")</f>
        <v>Battery, iPhone 13</v>
      </c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</row>
    <row r="3938">
      <c r="A3938" s="10" t="str">
        <f t="shared" si="1"/>
        <v>February</v>
      </c>
      <c r="B3938" s="11">
        <f>IFERROR(__xludf.DUMMYFUNCTION("""COMPUTED_VALUE"""),46077.0)</f>
        <v>46077</v>
      </c>
      <c r="C3938" s="2" t="str">
        <f>IFERROR(__xludf.DUMMYFUNCTION("""COMPUTED_VALUE"""),"MOBILECARE - APP TRINOMA")</f>
        <v>MOBILECARE - APP TRINOMA</v>
      </c>
      <c r="D3938" s="2" t="str">
        <f>IFERROR(__xludf.DUMMYFUNCTION("""COMPUTED_VALUE"""),"661-22374")</f>
        <v>661-22374</v>
      </c>
      <c r="E3938" s="2" t="str">
        <f>IFERROR(__xludf.DUMMYFUNCTION("""COMPUTED_VALUE"""),"Battery, iPhone 13 mini")</f>
        <v>Battery, iPhone 13 mini</v>
      </c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</row>
    <row r="3939">
      <c r="A3939" s="10" t="str">
        <f t="shared" si="1"/>
        <v>February</v>
      </c>
      <c r="B3939" s="11">
        <f>IFERROR(__xludf.DUMMYFUNCTION("""COMPUTED_VALUE"""),46069.0)</f>
        <v>46069</v>
      </c>
      <c r="C3939" s="2" t="str">
        <f>IFERROR(__xludf.DUMMYFUNCTION("""COMPUTED_VALUE"""),"MOBILECARE - APP TRINOMA")</f>
        <v>MOBILECARE - APP TRINOMA</v>
      </c>
      <c r="D3939" s="2" t="str">
        <f>IFERROR(__xludf.DUMMYFUNCTION("""COMPUTED_VALUE"""),"661-21991")</f>
        <v>661-21991</v>
      </c>
      <c r="E3939" s="2" t="str">
        <f>IFERROR(__xludf.DUMMYFUNCTION("""COMPUTED_VALUE"""),"Battery, iPhone 13")</f>
        <v>Battery, iPhone 13</v>
      </c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</row>
    <row r="3940">
      <c r="A3940" s="10" t="str">
        <f t="shared" si="1"/>
        <v>February</v>
      </c>
      <c r="B3940" s="11">
        <f>IFERROR(__xludf.DUMMYFUNCTION("""COMPUTED_VALUE"""),46066.0)</f>
        <v>46066</v>
      </c>
      <c r="C3940" s="2" t="str">
        <f>IFERROR(__xludf.DUMMYFUNCTION("""COMPUTED_VALUE"""),"MOBILECARE - APP TRINOMA")</f>
        <v>MOBILECARE - APP TRINOMA</v>
      </c>
      <c r="D3940" s="2" t="str">
        <f>IFERROR(__xludf.DUMMYFUNCTION("""COMPUTED_VALUE"""),"923-11058")</f>
        <v>923-11058</v>
      </c>
      <c r="E3940" s="2" t="str">
        <f>IFERROR(__xludf.DUMMYFUNCTION("""COMPUTED_VALUE"""),"Bottom Speaker, iPhone 16")</f>
        <v>Bottom Speaker, iPhone 16</v>
      </c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</row>
    <row r="3941">
      <c r="A3941" s="10" t="str">
        <f t="shared" si="1"/>
        <v>January</v>
      </c>
      <c r="B3941" s="11">
        <f>IFERROR(__xludf.DUMMYFUNCTION("""COMPUTED_VALUE"""),46044.0)</f>
        <v>46044</v>
      </c>
      <c r="C3941" s="2" t="str">
        <f>IFERROR(__xludf.DUMMYFUNCTION("""COMPUTED_VALUE"""),"MOBILECARE - APP TRINOMA")</f>
        <v>MOBILECARE - APP TRINOMA</v>
      </c>
      <c r="D3941" s="2" t="str">
        <f>IFERROR(__xludf.DUMMYFUNCTION("""COMPUTED_VALUE"""),"661-13574")</f>
        <v>661-13574</v>
      </c>
      <c r="E3941" s="2" t="str">
        <f>IFERROR(__xludf.DUMMYFUNCTION("""COMPUTED_VALUE"""),"Battery, iPhone 11")</f>
        <v>Battery, iPhone 11</v>
      </c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</row>
    <row r="3942">
      <c r="A3942" s="10" t="str">
        <f t="shared" si="1"/>
        <v>May</v>
      </c>
      <c r="B3942" s="11">
        <f>IFERROR(__xludf.DUMMYFUNCTION("""COMPUTED_VALUE"""),46172.0)</f>
        <v>46172</v>
      </c>
      <c r="C3942" s="2" t="str">
        <f>IFERROR(__xludf.DUMMYFUNCTION("""COMPUTED_VALUE"""),"MOBILECARE - APP TRINOMA")</f>
        <v>MOBILECARE - APP TRINOMA</v>
      </c>
      <c r="D3942" s="2" t="str">
        <f>IFERROR(__xludf.DUMMYFUNCTION("""COMPUTED_VALUE"""),"661-44956")</f>
        <v>661-44956</v>
      </c>
      <c r="E3942" s="2" t="str">
        <f>IFERROR(__xludf.DUMMYFUNCTION("""COMPUTED_VALUE"""),"TrueDepth Camera, iPhone 16 Pro Max")</f>
        <v>TrueDepth Camera, iPhone 16 Pro Max</v>
      </c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</row>
    <row r="3943">
      <c r="A3943" s="10" t="str">
        <f t="shared" si="1"/>
        <v>May</v>
      </c>
      <c r="B3943" s="11">
        <f>IFERROR(__xludf.DUMMYFUNCTION("""COMPUTED_VALUE"""),46154.0)</f>
        <v>46154</v>
      </c>
      <c r="C3943" s="2" t="str">
        <f>IFERROR(__xludf.DUMMYFUNCTION("""COMPUTED_VALUE"""),"MOBILECARE - APP TRINOMA")</f>
        <v>MOBILECARE - APP TRINOMA</v>
      </c>
      <c r="D3943" s="2" t="str">
        <f>IFERROR(__xludf.DUMMYFUNCTION("""COMPUTED_VALUE"""),"661-21991")</f>
        <v>661-21991</v>
      </c>
      <c r="E3943" s="2" t="str">
        <f>IFERROR(__xludf.DUMMYFUNCTION("""COMPUTED_VALUE"""),"Battery, iPhone 13")</f>
        <v>Battery, iPhone 13</v>
      </c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</row>
    <row r="3944">
      <c r="A3944" s="10" t="str">
        <f t="shared" si="1"/>
        <v>May</v>
      </c>
      <c r="B3944" s="11">
        <f>IFERROR(__xludf.DUMMYFUNCTION("""COMPUTED_VALUE"""),46144.0)</f>
        <v>46144</v>
      </c>
      <c r="C3944" s="2" t="str">
        <f>IFERROR(__xludf.DUMMYFUNCTION("""COMPUTED_VALUE"""),"MOBILECARE - APP TRINOMA")</f>
        <v>MOBILECARE - APP TRINOMA</v>
      </c>
      <c r="D3944" s="2" t="str">
        <f>IFERROR(__xludf.DUMMYFUNCTION("""COMPUTED_VALUE"""),"661-21991")</f>
        <v>661-21991</v>
      </c>
      <c r="E3944" s="2" t="str">
        <f>IFERROR(__xludf.DUMMYFUNCTION("""COMPUTED_VALUE"""),"Battery, iPhone 13")</f>
        <v>Battery, iPhone 13</v>
      </c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</row>
    <row r="3945">
      <c r="A3945" s="10" t="str">
        <f t="shared" si="1"/>
        <v>March</v>
      </c>
      <c r="B3945" s="11">
        <f>IFERROR(__xludf.DUMMYFUNCTION("""COMPUTED_VALUE"""),46106.0)</f>
        <v>46106</v>
      </c>
      <c r="C3945" s="2" t="str">
        <f>IFERROR(__xludf.DUMMYFUNCTION("""COMPUTED_VALUE"""),"MOBILECARE - APP TRINOMA")</f>
        <v>MOBILECARE - APP TRINOMA</v>
      </c>
      <c r="D3945" s="2" t="str">
        <f>IFERROR(__xludf.DUMMYFUNCTION("""COMPUTED_VALUE"""),"661-30382")</f>
        <v>661-30382</v>
      </c>
      <c r="E3945" s="2" t="str">
        <f>IFERROR(__xludf.DUMMYFUNCTION("""COMPUTED_VALUE"""),"Battery, iPhone 14 Pro")</f>
        <v>Battery, iPhone 14 Pro</v>
      </c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</row>
    <row r="3946">
      <c r="A3946" s="10" t="str">
        <f t="shared" si="1"/>
        <v>June</v>
      </c>
      <c r="B3946" s="11">
        <f>IFERROR(__xludf.DUMMYFUNCTION("""COMPUTED_VALUE"""),46175.0)</f>
        <v>46175</v>
      </c>
      <c r="C3946" s="2" t="str">
        <f>IFERROR(__xludf.DUMMYFUNCTION("""COMPUTED_VALUE"""),"MOBILECARE - APP TRINOMA")</f>
        <v>MOBILECARE - APP TRINOMA</v>
      </c>
      <c r="D3946" s="2" t="str">
        <f>IFERROR(__xludf.DUMMYFUNCTION("""COMPUTED_VALUE"""),"661-21996")</f>
        <v>661-21996</v>
      </c>
      <c r="E3946" s="2" t="str">
        <f>IFERROR(__xludf.DUMMYFUNCTION("""COMPUTED_VALUE"""),"Battery, iPhone 13 Pro")</f>
        <v>Battery, iPhone 13 Pro</v>
      </c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</row>
    <row r="3947">
      <c r="A3947" s="10" t="str">
        <f t="shared" si="1"/>
        <v>March</v>
      </c>
      <c r="B3947" s="11">
        <f>IFERROR(__xludf.DUMMYFUNCTION("""COMPUTED_VALUE"""),46084.0)</f>
        <v>46084</v>
      </c>
      <c r="C3947" s="2" t="str">
        <f>IFERROR(__xludf.DUMMYFUNCTION("""COMPUTED_VALUE"""),"MOBILECARE - APP TRINOMA")</f>
        <v>MOBILECARE - APP TRINOMA</v>
      </c>
      <c r="D3947" s="2" t="str">
        <f>IFERROR(__xludf.DUMMYFUNCTION("""COMPUTED_VALUE"""),"661-30397")</f>
        <v>661-30397</v>
      </c>
      <c r="E3947" s="2" t="str">
        <f>IFERROR(__xludf.DUMMYFUNCTION("""COMPUTED_VALUE"""),"Battery, iPhone 14 Pro Max")</f>
        <v>Battery, iPhone 14 Pro Max</v>
      </c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</row>
    <row r="3948">
      <c r="A3948" s="10" t="str">
        <f t="shared" si="1"/>
        <v>February</v>
      </c>
      <c r="B3948" s="11">
        <f>IFERROR(__xludf.DUMMYFUNCTION("""COMPUTED_VALUE"""),46064.0)</f>
        <v>46064</v>
      </c>
      <c r="C3948" s="2" t="str">
        <f>IFERROR(__xludf.DUMMYFUNCTION("""COMPUTED_VALUE"""),"MOBILECARE - APP TRINOMA")</f>
        <v>MOBILECARE - APP TRINOMA</v>
      </c>
      <c r="D3948" s="2" t="str">
        <f>IFERROR(__xludf.DUMMYFUNCTION("""COMPUTED_VALUE"""),"661-13574")</f>
        <v>661-13574</v>
      </c>
      <c r="E3948" s="2" t="str">
        <f>IFERROR(__xludf.DUMMYFUNCTION("""COMPUTED_VALUE"""),"Battery, iPhone 11")</f>
        <v>Battery, iPhone 11</v>
      </c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</row>
    <row r="3949">
      <c r="A3949" s="10" t="str">
        <f t="shared" si="1"/>
        <v>June</v>
      </c>
      <c r="B3949" s="11">
        <f>IFERROR(__xludf.DUMMYFUNCTION("""COMPUTED_VALUE"""),46191.0)</f>
        <v>46191</v>
      </c>
      <c r="C3949" s="2" t="str">
        <f>IFERROR(__xludf.DUMMYFUNCTION("""COMPUTED_VALUE"""),"MOBILECARE - APP TRINOMA")</f>
        <v>MOBILECARE - APP TRINOMA</v>
      </c>
      <c r="D3949" s="2" t="str">
        <f>IFERROR(__xludf.DUMMYFUNCTION("""COMPUTED_VALUE"""),"661-22309")</f>
        <v>661-22309</v>
      </c>
      <c r="E3949" s="2" t="str">
        <f>IFERROR(__xludf.DUMMYFUNCTION("""COMPUTED_VALUE"""),"Display, iPhone 13 Pro Max")</f>
        <v>Display, iPhone 13 Pro Max</v>
      </c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</row>
    <row r="3950">
      <c r="A3950" s="10" t="str">
        <f t="shared" si="1"/>
        <v>April</v>
      </c>
      <c r="B3950" s="11">
        <f>IFERROR(__xludf.DUMMYFUNCTION("""COMPUTED_VALUE"""),46138.0)</f>
        <v>46138</v>
      </c>
      <c r="C3950" s="2" t="str">
        <f>IFERROR(__xludf.DUMMYFUNCTION("""COMPUTED_VALUE"""),"MOBILECARE - APP TRINOMA")</f>
        <v>MOBILECARE - APP TRINOMA</v>
      </c>
      <c r="D3950" s="2" t="str">
        <f>IFERROR(__xludf.DUMMYFUNCTION("""COMPUTED_VALUE"""),"923-13581")</f>
        <v>923-13581</v>
      </c>
      <c r="E3950" s="2" t="str">
        <f>IFERROR(__xludf.DUMMYFUNCTION("""COMPUTED_VALUE"""),"Top Speaker, iPhone 17 Pro Max")</f>
        <v>Top Speaker, iPhone 17 Pro Max</v>
      </c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</row>
    <row r="3951">
      <c r="A3951" s="10" t="str">
        <f t="shared" si="1"/>
        <v>April</v>
      </c>
      <c r="B3951" s="11">
        <f>IFERROR(__xludf.DUMMYFUNCTION("""COMPUTED_VALUE"""),46113.0)</f>
        <v>46113</v>
      </c>
      <c r="C3951" s="2" t="str">
        <f>IFERROR(__xludf.DUMMYFUNCTION("""COMPUTED_VALUE"""),"MOBILECARE - APP TRINOMA")</f>
        <v>MOBILECARE - APP TRINOMA</v>
      </c>
      <c r="D3951" s="2" t="str">
        <f>IFERROR(__xludf.DUMMYFUNCTION("""COMPUTED_VALUE"""),"661-21996")</f>
        <v>661-21996</v>
      </c>
      <c r="E3951" s="2" t="str">
        <f>IFERROR(__xludf.DUMMYFUNCTION("""COMPUTED_VALUE"""),"Battery, iPhone 13 Pro")</f>
        <v>Battery, iPhone 13 Pro</v>
      </c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</row>
    <row r="3952">
      <c r="A3952" s="10" t="str">
        <f t="shared" si="1"/>
        <v>March</v>
      </c>
      <c r="B3952" s="11">
        <f>IFERROR(__xludf.DUMMYFUNCTION("""COMPUTED_VALUE"""),46087.0)</f>
        <v>46087</v>
      </c>
      <c r="C3952" s="2" t="str">
        <f>IFERROR(__xludf.DUMMYFUNCTION("""COMPUTED_VALUE"""),"MOBILECARE - APP TRINOMA")</f>
        <v>MOBILECARE - APP TRINOMA</v>
      </c>
      <c r="D3952" s="2" t="str">
        <f>IFERROR(__xludf.DUMMYFUNCTION("""COMPUTED_VALUE"""),"661-35694")</f>
        <v>661-35694</v>
      </c>
      <c r="E3952" s="2" t="str">
        <f>IFERROR(__xludf.DUMMYFUNCTION("""COMPUTED_VALUE"""),"Battery, iPhone 15 Pro")</f>
        <v>Battery, iPhone 15 Pro</v>
      </c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</row>
    <row r="3953">
      <c r="A3953" s="10" t="str">
        <f t="shared" si="1"/>
        <v>February</v>
      </c>
      <c r="B3953" s="11">
        <f>IFERROR(__xludf.DUMMYFUNCTION("""COMPUTED_VALUE"""),46074.0)</f>
        <v>46074</v>
      </c>
      <c r="C3953" s="2" t="str">
        <f>IFERROR(__xludf.DUMMYFUNCTION("""COMPUTED_VALUE"""),"MOBILECARE - APP TRINOMA")</f>
        <v>MOBILECARE - APP TRINOMA</v>
      </c>
      <c r="D3953" s="2" t="str">
        <f>IFERROR(__xludf.DUMMYFUNCTION("""COMPUTED_VALUE"""),"661-44955")</f>
        <v>661-44955</v>
      </c>
      <c r="E3953" s="2" t="str">
        <f>IFERROR(__xludf.DUMMYFUNCTION("""COMPUTED_VALUE"""),"Display, iPhone 16 Pro Max")</f>
        <v>Display, iPhone 16 Pro Max</v>
      </c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</row>
    <row r="3954">
      <c r="A3954" s="10" t="str">
        <f t="shared" si="1"/>
        <v>June</v>
      </c>
      <c r="B3954" s="11">
        <f>IFERROR(__xludf.DUMMYFUNCTION("""COMPUTED_VALUE"""),46187.0)</f>
        <v>46187</v>
      </c>
      <c r="C3954" s="2" t="str">
        <f>IFERROR(__xludf.DUMMYFUNCTION("""COMPUTED_VALUE"""),"MOBILECARE - APP TRINOMA")</f>
        <v>MOBILECARE - APP TRINOMA</v>
      </c>
      <c r="D3954" s="2" t="str">
        <f>IFERROR(__xludf.DUMMYFUNCTION("""COMPUTED_VALUE"""),"661-22294")</f>
        <v>661-22294</v>
      </c>
      <c r="E3954" s="2" t="str">
        <f>IFERROR(__xludf.DUMMYFUNCTION("""COMPUTED_VALUE"""),"Battery, iPhone 13 Pro Max")</f>
        <v>Battery, iPhone 13 Pro Max</v>
      </c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</row>
    <row r="3955">
      <c r="A3955" s="10" t="str">
        <f t="shared" si="1"/>
        <v>June</v>
      </c>
      <c r="B3955" s="11">
        <f>IFERROR(__xludf.DUMMYFUNCTION("""COMPUTED_VALUE"""),46184.0)</f>
        <v>46184</v>
      </c>
      <c r="C3955" s="2" t="str">
        <f>IFERROR(__xludf.DUMMYFUNCTION("""COMPUTED_VALUE"""),"MOBILECARE - APP TRINOMA")</f>
        <v>MOBILECARE - APP TRINOMA</v>
      </c>
      <c r="D3955" s="2" t="str">
        <f>IFERROR(__xludf.DUMMYFUNCTION("""COMPUTED_VALUE"""),"661-21991")</f>
        <v>661-21991</v>
      </c>
      <c r="E3955" s="2" t="str">
        <f>IFERROR(__xludf.DUMMYFUNCTION("""COMPUTED_VALUE"""),"Battery, iPhone 13")</f>
        <v>Battery, iPhone 13</v>
      </c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</row>
    <row r="3956">
      <c r="A3956" s="10" t="str">
        <f t="shared" si="1"/>
        <v>June</v>
      </c>
      <c r="B3956" s="11">
        <f>IFERROR(__xludf.DUMMYFUNCTION("""COMPUTED_VALUE"""),46184.0)</f>
        <v>46184</v>
      </c>
      <c r="C3956" s="2" t="str">
        <f>IFERROR(__xludf.DUMMYFUNCTION("""COMPUTED_VALUE"""),"MOBILECARE - APP TRINOMA")</f>
        <v>MOBILECARE - APP TRINOMA</v>
      </c>
      <c r="D3956" s="2" t="str">
        <f>IFERROR(__xludf.DUMMYFUNCTION("""COMPUTED_VALUE"""),"661-21988")</f>
        <v>661-21988</v>
      </c>
      <c r="E3956" s="2" t="str">
        <f>IFERROR(__xludf.DUMMYFUNCTION("""COMPUTED_VALUE"""),"Display, iPhone 13")</f>
        <v>Display, iPhone 13</v>
      </c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</row>
    <row r="3957">
      <c r="A3957" s="10" t="str">
        <f t="shared" si="1"/>
        <v>March</v>
      </c>
      <c r="B3957" s="11">
        <f>IFERROR(__xludf.DUMMYFUNCTION("""COMPUTED_VALUE"""),46086.0)</f>
        <v>46086</v>
      </c>
      <c r="C3957" s="2" t="str">
        <f>IFERROR(__xludf.DUMMYFUNCTION("""COMPUTED_VALUE"""),"MOBILECARE - APP TRINOMA")</f>
        <v>MOBILECARE - APP TRINOMA</v>
      </c>
      <c r="D3957" s="2" t="str">
        <f>IFERROR(__xludf.DUMMYFUNCTION("""COMPUTED_VALUE"""),"661-35694")</f>
        <v>661-35694</v>
      </c>
      <c r="E3957" s="2" t="str">
        <f>IFERROR(__xludf.DUMMYFUNCTION("""COMPUTED_VALUE"""),"Battery, iPhone 15 Pro")</f>
        <v>Battery, iPhone 15 Pro</v>
      </c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</row>
    <row r="3958">
      <c r="A3958" s="10" t="str">
        <f t="shared" si="1"/>
        <v>February</v>
      </c>
      <c r="B3958" s="11">
        <f>IFERROR(__xludf.DUMMYFUNCTION("""COMPUTED_VALUE"""),46070.0)</f>
        <v>46070</v>
      </c>
      <c r="C3958" s="2" t="str">
        <f>IFERROR(__xludf.DUMMYFUNCTION("""COMPUTED_VALUE"""),"MOBILECARE - APP TRINOMA")</f>
        <v>MOBILECARE - APP TRINOMA</v>
      </c>
      <c r="D3958" s="2" t="str">
        <f>IFERROR(__xludf.DUMMYFUNCTION("""COMPUTED_VALUE"""),"661-35699")</f>
        <v>661-35699</v>
      </c>
      <c r="E3958" s="2" t="str">
        <f>IFERROR(__xludf.DUMMYFUNCTION("""COMPUTED_VALUE"""),"Display, iPhone 15 Pro")</f>
        <v>Display, iPhone 15 Pro</v>
      </c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</row>
    <row r="3959">
      <c r="A3959" s="10" t="str">
        <f t="shared" si="1"/>
        <v>January</v>
      </c>
      <c r="B3959" s="11">
        <f>IFERROR(__xludf.DUMMYFUNCTION("""COMPUTED_VALUE"""),46051.0)</f>
        <v>46051</v>
      </c>
      <c r="C3959" s="2" t="str">
        <f>IFERROR(__xludf.DUMMYFUNCTION("""COMPUTED_VALUE"""),"MOBILECARE - APP TRINOMA")</f>
        <v>MOBILECARE - APP TRINOMA</v>
      </c>
      <c r="D3959" s="2" t="str">
        <f>IFERROR(__xludf.DUMMYFUNCTION("""COMPUTED_VALUE"""),"661-42727")</f>
        <v>661-42727</v>
      </c>
      <c r="E3959" s="2" t="str">
        <f>IFERROR(__xludf.DUMMYFUNCTION("""COMPUTED_VALUE"""),"TrueDepth Camera, iPhone 16 Pro")</f>
        <v>TrueDepth Camera, iPhone 16 Pro</v>
      </c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</row>
    <row r="3960">
      <c r="A3960" s="10" t="str">
        <f t="shared" si="1"/>
        <v>June</v>
      </c>
      <c r="B3960" s="11">
        <f>IFERROR(__xludf.DUMMYFUNCTION("""COMPUTED_VALUE"""),46176.0)</f>
        <v>46176</v>
      </c>
      <c r="C3960" s="2" t="str">
        <f>IFERROR(__xludf.DUMMYFUNCTION("""COMPUTED_VALUE"""),"MOBILECARE - APP TRINOMA")</f>
        <v>MOBILECARE - APP TRINOMA</v>
      </c>
      <c r="D3960" s="2" t="str">
        <f>IFERROR(__xludf.DUMMYFUNCTION("""COMPUTED_VALUE"""),"661-36918")</f>
        <v>661-36918</v>
      </c>
      <c r="E3960" s="2" t="str">
        <f>IFERROR(__xludf.DUMMYFUNCTION("""COMPUTED_VALUE"""),"Battery, iPhone 15 Pro Max")</f>
        <v>Battery, iPhone 15 Pro Max</v>
      </c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</row>
    <row r="3961">
      <c r="A3961" s="10" t="str">
        <f t="shared" si="1"/>
        <v>June</v>
      </c>
      <c r="B3961" s="11">
        <f>IFERROR(__xludf.DUMMYFUNCTION("""COMPUTED_VALUE"""),46180.0)</f>
        <v>46180</v>
      </c>
      <c r="C3961" s="2" t="str">
        <f>IFERROR(__xludf.DUMMYFUNCTION("""COMPUTED_VALUE"""),"MOBILECARE - APP TRINOMA")</f>
        <v>MOBILECARE - APP TRINOMA</v>
      </c>
      <c r="D3961" s="2" t="str">
        <f>IFERROR(__xludf.DUMMYFUNCTION("""COMPUTED_VALUE"""),"661-10850")</f>
        <v>661-10850</v>
      </c>
      <c r="E3961" s="2" t="str">
        <f>IFERROR(__xludf.DUMMYFUNCTION("""COMPUTED_VALUE"""),"Battery, iPhone XR")</f>
        <v>Battery, iPhone XR</v>
      </c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</row>
    <row r="3962">
      <c r="A3962" s="10" t="str">
        <f t="shared" si="1"/>
        <v>June</v>
      </c>
      <c r="B3962" s="11">
        <f>IFERROR(__xludf.DUMMYFUNCTION("""COMPUTED_VALUE"""),46180.0)</f>
        <v>46180</v>
      </c>
      <c r="C3962" s="2" t="str">
        <f>IFERROR(__xludf.DUMMYFUNCTION("""COMPUTED_VALUE"""),"MOBILECARE - APP TRINOMA")</f>
        <v>MOBILECARE - APP TRINOMA</v>
      </c>
      <c r="D3962" s="2" t="str">
        <f>IFERROR(__xludf.DUMMYFUNCTION("""COMPUTED_VALUE"""),"923-02609")</f>
        <v>923-02609</v>
      </c>
      <c r="E3962" s="2" t="str">
        <f>IFERROR(__xludf.DUMMYFUNCTION("""COMPUTED_VALUE"""),"Speaker, iPhone XR")</f>
        <v>Speaker, iPhone XR</v>
      </c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</row>
    <row r="3963">
      <c r="A3963" s="10" t="str">
        <f t="shared" si="1"/>
        <v>February</v>
      </c>
      <c r="B3963" s="11">
        <f>IFERROR(__xludf.DUMMYFUNCTION("""COMPUTED_VALUE"""),46081.0)</f>
        <v>46081</v>
      </c>
      <c r="C3963" s="2" t="str">
        <f>IFERROR(__xludf.DUMMYFUNCTION("""COMPUTED_VALUE"""),"MOBILECARE - APP TRINOMA")</f>
        <v>MOBILECARE - APP TRINOMA</v>
      </c>
      <c r="D3963" s="2" t="str">
        <f>IFERROR(__xludf.DUMMYFUNCTION("""COMPUTED_VALUE"""),"661-21991")</f>
        <v>661-21991</v>
      </c>
      <c r="E3963" s="2" t="str">
        <f>IFERROR(__xludf.DUMMYFUNCTION("""COMPUTED_VALUE"""),"Battery, iPhone 13")</f>
        <v>Battery, iPhone 13</v>
      </c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</row>
    <row r="3964">
      <c r="A3964" s="10" t="str">
        <f t="shared" si="1"/>
        <v>February</v>
      </c>
      <c r="B3964" s="11">
        <f>IFERROR(__xludf.DUMMYFUNCTION("""COMPUTED_VALUE"""),46058.0)</f>
        <v>46058</v>
      </c>
      <c r="C3964" s="2" t="str">
        <f>IFERROR(__xludf.DUMMYFUNCTION("""COMPUTED_VALUE"""),"MOBILECARE - APP TRINOMA")</f>
        <v>MOBILECARE - APP TRINOMA</v>
      </c>
      <c r="D3964" s="2" t="str">
        <f>IFERROR(__xludf.DUMMYFUNCTION("""COMPUTED_VALUE"""),"661-56050")</f>
        <v>661-56050</v>
      </c>
      <c r="E3964" s="2" t="str">
        <f>IFERROR(__xludf.DUMMYFUNCTION("""COMPUTED_VALUE"""),"Display, iPhone 17 Pro Max")</f>
        <v>Display, iPhone 17 Pro Max</v>
      </c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</row>
    <row r="3965">
      <c r="A3965" s="10" t="str">
        <f t="shared" si="1"/>
        <v>May</v>
      </c>
      <c r="B3965" s="11">
        <f>IFERROR(__xludf.DUMMYFUNCTION("""COMPUTED_VALUE"""),46148.0)</f>
        <v>46148</v>
      </c>
      <c r="C3965" s="2" t="str">
        <f>IFERROR(__xludf.DUMMYFUNCTION("""COMPUTED_VALUE"""),"MOBILECARE - APP TRINOMA")</f>
        <v>MOBILECARE - APP TRINOMA</v>
      </c>
      <c r="D3965" s="2" t="str">
        <f>IFERROR(__xludf.DUMMYFUNCTION("""COMPUTED_VALUE"""),"661-56066")</f>
        <v>661-56066</v>
      </c>
      <c r="E3965" s="2" t="str">
        <f>IFERROR(__xludf.DUMMYFUNCTION("""COMPUTED_VALUE"""),"Front Camera, iPhone 17")</f>
        <v>Front Camera, iPhone 17</v>
      </c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</row>
    <row r="3966">
      <c r="A3966" s="10" t="str">
        <f t="shared" si="1"/>
        <v>June</v>
      </c>
      <c r="B3966" s="11">
        <f>IFERROR(__xludf.DUMMYFUNCTION("""COMPUTED_VALUE"""),46182.0)</f>
        <v>46182</v>
      </c>
      <c r="C3966" s="2" t="str">
        <f>IFERROR(__xludf.DUMMYFUNCTION("""COMPUTED_VALUE"""),"MOBILECARE - APP TRINOMA")</f>
        <v>MOBILECARE - APP TRINOMA</v>
      </c>
      <c r="D3966" s="2" t="str">
        <f>IFERROR(__xludf.DUMMYFUNCTION("""COMPUTED_VALUE"""),"661-22309")</f>
        <v>661-22309</v>
      </c>
      <c r="E3966" s="2" t="str">
        <f>IFERROR(__xludf.DUMMYFUNCTION("""COMPUTED_VALUE"""),"Display, iPhone 13 Pro Max")</f>
        <v>Display, iPhone 13 Pro Max</v>
      </c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</row>
    <row r="3967">
      <c r="A3967" s="10" t="str">
        <f t="shared" si="1"/>
        <v>February</v>
      </c>
      <c r="B3967" s="11">
        <f>IFERROR(__xludf.DUMMYFUNCTION("""COMPUTED_VALUE"""),46064.0)</f>
        <v>46064</v>
      </c>
      <c r="C3967" s="2" t="str">
        <f>IFERROR(__xludf.DUMMYFUNCTION("""COMPUTED_VALUE"""),"MOBILECARE - APP TRINOMA")</f>
        <v>MOBILECARE - APP TRINOMA</v>
      </c>
      <c r="D3967" s="2" t="str">
        <f>IFERROR(__xludf.DUMMYFUNCTION("""COMPUTED_VALUE"""),"661-30382")</f>
        <v>661-30382</v>
      </c>
      <c r="E3967" s="2" t="str">
        <f>IFERROR(__xludf.DUMMYFUNCTION("""COMPUTED_VALUE"""),"Battery, iPhone 14 Pro")</f>
        <v>Battery, iPhone 14 Pro</v>
      </c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</row>
    <row r="3968">
      <c r="A3968" s="10" t="str">
        <f t="shared" si="1"/>
        <v>February</v>
      </c>
      <c r="B3968" s="11">
        <f>IFERROR(__xludf.DUMMYFUNCTION("""COMPUTED_VALUE"""),46066.0)</f>
        <v>46066</v>
      </c>
      <c r="C3968" s="2" t="str">
        <f>IFERROR(__xludf.DUMMYFUNCTION("""COMPUTED_VALUE"""),"MOBILECARE - APP TRINOMA")</f>
        <v>MOBILECARE - APP TRINOMA</v>
      </c>
      <c r="D3968" s="2" t="str">
        <f>IFERROR(__xludf.DUMMYFUNCTION("""COMPUTED_VALUE"""),"661-44955")</f>
        <v>661-44955</v>
      </c>
      <c r="E3968" s="2" t="str">
        <f>IFERROR(__xludf.DUMMYFUNCTION("""COMPUTED_VALUE"""),"Display, iPhone 16 Pro Max")</f>
        <v>Display, iPhone 16 Pro Max</v>
      </c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</row>
    <row r="3969">
      <c r="A3969" s="10" t="str">
        <f t="shared" si="1"/>
        <v>May</v>
      </c>
      <c r="B3969" s="11">
        <f>IFERROR(__xludf.DUMMYFUNCTION("""COMPUTED_VALUE"""),46167.0)</f>
        <v>46167</v>
      </c>
      <c r="C3969" s="2" t="str">
        <f>IFERROR(__xludf.DUMMYFUNCTION("""COMPUTED_VALUE"""),"MOBILECARE - APP TRINOMA")</f>
        <v>MOBILECARE - APP TRINOMA</v>
      </c>
      <c r="D3969" s="2" t="str">
        <f>IFERROR(__xludf.DUMMYFUNCTION("""COMPUTED_VALUE"""),"661-21991")</f>
        <v>661-21991</v>
      </c>
      <c r="E3969" s="2" t="str">
        <f>IFERROR(__xludf.DUMMYFUNCTION("""COMPUTED_VALUE"""),"Battery, iPhone 13")</f>
        <v>Battery, iPhone 13</v>
      </c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</row>
    <row r="3970">
      <c r="A3970" s="10" t="str">
        <f t="shared" si="1"/>
        <v>May</v>
      </c>
      <c r="B3970" s="11">
        <f>IFERROR(__xludf.DUMMYFUNCTION("""COMPUTED_VALUE"""),46151.0)</f>
        <v>46151</v>
      </c>
      <c r="C3970" s="2" t="str">
        <f>IFERROR(__xludf.DUMMYFUNCTION("""COMPUTED_VALUE"""),"MOBILECARE - APP TRINOMA")</f>
        <v>MOBILECARE - APP TRINOMA</v>
      </c>
      <c r="D3970" s="2" t="str">
        <f>IFERROR(__xludf.DUMMYFUNCTION("""COMPUTED_VALUE"""),"661-13574")</f>
        <v>661-13574</v>
      </c>
      <c r="E3970" s="2" t="str">
        <f>IFERROR(__xludf.DUMMYFUNCTION("""COMPUTED_VALUE"""),"Battery, iPhone 11")</f>
        <v>Battery, iPhone 11</v>
      </c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</row>
    <row r="3971">
      <c r="A3971" s="10" t="str">
        <f t="shared" si="1"/>
        <v>March</v>
      </c>
      <c r="B3971" s="11">
        <f>IFERROR(__xludf.DUMMYFUNCTION("""COMPUTED_VALUE"""),46100.0)</f>
        <v>46100</v>
      </c>
      <c r="C3971" s="2" t="str">
        <f>IFERROR(__xludf.DUMMYFUNCTION("""COMPUTED_VALUE"""),"MOBILECARE - APP TRINOMA")</f>
        <v>MOBILECARE - APP TRINOMA</v>
      </c>
      <c r="D3971" s="2" t="str">
        <f>IFERROR(__xludf.DUMMYFUNCTION("""COMPUTED_VALUE"""),"661-56050")</f>
        <v>661-56050</v>
      </c>
      <c r="E3971" s="2" t="str">
        <f>IFERROR(__xludf.DUMMYFUNCTION("""COMPUTED_VALUE"""),"Display, iPhone 17 Pro Max")</f>
        <v>Display, iPhone 17 Pro Max</v>
      </c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</row>
    <row r="3972">
      <c r="A3972" s="10" t="str">
        <f t="shared" si="1"/>
        <v>February</v>
      </c>
      <c r="B3972" s="11">
        <f>IFERROR(__xludf.DUMMYFUNCTION("""COMPUTED_VALUE"""),46074.0)</f>
        <v>46074</v>
      </c>
      <c r="C3972" s="2" t="str">
        <f>IFERROR(__xludf.DUMMYFUNCTION("""COMPUTED_VALUE"""),"MOBILECARE - APP TRINOMA")</f>
        <v>MOBILECARE - APP TRINOMA</v>
      </c>
      <c r="D3972" s="2" t="str">
        <f>IFERROR(__xludf.DUMMYFUNCTION("""COMPUTED_VALUE"""),"661-30394")</f>
        <v>661-30394</v>
      </c>
      <c r="E3972" s="2" t="str">
        <f>IFERROR(__xludf.DUMMYFUNCTION("""COMPUTED_VALUE"""),"Battery, iPhone 14 Plus")</f>
        <v>Battery, iPhone 14 Plus</v>
      </c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</row>
    <row r="3973">
      <c r="A3973" s="10" t="str">
        <f t="shared" si="1"/>
        <v>March</v>
      </c>
      <c r="B3973" s="11">
        <f>IFERROR(__xludf.DUMMYFUNCTION("""COMPUTED_VALUE"""),46085.0)</f>
        <v>46085</v>
      </c>
      <c r="C3973" s="2" t="str">
        <f>IFERROR(__xludf.DUMMYFUNCTION("""COMPUTED_VALUE"""),"MOBILECARE - APP TRINOMA")</f>
        <v>MOBILECARE - APP TRINOMA</v>
      </c>
      <c r="D3973" s="2" t="str">
        <f>IFERROR(__xludf.DUMMYFUNCTION("""COMPUTED_VALUE"""),"PP661-22984")</f>
        <v>PP661-22984</v>
      </c>
      <c r="E3973" s="2" t="str">
        <f>IFERROR(__xludf.DUMMYFUNCTION("""COMPUTED_VALUE"""),"Blue, 128 GB, iPhone 13, ROW, CI/AR, Philippines")</f>
        <v>Blue, 128 GB, iPhone 13, ROW, CI/AR, Philippines</v>
      </c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</row>
    <row r="3974">
      <c r="A3974" s="10" t="str">
        <f t="shared" si="1"/>
        <v>March</v>
      </c>
      <c r="B3974" s="11">
        <f>IFERROR(__xludf.DUMMYFUNCTION("""COMPUTED_VALUE"""),46090.0)</f>
        <v>46090</v>
      </c>
      <c r="C3974" s="2" t="str">
        <f>IFERROR(__xludf.DUMMYFUNCTION("""COMPUTED_VALUE"""),"MOBILECARE - APP TRINOMA")</f>
        <v>MOBILECARE - APP TRINOMA</v>
      </c>
      <c r="D3974" s="2" t="str">
        <f>IFERROR(__xludf.DUMMYFUNCTION("""COMPUTED_VALUE"""),"Z661-56015")</f>
        <v>Z661-56015</v>
      </c>
      <c r="E3974" s="2" t="str">
        <f>IFERROR(__xludf.DUMMYFUNCTION("""COMPUTED_VALUE"""),"Logic Board, 256GB, iPhone 17, ROW")</f>
        <v>Logic Board, 256GB, iPhone 17, ROW</v>
      </c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</row>
    <row r="3975">
      <c r="A3975" s="10" t="str">
        <f t="shared" si="1"/>
        <v>March</v>
      </c>
      <c r="B3975" s="11">
        <f>IFERROR(__xludf.DUMMYFUNCTION("""COMPUTED_VALUE"""),46090.0)</f>
        <v>46090</v>
      </c>
      <c r="C3975" s="2" t="str">
        <f>IFERROR(__xludf.DUMMYFUNCTION("""COMPUTED_VALUE"""),"MOBILECARE - APP TRINOMA")</f>
        <v>MOBILECARE - APP TRINOMA</v>
      </c>
      <c r="D3975" s="2" t="str">
        <f>IFERROR(__xludf.DUMMYFUNCTION("""COMPUTED_VALUE"""),"Z661-56015")</f>
        <v>Z661-56015</v>
      </c>
      <c r="E3975" s="2" t="str">
        <f>IFERROR(__xludf.DUMMYFUNCTION("""COMPUTED_VALUE"""),"Logic Board, 256GB, iPhone 17, ROW")</f>
        <v>Logic Board, 256GB, iPhone 17, ROW</v>
      </c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</row>
    <row r="3976">
      <c r="A3976" s="10" t="str">
        <f t="shared" si="1"/>
        <v>February</v>
      </c>
      <c r="B3976" s="11">
        <f>IFERROR(__xludf.DUMMYFUNCTION("""COMPUTED_VALUE"""),46054.0)</f>
        <v>46054</v>
      </c>
      <c r="C3976" s="2" t="str">
        <f>IFERROR(__xludf.DUMMYFUNCTION("""COMPUTED_VALUE"""),"MOBILECARE - APP TRINOMA")</f>
        <v>MOBILECARE - APP TRINOMA</v>
      </c>
      <c r="D3976" s="2" t="str">
        <f>IFERROR(__xludf.DUMMYFUNCTION("""COMPUTED_VALUE"""),"661-22309")</f>
        <v>661-22309</v>
      </c>
      <c r="E3976" s="2" t="str">
        <f>IFERROR(__xludf.DUMMYFUNCTION("""COMPUTED_VALUE"""),"Display, iPhone 13 Pro Max")</f>
        <v>Display, iPhone 13 Pro Max</v>
      </c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</row>
    <row r="3977">
      <c r="A3977" s="10" t="str">
        <f t="shared" si="1"/>
        <v>June</v>
      </c>
      <c r="B3977" s="11">
        <f>IFERROR(__xludf.DUMMYFUNCTION("""COMPUTED_VALUE"""),46193.0)</f>
        <v>46193</v>
      </c>
      <c r="C3977" s="2" t="str">
        <f>IFERROR(__xludf.DUMMYFUNCTION("""COMPUTED_VALUE"""),"MOBILECARE - APP TRINOMA")</f>
        <v>MOBILECARE - APP TRINOMA</v>
      </c>
      <c r="D3977" s="2" t="str">
        <f>IFERROR(__xludf.DUMMYFUNCTION("""COMPUTED_VALUE"""),"661-56125")</f>
        <v>661-56125</v>
      </c>
      <c r="E3977" s="2" t="str">
        <f>IFERROR(__xludf.DUMMYFUNCTION("""COMPUTED_VALUE"""),"Display, iPhone 17 Pro")</f>
        <v>Display, iPhone 17 Pro</v>
      </c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</row>
    <row r="3978">
      <c r="A3978" s="10" t="str">
        <f t="shared" si="1"/>
        <v>June</v>
      </c>
      <c r="B3978" s="11">
        <f>IFERROR(__xludf.DUMMYFUNCTION("""COMPUTED_VALUE"""),46186.0)</f>
        <v>46186</v>
      </c>
      <c r="C3978" s="2" t="str">
        <f>IFERROR(__xludf.DUMMYFUNCTION("""COMPUTED_VALUE"""),"MOBILECARE - APP TRINOMA")</f>
        <v>MOBILECARE - APP TRINOMA</v>
      </c>
      <c r="D3978" s="2" t="str">
        <f>IFERROR(__xludf.DUMMYFUNCTION("""COMPUTED_VALUE"""),"661-44960")</f>
        <v>661-44960</v>
      </c>
      <c r="E3978" s="2" t="str">
        <f>IFERROR(__xludf.DUMMYFUNCTION("""COMPUTED_VALUE"""),"Desert Titanium, Back Glass, iPhone 16 Pro Max")</f>
        <v>Desert Titanium, Back Glass, iPhone 16 Pro Max</v>
      </c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</row>
    <row r="3979">
      <c r="A3979" s="10" t="str">
        <f t="shared" si="1"/>
        <v>May</v>
      </c>
      <c r="B3979" s="11">
        <f>IFERROR(__xludf.DUMMYFUNCTION("""COMPUTED_VALUE"""),46164.0)</f>
        <v>46164</v>
      </c>
      <c r="C3979" s="2" t="str">
        <f>IFERROR(__xludf.DUMMYFUNCTION("""COMPUTED_VALUE"""),"MOBILECARE - APP TRINOMA")</f>
        <v>MOBILECARE - APP TRINOMA</v>
      </c>
      <c r="D3979" s="2" t="str">
        <f>IFERROR(__xludf.DUMMYFUNCTION("""COMPUTED_VALUE"""),"661-30382")</f>
        <v>661-30382</v>
      </c>
      <c r="E3979" s="2" t="str">
        <f>IFERROR(__xludf.DUMMYFUNCTION("""COMPUTED_VALUE"""),"Battery, iPhone 14 Pro")</f>
        <v>Battery, iPhone 14 Pro</v>
      </c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</row>
    <row r="3980">
      <c r="A3980" s="10" t="str">
        <f t="shared" si="1"/>
        <v>May</v>
      </c>
      <c r="B3980" s="11">
        <f>IFERROR(__xludf.DUMMYFUNCTION("""COMPUTED_VALUE"""),46156.0)</f>
        <v>46156</v>
      </c>
      <c r="C3980" s="2" t="str">
        <f>IFERROR(__xludf.DUMMYFUNCTION("""COMPUTED_VALUE"""),"MOBILECARE - APP TRINOMA")</f>
        <v>MOBILECARE - APP TRINOMA</v>
      </c>
      <c r="D3980" s="2" t="str">
        <f>IFERROR(__xludf.DUMMYFUNCTION("""COMPUTED_VALUE"""),"661-42726")</f>
        <v>661-42726</v>
      </c>
      <c r="E3980" s="2" t="str">
        <f>IFERROR(__xludf.DUMMYFUNCTION("""COMPUTED_VALUE"""),"Display, iPhone 16 Pro")</f>
        <v>Display, iPhone 16 Pro</v>
      </c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</row>
    <row r="3981">
      <c r="A3981" s="10" t="str">
        <f t="shared" si="1"/>
        <v>May</v>
      </c>
      <c r="B3981" s="11">
        <f>IFERROR(__xludf.DUMMYFUNCTION("""COMPUTED_VALUE"""),46150.0)</f>
        <v>46150</v>
      </c>
      <c r="C3981" s="2" t="str">
        <f>IFERROR(__xludf.DUMMYFUNCTION("""COMPUTED_VALUE"""),"MOBILECARE - APP TRINOMA")</f>
        <v>MOBILECARE - APP TRINOMA</v>
      </c>
      <c r="D3981" s="2" t="str">
        <f>IFERROR(__xludf.DUMMYFUNCTION("""COMPUTED_VALUE"""),"661-21991")</f>
        <v>661-21991</v>
      </c>
      <c r="E3981" s="2" t="str">
        <f>IFERROR(__xludf.DUMMYFUNCTION("""COMPUTED_VALUE"""),"Battery, iPhone 13")</f>
        <v>Battery, iPhone 13</v>
      </c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</row>
    <row r="3982">
      <c r="A3982" s="10" t="str">
        <f t="shared" si="1"/>
        <v>April</v>
      </c>
      <c r="B3982" s="11">
        <f>IFERROR(__xludf.DUMMYFUNCTION("""COMPUTED_VALUE"""),46121.0)</f>
        <v>46121</v>
      </c>
      <c r="C3982" s="2" t="str">
        <f>IFERROR(__xludf.DUMMYFUNCTION("""COMPUTED_VALUE"""),"MOBILECARE - APP TRINOMA")</f>
        <v>MOBILECARE - APP TRINOMA</v>
      </c>
      <c r="D3982" s="2" t="str">
        <f>IFERROR(__xludf.DUMMYFUNCTION("""COMPUTED_VALUE"""),"661-30397")</f>
        <v>661-30397</v>
      </c>
      <c r="E3982" s="2" t="str">
        <f>IFERROR(__xludf.DUMMYFUNCTION("""COMPUTED_VALUE"""),"Battery, iPhone 14 Pro Max")</f>
        <v>Battery, iPhone 14 Pro Max</v>
      </c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</row>
    <row r="3983">
      <c r="A3983" s="10" t="str">
        <f t="shared" si="1"/>
        <v>March</v>
      </c>
      <c r="B3983" s="11">
        <f>IFERROR(__xludf.DUMMYFUNCTION("""COMPUTED_VALUE"""),46094.0)</f>
        <v>46094</v>
      </c>
      <c r="C3983" s="2" t="str">
        <f>IFERROR(__xludf.DUMMYFUNCTION("""COMPUTED_VALUE"""),"MOBILECARE - APP TRINOMA")</f>
        <v>MOBILECARE - APP TRINOMA</v>
      </c>
      <c r="D3983" s="2" t="str">
        <f>IFERROR(__xludf.DUMMYFUNCTION("""COMPUTED_VALUE"""),"661-22374")</f>
        <v>661-22374</v>
      </c>
      <c r="E3983" s="2" t="str">
        <f>IFERROR(__xludf.DUMMYFUNCTION("""COMPUTED_VALUE"""),"Battery, iPhone 13 mini")</f>
        <v>Battery, iPhone 13 mini</v>
      </c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</row>
    <row r="3984">
      <c r="A3984" s="10" t="str">
        <f t="shared" si="1"/>
        <v>May</v>
      </c>
      <c r="B3984" s="11">
        <f>IFERROR(__xludf.DUMMYFUNCTION("""COMPUTED_VALUE"""),46165.0)</f>
        <v>46165</v>
      </c>
      <c r="C3984" s="2" t="str">
        <f>IFERROR(__xludf.DUMMYFUNCTION("""COMPUTED_VALUE"""),"MOBILECARE - APP TRINOMA")</f>
        <v>MOBILECARE - APP TRINOMA</v>
      </c>
      <c r="D3984" s="2" t="str">
        <f>IFERROR(__xludf.DUMMYFUNCTION("""COMPUTED_VALUE"""),"661-42726")</f>
        <v>661-42726</v>
      </c>
      <c r="E3984" s="2" t="str">
        <f>IFERROR(__xludf.DUMMYFUNCTION("""COMPUTED_VALUE"""),"Display, iPhone 16 Pro")</f>
        <v>Display, iPhone 16 Pro</v>
      </c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</row>
    <row r="3985">
      <c r="A3985" s="10" t="str">
        <f t="shared" si="1"/>
        <v>April</v>
      </c>
      <c r="B3985" s="11">
        <f>IFERROR(__xludf.DUMMYFUNCTION("""COMPUTED_VALUE"""),46128.0)</f>
        <v>46128</v>
      </c>
      <c r="C3985" s="2" t="str">
        <f>IFERROR(__xludf.DUMMYFUNCTION("""COMPUTED_VALUE"""),"MOBILECARE - APP TRINOMA")</f>
        <v>MOBILECARE - APP TRINOMA</v>
      </c>
      <c r="D3985" s="2" t="str">
        <f>IFERROR(__xludf.DUMMYFUNCTION("""COMPUTED_VALUE"""),"661-21991")</f>
        <v>661-21991</v>
      </c>
      <c r="E3985" s="2" t="str">
        <f>IFERROR(__xludf.DUMMYFUNCTION("""COMPUTED_VALUE"""),"Battery, iPhone 13")</f>
        <v>Battery, iPhone 13</v>
      </c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</row>
    <row r="3986">
      <c r="A3986" s="10" t="str">
        <f t="shared" si="1"/>
        <v>April</v>
      </c>
      <c r="B3986" s="11">
        <f>IFERROR(__xludf.DUMMYFUNCTION("""COMPUTED_VALUE"""),46135.0)</f>
        <v>46135</v>
      </c>
      <c r="C3986" s="2" t="str">
        <f>IFERROR(__xludf.DUMMYFUNCTION("""COMPUTED_VALUE"""),"MOBILECARE - APP TRINOMA")</f>
        <v>MOBILECARE - APP TRINOMA</v>
      </c>
      <c r="D3986" s="2" t="str">
        <f>IFERROR(__xludf.DUMMYFUNCTION("""COMPUTED_VALUE"""),"661-36829")</f>
        <v>661-36829</v>
      </c>
      <c r="E3986" s="2" t="str">
        <f>IFERROR(__xludf.DUMMYFUNCTION("""COMPUTED_VALUE"""),"TrueDepth Camera, iPhone 15")</f>
        <v>TrueDepth Camera, iPhone 15</v>
      </c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</row>
    <row r="3987">
      <c r="A3987" s="10" t="str">
        <f t="shared" si="1"/>
        <v>March</v>
      </c>
      <c r="B3987" s="11">
        <f>IFERROR(__xludf.DUMMYFUNCTION("""COMPUTED_VALUE"""),46102.0)</f>
        <v>46102</v>
      </c>
      <c r="C3987" s="2" t="str">
        <f>IFERROR(__xludf.DUMMYFUNCTION("""COMPUTED_VALUE"""),"MOBILECARE - APP TRINOMA")</f>
        <v>MOBILECARE - APP TRINOMA</v>
      </c>
      <c r="D3987" s="2" t="str">
        <f>IFERROR(__xludf.DUMMYFUNCTION("""COMPUTED_VALUE"""),"661-22309")</f>
        <v>661-22309</v>
      </c>
      <c r="E3987" s="2" t="str">
        <f>IFERROR(__xludf.DUMMYFUNCTION("""COMPUTED_VALUE"""),"Display, iPhone 13 Pro Max")</f>
        <v>Display, iPhone 13 Pro Max</v>
      </c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</row>
    <row r="3988">
      <c r="A3988" s="10" t="str">
        <f t="shared" si="1"/>
        <v>January</v>
      </c>
      <c r="B3988" s="11">
        <f>IFERROR(__xludf.DUMMYFUNCTION("""COMPUTED_VALUE"""),46044.0)</f>
        <v>46044</v>
      </c>
      <c r="C3988" s="2" t="str">
        <f>IFERROR(__xludf.DUMMYFUNCTION("""COMPUTED_VALUE"""),"MOBILECARE - APP TRINOMA")</f>
        <v>MOBILECARE - APP TRINOMA</v>
      </c>
      <c r="D3988" s="2" t="str">
        <f>IFERROR(__xludf.DUMMYFUNCTION("""COMPUTED_VALUE"""),"661-18428")</f>
        <v>661-18428</v>
      </c>
      <c r="E3988" s="2" t="str">
        <f>IFERROR(__xludf.DUMMYFUNCTION("""COMPUTED_VALUE"""),"Battery, iPhone 12 Pro Max")</f>
        <v>Battery, iPhone 12 Pro Max</v>
      </c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</row>
    <row r="3989">
      <c r="A3989" s="10" t="str">
        <f t="shared" si="1"/>
        <v>March</v>
      </c>
      <c r="B3989" s="11">
        <f>IFERROR(__xludf.DUMMYFUNCTION("""COMPUTED_VALUE"""),46105.0)</f>
        <v>46105</v>
      </c>
      <c r="C3989" s="2" t="str">
        <f>IFERROR(__xludf.DUMMYFUNCTION("""COMPUTED_VALUE"""),"MOBILECARE - APP TRINOMA")</f>
        <v>MOBILECARE - APP TRINOMA</v>
      </c>
      <c r="D3989" s="2" t="str">
        <f>IFERROR(__xludf.DUMMYFUNCTION("""COMPUTED_VALUE"""),"661-42726")</f>
        <v>661-42726</v>
      </c>
      <c r="E3989" s="2" t="str">
        <f>IFERROR(__xludf.DUMMYFUNCTION("""COMPUTED_VALUE"""),"Display, iPhone 16 Pro")</f>
        <v>Display, iPhone 16 Pro</v>
      </c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</row>
    <row r="3990">
      <c r="A3990" s="10" t="str">
        <f t="shared" si="1"/>
        <v>February</v>
      </c>
      <c r="B3990" s="11">
        <f>IFERROR(__xludf.DUMMYFUNCTION("""COMPUTED_VALUE"""),46081.0)</f>
        <v>46081</v>
      </c>
      <c r="C3990" s="2" t="str">
        <f>IFERROR(__xludf.DUMMYFUNCTION("""COMPUTED_VALUE"""),"MOBILECARE - APP TRINOMA")</f>
        <v>MOBILECARE - APP TRINOMA</v>
      </c>
      <c r="D3990" s="2" t="str">
        <f>IFERROR(__xludf.DUMMYFUNCTION("""COMPUTED_VALUE"""),"661-21991")</f>
        <v>661-21991</v>
      </c>
      <c r="E3990" s="2" t="str">
        <f>IFERROR(__xludf.DUMMYFUNCTION("""COMPUTED_VALUE"""),"Battery, iPhone 13")</f>
        <v>Battery, iPhone 13</v>
      </c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</row>
    <row r="3991">
      <c r="A3991" s="10" t="str">
        <f t="shared" si="1"/>
        <v>February</v>
      </c>
      <c r="B3991" s="11">
        <f>IFERROR(__xludf.DUMMYFUNCTION("""COMPUTED_VALUE"""),46068.0)</f>
        <v>46068</v>
      </c>
      <c r="C3991" s="2" t="str">
        <f>IFERROR(__xludf.DUMMYFUNCTION("""COMPUTED_VALUE"""),"MOBILECARE - APP TRINOMA")</f>
        <v>MOBILECARE - APP TRINOMA</v>
      </c>
      <c r="D3991" s="2" t="str">
        <f>IFERROR(__xludf.DUMMYFUNCTION("""COMPUTED_VALUE"""),"661-21991")</f>
        <v>661-21991</v>
      </c>
      <c r="E3991" s="2" t="str">
        <f>IFERROR(__xludf.DUMMYFUNCTION("""COMPUTED_VALUE"""),"Battery, iPhone 13")</f>
        <v>Battery, iPhone 13</v>
      </c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</row>
    <row r="3992">
      <c r="A3992" s="10" t="str">
        <f t="shared" si="1"/>
        <v>February</v>
      </c>
      <c r="B3992" s="11">
        <f>IFERROR(__xludf.DUMMYFUNCTION("""COMPUTED_VALUE"""),46070.0)</f>
        <v>46070</v>
      </c>
      <c r="C3992" s="2" t="str">
        <f>IFERROR(__xludf.DUMMYFUNCTION("""COMPUTED_VALUE"""),"MOBILECARE - APP TRINOMA")</f>
        <v>MOBILECARE - APP TRINOMA</v>
      </c>
      <c r="D3992" s="2" t="str">
        <f>IFERROR(__xludf.DUMMYFUNCTION("""COMPUTED_VALUE"""),"661-42728")</f>
        <v>661-42728</v>
      </c>
      <c r="E3992" s="2" t="str">
        <f>IFERROR(__xludf.DUMMYFUNCTION("""COMPUTED_VALUE"""),"Camera, iPhone 16 Pro")</f>
        <v>Camera, iPhone 16 Pro</v>
      </c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</row>
    <row r="3993">
      <c r="A3993" s="10" t="str">
        <f t="shared" si="1"/>
        <v>May</v>
      </c>
      <c r="B3993" s="11">
        <f>IFERROR(__xludf.DUMMYFUNCTION("""COMPUTED_VALUE"""),46144.0)</f>
        <v>46144</v>
      </c>
      <c r="C3993" s="2" t="str">
        <f>IFERROR(__xludf.DUMMYFUNCTION("""COMPUTED_VALUE"""),"MOBILECARE - APP TRINOMA")</f>
        <v>MOBILECARE - APP TRINOMA</v>
      </c>
      <c r="D3993" s="2" t="str">
        <f>IFERROR(__xludf.DUMMYFUNCTION("""COMPUTED_VALUE"""),"661-30397")</f>
        <v>661-30397</v>
      </c>
      <c r="E3993" s="2" t="str">
        <f>IFERROR(__xludf.DUMMYFUNCTION("""COMPUTED_VALUE"""),"Battery, iPhone 14 Pro Max")</f>
        <v>Battery, iPhone 14 Pro Max</v>
      </c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</row>
    <row r="3994">
      <c r="A3994" s="10" t="str">
        <f t="shared" si="1"/>
        <v>April</v>
      </c>
      <c r="B3994" s="11">
        <f>IFERROR(__xludf.DUMMYFUNCTION("""COMPUTED_VALUE"""),46133.0)</f>
        <v>46133</v>
      </c>
      <c r="C3994" s="2" t="str">
        <f>IFERROR(__xludf.DUMMYFUNCTION("""COMPUTED_VALUE"""),"MOBILECARE - APP TRINOMA")</f>
        <v>MOBILECARE - APP TRINOMA</v>
      </c>
      <c r="D3994" s="2" t="str">
        <f>IFERROR(__xludf.DUMMYFUNCTION("""COMPUTED_VALUE"""),"661-35694")</f>
        <v>661-35694</v>
      </c>
      <c r="E3994" s="2" t="str">
        <f>IFERROR(__xludf.DUMMYFUNCTION("""COMPUTED_VALUE"""),"Battery, iPhone 15 Pro")</f>
        <v>Battery, iPhone 15 Pro</v>
      </c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</row>
    <row r="3995">
      <c r="A3995" s="10" t="str">
        <f t="shared" si="1"/>
        <v>April</v>
      </c>
      <c r="B3995" s="11">
        <f>IFERROR(__xludf.DUMMYFUNCTION("""COMPUTED_VALUE"""),46130.0)</f>
        <v>46130</v>
      </c>
      <c r="C3995" s="2" t="str">
        <f>IFERROR(__xludf.DUMMYFUNCTION("""COMPUTED_VALUE"""),"MOBILECARE - APP TRINOMA")</f>
        <v>MOBILECARE - APP TRINOMA</v>
      </c>
      <c r="D3995" s="2" t="str">
        <f>IFERROR(__xludf.DUMMYFUNCTION("""COMPUTED_VALUE"""),"661-30397")</f>
        <v>661-30397</v>
      </c>
      <c r="E3995" s="2" t="str">
        <f>IFERROR(__xludf.DUMMYFUNCTION("""COMPUTED_VALUE"""),"Battery, iPhone 14 Pro Max")</f>
        <v>Battery, iPhone 14 Pro Max</v>
      </c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</row>
    <row r="3996">
      <c r="A3996" s="10" t="str">
        <f t="shared" si="1"/>
        <v>March</v>
      </c>
      <c r="B3996" s="11">
        <f>IFERROR(__xludf.DUMMYFUNCTION("""COMPUTED_VALUE"""),46091.0)</f>
        <v>46091</v>
      </c>
      <c r="C3996" s="2" t="str">
        <f>IFERROR(__xludf.DUMMYFUNCTION("""COMPUTED_VALUE"""),"MOBILECARE - APP TRINOMA")</f>
        <v>MOBILECARE - APP TRINOMA</v>
      </c>
      <c r="D3996" s="2" t="str">
        <f>IFERROR(__xludf.DUMMYFUNCTION("""COMPUTED_VALUE"""),"661-56050")</f>
        <v>661-56050</v>
      </c>
      <c r="E3996" s="2" t="str">
        <f>IFERROR(__xludf.DUMMYFUNCTION("""COMPUTED_VALUE"""),"Display, iPhone 17 Pro Max")</f>
        <v>Display, iPhone 17 Pro Max</v>
      </c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</row>
    <row r="3997">
      <c r="A3997" s="10" t="str">
        <f t="shared" si="1"/>
        <v>March</v>
      </c>
      <c r="B3997" s="11">
        <f>IFERROR(__xludf.DUMMYFUNCTION("""COMPUTED_VALUE"""),46091.0)</f>
        <v>46091</v>
      </c>
      <c r="C3997" s="2" t="str">
        <f>IFERROR(__xludf.DUMMYFUNCTION("""COMPUTED_VALUE"""),"MOBILECARE - APP TRINOMA")</f>
        <v>MOBILECARE - APP TRINOMA</v>
      </c>
      <c r="D3997" s="2" t="str">
        <f>IFERROR(__xludf.DUMMYFUNCTION("""COMPUTED_VALUE"""),"661-56050")</f>
        <v>661-56050</v>
      </c>
      <c r="E3997" s="2" t="str">
        <f>IFERROR(__xludf.DUMMYFUNCTION("""COMPUTED_VALUE"""),"Display, iPhone 17 Pro Max")</f>
        <v>Display, iPhone 17 Pro Max</v>
      </c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</row>
    <row r="3998">
      <c r="A3998" s="10" t="str">
        <f t="shared" si="1"/>
        <v>February</v>
      </c>
      <c r="B3998" s="11">
        <f>IFERROR(__xludf.DUMMYFUNCTION("""COMPUTED_VALUE"""),46068.0)</f>
        <v>46068</v>
      </c>
      <c r="C3998" s="2" t="str">
        <f>IFERROR(__xludf.DUMMYFUNCTION("""COMPUTED_VALUE"""),"MOBILECARE - APP TRINOMA")</f>
        <v>MOBILECARE - APP TRINOMA</v>
      </c>
      <c r="D3998" s="2" t="str">
        <f>IFERROR(__xludf.DUMMYFUNCTION("""COMPUTED_VALUE"""),"661-30397")</f>
        <v>661-30397</v>
      </c>
      <c r="E3998" s="2" t="str">
        <f>IFERROR(__xludf.DUMMYFUNCTION("""COMPUTED_VALUE"""),"Battery, iPhone 14 Pro Max")</f>
        <v>Battery, iPhone 14 Pro Max</v>
      </c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</row>
    <row r="3999">
      <c r="A3999" s="10" t="str">
        <f t="shared" si="1"/>
        <v>January</v>
      </c>
      <c r="B3999" s="11">
        <f>IFERROR(__xludf.DUMMYFUNCTION("""COMPUTED_VALUE"""),46043.0)</f>
        <v>46043</v>
      </c>
      <c r="C3999" s="2" t="str">
        <f>IFERROR(__xludf.DUMMYFUNCTION("""COMPUTED_VALUE"""),"MOBILECARE - APP TRINOMA")</f>
        <v>MOBILECARE - APP TRINOMA</v>
      </c>
      <c r="D3999" s="2" t="str">
        <f>IFERROR(__xludf.DUMMYFUNCTION("""COMPUTED_VALUE"""),"661-30366")</f>
        <v>661-30366</v>
      </c>
      <c r="E3999" s="2" t="str">
        <f>IFERROR(__xludf.DUMMYFUNCTION("""COMPUTED_VALUE"""),"Display, iPhone 14")</f>
        <v>Display, iPhone 14</v>
      </c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</row>
    <row r="4000">
      <c r="A4000" s="10" t="str">
        <f t="shared" si="1"/>
        <v>May</v>
      </c>
      <c r="B4000" s="11">
        <f>IFERROR(__xludf.DUMMYFUNCTION("""COMPUTED_VALUE"""),46161.0)</f>
        <v>46161</v>
      </c>
      <c r="C4000" s="2" t="str">
        <f>IFERROR(__xludf.DUMMYFUNCTION("""COMPUTED_VALUE"""),"MOBILECARE - APP TRINOMA")</f>
        <v>MOBILECARE - APP TRINOMA</v>
      </c>
      <c r="D4000" s="2" t="str">
        <f>IFERROR(__xludf.DUMMYFUNCTION("""COMPUTED_VALUE"""),"661-21991")</f>
        <v>661-21991</v>
      </c>
      <c r="E4000" s="2" t="str">
        <f>IFERROR(__xludf.DUMMYFUNCTION("""COMPUTED_VALUE"""),"Battery, iPhone 13")</f>
        <v>Battery, iPhone 13</v>
      </c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</row>
    <row r="4001">
      <c r="A4001" s="10" t="str">
        <f t="shared" si="1"/>
        <v>April</v>
      </c>
      <c r="B4001" s="11">
        <f>IFERROR(__xludf.DUMMYFUNCTION("""COMPUTED_VALUE"""),46120.0)</f>
        <v>46120</v>
      </c>
      <c r="C4001" s="2" t="str">
        <f>IFERROR(__xludf.DUMMYFUNCTION("""COMPUTED_VALUE"""),"MOBILECARE - APP TRINOMA")</f>
        <v>MOBILECARE - APP TRINOMA</v>
      </c>
      <c r="D4001" s="2" t="str">
        <f>IFERROR(__xludf.DUMMYFUNCTION("""COMPUTED_VALUE"""),"661-44955")</f>
        <v>661-44955</v>
      </c>
      <c r="E4001" s="2" t="str">
        <f>IFERROR(__xludf.DUMMYFUNCTION("""COMPUTED_VALUE"""),"Display, iPhone 16 Pro Max")</f>
        <v>Display, iPhone 16 Pro Max</v>
      </c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</row>
    <row r="4002">
      <c r="A4002" s="10" t="str">
        <f t="shared" si="1"/>
        <v>April</v>
      </c>
      <c r="B4002" s="11">
        <f>IFERROR(__xludf.DUMMYFUNCTION("""COMPUTED_VALUE"""),46116.0)</f>
        <v>46116</v>
      </c>
      <c r="C4002" s="2" t="str">
        <f>IFERROR(__xludf.DUMMYFUNCTION("""COMPUTED_VALUE"""),"MOBILECARE - APP TRINOMA")</f>
        <v>MOBILECARE - APP TRINOMA</v>
      </c>
      <c r="D4002" s="2" t="str">
        <f>IFERROR(__xludf.DUMMYFUNCTION("""COMPUTED_VALUE"""),"661-21991")</f>
        <v>661-21991</v>
      </c>
      <c r="E4002" s="2" t="str">
        <f>IFERROR(__xludf.DUMMYFUNCTION("""COMPUTED_VALUE"""),"Battery, iPhone 13")</f>
        <v>Battery, iPhone 13</v>
      </c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</row>
    <row r="4003">
      <c r="A4003" s="10" t="str">
        <f t="shared" si="1"/>
        <v>March</v>
      </c>
      <c r="B4003" s="11">
        <f>IFERROR(__xludf.DUMMYFUNCTION("""COMPUTED_VALUE"""),46088.0)</f>
        <v>46088</v>
      </c>
      <c r="C4003" s="2" t="str">
        <f>IFERROR(__xludf.DUMMYFUNCTION("""COMPUTED_VALUE"""),"MOBILECARE - APP TRINOMA")</f>
        <v>MOBILECARE - APP TRINOMA</v>
      </c>
      <c r="D4003" s="2" t="str">
        <f>IFERROR(__xludf.DUMMYFUNCTION("""COMPUTED_VALUE"""),"661-30373")</f>
        <v>661-30373</v>
      </c>
      <c r="E4003" s="2" t="str">
        <f>IFERROR(__xludf.DUMMYFUNCTION("""COMPUTED_VALUE"""),"Battery, iPhone 14")</f>
        <v>Battery, iPhone 14</v>
      </c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</row>
    <row r="4004">
      <c r="A4004" s="10" t="str">
        <f t="shared" si="1"/>
        <v>March</v>
      </c>
      <c r="B4004" s="11">
        <f>IFERROR(__xludf.DUMMYFUNCTION("""COMPUTED_VALUE"""),46088.0)</f>
        <v>46088</v>
      </c>
      <c r="C4004" s="2" t="str">
        <f>IFERROR(__xludf.DUMMYFUNCTION("""COMPUTED_VALUE"""),"MOBILECARE - APP TRINOMA")</f>
        <v>MOBILECARE - APP TRINOMA</v>
      </c>
      <c r="D4004" s="2" t="str">
        <f>IFERROR(__xludf.DUMMYFUNCTION("""COMPUTED_VALUE"""),"661-30413")</f>
        <v>661-30413</v>
      </c>
      <c r="E4004" s="2" t="str">
        <f>IFERROR(__xludf.DUMMYFUNCTION("""COMPUTED_VALUE"""),"Midnight, Back Glass, iPhone 14")</f>
        <v>Midnight, Back Glass, iPhone 14</v>
      </c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</row>
    <row r="4005">
      <c r="A4005" s="10" t="str">
        <f t="shared" si="1"/>
        <v>January</v>
      </c>
      <c r="B4005" s="11">
        <f>IFERROR(__xludf.DUMMYFUNCTION("""COMPUTED_VALUE"""),46043.0)</f>
        <v>46043</v>
      </c>
      <c r="C4005" s="2" t="str">
        <f>IFERROR(__xludf.DUMMYFUNCTION("""COMPUTED_VALUE"""),"MOBILECARE - APP TRINOMA")</f>
        <v>MOBILECARE - APP TRINOMA</v>
      </c>
      <c r="D4005" s="2" t="str">
        <f>IFERROR(__xludf.DUMMYFUNCTION("""COMPUTED_VALUE"""),"661-21991")</f>
        <v>661-21991</v>
      </c>
      <c r="E4005" s="2" t="str">
        <f>IFERROR(__xludf.DUMMYFUNCTION("""COMPUTED_VALUE"""),"Battery, iPhone 13")</f>
        <v>Battery, iPhone 13</v>
      </c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</row>
    <row r="4006">
      <c r="A4006" s="10" t="str">
        <f t="shared" si="1"/>
        <v>June</v>
      </c>
      <c r="B4006" s="11">
        <f>IFERROR(__xludf.DUMMYFUNCTION("""COMPUTED_VALUE"""),46191.0)</f>
        <v>46191</v>
      </c>
      <c r="C4006" s="2" t="str">
        <f>IFERROR(__xludf.DUMMYFUNCTION("""COMPUTED_VALUE"""),"MOBILECARE - APP TRINOMA")</f>
        <v>MOBILECARE - APP TRINOMA</v>
      </c>
      <c r="D4006" s="2" t="str">
        <f>IFERROR(__xludf.DUMMYFUNCTION("""COMPUTED_VALUE"""),"661-21991")</f>
        <v>661-21991</v>
      </c>
      <c r="E4006" s="2" t="str">
        <f>IFERROR(__xludf.DUMMYFUNCTION("""COMPUTED_VALUE"""),"Battery, iPhone 13")</f>
        <v>Battery, iPhone 13</v>
      </c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</row>
    <row r="4007">
      <c r="A4007" s="10" t="str">
        <f t="shared" si="1"/>
        <v>April</v>
      </c>
      <c r="B4007" s="11">
        <f>IFERROR(__xludf.DUMMYFUNCTION("""COMPUTED_VALUE"""),46137.0)</f>
        <v>46137</v>
      </c>
      <c r="C4007" s="2" t="str">
        <f>IFERROR(__xludf.DUMMYFUNCTION("""COMPUTED_VALUE"""),"MOBILECARE - APP TRINOMA")</f>
        <v>MOBILECARE - APP TRINOMA</v>
      </c>
      <c r="D4007" s="2" t="str">
        <f>IFERROR(__xludf.DUMMYFUNCTION("""COMPUTED_VALUE"""),"661-21991")</f>
        <v>661-21991</v>
      </c>
      <c r="E4007" s="2" t="str">
        <f>IFERROR(__xludf.DUMMYFUNCTION("""COMPUTED_VALUE"""),"Battery, iPhone 13")</f>
        <v>Battery, iPhone 13</v>
      </c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</row>
    <row r="4008">
      <c r="A4008" s="10" t="str">
        <f t="shared" si="1"/>
        <v>March</v>
      </c>
      <c r="B4008" s="11">
        <f>IFERROR(__xludf.DUMMYFUNCTION("""COMPUTED_VALUE"""),46095.0)</f>
        <v>46095</v>
      </c>
      <c r="C4008" s="2" t="str">
        <f>IFERROR(__xludf.DUMMYFUNCTION("""COMPUTED_VALUE"""),"MOBILECARE - APP TRINOMA")</f>
        <v>MOBILECARE - APP TRINOMA</v>
      </c>
      <c r="D4008" s="2" t="str">
        <f>IFERROR(__xludf.DUMMYFUNCTION("""COMPUTED_VALUE"""),"661-22294")</f>
        <v>661-22294</v>
      </c>
      <c r="E4008" s="2" t="str">
        <f>IFERROR(__xludf.DUMMYFUNCTION("""COMPUTED_VALUE"""),"Battery, iPhone 13 Pro Max")</f>
        <v>Battery, iPhone 13 Pro Max</v>
      </c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</row>
    <row r="4009">
      <c r="A4009" s="10" t="str">
        <f t="shared" si="1"/>
        <v>January</v>
      </c>
      <c r="B4009" s="11">
        <f>IFERROR(__xludf.DUMMYFUNCTION("""COMPUTED_VALUE"""),46046.0)</f>
        <v>46046</v>
      </c>
      <c r="C4009" s="2" t="str">
        <f>IFERROR(__xludf.DUMMYFUNCTION("""COMPUTED_VALUE"""),"MOBILECARE - APP TRINOMA")</f>
        <v>MOBILECARE - APP TRINOMA</v>
      </c>
      <c r="D4009" s="2" t="str">
        <f>IFERROR(__xludf.DUMMYFUNCTION("""COMPUTED_VALUE"""),"661-21991")</f>
        <v>661-21991</v>
      </c>
      <c r="E4009" s="2" t="str">
        <f>IFERROR(__xludf.DUMMYFUNCTION("""COMPUTED_VALUE"""),"Battery, iPhone 13")</f>
        <v>Battery, iPhone 13</v>
      </c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</row>
    <row r="4010">
      <c r="A4010" s="10" t="str">
        <f t="shared" si="1"/>
        <v>January</v>
      </c>
      <c r="B4010" s="11">
        <f>IFERROR(__xludf.DUMMYFUNCTION("""COMPUTED_VALUE"""),46037.0)</f>
        <v>46037</v>
      </c>
      <c r="C4010" s="2" t="str">
        <f>IFERROR(__xludf.DUMMYFUNCTION("""COMPUTED_VALUE"""),"MOBILECARE - APP TRINOMA")</f>
        <v>MOBILECARE - APP TRINOMA</v>
      </c>
      <c r="D4010" s="2" t="str">
        <f>IFERROR(__xludf.DUMMYFUNCTION("""COMPUTED_VALUE"""),"661-22309")</f>
        <v>661-22309</v>
      </c>
      <c r="E4010" s="2" t="str">
        <f>IFERROR(__xludf.DUMMYFUNCTION("""COMPUTED_VALUE"""),"Display, iPhone 13 Pro Max")</f>
        <v>Display, iPhone 13 Pro Max</v>
      </c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</row>
    <row r="4011">
      <c r="A4011" s="10" t="str">
        <f t="shared" si="1"/>
        <v>June</v>
      </c>
      <c r="B4011" s="11">
        <f>IFERROR(__xludf.DUMMYFUNCTION("""COMPUTED_VALUE"""),46186.0)</f>
        <v>46186</v>
      </c>
      <c r="C4011" s="2" t="str">
        <f>IFERROR(__xludf.DUMMYFUNCTION("""COMPUTED_VALUE"""),"MOBILECARE - APP TRINOMA")</f>
        <v>MOBILECARE - APP TRINOMA</v>
      </c>
      <c r="D4011" s="2" t="str">
        <f>IFERROR(__xludf.DUMMYFUNCTION("""COMPUTED_VALUE"""),"661-35694")</f>
        <v>661-35694</v>
      </c>
      <c r="E4011" s="2" t="str">
        <f>IFERROR(__xludf.DUMMYFUNCTION("""COMPUTED_VALUE"""),"Battery, iPhone 15 Pro")</f>
        <v>Battery, iPhone 15 Pro</v>
      </c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</row>
    <row r="4012">
      <c r="A4012" s="10" t="str">
        <f t="shared" si="1"/>
        <v>April</v>
      </c>
      <c r="B4012" s="11">
        <f>IFERROR(__xludf.DUMMYFUNCTION("""COMPUTED_VALUE"""),46133.0)</f>
        <v>46133</v>
      </c>
      <c r="C4012" s="2" t="str">
        <f>IFERROR(__xludf.DUMMYFUNCTION("""COMPUTED_VALUE"""),"MOBILECARE - APP TRINOMA")</f>
        <v>MOBILECARE - APP TRINOMA</v>
      </c>
      <c r="D4012" s="2" t="str">
        <f>IFERROR(__xludf.DUMMYFUNCTION("""COMPUTED_VALUE"""),"661-22309")</f>
        <v>661-22309</v>
      </c>
      <c r="E4012" s="2" t="str">
        <f>IFERROR(__xludf.DUMMYFUNCTION("""COMPUTED_VALUE"""),"Display, iPhone 13 Pro Max")</f>
        <v>Display, iPhone 13 Pro Max</v>
      </c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</row>
    <row r="4013">
      <c r="A4013" s="10" t="str">
        <f t="shared" si="1"/>
        <v>March</v>
      </c>
      <c r="B4013" s="11">
        <f>IFERROR(__xludf.DUMMYFUNCTION("""COMPUTED_VALUE"""),46093.0)</f>
        <v>46093</v>
      </c>
      <c r="C4013" s="2" t="str">
        <f>IFERROR(__xludf.DUMMYFUNCTION("""COMPUTED_VALUE"""),"MOBILECARE - APP TRINOMA")</f>
        <v>MOBILECARE - APP TRINOMA</v>
      </c>
      <c r="D4013" s="2" t="str">
        <f>IFERROR(__xludf.DUMMYFUNCTION("""COMPUTED_VALUE"""),"661-44955")</f>
        <v>661-44955</v>
      </c>
      <c r="E4013" s="2" t="str">
        <f>IFERROR(__xludf.DUMMYFUNCTION("""COMPUTED_VALUE"""),"Display, iPhone 16 Pro Max")</f>
        <v>Display, iPhone 16 Pro Max</v>
      </c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</row>
    <row r="4014">
      <c r="A4014" s="10" t="str">
        <f t="shared" si="1"/>
        <v>March</v>
      </c>
      <c r="B4014" s="11">
        <f>IFERROR(__xludf.DUMMYFUNCTION("""COMPUTED_VALUE"""),46084.0)</f>
        <v>46084</v>
      </c>
      <c r="C4014" s="2" t="str">
        <f>IFERROR(__xludf.DUMMYFUNCTION("""COMPUTED_VALUE"""),"MOBILECARE - APP TRINOMA")</f>
        <v>MOBILECARE - APP TRINOMA</v>
      </c>
      <c r="D4014" s="2" t="str">
        <f>IFERROR(__xludf.DUMMYFUNCTION("""COMPUTED_VALUE"""),"661-21991")</f>
        <v>661-21991</v>
      </c>
      <c r="E4014" s="2" t="str">
        <f>IFERROR(__xludf.DUMMYFUNCTION("""COMPUTED_VALUE"""),"Battery, iPhone 13")</f>
        <v>Battery, iPhone 13</v>
      </c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</row>
    <row r="4015">
      <c r="A4015" s="10" t="str">
        <f t="shared" si="1"/>
        <v>February</v>
      </c>
      <c r="B4015" s="11">
        <f>IFERROR(__xludf.DUMMYFUNCTION("""COMPUTED_VALUE"""),46068.0)</f>
        <v>46068</v>
      </c>
      <c r="C4015" s="2" t="str">
        <f>IFERROR(__xludf.DUMMYFUNCTION("""COMPUTED_VALUE"""),"MOBILECARE - APP TRINOMA")</f>
        <v>MOBILECARE - APP TRINOMA</v>
      </c>
      <c r="D4015" s="2" t="str">
        <f>IFERROR(__xludf.DUMMYFUNCTION("""COMPUTED_VALUE"""),"661-56061")</f>
        <v>661-56061</v>
      </c>
      <c r="E4015" s="2" t="str">
        <f>IFERROR(__xludf.DUMMYFUNCTION("""COMPUTED_VALUE"""),"Sage, Back Glass, iPhone 17")</f>
        <v>Sage, Back Glass, iPhone 17</v>
      </c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</row>
    <row r="4016">
      <c r="A4016" s="10" t="str">
        <f t="shared" si="1"/>
        <v>February</v>
      </c>
      <c r="B4016" s="11">
        <f>IFERROR(__xludf.DUMMYFUNCTION("""COMPUTED_VALUE"""),46068.0)</f>
        <v>46068</v>
      </c>
      <c r="C4016" s="2" t="str">
        <f>IFERROR(__xludf.DUMMYFUNCTION("""COMPUTED_VALUE"""),"MOBILECARE - APP TRINOMA")</f>
        <v>MOBILECARE - APP TRINOMA</v>
      </c>
      <c r="D4016" s="2" t="str">
        <f>IFERROR(__xludf.DUMMYFUNCTION("""COMPUTED_VALUE"""),"661-21991")</f>
        <v>661-21991</v>
      </c>
      <c r="E4016" s="2" t="str">
        <f>IFERROR(__xludf.DUMMYFUNCTION("""COMPUTED_VALUE"""),"Battery, iPhone 13")</f>
        <v>Battery, iPhone 13</v>
      </c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</row>
    <row r="4017">
      <c r="A4017" s="10" t="str">
        <f t="shared" si="1"/>
        <v>March</v>
      </c>
      <c r="B4017" s="11">
        <f>IFERROR(__xludf.DUMMYFUNCTION("""COMPUTED_VALUE"""),46092.0)</f>
        <v>46092</v>
      </c>
      <c r="C4017" s="2" t="str">
        <f>IFERROR(__xludf.DUMMYFUNCTION("""COMPUTED_VALUE"""),"MOBILECARE - APP TRINOMA")</f>
        <v>MOBILECARE - APP TRINOMA</v>
      </c>
      <c r="D4017" s="2" t="str">
        <f>IFERROR(__xludf.DUMMYFUNCTION("""COMPUTED_VALUE"""),"661-21991")</f>
        <v>661-21991</v>
      </c>
      <c r="E4017" s="2" t="str">
        <f>IFERROR(__xludf.DUMMYFUNCTION("""COMPUTED_VALUE"""),"Battery, iPhone 13")</f>
        <v>Battery, iPhone 13</v>
      </c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</row>
    <row r="4018">
      <c r="A4018" s="10" t="str">
        <f t="shared" si="1"/>
        <v>February</v>
      </c>
      <c r="B4018" s="11">
        <f>IFERROR(__xludf.DUMMYFUNCTION("""COMPUTED_VALUE"""),46076.0)</f>
        <v>46076</v>
      </c>
      <c r="C4018" s="2" t="str">
        <f>IFERROR(__xludf.DUMMYFUNCTION("""COMPUTED_VALUE"""),"MOBILECARE - APP TRINOMA")</f>
        <v>MOBILECARE - APP TRINOMA</v>
      </c>
      <c r="D4018" s="2" t="str">
        <f>IFERROR(__xludf.DUMMYFUNCTION("""COMPUTED_VALUE"""),"661-30397")</f>
        <v>661-30397</v>
      </c>
      <c r="E4018" s="2" t="str">
        <f>IFERROR(__xludf.DUMMYFUNCTION("""COMPUTED_VALUE"""),"Battery, iPhone 14 Pro Max")</f>
        <v>Battery, iPhone 14 Pro Max</v>
      </c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</row>
    <row r="4019">
      <c r="A4019" s="10" t="str">
        <f t="shared" si="1"/>
        <v>February</v>
      </c>
      <c r="B4019" s="11">
        <f>IFERROR(__xludf.DUMMYFUNCTION("""COMPUTED_VALUE"""),46055.0)</f>
        <v>46055</v>
      </c>
      <c r="C4019" s="2" t="str">
        <f>IFERROR(__xludf.DUMMYFUNCTION("""COMPUTED_VALUE"""),"MOBILECARE - APP TRINOMA")</f>
        <v>MOBILECARE - APP TRINOMA</v>
      </c>
      <c r="D4019" s="2" t="str">
        <f>IFERROR(__xludf.DUMMYFUNCTION("""COMPUTED_VALUE"""),"661-44955")</f>
        <v>661-44955</v>
      </c>
      <c r="E4019" s="2" t="str">
        <f>IFERROR(__xludf.DUMMYFUNCTION("""COMPUTED_VALUE"""),"Display, iPhone 16 Pro Max")</f>
        <v>Display, iPhone 16 Pro Max</v>
      </c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</row>
    <row r="4020">
      <c r="A4020" s="10" t="str">
        <f t="shared" si="1"/>
        <v>May</v>
      </c>
      <c r="B4020" s="11">
        <f>IFERROR(__xludf.DUMMYFUNCTION("""COMPUTED_VALUE"""),46161.0)</f>
        <v>46161</v>
      </c>
      <c r="C4020" s="2" t="str">
        <f>IFERROR(__xludf.DUMMYFUNCTION("""COMPUTED_VALUE"""),"MOBILECARE - THE PODIUM")</f>
        <v>MOBILECARE - THE PODIUM</v>
      </c>
      <c r="D4020" s="2" t="str">
        <f>IFERROR(__xludf.DUMMYFUNCTION("""COMPUTED_VALUE"""),"661-44957")</f>
        <v>661-44957</v>
      </c>
      <c r="E4020" s="2" t="str">
        <f>IFERROR(__xludf.DUMMYFUNCTION("""COMPUTED_VALUE"""),"Camera, iPhone 16 Pro Max")</f>
        <v>Camera, iPhone 16 Pro Max</v>
      </c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</row>
    <row r="4021">
      <c r="A4021" s="10" t="str">
        <f t="shared" si="1"/>
        <v>April</v>
      </c>
      <c r="B4021" s="11">
        <f>IFERROR(__xludf.DUMMYFUNCTION("""COMPUTED_VALUE"""),46127.0)</f>
        <v>46127</v>
      </c>
      <c r="C4021" s="2" t="str">
        <f>IFERROR(__xludf.DUMMYFUNCTION("""COMPUTED_VALUE"""),"MOBILECARE - THE PODIUM")</f>
        <v>MOBILECARE - THE PODIUM</v>
      </c>
      <c r="D4021" s="2" t="str">
        <f>IFERROR(__xludf.DUMMYFUNCTION("""COMPUTED_VALUE"""),"661-35885")</f>
        <v>661-35885</v>
      </c>
      <c r="E4021" s="2" t="str">
        <f>IFERROR(__xludf.DUMMYFUNCTION("""COMPUTED_VALUE"""),"Battery, iPhone 15")</f>
        <v>Battery, iPhone 15</v>
      </c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</row>
    <row r="4022">
      <c r="A4022" s="10" t="str">
        <f t="shared" si="1"/>
        <v>March</v>
      </c>
      <c r="B4022" s="11">
        <f>IFERROR(__xludf.DUMMYFUNCTION("""COMPUTED_VALUE"""),46105.0)</f>
        <v>46105</v>
      </c>
      <c r="C4022" s="2" t="str">
        <f>IFERROR(__xludf.DUMMYFUNCTION("""COMPUTED_VALUE"""),"MOBILECARE - THE PODIUM")</f>
        <v>MOBILECARE - THE PODIUM</v>
      </c>
      <c r="D4022" s="2" t="str">
        <f>IFERROR(__xludf.DUMMYFUNCTION("""COMPUTED_VALUE"""),"661-56125")</f>
        <v>661-56125</v>
      </c>
      <c r="E4022" s="2" t="str">
        <f>IFERROR(__xludf.DUMMYFUNCTION("""COMPUTED_VALUE"""),"Display, iPhone 17 Pro")</f>
        <v>Display, iPhone 17 Pro</v>
      </c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</row>
    <row r="4023">
      <c r="A4023" s="10" t="str">
        <f t="shared" si="1"/>
        <v>March</v>
      </c>
      <c r="B4023" s="11">
        <f>IFERROR(__xludf.DUMMYFUNCTION("""COMPUTED_VALUE"""),46095.0)</f>
        <v>46095</v>
      </c>
      <c r="C4023" s="2" t="str">
        <f>IFERROR(__xludf.DUMMYFUNCTION("""COMPUTED_VALUE"""),"MOBILECARE - THE PODIUM")</f>
        <v>MOBILECARE - THE PODIUM</v>
      </c>
      <c r="D4023" s="2" t="str">
        <f>IFERROR(__xludf.DUMMYFUNCTION("""COMPUTED_VALUE"""),"661-17920")</f>
        <v>661-17920</v>
      </c>
      <c r="E4023" s="2" t="str">
        <f>IFERROR(__xludf.DUMMYFUNCTION("""COMPUTED_VALUE"""),"Battery, iPhone 12 and 12 Pro")</f>
        <v>Battery, iPhone 12 and 12 Pro</v>
      </c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</row>
    <row r="4024">
      <c r="A4024" s="10" t="str">
        <f t="shared" si="1"/>
        <v>March</v>
      </c>
      <c r="B4024" s="11">
        <f>IFERROR(__xludf.DUMMYFUNCTION("""COMPUTED_VALUE"""),46084.0)</f>
        <v>46084</v>
      </c>
      <c r="C4024" s="2" t="str">
        <f>IFERROR(__xludf.DUMMYFUNCTION("""COMPUTED_VALUE"""),"MOBILECARE - THE PODIUM")</f>
        <v>MOBILECARE - THE PODIUM</v>
      </c>
      <c r="D4024" s="2" t="str">
        <f>IFERROR(__xludf.DUMMYFUNCTION("""COMPUTED_VALUE"""),"661-21988")</f>
        <v>661-21988</v>
      </c>
      <c r="E4024" s="2" t="str">
        <f>IFERROR(__xludf.DUMMYFUNCTION("""COMPUTED_VALUE"""),"Display, iPhone 13")</f>
        <v>Display, iPhone 13</v>
      </c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</row>
    <row r="4025">
      <c r="A4025" s="10" t="str">
        <f t="shared" si="1"/>
        <v>February</v>
      </c>
      <c r="B4025" s="11">
        <f>IFERROR(__xludf.DUMMYFUNCTION("""COMPUTED_VALUE"""),46078.0)</f>
        <v>46078</v>
      </c>
      <c r="C4025" s="2" t="str">
        <f>IFERROR(__xludf.DUMMYFUNCTION("""COMPUTED_VALUE"""),"MOBILECARE - THE PODIUM")</f>
        <v>MOBILECARE - THE PODIUM</v>
      </c>
      <c r="D4025" s="2" t="str">
        <f>IFERROR(__xludf.DUMMYFUNCTION("""COMPUTED_VALUE"""),"661-44798")</f>
        <v>661-44798</v>
      </c>
      <c r="E4025" s="2" t="str">
        <f>IFERROR(__xludf.DUMMYFUNCTION("""COMPUTED_VALUE"""),"TrueDepth Camera, iPhone 16")</f>
        <v>TrueDepth Camera, iPhone 16</v>
      </c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</row>
    <row r="4026">
      <c r="A4026" s="10" t="str">
        <f t="shared" si="1"/>
        <v>February</v>
      </c>
      <c r="B4026" s="11">
        <f>IFERROR(__xludf.DUMMYFUNCTION("""COMPUTED_VALUE"""),46081.0)</f>
        <v>46081</v>
      </c>
      <c r="C4026" s="2" t="str">
        <f>IFERROR(__xludf.DUMMYFUNCTION("""COMPUTED_VALUE"""),"MOBILECARE - THE PODIUM")</f>
        <v>MOBILECARE - THE PODIUM</v>
      </c>
      <c r="D4026" s="2" t="str">
        <f>IFERROR(__xludf.DUMMYFUNCTION("""COMPUTED_VALUE"""),"661-44955")</f>
        <v>661-44955</v>
      </c>
      <c r="E4026" s="2" t="str">
        <f>IFERROR(__xludf.DUMMYFUNCTION("""COMPUTED_VALUE"""),"Display, iPhone 16 Pro Max")</f>
        <v>Display, iPhone 16 Pro Max</v>
      </c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</row>
    <row r="4027">
      <c r="A4027" s="10" t="str">
        <f t="shared" si="1"/>
        <v>February</v>
      </c>
      <c r="B4027" s="11">
        <f>IFERROR(__xludf.DUMMYFUNCTION("""COMPUTED_VALUE"""),46063.0)</f>
        <v>46063</v>
      </c>
      <c r="C4027" s="2" t="str">
        <f>IFERROR(__xludf.DUMMYFUNCTION("""COMPUTED_VALUE"""),"MOBILECARE - THE PODIUM")</f>
        <v>MOBILECARE - THE PODIUM</v>
      </c>
      <c r="D4027" s="2" t="str">
        <f>IFERROR(__xludf.DUMMYFUNCTION("""COMPUTED_VALUE"""),"661-56050")</f>
        <v>661-56050</v>
      </c>
      <c r="E4027" s="2" t="str">
        <f>IFERROR(__xludf.DUMMYFUNCTION("""COMPUTED_VALUE"""),"Display, iPhone 17 Pro Max")</f>
        <v>Display, iPhone 17 Pro Max</v>
      </c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</row>
    <row r="4028">
      <c r="A4028" s="10" t="str">
        <f t="shared" si="1"/>
        <v>February</v>
      </c>
      <c r="B4028" s="11">
        <f>IFERROR(__xludf.DUMMYFUNCTION("""COMPUTED_VALUE"""),46073.0)</f>
        <v>46073</v>
      </c>
      <c r="C4028" s="2" t="str">
        <f>IFERROR(__xludf.DUMMYFUNCTION("""COMPUTED_VALUE"""),"MOBILECARE - THE PODIUM")</f>
        <v>MOBILECARE - THE PODIUM</v>
      </c>
      <c r="D4028" s="2" t="str">
        <f>IFERROR(__xludf.DUMMYFUNCTION("""COMPUTED_VALUE"""),"TA661-45328")</f>
        <v>TA661-45328</v>
      </c>
      <c r="E4028" s="2" t="str">
        <f>IFERROR(__xludf.DUMMYFUNCTION("""COMPUTED_VALUE"""),"512GB, Natural Titanium, ROW, iPhone 16 Pro Max, Logic Board Assy Mid Sy")</f>
        <v>512GB, Natural Titanium, ROW, iPhone 16 Pro Max, Logic Board Assy Mid Sy</v>
      </c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</row>
    <row r="4029">
      <c r="A4029" s="10" t="str">
        <f t="shared" si="1"/>
        <v>January</v>
      </c>
      <c r="B4029" s="11">
        <f>IFERROR(__xludf.DUMMYFUNCTION("""COMPUTED_VALUE"""),46053.0)</f>
        <v>46053</v>
      </c>
      <c r="C4029" s="2" t="str">
        <f>IFERROR(__xludf.DUMMYFUNCTION("""COMPUTED_VALUE"""),"MOBILECARE - THE PODIUM")</f>
        <v>MOBILECARE - THE PODIUM</v>
      </c>
      <c r="D4029" s="2" t="str">
        <f>IFERROR(__xludf.DUMMYFUNCTION("""COMPUTED_VALUE"""),"661-30382")</f>
        <v>661-30382</v>
      </c>
      <c r="E4029" s="2" t="str">
        <f>IFERROR(__xludf.DUMMYFUNCTION("""COMPUTED_VALUE"""),"Battery, iPhone 14 Pro")</f>
        <v>Battery, iPhone 14 Pro</v>
      </c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</row>
    <row r="4030">
      <c r="A4030" s="10" t="str">
        <f t="shared" si="1"/>
        <v>April</v>
      </c>
      <c r="B4030" s="11">
        <f>IFERROR(__xludf.DUMMYFUNCTION("""COMPUTED_VALUE"""),46116.0)</f>
        <v>46116</v>
      </c>
      <c r="C4030" s="2" t="str">
        <f>IFERROR(__xludf.DUMMYFUNCTION("""COMPUTED_VALUE"""),"MOBILECARE - THE PODIUM")</f>
        <v>MOBILECARE - THE PODIUM</v>
      </c>
      <c r="D4030" s="2" t="str">
        <f>IFERROR(__xludf.DUMMYFUNCTION("""COMPUTED_VALUE"""),"661-22294")</f>
        <v>661-22294</v>
      </c>
      <c r="E4030" s="2" t="str">
        <f>IFERROR(__xludf.DUMMYFUNCTION("""COMPUTED_VALUE"""),"Battery, iPhone 13 Pro Max")</f>
        <v>Battery, iPhone 13 Pro Max</v>
      </c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</row>
    <row r="4031">
      <c r="A4031" s="10" t="str">
        <f t="shared" si="1"/>
        <v>February</v>
      </c>
      <c r="B4031" s="11">
        <f>IFERROR(__xludf.DUMMYFUNCTION("""COMPUTED_VALUE"""),46059.0)</f>
        <v>46059</v>
      </c>
      <c r="C4031" s="2" t="str">
        <f>IFERROR(__xludf.DUMMYFUNCTION("""COMPUTED_VALUE"""),"MOBILECARE - THE PODIUM")</f>
        <v>MOBILECARE - THE PODIUM</v>
      </c>
      <c r="D4031" s="2" t="str">
        <f>IFERROR(__xludf.DUMMYFUNCTION("""COMPUTED_VALUE"""),"661-17939")</f>
        <v>661-17939</v>
      </c>
      <c r="E4031" s="2" t="str">
        <f>IFERROR(__xludf.DUMMYFUNCTION("""COMPUTED_VALUE"""),"Battery, iPhone 12 mini")</f>
        <v>Battery, iPhone 12 mini</v>
      </c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</row>
    <row r="4032">
      <c r="A4032" s="10" t="str">
        <f t="shared" si="1"/>
        <v>January</v>
      </c>
      <c r="B4032" s="11">
        <f>IFERROR(__xludf.DUMMYFUNCTION("""COMPUTED_VALUE"""),46049.0)</f>
        <v>46049</v>
      </c>
      <c r="C4032" s="2" t="str">
        <f>IFERROR(__xludf.DUMMYFUNCTION("""COMPUTED_VALUE"""),"MOBILECARE - THE PODIUM")</f>
        <v>MOBILECARE - THE PODIUM</v>
      </c>
      <c r="D4032" s="2" t="str">
        <f>IFERROR(__xludf.DUMMYFUNCTION("""COMPUTED_VALUE"""),"661-22311")</f>
        <v>661-22311</v>
      </c>
      <c r="E4032" s="2" t="str">
        <f>IFERROR(__xludf.DUMMYFUNCTION("""COMPUTED_VALUE"""),"Display, iPhone 13 mini")</f>
        <v>Display, iPhone 13 mini</v>
      </c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</row>
    <row r="4033">
      <c r="A4033" s="10" t="str">
        <f t="shared" si="1"/>
        <v>January</v>
      </c>
      <c r="B4033" s="11">
        <f>IFERROR(__xludf.DUMMYFUNCTION("""COMPUTED_VALUE"""),46049.0)</f>
        <v>46049</v>
      </c>
      <c r="C4033" s="2" t="str">
        <f>IFERROR(__xludf.DUMMYFUNCTION("""COMPUTED_VALUE"""),"MOBILECARE - THE PODIUM")</f>
        <v>MOBILECARE - THE PODIUM</v>
      </c>
      <c r="D4033" s="2" t="str">
        <f>IFERROR(__xludf.DUMMYFUNCTION("""COMPUTED_VALUE"""),"661-22374")</f>
        <v>661-22374</v>
      </c>
      <c r="E4033" s="2" t="str">
        <f>IFERROR(__xludf.DUMMYFUNCTION("""COMPUTED_VALUE"""),"Battery, iPhone 13 mini")</f>
        <v>Battery, iPhone 13 mini</v>
      </c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</row>
    <row r="4034">
      <c r="A4034" s="10" t="str">
        <f t="shared" si="1"/>
        <v>June</v>
      </c>
      <c r="B4034" s="11">
        <f>IFERROR(__xludf.DUMMYFUNCTION("""COMPUTED_VALUE"""),46186.0)</f>
        <v>46186</v>
      </c>
      <c r="C4034" s="2" t="str">
        <f>IFERROR(__xludf.DUMMYFUNCTION("""COMPUTED_VALUE"""),"MOBILECARE - THE PODIUM")</f>
        <v>MOBILECARE - THE PODIUM</v>
      </c>
      <c r="D4034" s="2" t="str">
        <f>IFERROR(__xludf.DUMMYFUNCTION("""COMPUTED_VALUE"""),"661-30382")</f>
        <v>661-30382</v>
      </c>
      <c r="E4034" s="2" t="str">
        <f>IFERROR(__xludf.DUMMYFUNCTION("""COMPUTED_VALUE"""),"Battery, iPhone 14 Pro")</f>
        <v>Battery, iPhone 14 Pro</v>
      </c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</row>
    <row r="4035">
      <c r="A4035" s="10" t="str">
        <f t="shared" si="1"/>
        <v>June</v>
      </c>
      <c r="B4035" s="11">
        <f>IFERROR(__xludf.DUMMYFUNCTION("""COMPUTED_VALUE"""),46191.0)</f>
        <v>46191</v>
      </c>
      <c r="C4035" s="2" t="str">
        <f>IFERROR(__xludf.DUMMYFUNCTION("""COMPUTED_VALUE"""),"MOBILECARE - THE PODIUM")</f>
        <v>MOBILECARE - THE PODIUM</v>
      </c>
      <c r="D4035" s="2" t="str">
        <f>IFERROR(__xludf.DUMMYFUNCTION("""COMPUTED_VALUE"""),"661-22374")</f>
        <v>661-22374</v>
      </c>
      <c r="E4035" s="2" t="str">
        <f>IFERROR(__xludf.DUMMYFUNCTION("""COMPUTED_VALUE"""),"Battery, iPhone 13 mini")</f>
        <v>Battery, iPhone 13 mini</v>
      </c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</row>
    <row r="4036">
      <c r="A4036" s="10" t="str">
        <f t="shared" si="1"/>
        <v>May</v>
      </c>
      <c r="B4036" s="11">
        <f>IFERROR(__xludf.DUMMYFUNCTION("""COMPUTED_VALUE"""),46163.0)</f>
        <v>46163</v>
      </c>
      <c r="C4036" s="2" t="str">
        <f>IFERROR(__xludf.DUMMYFUNCTION("""COMPUTED_VALUE"""),"MOBILECARE - THE PODIUM")</f>
        <v>MOBILECARE - THE PODIUM</v>
      </c>
      <c r="D4036" s="2" t="str">
        <f>IFERROR(__xludf.DUMMYFUNCTION("""COMPUTED_VALUE"""),"661-30397")</f>
        <v>661-30397</v>
      </c>
      <c r="E4036" s="2" t="str">
        <f>IFERROR(__xludf.DUMMYFUNCTION("""COMPUTED_VALUE"""),"Battery, iPhone 14 Pro Max")</f>
        <v>Battery, iPhone 14 Pro Max</v>
      </c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</row>
    <row r="4037">
      <c r="A4037" s="10" t="str">
        <f t="shared" si="1"/>
        <v>April</v>
      </c>
      <c r="B4037" s="11">
        <f>IFERROR(__xludf.DUMMYFUNCTION("""COMPUTED_VALUE"""),46138.0)</f>
        <v>46138</v>
      </c>
      <c r="C4037" s="2" t="str">
        <f>IFERROR(__xludf.DUMMYFUNCTION("""COMPUTED_VALUE"""),"MOBILECARE - THE PODIUM")</f>
        <v>MOBILECARE - THE PODIUM</v>
      </c>
      <c r="D4037" s="2" t="str">
        <f>IFERROR(__xludf.DUMMYFUNCTION("""COMPUTED_VALUE"""),"661-44955")</f>
        <v>661-44955</v>
      </c>
      <c r="E4037" s="2" t="str">
        <f>IFERROR(__xludf.DUMMYFUNCTION("""COMPUTED_VALUE"""),"Display, iPhone 16 Pro Max")</f>
        <v>Display, iPhone 16 Pro Max</v>
      </c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</row>
    <row r="4038">
      <c r="A4038" s="10" t="str">
        <f t="shared" si="1"/>
        <v>April</v>
      </c>
      <c r="B4038" s="11">
        <f>IFERROR(__xludf.DUMMYFUNCTION("""COMPUTED_VALUE"""),46130.0)</f>
        <v>46130</v>
      </c>
      <c r="C4038" s="2" t="str">
        <f>IFERROR(__xludf.DUMMYFUNCTION("""COMPUTED_VALUE"""),"MOBILECARE - THE PODIUM")</f>
        <v>MOBILECARE - THE PODIUM</v>
      </c>
      <c r="D4038" s="2" t="str">
        <f>IFERROR(__xludf.DUMMYFUNCTION("""COMPUTED_VALUE"""),"661-13574")</f>
        <v>661-13574</v>
      </c>
      <c r="E4038" s="2" t="str">
        <f>IFERROR(__xludf.DUMMYFUNCTION("""COMPUTED_VALUE"""),"Battery, iPhone 11")</f>
        <v>Battery, iPhone 11</v>
      </c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</row>
    <row r="4039">
      <c r="A4039" s="10" t="str">
        <f t="shared" si="1"/>
        <v>March</v>
      </c>
      <c r="B4039" s="11">
        <f>IFERROR(__xludf.DUMMYFUNCTION("""COMPUTED_VALUE"""),46106.0)</f>
        <v>46106</v>
      </c>
      <c r="C4039" s="2" t="str">
        <f>IFERROR(__xludf.DUMMYFUNCTION("""COMPUTED_VALUE"""),"MOBILECARE - THE PODIUM")</f>
        <v>MOBILECARE - THE PODIUM</v>
      </c>
      <c r="D4039" s="2" t="str">
        <f>IFERROR(__xludf.DUMMYFUNCTION("""COMPUTED_VALUE"""),"661-44955")</f>
        <v>661-44955</v>
      </c>
      <c r="E4039" s="2" t="str">
        <f>IFERROR(__xludf.DUMMYFUNCTION("""COMPUTED_VALUE"""),"Display, iPhone 16 Pro Max")</f>
        <v>Display, iPhone 16 Pro Max</v>
      </c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</row>
    <row r="4040">
      <c r="A4040" s="10" t="str">
        <f t="shared" si="1"/>
        <v>March</v>
      </c>
      <c r="B4040" s="11">
        <f>IFERROR(__xludf.DUMMYFUNCTION("""COMPUTED_VALUE"""),46108.0)</f>
        <v>46108</v>
      </c>
      <c r="C4040" s="2" t="str">
        <f>IFERROR(__xludf.DUMMYFUNCTION("""COMPUTED_VALUE"""),"MOBILECARE - THE PODIUM")</f>
        <v>MOBILECARE - THE PODIUM</v>
      </c>
      <c r="D4040" s="2" t="str">
        <f>IFERROR(__xludf.DUMMYFUNCTION("""COMPUTED_VALUE"""),"661-30393")</f>
        <v>661-30393</v>
      </c>
      <c r="E4040" s="2" t="str">
        <f>IFERROR(__xludf.DUMMYFUNCTION("""COMPUTED_VALUE"""),"Camera, iPhone 14 Plus")</f>
        <v>Camera, iPhone 14 Plus</v>
      </c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</row>
    <row r="4041">
      <c r="A4041" s="10" t="str">
        <f t="shared" si="1"/>
        <v>March</v>
      </c>
      <c r="B4041" s="11">
        <f>IFERROR(__xludf.DUMMYFUNCTION("""COMPUTED_VALUE"""),46101.0)</f>
        <v>46101</v>
      </c>
      <c r="C4041" s="2" t="str">
        <f>IFERROR(__xludf.DUMMYFUNCTION("""COMPUTED_VALUE"""),"MOBILECARE - THE PODIUM")</f>
        <v>MOBILECARE - THE PODIUM</v>
      </c>
      <c r="D4041" s="2" t="str">
        <f>IFERROR(__xludf.DUMMYFUNCTION("""COMPUTED_VALUE"""),"661-21991")</f>
        <v>661-21991</v>
      </c>
      <c r="E4041" s="2" t="str">
        <f>IFERROR(__xludf.DUMMYFUNCTION("""COMPUTED_VALUE"""),"Battery, iPhone 13")</f>
        <v>Battery, iPhone 13</v>
      </c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</row>
    <row r="4042">
      <c r="A4042" s="10" t="str">
        <f t="shared" si="1"/>
        <v>March</v>
      </c>
      <c r="B4042" s="11">
        <f>IFERROR(__xludf.DUMMYFUNCTION("""COMPUTED_VALUE"""),46101.0)</f>
        <v>46101</v>
      </c>
      <c r="C4042" s="2" t="str">
        <f>IFERROR(__xludf.DUMMYFUNCTION("""COMPUTED_VALUE"""),"MOBILECARE - THE PODIUM")</f>
        <v>MOBILECARE - THE PODIUM</v>
      </c>
      <c r="D4042" s="2" t="str">
        <f>IFERROR(__xludf.DUMMYFUNCTION("""COMPUTED_VALUE"""),"923-06235")</f>
        <v>923-06235</v>
      </c>
      <c r="E4042" s="2" t="str">
        <f>IFERROR(__xludf.DUMMYFUNCTION("""COMPUTED_VALUE"""),"Bottom Speaker, iPhone 13")</f>
        <v>Bottom Speaker, iPhone 13</v>
      </c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</row>
    <row r="4043">
      <c r="A4043" s="10" t="str">
        <f t="shared" si="1"/>
        <v>March</v>
      </c>
      <c r="B4043" s="11">
        <f>IFERROR(__xludf.DUMMYFUNCTION("""COMPUTED_VALUE"""),46090.0)</f>
        <v>46090</v>
      </c>
      <c r="C4043" s="2" t="str">
        <f>IFERROR(__xludf.DUMMYFUNCTION("""COMPUTED_VALUE"""),"MOBILECARE - THE PODIUM")</f>
        <v>MOBILECARE - THE PODIUM</v>
      </c>
      <c r="D4043" s="2" t="str">
        <f>IFERROR(__xludf.DUMMYFUNCTION("""COMPUTED_VALUE"""),"661-22309")</f>
        <v>661-22309</v>
      </c>
      <c r="E4043" s="2" t="str">
        <f>IFERROR(__xludf.DUMMYFUNCTION("""COMPUTED_VALUE"""),"Display, iPhone 13 Pro Max")</f>
        <v>Display, iPhone 13 Pro Max</v>
      </c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</row>
    <row r="4044">
      <c r="A4044" s="10" t="str">
        <f t="shared" si="1"/>
        <v>February</v>
      </c>
      <c r="B4044" s="11">
        <f>IFERROR(__xludf.DUMMYFUNCTION("""COMPUTED_VALUE"""),46066.0)</f>
        <v>46066</v>
      </c>
      <c r="C4044" s="2" t="str">
        <f>IFERROR(__xludf.DUMMYFUNCTION("""COMPUTED_VALUE"""),"MOBILECARE - THE PODIUM")</f>
        <v>MOBILECARE - THE PODIUM</v>
      </c>
      <c r="D4044" s="2" t="str">
        <f>IFERROR(__xludf.DUMMYFUNCTION("""COMPUTED_VALUE"""),"661-22294")</f>
        <v>661-22294</v>
      </c>
      <c r="E4044" s="2" t="str">
        <f>IFERROR(__xludf.DUMMYFUNCTION("""COMPUTED_VALUE"""),"Battery, iPhone 13 Pro Max")</f>
        <v>Battery, iPhone 13 Pro Max</v>
      </c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</row>
    <row r="4045">
      <c r="A4045" s="10" t="str">
        <f t="shared" si="1"/>
        <v>January</v>
      </c>
      <c r="B4045" s="11">
        <f>IFERROR(__xludf.DUMMYFUNCTION("""COMPUTED_VALUE"""),46047.0)</f>
        <v>46047</v>
      </c>
      <c r="C4045" s="2" t="str">
        <f>IFERROR(__xludf.DUMMYFUNCTION("""COMPUTED_VALUE"""),"MOBILECARE - THE PODIUM")</f>
        <v>MOBILECARE - THE PODIUM</v>
      </c>
      <c r="D4045" s="2" t="str">
        <f>IFERROR(__xludf.DUMMYFUNCTION("""COMPUTED_VALUE"""),"661-22309")</f>
        <v>661-22309</v>
      </c>
      <c r="E4045" s="2" t="str">
        <f>IFERROR(__xludf.DUMMYFUNCTION("""COMPUTED_VALUE"""),"Display, iPhone 13 Pro Max")</f>
        <v>Display, iPhone 13 Pro Max</v>
      </c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</row>
    <row r="4046">
      <c r="A4046" s="10" t="str">
        <f t="shared" si="1"/>
        <v>March</v>
      </c>
      <c r="B4046" s="11">
        <f>IFERROR(__xludf.DUMMYFUNCTION("""COMPUTED_VALUE"""),46110.0)</f>
        <v>46110</v>
      </c>
      <c r="C4046" s="2" t="str">
        <f>IFERROR(__xludf.DUMMYFUNCTION("""COMPUTED_VALUE"""),"MOBILECARE - THE PODIUM")</f>
        <v>MOBILECARE - THE PODIUM</v>
      </c>
      <c r="D4046" s="2" t="str">
        <f>IFERROR(__xludf.DUMMYFUNCTION("""COMPUTED_VALUE"""),"661-21991")</f>
        <v>661-21991</v>
      </c>
      <c r="E4046" s="2" t="str">
        <f>IFERROR(__xludf.DUMMYFUNCTION("""COMPUTED_VALUE"""),"Battery, iPhone 13")</f>
        <v>Battery, iPhone 13</v>
      </c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</row>
    <row r="4047">
      <c r="A4047" s="10" t="str">
        <f t="shared" si="1"/>
        <v>March</v>
      </c>
      <c r="B4047" s="11">
        <f>IFERROR(__xludf.DUMMYFUNCTION("""COMPUTED_VALUE"""),46087.0)</f>
        <v>46087</v>
      </c>
      <c r="C4047" s="2" t="str">
        <f>IFERROR(__xludf.DUMMYFUNCTION("""COMPUTED_VALUE"""),"MOBILECARE - THE PODIUM")</f>
        <v>MOBILECARE - THE PODIUM</v>
      </c>
      <c r="D4047" s="2" t="str">
        <f>IFERROR(__xludf.DUMMYFUNCTION("""COMPUTED_VALUE"""),"661-15741")</f>
        <v>661-15741</v>
      </c>
      <c r="E4047" s="2" t="str">
        <f>IFERROR(__xludf.DUMMYFUNCTION("""COMPUTED_VALUE"""),"Battery, iPhone SE 2nd gen")</f>
        <v>Battery, iPhone SE 2nd gen</v>
      </c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</row>
    <row r="4048">
      <c r="A4048" s="10" t="str">
        <f t="shared" si="1"/>
        <v>February</v>
      </c>
      <c r="B4048" s="11">
        <f>IFERROR(__xludf.DUMMYFUNCTION("""COMPUTED_VALUE"""),46069.0)</f>
        <v>46069</v>
      </c>
      <c r="C4048" s="2" t="str">
        <f>IFERROR(__xludf.DUMMYFUNCTION("""COMPUTED_VALUE"""),"MOBILECARE - THE PODIUM")</f>
        <v>MOBILECARE - THE PODIUM</v>
      </c>
      <c r="D4048" s="2" t="str">
        <f>IFERROR(__xludf.DUMMYFUNCTION("""COMPUTED_VALUE"""),"661-18428")</f>
        <v>661-18428</v>
      </c>
      <c r="E4048" s="2" t="str">
        <f>IFERROR(__xludf.DUMMYFUNCTION("""COMPUTED_VALUE"""),"Battery, iPhone 12 Pro Max")</f>
        <v>Battery, iPhone 12 Pro Max</v>
      </c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</row>
    <row r="4049">
      <c r="A4049" s="10" t="str">
        <f t="shared" si="1"/>
        <v>February</v>
      </c>
      <c r="B4049" s="11">
        <f>IFERROR(__xludf.DUMMYFUNCTION("""COMPUTED_VALUE"""),46066.0)</f>
        <v>46066</v>
      </c>
      <c r="C4049" s="2" t="str">
        <f>IFERROR(__xludf.DUMMYFUNCTION("""COMPUTED_VALUE"""),"MOBILECARE - THE PODIUM")</f>
        <v>MOBILECARE - THE PODIUM</v>
      </c>
      <c r="D4049" s="2" t="str">
        <f>IFERROR(__xludf.DUMMYFUNCTION("""COMPUTED_VALUE"""),"661-21988")</f>
        <v>661-21988</v>
      </c>
      <c r="E4049" s="2" t="str">
        <f>IFERROR(__xludf.DUMMYFUNCTION("""COMPUTED_VALUE"""),"Display, iPhone 13")</f>
        <v>Display, iPhone 13</v>
      </c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</row>
    <row r="4050">
      <c r="A4050" s="10" t="str">
        <f t="shared" si="1"/>
        <v>February</v>
      </c>
      <c r="B4050" s="11">
        <f>IFERROR(__xludf.DUMMYFUNCTION("""COMPUTED_VALUE"""),46054.0)</f>
        <v>46054</v>
      </c>
      <c r="C4050" s="2" t="str">
        <f>IFERROR(__xludf.DUMMYFUNCTION("""COMPUTED_VALUE"""),"MOBILECARE - THE PODIUM")</f>
        <v>MOBILECARE - THE PODIUM</v>
      </c>
      <c r="D4050" s="2" t="str">
        <f>IFERROR(__xludf.DUMMYFUNCTION("""COMPUTED_VALUE"""),"661-21991")</f>
        <v>661-21991</v>
      </c>
      <c r="E4050" s="2" t="str">
        <f>IFERROR(__xludf.DUMMYFUNCTION("""COMPUTED_VALUE"""),"Battery, iPhone 13")</f>
        <v>Battery, iPhone 13</v>
      </c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</row>
    <row r="4051">
      <c r="A4051" s="10" t="str">
        <f t="shared" si="1"/>
        <v>January</v>
      </c>
      <c r="B4051" s="11">
        <f>IFERROR(__xludf.DUMMYFUNCTION("""COMPUTED_VALUE"""),46047.0)</f>
        <v>46047</v>
      </c>
      <c r="C4051" s="2" t="str">
        <f>IFERROR(__xludf.DUMMYFUNCTION("""COMPUTED_VALUE"""),"MOBILECARE - THE PODIUM")</f>
        <v>MOBILECARE - THE PODIUM</v>
      </c>
      <c r="D4051" s="2" t="str">
        <f>IFERROR(__xludf.DUMMYFUNCTION("""COMPUTED_VALUE"""),"661-35885")</f>
        <v>661-35885</v>
      </c>
      <c r="E4051" s="2" t="str">
        <f>IFERROR(__xludf.DUMMYFUNCTION("""COMPUTED_VALUE"""),"Battery, iPhone 15")</f>
        <v>Battery, iPhone 15</v>
      </c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</row>
    <row r="4052">
      <c r="A4052" s="10" t="str">
        <f t="shared" si="1"/>
        <v>January</v>
      </c>
      <c r="B4052" s="11">
        <f>IFERROR(__xludf.DUMMYFUNCTION("""COMPUTED_VALUE"""),46034.0)</f>
        <v>46034</v>
      </c>
      <c r="C4052" s="2" t="str">
        <f>IFERROR(__xludf.DUMMYFUNCTION("""COMPUTED_VALUE"""),"MOBILECARE - THE PODIUM")</f>
        <v>MOBILECARE - THE PODIUM</v>
      </c>
      <c r="D4052" s="2" t="str">
        <f>IFERROR(__xludf.DUMMYFUNCTION("""COMPUTED_VALUE"""),"661-22309")</f>
        <v>661-22309</v>
      </c>
      <c r="E4052" s="2" t="str">
        <f>IFERROR(__xludf.DUMMYFUNCTION("""COMPUTED_VALUE"""),"Display, iPhone 13 Pro Max")</f>
        <v>Display, iPhone 13 Pro Max</v>
      </c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</row>
    <row r="4053">
      <c r="A4053" s="10" t="str">
        <f t="shared" si="1"/>
        <v>June</v>
      </c>
      <c r="B4053" s="11">
        <f>IFERROR(__xludf.DUMMYFUNCTION("""COMPUTED_VALUE"""),46184.0)</f>
        <v>46184</v>
      </c>
      <c r="C4053" s="2" t="str">
        <f>IFERROR(__xludf.DUMMYFUNCTION("""COMPUTED_VALUE"""),"MOBILECARE - THE PODIUM")</f>
        <v>MOBILECARE - THE PODIUM</v>
      </c>
      <c r="D4053" s="2" t="str">
        <f>IFERROR(__xludf.DUMMYFUNCTION("""COMPUTED_VALUE"""),"661-13574")</f>
        <v>661-13574</v>
      </c>
      <c r="E4053" s="2" t="str">
        <f>IFERROR(__xludf.DUMMYFUNCTION("""COMPUTED_VALUE"""),"Battery, iPhone 11")</f>
        <v>Battery, iPhone 11</v>
      </c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</row>
    <row r="4054">
      <c r="A4054" s="10" t="str">
        <f t="shared" si="1"/>
        <v>June</v>
      </c>
      <c r="B4054" s="11">
        <f>IFERROR(__xludf.DUMMYFUNCTION("""COMPUTED_VALUE"""),46179.0)</f>
        <v>46179</v>
      </c>
      <c r="C4054" s="2" t="str">
        <f>IFERROR(__xludf.DUMMYFUNCTION("""COMPUTED_VALUE"""),"MOBILECARE - THE PODIUM")</f>
        <v>MOBILECARE - THE PODIUM</v>
      </c>
      <c r="D4054" s="2" t="str">
        <f>IFERROR(__xludf.DUMMYFUNCTION("""COMPUTED_VALUE"""),"661-36906")</f>
        <v>661-36906</v>
      </c>
      <c r="E4054" s="2" t="str">
        <f>IFERROR(__xludf.DUMMYFUNCTION("""COMPUTED_VALUE"""),"Camera , iPhone 15 Pro Max")</f>
        <v>Camera , iPhone 15 Pro Max</v>
      </c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</row>
    <row r="4055">
      <c r="A4055" s="10" t="str">
        <f t="shared" si="1"/>
        <v>April</v>
      </c>
      <c r="B4055" s="11">
        <f>IFERROR(__xludf.DUMMYFUNCTION("""COMPUTED_VALUE"""),46134.0)</f>
        <v>46134</v>
      </c>
      <c r="C4055" s="2" t="str">
        <f>IFERROR(__xludf.DUMMYFUNCTION("""COMPUTED_VALUE"""),"MOBILECARE - THE PODIUM")</f>
        <v>MOBILECARE - THE PODIUM</v>
      </c>
      <c r="D4055" s="2" t="str">
        <f>IFERROR(__xludf.DUMMYFUNCTION("""COMPUTED_VALUE"""),"661-17920")</f>
        <v>661-17920</v>
      </c>
      <c r="E4055" s="2" t="str">
        <f>IFERROR(__xludf.DUMMYFUNCTION("""COMPUTED_VALUE"""),"Battery, iPhone 12 and 12 Pro")</f>
        <v>Battery, iPhone 12 and 12 Pro</v>
      </c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</row>
    <row r="4056">
      <c r="A4056" s="10" t="str">
        <f t="shared" si="1"/>
        <v>April</v>
      </c>
      <c r="B4056" s="11">
        <f>IFERROR(__xludf.DUMMYFUNCTION("""COMPUTED_VALUE"""),46120.0)</f>
        <v>46120</v>
      </c>
      <c r="C4056" s="2" t="str">
        <f>IFERROR(__xludf.DUMMYFUNCTION("""COMPUTED_VALUE"""),"MOBILECARE - THE PODIUM")</f>
        <v>MOBILECARE - THE PODIUM</v>
      </c>
      <c r="D4056" s="2" t="str">
        <f>IFERROR(__xludf.DUMMYFUNCTION("""COMPUTED_VALUE"""),"661-35828")</f>
        <v>661-35828</v>
      </c>
      <c r="E4056" s="2" t="str">
        <f>IFERROR(__xludf.DUMMYFUNCTION("""COMPUTED_VALUE"""),"Camera, iPhone 15")</f>
        <v>Camera, iPhone 15</v>
      </c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</row>
    <row r="4057">
      <c r="A4057" s="10" t="str">
        <f t="shared" si="1"/>
        <v>February</v>
      </c>
      <c r="B4057" s="11">
        <f>IFERROR(__xludf.DUMMYFUNCTION("""COMPUTED_VALUE"""),46066.0)</f>
        <v>46066</v>
      </c>
      <c r="C4057" s="2" t="str">
        <f>IFERROR(__xludf.DUMMYFUNCTION("""COMPUTED_VALUE"""),"MOBILECARE - THE PODIUM")</f>
        <v>MOBILECARE - THE PODIUM</v>
      </c>
      <c r="D4057" s="2" t="str">
        <f>IFERROR(__xludf.DUMMYFUNCTION("""COMPUTED_VALUE"""),"661-21991")</f>
        <v>661-21991</v>
      </c>
      <c r="E4057" s="2" t="str">
        <f>IFERROR(__xludf.DUMMYFUNCTION("""COMPUTED_VALUE"""),"Battery, iPhone 13")</f>
        <v>Battery, iPhone 13</v>
      </c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</row>
    <row r="4058">
      <c r="A4058" s="10" t="str">
        <f t="shared" si="1"/>
        <v>February</v>
      </c>
      <c r="B4058" s="11">
        <f>IFERROR(__xludf.DUMMYFUNCTION("""COMPUTED_VALUE"""),46055.0)</f>
        <v>46055</v>
      </c>
      <c r="C4058" s="2" t="str">
        <f>IFERROR(__xludf.DUMMYFUNCTION("""COMPUTED_VALUE"""),"MOBILECARE - THE PODIUM")</f>
        <v>MOBILECARE - THE PODIUM</v>
      </c>
      <c r="D4058" s="2" t="str">
        <f>IFERROR(__xludf.DUMMYFUNCTION("""COMPUTED_VALUE"""),"661-44955")</f>
        <v>661-44955</v>
      </c>
      <c r="E4058" s="2" t="str">
        <f>IFERROR(__xludf.DUMMYFUNCTION("""COMPUTED_VALUE"""),"Display, iPhone 16 Pro Max")</f>
        <v>Display, iPhone 16 Pro Max</v>
      </c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</row>
    <row r="4059">
      <c r="A4059" s="10" t="str">
        <f t="shared" si="1"/>
        <v>January</v>
      </c>
      <c r="B4059" s="11">
        <f>IFERROR(__xludf.DUMMYFUNCTION("""COMPUTED_VALUE"""),46053.0)</f>
        <v>46053</v>
      </c>
      <c r="C4059" s="2" t="str">
        <f>IFERROR(__xludf.DUMMYFUNCTION("""COMPUTED_VALUE"""),"MOBILECARE - THE PODIUM")</f>
        <v>MOBILECARE - THE PODIUM</v>
      </c>
      <c r="D4059" s="2" t="str">
        <f>IFERROR(__xludf.DUMMYFUNCTION("""COMPUTED_VALUE"""),"661-30382")</f>
        <v>661-30382</v>
      </c>
      <c r="E4059" s="2" t="str">
        <f>IFERROR(__xludf.DUMMYFUNCTION("""COMPUTED_VALUE"""),"Battery, iPhone 14 Pro")</f>
        <v>Battery, iPhone 14 Pro</v>
      </c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</row>
    <row r="4060">
      <c r="A4060" s="10" t="str">
        <f t="shared" si="1"/>
        <v>June</v>
      </c>
      <c r="B4060" s="11">
        <f>IFERROR(__xludf.DUMMYFUNCTION("""COMPUTED_VALUE"""),46177.0)</f>
        <v>46177</v>
      </c>
      <c r="C4060" s="2" t="str">
        <f>IFERROR(__xludf.DUMMYFUNCTION("""COMPUTED_VALUE"""),"MOBILECARE - THE PODIUM")</f>
        <v>MOBILECARE - THE PODIUM</v>
      </c>
      <c r="D4060" s="2" t="str">
        <f>IFERROR(__xludf.DUMMYFUNCTION("""COMPUTED_VALUE"""),"661-21991")</f>
        <v>661-21991</v>
      </c>
      <c r="E4060" s="2" t="str">
        <f>IFERROR(__xludf.DUMMYFUNCTION("""COMPUTED_VALUE"""),"Battery, iPhone 13")</f>
        <v>Battery, iPhone 13</v>
      </c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</row>
    <row r="4061">
      <c r="A4061" s="10" t="str">
        <f t="shared" si="1"/>
        <v>May</v>
      </c>
      <c r="B4061" s="11">
        <f>IFERROR(__xludf.DUMMYFUNCTION("""COMPUTED_VALUE"""),46166.0)</f>
        <v>46166</v>
      </c>
      <c r="C4061" s="2" t="str">
        <f>IFERROR(__xludf.DUMMYFUNCTION("""COMPUTED_VALUE"""),"MOBILECARE - THE PODIUM")</f>
        <v>MOBILECARE - THE PODIUM</v>
      </c>
      <c r="D4061" s="2" t="str">
        <f>IFERROR(__xludf.DUMMYFUNCTION("""COMPUTED_VALUE"""),"661-21996")</f>
        <v>661-21996</v>
      </c>
      <c r="E4061" s="2" t="str">
        <f>IFERROR(__xludf.DUMMYFUNCTION("""COMPUTED_VALUE"""),"Battery, iPhone 13 Pro")</f>
        <v>Battery, iPhone 13 Pro</v>
      </c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</row>
    <row r="4062">
      <c r="A4062" s="10" t="str">
        <f t="shared" si="1"/>
        <v>March</v>
      </c>
      <c r="B4062" s="11">
        <f>IFERROR(__xludf.DUMMYFUNCTION("""COMPUTED_VALUE"""),46097.0)</f>
        <v>46097</v>
      </c>
      <c r="C4062" s="2" t="str">
        <f>IFERROR(__xludf.DUMMYFUNCTION("""COMPUTED_VALUE"""),"MOBILECARE - THE PODIUM")</f>
        <v>MOBILECARE - THE PODIUM</v>
      </c>
      <c r="D4062" s="2" t="str">
        <f>IFERROR(__xludf.DUMMYFUNCTION("""COMPUTED_VALUE"""),"661-22309")</f>
        <v>661-22309</v>
      </c>
      <c r="E4062" s="2" t="str">
        <f>IFERROR(__xludf.DUMMYFUNCTION("""COMPUTED_VALUE"""),"Display, iPhone 13 Pro Max")</f>
        <v>Display, iPhone 13 Pro Max</v>
      </c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</row>
    <row r="4063">
      <c r="A4063" s="10" t="str">
        <f t="shared" si="1"/>
        <v>March</v>
      </c>
      <c r="B4063" s="11">
        <f>IFERROR(__xludf.DUMMYFUNCTION("""COMPUTED_VALUE"""),46088.0)</f>
        <v>46088</v>
      </c>
      <c r="C4063" s="2" t="str">
        <f>IFERROR(__xludf.DUMMYFUNCTION("""COMPUTED_VALUE"""),"MOBILECARE - THE PODIUM")</f>
        <v>MOBILECARE - THE PODIUM</v>
      </c>
      <c r="D4063" s="2" t="str">
        <f>IFERROR(__xludf.DUMMYFUNCTION("""COMPUTED_VALUE"""),"661-30397")</f>
        <v>661-30397</v>
      </c>
      <c r="E4063" s="2" t="str">
        <f>IFERROR(__xludf.DUMMYFUNCTION("""COMPUTED_VALUE"""),"Battery, iPhone 14 Pro Max")</f>
        <v>Battery, iPhone 14 Pro Max</v>
      </c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</row>
    <row r="4064">
      <c r="A4064" s="10" t="str">
        <f t="shared" si="1"/>
        <v>February</v>
      </c>
      <c r="B4064" s="11">
        <f>IFERROR(__xludf.DUMMYFUNCTION("""COMPUTED_VALUE"""),46075.0)</f>
        <v>46075</v>
      </c>
      <c r="C4064" s="2" t="str">
        <f>IFERROR(__xludf.DUMMYFUNCTION("""COMPUTED_VALUE"""),"MOBILECARE - THE PODIUM")</f>
        <v>MOBILECARE - THE PODIUM</v>
      </c>
      <c r="D4064" s="2" t="str">
        <f>IFERROR(__xludf.DUMMYFUNCTION("""COMPUTED_VALUE"""),"661-42843")</f>
        <v>661-42843</v>
      </c>
      <c r="E4064" s="2" t="str">
        <f>IFERROR(__xludf.DUMMYFUNCTION("""COMPUTED_VALUE"""),"Display, iPhone 16 Plus")</f>
        <v>Display, iPhone 16 Plus</v>
      </c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</row>
    <row r="4065">
      <c r="A4065" s="10" t="str">
        <f t="shared" si="1"/>
        <v>February</v>
      </c>
      <c r="B4065" s="11">
        <f>IFERROR(__xludf.DUMMYFUNCTION("""COMPUTED_VALUE"""),46062.0)</f>
        <v>46062</v>
      </c>
      <c r="C4065" s="2" t="str">
        <f>IFERROR(__xludf.DUMMYFUNCTION("""COMPUTED_VALUE"""),"MOBILECARE - THE PODIUM")</f>
        <v>MOBILECARE - THE PODIUM</v>
      </c>
      <c r="D4065" s="2" t="str">
        <f>IFERROR(__xludf.DUMMYFUNCTION("""COMPUTED_VALUE"""),"661-22374")</f>
        <v>661-22374</v>
      </c>
      <c r="E4065" s="2" t="str">
        <f>IFERROR(__xludf.DUMMYFUNCTION("""COMPUTED_VALUE"""),"Battery, iPhone 13 mini")</f>
        <v>Battery, iPhone 13 mini</v>
      </c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</row>
    <row r="4066">
      <c r="A4066" s="10" t="str">
        <f t="shared" si="1"/>
        <v>January</v>
      </c>
      <c r="B4066" s="11">
        <f>IFERROR(__xludf.DUMMYFUNCTION("""COMPUTED_VALUE"""),46049.0)</f>
        <v>46049</v>
      </c>
      <c r="C4066" s="2" t="str">
        <f>IFERROR(__xludf.DUMMYFUNCTION("""COMPUTED_VALUE"""),"MOBILECARE - THE PODIUM")</f>
        <v>MOBILECARE - THE PODIUM</v>
      </c>
      <c r="D4066" s="2" t="str">
        <f>IFERROR(__xludf.DUMMYFUNCTION("""COMPUTED_VALUE"""),"661-21996")</f>
        <v>661-21996</v>
      </c>
      <c r="E4066" s="2" t="str">
        <f>IFERROR(__xludf.DUMMYFUNCTION("""COMPUTED_VALUE"""),"Battery, iPhone 13 Pro")</f>
        <v>Battery, iPhone 13 Pro</v>
      </c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</row>
    <row r="4067">
      <c r="A4067" s="10" t="str">
        <f t="shared" si="1"/>
        <v>January</v>
      </c>
      <c r="B4067" s="11">
        <f>IFERROR(__xludf.DUMMYFUNCTION("""COMPUTED_VALUE"""),46049.0)</f>
        <v>46049</v>
      </c>
      <c r="C4067" s="2" t="str">
        <f>IFERROR(__xludf.DUMMYFUNCTION("""COMPUTED_VALUE"""),"MOBILECARE - THE PODIUM")</f>
        <v>MOBILECARE - THE PODIUM</v>
      </c>
      <c r="D4067" s="2" t="str">
        <f>IFERROR(__xludf.DUMMYFUNCTION("""COMPUTED_VALUE"""),"PP661-22989")</f>
        <v>PP661-22989</v>
      </c>
      <c r="E4067" s="2" t="str">
        <f>IFERROR(__xludf.DUMMYFUNCTION("""COMPUTED_VALUE"""),"Blue, 256 GB, iPhone 13, ROW, CI/AR, Philippines")</f>
        <v>Blue, 256 GB, iPhone 13, ROW, CI/AR, Philippines</v>
      </c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</row>
    <row r="4068">
      <c r="A4068" s="10" t="str">
        <f t="shared" si="1"/>
        <v>June</v>
      </c>
      <c r="B4068" s="11">
        <f>IFERROR(__xludf.DUMMYFUNCTION("""COMPUTED_VALUE"""),46189.0)</f>
        <v>46189</v>
      </c>
      <c r="C4068" s="2" t="str">
        <f>IFERROR(__xludf.DUMMYFUNCTION("""COMPUTED_VALUE"""),"MOBILECARE - THE PODIUM")</f>
        <v>MOBILECARE - THE PODIUM</v>
      </c>
      <c r="D4068" s="2" t="str">
        <f>IFERROR(__xludf.DUMMYFUNCTION("""COMPUTED_VALUE"""),"661-30397")</f>
        <v>661-30397</v>
      </c>
      <c r="E4068" s="2" t="str">
        <f>IFERROR(__xludf.DUMMYFUNCTION("""COMPUTED_VALUE"""),"Battery, iPhone 14 Pro Max")</f>
        <v>Battery, iPhone 14 Pro Max</v>
      </c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</row>
    <row r="4069">
      <c r="A4069" s="10" t="str">
        <f t="shared" si="1"/>
        <v>June</v>
      </c>
      <c r="B4069" s="11">
        <f>IFERROR(__xludf.DUMMYFUNCTION("""COMPUTED_VALUE"""),46188.0)</f>
        <v>46188</v>
      </c>
      <c r="C4069" s="2" t="str">
        <f>IFERROR(__xludf.DUMMYFUNCTION("""COMPUTED_VALUE"""),"MOBILECARE - THE PODIUM")</f>
        <v>MOBILECARE - THE PODIUM</v>
      </c>
      <c r="D4069" s="2" t="str">
        <f>IFERROR(__xludf.DUMMYFUNCTION("""COMPUTED_VALUE"""),"661-56125")</f>
        <v>661-56125</v>
      </c>
      <c r="E4069" s="2" t="str">
        <f>IFERROR(__xludf.DUMMYFUNCTION("""COMPUTED_VALUE"""),"Display, iPhone 17 Pro")</f>
        <v>Display, iPhone 17 Pro</v>
      </c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</row>
    <row r="4070">
      <c r="A4070" s="10" t="str">
        <f t="shared" si="1"/>
        <v>June</v>
      </c>
      <c r="B4070" s="11">
        <f>IFERROR(__xludf.DUMMYFUNCTION("""COMPUTED_VALUE"""),46193.0)</f>
        <v>46193</v>
      </c>
      <c r="C4070" s="2" t="str">
        <f>IFERROR(__xludf.DUMMYFUNCTION("""COMPUTED_VALUE"""),"MOBILECARE - THE PODIUM")</f>
        <v>MOBILECARE - THE PODIUM</v>
      </c>
      <c r="D4070" s="2" t="str">
        <f>IFERROR(__xludf.DUMMYFUNCTION("""COMPUTED_VALUE"""),"661-21991")</f>
        <v>661-21991</v>
      </c>
      <c r="E4070" s="2" t="str">
        <f>IFERROR(__xludf.DUMMYFUNCTION("""COMPUTED_VALUE"""),"Battery, iPhone 13")</f>
        <v>Battery, iPhone 13</v>
      </c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</row>
    <row r="4071">
      <c r="A4071" s="10" t="str">
        <f t="shared" si="1"/>
        <v>May</v>
      </c>
      <c r="B4071" s="11">
        <f>IFERROR(__xludf.DUMMYFUNCTION("""COMPUTED_VALUE"""),46151.0)</f>
        <v>46151</v>
      </c>
      <c r="C4071" s="2" t="str">
        <f>IFERROR(__xludf.DUMMYFUNCTION("""COMPUTED_VALUE"""),"MOBILECARE - THE PODIUM")</f>
        <v>MOBILECARE - THE PODIUM</v>
      </c>
      <c r="D4071" s="2" t="str">
        <f>IFERROR(__xludf.DUMMYFUNCTION("""COMPUTED_VALUE"""),"661-44955")</f>
        <v>661-44955</v>
      </c>
      <c r="E4071" s="2" t="str">
        <f>IFERROR(__xludf.DUMMYFUNCTION("""COMPUTED_VALUE"""),"Display, iPhone 16 Pro Max")</f>
        <v>Display, iPhone 16 Pro Max</v>
      </c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</row>
    <row r="4072">
      <c r="A4072" s="10" t="str">
        <f t="shared" si="1"/>
        <v>May</v>
      </c>
      <c r="B4072" s="11">
        <f>IFERROR(__xludf.DUMMYFUNCTION("""COMPUTED_VALUE"""),46151.0)</f>
        <v>46151</v>
      </c>
      <c r="C4072" s="2" t="str">
        <f>IFERROR(__xludf.DUMMYFUNCTION("""COMPUTED_VALUE"""),"MOBILECARE - THE PODIUM")</f>
        <v>MOBILECARE - THE PODIUM</v>
      </c>
      <c r="D4072" s="2" t="str">
        <f>IFERROR(__xludf.DUMMYFUNCTION("""COMPUTED_VALUE"""),"661-17920")</f>
        <v>661-17920</v>
      </c>
      <c r="E4072" s="2" t="str">
        <f>IFERROR(__xludf.DUMMYFUNCTION("""COMPUTED_VALUE"""),"Battery, iPhone 12 and 12 Pro")</f>
        <v>Battery, iPhone 12 and 12 Pro</v>
      </c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</row>
    <row r="4073">
      <c r="A4073" s="10" t="str">
        <f t="shared" si="1"/>
        <v>May</v>
      </c>
      <c r="B4073" s="11">
        <f>IFERROR(__xludf.DUMMYFUNCTION("""COMPUTED_VALUE"""),46145.0)</f>
        <v>46145</v>
      </c>
      <c r="C4073" s="2" t="str">
        <f>IFERROR(__xludf.DUMMYFUNCTION("""COMPUTED_VALUE"""),"MOBILECARE - THE PODIUM")</f>
        <v>MOBILECARE - THE PODIUM</v>
      </c>
      <c r="D4073" s="2" t="str">
        <f>IFERROR(__xludf.DUMMYFUNCTION("""COMPUTED_VALUE"""),"661-36915")</f>
        <v>661-36915</v>
      </c>
      <c r="E4073" s="2" t="str">
        <f>IFERROR(__xludf.DUMMYFUNCTION("""COMPUTED_VALUE"""),"Display, iPhone 15 Pro Max")</f>
        <v>Display, iPhone 15 Pro Max</v>
      </c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</row>
    <row r="4074">
      <c r="A4074" s="10" t="str">
        <f t="shared" si="1"/>
        <v>April</v>
      </c>
      <c r="B4074" s="11">
        <f>IFERROR(__xludf.DUMMYFUNCTION("""COMPUTED_VALUE"""),46131.0)</f>
        <v>46131</v>
      </c>
      <c r="C4074" s="2" t="str">
        <f>IFERROR(__xludf.DUMMYFUNCTION("""COMPUTED_VALUE"""),"MOBILECARE - THE PODIUM")</f>
        <v>MOBILECARE - THE PODIUM</v>
      </c>
      <c r="D4074" s="2" t="str">
        <f>IFERROR(__xludf.DUMMYFUNCTION("""COMPUTED_VALUE"""),"661-30382")</f>
        <v>661-30382</v>
      </c>
      <c r="E4074" s="2" t="str">
        <f>IFERROR(__xludf.DUMMYFUNCTION("""COMPUTED_VALUE"""),"Battery, iPhone 14 Pro")</f>
        <v>Battery, iPhone 14 Pro</v>
      </c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</row>
    <row r="4075">
      <c r="A4075" s="10" t="str">
        <f t="shared" si="1"/>
        <v>April</v>
      </c>
      <c r="B4075" s="11">
        <f>IFERROR(__xludf.DUMMYFUNCTION("""COMPUTED_VALUE"""),46126.0)</f>
        <v>46126</v>
      </c>
      <c r="C4075" s="2" t="str">
        <f>IFERROR(__xludf.DUMMYFUNCTION("""COMPUTED_VALUE"""),"MOBILECARE - THE PODIUM")</f>
        <v>MOBILECARE - THE PODIUM</v>
      </c>
      <c r="D4075" s="2" t="str">
        <f>IFERROR(__xludf.DUMMYFUNCTION("""COMPUTED_VALUE"""),"661-21991")</f>
        <v>661-21991</v>
      </c>
      <c r="E4075" s="2" t="str">
        <f>IFERROR(__xludf.DUMMYFUNCTION("""COMPUTED_VALUE"""),"Battery, iPhone 13")</f>
        <v>Battery, iPhone 13</v>
      </c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</row>
    <row r="4076">
      <c r="A4076" s="10" t="str">
        <f t="shared" si="1"/>
        <v>March</v>
      </c>
      <c r="B4076" s="11">
        <f>IFERROR(__xludf.DUMMYFUNCTION("""COMPUTED_VALUE"""),46109.0)</f>
        <v>46109</v>
      </c>
      <c r="C4076" s="2" t="str">
        <f>IFERROR(__xludf.DUMMYFUNCTION("""COMPUTED_VALUE"""),"MOBILECARE - THE PODIUM")</f>
        <v>MOBILECARE - THE PODIUM</v>
      </c>
      <c r="D4076" s="2" t="str">
        <f>IFERROR(__xludf.DUMMYFUNCTION("""COMPUTED_VALUE"""),"661-22309")</f>
        <v>661-22309</v>
      </c>
      <c r="E4076" s="2" t="str">
        <f>IFERROR(__xludf.DUMMYFUNCTION("""COMPUTED_VALUE"""),"Display, iPhone 13 Pro Max")</f>
        <v>Display, iPhone 13 Pro Max</v>
      </c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</row>
    <row r="4077">
      <c r="A4077" s="10" t="str">
        <f t="shared" si="1"/>
        <v>March</v>
      </c>
      <c r="B4077" s="11">
        <f>IFERROR(__xludf.DUMMYFUNCTION("""COMPUTED_VALUE"""),46085.0)</f>
        <v>46085</v>
      </c>
      <c r="C4077" s="2" t="str">
        <f>IFERROR(__xludf.DUMMYFUNCTION("""COMPUTED_VALUE"""),"MOBILECARE - THE PODIUM")</f>
        <v>MOBILECARE - THE PODIUM</v>
      </c>
      <c r="D4077" s="2" t="str">
        <f>IFERROR(__xludf.DUMMYFUNCTION("""COMPUTED_VALUE"""),"661-21993")</f>
        <v>661-21993</v>
      </c>
      <c r="E4077" s="2" t="str">
        <f>IFERROR(__xludf.DUMMYFUNCTION("""COMPUTED_VALUE"""),"Display, iPhone 13 Pro")</f>
        <v>Display, iPhone 13 Pro</v>
      </c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</row>
    <row r="4078">
      <c r="A4078" s="10" t="str">
        <f t="shared" si="1"/>
        <v>January</v>
      </c>
      <c r="B4078" s="11">
        <f>IFERROR(__xludf.DUMMYFUNCTION("""COMPUTED_VALUE"""),46053.0)</f>
        <v>46053</v>
      </c>
      <c r="C4078" s="2" t="str">
        <f>IFERROR(__xludf.DUMMYFUNCTION("""COMPUTED_VALUE"""),"MOBILECARE - THE PODIUM")</f>
        <v>MOBILECARE - THE PODIUM</v>
      </c>
      <c r="D4078" s="2" t="str">
        <f>IFERROR(__xludf.DUMMYFUNCTION("""COMPUTED_VALUE"""),"661-13574")</f>
        <v>661-13574</v>
      </c>
      <c r="E4078" s="2" t="str">
        <f>IFERROR(__xludf.DUMMYFUNCTION("""COMPUTED_VALUE"""),"Battery, iPhone 11")</f>
        <v>Battery, iPhone 11</v>
      </c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</row>
    <row r="4079">
      <c r="A4079" s="10" t="str">
        <f t="shared" si="1"/>
        <v>January</v>
      </c>
      <c r="B4079" s="11">
        <f>IFERROR(__xludf.DUMMYFUNCTION("""COMPUTED_VALUE"""),46052.0)</f>
        <v>46052</v>
      </c>
      <c r="C4079" s="2" t="str">
        <f>IFERROR(__xludf.DUMMYFUNCTION("""COMPUTED_VALUE"""),"MOBILECARE - THE PODIUM")</f>
        <v>MOBILECARE - THE PODIUM</v>
      </c>
      <c r="D4079" s="2" t="str">
        <f>IFERROR(__xludf.DUMMYFUNCTION("""COMPUTED_VALUE"""),"661-56125")</f>
        <v>661-56125</v>
      </c>
      <c r="E4079" s="2" t="str">
        <f>IFERROR(__xludf.DUMMYFUNCTION("""COMPUTED_VALUE"""),"Display, iPhone 17 Pro")</f>
        <v>Display, iPhone 17 Pro</v>
      </c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</row>
    <row r="4080">
      <c r="A4080" s="10" t="str">
        <f t="shared" si="1"/>
        <v>January</v>
      </c>
      <c r="B4080" s="11">
        <f>IFERROR(__xludf.DUMMYFUNCTION("""COMPUTED_VALUE"""),46041.0)</f>
        <v>46041</v>
      </c>
      <c r="C4080" s="2" t="str">
        <f>IFERROR(__xludf.DUMMYFUNCTION("""COMPUTED_VALUE"""),"MOBILECARE - THE PODIUM")</f>
        <v>MOBILECARE - THE PODIUM</v>
      </c>
      <c r="D4080" s="2" t="str">
        <f>IFERROR(__xludf.DUMMYFUNCTION("""COMPUTED_VALUE"""),"661-22309")</f>
        <v>661-22309</v>
      </c>
      <c r="E4080" s="2" t="str">
        <f>IFERROR(__xludf.DUMMYFUNCTION("""COMPUTED_VALUE"""),"Display, iPhone 13 Pro Max")</f>
        <v>Display, iPhone 13 Pro Max</v>
      </c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</row>
    <row r="4081">
      <c r="A4081" s="10" t="str">
        <f t="shared" si="1"/>
        <v>April</v>
      </c>
      <c r="B4081" s="11">
        <f>IFERROR(__xludf.DUMMYFUNCTION("""COMPUTED_VALUE"""),46123.0)</f>
        <v>46123</v>
      </c>
      <c r="C4081" s="2" t="str">
        <f>IFERROR(__xludf.DUMMYFUNCTION("""COMPUTED_VALUE"""),"MOBILECARE - THE PODIUM")</f>
        <v>MOBILECARE - THE PODIUM</v>
      </c>
      <c r="D4081" s="2" t="str">
        <f>IFERROR(__xludf.DUMMYFUNCTION("""COMPUTED_VALUE"""),"661-30382")</f>
        <v>661-30382</v>
      </c>
      <c r="E4081" s="2" t="str">
        <f>IFERROR(__xludf.DUMMYFUNCTION("""COMPUTED_VALUE"""),"Battery, iPhone 14 Pro")</f>
        <v>Battery, iPhone 14 Pro</v>
      </c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</row>
    <row r="4082">
      <c r="A4082" s="10" t="str">
        <f t="shared" si="1"/>
        <v>April</v>
      </c>
      <c r="B4082" s="11">
        <f>IFERROR(__xludf.DUMMYFUNCTION("""COMPUTED_VALUE"""),46122.0)</f>
        <v>46122</v>
      </c>
      <c r="C4082" s="2" t="str">
        <f>IFERROR(__xludf.DUMMYFUNCTION("""COMPUTED_VALUE"""),"MOBILECARE - THE PODIUM")</f>
        <v>MOBILECARE - THE PODIUM</v>
      </c>
      <c r="D4082" s="2" t="str">
        <f>IFERROR(__xludf.DUMMYFUNCTION("""COMPUTED_VALUE"""),"661-56050")</f>
        <v>661-56050</v>
      </c>
      <c r="E4082" s="2" t="str">
        <f>IFERROR(__xludf.DUMMYFUNCTION("""COMPUTED_VALUE"""),"Display, iPhone 17 Pro Max")</f>
        <v>Display, iPhone 17 Pro Max</v>
      </c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</row>
    <row r="4083">
      <c r="A4083" s="10" t="str">
        <f t="shared" si="1"/>
        <v>March</v>
      </c>
      <c r="B4083" s="11">
        <f>IFERROR(__xludf.DUMMYFUNCTION("""COMPUTED_VALUE"""),46101.0)</f>
        <v>46101</v>
      </c>
      <c r="C4083" s="2" t="str">
        <f>IFERROR(__xludf.DUMMYFUNCTION("""COMPUTED_VALUE"""),"MOBILECARE - THE PODIUM")</f>
        <v>MOBILECARE - THE PODIUM</v>
      </c>
      <c r="D4083" s="2" t="str">
        <f>IFERROR(__xludf.DUMMYFUNCTION("""COMPUTED_VALUE"""),"661-22294")</f>
        <v>661-22294</v>
      </c>
      <c r="E4083" s="2" t="str">
        <f>IFERROR(__xludf.DUMMYFUNCTION("""COMPUTED_VALUE"""),"Battery, iPhone 13 Pro Max")</f>
        <v>Battery, iPhone 13 Pro Max</v>
      </c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</row>
    <row r="4084">
      <c r="A4084" s="10" t="str">
        <f t="shared" si="1"/>
        <v>February</v>
      </c>
      <c r="B4084" s="11">
        <f>IFERROR(__xludf.DUMMYFUNCTION("""COMPUTED_VALUE"""),46076.0)</f>
        <v>46076</v>
      </c>
      <c r="C4084" s="2" t="str">
        <f>IFERROR(__xludf.DUMMYFUNCTION("""COMPUTED_VALUE"""),"MOBILECARE - THE PODIUM")</f>
        <v>MOBILECARE - THE PODIUM</v>
      </c>
      <c r="D4084" s="2" t="str">
        <f>IFERROR(__xludf.DUMMYFUNCTION("""COMPUTED_VALUE"""),"661-13574")</f>
        <v>661-13574</v>
      </c>
      <c r="E4084" s="2" t="str">
        <f>IFERROR(__xludf.DUMMYFUNCTION("""COMPUTED_VALUE"""),"Battery, iPhone 11")</f>
        <v>Battery, iPhone 11</v>
      </c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</row>
    <row r="4085">
      <c r="A4085" s="10" t="str">
        <f t="shared" si="1"/>
        <v>February</v>
      </c>
      <c r="B4085" s="11">
        <f>IFERROR(__xludf.DUMMYFUNCTION("""COMPUTED_VALUE"""),46081.0)</f>
        <v>46081</v>
      </c>
      <c r="C4085" s="2" t="str">
        <f>IFERROR(__xludf.DUMMYFUNCTION("""COMPUTED_VALUE"""),"MOBILECARE - THE PODIUM")</f>
        <v>MOBILECARE - THE PODIUM</v>
      </c>
      <c r="D4085" s="2" t="str">
        <f>IFERROR(__xludf.DUMMYFUNCTION("""COMPUTED_VALUE"""),"661-30397")</f>
        <v>661-30397</v>
      </c>
      <c r="E4085" s="2" t="str">
        <f>IFERROR(__xludf.DUMMYFUNCTION("""COMPUTED_VALUE"""),"Battery, iPhone 14 Pro Max")</f>
        <v>Battery, iPhone 14 Pro Max</v>
      </c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</row>
    <row r="4086">
      <c r="A4086" s="10" t="str">
        <f t="shared" si="1"/>
        <v>February</v>
      </c>
      <c r="B4086" s="11">
        <f>IFERROR(__xludf.DUMMYFUNCTION("""COMPUTED_VALUE"""),46070.0)</f>
        <v>46070</v>
      </c>
      <c r="C4086" s="2" t="str">
        <f>IFERROR(__xludf.DUMMYFUNCTION("""COMPUTED_VALUE"""),"MOBILECARE - THE PODIUM")</f>
        <v>MOBILECARE - THE PODIUM</v>
      </c>
      <c r="D4086" s="2" t="str">
        <f>IFERROR(__xludf.DUMMYFUNCTION("""COMPUTED_VALUE"""),"PP661-22985")</f>
        <v>PP661-22985</v>
      </c>
      <c r="E4086" s="2" t="str">
        <f>IFERROR(__xludf.DUMMYFUNCTION("""COMPUTED_VALUE"""),"Midnight, 256 GB, iPhone 13, ROW, CI/AR, Philippines")</f>
        <v>Midnight, 256 GB, iPhone 13, ROW, CI/AR, Philippines</v>
      </c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</row>
    <row r="4087">
      <c r="A4087" s="10" t="str">
        <f t="shared" si="1"/>
        <v>May</v>
      </c>
      <c r="B4087" s="11">
        <f>IFERROR(__xludf.DUMMYFUNCTION("""COMPUTED_VALUE"""),46168.0)</f>
        <v>46168</v>
      </c>
      <c r="C4087" s="2" t="str">
        <f>IFERROR(__xludf.DUMMYFUNCTION("""COMPUTED_VALUE"""),"MOBILECARE - THE PODIUM")</f>
        <v>MOBILECARE - THE PODIUM</v>
      </c>
      <c r="D4087" s="2" t="str">
        <f>IFERROR(__xludf.DUMMYFUNCTION("""COMPUTED_VALUE"""),"661-56050")</f>
        <v>661-56050</v>
      </c>
      <c r="E4087" s="2" t="str">
        <f>IFERROR(__xludf.DUMMYFUNCTION("""COMPUTED_VALUE"""),"Display, iPhone 17 Pro Max")</f>
        <v>Display, iPhone 17 Pro Max</v>
      </c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</row>
    <row r="4088">
      <c r="A4088" s="10" t="str">
        <f t="shared" si="1"/>
        <v>May</v>
      </c>
      <c r="B4088" s="11">
        <f>IFERROR(__xludf.DUMMYFUNCTION("""COMPUTED_VALUE"""),46168.0)</f>
        <v>46168</v>
      </c>
      <c r="C4088" s="2" t="str">
        <f>IFERROR(__xludf.DUMMYFUNCTION("""COMPUTED_VALUE"""),"MOBILECARE - THE PODIUM")</f>
        <v>MOBILECARE - THE PODIUM</v>
      </c>
      <c r="D4088" s="2" t="str">
        <f>IFERROR(__xludf.DUMMYFUNCTION("""COMPUTED_VALUE"""),"661-56050")</f>
        <v>661-56050</v>
      </c>
      <c r="E4088" s="2" t="str">
        <f>IFERROR(__xludf.DUMMYFUNCTION("""COMPUTED_VALUE"""),"Display, iPhone 17 Pro Max")</f>
        <v>Display, iPhone 17 Pro Max</v>
      </c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</row>
    <row r="4089">
      <c r="A4089" s="10" t="str">
        <f t="shared" si="1"/>
        <v>April</v>
      </c>
      <c r="B4089" s="11">
        <f>IFERROR(__xludf.DUMMYFUNCTION("""COMPUTED_VALUE"""),46142.0)</f>
        <v>46142</v>
      </c>
      <c r="C4089" s="2" t="str">
        <f>IFERROR(__xludf.DUMMYFUNCTION("""COMPUTED_VALUE"""),"MOBILECARE - THE PODIUM")</f>
        <v>MOBILECARE - THE PODIUM</v>
      </c>
      <c r="D4089" s="2" t="str">
        <f>IFERROR(__xludf.DUMMYFUNCTION("""COMPUTED_VALUE"""),"TA661-36901")</f>
        <v>TA661-36901</v>
      </c>
      <c r="E4089" s="2" t="str">
        <f>IFERROR(__xludf.DUMMYFUNCTION("""COMPUTED_VALUE"""),"Blue, iPhone 15 Pro Max, 512GB, ROW, CI/AR, Taiwan")</f>
        <v>Blue, iPhone 15 Pro Max, 512GB, ROW, CI/AR, Taiwan</v>
      </c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</row>
    <row r="4090">
      <c r="A4090" s="10" t="str">
        <f t="shared" si="1"/>
        <v>April</v>
      </c>
      <c r="B4090" s="11">
        <f>IFERROR(__xludf.DUMMYFUNCTION("""COMPUTED_VALUE"""),46116.0)</f>
        <v>46116</v>
      </c>
      <c r="C4090" s="2" t="str">
        <f>IFERROR(__xludf.DUMMYFUNCTION("""COMPUTED_VALUE"""),"MOBILECARE - THE PODIUM")</f>
        <v>MOBILECARE - THE PODIUM</v>
      </c>
      <c r="D4090" s="2" t="str">
        <f>IFERROR(__xludf.DUMMYFUNCTION("""COMPUTED_VALUE"""),"661-22309")</f>
        <v>661-22309</v>
      </c>
      <c r="E4090" s="2" t="str">
        <f>IFERROR(__xludf.DUMMYFUNCTION("""COMPUTED_VALUE"""),"Display, iPhone 13 Pro Max")</f>
        <v>Display, iPhone 13 Pro Max</v>
      </c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</row>
    <row r="4091">
      <c r="A4091" s="10" t="str">
        <f t="shared" si="1"/>
        <v>March</v>
      </c>
      <c r="B4091" s="11">
        <f>IFERROR(__xludf.DUMMYFUNCTION("""COMPUTED_VALUE"""),46109.0)</f>
        <v>46109</v>
      </c>
      <c r="C4091" s="2" t="str">
        <f>IFERROR(__xludf.DUMMYFUNCTION("""COMPUTED_VALUE"""),"MOBILECARE - THE PODIUM")</f>
        <v>MOBILECARE - THE PODIUM</v>
      </c>
      <c r="D4091" s="2" t="str">
        <f>IFERROR(__xludf.DUMMYFUNCTION("""COMPUTED_VALUE"""),"661-22309")</f>
        <v>661-22309</v>
      </c>
      <c r="E4091" s="2" t="str">
        <f>IFERROR(__xludf.DUMMYFUNCTION("""COMPUTED_VALUE"""),"Display, iPhone 13 Pro Max")</f>
        <v>Display, iPhone 13 Pro Max</v>
      </c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</row>
    <row r="4092">
      <c r="A4092" s="10" t="str">
        <f t="shared" si="1"/>
        <v>February</v>
      </c>
      <c r="B4092" s="11">
        <f>IFERROR(__xludf.DUMMYFUNCTION("""COMPUTED_VALUE"""),46078.0)</f>
        <v>46078</v>
      </c>
      <c r="C4092" s="2" t="str">
        <f>IFERROR(__xludf.DUMMYFUNCTION("""COMPUTED_VALUE"""),"MOBILECARE - THE PODIUM")</f>
        <v>MOBILECARE - THE PODIUM</v>
      </c>
      <c r="D4092" s="2" t="str">
        <f>IFERROR(__xludf.DUMMYFUNCTION("""COMPUTED_VALUE"""),"661-42726")</f>
        <v>661-42726</v>
      </c>
      <c r="E4092" s="2" t="str">
        <f>IFERROR(__xludf.DUMMYFUNCTION("""COMPUTED_VALUE"""),"Display, iPhone 16 Pro")</f>
        <v>Display, iPhone 16 Pro</v>
      </c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</row>
    <row r="4093">
      <c r="A4093" s="10" t="str">
        <f t="shared" si="1"/>
        <v>February</v>
      </c>
      <c r="B4093" s="11">
        <f>IFERROR(__xludf.DUMMYFUNCTION("""COMPUTED_VALUE"""),46073.0)</f>
        <v>46073</v>
      </c>
      <c r="C4093" s="2" t="str">
        <f>IFERROR(__xludf.DUMMYFUNCTION("""COMPUTED_VALUE"""),"MOBILECARE - THE PODIUM")</f>
        <v>MOBILECARE - THE PODIUM</v>
      </c>
      <c r="D4093" s="2" t="str">
        <f>IFERROR(__xludf.DUMMYFUNCTION("""COMPUTED_VALUE"""),"661-36918")</f>
        <v>661-36918</v>
      </c>
      <c r="E4093" s="2" t="str">
        <f>IFERROR(__xludf.DUMMYFUNCTION("""COMPUTED_VALUE"""),"Battery, iPhone 15 Pro Max")</f>
        <v>Battery, iPhone 15 Pro Max</v>
      </c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</row>
    <row r="4094">
      <c r="A4094" s="10" t="str">
        <f t="shared" si="1"/>
        <v>February</v>
      </c>
      <c r="B4094" s="11">
        <f>IFERROR(__xludf.DUMMYFUNCTION("""COMPUTED_VALUE"""),46077.0)</f>
        <v>46077</v>
      </c>
      <c r="C4094" s="2" t="str">
        <f>IFERROR(__xludf.DUMMYFUNCTION("""COMPUTED_VALUE"""),"MOBILECARE - THE PODIUM")</f>
        <v>MOBILECARE - THE PODIUM</v>
      </c>
      <c r="D4094" s="2" t="str">
        <f>IFERROR(__xludf.DUMMYFUNCTION("""COMPUTED_VALUE"""),"661-23878")</f>
        <v>661-23878</v>
      </c>
      <c r="E4094" s="2" t="str">
        <f>IFERROR(__xludf.DUMMYFUNCTION("""COMPUTED_VALUE"""),"TrueDepth Camera, iPhone 13")</f>
        <v>TrueDepth Camera, iPhone 13</v>
      </c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</row>
    <row r="4095">
      <c r="A4095" s="10" t="str">
        <f t="shared" si="1"/>
        <v>February</v>
      </c>
      <c r="B4095" s="11">
        <f>IFERROR(__xludf.DUMMYFUNCTION("""COMPUTED_VALUE"""),46077.0)</f>
        <v>46077</v>
      </c>
      <c r="C4095" s="2" t="str">
        <f>IFERROR(__xludf.DUMMYFUNCTION("""COMPUTED_VALUE"""),"MOBILECARE - THE PODIUM")</f>
        <v>MOBILECARE - THE PODIUM</v>
      </c>
      <c r="D4095" s="2" t="str">
        <f>IFERROR(__xludf.DUMMYFUNCTION("""COMPUTED_VALUE"""),"661-23878")</f>
        <v>661-23878</v>
      </c>
      <c r="E4095" s="2" t="str">
        <f>IFERROR(__xludf.DUMMYFUNCTION("""COMPUTED_VALUE"""),"TrueDepth Camera, iPhone 13")</f>
        <v>TrueDepth Camera, iPhone 13</v>
      </c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</row>
    <row r="4096">
      <c r="A4096" s="10" t="str">
        <f t="shared" si="1"/>
        <v>February</v>
      </c>
      <c r="B4096" s="11">
        <f>IFERROR(__xludf.DUMMYFUNCTION("""COMPUTED_VALUE"""),46056.0)</f>
        <v>46056</v>
      </c>
      <c r="C4096" s="2" t="str">
        <f>IFERROR(__xludf.DUMMYFUNCTION("""COMPUTED_VALUE"""),"MOBILECARE - THE PODIUM")</f>
        <v>MOBILECARE - THE PODIUM</v>
      </c>
      <c r="D4096" s="2" t="str">
        <f>IFERROR(__xludf.DUMMYFUNCTION("""COMPUTED_VALUE"""),"661-22309")</f>
        <v>661-22309</v>
      </c>
      <c r="E4096" s="2" t="str">
        <f>IFERROR(__xludf.DUMMYFUNCTION("""COMPUTED_VALUE"""),"Display, iPhone 13 Pro Max")</f>
        <v>Display, iPhone 13 Pro Max</v>
      </c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</row>
    <row r="4097">
      <c r="A4097" s="10" t="str">
        <f t="shared" si="1"/>
        <v>January</v>
      </c>
      <c r="B4097" s="11">
        <f>IFERROR(__xludf.DUMMYFUNCTION("""COMPUTED_VALUE"""),46049.0)</f>
        <v>46049</v>
      </c>
      <c r="C4097" s="2" t="str">
        <f>IFERROR(__xludf.DUMMYFUNCTION("""COMPUTED_VALUE"""),"MOBILECARE - THE PODIUM")</f>
        <v>MOBILECARE - THE PODIUM</v>
      </c>
      <c r="D4097" s="2" t="str">
        <f>IFERROR(__xludf.DUMMYFUNCTION("""COMPUTED_VALUE"""),"661-13574")</f>
        <v>661-13574</v>
      </c>
      <c r="E4097" s="2" t="str">
        <f>IFERROR(__xludf.DUMMYFUNCTION("""COMPUTED_VALUE"""),"Battery, iPhone 11")</f>
        <v>Battery, iPhone 11</v>
      </c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</row>
    <row r="4098">
      <c r="A4098" s="10" t="str">
        <f t="shared" si="1"/>
        <v>January</v>
      </c>
      <c r="B4098" s="11">
        <f>IFERROR(__xludf.DUMMYFUNCTION("""COMPUTED_VALUE"""),46041.0)</f>
        <v>46041</v>
      </c>
      <c r="C4098" s="2" t="str">
        <f>IFERROR(__xludf.DUMMYFUNCTION("""COMPUTED_VALUE"""),"MOBILECARE - THE PODIUM")</f>
        <v>MOBILECARE - THE PODIUM</v>
      </c>
      <c r="D4098" s="2" t="str">
        <f>IFERROR(__xludf.DUMMYFUNCTION("""COMPUTED_VALUE"""),"661-30397")</f>
        <v>661-30397</v>
      </c>
      <c r="E4098" s="2" t="str">
        <f>IFERROR(__xludf.DUMMYFUNCTION("""COMPUTED_VALUE"""),"Battery, iPhone 14 Pro Max")</f>
        <v>Battery, iPhone 14 Pro Max</v>
      </c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</row>
    <row r="4099">
      <c r="A4099" s="10" t="str">
        <f t="shared" si="1"/>
        <v>June</v>
      </c>
      <c r="B4099" s="11">
        <f>IFERROR(__xludf.DUMMYFUNCTION("""COMPUTED_VALUE"""),46185.0)</f>
        <v>46185</v>
      </c>
      <c r="C4099" s="2" t="str">
        <f>IFERROR(__xludf.DUMMYFUNCTION("""COMPUTED_VALUE"""),"MOBILECARE - THE PODIUM")</f>
        <v>MOBILECARE - THE PODIUM</v>
      </c>
      <c r="D4099" s="2" t="str">
        <f>IFERROR(__xludf.DUMMYFUNCTION("""COMPUTED_VALUE"""),"661-35694")</f>
        <v>661-35694</v>
      </c>
      <c r="E4099" s="2" t="str">
        <f>IFERROR(__xludf.DUMMYFUNCTION("""COMPUTED_VALUE"""),"Battery, iPhone 15 Pro")</f>
        <v>Battery, iPhone 15 Pro</v>
      </c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</row>
    <row r="4100">
      <c r="A4100" s="10" t="str">
        <f t="shared" si="1"/>
        <v>May</v>
      </c>
      <c r="B4100" s="11">
        <f>IFERROR(__xludf.DUMMYFUNCTION("""COMPUTED_VALUE"""),46161.0)</f>
        <v>46161</v>
      </c>
      <c r="C4100" s="2" t="str">
        <f>IFERROR(__xludf.DUMMYFUNCTION("""COMPUTED_VALUE"""),"MOBILECARE - THE PODIUM")</f>
        <v>MOBILECARE - THE PODIUM</v>
      </c>
      <c r="D4100" s="2" t="str">
        <f>IFERROR(__xludf.DUMMYFUNCTION("""COMPUTED_VALUE"""),"661-22294")</f>
        <v>661-22294</v>
      </c>
      <c r="E4100" s="2" t="str">
        <f>IFERROR(__xludf.DUMMYFUNCTION("""COMPUTED_VALUE"""),"Battery, iPhone 13 Pro Max")</f>
        <v>Battery, iPhone 13 Pro Max</v>
      </c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</row>
    <row r="4101">
      <c r="A4101" s="10" t="str">
        <f t="shared" si="1"/>
        <v>May</v>
      </c>
      <c r="B4101" s="11">
        <f>IFERROR(__xludf.DUMMYFUNCTION("""COMPUTED_VALUE"""),46156.0)</f>
        <v>46156</v>
      </c>
      <c r="C4101" s="2" t="str">
        <f>IFERROR(__xludf.DUMMYFUNCTION("""COMPUTED_VALUE"""),"MOBILECARE - THE PODIUM")</f>
        <v>MOBILECARE - THE PODIUM</v>
      </c>
      <c r="D4101" s="2" t="str">
        <f>IFERROR(__xludf.DUMMYFUNCTION("""COMPUTED_VALUE"""),"661-44957")</f>
        <v>661-44957</v>
      </c>
      <c r="E4101" s="2" t="str">
        <f>IFERROR(__xludf.DUMMYFUNCTION("""COMPUTED_VALUE"""),"Camera, iPhone 16 Pro Max")</f>
        <v>Camera, iPhone 16 Pro Max</v>
      </c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</row>
    <row r="4102">
      <c r="A4102" s="10" t="str">
        <f t="shared" si="1"/>
        <v>June</v>
      </c>
      <c r="B4102" s="11">
        <f>IFERROR(__xludf.DUMMYFUNCTION("""COMPUTED_VALUE"""),46185.0)</f>
        <v>46185</v>
      </c>
      <c r="C4102" s="2" t="str">
        <f>IFERROR(__xludf.DUMMYFUNCTION("""COMPUTED_VALUE"""),"MOBILECARE - THE PODIUM")</f>
        <v>MOBILECARE - THE PODIUM</v>
      </c>
      <c r="D4102" s="2" t="str">
        <f>IFERROR(__xludf.DUMMYFUNCTION("""COMPUTED_VALUE"""),"661-44957")</f>
        <v>661-44957</v>
      </c>
      <c r="E4102" s="2" t="str">
        <f>IFERROR(__xludf.DUMMYFUNCTION("""COMPUTED_VALUE"""),"Camera, iPhone 16 Pro Max")</f>
        <v>Camera, iPhone 16 Pro Max</v>
      </c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</row>
    <row r="4103">
      <c r="A4103" s="10" t="str">
        <f t="shared" si="1"/>
        <v>June</v>
      </c>
      <c r="B4103" s="11">
        <f>IFERROR(__xludf.DUMMYFUNCTION("""COMPUTED_VALUE"""),46185.0)</f>
        <v>46185</v>
      </c>
      <c r="C4103" s="2" t="str">
        <f>IFERROR(__xludf.DUMMYFUNCTION("""COMPUTED_VALUE"""),"MOBILECARE - THE PODIUM")</f>
        <v>MOBILECARE - THE PODIUM</v>
      </c>
      <c r="D4103" s="2" t="str">
        <f>IFERROR(__xludf.DUMMYFUNCTION("""COMPUTED_VALUE"""),"TA661-45263")</f>
        <v>TA661-45263</v>
      </c>
      <c r="E4103" s="2" t="str">
        <f>IFERROR(__xludf.DUMMYFUNCTION("""COMPUTED_VALUE"""),"256GB, Desert Titanium, ROW, iPhone 16 Pro Max, CI/AR")</f>
        <v>256GB, Desert Titanium, ROW, iPhone 16 Pro Max, CI/AR</v>
      </c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</row>
    <row r="4104">
      <c r="A4104" s="10" t="str">
        <f t="shared" si="1"/>
        <v>April</v>
      </c>
      <c r="B4104" s="11">
        <f>IFERROR(__xludf.DUMMYFUNCTION("""COMPUTED_VALUE"""),46142.0)</f>
        <v>46142</v>
      </c>
      <c r="C4104" s="2" t="str">
        <f>IFERROR(__xludf.DUMMYFUNCTION("""COMPUTED_VALUE"""),"MOBILECARE - THE PODIUM")</f>
        <v>MOBILECARE - THE PODIUM</v>
      </c>
      <c r="D4104" s="2" t="str">
        <f>IFERROR(__xludf.DUMMYFUNCTION("""COMPUTED_VALUE"""),"661-44956")</f>
        <v>661-44956</v>
      </c>
      <c r="E4104" s="2" t="str">
        <f>IFERROR(__xludf.DUMMYFUNCTION("""COMPUTED_VALUE"""),"TrueDepth Camera, iPhone 16 Pro Max")</f>
        <v>TrueDepth Camera, iPhone 16 Pro Max</v>
      </c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</row>
    <row r="4105">
      <c r="A4105" s="10" t="str">
        <f t="shared" si="1"/>
        <v>May</v>
      </c>
      <c r="B4105" s="11">
        <f>IFERROR(__xludf.DUMMYFUNCTION("""COMPUTED_VALUE"""),46145.0)</f>
        <v>46145</v>
      </c>
      <c r="C4105" s="2" t="str">
        <f>IFERROR(__xludf.DUMMYFUNCTION("""COMPUTED_VALUE"""),"MOBILECARE - THE PODIUM")</f>
        <v>MOBILECARE - THE PODIUM</v>
      </c>
      <c r="D4105" s="2" t="str">
        <f>IFERROR(__xludf.DUMMYFUNCTION("""COMPUTED_VALUE"""),"TA661-42903")</f>
        <v>TA661-42903</v>
      </c>
      <c r="E4105" s="2" t="str">
        <f>IFERROR(__xludf.DUMMYFUNCTION("""COMPUTED_VALUE"""),"256GB, Desert Titanium, ROW, iPhone 16 Pro, CI/AR")</f>
        <v>256GB, Desert Titanium, ROW, iPhone 16 Pro, CI/AR</v>
      </c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</row>
    <row r="4106">
      <c r="A4106" s="10" t="str">
        <f t="shared" si="1"/>
        <v>March</v>
      </c>
      <c r="B4106" s="11">
        <f>IFERROR(__xludf.DUMMYFUNCTION("""COMPUTED_VALUE"""),46099.0)</f>
        <v>46099</v>
      </c>
      <c r="C4106" s="2" t="str">
        <f>IFERROR(__xludf.DUMMYFUNCTION("""COMPUTED_VALUE"""),"MOBILECARE - THE PODIUM")</f>
        <v>MOBILECARE - THE PODIUM</v>
      </c>
      <c r="D4106" s="2" t="str">
        <f>IFERROR(__xludf.DUMMYFUNCTION("""COMPUTED_VALUE"""),"661-42726")</f>
        <v>661-42726</v>
      </c>
      <c r="E4106" s="2" t="str">
        <f>IFERROR(__xludf.DUMMYFUNCTION("""COMPUTED_VALUE"""),"Display, iPhone 16 Pro")</f>
        <v>Display, iPhone 16 Pro</v>
      </c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</row>
    <row r="4107">
      <c r="A4107" s="10" t="str">
        <f t="shared" si="1"/>
        <v>March</v>
      </c>
      <c r="B4107" s="11">
        <f>IFERROR(__xludf.DUMMYFUNCTION("""COMPUTED_VALUE"""),46082.0)</f>
        <v>46082</v>
      </c>
      <c r="C4107" s="2" t="str">
        <f>IFERROR(__xludf.DUMMYFUNCTION("""COMPUTED_VALUE"""),"MOBILECARE - THE PODIUM")</f>
        <v>MOBILECARE - THE PODIUM</v>
      </c>
      <c r="D4107" s="2" t="str">
        <f>IFERROR(__xludf.DUMMYFUNCTION("""COMPUTED_VALUE"""),"661-44956")</f>
        <v>661-44956</v>
      </c>
      <c r="E4107" s="2" t="str">
        <f>IFERROR(__xludf.DUMMYFUNCTION("""COMPUTED_VALUE"""),"TrueDepth Camera, iPhone 16 Pro Max")</f>
        <v>TrueDepth Camera, iPhone 16 Pro Max</v>
      </c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</row>
    <row r="4108">
      <c r="A4108" s="10" t="str">
        <f t="shared" si="1"/>
        <v>February</v>
      </c>
      <c r="B4108" s="11">
        <f>IFERROR(__xludf.DUMMYFUNCTION("""COMPUTED_VALUE"""),46054.0)</f>
        <v>46054</v>
      </c>
      <c r="C4108" s="2" t="str">
        <f>IFERROR(__xludf.DUMMYFUNCTION("""COMPUTED_VALUE"""),"MOBILECARE - THE PODIUM")</f>
        <v>MOBILECARE - THE PODIUM</v>
      </c>
      <c r="D4108" s="2" t="str">
        <f>IFERROR(__xludf.DUMMYFUNCTION("""COMPUTED_VALUE"""),"661-30397")</f>
        <v>661-30397</v>
      </c>
      <c r="E4108" s="2" t="str">
        <f>IFERROR(__xludf.DUMMYFUNCTION("""COMPUTED_VALUE"""),"Battery, iPhone 14 Pro Max")</f>
        <v>Battery, iPhone 14 Pro Max</v>
      </c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</row>
    <row r="4109">
      <c r="A4109" s="10" t="str">
        <f t="shared" si="1"/>
        <v>June</v>
      </c>
      <c r="B4109" s="11">
        <f>IFERROR(__xludf.DUMMYFUNCTION("""COMPUTED_VALUE"""),46184.0)</f>
        <v>46184</v>
      </c>
      <c r="C4109" s="2" t="str">
        <f>IFERROR(__xludf.DUMMYFUNCTION("""COMPUTED_VALUE"""),"MOBILECARE - THE PODIUM")</f>
        <v>MOBILECARE - THE PODIUM</v>
      </c>
      <c r="D4109" s="2" t="str">
        <f>IFERROR(__xludf.DUMMYFUNCTION("""COMPUTED_VALUE"""),"661-42727")</f>
        <v>661-42727</v>
      </c>
      <c r="E4109" s="2" t="str">
        <f>IFERROR(__xludf.DUMMYFUNCTION("""COMPUTED_VALUE"""),"TrueDepth Camera, iPhone 16 Pro")</f>
        <v>TrueDepth Camera, iPhone 16 Pro</v>
      </c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</row>
    <row r="4110">
      <c r="A4110" s="10" t="str">
        <f t="shared" si="1"/>
        <v>April</v>
      </c>
      <c r="B4110" s="11">
        <f>IFERROR(__xludf.DUMMYFUNCTION("""COMPUTED_VALUE"""),46129.0)</f>
        <v>46129</v>
      </c>
      <c r="C4110" s="2" t="str">
        <f>IFERROR(__xludf.DUMMYFUNCTION("""COMPUTED_VALUE"""),"MOBILECARE - THE PODIUM")</f>
        <v>MOBILECARE - THE PODIUM</v>
      </c>
      <c r="D4110" s="2" t="str">
        <f>IFERROR(__xludf.DUMMYFUNCTION("""COMPUTED_VALUE"""),"661-18428")</f>
        <v>661-18428</v>
      </c>
      <c r="E4110" s="2" t="str">
        <f>IFERROR(__xludf.DUMMYFUNCTION("""COMPUTED_VALUE"""),"Battery, iPhone 12 Pro Max")</f>
        <v>Battery, iPhone 12 Pro Max</v>
      </c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</row>
    <row r="4111">
      <c r="A4111" s="10" t="str">
        <f t="shared" si="1"/>
        <v>April</v>
      </c>
      <c r="B4111" s="11">
        <f>IFERROR(__xludf.DUMMYFUNCTION("""COMPUTED_VALUE"""),46117.0)</f>
        <v>46117</v>
      </c>
      <c r="C4111" s="2" t="str">
        <f>IFERROR(__xludf.DUMMYFUNCTION("""COMPUTED_VALUE"""),"MOBILECARE - THE PODIUM")</f>
        <v>MOBILECARE - THE PODIUM</v>
      </c>
      <c r="D4111" s="2" t="str">
        <f>IFERROR(__xludf.DUMMYFUNCTION("""COMPUTED_VALUE"""),"661-13574")</f>
        <v>661-13574</v>
      </c>
      <c r="E4111" s="2" t="str">
        <f>IFERROR(__xludf.DUMMYFUNCTION("""COMPUTED_VALUE"""),"Battery, iPhone 11")</f>
        <v>Battery, iPhone 11</v>
      </c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</row>
    <row r="4112">
      <c r="A4112" s="10" t="str">
        <f t="shared" si="1"/>
        <v>March</v>
      </c>
      <c r="B4112" s="11">
        <f>IFERROR(__xludf.DUMMYFUNCTION("""COMPUTED_VALUE"""),46096.0)</f>
        <v>46096</v>
      </c>
      <c r="C4112" s="2" t="str">
        <f>IFERROR(__xludf.DUMMYFUNCTION("""COMPUTED_VALUE"""),"MOBILECARE - THE PODIUM")</f>
        <v>MOBILECARE - THE PODIUM</v>
      </c>
      <c r="D4112" s="2" t="str">
        <f>IFERROR(__xludf.DUMMYFUNCTION("""COMPUTED_VALUE"""),"661-22294")</f>
        <v>661-22294</v>
      </c>
      <c r="E4112" s="2" t="str">
        <f>IFERROR(__xludf.DUMMYFUNCTION("""COMPUTED_VALUE"""),"Battery, iPhone 13 Pro Max")</f>
        <v>Battery, iPhone 13 Pro Max</v>
      </c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</row>
    <row r="4113">
      <c r="A4113" s="10" t="str">
        <f t="shared" si="1"/>
        <v>February</v>
      </c>
      <c r="B4113" s="11">
        <f>IFERROR(__xludf.DUMMYFUNCTION("""COMPUTED_VALUE"""),46072.0)</f>
        <v>46072</v>
      </c>
      <c r="C4113" s="2" t="str">
        <f>IFERROR(__xludf.DUMMYFUNCTION("""COMPUTED_VALUE"""),"MOBILECARE - THE PODIUM")</f>
        <v>MOBILECARE - THE PODIUM</v>
      </c>
      <c r="D4113" s="2" t="str">
        <f>IFERROR(__xludf.DUMMYFUNCTION("""COMPUTED_VALUE"""),"661-22374")</f>
        <v>661-22374</v>
      </c>
      <c r="E4113" s="2" t="str">
        <f>IFERROR(__xludf.DUMMYFUNCTION("""COMPUTED_VALUE"""),"Battery, iPhone 13 mini")</f>
        <v>Battery, iPhone 13 mini</v>
      </c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</row>
    <row r="4114">
      <c r="A4114" s="10" t="str">
        <f t="shared" si="1"/>
        <v>January</v>
      </c>
      <c r="B4114" s="11">
        <f>IFERROR(__xludf.DUMMYFUNCTION("""COMPUTED_VALUE"""),46043.0)</f>
        <v>46043</v>
      </c>
      <c r="C4114" s="2" t="str">
        <f>IFERROR(__xludf.DUMMYFUNCTION("""COMPUTED_VALUE"""),"MOBILECARE - THE PODIUM")</f>
        <v>MOBILECARE - THE PODIUM</v>
      </c>
      <c r="D4114" s="2" t="str">
        <f>IFERROR(__xludf.DUMMYFUNCTION("""COMPUTED_VALUE"""),"661-10850")</f>
        <v>661-10850</v>
      </c>
      <c r="E4114" s="2" t="str">
        <f>IFERROR(__xludf.DUMMYFUNCTION("""COMPUTED_VALUE"""),"Battery, iPhone XR")</f>
        <v>Battery, iPhone XR</v>
      </c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</row>
    <row r="4115">
      <c r="A4115" s="10" t="str">
        <f t="shared" si="1"/>
        <v>January</v>
      </c>
      <c r="B4115" s="11">
        <f>IFERROR(__xludf.DUMMYFUNCTION("""COMPUTED_VALUE"""),46043.0)</f>
        <v>46043</v>
      </c>
      <c r="C4115" s="2" t="str">
        <f>IFERROR(__xludf.DUMMYFUNCTION("""COMPUTED_VALUE"""),"MOBILECARE - THE PODIUM")</f>
        <v>MOBILECARE - THE PODIUM</v>
      </c>
      <c r="D4115" s="2" t="str">
        <f>IFERROR(__xludf.DUMMYFUNCTION("""COMPUTED_VALUE"""),"923-02609")</f>
        <v>923-02609</v>
      </c>
      <c r="E4115" s="2" t="str">
        <f>IFERROR(__xludf.DUMMYFUNCTION("""COMPUTED_VALUE"""),"Speaker, iPhone XR")</f>
        <v>Speaker, iPhone XR</v>
      </c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</row>
    <row r="4116">
      <c r="A4116" s="10" t="str">
        <f t="shared" si="1"/>
        <v>June</v>
      </c>
      <c r="B4116" s="11">
        <f>IFERROR(__xludf.DUMMYFUNCTION("""COMPUTED_VALUE"""),46179.0)</f>
        <v>46179</v>
      </c>
      <c r="C4116" s="2" t="str">
        <f>IFERROR(__xludf.DUMMYFUNCTION("""COMPUTED_VALUE"""),"MOBILECARE - THE PODIUM")</f>
        <v>MOBILECARE - THE PODIUM</v>
      </c>
      <c r="D4116" s="2" t="str">
        <f>IFERROR(__xludf.DUMMYFUNCTION("""COMPUTED_VALUE"""),"661-17920")</f>
        <v>661-17920</v>
      </c>
      <c r="E4116" s="2" t="str">
        <f>IFERROR(__xludf.DUMMYFUNCTION("""COMPUTED_VALUE"""),"Battery, iPhone 12 and 12 Pro")</f>
        <v>Battery, iPhone 12 and 12 Pro</v>
      </c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</row>
    <row r="4117">
      <c r="A4117" s="10" t="str">
        <f t="shared" si="1"/>
        <v>May</v>
      </c>
      <c r="B4117" s="11">
        <f>IFERROR(__xludf.DUMMYFUNCTION("""COMPUTED_VALUE"""),46153.0)</f>
        <v>46153</v>
      </c>
      <c r="C4117" s="2" t="str">
        <f>IFERROR(__xludf.DUMMYFUNCTION("""COMPUTED_VALUE"""),"MOBILECARE - THE PODIUM")</f>
        <v>MOBILECARE - THE PODIUM</v>
      </c>
      <c r="D4117" s="2" t="str">
        <f>IFERROR(__xludf.DUMMYFUNCTION("""COMPUTED_VALUE"""),"661-13574")</f>
        <v>661-13574</v>
      </c>
      <c r="E4117" s="2" t="str">
        <f>IFERROR(__xludf.DUMMYFUNCTION("""COMPUTED_VALUE"""),"Battery, iPhone 11")</f>
        <v>Battery, iPhone 11</v>
      </c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</row>
    <row r="4118">
      <c r="A4118" s="10" t="str">
        <f t="shared" si="1"/>
        <v>April</v>
      </c>
      <c r="B4118" s="11">
        <f>IFERROR(__xludf.DUMMYFUNCTION("""COMPUTED_VALUE"""),46133.0)</f>
        <v>46133</v>
      </c>
      <c r="C4118" s="2" t="str">
        <f>IFERROR(__xludf.DUMMYFUNCTION("""COMPUTED_VALUE"""),"MOBILECARE - THE PODIUM")</f>
        <v>MOBILECARE - THE PODIUM</v>
      </c>
      <c r="D4118" s="2" t="str">
        <f>IFERROR(__xludf.DUMMYFUNCTION("""COMPUTED_VALUE"""),"661-17920")</f>
        <v>661-17920</v>
      </c>
      <c r="E4118" s="2" t="str">
        <f>IFERROR(__xludf.DUMMYFUNCTION("""COMPUTED_VALUE"""),"Battery, iPhone 12 and 12 Pro")</f>
        <v>Battery, iPhone 12 and 12 Pro</v>
      </c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</row>
    <row r="4119">
      <c r="A4119" s="10" t="str">
        <f t="shared" si="1"/>
        <v>March</v>
      </c>
      <c r="B4119" s="11">
        <f>IFERROR(__xludf.DUMMYFUNCTION("""COMPUTED_VALUE"""),46092.0)</f>
        <v>46092</v>
      </c>
      <c r="C4119" s="2" t="str">
        <f>IFERROR(__xludf.DUMMYFUNCTION("""COMPUTED_VALUE"""),"MOBILECARE - THE PODIUM")</f>
        <v>MOBILECARE - THE PODIUM</v>
      </c>
      <c r="D4119" s="2" t="str">
        <f>IFERROR(__xludf.DUMMYFUNCTION("""COMPUTED_VALUE"""),"661-30382")</f>
        <v>661-30382</v>
      </c>
      <c r="E4119" s="2" t="str">
        <f>IFERROR(__xludf.DUMMYFUNCTION("""COMPUTED_VALUE"""),"Battery, iPhone 14 Pro")</f>
        <v>Battery, iPhone 14 Pro</v>
      </c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</row>
    <row r="4120">
      <c r="A4120" s="10" t="str">
        <f t="shared" si="1"/>
        <v>March</v>
      </c>
      <c r="B4120" s="11">
        <f>IFERROR(__xludf.DUMMYFUNCTION("""COMPUTED_VALUE"""),46084.0)</f>
        <v>46084</v>
      </c>
      <c r="C4120" s="2" t="str">
        <f>IFERROR(__xludf.DUMMYFUNCTION("""COMPUTED_VALUE"""),"MOBILECARE - THE PODIUM")</f>
        <v>MOBILECARE - THE PODIUM</v>
      </c>
      <c r="D4120" s="2" t="str">
        <f>IFERROR(__xludf.DUMMYFUNCTION("""COMPUTED_VALUE"""),"661-44798")</f>
        <v>661-44798</v>
      </c>
      <c r="E4120" s="2" t="str">
        <f>IFERROR(__xludf.DUMMYFUNCTION("""COMPUTED_VALUE"""),"TrueDepth Camera, iPhone 16")</f>
        <v>TrueDepth Camera, iPhone 16</v>
      </c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</row>
    <row r="4121">
      <c r="A4121" s="10" t="str">
        <f t="shared" si="1"/>
        <v>February</v>
      </c>
      <c r="B4121" s="11">
        <f>IFERROR(__xludf.DUMMYFUNCTION("""COMPUTED_VALUE"""),46056.0)</f>
        <v>46056</v>
      </c>
      <c r="C4121" s="2" t="str">
        <f>IFERROR(__xludf.DUMMYFUNCTION("""COMPUTED_VALUE"""),"MOBILECARE - THE PODIUM")</f>
        <v>MOBILECARE - THE PODIUM</v>
      </c>
      <c r="D4121" s="2" t="str">
        <f>IFERROR(__xludf.DUMMYFUNCTION("""COMPUTED_VALUE"""),"661-17920")</f>
        <v>661-17920</v>
      </c>
      <c r="E4121" s="2" t="str">
        <f>IFERROR(__xludf.DUMMYFUNCTION("""COMPUTED_VALUE"""),"Battery, iPhone 12 and 12 Pro")</f>
        <v>Battery, iPhone 12 and 12 Pro</v>
      </c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</row>
    <row r="4122">
      <c r="A4122" s="10" t="str">
        <f t="shared" si="1"/>
        <v>June</v>
      </c>
      <c r="B4122" s="11">
        <f>IFERROR(__xludf.DUMMYFUNCTION("""COMPUTED_VALUE"""),46177.0)</f>
        <v>46177</v>
      </c>
      <c r="C4122" s="2" t="str">
        <f>IFERROR(__xludf.DUMMYFUNCTION("""COMPUTED_VALUE"""),"MOBILECARE - THE PODIUM")</f>
        <v>MOBILECARE - THE PODIUM</v>
      </c>
      <c r="D4122" s="2" t="str">
        <f>IFERROR(__xludf.DUMMYFUNCTION("""COMPUTED_VALUE"""),"661-44955")</f>
        <v>661-44955</v>
      </c>
      <c r="E4122" s="2" t="str">
        <f>IFERROR(__xludf.DUMMYFUNCTION("""COMPUTED_VALUE"""),"Display, iPhone 16 Pro Max")</f>
        <v>Display, iPhone 16 Pro Max</v>
      </c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</row>
    <row r="4123">
      <c r="A4123" s="10" t="str">
        <f t="shared" si="1"/>
        <v>June</v>
      </c>
      <c r="B4123" s="11">
        <f>IFERROR(__xludf.DUMMYFUNCTION("""COMPUTED_VALUE"""),46176.0)</f>
        <v>46176</v>
      </c>
      <c r="C4123" s="2" t="str">
        <f>IFERROR(__xludf.DUMMYFUNCTION("""COMPUTED_VALUE"""),"MOBILECARE - THE PODIUM")</f>
        <v>MOBILECARE - THE PODIUM</v>
      </c>
      <c r="D4123" s="2" t="str">
        <f>IFERROR(__xludf.DUMMYFUNCTION("""COMPUTED_VALUE"""),"661-21991")</f>
        <v>661-21991</v>
      </c>
      <c r="E4123" s="2" t="str">
        <f>IFERROR(__xludf.DUMMYFUNCTION("""COMPUTED_VALUE"""),"Battery, iPhone 13")</f>
        <v>Battery, iPhone 13</v>
      </c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</row>
    <row r="4124">
      <c r="A4124" s="10" t="str">
        <f t="shared" si="1"/>
        <v>May</v>
      </c>
      <c r="B4124" s="11">
        <f>IFERROR(__xludf.DUMMYFUNCTION("""COMPUTED_VALUE"""),46149.0)</f>
        <v>46149</v>
      </c>
      <c r="C4124" s="2" t="str">
        <f>IFERROR(__xludf.DUMMYFUNCTION("""COMPUTED_VALUE"""),"MOBILECARE - THE PODIUM")</f>
        <v>MOBILECARE - THE PODIUM</v>
      </c>
      <c r="D4124" s="2" t="str">
        <f>IFERROR(__xludf.DUMMYFUNCTION("""COMPUTED_VALUE"""),"661-35885")</f>
        <v>661-35885</v>
      </c>
      <c r="E4124" s="2" t="str">
        <f>IFERROR(__xludf.DUMMYFUNCTION("""COMPUTED_VALUE"""),"Battery, iPhone 15")</f>
        <v>Battery, iPhone 15</v>
      </c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</row>
    <row r="4125">
      <c r="A4125" s="10" t="str">
        <f t="shared" si="1"/>
        <v>April</v>
      </c>
      <c r="B4125" s="11">
        <f>IFERROR(__xludf.DUMMYFUNCTION("""COMPUTED_VALUE"""),46134.0)</f>
        <v>46134</v>
      </c>
      <c r="C4125" s="2" t="str">
        <f>IFERROR(__xludf.DUMMYFUNCTION("""COMPUTED_VALUE"""),"MOBILECARE - THE PODIUM")</f>
        <v>MOBILECARE - THE PODIUM</v>
      </c>
      <c r="D4125" s="2" t="str">
        <f>IFERROR(__xludf.DUMMYFUNCTION("""COMPUTED_VALUE"""),"661-30393")</f>
        <v>661-30393</v>
      </c>
      <c r="E4125" s="2" t="str">
        <f>IFERROR(__xludf.DUMMYFUNCTION("""COMPUTED_VALUE"""),"Camera, iPhone 14 Plus")</f>
        <v>Camera, iPhone 14 Plus</v>
      </c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</row>
    <row r="4126">
      <c r="A4126" s="10" t="str">
        <f t="shared" si="1"/>
        <v>April</v>
      </c>
      <c r="B4126" s="11">
        <f>IFERROR(__xludf.DUMMYFUNCTION("""COMPUTED_VALUE"""),46123.0)</f>
        <v>46123</v>
      </c>
      <c r="C4126" s="2" t="str">
        <f>IFERROR(__xludf.DUMMYFUNCTION("""COMPUTED_VALUE"""),"MOBILECARE - THE PODIUM")</f>
        <v>MOBILECARE - THE PODIUM</v>
      </c>
      <c r="D4126" s="2" t="str">
        <f>IFERROR(__xludf.DUMMYFUNCTION("""COMPUTED_VALUE"""),"661-30397")</f>
        <v>661-30397</v>
      </c>
      <c r="E4126" s="2" t="str">
        <f>IFERROR(__xludf.DUMMYFUNCTION("""COMPUTED_VALUE"""),"Battery, iPhone 14 Pro Max")</f>
        <v>Battery, iPhone 14 Pro Max</v>
      </c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</row>
    <row r="4127">
      <c r="A4127" s="10" t="str">
        <f t="shared" si="1"/>
        <v>March</v>
      </c>
      <c r="B4127" s="11">
        <f>IFERROR(__xludf.DUMMYFUNCTION("""COMPUTED_VALUE"""),46093.0)</f>
        <v>46093</v>
      </c>
      <c r="C4127" s="2" t="str">
        <f>IFERROR(__xludf.DUMMYFUNCTION("""COMPUTED_VALUE"""),"MOBILECARE - THE PODIUM")</f>
        <v>MOBILECARE - THE PODIUM</v>
      </c>
      <c r="D4127" s="2" t="str">
        <f>IFERROR(__xludf.DUMMYFUNCTION("""COMPUTED_VALUE"""),"661-30397")</f>
        <v>661-30397</v>
      </c>
      <c r="E4127" s="2" t="str">
        <f>IFERROR(__xludf.DUMMYFUNCTION("""COMPUTED_VALUE"""),"Battery, iPhone 14 Pro Max")</f>
        <v>Battery, iPhone 14 Pro Max</v>
      </c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</row>
    <row r="4128">
      <c r="A4128" s="10" t="str">
        <f t="shared" si="1"/>
        <v>March</v>
      </c>
      <c r="B4128" s="11">
        <f>IFERROR(__xludf.DUMMYFUNCTION("""COMPUTED_VALUE"""),46092.0)</f>
        <v>46092</v>
      </c>
      <c r="C4128" s="2" t="str">
        <f>IFERROR(__xludf.DUMMYFUNCTION("""COMPUTED_VALUE"""),"MOBILECARE - THE PODIUM")</f>
        <v>MOBILECARE - THE PODIUM</v>
      </c>
      <c r="D4128" s="2" t="str">
        <f>IFERROR(__xludf.DUMMYFUNCTION("""COMPUTED_VALUE"""),"661-56067")</f>
        <v>661-56067</v>
      </c>
      <c r="E4128" s="2" t="str">
        <f>IFERROR(__xludf.DUMMYFUNCTION("""COMPUTED_VALUE"""),"Camera, iPhone 17")</f>
        <v>Camera, iPhone 17</v>
      </c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</row>
    <row r="4129">
      <c r="A4129" s="10" t="str">
        <f t="shared" si="1"/>
        <v>February</v>
      </c>
      <c r="B4129" s="11">
        <f>IFERROR(__xludf.DUMMYFUNCTION("""COMPUTED_VALUE"""),46079.0)</f>
        <v>46079</v>
      </c>
      <c r="C4129" s="2" t="str">
        <f>IFERROR(__xludf.DUMMYFUNCTION("""COMPUTED_VALUE"""),"MOBILECARE - THE PODIUM")</f>
        <v>MOBILECARE - THE PODIUM</v>
      </c>
      <c r="D4129" s="2" t="str">
        <f>IFERROR(__xludf.DUMMYFUNCTION("""COMPUTED_VALUE"""),"661-35885")</f>
        <v>661-35885</v>
      </c>
      <c r="E4129" s="2" t="str">
        <f>IFERROR(__xludf.DUMMYFUNCTION("""COMPUTED_VALUE"""),"Battery, iPhone 15")</f>
        <v>Battery, iPhone 15</v>
      </c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</row>
    <row r="4130">
      <c r="A4130" s="10" t="str">
        <f t="shared" si="1"/>
        <v>February</v>
      </c>
      <c r="B4130" s="11">
        <f>IFERROR(__xludf.DUMMYFUNCTION("""COMPUTED_VALUE"""),46074.0)</f>
        <v>46074</v>
      </c>
      <c r="C4130" s="2" t="str">
        <f>IFERROR(__xludf.DUMMYFUNCTION("""COMPUTED_VALUE"""),"MOBILECARE - THE PODIUM")</f>
        <v>MOBILECARE - THE PODIUM</v>
      </c>
      <c r="D4130" s="2" t="str">
        <f>IFERROR(__xludf.DUMMYFUNCTION("""COMPUTED_VALUE"""),"661-22309")</f>
        <v>661-22309</v>
      </c>
      <c r="E4130" s="2" t="str">
        <f>IFERROR(__xludf.DUMMYFUNCTION("""COMPUTED_VALUE"""),"Display, iPhone 13 Pro Max")</f>
        <v>Display, iPhone 13 Pro Max</v>
      </c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</row>
    <row r="4131">
      <c r="A4131" s="10" t="str">
        <f t="shared" si="1"/>
        <v>February</v>
      </c>
      <c r="B4131" s="11">
        <f>IFERROR(__xludf.DUMMYFUNCTION("""COMPUTED_VALUE"""),46067.0)</f>
        <v>46067</v>
      </c>
      <c r="C4131" s="2" t="str">
        <f>IFERROR(__xludf.DUMMYFUNCTION("""COMPUTED_VALUE"""),"MOBILECARE - THE PODIUM")</f>
        <v>MOBILECARE - THE PODIUM</v>
      </c>
      <c r="D4131" s="2" t="str">
        <f>IFERROR(__xludf.DUMMYFUNCTION("""COMPUTED_VALUE"""),"661-13574")</f>
        <v>661-13574</v>
      </c>
      <c r="E4131" s="2" t="str">
        <f>IFERROR(__xludf.DUMMYFUNCTION("""COMPUTED_VALUE"""),"Battery, iPhone 11")</f>
        <v>Battery, iPhone 11</v>
      </c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</row>
    <row r="4132">
      <c r="A4132" s="10" t="str">
        <f t="shared" si="1"/>
        <v>February</v>
      </c>
      <c r="B4132" s="11">
        <f>IFERROR(__xludf.DUMMYFUNCTION("""COMPUTED_VALUE"""),46059.0)</f>
        <v>46059</v>
      </c>
      <c r="C4132" s="2" t="str">
        <f>IFERROR(__xludf.DUMMYFUNCTION("""COMPUTED_VALUE"""),"MOBILECARE - THE PODIUM")</f>
        <v>MOBILECARE - THE PODIUM</v>
      </c>
      <c r="D4132" s="2" t="str">
        <f>IFERROR(__xludf.DUMMYFUNCTION("""COMPUTED_VALUE"""),"661-21991")</f>
        <v>661-21991</v>
      </c>
      <c r="E4132" s="2" t="str">
        <f>IFERROR(__xludf.DUMMYFUNCTION("""COMPUTED_VALUE"""),"Battery, iPhone 13")</f>
        <v>Battery, iPhone 13</v>
      </c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</row>
    <row r="4133">
      <c r="A4133" s="10" t="str">
        <f t="shared" si="1"/>
        <v>June</v>
      </c>
      <c r="B4133" s="11">
        <f>IFERROR(__xludf.DUMMYFUNCTION("""COMPUTED_VALUE"""),46188.0)</f>
        <v>46188</v>
      </c>
      <c r="C4133" s="2" t="str">
        <f>IFERROR(__xludf.DUMMYFUNCTION("""COMPUTED_VALUE"""),"MOBILECARE - THE PODIUM")</f>
        <v>MOBILECARE - THE PODIUM</v>
      </c>
      <c r="D4133" s="2" t="str">
        <f>IFERROR(__xludf.DUMMYFUNCTION("""COMPUTED_VALUE"""),"661-21991")</f>
        <v>661-21991</v>
      </c>
      <c r="E4133" s="2" t="str">
        <f>IFERROR(__xludf.DUMMYFUNCTION("""COMPUTED_VALUE"""),"Battery, iPhone 13")</f>
        <v>Battery, iPhone 13</v>
      </c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</row>
    <row r="4134">
      <c r="A4134" s="10" t="str">
        <f t="shared" si="1"/>
        <v>June</v>
      </c>
      <c r="B4134" s="11">
        <f>IFERROR(__xludf.DUMMYFUNCTION("""COMPUTED_VALUE"""),46185.0)</f>
        <v>46185</v>
      </c>
      <c r="C4134" s="2" t="str">
        <f>IFERROR(__xludf.DUMMYFUNCTION("""COMPUTED_VALUE"""),"MOBILECARE - THE PODIUM")</f>
        <v>MOBILECARE - THE PODIUM</v>
      </c>
      <c r="D4134" s="2" t="str">
        <f>IFERROR(__xludf.DUMMYFUNCTION("""COMPUTED_VALUE"""),"661-30397")</f>
        <v>661-30397</v>
      </c>
      <c r="E4134" s="2" t="str">
        <f>IFERROR(__xludf.DUMMYFUNCTION("""COMPUTED_VALUE"""),"Battery, iPhone 14 Pro Max")</f>
        <v>Battery, iPhone 14 Pro Max</v>
      </c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</row>
    <row r="4135">
      <c r="A4135" s="10" t="str">
        <f t="shared" si="1"/>
        <v>June</v>
      </c>
      <c r="B4135" s="11">
        <f>IFERROR(__xludf.DUMMYFUNCTION("""COMPUTED_VALUE"""),46179.0)</f>
        <v>46179</v>
      </c>
      <c r="C4135" s="2" t="str">
        <f>IFERROR(__xludf.DUMMYFUNCTION("""COMPUTED_VALUE"""),"MOBILECARE - THE PODIUM")</f>
        <v>MOBILECARE - THE PODIUM</v>
      </c>
      <c r="D4135" s="2" t="str">
        <f>IFERROR(__xludf.DUMMYFUNCTION("""COMPUTED_VALUE"""),"661-13574")</f>
        <v>661-13574</v>
      </c>
      <c r="E4135" s="2" t="str">
        <f>IFERROR(__xludf.DUMMYFUNCTION("""COMPUTED_VALUE"""),"Battery, iPhone 11")</f>
        <v>Battery, iPhone 11</v>
      </c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</row>
    <row r="4136">
      <c r="A4136" s="10" t="str">
        <f t="shared" si="1"/>
        <v>March</v>
      </c>
      <c r="B4136" s="11">
        <f>IFERROR(__xludf.DUMMYFUNCTION("""COMPUTED_VALUE"""),46108.0)</f>
        <v>46108</v>
      </c>
      <c r="C4136" s="2" t="str">
        <f>IFERROR(__xludf.DUMMYFUNCTION("""COMPUTED_VALUE"""),"MOBILECARE - THE PODIUM")</f>
        <v>MOBILECARE - THE PODIUM</v>
      </c>
      <c r="D4136" s="2" t="str">
        <f>IFERROR(__xludf.DUMMYFUNCTION("""COMPUTED_VALUE"""),"661-21991")</f>
        <v>661-21991</v>
      </c>
      <c r="E4136" s="2" t="str">
        <f>IFERROR(__xludf.DUMMYFUNCTION("""COMPUTED_VALUE"""),"Battery, iPhone 13")</f>
        <v>Battery, iPhone 13</v>
      </c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</row>
    <row r="4137">
      <c r="A4137" s="10" t="str">
        <f t="shared" si="1"/>
        <v>March</v>
      </c>
      <c r="B4137" s="11">
        <f>IFERROR(__xludf.DUMMYFUNCTION("""COMPUTED_VALUE"""),46108.0)</f>
        <v>46108</v>
      </c>
      <c r="C4137" s="2" t="str">
        <f>IFERROR(__xludf.DUMMYFUNCTION("""COMPUTED_VALUE"""),"MOBILECARE - THE PODIUM")</f>
        <v>MOBILECARE - THE PODIUM</v>
      </c>
      <c r="D4137" s="2" t="str">
        <f>IFERROR(__xludf.DUMMYFUNCTION("""COMPUTED_VALUE"""),"661-21988")</f>
        <v>661-21988</v>
      </c>
      <c r="E4137" s="2" t="str">
        <f>IFERROR(__xludf.DUMMYFUNCTION("""COMPUTED_VALUE"""),"Display, iPhone 13")</f>
        <v>Display, iPhone 13</v>
      </c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</row>
    <row r="4138">
      <c r="A4138" s="10" t="str">
        <f t="shared" si="1"/>
        <v>January</v>
      </c>
      <c r="B4138" s="11">
        <f>IFERROR(__xludf.DUMMYFUNCTION("""COMPUTED_VALUE"""),46049.0)</f>
        <v>46049</v>
      </c>
      <c r="C4138" s="2" t="str">
        <f>IFERROR(__xludf.DUMMYFUNCTION("""COMPUTED_VALUE"""),"MOBILECARE - THE PODIUM")</f>
        <v>MOBILECARE - THE PODIUM</v>
      </c>
      <c r="D4138" s="2" t="str">
        <f>IFERROR(__xludf.DUMMYFUNCTION("""COMPUTED_VALUE"""),"PP661-22980")</f>
        <v>PP661-22980</v>
      </c>
      <c r="E4138" s="2" t="str">
        <f>IFERROR(__xludf.DUMMYFUNCTION("""COMPUTED_VALUE"""),"Midnight, 128 GB, iPhone 13, ROW, CI/AR, Philippines")</f>
        <v>Midnight, 128 GB, iPhone 13, ROW, CI/AR, Philippines</v>
      </c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</row>
    <row r="4139">
      <c r="A4139" s="10" t="str">
        <f t="shared" si="1"/>
        <v>June</v>
      </c>
      <c r="B4139" s="11">
        <f>IFERROR(__xludf.DUMMYFUNCTION("""COMPUTED_VALUE"""),46189.0)</f>
        <v>46189</v>
      </c>
      <c r="C4139" s="2" t="str">
        <f>IFERROR(__xludf.DUMMYFUNCTION("""COMPUTED_VALUE"""),"MOBILECARE - THE PODIUM")</f>
        <v>MOBILECARE - THE PODIUM</v>
      </c>
      <c r="D4139" s="2" t="str">
        <f>IFERROR(__xludf.DUMMYFUNCTION("""COMPUTED_VALUE"""),"661-30398")</f>
        <v>661-30398</v>
      </c>
      <c r="E4139" s="2" t="str">
        <f>IFERROR(__xludf.DUMMYFUNCTION("""COMPUTED_VALUE"""),"Camera, iPhone 14 Pro Max")</f>
        <v>Camera, iPhone 14 Pro Max</v>
      </c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</row>
    <row r="4140">
      <c r="A4140" s="10" t="str">
        <f t="shared" si="1"/>
        <v>June</v>
      </c>
      <c r="B4140" s="11">
        <f>IFERROR(__xludf.DUMMYFUNCTION("""COMPUTED_VALUE"""),46189.0)</f>
        <v>46189</v>
      </c>
      <c r="C4140" s="2" t="str">
        <f>IFERROR(__xludf.DUMMYFUNCTION("""COMPUTED_VALUE"""),"MOBILECARE - THE PODIUM")</f>
        <v>MOBILECARE - THE PODIUM</v>
      </c>
      <c r="D4140" s="2" t="str">
        <f>IFERROR(__xludf.DUMMYFUNCTION("""COMPUTED_VALUE"""),"661-30397")</f>
        <v>661-30397</v>
      </c>
      <c r="E4140" s="2" t="str">
        <f>IFERROR(__xludf.DUMMYFUNCTION("""COMPUTED_VALUE"""),"Battery, iPhone 14 Pro Max")</f>
        <v>Battery, iPhone 14 Pro Max</v>
      </c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</row>
    <row r="4141">
      <c r="A4141" s="10" t="str">
        <f t="shared" si="1"/>
        <v>March</v>
      </c>
      <c r="B4141" s="11">
        <f>IFERROR(__xludf.DUMMYFUNCTION("""COMPUTED_VALUE"""),46090.0)</f>
        <v>46090</v>
      </c>
      <c r="C4141" s="2" t="str">
        <f>IFERROR(__xludf.DUMMYFUNCTION("""COMPUTED_VALUE"""),"MOBILECARE - THE PODIUM")</f>
        <v>MOBILECARE - THE PODIUM</v>
      </c>
      <c r="D4141" s="2" t="str">
        <f>IFERROR(__xludf.DUMMYFUNCTION("""COMPUTED_VALUE"""),"Z661-55958")</f>
        <v>Z661-55958</v>
      </c>
      <c r="E4141" s="2" t="str">
        <f>IFERROR(__xludf.DUMMYFUNCTION("""COMPUTED_VALUE"""),"Logic Board, 1TB, iPhone 17 Pro Max, ROW")</f>
        <v>Logic Board, 1TB, iPhone 17 Pro Max, ROW</v>
      </c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</row>
    <row r="4142">
      <c r="A4142" s="10" t="str">
        <f t="shared" si="1"/>
        <v>February</v>
      </c>
      <c r="B4142" s="11">
        <f>IFERROR(__xludf.DUMMYFUNCTION("""COMPUTED_VALUE"""),46074.0)</f>
        <v>46074</v>
      </c>
      <c r="C4142" s="2" t="str">
        <f>IFERROR(__xludf.DUMMYFUNCTION("""COMPUTED_VALUE"""),"MOBILECARE - THE PODIUM")</f>
        <v>MOBILECARE - THE PODIUM</v>
      </c>
      <c r="D4142" s="2" t="str">
        <f>IFERROR(__xludf.DUMMYFUNCTION("""COMPUTED_VALUE"""),"661-56127")</f>
        <v>661-56127</v>
      </c>
      <c r="E4142" s="2" t="str">
        <f>IFERROR(__xludf.DUMMYFUNCTION("""COMPUTED_VALUE"""),"Camera, iPhone 17 Pro")</f>
        <v>Camera, iPhone 17 Pro</v>
      </c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</row>
    <row r="4143">
      <c r="A4143" s="10" t="str">
        <f t="shared" si="1"/>
        <v>May</v>
      </c>
      <c r="B4143" s="11">
        <f>IFERROR(__xludf.DUMMYFUNCTION("""COMPUTED_VALUE"""),46149.0)</f>
        <v>46149</v>
      </c>
      <c r="C4143" s="2" t="str">
        <f>IFERROR(__xludf.DUMMYFUNCTION("""COMPUTED_VALUE"""),"MOBILECARE - THE PODIUM")</f>
        <v>MOBILECARE - THE PODIUM</v>
      </c>
      <c r="D4143" s="2" t="str">
        <f>IFERROR(__xludf.DUMMYFUNCTION("""COMPUTED_VALUE"""),"661-21991")</f>
        <v>661-21991</v>
      </c>
      <c r="E4143" s="2" t="str">
        <f>IFERROR(__xludf.DUMMYFUNCTION("""COMPUTED_VALUE"""),"Battery, iPhone 13")</f>
        <v>Battery, iPhone 13</v>
      </c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</row>
    <row r="4144">
      <c r="A4144" s="10" t="str">
        <f t="shared" si="1"/>
        <v>May</v>
      </c>
      <c r="B4144" s="11">
        <f>IFERROR(__xludf.DUMMYFUNCTION("""COMPUTED_VALUE"""),46151.0)</f>
        <v>46151</v>
      </c>
      <c r="C4144" s="2" t="str">
        <f>IFERROR(__xludf.DUMMYFUNCTION("""COMPUTED_VALUE"""),"MOBILECARE - THE PODIUM")</f>
        <v>MOBILECARE - THE PODIUM</v>
      </c>
      <c r="D4144" s="2" t="str">
        <f>IFERROR(__xludf.DUMMYFUNCTION("""COMPUTED_VALUE"""),"661-25890")</f>
        <v>661-25890</v>
      </c>
      <c r="E4144" s="2" t="str">
        <f>IFERROR(__xludf.DUMMYFUNCTION("""COMPUTED_VALUE"""),"Battery, iPhone SE 3rd generation")</f>
        <v>Battery, iPhone SE 3rd generation</v>
      </c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</row>
    <row r="4145">
      <c r="A4145" s="10" t="str">
        <f t="shared" si="1"/>
        <v>April</v>
      </c>
      <c r="B4145" s="11">
        <f>IFERROR(__xludf.DUMMYFUNCTION("""COMPUTED_VALUE"""),46118.0)</f>
        <v>46118</v>
      </c>
      <c r="C4145" s="2" t="str">
        <f>IFERROR(__xludf.DUMMYFUNCTION("""COMPUTED_VALUE"""),"MOBILECARE - THE PODIUM")</f>
        <v>MOBILECARE - THE PODIUM</v>
      </c>
      <c r="D4145" s="2" t="str">
        <f>IFERROR(__xludf.DUMMYFUNCTION("""COMPUTED_VALUE"""),"661-21991")</f>
        <v>661-21991</v>
      </c>
      <c r="E4145" s="2" t="str">
        <f>IFERROR(__xludf.DUMMYFUNCTION("""COMPUTED_VALUE"""),"Battery, iPhone 13")</f>
        <v>Battery, iPhone 13</v>
      </c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</row>
    <row r="4146">
      <c r="A4146" s="10" t="str">
        <f t="shared" si="1"/>
        <v>February</v>
      </c>
      <c r="B4146" s="11">
        <f>IFERROR(__xludf.DUMMYFUNCTION("""COMPUTED_VALUE"""),46067.0)</f>
        <v>46067</v>
      </c>
      <c r="C4146" s="2" t="str">
        <f>IFERROR(__xludf.DUMMYFUNCTION("""COMPUTED_VALUE"""),"MOBILECARE - THE PODIUM")</f>
        <v>MOBILECARE - THE PODIUM</v>
      </c>
      <c r="D4146" s="2" t="str">
        <f>IFERROR(__xludf.DUMMYFUNCTION("""COMPUTED_VALUE"""),"661-30394")</f>
        <v>661-30394</v>
      </c>
      <c r="E4146" s="2" t="str">
        <f>IFERROR(__xludf.DUMMYFUNCTION("""COMPUTED_VALUE"""),"Battery, iPhone 14 Plus")</f>
        <v>Battery, iPhone 14 Plus</v>
      </c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</row>
    <row r="4147">
      <c r="A4147" s="10" t="str">
        <f t="shared" si="1"/>
        <v>February</v>
      </c>
      <c r="B4147" s="11">
        <f>IFERROR(__xludf.DUMMYFUNCTION("""COMPUTED_VALUE"""),46057.0)</f>
        <v>46057</v>
      </c>
      <c r="C4147" s="2" t="str">
        <f>IFERROR(__xludf.DUMMYFUNCTION("""COMPUTED_VALUE"""),"MOBILECARE - THE PODIUM")</f>
        <v>MOBILECARE - THE PODIUM</v>
      </c>
      <c r="D4147" s="2" t="str">
        <f>IFERROR(__xludf.DUMMYFUNCTION("""COMPUTED_VALUE"""),"661-22309")</f>
        <v>661-22309</v>
      </c>
      <c r="E4147" s="2" t="str">
        <f>IFERROR(__xludf.DUMMYFUNCTION("""COMPUTED_VALUE"""),"Display, iPhone 13 Pro Max")</f>
        <v>Display, iPhone 13 Pro Max</v>
      </c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</row>
    <row r="4148">
      <c r="A4148" s="10" t="str">
        <f t="shared" si="1"/>
        <v>February</v>
      </c>
      <c r="B4148" s="11">
        <f>IFERROR(__xludf.DUMMYFUNCTION("""COMPUTED_VALUE"""),46057.0)</f>
        <v>46057</v>
      </c>
      <c r="C4148" s="2" t="str">
        <f>IFERROR(__xludf.DUMMYFUNCTION("""COMPUTED_VALUE"""),"MOBILECARE - THE PODIUM")</f>
        <v>MOBILECARE - THE PODIUM</v>
      </c>
      <c r="D4148" s="2" t="str">
        <f>IFERROR(__xludf.DUMMYFUNCTION("""COMPUTED_VALUE"""),"661-22294")</f>
        <v>661-22294</v>
      </c>
      <c r="E4148" s="2" t="str">
        <f>IFERROR(__xludf.DUMMYFUNCTION("""COMPUTED_VALUE"""),"Battery, iPhone 13 Pro Max")</f>
        <v>Battery, iPhone 13 Pro Max</v>
      </c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</row>
    <row r="4149">
      <c r="A4149" s="10" t="str">
        <f t="shared" si="1"/>
        <v>February</v>
      </c>
      <c r="B4149" s="11">
        <f>IFERROR(__xludf.DUMMYFUNCTION("""COMPUTED_VALUE"""),46057.0)</f>
        <v>46057</v>
      </c>
      <c r="C4149" s="2" t="str">
        <f>IFERROR(__xludf.DUMMYFUNCTION("""COMPUTED_VALUE"""),"MOBILECARE - THE PODIUM")</f>
        <v>MOBILECARE - THE PODIUM</v>
      </c>
      <c r="D4149" s="2" t="str">
        <f>IFERROR(__xludf.DUMMYFUNCTION("""COMPUTED_VALUE"""),"661-22309")</f>
        <v>661-22309</v>
      </c>
      <c r="E4149" s="2" t="str">
        <f>IFERROR(__xludf.DUMMYFUNCTION("""COMPUTED_VALUE"""),"Display, iPhone 13 Pro Max")</f>
        <v>Display, iPhone 13 Pro Max</v>
      </c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</row>
    <row r="4150">
      <c r="A4150" s="10" t="str">
        <f t="shared" si="1"/>
        <v>January</v>
      </c>
      <c r="B4150" s="11">
        <f>IFERROR(__xludf.DUMMYFUNCTION("""COMPUTED_VALUE"""),46047.0)</f>
        <v>46047</v>
      </c>
      <c r="C4150" s="2" t="str">
        <f>IFERROR(__xludf.DUMMYFUNCTION("""COMPUTED_VALUE"""),"MOBILECARE - THE PODIUM")</f>
        <v>MOBILECARE - THE PODIUM</v>
      </c>
      <c r="D4150" s="2" t="str">
        <f>IFERROR(__xludf.DUMMYFUNCTION("""COMPUTED_VALUE"""),"661-30397")</f>
        <v>661-30397</v>
      </c>
      <c r="E4150" s="2" t="str">
        <f>IFERROR(__xludf.DUMMYFUNCTION("""COMPUTED_VALUE"""),"Battery, iPhone 14 Pro Max")</f>
        <v>Battery, iPhone 14 Pro Max</v>
      </c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</row>
    <row r="4151">
      <c r="A4151" s="10" t="str">
        <f t="shared" si="1"/>
        <v>January</v>
      </c>
      <c r="B4151" s="11">
        <f>IFERROR(__xludf.DUMMYFUNCTION("""COMPUTED_VALUE"""),46039.0)</f>
        <v>46039</v>
      </c>
      <c r="C4151" s="2" t="str">
        <f>IFERROR(__xludf.DUMMYFUNCTION("""COMPUTED_VALUE"""),"MOBILECARE - THE PODIUM")</f>
        <v>MOBILECARE - THE PODIUM</v>
      </c>
      <c r="D4151" s="2" t="str">
        <f>IFERROR(__xludf.DUMMYFUNCTION("""COMPUTED_VALUE"""),"661-18428")</f>
        <v>661-18428</v>
      </c>
      <c r="E4151" s="2" t="str">
        <f>IFERROR(__xludf.DUMMYFUNCTION("""COMPUTED_VALUE"""),"Battery, iPhone 12 Pro Max")</f>
        <v>Battery, iPhone 12 Pro Max</v>
      </c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</row>
    <row r="4152">
      <c r="A4152" s="10" t="str">
        <f t="shared" si="1"/>
        <v>June</v>
      </c>
      <c r="B4152" s="11">
        <f>IFERROR(__xludf.DUMMYFUNCTION("""COMPUTED_VALUE"""),46179.0)</f>
        <v>46179</v>
      </c>
      <c r="C4152" s="2" t="str">
        <f>IFERROR(__xludf.DUMMYFUNCTION("""COMPUTED_VALUE"""),"MOBILECARE - THE PODIUM")</f>
        <v>MOBILECARE - THE PODIUM</v>
      </c>
      <c r="D4152" s="2" t="str">
        <f>IFERROR(__xludf.DUMMYFUNCTION("""COMPUTED_VALUE"""),"Z661-55957")</f>
        <v>Z661-55957</v>
      </c>
      <c r="E4152" s="2" t="str">
        <f>IFERROR(__xludf.DUMMYFUNCTION("""COMPUTED_VALUE"""),"Logic Board, 512GB, iPhone 17 Pro Max, ROW")</f>
        <v>Logic Board, 512GB, iPhone 17 Pro Max, ROW</v>
      </c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</row>
    <row r="4153">
      <c r="A4153" s="10" t="str">
        <f t="shared" si="1"/>
        <v>April</v>
      </c>
      <c r="B4153" s="11">
        <f>IFERROR(__xludf.DUMMYFUNCTION("""COMPUTED_VALUE"""),46134.0)</f>
        <v>46134</v>
      </c>
      <c r="C4153" s="2" t="str">
        <f>IFERROR(__xludf.DUMMYFUNCTION("""COMPUTED_VALUE"""),"MOBILECARE - THE PODIUM")</f>
        <v>MOBILECARE - THE PODIUM</v>
      </c>
      <c r="D4153" s="2" t="str">
        <f>IFERROR(__xludf.DUMMYFUNCTION("""COMPUTED_VALUE"""),"661-13574")</f>
        <v>661-13574</v>
      </c>
      <c r="E4153" s="2" t="str">
        <f>IFERROR(__xludf.DUMMYFUNCTION("""COMPUTED_VALUE"""),"Battery, iPhone 11")</f>
        <v>Battery, iPhone 11</v>
      </c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</row>
    <row r="4154">
      <c r="A4154" s="10" t="str">
        <f t="shared" si="1"/>
        <v>March</v>
      </c>
      <c r="B4154" s="11">
        <f>IFERROR(__xludf.DUMMYFUNCTION("""COMPUTED_VALUE"""),46112.0)</f>
        <v>46112</v>
      </c>
      <c r="C4154" s="2" t="str">
        <f>IFERROR(__xludf.DUMMYFUNCTION("""COMPUTED_VALUE"""),"MOBILECARE - THE PODIUM")</f>
        <v>MOBILECARE - THE PODIUM</v>
      </c>
      <c r="D4154" s="2" t="str">
        <f>IFERROR(__xludf.DUMMYFUNCTION("""COMPUTED_VALUE"""),"661-44956")</f>
        <v>661-44956</v>
      </c>
      <c r="E4154" s="2" t="str">
        <f>IFERROR(__xludf.DUMMYFUNCTION("""COMPUTED_VALUE"""),"TrueDepth Camera, iPhone 16 Pro Max")</f>
        <v>TrueDepth Camera, iPhone 16 Pro Max</v>
      </c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</row>
    <row r="4155">
      <c r="A4155" s="10" t="str">
        <f t="shared" si="1"/>
        <v>January</v>
      </c>
      <c r="B4155" s="11">
        <f>IFERROR(__xludf.DUMMYFUNCTION("""COMPUTED_VALUE"""),46053.0)</f>
        <v>46053</v>
      </c>
      <c r="C4155" s="2" t="str">
        <f>IFERROR(__xludf.DUMMYFUNCTION("""COMPUTED_VALUE"""),"MOBILECARE - THE PODIUM")</f>
        <v>MOBILECARE - THE PODIUM</v>
      </c>
      <c r="D4155" s="2" t="str">
        <f>IFERROR(__xludf.DUMMYFUNCTION("""COMPUTED_VALUE"""),"661-21996")</f>
        <v>661-21996</v>
      </c>
      <c r="E4155" s="2" t="str">
        <f>IFERROR(__xludf.DUMMYFUNCTION("""COMPUTED_VALUE"""),"Battery, iPhone 13 Pro")</f>
        <v>Battery, iPhone 13 Pro</v>
      </c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</row>
    <row r="4156">
      <c r="A4156" s="10" t="str">
        <f t="shared" si="1"/>
        <v>June</v>
      </c>
      <c r="B4156" s="11">
        <f>IFERROR(__xludf.DUMMYFUNCTION("""COMPUTED_VALUE"""),46192.0)</f>
        <v>46192</v>
      </c>
      <c r="C4156" s="2" t="str">
        <f>IFERROR(__xludf.DUMMYFUNCTION("""COMPUTED_VALUE"""),"MOBILECARE - THE PODIUM")</f>
        <v>MOBILECARE - THE PODIUM</v>
      </c>
      <c r="D4156" s="2" t="str">
        <f>IFERROR(__xludf.DUMMYFUNCTION("""COMPUTED_VALUE"""),"661-18428")</f>
        <v>661-18428</v>
      </c>
      <c r="E4156" s="2" t="str">
        <f>IFERROR(__xludf.DUMMYFUNCTION("""COMPUTED_VALUE"""),"Battery, iPhone 12 Pro Max")</f>
        <v>Battery, iPhone 12 Pro Max</v>
      </c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</row>
    <row r="4157">
      <c r="A4157" s="10" t="str">
        <f t="shared" si="1"/>
        <v>April</v>
      </c>
      <c r="B4157" s="11">
        <f>IFERROR(__xludf.DUMMYFUNCTION("""COMPUTED_VALUE"""),46136.0)</f>
        <v>46136</v>
      </c>
      <c r="C4157" s="2" t="str">
        <f>IFERROR(__xludf.DUMMYFUNCTION("""COMPUTED_VALUE"""),"MOBILECARE - THE PODIUM")</f>
        <v>MOBILECARE - THE PODIUM</v>
      </c>
      <c r="D4157" s="2" t="str">
        <f>IFERROR(__xludf.DUMMYFUNCTION("""COMPUTED_VALUE"""),"661-30382")</f>
        <v>661-30382</v>
      </c>
      <c r="E4157" s="2" t="str">
        <f>IFERROR(__xludf.DUMMYFUNCTION("""COMPUTED_VALUE"""),"Battery, iPhone 14 Pro")</f>
        <v>Battery, iPhone 14 Pro</v>
      </c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</row>
    <row r="4158">
      <c r="A4158" s="10" t="str">
        <f t="shared" si="1"/>
        <v>April</v>
      </c>
      <c r="B4158" s="11">
        <f>IFERROR(__xludf.DUMMYFUNCTION("""COMPUTED_VALUE"""),46128.0)</f>
        <v>46128</v>
      </c>
      <c r="C4158" s="2" t="str">
        <f>IFERROR(__xludf.DUMMYFUNCTION("""COMPUTED_VALUE"""),"MOBILECARE - THE PODIUM")</f>
        <v>MOBILECARE - THE PODIUM</v>
      </c>
      <c r="D4158" s="2" t="str">
        <f>IFERROR(__xludf.DUMMYFUNCTION("""COMPUTED_VALUE"""),"661-30366")</f>
        <v>661-30366</v>
      </c>
      <c r="E4158" s="2" t="str">
        <f>IFERROR(__xludf.DUMMYFUNCTION("""COMPUTED_VALUE"""),"Display, iPhone 14")</f>
        <v>Display, iPhone 14</v>
      </c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</row>
    <row r="4159">
      <c r="A4159" s="10" t="str">
        <f t="shared" si="1"/>
        <v>March</v>
      </c>
      <c r="B4159" s="11">
        <f>IFERROR(__xludf.DUMMYFUNCTION("""COMPUTED_VALUE"""),46085.0)</f>
        <v>46085</v>
      </c>
      <c r="C4159" s="2" t="str">
        <f>IFERROR(__xludf.DUMMYFUNCTION("""COMPUTED_VALUE"""),"MOBILECARE - THE PODIUM")</f>
        <v>MOBILECARE - THE PODIUM</v>
      </c>
      <c r="D4159" s="2" t="str">
        <f>IFERROR(__xludf.DUMMYFUNCTION("""COMPUTED_VALUE"""),"661-21991")</f>
        <v>661-21991</v>
      </c>
      <c r="E4159" s="2" t="str">
        <f>IFERROR(__xludf.DUMMYFUNCTION("""COMPUTED_VALUE"""),"Battery, iPhone 13")</f>
        <v>Battery, iPhone 13</v>
      </c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</row>
    <row r="4160">
      <c r="A4160" s="10" t="str">
        <f t="shared" si="1"/>
        <v>March</v>
      </c>
      <c r="B4160" s="11">
        <f>IFERROR(__xludf.DUMMYFUNCTION("""COMPUTED_VALUE"""),46086.0)</f>
        <v>46086</v>
      </c>
      <c r="C4160" s="2" t="str">
        <f>IFERROR(__xludf.DUMMYFUNCTION("""COMPUTED_VALUE"""),"MOBILECARE - THE PODIUM")</f>
        <v>MOBILECARE - THE PODIUM</v>
      </c>
      <c r="D4160" s="2" t="str">
        <f>IFERROR(__xludf.DUMMYFUNCTION("""COMPUTED_VALUE"""),"661-21993")</f>
        <v>661-21993</v>
      </c>
      <c r="E4160" s="2" t="str">
        <f>IFERROR(__xludf.DUMMYFUNCTION("""COMPUTED_VALUE"""),"Display, iPhone 13 Pro")</f>
        <v>Display, iPhone 13 Pro</v>
      </c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</row>
    <row r="4161">
      <c r="A4161" s="10" t="str">
        <f t="shared" si="1"/>
        <v>February</v>
      </c>
      <c r="B4161" s="11">
        <f>IFERROR(__xludf.DUMMYFUNCTION("""COMPUTED_VALUE"""),46066.0)</f>
        <v>46066</v>
      </c>
      <c r="C4161" s="2" t="str">
        <f>IFERROR(__xludf.DUMMYFUNCTION("""COMPUTED_VALUE"""),"MOBILECARE - THE PODIUM")</f>
        <v>MOBILECARE - THE PODIUM</v>
      </c>
      <c r="D4161" s="2" t="str">
        <f>IFERROR(__xludf.DUMMYFUNCTION("""COMPUTED_VALUE"""),"661-22294")</f>
        <v>661-22294</v>
      </c>
      <c r="E4161" s="2" t="str">
        <f>IFERROR(__xludf.DUMMYFUNCTION("""COMPUTED_VALUE"""),"Battery, iPhone 13 Pro Max")</f>
        <v>Battery, iPhone 13 Pro Max</v>
      </c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</row>
    <row r="4162">
      <c r="A4162" s="10" t="str">
        <f t="shared" si="1"/>
        <v>January</v>
      </c>
      <c r="B4162" s="11">
        <f>IFERROR(__xludf.DUMMYFUNCTION("""COMPUTED_VALUE"""),46046.0)</f>
        <v>46046</v>
      </c>
      <c r="C4162" s="2" t="str">
        <f>IFERROR(__xludf.DUMMYFUNCTION("""COMPUTED_VALUE"""),"MOBILECARE - THE PODIUM")</f>
        <v>MOBILECARE - THE PODIUM</v>
      </c>
      <c r="D4162" s="2" t="str">
        <f>IFERROR(__xludf.DUMMYFUNCTION("""COMPUTED_VALUE"""),"661-21991")</f>
        <v>661-21991</v>
      </c>
      <c r="E4162" s="2" t="str">
        <f>IFERROR(__xludf.DUMMYFUNCTION("""COMPUTED_VALUE"""),"Battery, iPhone 13")</f>
        <v>Battery, iPhone 13</v>
      </c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</row>
    <row r="4163">
      <c r="A4163" s="10" t="str">
        <f t="shared" si="1"/>
        <v>June</v>
      </c>
      <c r="B4163" s="11">
        <f>IFERROR(__xludf.DUMMYFUNCTION("""COMPUTED_VALUE"""),46185.0)</f>
        <v>46185</v>
      </c>
      <c r="C4163" s="2" t="str">
        <f>IFERROR(__xludf.DUMMYFUNCTION("""COMPUTED_VALUE"""),"MOBILECARE - THE PODIUM")</f>
        <v>MOBILECARE - THE PODIUM</v>
      </c>
      <c r="D4163" s="2" t="str">
        <f>IFERROR(__xludf.DUMMYFUNCTION("""COMPUTED_VALUE"""),"661-36918")</f>
        <v>661-36918</v>
      </c>
      <c r="E4163" s="2" t="str">
        <f>IFERROR(__xludf.DUMMYFUNCTION("""COMPUTED_VALUE"""),"Battery, iPhone 15 Pro Max")</f>
        <v>Battery, iPhone 15 Pro Max</v>
      </c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</row>
    <row r="4164">
      <c r="A4164" s="10" t="str">
        <f t="shared" si="1"/>
        <v>June</v>
      </c>
      <c r="B4164" s="11">
        <f>IFERROR(__xludf.DUMMYFUNCTION("""COMPUTED_VALUE"""),46188.0)</f>
        <v>46188</v>
      </c>
      <c r="C4164" s="2" t="str">
        <f>IFERROR(__xludf.DUMMYFUNCTION("""COMPUTED_VALUE"""),"MOBILECARE - THE PODIUM")</f>
        <v>MOBILECARE - THE PODIUM</v>
      </c>
      <c r="D4164" s="2" t="str">
        <f>IFERROR(__xludf.DUMMYFUNCTION("""COMPUTED_VALUE"""),"661-30397")</f>
        <v>661-30397</v>
      </c>
      <c r="E4164" s="2" t="str">
        <f>IFERROR(__xludf.DUMMYFUNCTION("""COMPUTED_VALUE"""),"Battery, iPhone 14 Pro Max")</f>
        <v>Battery, iPhone 14 Pro Max</v>
      </c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</row>
    <row r="4165">
      <c r="A4165" s="10" t="str">
        <f t="shared" si="1"/>
        <v>May</v>
      </c>
      <c r="B4165" s="11">
        <f>IFERROR(__xludf.DUMMYFUNCTION("""COMPUTED_VALUE"""),46143.0)</f>
        <v>46143</v>
      </c>
      <c r="C4165" s="2" t="str">
        <f>IFERROR(__xludf.DUMMYFUNCTION("""COMPUTED_VALUE"""),"MOBILECARE - THE PODIUM")</f>
        <v>MOBILECARE - THE PODIUM</v>
      </c>
      <c r="D4165" s="2" t="str">
        <f>IFERROR(__xludf.DUMMYFUNCTION("""COMPUTED_VALUE"""),"661-22294")</f>
        <v>661-22294</v>
      </c>
      <c r="E4165" s="2" t="str">
        <f>IFERROR(__xludf.DUMMYFUNCTION("""COMPUTED_VALUE"""),"Battery, iPhone 13 Pro Max")</f>
        <v>Battery, iPhone 13 Pro Max</v>
      </c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</row>
    <row r="4166">
      <c r="A4166" s="10" t="str">
        <f t="shared" si="1"/>
        <v>March</v>
      </c>
      <c r="B4166" s="11">
        <f>IFERROR(__xludf.DUMMYFUNCTION("""COMPUTED_VALUE"""),46096.0)</f>
        <v>46096</v>
      </c>
      <c r="C4166" s="2" t="str">
        <f>IFERROR(__xludf.DUMMYFUNCTION("""COMPUTED_VALUE"""),"MOBILECARE - THE PODIUM")</f>
        <v>MOBILECARE - THE PODIUM</v>
      </c>
      <c r="D4166" s="2" t="str">
        <f>IFERROR(__xludf.DUMMYFUNCTION("""COMPUTED_VALUE"""),"661-22309")</f>
        <v>661-22309</v>
      </c>
      <c r="E4166" s="2" t="str">
        <f>IFERROR(__xludf.DUMMYFUNCTION("""COMPUTED_VALUE"""),"Display, iPhone 13 Pro Max")</f>
        <v>Display, iPhone 13 Pro Max</v>
      </c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</row>
    <row r="4167">
      <c r="A4167" s="10" t="str">
        <f t="shared" si="1"/>
        <v>February</v>
      </c>
      <c r="B4167" s="11">
        <f>IFERROR(__xludf.DUMMYFUNCTION("""COMPUTED_VALUE"""),46077.0)</f>
        <v>46077</v>
      </c>
      <c r="C4167" s="2" t="str">
        <f>IFERROR(__xludf.DUMMYFUNCTION("""COMPUTED_VALUE"""),"MOBILECARE - THE PODIUM")</f>
        <v>MOBILECARE - THE PODIUM</v>
      </c>
      <c r="D4167" s="2" t="str">
        <f>IFERROR(__xludf.DUMMYFUNCTION("""COMPUTED_VALUE"""),"661-42727")</f>
        <v>661-42727</v>
      </c>
      <c r="E4167" s="2" t="str">
        <f>IFERROR(__xludf.DUMMYFUNCTION("""COMPUTED_VALUE"""),"TrueDepth Camera, iPhone 16 Pro")</f>
        <v>TrueDepth Camera, iPhone 16 Pro</v>
      </c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</row>
    <row r="4168">
      <c r="A4168" s="10" t="str">
        <f t="shared" si="1"/>
        <v>February</v>
      </c>
      <c r="B4168" s="11">
        <f>IFERROR(__xludf.DUMMYFUNCTION("""COMPUTED_VALUE"""),46070.0)</f>
        <v>46070</v>
      </c>
      <c r="C4168" s="2" t="str">
        <f>IFERROR(__xludf.DUMMYFUNCTION("""COMPUTED_VALUE"""),"MOBILECARE - THE PODIUM")</f>
        <v>MOBILECARE - THE PODIUM</v>
      </c>
      <c r="D4168" s="2" t="str">
        <f>IFERROR(__xludf.DUMMYFUNCTION("""COMPUTED_VALUE"""),"661-17920")</f>
        <v>661-17920</v>
      </c>
      <c r="E4168" s="2" t="str">
        <f>IFERROR(__xludf.DUMMYFUNCTION("""COMPUTED_VALUE"""),"Battery, iPhone 12 and 12 Pro")</f>
        <v>Battery, iPhone 12 and 12 Pro</v>
      </c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</row>
    <row r="4169">
      <c r="A4169" s="10" t="str">
        <f t="shared" si="1"/>
        <v>February</v>
      </c>
      <c r="B4169" s="11">
        <f>IFERROR(__xludf.DUMMYFUNCTION("""COMPUTED_VALUE"""),46062.0)</f>
        <v>46062</v>
      </c>
      <c r="C4169" s="2" t="str">
        <f>IFERROR(__xludf.DUMMYFUNCTION("""COMPUTED_VALUE"""),"MOBILECARE - THE PODIUM")</f>
        <v>MOBILECARE - THE PODIUM</v>
      </c>
      <c r="D4169" s="2" t="str">
        <f>IFERROR(__xludf.DUMMYFUNCTION("""COMPUTED_VALUE"""),"661-13574")</f>
        <v>661-13574</v>
      </c>
      <c r="E4169" s="2" t="str">
        <f>IFERROR(__xludf.DUMMYFUNCTION("""COMPUTED_VALUE"""),"Battery, iPhone 11")</f>
        <v>Battery, iPhone 11</v>
      </c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</row>
    <row r="4170">
      <c r="A4170" s="10" t="str">
        <f t="shared" si="1"/>
        <v>February</v>
      </c>
      <c r="B4170" s="11">
        <f>IFERROR(__xludf.DUMMYFUNCTION("""COMPUTED_VALUE"""),46062.0)</f>
        <v>46062</v>
      </c>
      <c r="C4170" s="2" t="str">
        <f>IFERROR(__xludf.DUMMYFUNCTION("""COMPUTED_VALUE"""),"MOBILECARE - THE PODIUM")</f>
        <v>MOBILECARE - THE PODIUM</v>
      </c>
      <c r="D4170" s="2" t="str">
        <f>IFERROR(__xludf.DUMMYFUNCTION("""COMPUTED_VALUE"""),"661-21993")</f>
        <v>661-21993</v>
      </c>
      <c r="E4170" s="2" t="str">
        <f>IFERROR(__xludf.DUMMYFUNCTION("""COMPUTED_VALUE"""),"Display, iPhone 13 Pro")</f>
        <v>Display, iPhone 13 Pro</v>
      </c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</row>
    <row r="4171">
      <c r="A4171" s="10" t="str">
        <f t="shared" si="1"/>
        <v>March</v>
      </c>
      <c r="B4171" s="11">
        <f>IFERROR(__xludf.DUMMYFUNCTION("""COMPUTED_VALUE"""),46091.0)</f>
        <v>46091</v>
      </c>
      <c r="C4171" s="2" t="str">
        <f>IFERROR(__xludf.DUMMYFUNCTION("""COMPUTED_VALUE"""),"MOBILECARE - THE PODIUM")</f>
        <v>MOBILECARE - THE PODIUM</v>
      </c>
      <c r="D4171" s="2" t="str">
        <f>IFERROR(__xludf.DUMMYFUNCTION("""COMPUTED_VALUE"""),"661-21996")</f>
        <v>661-21996</v>
      </c>
      <c r="E4171" s="2" t="str">
        <f>IFERROR(__xludf.DUMMYFUNCTION("""COMPUTED_VALUE"""),"Battery, iPhone 13 Pro")</f>
        <v>Battery, iPhone 13 Pro</v>
      </c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</row>
    <row r="4172">
      <c r="A4172" s="10" t="str">
        <f t="shared" si="1"/>
        <v>February</v>
      </c>
      <c r="B4172" s="11">
        <f>IFERROR(__xludf.DUMMYFUNCTION("""COMPUTED_VALUE"""),46081.0)</f>
        <v>46081</v>
      </c>
      <c r="C4172" s="2" t="str">
        <f>IFERROR(__xludf.DUMMYFUNCTION("""COMPUTED_VALUE"""),"MOBILECARE - THE PODIUM")</f>
        <v>MOBILECARE - THE PODIUM</v>
      </c>
      <c r="D4172" s="2" t="str">
        <f>IFERROR(__xludf.DUMMYFUNCTION("""COMPUTED_VALUE"""),"661-13574")</f>
        <v>661-13574</v>
      </c>
      <c r="E4172" s="2" t="str">
        <f>IFERROR(__xludf.DUMMYFUNCTION("""COMPUTED_VALUE"""),"Battery, iPhone 11")</f>
        <v>Battery, iPhone 11</v>
      </c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</row>
    <row r="4173">
      <c r="A4173" s="10" t="str">
        <f t="shared" si="1"/>
        <v>June</v>
      </c>
      <c r="B4173" s="11">
        <f>IFERROR(__xludf.DUMMYFUNCTION("""COMPUTED_VALUE"""),46185.0)</f>
        <v>46185</v>
      </c>
      <c r="C4173" s="2" t="str">
        <f>IFERROR(__xludf.DUMMYFUNCTION("""COMPUTED_VALUE"""),"MOBILECARE - THE PODIUM")</f>
        <v>MOBILECARE - THE PODIUM</v>
      </c>
      <c r="D4173" s="2" t="str">
        <f>IFERROR(__xludf.DUMMYFUNCTION("""COMPUTED_VALUE"""),"661-30370")</f>
        <v>661-30370</v>
      </c>
      <c r="E4173" s="2" t="str">
        <f>IFERROR(__xludf.DUMMYFUNCTION("""COMPUTED_VALUE"""),"Camera, iPhone 14")</f>
        <v>Camera, iPhone 14</v>
      </c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</row>
    <row r="4174">
      <c r="A4174" s="10" t="str">
        <f t="shared" si="1"/>
        <v>June</v>
      </c>
      <c r="B4174" s="11">
        <f>IFERROR(__xludf.DUMMYFUNCTION("""COMPUTED_VALUE"""),46185.0)</f>
        <v>46185</v>
      </c>
      <c r="C4174" s="2" t="str">
        <f>IFERROR(__xludf.DUMMYFUNCTION("""COMPUTED_VALUE"""),"MOBILECARE - THE PODIUM")</f>
        <v>MOBILECARE - THE PODIUM</v>
      </c>
      <c r="D4174" s="2" t="str">
        <f>IFERROR(__xludf.DUMMYFUNCTION("""COMPUTED_VALUE"""),"661-30371")</f>
        <v>661-30371</v>
      </c>
      <c r="E4174" s="2" t="str">
        <f>IFERROR(__xludf.DUMMYFUNCTION("""COMPUTED_VALUE"""),"True Depth Camera, iPhone 14")</f>
        <v>True Depth Camera, iPhone 14</v>
      </c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</row>
    <row r="4175">
      <c r="A4175" s="10" t="str">
        <f t="shared" si="1"/>
        <v>June</v>
      </c>
      <c r="B4175" s="11">
        <f>IFERROR(__xludf.DUMMYFUNCTION("""COMPUTED_VALUE"""),46185.0)</f>
        <v>46185</v>
      </c>
      <c r="C4175" s="2" t="str">
        <f>IFERROR(__xludf.DUMMYFUNCTION("""COMPUTED_VALUE"""),"MOBILECARE - THE PODIUM")</f>
        <v>MOBILECARE - THE PODIUM</v>
      </c>
      <c r="D4175" s="2" t="str">
        <f>IFERROR(__xludf.DUMMYFUNCTION("""COMPUTED_VALUE"""),"661-30370")</f>
        <v>661-30370</v>
      </c>
      <c r="E4175" s="2" t="str">
        <f>IFERROR(__xludf.DUMMYFUNCTION("""COMPUTED_VALUE"""),"Camera, iPhone 14")</f>
        <v>Camera, iPhone 14</v>
      </c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</row>
    <row r="4176">
      <c r="A4176" s="10" t="str">
        <f t="shared" si="1"/>
        <v>April</v>
      </c>
      <c r="B4176" s="11">
        <f>IFERROR(__xludf.DUMMYFUNCTION("""COMPUTED_VALUE"""),46140.0)</f>
        <v>46140</v>
      </c>
      <c r="C4176" s="2" t="str">
        <f>IFERROR(__xludf.DUMMYFUNCTION("""COMPUTED_VALUE"""),"MOBILECARE - THE PODIUM")</f>
        <v>MOBILECARE - THE PODIUM</v>
      </c>
      <c r="D4176" s="2" t="str">
        <f>IFERROR(__xludf.DUMMYFUNCTION("""COMPUTED_VALUE"""),"661-22309")</f>
        <v>661-22309</v>
      </c>
      <c r="E4176" s="2" t="str">
        <f>IFERROR(__xludf.DUMMYFUNCTION("""COMPUTED_VALUE"""),"Display, iPhone 13 Pro Max")</f>
        <v>Display, iPhone 13 Pro Max</v>
      </c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</row>
    <row r="4177">
      <c r="A4177" s="10" t="str">
        <f t="shared" si="1"/>
        <v>January</v>
      </c>
      <c r="B4177" s="11">
        <f>IFERROR(__xludf.DUMMYFUNCTION("""COMPUTED_VALUE"""),46053.0)</f>
        <v>46053</v>
      </c>
      <c r="C4177" s="2" t="str">
        <f>IFERROR(__xludf.DUMMYFUNCTION("""COMPUTED_VALUE"""),"MOBILECARE - THE PODIUM")</f>
        <v>MOBILECARE - THE PODIUM</v>
      </c>
      <c r="D4177" s="2" t="str">
        <f>IFERROR(__xludf.DUMMYFUNCTION("""COMPUTED_VALUE"""),"661-22294")</f>
        <v>661-22294</v>
      </c>
      <c r="E4177" s="2" t="str">
        <f>IFERROR(__xludf.DUMMYFUNCTION("""COMPUTED_VALUE"""),"Battery, iPhone 13 Pro Max")</f>
        <v>Battery, iPhone 13 Pro Max</v>
      </c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</row>
    <row r="4178">
      <c r="A4178" s="10" t="str">
        <f t="shared" si="1"/>
        <v>January</v>
      </c>
      <c r="B4178" s="11">
        <f>IFERROR(__xludf.DUMMYFUNCTION("""COMPUTED_VALUE"""),46049.0)</f>
        <v>46049</v>
      </c>
      <c r="C4178" s="2" t="str">
        <f>IFERROR(__xludf.DUMMYFUNCTION("""COMPUTED_VALUE"""),"MOBILECARE - THE PODIUM")</f>
        <v>MOBILECARE - THE PODIUM</v>
      </c>
      <c r="D4178" s="2" t="str">
        <f>IFERROR(__xludf.DUMMYFUNCTION("""COMPUTED_VALUE"""),"PP661-22981")</f>
        <v>PP661-22981</v>
      </c>
      <c r="E4178" s="2" t="str">
        <f>IFERROR(__xludf.DUMMYFUNCTION("""COMPUTED_VALUE"""),"Starlight, 128 GB, iPhone 13, ROW, CI/AR, Philippines")</f>
        <v>Starlight, 128 GB, iPhone 13, ROW, CI/AR, Philippines</v>
      </c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</row>
    <row r="4179">
      <c r="A4179" s="10" t="str">
        <f t="shared" si="1"/>
        <v>June</v>
      </c>
      <c r="B4179" s="11">
        <f>IFERROR(__xludf.DUMMYFUNCTION("""COMPUTED_VALUE"""),46190.0)</f>
        <v>46190</v>
      </c>
      <c r="C4179" s="2" t="str">
        <f>IFERROR(__xludf.DUMMYFUNCTION("""COMPUTED_VALUE"""),"MOBILECARE - THE PODIUM")</f>
        <v>MOBILECARE - THE PODIUM</v>
      </c>
      <c r="D4179" s="2" t="str">
        <f>IFERROR(__xludf.DUMMYFUNCTION("""COMPUTED_VALUE"""),"661-22309")</f>
        <v>661-22309</v>
      </c>
      <c r="E4179" s="2" t="str">
        <f>IFERROR(__xludf.DUMMYFUNCTION("""COMPUTED_VALUE"""),"Display, iPhone 13 Pro Max")</f>
        <v>Display, iPhone 13 Pro Max</v>
      </c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</row>
    <row r="4180">
      <c r="A4180" s="10" t="str">
        <f t="shared" si="1"/>
        <v>June</v>
      </c>
      <c r="B4180" s="11">
        <f>IFERROR(__xludf.DUMMYFUNCTION("""COMPUTED_VALUE"""),46181.0)</f>
        <v>46181</v>
      </c>
      <c r="C4180" s="2" t="str">
        <f>IFERROR(__xludf.DUMMYFUNCTION("""COMPUTED_VALUE"""),"MOBILECARE - THE PODIUM")</f>
        <v>MOBILECARE - THE PODIUM</v>
      </c>
      <c r="D4180" s="2" t="str">
        <f>IFERROR(__xludf.DUMMYFUNCTION("""COMPUTED_VALUE"""),"ZP923-13787")</f>
        <v>ZP923-13787</v>
      </c>
      <c r="E4180" s="2" t="str">
        <f>IFERROR(__xludf.DUMMYFUNCTION("""COMPUTED_VALUE"""),"Deep Blue, Enclosure, iPhone 17 Pro Max, ROW")</f>
        <v>Deep Blue, Enclosure, iPhone 17 Pro Max, ROW</v>
      </c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</row>
    <row r="4181">
      <c r="A4181" s="10" t="str">
        <f t="shared" si="1"/>
        <v>May</v>
      </c>
      <c r="B4181" s="11">
        <f>IFERROR(__xludf.DUMMYFUNCTION("""COMPUTED_VALUE"""),46170.0)</f>
        <v>46170</v>
      </c>
      <c r="C4181" s="2" t="str">
        <f>IFERROR(__xludf.DUMMYFUNCTION("""COMPUTED_VALUE"""),"MOBILECARE - THE PODIUM")</f>
        <v>MOBILECARE - THE PODIUM</v>
      </c>
      <c r="D4181" s="2" t="str">
        <f>IFERROR(__xludf.DUMMYFUNCTION("""COMPUTED_VALUE"""),"661-30401")</f>
        <v>661-30401</v>
      </c>
      <c r="E4181" s="2" t="str">
        <f>IFERROR(__xludf.DUMMYFUNCTION("""COMPUTED_VALUE"""),"Display, iPhone 14 Pro Max")</f>
        <v>Display, iPhone 14 Pro Max</v>
      </c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</row>
    <row r="4182">
      <c r="A4182" s="10" t="str">
        <f t="shared" si="1"/>
        <v>April</v>
      </c>
      <c r="B4182" s="11">
        <f>IFERROR(__xludf.DUMMYFUNCTION("""COMPUTED_VALUE"""),46132.0)</f>
        <v>46132</v>
      </c>
      <c r="C4182" s="2" t="str">
        <f>IFERROR(__xludf.DUMMYFUNCTION("""COMPUTED_VALUE"""),"MOBILECARE - THE PODIUM")</f>
        <v>MOBILECARE - THE PODIUM</v>
      </c>
      <c r="D4182" s="2" t="str">
        <f>IFERROR(__xludf.DUMMYFUNCTION("""COMPUTED_VALUE"""),"661-30397")</f>
        <v>661-30397</v>
      </c>
      <c r="E4182" s="2" t="str">
        <f>IFERROR(__xludf.DUMMYFUNCTION("""COMPUTED_VALUE"""),"Battery, iPhone 14 Pro Max")</f>
        <v>Battery, iPhone 14 Pro Max</v>
      </c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</row>
    <row r="4183">
      <c r="A4183" s="10" t="str">
        <f t="shared" si="1"/>
        <v>April</v>
      </c>
      <c r="B4183" s="11">
        <f>IFERROR(__xludf.DUMMYFUNCTION("""COMPUTED_VALUE"""),46113.0)</f>
        <v>46113</v>
      </c>
      <c r="C4183" s="2" t="str">
        <f>IFERROR(__xludf.DUMMYFUNCTION("""COMPUTED_VALUE"""),"MOBILECARE - THE PODIUM")</f>
        <v>MOBILECARE - THE PODIUM</v>
      </c>
      <c r="D4183" s="2" t="str">
        <f>IFERROR(__xludf.DUMMYFUNCTION("""COMPUTED_VALUE"""),"661-44955")</f>
        <v>661-44955</v>
      </c>
      <c r="E4183" s="2" t="str">
        <f>IFERROR(__xludf.DUMMYFUNCTION("""COMPUTED_VALUE"""),"Display, iPhone 16 Pro Max")</f>
        <v>Display, iPhone 16 Pro Max</v>
      </c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</row>
    <row r="4184">
      <c r="A4184" s="10" t="str">
        <f t="shared" si="1"/>
        <v>January</v>
      </c>
      <c r="B4184" s="11">
        <f>IFERROR(__xludf.DUMMYFUNCTION("""COMPUTED_VALUE"""),46046.0)</f>
        <v>46046</v>
      </c>
      <c r="C4184" s="2" t="str">
        <f>IFERROR(__xludf.DUMMYFUNCTION("""COMPUTED_VALUE"""),"MOBILECARE - THE PODIUM")</f>
        <v>MOBILECARE - THE PODIUM</v>
      </c>
      <c r="D4184" s="2" t="str">
        <f>IFERROR(__xludf.DUMMYFUNCTION("""COMPUTED_VALUE"""),"661-22374")</f>
        <v>661-22374</v>
      </c>
      <c r="E4184" s="2" t="str">
        <f>IFERROR(__xludf.DUMMYFUNCTION("""COMPUTED_VALUE"""),"Battery, iPhone 13 mini")</f>
        <v>Battery, iPhone 13 mini</v>
      </c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</row>
    <row r="4185">
      <c r="A4185" s="10" t="str">
        <f t="shared" si="1"/>
        <v>June</v>
      </c>
      <c r="B4185" s="11">
        <f>IFERROR(__xludf.DUMMYFUNCTION("""COMPUTED_VALUE"""),46193.0)</f>
        <v>46193</v>
      </c>
      <c r="C4185" s="2" t="str">
        <f>IFERROR(__xludf.DUMMYFUNCTION("""COMPUTED_VALUE"""),"MOBILECARE - THE PODIUM")</f>
        <v>MOBILECARE - THE PODIUM</v>
      </c>
      <c r="D4185" s="2" t="str">
        <f>IFERROR(__xludf.DUMMYFUNCTION("""COMPUTED_VALUE"""),"661-36918")</f>
        <v>661-36918</v>
      </c>
      <c r="E4185" s="2" t="str">
        <f>IFERROR(__xludf.DUMMYFUNCTION("""COMPUTED_VALUE"""),"Battery, iPhone 15 Pro Max")</f>
        <v>Battery, iPhone 15 Pro Max</v>
      </c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</row>
    <row r="4186">
      <c r="A4186" s="10" t="str">
        <f t="shared" si="1"/>
        <v>May</v>
      </c>
      <c r="B4186" s="11">
        <f>IFERROR(__xludf.DUMMYFUNCTION("""COMPUTED_VALUE"""),46172.0)</f>
        <v>46172</v>
      </c>
      <c r="C4186" s="2" t="str">
        <f>IFERROR(__xludf.DUMMYFUNCTION("""COMPUTED_VALUE"""),"MOBILECARE - THE PODIUM")</f>
        <v>MOBILECARE - THE PODIUM</v>
      </c>
      <c r="D4186" s="2" t="str">
        <f>IFERROR(__xludf.DUMMYFUNCTION("""COMPUTED_VALUE"""),"661-56050")</f>
        <v>661-56050</v>
      </c>
      <c r="E4186" s="2" t="str">
        <f>IFERROR(__xludf.DUMMYFUNCTION("""COMPUTED_VALUE"""),"Display, iPhone 17 Pro Max")</f>
        <v>Display, iPhone 17 Pro Max</v>
      </c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</row>
    <row r="4187">
      <c r="A4187" s="10" t="str">
        <f t="shared" si="1"/>
        <v>May</v>
      </c>
      <c r="B4187" s="11">
        <f>IFERROR(__xludf.DUMMYFUNCTION("""COMPUTED_VALUE"""),46164.0)</f>
        <v>46164</v>
      </c>
      <c r="C4187" s="2" t="str">
        <f>IFERROR(__xludf.DUMMYFUNCTION("""COMPUTED_VALUE"""),"MOBILECARE - THE PODIUM")</f>
        <v>MOBILECARE - THE PODIUM</v>
      </c>
      <c r="D4187" s="2" t="str">
        <f>IFERROR(__xludf.DUMMYFUNCTION("""COMPUTED_VALUE"""),"661-30397")</f>
        <v>661-30397</v>
      </c>
      <c r="E4187" s="2" t="str">
        <f>IFERROR(__xludf.DUMMYFUNCTION("""COMPUTED_VALUE"""),"Battery, iPhone 14 Pro Max")</f>
        <v>Battery, iPhone 14 Pro Max</v>
      </c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</row>
    <row r="4188">
      <c r="A4188" s="10" t="str">
        <f t="shared" si="1"/>
        <v>April</v>
      </c>
      <c r="B4188" s="11">
        <f>IFERROR(__xludf.DUMMYFUNCTION("""COMPUTED_VALUE"""),46137.0)</f>
        <v>46137</v>
      </c>
      <c r="C4188" s="2" t="str">
        <f>IFERROR(__xludf.DUMMYFUNCTION("""COMPUTED_VALUE"""),"MOBILECARE - THE PODIUM")</f>
        <v>MOBILECARE - THE PODIUM</v>
      </c>
      <c r="D4188" s="2" t="str">
        <f>IFERROR(__xludf.DUMMYFUNCTION("""COMPUTED_VALUE"""),"661-30366")</f>
        <v>661-30366</v>
      </c>
      <c r="E4188" s="2" t="str">
        <f>IFERROR(__xludf.DUMMYFUNCTION("""COMPUTED_VALUE"""),"Display, iPhone 14")</f>
        <v>Display, iPhone 14</v>
      </c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</row>
    <row r="4189">
      <c r="A4189" s="10" t="str">
        <f t="shared" si="1"/>
        <v>May</v>
      </c>
      <c r="B4189" s="11">
        <f>IFERROR(__xludf.DUMMYFUNCTION("""COMPUTED_VALUE"""),46143.0)</f>
        <v>46143</v>
      </c>
      <c r="C4189" s="2" t="str">
        <f>IFERROR(__xludf.DUMMYFUNCTION("""COMPUTED_VALUE"""),"MOBILECARE - THE PODIUM")</f>
        <v>MOBILECARE - THE PODIUM</v>
      </c>
      <c r="D4189" s="2" t="str">
        <f>IFERROR(__xludf.DUMMYFUNCTION("""COMPUTED_VALUE"""),"661-22309")</f>
        <v>661-22309</v>
      </c>
      <c r="E4189" s="2" t="str">
        <f>IFERROR(__xludf.DUMMYFUNCTION("""COMPUTED_VALUE"""),"Display, iPhone 13 Pro Max")</f>
        <v>Display, iPhone 13 Pro Max</v>
      </c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</row>
    <row r="4190">
      <c r="A4190" s="10" t="str">
        <f t="shared" si="1"/>
        <v>April</v>
      </c>
      <c r="B4190" s="11">
        <f>IFERROR(__xludf.DUMMYFUNCTION("""COMPUTED_VALUE"""),46127.0)</f>
        <v>46127</v>
      </c>
      <c r="C4190" s="2" t="str">
        <f>IFERROR(__xludf.DUMMYFUNCTION("""COMPUTED_VALUE"""),"MOBILECARE - THE PODIUM")</f>
        <v>MOBILECARE - THE PODIUM</v>
      </c>
      <c r="D4190" s="2" t="str">
        <f>IFERROR(__xludf.DUMMYFUNCTION("""COMPUTED_VALUE"""),"661-56050")</f>
        <v>661-56050</v>
      </c>
      <c r="E4190" s="2" t="str">
        <f>IFERROR(__xludf.DUMMYFUNCTION("""COMPUTED_VALUE"""),"Display, iPhone 17 Pro Max")</f>
        <v>Display, iPhone 17 Pro Max</v>
      </c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</row>
    <row r="4191">
      <c r="A4191" s="10" t="str">
        <f t="shared" si="1"/>
        <v>April</v>
      </c>
      <c r="B4191" s="11">
        <f>IFERROR(__xludf.DUMMYFUNCTION("""COMPUTED_VALUE"""),46117.0)</f>
        <v>46117</v>
      </c>
      <c r="C4191" s="2" t="str">
        <f>IFERROR(__xludf.DUMMYFUNCTION("""COMPUTED_VALUE"""),"MOBILECARE - THE PODIUM")</f>
        <v>MOBILECARE - THE PODIUM</v>
      </c>
      <c r="D4191" s="2" t="str">
        <f>IFERROR(__xludf.DUMMYFUNCTION("""COMPUTED_VALUE"""),"661-30397")</f>
        <v>661-30397</v>
      </c>
      <c r="E4191" s="2" t="str">
        <f>IFERROR(__xludf.DUMMYFUNCTION("""COMPUTED_VALUE"""),"Battery, iPhone 14 Pro Max")</f>
        <v>Battery, iPhone 14 Pro Max</v>
      </c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</row>
    <row r="4192">
      <c r="A4192" s="10" t="str">
        <f t="shared" si="1"/>
        <v>April</v>
      </c>
      <c r="B4192" s="11">
        <f>IFERROR(__xludf.DUMMYFUNCTION("""COMPUTED_VALUE"""),46135.0)</f>
        <v>46135</v>
      </c>
      <c r="C4192" s="2" t="str">
        <f>IFERROR(__xludf.DUMMYFUNCTION("""COMPUTED_VALUE"""),"MOBILECARE - THE PODIUM")</f>
        <v>MOBILECARE - THE PODIUM</v>
      </c>
      <c r="D4192" s="2" t="str">
        <f>IFERROR(__xludf.DUMMYFUNCTION("""COMPUTED_VALUE"""),"Z661-56015")</f>
        <v>Z661-56015</v>
      </c>
      <c r="E4192" s="2" t="str">
        <f>IFERROR(__xludf.DUMMYFUNCTION("""COMPUTED_VALUE"""),"Logic Board, 256GB, iPhone 17, ROW")</f>
        <v>Logic Board, 256GB, iPhone 17, ROW</v>
      </c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</row>
    <row r="4193">
      <c r="A4193" s="10" t="str">
        <f t="shared" si="1"/>
        <v>March</v>
      </c>
      <c r="B4193" s="11">
        <f>IFERROR(__xludf.DUMMYFUNCTION("""COMPUTED_VALUE"""),46099.0)</f>
        <v>46099</v>
      </c>
      <c r="C4193" s="2" t="str">
        <f>IFERROR(__xludf.DUMMYFUNCTION("""COMPUTED_VALUE"""),"MOBILECARE - THE PODIUM")</f>
        <v>MOBILECARE - THE PODIUM</v>
      </c>
      <c r="D4193" s="2" t="str">
        <f>IFERROR(__xludf.DUMMYFUNCTION("""COMPUTED_VALUE"""),"661-30382")</f>
        <v>661-30382</v>
      </c>
      <c r="E4193" s="2" t="str">
        <f>IFERROR(__xludf.DUMMYFUNCTION("""COMPUTED_VALUE"""),"Battery, iPhone 14 Pro")</f>
        <v>Battery, iPhone 14 Pro</v>
      </c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</row>
    <row r="4194">
      <c r="A4194" s="10" t="str">
        <f t="shared" si="1"/>
        <v>March</v>
      </c>
      <c r="B4194" s="11">
        <f>IFERROR(__xludf.DUMMYFUNCTION("""COMPUTED_VALUE"""),46094.0)</f>
        <v>46094</v>
      </c>
      <c r="C4194" s="2" t="str">
        <f>IFERROR(__xludf.DUMMYFUNCTION("""COMPUTED_VALUE"""),"MOBILECARE - THE PODIUM")</f>
        <v>MOBILECARE - THE PODIUM</v>
      </c>
      <c r="D4194" s="2" t="str">
        <f>IFERROR(__xludf.DUMMYFUNCTION("""COMPUTED_VALUE"""),"661-30397")</f>
        <v>661-30397</v>
      </c>
      <c r="E4194" s="2" t="str">
        <f>IFERROR(__xludf.DUMMYFUNCTION("""COMPUTED_VALUE"""),"Battery, iPhone 14 Pro Max")</f>
        <v>Battery, iPhone 14 Pro Max</v>
      </c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</row>
    <row r="4195">
      <c r="A4195" s="10" t="str">
        <f t="shared" si="1"/>
        <v>March</v>
      </c>
      <c r="B4195" s="11">
        <f>IFERROR(__xludf.DUMMYFUNCTION("""COMPUTED_VALUE"""),46091.0)</f>
        <v>46091</v>
      </c>
      <c r="C4195" s="2" t="str">
        <f>IFERROR(__xludf.DUMMYFUNCTION("""COMPUTED_VALUE"""),"MOBILECARE - THE PODIUM")</f>
        <v>MOBILECARE - THE PODIUM</v>
      </c>
      <c r="D4195" s="2" t="str">
        <f>IFERROR(__xludf.DUMMYFUNCTION("""COMPUTED_VALUE"""),"661-42726")</f>
        <v>661-42726</v>
      </c>
      <c r="E4195" s="2" t="str">
        <f>IFERROR(__xludf.DUMMYFUNCTION("""COMPUTED_VALUE"""),"Display, iPhone 16 Pro")</f>
        <v>Display, iPhone 16 Pro</v>
      </c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</row>
    <row r="4196">
      <c r="A4196" s="10" t="str">
        <f t="shared" si="1"/>
        <v>March</v>
      </c>
      <c r="B4196" s="11">
        <f>IFERROR(__xludf.DUMMYFUNCTION("""COMPUTED_VALUE"""),46090.0)</f>
        <v>46090</v>
      </c>
      <c r="C4196" s="2" t="str">
        <f>IFERROR(__xludf.DUMMYFUNCTION("""COMPUTED_VALUE"""),"MOBILECARE - THE PODIUM")</f>
        <v>MOBILECARE - THE PODIUM</v>
      </c>
      <c r="D4196" s="2" t="str">
        <f>IFERROR(__xludf.DUMMYFUNCTION("""COMPUTED_VALUE"""),"661-42844")</f>
        <v>661-42844</v>
      </c>
      <c r="E4196" s="2" t="str">
        <f>IFERROR(__xludf.DUMMYFUNCTION("""COMPUTED_VALUE"""),"TrueDepth Camera, iPhone 16 Plus")</f>
        <v>TrueDepth Camera, iPhone 16 Plus</v>
      </c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</row>
    <row r="4197">
      <c r="A4197" s="10" t="str">
        <f t="shared" si="1"/>
        <v>March</v>
      </c>
      <c r="B4197" s="11">
        <f>IFERROR(__xludf.DUMMYFUNCTION("""COMPUTED_VALUE"""),46090.0)</f>
        <v>46090</v>
      </c>
      <c r="C4197" s="2" t="str">
        <f>IFERROR(__xludf.DUMMYFUNCTION("""COMPUTED_VALUE"""),"MOBILECARE - THE PODIUM")</f>
        <v>MOBILECARE - THE PODIUM</v>
      </c>
      <c r="D4197" s="2" t="str">
        <f>IFERROR(__xludf.DUMMYFUNCTION("""COMPUTED_VALUE"""),"661-42843")</f>
        <v>661-42843</v>
      </c>
      <c r="E4197" s="2" t="str">
        <f>IFERROR(__xludf.DUMMYFUNCTION("""COMPUTED_VALUE"""),"Display, iPhone 16 Plus")</f>
        <v>Display, iPhone 16 Plus</v>
      </c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</row>
    <row r="4198">
      <c r="A4198" s="10" t="str">
        <f t="shared" si="1"/>
        <v>February</v>
      </c>
      <c r="B4198" s="11">
        <f>IFERROR(__xludf.DUMMYFUNCTION("""COMPUTED_VALUE"""),46071.0)</f>
        <v>46071</v>
      </c>
      <c r="C4198" s="2" t="str">
        <f>IFERROR(__xludf.DUMMYFUNCTION("""COMPUTED_VALUE"""),"MOBILECARE - THE PODIUM")</f>
        <v>MOBILECARE - THE PODIUM</v>
      </c>
      <c r="D4198" s="2" t="str">
        <f>IFERROR(__xludf.DUMMYFUNCTION("""COMPUTED_VALUE"""),"661-21996")</f>
        <v>661-21996</v>
      </c>
      <c r="E4198" s="2" t="str">
        <f>IFERROR(__xludf.DUMMYFUNCTION("""COMPUTED_VALUE"""),"Battery, iPhone 13 Pro")</f>
        <v>Battery, iPhone 13 Pro</v>
      </c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</row>
    <row r="4199">
      <c r="A4199" s="10" t="str">
        <f t="shared" si="1"/>
        <v>February</v>
      </c>
      <c r="B4199" s="11">
        <f>IFERROR(__xludf.DUMMYFUNCTION("""COMPUTED_VALUE"""),46061.0)</f>
        <v>46061</v>
      </c>
      <c r="C4199" s="2" t="str">
        <f>IFERROR(__xludf.DUMMYFUNCTION("""COMPUTED_VALUE"""),"MOBILECARE - THE PODIUM")</f>
        <v>MOBILECARE - THE PODIUM</v>
      </c>
      <c r="D4199" s="2" t="str">
        <f>IFERROR(__xludf.DUMMYFUNCTION("""COMPUTED_VALUE"""),"661-17920")</f>
        <v>661-17920</v>
      </c>
      <c r="E4199" s="2" t="str">
        <f>IFERROR(__xludf.DUMMYFUNCTION("""COMPUTED_VALUE"""),"Battery, iPhone 12 and 12 Pro")</f>
        <v>Battery, iPhone 12 and 12 Pro</v>
      </c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</row>
    <row r="4200">
      <c r="A4200" s="10" t="str">
        <f t="shared" si="1"/>
        <v>February</v>
      </c>
      <c r="B4200" s="11">
        <f>IFERROR(__xludf.DUMMYFUNCTION("""COMPUTED_VALUE"""),46059.0)</f>
        <v>46059</v>
      </c>
      <c r="C4200" s="2" t="str">
        <f>IFERROR(__xludf.DUMMYFUNCTION("""COMPUTED_VALUE"""),"MOBILECARE - THE PODIUM")</f>
        <v>MOBILECARE - THE PODIUM</v>
      </c>
      <c r="D4200" s="2" t="str">
        <f>IFERROR(__xludf.DUMMYFUNCTION("""COMPUTED_VALUE"""),"661-35694")</f>
        <v>661-35694</v>
      </c>
      <c r="E4200" s="2" t="str">
        <f>IFERROR(__xludf.DUMMYFUNCTION("""COMPUTED_VALUE"""),"Battery, iPhone 15 Pro")</f>
        <v>Battery, iPhone 15 Pro</v>
      </c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</row>
    <row r="4201">
      <c r="A4201" s="10" t="str">
        <f t="shared" si="1"/>
        <v>February</v>
      </c>
      <c r="B4201" s="11">
        <f>IFERROR(__xludf.DUMMYFUNCTION("""COMPUTED_VALUE"""),46063.0)</f>
        <v>46063</v>
      </c>
      <c r="C4201" s="2" t="str">
        <f>IFERROR(__xludf.DUMMYFUNCTION("""COMPUTED_VALUE"""),"MOBILECARE - THE PODIUM")</f>
        <v>MOBILECARE - THE PODIUM</v>
      </c>
      <c r="D4201" s="2" t="str">
        <f>IFERROR(__xludf.DUMMYFUNCTION("""COMPUTED_VALUE"""),"661-56050")</f>
        <v>661-56050</v>
      </c>
      <c r="E4201" s="2" t="str">
        <f>IFERROR(__xludf.DUMMYFUNCTION("""COMPUTED_VALUE"""),"Display, iPhone 17 Pro Max")</f>
        <v>Display, iPhone 17 Pro Max</v>
      </c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</row>
    <row r="4202">
      <c r="A4202" s="10" t="str">
        <f t="shared" si="1"/>
        <v>January</v>
      </c>
      <c r="B4202" s="11">
        <f>IFERROR(__xludf.DUMMYFUNCTION("""COMPUTED_VALUE"""),46050.0)</f>
        <v>46050</v>
      </c>
      <c r="C4202" s="2" t="str">
        <f>IFERROR(__xludf.DUMMYFUNCTION("""COMPUTED_VALUE"""),"MOBILECARE - THE PODIUM")</f>
        <v>MOBILECARE - THE PODIUM</v>
      </c>
      <c r="D4202" s="2" t="str">
        <f>IFERROR(__xludf.DUMMYFUNCTION("""COMPUTED_VALUE"""),"661-30393")</f>
        <v>661-30393</v>
      </c>
      <c r="E4202" s="2" t="str">
        <f>IFERROR(__xludf.DUMMYFUNCTION("""COMPUTED_VALUE"""),"Camera, iPhone 14 Plus")</f>
        <v>Camera, iPhone 14 Plus</v>
      </c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</row>
    <row r="4203">
      <c r="A4203" s="10" t="str">
        <f t="shared" si="1"/>
        <v>January</v>
      </c>
      <c r="B4203" s="11">
        <f>IFERROR(__xludf.DUMMYFUNCTION("""COMPUTED_VALUE"""),46050.0)</f>
        <v>46050</v>
      </c>
      <c r="C4203" s="2" t="str">
        <f>IFERROR(__xludf.DUMMYFUNCTION("""COMPUTED_VALUE"""),"MOBILECARE - THE PODIUM")</f>
        <v>MOBILECARE - THE PODIUM</v>
      </c>
      <c r="D4203" s="2" t="str">
        <f>IFERROR(__xludf.DUMMYFUNCTION("""COMPUTED_VALUE"""),"661-30383")</f>
        <v>661-30383</v>
      </c>
      <c r="E4203" s="2" t="str">
        <f>IFERROR(__xludf.DUMMYFUNCTION("""COMPUTED_VALUE"""),"Midnight, Back Glass, iPhone 14 Plus")</f>
        <v>Midnight, Back Glass, iPhone 14 Plus</v>
      </c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</row>
    <row r="4204">
      <c r="A4204" s="10" t="str">
        <f t="shared" si="1"/>
        <v>January</v>
      </c>
      <c r="B4204" s="11">
        <f>IFERROR(__xludf.DUMMYFUNCTION("""COMPUTED_VALUE"""),46051.0)</f>
        <v>46051</v>
      </c>
      <c r="C4204" s="2" t="str">
        <f>IFERROR(__xludf.DUMMYFUNCTION("""COMPUTED_VALUE"""),"MOBILECARE - THE PODIUM")</f>
        <v>MOBILECARE - THE PODIUM</v>
      </c>
      <c r="D4204" s="2" t="str">
        <f>IFERROR(__xludf.DUMMYFUNCTION("""COMPUTED_VALUE"""),"661-22309")</f>
        <v>661-22309</v>
      </c>
      <c r="E4204" s="2" t="str">
        <f>IFERROR(__xludf.DUMMYFUNCTION("""COMPUTED_VALUE"""),"Display, iPhone 13 Pro Max")</f>
        <v>Display, iPhone 13 Pro Max</v>
      </c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</row>
    <row r="4205">
      <c r="A4205" s="10" t="str">
        <f t="shared" si="1"/>
        <v>May</v>
      </c>
      <c r="B4205" s="11">
        <f>IFERROR(__xludf.DUMMYFUNCTION("""COMPUTED_VALUE"""),46147.0)</f>
        <v>46147</v>
      </c>
      <c r="C4205" s="2" t="str">
        <f>IFERROR(__xludf.DUMMYFUNCTION("""COMPUTED_VALUE"""),"MOBILECARE - THE PODIUM")</f>
        <v>MOBILECARE - THE PODIUM</v>
      </c>
      <c r="D4205" s="2" t="str">
        <f>IFERROR(__xludf.DUMMYFUNCTION("""COMPUTED_VALUE"""),"661-21996")</f>
        <v>661-21996</v>
      </c>
      <c r="E4205" s="2" t="str">
        <f>IFERROR(__xludf.DUMMYFUNCTION("""COMPUTED_VALUE"""),"Battery, iPhone 13 Pro")</f>
        <v>Battery, iPhone 13 Pro</v>
      </c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</row>
    <row r="4206">
      <c r="A4206" s="10" t="str">
        <f t="shared" si="1"/>
        <v>April</v>
      </c>
      <c r="B4206" s="11">
        <f>IFERROR(__xludf.DUMMYFUNCTION("""COMPUTED_VALUE"""),46130.0)</f>
        <v>46130</v>
      </c>
      <c r="C4206" s="2" t="str">
        <f>IFERROR(__xludf.DUMMYFUNCTION("""COMPUTED_VALUE"""),"MOBILECARE - THE PODIUM")</f>
        <v>MOBILECARE - THE PODIUM</v>
      </c>
      <c r="D4206" s="2" t="str">
        <f>IFERROR(__xludf.DUMMYFUNCTION("""COMPUTED_VALUE"""),"661-56066")</f>
        <v>661-56066</v>
      </c>
      <c r="E4206" s="2" t="str">
        <f>IFERROR(__xludf.DUMMYFUNCTION("""COMPUTED_VALUE"""),"Front Camera, iPhone 17")</f>
        <v>Front Camera, iPhone 17</v>
      </c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</row>
    <row r="4207">
      <c r="A4207" s="10" t="str">
        <f t="shared" si="1"/>
        <v>April</v>
      </c>
      <c r="B4207" s="11">
        <f>IFERROR(__xludf.DUMMYFUNCTION("""COMPUTED_VALUE"""),46125.0)</f>
        <v>46125</v>
      </c>
      <c r="C4207" s="2" t="str">
        <f>IFERROR(__xludf.DUMMYFUNCTION("""COMPUTED_VALUE"""),"MOBILECARE - THE PODIUM")</f>
        <v>MOBILECARE - THE PODIUM</v>
      </c>
      <c r="D4207" s="2" t="str">
        <f>IFERROR(__xludf.DUMMYFUNCTION("""COMPUTED_VALUE"""),"661-30397")</f>
        <v>661-30397</v>
      </c>
      <c r="E4207" s="2" t="str">
        <f>IFERROR(__xludf.DUMMYFUNCTION("""COMPUTED_VALUE"""),"Battery, iPhone 14 Pro Max")</f>
        <v>Battery, iPhone 14 Pro Max</v>
      </c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</row>
    <row r="4208">
      <c r="A4208" s="10" t="str">
        <f t="shared" si="1"/>
        <v>March</v>
      </c>
      <c r="B4208" s="11">
        <f>IFERROR(__xludf.DUMMYFUNCTION("""COMPUTED_VALUE"""),46087.0)</f>
        <v>46087</v>
      </c>
      <c r="C4208" s="2" t="str">
        <f>IFERROR(__xludf.DUMMYFUNCTION("""COMPUTED_VALUE"""),"MOBILECARE - THE PODIUM")</f>
        <v>MOBILECARE - THE PODIUM</v>
      </c>
      <c r="D4208" s="2" t="str">
        <f>IFERROR(__xludf.DUMMYFUNCTION("""COMPUTED_VALUE"""),"661-35694")</f>
        <v>661-35694</v>
      </c>
      <c r="E4208" s="2" t="str">
        <f>IFERROR(__xludf.DUMMYFUNCTION("""COMPUTED_VALUE"""),"Battery, iPhone 15 Pro")</f>
        <v>Battery, iPhone 15 Pro</v>
      </c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</row>
    <row r="4209">
      <c r="A4209" s="10" t="str">
        <f t="shared" si="1"/>
        <v>March</v>
      </c>
      <c r="B4209" s="11">
        <f>IFERROR(__xludf.DUMMYFUNCTION("""COMPUTED_VALUE"""),46087.0)</f>
        <v>46087</v>
      </c>
      <c r="C4209" s="2" t="str">
        <f>IFERROR(__xludf.DUMMYFUNCTION("""COMPUTED_VALUE"""),"MOBILECARE - THE PODIUM")</f>
        <v>MOBILECARE - THE PODIUM</v>
      </c>
      <c r="D4209" s="2" t="str">
        <f>IFERROR(__xludf.DUMMYFUNCTION("""COMPUTED_VALUE"""),"661-35696")</f>
        <v>661-35696</v>
      </c>
      <c r="E4209" s="2" t="str">
        <f>IFERROR(__xludf.DUMMYFUNCTION("""COMPUTED_VALUE"""),"Camera , iPhone 15 Pro")</f>
        <v>Camera , iPhone 15 Pro</v>
      </c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</row>
    <row r="4210">
      <c r="A4210" s="10" t="str">
        <f t="shared" si="1"/>
        <v>February</v>
      </c>
      <c r="B4210" s="11">
        <f>IFERROR(__xludf.DUMMYFUNCTION("""COMPUTED_VALUE"""),46072.0)</f>
        <v>46072</v>
      </c>
      <c r="C4210" s="2" t="str">
        <f>IFERROR(__xludf.DUMMYFUNCTION("""COMPUTED_VALUE"""),"MOBILECARE - THE PODIUM")</f>
        <v>MOBILECARE - THE PODIUM</v>
      </c>
      <c r="D4210" s="2" t="str">
        <f>IFERROR(__xludf.DUMMYFUNCTION("""COMPUTED_VALUE"""),"661-21991")</f>
        <v>661-21991</v>
      </c>
      <c r="E4210" s="2" t="str">
        <f>IFERROR(__xludf.DUMMYFUNCTION("""COMPUTED_VALUE"""),"Battery, iPhone 13")</f>
        <v>Battery, iPhone 13</v>
      </c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</row>
    <row r="4211">
      <c r="A4211" s="10" t="str">
        <f t="shared" si="1"/>
        <v>February</v>
      </c>
      <c r="B4211" s="11">
        <f>IFERROR(__xludf.DUMMYFUNCTION("""COMPUTED_VALUE"""),46062.0)</f>
        <v>46062</v>
      </c>
      <c r="C4211" s="2" t="str">
        <f>IFERROR(__xludf.DUMMYFUNCTION("""COMPUTED_VALUE"""),"MOBILECARE - THE PODIUM")</f>
        <v>MOBILECARE - THE PODIUM</v>
      </c>
      <c r="D4211" s="2" t="str">
        <f>IFERROR(__xludf.DUMMYFUNCTION("""COMPUTED_VALUE"""),"661-44956")</f>
        <v>661-44956</v>
      </c>
      <c r="E4211" s="2" t="str">
        <f>IFERROR(__xludf.DUMMYFUNCTION("""COMPUTED_VALUE"""),"TrueDepth Camera, iPhone 16 Pro Max")</f>
        <v>TrueDepth Camera, iPhone 16 Pro Max</v>
      </c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</row>
    <row r="4212">
      <c r="A4212" s="10" t="str">
        <f t="shared" si="1"/>
        <v>May</v>
      </c>
      <c r="B4212" s="11">
        <f>IFERROR(__xludf.DUMMYFUNCTION("""COMPUTED_VALUE"""),46163.0)</f>
        <v>46163</v>
      </c>
      <c r="C4212" s="2" t="str">
        <f>IFERROR(__xludf.DUMMYFUNCTION("""COMPUTED_VALUE"""),"MOBILECARE - THE PODIUM")</f>
        <v>MOBILECARE - THE PODIUM</v>
      </c>
      <c r="D4212" s="2" t="str">
        <f>IFERROR(__xludf.DUMMYFUNCTION("""COMPUTED_VALUE"""),"661-21988")</f>
        <v>661-21988</v>
      </c>
      <c r="E4212" s="2" t="str">
        <f>IFERROR(__xludf.DUMMYFUNCTION("""COMPUTED_VALUE"""),"Display, iPhone 13")</f>
        <v>Display, iPhone 13</v>
      </c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</row>
    <row r="4213">
      <c r="A4213" s="10" t="str">
        <f t="shared" si="1"/>
        <v>May</v>
      </c>
      <c r="B4213" s="11">
        <f>IFERROR(__xludf.DUMMYFUNCTION("""COMPUTED_VALUE"""),46167.0)</f>
        <v>46167</v>
      </c>
      <c r="C4213" s="2" t="str">
        <f>IFERROR(__xludf.DUMMYFUNCTION("""COMPUTED_VALUE"""),"MOBILECARE - THE PODIUM")</f>
        <v>MOBILECARE - THE PODIUM</v>
      </c>
      <c r="D4213" s="2" t="str">
        <f>IFERROR(__xludf.DUMMYFUNCTION("""COMPUTED_VALUE"""),"661-30382")</f>
        <v>661-30382</v>
      </c>
      <c r="E4213" s="2" t="str">
        <f>IFERROR(__xludf.DUMMYFUNCTION("""COMPUTED_VALUE"""),"Battery, iPhone 14 Pro")</f>
        <v>Battery, iPhone 14 Pro</v>
      </c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</row>
    <row r="4214">
      <c r="A4214" s="10" t="str">
        <f t="shared" si="1"/>
        <v>May</v>
      </c>
      <c r="B4214" s="11">
        <f>IFERROR(__xludf.DUMMYFUNCTION("""COMPUTED_VALUE"""),46167.0)</f>
        <v>46167</v>
      </c>
      <c r="C4214" s="2" t="str">
        <f>IFERROR(__xludf.DUMMYFUNCTION("""COMPUTED_VALUE"""),"MOBILECARE - THE PODIUM")</f>
        <v>MOBILECARE - THE PODIUM</v>
      </c>
      <c r="D4214" s="2" t="str">
        <f>IFERROR(__xludf.DUMMYFUNCTION("""COMPUTED_VALUE"""),"661-29369")</f>
        <v>661-29369</v>
      </c>
      <c r="E4214" s="2" t="str">
        <f>IFERROR(__xludf.DUMMYFUNCTION("""COMPUTED_VALUE"""),"Camera, iPhone 14 Pro")</f>
        <v>Camera, iPhone 14 Pro</v>
      </c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</row>
    <row r="4215">
      <c r="A4215" s="10" t="str">
        <f t="shared" si="1"/>
        <v>May</v>
      </c>
      <c r="B4215" s="11">
        <f>IFERROR(__xludf.DUMMYFUNCTION("""COMPUTED_VALUE"""),46158.0)</f>
        <v>46158</v>
      </c>
      <c r="C4215" s="2" t="str">
        <f>IFERROR(__xludf.DUMMYFUNCTION("""COMPUTED_VALUE"""),"MOBILECARE - THE PODIUM")</f>
        <v>MOBILECARE - THE PODIUM</v>
      </c>
      <c r="D4215" s="2" t="str">
        <f>IFERROR(__xludf.DUMMYFUNCTION("""COMPUTED_VALUE"""),"661-42726")</f>
        <v>661-42726</v>
      </c>
      <c r="E4215" s="2" t="str">
        <f>IFERROR(__xludf.DUMMYFUNCTION("""COMPUTED_VALUE"""),"Display, iPhone 16 Pro")</f>
        <v>Display, iPhone 16 Pro</v>
      </c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</row>
    <row r="4216">
      <c r="A4216" s="10" t="str">
        <f t="shared" si="1"/>
        <v>March</v>
      </c>
      <c r="B4216" s="11">
        <f>IFERROR(__xludf.DUMMYFUNCTION("""COMPUTED_VALUE"""),46107.0)</f>
        <v>46107</v>
      </c>
      <c r="C4216" s="2" t="str">
        <f>IFERROR(__xludf.DUMMYFUNCTION("""COMPUTED_VALUE"""),"MOBILECARE - THE PODIUM")</f>
        <v>MOBILECARE - THE PODIUM</v>
      </c>
      <c r="D4216" s="2" t="str">
        <f>IFERROR(__xludf.DUMMYFUNCTION("""COMPUTED_VALUE"""),"661-13574")</f>
        <v>661-13574</v>
      </c>
      <c r="E4216" s="2" t="str">
        <f>IFERROR(__xludf.DUMMYFUNCTION("""COMPUTED_VALUE"""),"Battery, iPhone 11")</f>
        <v>Battery, iPhone 11</v>
      </c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</row>
    <row r="4217">
      <c r="A4217" s="10" t="str">
        <f t="shared" si="1"/>
        <v>March</v>
      </c>
      <c r="B4217" s="11">
        <f>IFERROR(__xludf.DUMMYFUNCTION("""COMPUTED_VALUE"""),46107.0)</f>
        <v>46107</v>
      </c>
      <c r="C4217" s="2" t="str">
        <f>IFERROR(__xludf.DUMMYFUNCTION("""COMPUTED_VALUE"""),"MOBILECARE - THE PODIUM")</f>
        <v>MOBILECARE - THE PODIUM</v>
      </c>
      <c r="D4217" s="2" t="str">
        <f>IFERROR(__xludf.DUMMYFUNCTION("""COMPUTED_VALUE"""),"661-35694")</f>
        <v>661-35694</v>
      </c>
      <c r="E4217" s="2" t="str">
        <f>IFERROR(__xludf.DUMMYFUNCTION("""COMPUTED_VALUE"""),"Battery, iPhone 15 Pro")</f>
        <v>Battery, iPhone 15 Pro</v>
      </c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</row>
    <row r="4218">
      <c r="A4218" s="10" t="str">
        <f t="shared" si="1"/>
        <v>March</v>
      </c>
      <c r="B4218" s="11">
        <f>IFERROR(__xludf.DUMMYFUNCTION("""COMPUTED_VALUE"""),46087.0)</f>
        <v>46087</v>
      </c>
      <c r="C4218" s="2" t="str">
        <f>IFERROR(__xludf.DUMMYFUNCTION("""COMPUTED_VALUE"""),"MOBILECARE - THE PODIUM")</f>
        <v>MOBILECARE - THE PODIUM</v>
      </c>
      <c r="D4218" s="2" t="str">
        <f>IFERROR(__xludf.DUMMYFUNCTION("""COMPUTED_VALUE"""),"661-22309")</f>
        <v>661-22309</v>
      </c>
      <c r="E4218" s="2" t="str">
        <f>IFERROR(__xludf.DUMMYFUNCTION("""COMPUTED_VALUE"""),"Display, iPhone 13 Pro Max")</f>
        <v>Display, iPhone 13 Pro Max</v>
      </c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</row>
    <row r="4219">
      <c r="A4219" s="10" t="str">
        <f t="shared" si="1"/>
        <v>February</v>
      </c>
      <c r="B4219" s="11">
        <f>IFERROR(__xludf.DUMMYFUNCTION("""COMPUTED_VALUE"""),46070.0)</f>
        <v>46070</v>
      </c>
      <c r="C4219" s="2" t="str">
        <f>IFERROR(__xludf.DUMMYFUNCTION("""COMPUTED_VALUE"""),"MOBILECARE - THE PODIUM")</f>
        <v>MOBILECARE - THE PODIUM</v>
      </c>
      <c r="D4219" s="2" t="str">
        <f>IFERROR(__xludf.DUMMYFUNCTION("""COMPUTED_VALUE"""),"661-55839")</f>
        <v>661-55839</v>
      </c>
      <c r="E4219" s="2" t="str">
        <f>IFERROR(__xludf.DUMMYFUNCTION("""COMPUTED_VALUE"""),"Logic Board, 1TB, iPhone Air")</f>
        <v>Logic Board, 1TB, iPhone Air</v>
      </c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</row>
    <row r="4220">
      <c r="A4220" s="10" t="str">
        <f t="shared" si="1"/>
        <v>January</v>
      </c>
      <c r="B4220" s="11">
        <f>IFERROR(__xludf.DUMMYFUNCTION("""COMPUTED_VALUE"""),46042.0)</f>
        <v>46042</v>
      </c>
      <c r="C4220" s="2" t="str">
        <f>IFERROR(__xludf.DUMMYFUNCTION("""COMPUTED_VALUE"""),"MOBILECARE - THE PODIUM")</f>
        <v>MOBILECARE - THE PODIUM</v>
      </c>
      <c r="D4220" s="2" t="str">
        <f>IFERROR(__xludf.DUMMYFUNCTION("""COMPUTED_VALUE"""),"661-17939")</f>
        <v>661-17939</v>
      </c>
      <c r="E4220" s="2" t="str">
        <f>IFERROR(__xludf.DUMMYFUNCTION("""COMPUTED_VALUE"""),"Battery, iPhone 12 mini")</f>
        <v>Battery, iPhone 12 mini</v>
      </c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</row>
    <row r="4221">
      <c r="A4221" s="10" t="str">
        <f t="shared" si="1"/>
        <v>January</v>
      </c>
      <c r="B4221" s="11">
        <f>IFERROR(__xludf.DUMMYFUNCTION("""COMPUTED_VALUE"""),46046.0)</f>
        <v>46046</v>
      </c>
      <c r="C4221" s="2" t="str">
        <f>IFERROR(__xludf.DUMMYFUNCTION("""COMPUTED_VALUE"""),"MOBILECARE - THE PODIUM")</f>
        <v>MOBILECARE - THE PODIUM</v>
      </c>
      <c r="D4221" s="2" t="str">
        <f>IFERROR(__xludf.DUMMYFUNCTION("""COMPUTED_VALUE"""),"661-44956")</f>
        <v>661-44956</v>
      </c>
      <c r="E4221" s="2" t="str">
        <f>IFERROR(__xludf.DUMMYFUNCTION("""COMPUTED_VALUE"""),"TrueDepth Camera, iPhone 16 Pro Max")</f>
        <v>TrueDepth Camera, iPhone 16 Pro Max</v>
      </c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</row>
    <row r="4222">
      <c r="A4222" s="10" t="str">
        <f t="shared" si="1"/>
        <v>June</v>
      </c>
      <c r="B4222" s="11">
        <f>IFERROR(__xludf.DUMMYFUNCTION("""COMPUTED_VALUE"""),46192.0)</f>
        <v>46192</v>
      </c>
      <c r="C4222" s="2" t="str">
        <f>IFERROR(__xludf.DUMMYFUNCTION("""COMPUTED_VALUE"""),"MOBILECARE - THE PODIUM")</f>
        <v>MOBILECARE - THE PODIUM</v>
      </c>
      <c r="D4222" s="2" t="str">
        <f>IFERROR(__xludf.DUMMYFUNCTION("""COMPUTED_VALUE"""),"661-35885")</f>
        <v>661-35885</v>
      </c>
      <c r="E4222" s="2" t="str">
        <f>IFERROR(__xludf.DUMMYFUNCTION("""COMPUTED_VALUE"""),"Battery, iPhone 15")</f>
        <v>Battery, iPhone 15</v>
      </c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</row>
    <row r="4223">
      <c r="A4223" s="10" t="str">
        <f t="shared" si="1"/>
        <v>June</v>
      </c>
      <c r="B4223" s="11">
        <f>IFERROR(__xludf.DUMMYFUNCTION("""COMPUTED_VALUE"""),46178.0)</f>
        <v>46178</v>
      </c>
      <c r="C4223" s="2" t="str">
        <f>IFERROR(__xludf.DUMMYFUNCTION("""COMPUTED_VALUE"""),"MOBILECARE - THE PODIUM")</f>
        <v>MOBILECARE - THE PODIUM</v>
      </c>
      <c r="D4223" s="2" t="str">
        <f>IFERROR(__xludf.DUMMYFUNCTION("""COMPUTED_VALUE"""),"Z661-55943")</f>
        <v>Z661-55943</v>
      </c>
      <c r="E4223" s="2" t="str">
        <f>IFERROR(__xludf.DUMMYFUNCTION("""COMPUTED_VALUE"""),"Logic Board, 512GB, A3523, ROW, iPhone 17 Pro")</f>
        <v>Logic Board, 512GB, A3523, ROW, iPhone 17 Pro</v>
      </c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</row>
    <row r="4224">
      <c r="A4224" s="10" t="str">
        <f t="shared" si="1"/>
        <v>April</v>
      </c>
      <c r="B4224" s="11">
        <f>IFERROR(__xludf.DUMMYFUNCTION("""COMPUTED_VALUE"""),46132.0)</f>
        <v>46132</v>
      </c>
      <c r="C4224" s="2" t="str">
        <f>IFERROR(__xludf.DUMMYFUNCTION("""COMPUTED_VALUE"""),"MOBILECARE - THE PODIUM")</f>
        <v>MOBILECARE - THE PODIUM</v>
      </c>
      <c r="D4224" s="2" t="str">
        <f>IFERROR(__xludf.DUMMYFUNCTION("""COMPUTED_VALUE"""),"661-21991")</f>
        <v>661-21991</v>
      </c>
      <c r="E4224" s="2" t="str">
        <f>IFERROR(__xludf.DUMMYFUNCTION("""COMPUTED_VALUE"""),"Battery, iPhone 13")</f>
        <v>Battery, iPhone 13</v>
      </c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</row>
    <row r="4225">
      <c r="A4225" s="10" t="str">
        <f t="shared" si="1"/>
        <v>March</v>
      </c>
      <c r="B4225" s="11">
        <f>IFERROR(__xludf.DUMMYFUNCTION("""COMPUTED_VALUE"""),46110.0)</f>
        <v>46110</v>
      </c>
      <c r="C4225" s="2" t="str">
        <f>IFERROR(__xludf.DUMMYFUNCTION("""COMPUTED_VALUE"""),"MOBILECARE - THE PODIUM")</f>
        <v>MOBILECARE - THE PODIUM</v>
      </c>
      <c r="D4225" s="2" t="str">
        <f>IFERROR(__xludf.DUMMYFUNCTION("""COMPUTED_VALUE"""),"661-56125")</f>
        <v>661-56125</v>
      </c>
      <c r="E4225" s="2" t="str">
        <f>IFERROR(__xludf.DUMMYFUNCTION("""COMPUTED_VALUE"""),"Display, iPhone 17 Pro")</f>
        <v>Display, iPhone 17 Pro</v>
      </c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</row>
    <row r="4226">
      <c r="A4226" s="10" t="str">
        <f t="shared" si="1"/>
        <v>February</v>
      </c>
      <c r="B4226" s="11">
        <f>IFERROR(__xludf.DUMMYFUNCTION("""COMPUTED_VALUE"""),46075.0)</f>
        <v>46075</v>
      </c>
      <c r="C4226" s="2" t="str">
        <f>IFERROR(__xludf.DUMMYFUNCTION("""COMPUTED_VALUE"""),"MOBILECARE - THE PODIUM")</f>
        <v>MOBILECARE - THE PODIUM</v>
      </c>
      <c r="D4226" s="2" t="str">
        <f>IFERROR(__xludf.DUMMYFUNCTION("""COMPUTED_VALUE"""),"661-30382")</f>
        <v>661-30382</v>
      </c>
      <c r="E4226" s="2" t="str">
        <f>IFERROR(__xludf.DUMMYFUNCTION("""COMPUTED_VALUE"""),"Battery, iPhone 14 Pro")</f>
        <v>Battery, iPhone 14 Pro</v>
      </c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</row>
    <row r="4227">
      <c r="A4227" s="10" t="str">
        <f t="shared" si="1"/>
        <v>February</v>
      </c>
      <c r="B4227" s="11">
        <f>IFERROR(__xludf.DUMMYFUNCTION("""COMPUTED_VALUE"""),46073.0)</f>
        <v>46073</v>
      </c>
      <c r="C4227" s="2" t="str">
        <f>IFERROR(__xludf.DUMMYFUNCTION("""COMPUTED_VALUE"""),"MOBILECARE - THE PODIUM")</f>
        <v>MOBILECARE - THE PODIUM</v>
      </c>
      <c r="D4227" s="2" t="str">
        <f>IFERROR(__xludf.DUMMYFUNCTION("""COMPUTED_VALUE"""),"661-13574")</f>
        <v>661-13574</v>
      </c>
      <c r="E4227" s="2" t="str">
        <f>IFERROR(__xludf.DUMMYFUNCTION("""COMPUTED_VALUE"""),"Battery, iPhone 11")</f>
        <v>Battery, iPhone 11</v>
      </c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</row>
    <row r="4228">
      <c r="A4228" s="10" t="str">
        <f t="shared" si="1"/>
        <v>January</v>
      </c>
      <c r="B4228" s="11">
        <f>IFERROR(__xludf.DUMMYFUNCTION("""COMPUTED_VALUE"""),46043.0)</f>
        <v>46043</v>
      </c>
      <c r="C4228" s="2" t="str">
        <f>IFERROR(__xludf.DUMMYFUNCTION("""COMPUTED_VALUE"""),"MOBILECARE - THE PODIUM")</f>
        <v>MOBILECARE - THE PODIUM</v>
      </c>
      <c r="D4228" s="2" t="str">
        <f>IFERROR(__xludf.DUMMYFUNCTION("""COMPUTED_VALUE"""),"661-44797")</f>
        <v>661-44797</v>
      </c>
      <c r="E4228" s="2" t="str">
        <f>IFERROR(__xludf.DUMMYFUNCTION("""COMPUTED_VALUE"""),"Display, iPhone 16")</f>
        <v>Display, iPhone 16</v>
      </c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</row>
    <row r="4229">
      <c r="A4229" s="10" t="str">
        <f t="shared" si="1"/>
        <v>January</v>
      </c>
      <c r="B4229" s="11">
        <f>IFERROR(__xludf.DUMMYFUNCTION("""COMPUTED_VALUE"""),46035.0)</f>
        <v>46035</v>
      </c>
      <c r="C4229" s="2" t="str">
        <f>IFERROR(__xludf.DUMMYFUNCTION("""COMPUTED_VALUE"""),"MOBILECARE - THE PODIUM")</f>
        <v>MOBILECARE - THE PODIUM</v>
      </c>
      <c r="D4229" s="2" t="str">
        <f>IFERROR(__xludf.DUMMYFUNCTION("""COMPUTED_VALUE"""),"661-13574")</f>
        <v>661-13574</v>
      </c>
      <c r="E4229" s="2" t="str">
        <f>IFERROR(__xludf.DUMMYFUNCTION("""COMPUTED_VALUE"""),"Battery, iPhone 11")</f>
        <v>Battery, iPhone 11</v>
      </c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</row>
    <row r="4230">
      <c r="A4230" s="10" t="str">
        <f t="shared" si="1"/>
        <v>June</v>
      </c>
      <c r="B4230" s="11">
        <f>IFERROR(__xludf.DUMMYFUNCTION("""COMPUTED_VALUE"""),46193.0)</f>
        <v>46193</v>
      </c>
      <c r="C4230" s="2" t="str">
        <f>IFERROR(__xludf.DUMMYFUNCTION("""COMPUTED_VALUE"""),"MOBILECARE - THE PODIUM")</f>
        <v>MOBILECARE - THE PODIUM</v>
      </c>
      <c r="D4230" s="2" t="str">
        <f>IFERROR(__xludf.DUMMYFUNCTION("""COMPUTED_VALUE"""),"Z661-55957")</f>
        <v>Z661-55957</v>
      </c>
      <c r="E4230" s="2" t="str">
        <f>IFERROR(__xludf.DUMMYFUNCTION("""COMPUTED_VALUE"""),"Logic Board, 512GB, iPhone 17 Pro Max, ROW")</f>
        <v>Logic Board, 512GB, iPhone 17 Pro Max, ROW</v>
      </c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</row>
    <row r="4231">
      <c r="A4231" s="10" t="str">
        <f t="shared" si="1"/>
        <v>June</v>
      </c>
      <c r="B4231" s="11">
        <f>IFERROR(__xludf.DUMMYFUNCTION("""COMPUTED_VALUE"""),46177.0)</f>
        <v>46177</v>
      </c>
      <c r="C4231" s="2" t="str">
        <f>IFERROR(__xludf.DUMMYFUNCTION("""COMPUTED_VALUE"""),"MOBILECARE - THE PODIUM")</f>
        <v>MOBILECARE - THE PODIUM</v>
      </c>
      <c r="D4231" s="2" t="str">
        <f>IFERROR(__xludf.DUMMYFUNCTION("""COMPUTED_VALUE"""),"661-30397")</f>
        <v>661-30397</v>
      </c>
      <c r="E4231" s="2" t="str">
        <f>IFERROR(__xludf.DUMMYFUNCTION("""COMPUTED_VALUE"""),"Battery, iPhone 14 Pro Max")</f>
        <v>Battery, iPhone 14 Pro Max</v>
      </c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</row>
    <row r="4232">
      <c r="A4232" s="10" t="str">
        <f t="shared" si="1"/>
        <v>June</v>
      </c>
      <c r="B4232" s="11">
        <f>IFERROR(__xludf.DUMMYFUNCTION("""COMPUTED_VALUE"""),46177.0)</f>
        <v>46177</v>
      </c>
      <c r="C4232" s="2" t="str">
        <f>IFERROR(__xludf.DUMMYFUNCTION("""COMPUTED_VALUE"""),"MOBILECARE - THE PODIUM")</f>
        <v>MOBILECARE - THE PODIUM</v>
      </c>
      <c r="D4232" s="2" t="str">
        <f>IFERROR(__xludf.DUMMYFUNCTION("""COMPUTED_VALUE"""),"661-30401")</f>
        <v>661-30401</v>
      </c>
      <c r="E4232" s="2" t="str">
        <f>IFERROR(__xludf.DUMMYFUNCTION("""COMPUTED_VALUE"""),"Display, iPhone 14 Pro Max")</f>
        <v>Display, iPhone 14 Pro Max</v>
      </c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</row>
    <row r="4233">
      <c r="A4233" s="10" t="str">
        <f t="shared" si="1"/>
        <v>May</v>
      </c>
      <c r="B4233" s="11">
        <f>IFERROR(__xludf.DUMMYFUNCTION("""COMPUTED_VALUE"""),46166.0)</f>
        <v>46166</v>
      </c>
      <c r="C4233" s="2" t="str">
        <f>IFERROR(__xludf.DUMMYFUNCTION("""COMPUTED_VALUE"""),"MOBILECARE - THE PODIUM")</f>
        <v>MOBILECARE - THE PODIUM</v>
      </c>
      <c r="D4233" s="2" t="str">
        <f>IFERROR(__xludf.DUMMYFUNCTION("""COMPUTED_VALUE"""),"661-21996")</f>
        <v>661-21996</v>
      </c>
      <c r="E4233" s="2" t="str">
        <f>IFERROR(__xludf.DUMMYFUNCTION("""COMPUTED_VALUE"""),"Battery, iPhone 13 Pro")</f>
        <v>Battery, iPhone 13 Pro</v>
      </c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</row>
    <row r="4234">
      <c r="A4234" s="10" t="str">
        <f t="shared" si="1"/>
        <v>April</v>
      </c>
      <c r="B4234" s="11">
        <f>IFERROR(__xludf.DUMMYFUNCTION("""COMPUTED_VALUE"""),46122.0)</f>
        <v>46122</v>
      </c>
      <c r="C4234" s="2" t="str">
        <f>IFERROR(__xludf.DUMMYFUNCTION("""COMPUTED_VALUE"""),"MOBILECARE - THE PODIUM")</f>
        <v>MOBILECARE - THE PODIUM</v>
      </c>
      <c r="D4234" s="2" t="str">
        <f>IFERROR(__xludf.DUMMYFUNCTION("""COMPUTED_VALUE"""),"661-21993")</f>
        <v>661-21993</v>
      </c>
      <c r="E4234" s="2" t="str">
        <f>IFERROR(__xludf.DUMMYFUNCTION("""COMPUTED_VALUE"""),"Display, iPhone 13 Pro")</f>
        <v>Display, iPhone 13 Pro</v>
      </c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</row>
    <row r="4235">
      <c r="A4235" s="10" t="str">
        <f t="shared" si="1"/>
        <v>April</v>
      </c>
      <c r="B4235" s="11">
        <f>IFERROR(__xludf.DUMMYFUNCTION("""COMPUTED_VALUE"""),46118.0)</f>
        <v>46118</v>
      </c>
      <c r="C4235" s="2" t="str">
        <f>IFERROR(__xludf.DUMMYFUNCTION("""COMPUTED_VALUE"""),"MOBILECARE - THE PODIUM")</f>
        <v>MOBILECARE - THE PODIUM</v>
      </c>
      <c r="D4235" s="2" t="str">
        <f>IFERROR(__xludf.DUMMYFUNCTION("""COMPUTED_VALUE"""),"661-22374")</f>
        <v>661-22374</v>
      </c>
      <c r="E4235" s="2" t="str">
        <f>IFERROR(__xludf.DUMMYFUNCTION("""COMPUTED_VALUE"""),"Battery, iPhone 13 mini")</f>
        <v>Battery, iPhone 13 mini</v>
      </c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</row>
    <row r="4236">
      <c r="A4236" s="10" t="str">
        <f t="shared" si="1"/>
        <v>March</v>
      </c>
      <c r="B4236" s="11">
        <f>IFERROR(__xludf.DUMMYFUNCTION("""COMPUTED_VALUE"""),46105.0)</f>
        <v>46105</v>
      </c>
      <c r="C4236" s="2" t="str">
        <f>IFERROR(__xludf.DUMMYFUNCTION("""COMPUTED_VALUE"""),"MOBILECARE - THE PODIUM")</f>
        <v>MOBILECARE - THE PODIUM</v>
      </c>
      <c r="D4236" s="2" t="str">
        <f>IFERROR(__xludf.DUMMYFUNCTION("""COMPUTED_VALUE"""),"661-22309")</f>
        <v>661-22309</v>
      </c>
      <c r="E4236" s="2" t="str">
        <f>IFERROR(__xludf.DUMMYFUNCTION("""COMPUTED_VALUE"""),"Display, iPhone 13 Pro Max")</f>
        <v>Display, iPhone 13 Pro Max</v>
      </c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</row>
    <row r="4237">
      <c r="A4237" s="10" t="str">
        <f t="shared" si="1"/>
        <v>March</v>
      </c>
      <c r="B4237" s="11">
        <f>IFERROR(__xludf.DUMMYFUNCTION("""COMPUTED_VALUE"""),46106.0)</f>
        <v>46106</v>
      </c>
      <c r="C4237" s="2" t="str">
        <f>IFERROR(__xludf.DUMMYFUNCTION("""COMPUTED_VALUE"""),"MOBILECARE - THE PODIUM")</f>
        <v>MOBILECARE - THE PODIUM</v>
      </c>
      <c r="D4237" s="2" t="str">
        <f>IFERROR(__xludf.DUMMYFUNCTION("""COMPUTED_VALUE"""),"661-37214")</f>
        <v>661-37214</v>
      </c>
      <c r="E4237" s="2" t="str">
        <f>IFERROR(__xludf.DUMMYFUNCTION("""COMPUTED_VALUE"""),"TrueDepth Camera, iPhone 15 Plus")</f>
        <v>TrueDepth Camera, iPhone 15 Plus</v>
      </c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</row>
    <row r="4238">
      <c r="A4238" s="10" t="str">
        <f t="shared" si="1"/>
        <v>February</v>
      </c>
      <c r="B4238" s="11">
        <f>IFERROR(__xludf.DUMMYFUNCTION("""COMPUTED_VALUE"""),46074.0)</f>
        <v>46074</v>
      </c>
      <c r="C4238" s="2" t="str">
        <f>IFERROR(__xludf.DUMMYFUNCTION("""COMPUTED_VALUE"""),"MOBILECARE - THE PODIUM")</f>
        <v>MOBILECARE - THE PODIUM</v>
      </c>
      <c r="D4238" s="2" t="str">
        <f>IFERROR(__xludf.DUMMYFUNCTION("""COMPUTED_VALUE"""),"661-44956")</f>
        <v>661-44956</v>
      </c>
      <c r="E4238" s="2" t="str">
        <f>IFERROR(__xludf.DUMMYFUNCTION("""COMPUTED_VALUE"""),"TrueDepth Camera, iPhone 16 Pro Max")</f>
        <v>TrueDepth Camera, iPhone 16 Pro Max</v>
      </c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</row>
    <row r="4239">
      <c r="A4239" s="10" t="str">
        <f t="shared" si="1"/>
        <v>February</v>
      </c>
      <c r="B4239" s="11">
        <f>IFERROR(__xludf.DUMMYFUNCTION("""COMPUTED_VALUE"""),46074.0)</f>
        <v>46074</v>
      </c>
      <c r="C4239" s="2" t="str">
        <f>IFERROR(__xludf.DUMMYFUNCTION("""COMPUTED_VALUE"""),"MOBILECARE - THE PODIUM")</f>
        <v>MOBILECARE - THE PODIUM</v>
      </c>
      <c r="D4239" s="2" t="str">
        <f>IFERROR(__xludf.DUMMYFUNCTION("""COMPUTED_VALUE"""),"661-44957")</f>
        <v>661-44957</v>
      </c>
      <c r="E4239" s="2" t="str">
        <f>IFERROR(__xludf.DUMMYFUNCTION("""COMPUTED_VALUE"""),"Camera, iPhone 16 Pro Max")</f>
        <v>Camera, iPhone 16 Pro Max</v>
      </c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</row>
    <row r="4240">
      <c r="A4240" s="10" t="str">
        <f t="shared" si="1"/>
        <v>February</v>
      </c>
      <c r="B4240" s="11">
        <f>IFERROR(__xludf.DUMMYFUNCTION("""COMPUTED_VALUE"""),46069.0)</f>
        <v>46069</v>
      </c>
      <c r="C4240" s="2" t="str">
        <f>IFERROR(__xludf.DUMMYFUNCTION("""COMPUTED_VALUE"""),"MOBILECARE - THE PODIUM")</f>
        <v>MOBILECARE - THE PODIUM</v>
      </c>
      <c r="D4240" s="2" t="str">
        <f>IFERROR(__xludf.DUMMYFUNCTION("""COMPUTED_VALUE"""),"661-21996")</f>
        <v>661-21996</v>
      </c>
      <c r="E4240" s="2" t="str">
        <f>IFERROR(__xludf.DUMMYFUNCTION("""COMPUTED_VALUE"""),"Battery, iPhone 13 Pro")</f>
        <v>Battery, iPhone 13 Pro</v>
      </c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</row>
    <row r="4241">
      <c r="A4241" s="10" t="str">
        <f t="shared" si="1"/>
        <v>February</v>
      </c>
      <c r="B4241" s="11">
        <f>IFERROR(__xludf.DUMMYFUNCTION("""COMPUTED_VALUE"""),46068.0)</f>
        <v>46068</v>
      </c>
      <c r="C4241" s="2" t="str">
        <f>IFERROR(__xludf.DUMMYFUNCTION("""COMPUTED_VALUE"""),"MOBILECARE - THE PODIUM")</f>
        <v>MOBILECARE - THE PODIUM</v>
      </c>
      <c r="D4241" s="2" t="str">
        <f>IFERROR(__xludf.DUMMYFUNCTION("""COMPUTED_VALUE"""),"661-17939")</f>
        <v>661-17939</v>
      </c>
      <c r="E4241" s="2" t="str">
        <f>IFERROR(__xludf.DUMMYFUNCTION("""COMPUTED_VALUE"""),"Battery, iPhone 12 mini")</f>
        <v>Battery, iPhone 12 mini</v>
      </c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</row>
    <row r="4242">
      <c r="A4242" s="10" t="str">
        <f t="shared" si="1"/>
        <v>January</v>
      </c>
      <c r="B4242" s="11">
        <f>IFERROR(__xludf.DUMMYFUNCTION("""COMPUTED_VALUE"""),46049.0)</f>
        <v>46049</v>
      </c>
      <c r="C4242" s="2" t="str">
        <f>IFERROR(__xludf.DUMMYFUNCTION("""COMPUTED_VALUE"""),"MOBILECARE - THE PODIUM")</f>
        <v>MOBILECARE - THE PODIUM</v>
      </c>
      <c r="D4242" s="2" t="str">
        <f>IFERROR(__xludf.DUMMYFUNCTION("""COMPUTED_VALUE"""),"661-21991")</f>
        <v>661-21991</v>
      </c>
      <c r="E4242" s="2" t="str">
        <f>IFERROR(__xludf.DUMMYFUNCTION("""COMPUTED_VALUE"""),"Battery, iPhone 13")</f>
        <v>Battery, iPhone 13</v>
      </c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</row>
    <row r="4243">
      <c r="A4243" s="10" t="str">
        <f t="shared" si="1"/>
        <v>June</v>
      </c>
      <c r="B4243" s="11">
        <f>IFERROR(__xludf.DUMMYFUNCTION("""COMPUTED_VALUE"""),46176.0)</f>
        <v>46176</v>
      </c>
      <c r="C4243" s="2" t="str">
        <f>IFERROR(__xludf.DUMMYFUNCTION("""COMPUTED_VALUE"""),"MOBILECARE - THE PODIUM")</f>
        <v>MOBILECARE - THE PODIUM</v>
      </c>
      <c r="D4243" s="2" t="str">
        <f>IFERROR(__xludf.DUMMYFUNCTION("""COMPUTED_VALUE"""),"661-56050")</f>
        <v>661-56050</v>
      </c>
      <c r="E4243" s="2" t="str">
        <f>IFERROR(__xludf.DUMMYFUNCTION("""COMPUTED_VALUE"""),"Display, iPhone 17 Pro Max")</f>
        <v>Display, iPhone 17 Pro Max</v>
      </c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</row>
    <row r="4244">
      <c r="A4244" s="10" t="str">
        <f t="shared" si="1"/>
        <v>April</v>
      </c>
      <c r="B4244" s="11">
        <f>IFERROR(__xludf.DUMMYFUNCTION("""COMPUTED_VALUE"""),46138.0)</f>
        <v>46138</v>
      </c>
      <c r="C4244" s="2" t="str">
        <f>IFERROR(__xludf.DUMMYFUNCTION("""COMPUTED_VALUE"""),"MOBILECARE - THE PODIUM")</f>
        <v>MOBILECARE - THE PODIUM</v>
      </c>
      <c r="D4244" s="2" t="str">
        <f>IFERROR(__xludf.DUMMYFUNCTION("""COMPUTED_VALUE"""),"661-22294")</f>
        <v>661-22294</v>
      </c>
      <c r="E4244" s="2" t="str">
        <f>IFERROR(__xludf.DUMMYFUNCTION("""COMPUTED_VALUE"""),"Battery, iPhone 13 Pro Max")</f>
        <v>Battery, iPhone 13 Pro Max</v>
      </c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</row>
    <row r="4245">
      <c r="A4245" s="10" t="str">
        <f t="shared" si="1"/>
        <v>April</v>
      </c>
      <c r="B4245" s="11">
        <f>IFERROR(__xludf.DUMMYFUNCTION("""COMPUTED_VALUE"""),46137.0)</f>
        <v>46137</v>
      </c>
      <c r="C4245" s="2" t="str">
        <f>IFERROR(__xludf.DUMMYFUNCTION("""COMPUTED_VALUE"""),"MOBILECARE - THE PODIUM")</f>
        <v>MOBILECARE - THE PODIUM</v>
      </c>
      <c r="D4245" s="2" t="str">
        <f>IFERROR(__xludf.DUMMYFUNCTION("""COMPUTED_VALUE"""),"661-17939")</f>
        <v>661-17939</v>
      </c>
      <c r="E4245" s="2" t="str">
        <f>IFERROR(__xludf.DUMMYFUNCTION("""COMPUTED_VALUE"""),"Battery, iPhone 12 mini")</f>
        <v>Battery, iPhone 12 mini</v>
      </c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</row>
    <row r="4246">
      <c r="A4246" s="10" t="str">
        <f t="shared" si="1"/>
        <v>April</v>
      </c>
      <c r="B4246" s="11">
        <f>IFERROR(__xludf.DUMMYFUNCTION("""COMPUTED_VALUE"""),46130.0)</f>
        <v>46130</v>
      </c>
      <c r="C4246" s="2" t="str">
        <f>IFERROR(__xludf.DUMMYFUNCTION("""COMPUTED_VALUE"""),"MOBILECARE - THE PODIUM")</f>
        <v>MOBILECARE - THE PODIUM</v>
      </c>
      <c r="D4246" s="2" t="str">
        <f>IFERROR(__xludf.DUMMYFUNCTION("""COMPUTED_VALUE"""),"661-44955")</f>
        <v>661-44955</v>
      </c>
      <c r="E4246" s="2" t="str">
        <f>IFERROR(__xludf.DUMMYFUNCTION("""COMPUTED_VALUE"""),"Display, iPhone 16 Pro Max")</f>
        <v>Display, iPhone 16 Pro Max</v>
      </c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</row>
    <row r="4247">
      <c r="A4247" s="10" t="str">
        <f t="shared" si="1"/>
        <v>April</v>
      </c>
      <c r="B4247" s="11">
        <f>IFERROR(__xludf.DUMMYFUNCTION("""COMPUTED_VALUE"""),46116.0)</f>
        <v>46116</v>
      </c>
      <c r="C4247" s="2" t="str">
        <f>IFERROR(__xludf.DUMMYFUNCTION("""COMPUTED_VALUE"""),"MOBILECARE - THE PODIUM")</f>
        <v>MOBILECARE - THE PODIUM</v>
      </c>
      <c r="D4247" s="2" t="str">
        <f>IFERROR(__xludf.DUMMYFUNCTION("""COMPUTED_VALUE"""),"661-30382")</f>
        <v>661-30382</v>
      </c>
      <c r="E4247" s="2" t="str">
        <f>IFERROR(__xludf.DUMMYFUNCTION("""COMPUTED_VALUE"""),"Battery, iPhone 14 Pro")</f>
        <v>Battery, iPhone 14 Pro</v>
      </c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</row>
    <row r="4248">
      <c r="A4248" s="10" t="str">
        <f t="shared" si="1"/>
        <v>March</v>
      </c>
      <c r="B4248" s="11">
        <f>IFERROR(__xludf.DUMMYFUNCTION("""COMPUTED_VALUE"""),46093.0)</f>
        <v>46093</v>
      </c>
      <c r="C4248" s="2" t="str">
        <f>IFERROR(__xludf.DUMMYFUNCTION("""COMPUTED_VALUE"""),"MOBILECARE - THE PODIUM")</f>
        <v>MOBILECARE - THE PODIUM</v>
      </c>
      <c r="D4248" s="2" t="str">
        <f>IFERROR(__xludf.DUMMYFUNCTION("""COMPUTED_VALUE"""),"661-17920")</f>
        <v>661-17920</v>
      </c>
      <c r="E4248" s="2" t="str">
        <f>IFERROR(__xludf.DUMMYFUNCTION("""COMPUTED_VALUE"""),"Battery, iPhone 12 and 12 Pro")</f>
        <v>Battery, iPhone 12 and 12 Pro</v>
      </c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</row>
    <row r="4249">
      <c r="A4249" s="10" t="str">
        <f t="shared" si="1"/>
        <v>March</v>
      </c>
      <c r="B4249" s="11">
        <f>IFERROR(__xludf.DUMMYFUNCTION("""COMPUTED_VALUE"""),46086.0)</f>
        <v>46086</v>
      </c>
      <c r="C4249" s="2" t="str">
        <f>IFERROR(__xludf.DUMMYFUNCTION("""COMPUTED_VALUE"""),"MOBILECARE - THE PODIUM")</f>
        <v>MOBILECARE - THE PODIUM</v>
      </c>
      <c r="D4249" s="2" t="str">
        <f>IFERROR(__xludf.DUMMYFUNCTION("""COMPUTED_VALUE"""),"661-42726")</f>
        <v>661-42726</v>
      </c>
      <c r="E4249" s="2" t="str">
        <f>IFERROR(__xludf.DUMMYFUNCTION("""COMPUTED_VALUE"""),"Display, iPhone 16 Pro")</f>
        <v>Display, iPhone 16 Pro</v>
      </c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</row>
    <row r="4250">
      <c r="A4250" s="10" t="str">
        <f t="shared" si="1"/>
        <v>February</v>
      </c>
      <c r="B4250" s="11">
        <f>IFERROR(__xludf.DUMMYFUNCTION("""COMPUTED_VALUE"""),46081.0)</f>
        <v>46081</v>
      </c>
      <c r="C4250" s="2" t="str">
        <f>IFERROR(__xludf.DUMMYFUNCTION("""COMPUTED_VALUE"""),"MOBILECARE - THE PODIUM")</f>
        <v>MOBILECARE - THE PODIUM</v>
      </c>
      <c r="D4250" s="2" t="str">
        <f>IFERROR(__xludf.DUMMYFUNCTION("""COMPUTED_VALUE"""),"661-42844")</f>
        <v>661-42844</v>
      </c>
      <c r="E4250" s="2" t="str">
        <f>IFERROR(__xludf.DUMMYFUNCTION("""COMPUTED_VALUE"""),"TrueDepth Camera, iPhone 16 Plus")</f>
        <v>TrueDepth Camera, iPhone 16 Plus</v>
      </c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</row>
    <row r="4251">
      <c r="A4251" s="10" t="str">
        <f t="shared" si="1"/>
        <v>March</v>
      </c>
      <c r="B4251" s="11">
        <f>IFERROR(__xludf.DUMMYFUNCTION("""COMPUTED_VALUE"""),46087.0)</f>
        <v>46087</v>
      </c>
      <c r="C4251" s="2" t="str">
        <f>IFERROR(__xludf.DUMMYFUNCTION("""COMPUTED_VALUE"""),"MOBILECARE - THE PODIUM")</f>
        <v>MOBILECARE - THE PODIUM</v>
      </c>
      <c r="D4251" s="2" t="str">
        <f>IFERROR(__xludf.DUMMYFUNCTION("""COMPUTED_VALUE"""),"661-21993")</f>
        <v>661-21993</v>
      </c>
      <c r="E4251" s="2" t="str">
        <f>IFERROR(__xludf.DUMMYFUNCTION("""COMPUTED_VALUE"""),"Display, iPhone 13 Pro")</f>
        <v>Display, iPhone 13 Pro</v>
      </c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</row>
    <row r="4252">
      <c r="A4252" s="10" t="str">
        <f t="shared" si="1"/>
        <v>March</v>
      </c>
      <c r="B4252" s="11">
        <f>IFERROR(__xludf.DUMMYFUNCTION("""COMPUTED_VALUE"""),46087.0)</f>
        <v>46087</v>
      </c>
      <c r="C4252" s="2" t="str">
        <f>IFERROR(__xludf.DUMMYFUNCTION("""COMPUTED_VALUE"""),"MOBILECARE - THE PODIUM")</f>
        <v>MOBILECARE - THE PODIUM</v>
      </c>
      <c r="D4252" s="2" t="str">
        <f>IFERROR(__xludf.DUMMYFUNCTION("""COMPUTED_VALUE"""),"661-21996")</f>
        <v>661-21996</v>
      </c>
      <c r="E4252" s="2" t="str">
        <f>IFERROR(__xludf.DUMMYFUNCTION("""COMPUTED_VALUE"""),"Battery, iPhone 13 Pro")</f>
        <v>Battery, iPhone 13 Pro</v>
      </c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</row>
    <row r="4253">
      <c r="A4253" s="10" t="str">
        <f t="shared" si="1"/>
        <v>March</v>
      </c>
      <c r="B4253" s="11">
        <f>IFERROR(__xludf.DUMMYFUNCTION("""COMPUTED_VALUE"""),46087.0)</f>
        <v>46087</v>
      </c>
      <c r="C4253" s="2" t="str">
        <f>IFERROR(__xludf.DUMMYFUNCTION("""COMPUTED_VALUE"""),"MOBILECARE - THE PODIUM")</f>
        <v>MOBILECARE - THE PODIUM</v>
      </c>
      <c r="D4253" s="2" t="str">
        <f>IFERROR(__xludf.DUMMYFUNCTION("""COMPUTED_VALUE"""),"661-21993")</f>
        <v>661-21993</v>
      </c>
      <c r="E4253" s="2" t="str">
        <f>IFERROR(__xludf.DUMMYFUNCTION("""COMPUTED_VALUE"""),"Display, iPhone 13 Pro")</f>
        <v>Display, iPhone 13 Pro</v>
      </c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</row>
    <row r="4254">
      <c r="A4254" s="10" t="str">
        <f t="shared" si="1"/>
        <v>January</v>
      </c>
      <c r="B4254" s="11">
        <f>IFERROR(__xludf.DUMMYFUNCTION("""COMPUTED_VALUE"""),46049.0)</f>
        <v>46049</v>
      </c>
      <c r="C4254" s="2" t="str">
        <f>IFERROR(__xludf.DUMMYFUNCTION("""COMPUTED_VALUE"""),"MOBILECARE - THE PODIUM")</f>
        <v>MOBILECARE - THE PODIUM</v>
      </c>
      <c r="D4254" s="2" t="str">
        <f>IFERROR(__xludf.DUMMYFUNCTION("""COMPUTED_VALUE"""),"661-17920")</f>
        <v>661-17920</v>
      </c>
      <c r="E4254" s="2" t="str">
        <f>IFERROR(__xludf.DUMMYFUNCTION("""COMPUTED_VALUE"""),"Battery, iPhone 12 and 12 Pro")</f>
        <v>Battery, iPhone 12 and 12 Pro</v>
      </c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</row>
    <row r="4255">
      <c r="A4255" s="10" t="str">
        <f t="shared" si="1"/>
        <v>June</v>
      </c>
      <c r="B4255" s="11">
        <f>IFERROR(__xludf.DUMMYFUNCTION("""COMPUTED_VALUE"""),46175.0)</f>
        <v>46175</v>
      </c>
      <c r="C4255" s="2" t="str">
        <f>IFERROR(__xludf.DUMMYFUNCTION("""COMPUTED_VALUE"""),"MOBILECARE - THE PODIUM")</f>
        <v>MOBILECARE - THE PODIUM</v>
      </c>
      <c r="D4255" s="2" t="str">
        <f>IFERROR(__xludf.DUMMYFUNCTION("""COMPUTED_VALUE"""),"661-22294")</f>
        <v>661-22294</v>
      </c>
      <c r="E4255" s="2" t="str">
        <f>IFERROR(__xludf.DUMMYFUNCTION("""COMPUTED_VALUE"""),"Battery, iPhone 13 Pro Max")</f>
        <v>Battery, iPhone 13 Pro Max</v>
      </c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</row>
    <row r="4256">
      <c r="A4256" s="10" t="str">
        <f t="shared" si="1"/>
        <v>May</v>
      </c>
      <c r="B4256" s="11">
        <f>IFERROR(__xludf.DUMMYFUNCTION("""COMPUTED_VALUE"""),46163.0)</f>
        <v>46163</v>
      </c>
      <c r="C4256" s="2" t="str">
        <f>IFERROR(__xludf.DUMMYFUNCTION("""COMPUTED_VALUE"""),"MOBILECARE - THE PODIUM")</f>
        <v>MOBILECARE - THE PODIUM</v>
      </c>
      <c r="D4256" s="2" t="str">
        <f>IFERROR(__xludf.DUMMYFUNCTION("""COMPUTED_VALUE"""),"661-21991")</f>
        <v>661-21991</v>
      </c>
      <c r="E4256" s="2" t="str">
        <f>IFERROR(__xludf.DUMMYFUNCTION("""COMPUTED_VALUE"""),"Battery, iPhone 13")</f>
        <v>Battery, iPhone 13</v>
      </c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</row>
    <row r="4257">
      <c r="A4257" s="10" t="str">
        <f t="shared" si="1"/>
        <v>May</v>
      </c>
      <c r="B4257" s="11">
        <f>IFERROR(__xludf.DUMMYFUNCTION("""COMPUTED_VALUE"""),46155.0)</f>
        <v>46155</v>
      </c>
      <c r="C4257" s="2" t="str">
        <f>IFERROR(__xludf.DUMMYFUNCTION("""COMPUTED_VALUE"""),"MOBILECARE - THE PODIUM")</f>
        <v>MOBILECARE - THE PODIUM</v>
      </c>
      <c r="D4257" s="2" t="str">
        <f>IFERROR(__xludf.DUMMYFUNCTION("""COMPUTED_VALUE"""),"661-30397")</f>
        <v>661-30397</v>
      </c>
      <c r="E4257" s="2" t="str">
        <f>IFERROR(__xludf.DUMMYFUNCTION("""COMPUTED_VALUE"""),"Battery, iPhone 14 Pro Max")</f>
        <v>Battery, iPhone 14 Pro Max</v>
      </c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</row>
    <row r="4258">
      <c r="A4258" s="10" t="str">
        <f t="shared" si="1"/>
        <v>April</v>
      </c>
      <c r="B4258" s="11">
        <f>IFERROR(__xludf.DUMMYFUNCTION("""COMPUTED_VALUE"""),46120.0)</f>
        <v>46120</v>
      </c>
      <c r="C4258" s="2" t="str">
        <f>IFERROR(__xludf.DUMMYFUNCTION("""COMPUTED_VALUE"""),"MOBILECARE - THE PODIUM")</f>
        <v>MOBILECARE - THE PODIUM</v>
      </c>
      <c r="D4258" s="2" t="str">
        <f>IFERROR(__xludf.DUMMYFUNCTION("""COMPUTED_VALUE"""),"661-56066")</f>
        <v>661-56066</v>
      </c>
      <c r="E4258" s="2" t="str">
        <f>IFERROR(__xludf.DUMMYFUNCTION("""COMPUTED_VALUE"""),"Front Camera, iPhone 17")</f>
        <v>Front Camera, iPhone 17</v>
      </c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</row>
    <row r="4259">
      <c r="A4259" s="10" t="str">
        <f t="shared" si="1"/>
        <v>March</v>
      </c>
      <c r="B4259" s="11">
        <f>IFERROR(__xludf.DUMMYFUNCTION("""COMPUTED_VALUE"""),46082.0)</f>
        <v>46082</v>
      </c>
      <c r="C4259" s="2" t="str">
        <f>IFERROR(__xludf.DUMMYFUNCTION("""COMPUTED_VALUE"""),"MOBILECARE - THE PODIUM")</f>
        <v>MOBILECARE - THE PODIUM</v>
      </c>
      <c r="D4259" s="2" t="str">
        <f>IFERROR(__xludf.DUMMYFUNCTION("""COMPUTED_VALUE"""),"661-21991")</f>
        <v>661-21991</v>
      </c>
      <c r="E4259" s="2" t="str">
        <f>IFERROR(__xludf.DUMMYFUNCTION("""COMPUTED_VALUE"""),"Battery, iPhone 13")</f>
        <v>Battery, iPhone 13</v>
      </c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</row>
    <row r="4260">
      <c r="A4260" s="10" t="str">
        <f t="shared" si="1"/>
        <v>March</v>
      </c>
      <c r="B4260" s="11">
        <f>IFERROR(__xludf.DUMMYFUNCTION("""COMPUTED_VALUE"""),46093.0)</f>
        <v>46093</v>
      </c>
      <c r="C4260" s="2" t="str">
        <f>IFERROR(__xludf.DUMMYFUNCTION("""COMPUTED_VALUE"""),"MOBILECARE - THE PODIUM")</f>
        <v>MOBILECARE - THE PODIUM</v>
      </c>
      <c r="D4260" s="2" t="str">
        <f>IFERROR(__xludf.DUMMYFUNCTION("""COMPUTED_VALUE"""),"TA661-35552")</f>
        <v>TA661-35552</v>
      </c>
      <c r="E4260" s="2" t="str">
        <f>IFERROR(__xludf.DUMMYFUNCTION("""COMPUTED_VALUE"""),"Black, iPhone 15 Pro, 128GB, ROW, CI/AR, Taiwan")</f>
        <v>Black, iPhone 15 Pro, 128GB, ROW, CI/AR, Taiwan</v>
      </c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</row>
    <row r="4261">
      <c r="A4261" s="10" t="str">
        <f t="shared" si="1"/>
        <v>January</v>
      </c>
      <c r="B4261" s="11">
        <f>IFERROR(__xludf.DUMMYFUNCTION("""COMPUTED_VALUE"""),46051.0)</f>
        <v>46051</v>
      </c>
      <c r="C4261" s="2" t="str">
        <f>IFERROR(__xludf.DUMMYFUNCTION("""COMPUTED_VALUE"""),"MOBILECARE - THE PODIUM")</f>
        <v>MOBILECARE - THE PODIUM</v>
      </c>
      <c r="D4261" s="2" t="str">
        <f>IFERROR(__xludf.DUMMYFUNCTION("""COMPUTED_VALUE"""),"661-21991")</f>
        <v>661-21991</v>
      </c>
      <c r="E4261" s="2" t="str">
        <f>IFERROR(__xludf.DUMMYFUNCTION("""COMPUTED_VALUE"""),"Battery, iPhone 13")</f>
        <v>Battery, iPhone 13</v>
      </c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</row>
    <row r="4262">
      <c r="A4262" s="10" t="str">
        <f t="shared" si="1"/>
        <v>January</v>
      </c>
      <c r="B4262" s="11">
        <f>IFERROR(__xludf.DUMMYFUNCTION("""COMPUTED_VALUE"""),46042.0)</f>
        <v>46042</v>
      </c>
      <c r="C4262" s="2" t="str">
        <f>IFERROR(__xludf.DUMMYFUNCTION("""COMPUTED_VALUE"""),"MOBILECARE - THE PODIUM")</f>
        <v>MOBILECARE - THE PODIUM</v>
      </c>
      <c r="D4262" s="2" t="str">
        <f>IFERROR(__xludf.DUMMYFUNCTION("""COMPUTED_VALUE"""),"661-17920")</f>
        <v>661-17920</v>
      </c>
      <c r="E4262" s="2" t="str">
        <f>IFERROR(__xludf.DUMMYFUNCTION("""COMPUTED_VALUE"""),"Battery, iPhone 12 and 12 Pro")</f>
        <v>Battery, iPhone 12 and 12 Pro</v>
      </c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</row>
    <row r="4263">
      <c r="A4263" s="10" t="str">
        <f t="shared" si="1"/>
        <v>March</v>
      </c>
      <c r="B4263" s="11">
        <f>IFERROR(__xludf.DUMMYFUNCTION("""COMPUTED_VALUE"""),46109.0)</f>
        <v>46109</v>
      </c>
      <c r="C4263" s="2" t="str">
        <f>IFERROR(__xludf.DUMMYFUNCTION("""COMPUTED_VALUE"""),"MOBILECARE - THE PODIUM")</f>
        <v>MOBILECARE - THE PODIUM</v>
      </c>
      <c r="D4263" s="2" t="str">
        <f>IFERROR(__xludf.DUMMYFUNCTION("""COMPUTED_VALUE"""),"661-21991")</f>
        <v>661-21991</v>
      </c>
      <c r="E4263" s="2" t="str">
        <f>IFERROR(__xludf.DUMMYFUNCTION("""COMPUTED_VALUE"""),"Battery, iPhone 13")</f>
        <v>Battery, iPhone 13</v>
      </c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</row>
    <row r="4264">
      <c r="A4264" s="10" t="str">
        <f t="shared" si="1"/>
        <v>March</v>
      </c>
      <c r="B4264" s="11">
        <f>IFERROR(__xludf.DUMMYFUNCTION("""COMPUTED_VALUE"""),46093.0)</f>
        <v>46093</v>
      </c>
      <c r="C4264" s="2" t="str">
        <f>IFERROR(__xludf.DUMMYFUNCTION("""COMPUTED_VALUE"""),"MOBILECARE - THE PODIUM")</f>
        <v>MOBILECARE - THE PODIUM</v>
      </c>
      <c r="D4264" s="2" t="str">
        <f>IFERROR(__xludf.DUMMYFUNCTION("""COMPUTED_VALUE"""),"661-30397")</f>
        <v>661-30397</v>
      </c>
      <c r="E4264" s="2" t="str">
        <f>IFERROR(__xludf.DUMMYFUNCTION("""COMPUTED_VALUE"""),"Battery, iPhone 14 Pro Max")</f>
        <v>Battery, iPhone 14 Pro Max</v>
      </c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</row>
    <row r="4265">
      <c r="A4265" s="10" t="str">
        <f t="shared" si="1"/>
        <v>February</v>
      </c>
      <c r="B4265" s="11">
        <f>IFERROR(__xludf.DUMMYFUNCTION("""COMPUTED_VALUE"""),46081.0)</f>
        <v>46081</v>
      </c>
      <c r="C4265" s="2" t="str">
        <f>IFERROR(__xludf.DUMMYFUNCTION("""COMPUTED_VALUE"""),"MOBILECARE - THE PODIUM")</f>
        <v>MOBILECARE - THE PODIUM</v>
      </c>
      <c r="D4265" s="2" t="str">
        <f>IFERROR(__xludf.DUMMYFUNCTION("""COMPUTED_VALUE"""),"661-21996")</f>
        <v>661-21996</v>
      </c>
      <c r="E4265" s="2" t="str">
        <f>IFERROR(__xludf.DUMMYFUNCTION("""COMPUTED_VALUE"""),"Battery, iPhone 13 Pro")</f>
        <v>Battery, iPhone 13 Pro</v>
      </c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</row>
    <row r="4266">
      <c r="A4266" s="10" t="str">
        <f t="shared" si="1"/>
        <v>February</v>
      </c>
      <c r="B4266" s="11">
        <f>IFERROR(__xludf.DUMMYFUNCTION("""COMPUTED_VALUE"""),46074.0)</f>
        <v>46074</v>
      </c>
      <c r="C4266" s="2" t="str">
        <f>IFERROR(__xludf.DUMMYFUNCTION("""COMPUTED_VALUE"""),"MOBILECARE - THE PODIUM")</f>
        <v>MOBILECARE - THE PODIUM</v>
      </c>
      <c r="D4266" s="2" t="str">
        <f>IFERROR(__xludf.DUMMYFUNCTION("""COMPUTED_VALUE"""),"661-21991")</f>
        <v>661-21991</v>
      </c>
      <c r="E4266" s="2" t="str">
        <f>IFERROR(__xludf.DUMMYFUNCTION("""COMPUTED_VALUE"""),"Battery, iPhone 13")</f>
        <v>Battery, iPhone 13</v>
      </c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</row>
    <row r="4267">
      <c r="A4267" s="10" t="str">
        <f t="shared" si="1"/>
        <v>February</v>
      </c>
      <c r="B4267" s="11">
        <f>IFERROR(__xludf.DUMMYFUNCTION("""COMPUTED_VALUE"""),46056.0)</f>
        <v>46056</v>
      </c>
      <c r="C4267" s="2" t="str">
        <f>IFERROR(__xludf.DUMMYFUNCTION("""COMPUTED_VALUE"""),"MOBILECARE - THE PODIUM")</f>
        <v>MOBILECARE - THE PODIUM</v>
      </c>
      <c r="D4267" s="2" t="str">
        <f>IFERROR(__xludf.DUMMYFUNCTION("""COMPUTED_VALUE"""),"661-18428")</f>
        <v>661-18428</v>
      </c>
      <c r="E4267" s="2" t="str">
        <f>IFERROR(__xludf.DUMMYFUNCTION("""COMPUTED_VALUE"""),"Battery, iPhone 12 Pro Max")</f>
        <v>Battery, iPhone 12 Pro Max</v>
      </c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</row>
    <row r="4268">
      <c r="A4268" s="10" t="str">
        <f t="shared" si="1"/>
        <v>January</v>
      </c>
      <c r="B4268" s="11">
        <f>IFERROR(__xludf.DUMMYFUNCTION("""COMPUTED_VALUE"""),46051.0)</f>
        <v>46051</v>
      </c>
      <c r="C4268" s="2" t="str">
        <f>IFERROR(__xludf.DUMMYFUNCTION("""COMPUTED_VALUE"""),"MOBILECARE - THE PODIUM")</f>
        <v>MOBILECARE - THE PODIUM</v>
      </c>
      <c r="D4268" s="2" t="str">
        <f>IFERROR(__xludf.DUMMYFUNCTION("""COMPUTED_VALUE"""),"661-21993")</f>
        <v>661-21993</v>
      </c>
      <c r="E4268" s="2" t="str">
        <f>IFERROR(__xludf.DUMMYFUNCTION("""COMPUTED_VALUE"""),"Display, iPhone 13 Pro")</f>
        <v>Display, iPhone 13 Pro</v>
      </c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</row>
    <row r="4269">
      <c r="A4269" s="10" t="str">
        <f t="shared" si="1"/>
        <v>January</v>
      </c>
      <c r="B4269" s="11">
        <f>IFERROR(__xludf.DUMMYFUNCTION("""COMPUTED_VALUE"""),46051.0)</f>
        <v>46051</v>
      </c>
      <c r="C4269" s="2" t="str">
        <f>IFERROR(__xludf.DUMMYFUNCTION("""COMPUTED_VALUE"""),"MOBILECARE - THE PODIUM")</f>
        <v>MOBILECARE - THE PODIUM</v>
      </c>
      <c r="D4269" s="2" t="str">
        <f>IFERROR(__xludf.DUMMYFUNCTION("""COMPUTED_VALUE"""),"661-21996")</f>
        <v>661-21996</v>
      </c>
      <c r="E4269" s="2" t="str">
        <f>IFERROR(__xludf.DUMMYFUNCTION("""COMPUTED_VALUE"""),"Battery, iPhone 13 Pro")</f>
        <v>Battery, iPhone 13 Pro</v>
      </c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</row>
    <row r="4270">
      <c r="A4270" s="10" t="str">
        <f t="shared" si="1"/>
        <v>June</v>
      </c>
      <c r="B4270" s="11">
        <f>IFERROR(__xludf.DUMMYFUNCTION("""COMPUTED_VALUE"""),46184.0)</f>
        <v>46184</v>
      </c>
      <c r="C4270" s="2" t="str">
        <f>IFERROR(__xludf.DUMMYFUNCTION("""COMPUTED_VALUE"""),"MOBILECARE - THE PODIUM")</f>
        <v>MOBILECARE - THE PODIUM</v>
      </c>
      <c r="D4270" s="2" t="str">
        <f>IFERROR(__xludf.DUMMYFUNCTION("""COMPUTED_VALUE"""),"661-30397")</f>
        <v>661-30397</v>
      </c>
      <c r="E4270" s="2" t="str">
        <f>IFERROR(__xludf.DUMMYFUNCTION("""COMPUTED_VALUE"""),"Battery, iPhone 14 Pro Max")</f>
        <v>Battery, iPhone 14 Pro Max</v>
      </c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</row>
    <row r="4271">
      <c r="A4271" s="10" t="str">
        <f t="shared" si="1"/>
        <v>June</v>
      </c>
      <c r="B4271" s="11">
        <f>IFERROR(__xludf.DUMMYFUNCTION("""COMPUTED_VALUE"""),46182.0)</f>
        <v>46182</v>
      </c>
      <c r="C4271" s="2" t="str">
        <f>IFERROR(__xludf.DUMMYFUNCTION("""COMPUTED_VALUE"""),"MOBILECARE - THE PODIUM")</f>
        <v>MOBILECARE - THE PODIUM</v>
      </c>
      <c r="D4271" s="2" t="str">
        <f>IFERROR(__xludf.DUMMYFUNCTION("""COMPUTED_VALUE"""),"661-30397")</f>
        <v>661-30397</v>
      </c>
      <c r="E4271" s="2" t="str">
        <f>IFERROR(__xludf.DUMMYFUNCTION("""COMPUTED_VALUE"""),"Battery, iPhone 14 Pro Max")</f>
        <v>Battery, iPhone 14 Pro Max</v>
      </c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</row>
    <row r="4272">
      <c r="A4272" s="10" t="str">
        <f t="shared" si="1"/>
        <v>June</v>
      </c>
      <c r="B4272" s="11">
        <f>IFERROR(__xludf.DUMMYFUNCTION("""COMPUTED_VALUE"""),46182.0)</f>
        <v>46182</v>
      </c>
      <c r="C4272" s="2" t="str">
        <f>IFERROR(__xludf.DUMMYFUNCTION("""COMPUTED_VALUE"""),"MOBILECARE - THE PODIUM")</f>
        <v>MOBILECARE - THE PODIUM</v>
      </c>
      <c r="D4272" s="2" t="str">
        <f>IFERROR(__xludf.DUMMYFUNCTION("""COMPUTED_VALUE"""),"661-30401")</f>
        <v>661-30401</v>
      </c>
      <c r="E4272" s="2" t="str">
        <f>IFERROR(__xludf.DUMMYFUNCTION("""COMPUTED_VALUE"""),"Display, iPhone 14 Pro Max")</f>
        <v>Display, iPhone 14 Pro Max</v>
      </c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</row>
    <row r="4273">
      <c r="A4273" s="10" t="str">
        <f t="shared" si="1"/>
        <v>June</v>
      </c>
      <c r="B4273" s="11">
        <f>IFERROR(__xludf.DUMMYFUNCTION("""COMPUTED_VALUE"""),46192.0)</f>
        <v>46192</v>
      </c>
      <c r="C4273" s="2" t="str">
        <f>IFERROR(__xludf.DUMMYFUNCTION("""COMPUTED_VALUE"""),"MOBILECARE - THE PODIUM")</f>
        <v>MOBILECARE - THE PODIUM</v>
      </c>
      <c r="D4273" s="2" t="str">
        <f>IFERROR(__xludf.DUMMYFUNCTION("""COMPUTED_VALUE"""),"TA661-35503")</f>
        <v>TA661-35503</v>
      </c>
      <c r="E4273" s="2" t="str">
        <f>IFERROR(__xludf.DUMMYFUNCTION("""COMPUTED_VALUE"""),"Blue, iPhone 15 Plus, 512GB, ROW, CI/AR, Taiwan")</f>
        <v>Blue, iPhone 15 Plus, 512GB, ROW, CI/AR, Taiwan</v>
      </c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</row>
    <row r="4274">
      <c r="A4274" s="10" t="str">
        <f t="shared" si="1"/>
        <v>May</v>
      </c>
      <c r="B4274" s="11">
        <f>IFERROR(__xludf.DUMMYFUNCTION("""COMPUTED_VALUE"""),46147.0)</f>
        <v>46147</v>
      </c>
      <c r="C4274" s="2" t="str">
        <f>IFERROR(__xludf.DUMMYFUNCTION("""COMPUTED_VALUE"""),"MOBILECARE - THE PODIUM")</f>
        <v>MOBILECARE - THE PODIUM</v>
      </c>
      <c r="D4274" s="2" t="str">
        <f>IFERROR(__xludf.DUMMYFUNCTION("""COMPUTED_VALUE"""),"661-44955")</f>
        <v>661-44955</v>
      </c>
      <c r="E4274" s="2" t="str">
        <f>IFERROR(__xludf.DUMMYFUNCTION("""COMPUTED_VALUE"""),"Display, iPhone 16 Pro Max")</f>
        <v>Display, iPhone 16 Pro Max</v>
      </c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</row>
    <row r="4275">
      <c r="A4275" s="10" t="str">
        <f t="shared" si="1"/>
        <v>May</v>
      </c>
      <c r="B4275" s="11">
        <f>IFERROR(__xludf.DUMMYFUNCTION("""COMPUTED_VALUE"""),46143.0)</f>
        <v>46143</v>
      </c>
      <c r="C4275" s="2" t="str">
        <f>IFERROR(__xludf.DUMMYFUNCTION("""COMPUTED_VALUE"""),"MOBILECARE - THE PODIUM")</f>
        <v>MOBILECARE - THE PODIUM</v>
      </c>
      <c r="D4275" s="2" t="str">
        <f>IFERROR(__xludf.DUMMYFUNCTION("""COMPUTED_VALUE"""),"661-21991")</f>
        <v>661-21991</v>
      </c>
      <c r="E4275" s="2" t="str">
        <f>IFERROR(__xludf.DUMMYFUNCTION("""COMPUTED_VALUE"""),"Battery, iPhone 13")</f>
        <v>Battery, iPhone 13</v>
      </c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</row>
    <row r="4276">
      <c r="A4276" s="10" t="str">
        <f t="shared" si="1"/>
        <v>March</v>
      </c>
      <c r="B4276" s="11">
        <f>IFERROR(__xludf.DUMMYFUNCTION("""COMPUTED_VALUE"""),46107.0)</f>
        <v>46107</v>
      </c>
      <c r="C4276" s="2" t="str">
        <f>IFERROR(__xludf.DUMMYFUNCTION("""COMPUTED_VALUE"""),"MOBILECARE - THE PODIUM")</f>
        <v>MOBILECARE - THE PODIUM</v>
      </c>
      <c r="D4276" s="2" t="str">
        <f>IFERROR(__xludf.DUMMYFUNCTION("""COMPUTED_VALUE"""),"661-21991")</f>
        <v>661-21991</v>
      </c>
      <c r="E4276" s="2" t="str">
        <f>IFERROR(__xludf.DUMMYFUNCTION("""COMPUTED_VALUE"""),"Battery, iPhone 13")</f>
        <v>Battery, iPhone 13</v>
      </c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</row>
    <row r="4277">
      <c r="A4277" s="10" t="str">
        <f t="shared" si="1"/>
        <v>March</v>
      </c>
      <c r="B4277" s="11">
        <f>IFERROR(__xludf.DUMMYFUNCTION("""COMPUTED_VALUE"""),46083.0)</f>
        <v>46083</v>
      </c>
      <c r="C4277" s="2" t="str">
        <f>IFERROR(__xludf.DUMMYFUNCTION("""COMPUTED_VALUE"""),"MOBILECARE - THE PODIUM")</f>
        <v>MOBILECARE - THE PODIUM</v>
      </c>
      <c r="D4277" s="2" t="str">
        <f>IFERROR(__xludf.DUMMYFUNCTION("""COMPUTED_VALUE"""),"661-21991")</f>
        <v>661-21991</v>
      </c>
      <c r="E4277" s="2" t="str">
        <f>IFERROR(__xludf.DUMMYFUNCTION("""COMPUTED_VALUE"""),"Battery, iPhone 13")</f>
        <v>Battery, iPhone 13</v>
      </c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</row>
    <row r="4278">
      <c r="A4278" s="10" t="str">
        <f t="shared" si="1"/>
        <v>February</v>
      </c>
      <c r="B4278" s="11">
        <f>IFERROR(__xludf.DUMMYFUNCTION("""COMPUTED_VALUE"""),46080.0)</f>
        <v>46080</v>
      </c>
      <c r="C4278" s="2" t="str">
        <f>IFERROR(__xludf.DUMMYFUNCTION("""COMPUTED_VALUE"""),"MOBILECARE - THE PODIUM")</f>
        <v>MOBILECARE - THE PODIUM</v>
      </c>
      <c r="D4278" s="2" t="str">
        <f>IFERROR(__xludf.DUMMYFUNCTION("""COMPUTED_VALUE"""),"661-21996")</f>
        <v>661-21996</v>
      </c>
      <c r="E4278" s="2" t="str">
        <f>IFERROR(__xludf.DUMMYFUNCTION("""COMPUTED_VALUE"""),"Battery, iPhone 13 Pro")</f>
        <v>Battery, iPhone 13 Pro</v>
      </c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</row>
    <row r="4279">
      <c r="A4279" s="10" t="str">
        <f t="shared" si="1"/>
        <v>February</v>
      </c>
      <c r="B4279" s="11">
        <f>IFERROR(__xludf.DUMMYFUNCTION("""COMPUTED_VALUE"""),46075.0)</f>
        <v>46075</v>
      </c>
      <c r="C4279" s="2" t="str">
        <f>IFERROR(__xludf.DUMMYFUNCTION("""COMPUTED_VALUE"""),"MOBILECARE - THE PODIUM")</f>
        <v>MOBILECARE - THE PODIUM</v>
      </c>
      <c r="D4279" s="2" t="str">
        <f>IFERROR(__xludf.DUMMYFUNCTION("""COMPUTED_VALUE"""),"661-30366")</f>
        <v>661-30366</v>
      </c>
      <c r="E4279" s="2" t="str">
        <f>IFERROR(__xludf.DUMMYFUNCTION("""COMPUTED_VALUE"""),"Display, iPhone 14")</f>
        <v>Display, iPhone 14</v>
      </c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</row>
    <row r="4280">
      <c r="A4280" s="10" t="str">
        <f t="shared" si="1"/>
        <v>February</v>
      </c>
      <c r="B4280" s="11">
        <f>IFERROR(__xludf.DUMMYFUNCTION("""COMPUTED_VALUE"""),46064.0)</f>
        <v>46064</v>
      </c>
      <c r="C4280" s="2" t="str">
        <f>IFERROR(__xludf.DUMMYFUNCTION("""COMPUTED_VALUE"""),"MOBILECARE - THE PODIUM")</f>
        <v>MOBILECARE - THE PODIUM</v>
      </c>
      <c r="D4280" s="2" t="str">
        <f>IFERROR(__xludf.DUMMYFUNCTION("""COMPUTED_VALUE"""),"661-30382")</f>
        <v>661-30382</v>
      </c>
      <c r="E4280" s="2" t="str">
        <f>IFERROR(__xludf.DUMMYFUNCTION("""COMPUTED_VALUE"""),"Battery, iPhone 14 Pro")</f>
        <v>Battery, iPhone 14 Pro</v>
      </c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</row>
    <row r="4281">
      <c r="A4281" s="10" t="str">
        <f t="shared" si="1"/>
        <v>January</v>
      </c>
      <c r="B4281" s="11">
        <f>IFERROR(__xludf.DUMMYFUNCTION("""COMPUTED_VALUE"""),46050.0)</f>
        <v>46050</v>
      </c>
      <c r="C4281" s="2" t="str">
        <f>IFERROR(__xludf.DUMMYFUNCTION("""COMPUTED_VALUE"""),"MOBILECARE - THE PODIUM")</f>
        <v>MOBILECARE - THE PODIUM</v>
      </c>
      <c r="D4281" s="2" t="str">
        <f>IFERROR(__xludf.DUMMYFUNCTION("""COMPUTED_VALUE"""),"661-44797")</f>
        <v>661-44797</v>
      </c>
      <c r="E4281" s="2" t="str">
        <f>IFERROR(__xludf.DUMMYFUNCTION("""COMPUTED_VALUE"""),"Display, iPhone 16")</f>
        <v>Display, iPhone 16</v>
      </c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</row>
    <row r="4282">
      <c r="A4282" s="10" t="str">
        <f t="shared" si="1"/>
        <v>June</v>
      </c>
      <c r="B4282" s="11">
        <f>IFERROR(__xludf.DUMMYFUNCTION("""COMPUTED_VALUE"""),46188.0)</f>
        <v>46188</v>
      </c>
      <c r="C4282" s="2" t="str">
        <f>IFERROR(__xludf.DUMMYFUNCTION("""COMPUTED_VALUE"""),"MOBILECARE - THE PODIUM")</f>
        <v>MOBILECARE - THE PODIUM</v>
      </c>
      <c r="D4282" s="2" t="str">
        <f>IFERROR(__xludf.DUMMYFUNCTION("""COMPUTED_VALUE"""),"661-42726")</f>
        <v>661-42726</v>
      </c>
      <c r="E4282" s="2" t="str">
        <f>IFERROR(__xludf.DUMMYFUNCTION("""COMPUTED_VALUE"""),"Display, iPhone 16 Pro")</f>
        <v>Display, iPhone 16 Pro</v>
      </c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</row>
    <row r="4283">
      <c r="A4283" s="10" t="str">
        <f t="shared" si="1"/>
        <v>April</v>
      </c>
      <c r="B4283" s="11">
        <f>IFERROR(__xludf.DUMMYFUNCTION("""COMPUTED_VALUE"""),46139.0)</f>
        <v>46139</v>
      </c>
      <c r="C4283" s="2" t="str">
        <f>IFERROR(__xludf.DUMMYFUNCTION("""COMPUTED_VALUE"""),"MOBILECARE - APP BONIFACIO HIGH STREET")</f>
        <v>MOBILECARE - APP BONIFACIO HIGH STREET</v>
      </c>
      <c r="D4283" s="2" t="str">
        <f>IFERROR(__xludf.DUMMYFUNCTION("""COMPUTED_VALUE"""),"661-44955")</f>
        <v>661-44955</v>
      </c>
      <c r="E4283" s="2" t="str">
        <f>IFERROR(__xludf.DUMMYFUNCTION("""COMPUTED_VALUE"""),"Display, iPhone 16 Pro Max")</f>
        <v>Display, iPhone 16 Pro Max</v>
      </c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</row>
    <row r="4284">
      <c r="A4284" s="10" t="str">
        <f t="shared" si="1"/>
        <v>March</v>
      </c>
      <c r="B4284" s="11">
        <f>IFERROR(__xludf.DUMMYFUNCTION("""COMPUTED_VALUE"""),46088.0)</f>
        <v>46088</v>
      </c>
      <c r="C4284" s="2" t="str">
        <f>IFERROR(__xludf.DUMMYFUNCTION("""COMPUTED_VALUE"""),"MOBILECARE - APP BONIFACIO HIGH STREET")</f>
        <v>MOBILECARE - APP BONIFACIO HIGH STREET</v>
      </c>
      <c r="D4284" s="2" t="str">
        <f>IFERROR(__xludf.DUMMYFUNCTION("""COMPUTED_VALUE"""),"661-21996")</f>
        <v>661-21996</v>
      </c>
      <c r="E4284" s="2" t="str">
        <f>IFERROR(__xludf.DUMMYFUNCTION("""COMPUTED_VALUE"""),"Battery, iPhone 13 Pro")</f>
        <v>Battery, iPhone 13 Pro</v>
      </c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</row>
    <row r="4285">
      <c r="A4285" s="10" t="str">
        <f t="shared" si="1"/>
        <v>February</v>
      </c>
      <c r="B4285" s="11">
        <f>IFERROR(__xludf.DUMMYFUNCTION("""COMPUTED_VALUE"""),46063.0)</f>
        <v>46063</v>
      </c>
      <c r="C4285" s="2" t="str">
        <f>IFERROR(__xludf.DUMMYFUNCTION("""COMPUTED_VALUE"""),"MOBILECARE - APP BONIFACIO HIGH STREET")</f>
        <v>MOBILECARE - APP BONIFACIO HIGH STREET</v>
      </c>
      <c r="D4285" s="2" t="str">
        <f>IFERROR(__xludf.DUMMYFUNCTION("""COMPUTED_VALUE"""),"661-44957")</f>
        <v>661-44957</v>
      </c>
      <c r="E4285" s="2" t="str">
        <f>IFERROR(__xludf.DUMMYFUNCTION("""COMPUTED_VALUE"""),"Camera, iPhone 16 Pro Max")</f>
        <v>Camera, iPhone 16 Pro Max</v>
      </c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</row>
    <row r="4286">
      <c r="A4286" s="10" t="str">
        <f t="shared" si="1"/>
        <v>May</v>
      </c>
      <c r="B4286" s="11">
        <f>IFERROR(__xludf.DUMMYFUNCTION("""COMPUTED_VALUE"""),46157.0)</f>
        <v>46157</v>
      </c>
      <c r="C4286" s="2" t="str">
        <f>IFERROR(__xludf.DUMMYFUNCTION("""COMPUTED_VALUE"""),"MOBILECARE - APP BONIFACIO HIGH STREET")</f>
        <v>MOBILECARE - APP BONIFACIO HIGH STREET</v>
      </c>
      <c r="D4286" s="2" t="str">
        <f>IFERROR(__xludf.DUMMYFUNCTION("""COMPUTED_VALUE"""),"661-56125")</f>
        <v>661-56125</v>
      </c>
      <c r="E4286" s="2" t="str">
        <f>IFERROR(__xludf.DUMMYFUNCTION("""COMPUTED_VALUE"""),"Display, iPhone 17 Pro")</f>
        <v>Display, iPhone 17 Pro</v>
      </c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</row>
    <row r="4287">
      <c r="A4287" s="10" t="str">
        <f t="shared" si="1"/>
        <v>April</v>
      </c>
      <c r="B4287" s="11">
        <f>IFERROR(__xludf.DUMMYFUNCTION("""COMPUTED_VALUE"""),46119.0)</f>
        <v>46119</v>
      </c>
      <c r="C4287" s="2" t="str">
        <f>IFERROR(__xludf.DUMMYFUNCTION("""COMPUTED_VALUE"""),"MOBILECARE - APP BONIFACIO HIGH STREET")</f>
        <v>MOBILECARE - APP BONIFACIO HIGH STREET</v>
      </c>
      <c r="D4287" s="2" t="str">
        <f>IFERROR(__xludf.DUMMYFUNCTION("""COMPUTED_VALUE"""),"661-22309")</f>
        <v>661-22309</v>
      </c>
      <c r="E4287" s="2" t="str">
        <f>IFERROR(__xludf.DUMMYFUNCTION("""COMPUTED_VALUE"""),"Display, iPhone 13 Pro Max")</f>
        <v>Display, iPhone 13 Pro Max</v>
      </c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</row>
    <row r="4288">
      <c r="A4288" s="10" t="str">
        <f t="shared" si="1"/>
        <v>April</v>
      </c>
      <c r="B4288" s="11">
        <f>IFERROR(__xludf.DUMMYFUNCTION("""COMPUTED_VALUE"""),46119.0)</f>
        <v>46119</v>
      </c>
      <c r="C4288" s="2" t="str">
        <f>IFERROR(__xludf.DUMMYFUNCTION("""COMPUTED_VALUE"""),"MOBILECARE - APP BONIFACIO HIGH STREET")</f>
        <v>MOBILECARE - APP BONIFACIO HIGH STREET</v>
      </c>
      <c r="D4288" s="2" t="str">
        <f>IFERROR(__xludf.DUMMYFUNCTION("""COMPUTED_VALUE"""),"661-17939")</f>
        <v>661-17939</v>
      </c>
      <c r="E4288" s="2" t="str">
        <f>IFERROR(__xludf.DUMMYFUNCTION("""COMPUTED_VALUE"""),"Battery, iPhone 12 mini")</f>
        <v>Battery, iPhone 12 mini</v>
      </c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</row>
    <row r="4289">
      <c r="A4289" s="10" t="str">
        <f t="shared" si="1"/>
        <v>February</v>
      </c>
      <c r="B4289" s="11">
        <f>IFERROR(__xludf.DUMMYFUNCTION("""COMPUTED_VALUE"""),46079.0)</f>
        <v>46079</v>
      </c>
      <c r="C4289" s="2" t="str">
        <f>IFERROR(__xludf.DUMMYFUNCTION("""COMPUTED_VALUE"""),"MOBILECARE - APP BONIFACIO HIGH STREET")</f>
        <v>MOBILECARE - APP BONIFACIO HIGH STREET</v>
      </c>
      <c r="D4289" s="2" t="str">
        <f>IFERROR(__xludf.DUMMYFUNCTION("""COMPUTED_VALUE"""),"661-21988")</f>
        <v>661-21988</v>
      </c>
      <c r="E4289" s="2" t="str">
        <f>IFERROR(__xludf.DUMMYFUNCTION("""COMPUTED_VALUE"""),"Display, iPhone 13")</f>
        <v>Display, iPhone 13</v>
      </c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</row>
    <row r="4290">
      <c r="A4290" s="10" t="str">
        <f t="shared" si="1"/>
        <v>February</v>
      </c>
      <c r="B4290" s="11">
        <f>IFERROR(__xludf.DUMMYFUNCTION("""COMPUTED_VALUE"""),46078.0)</f>
        <v>46078</v>
      </c>
      <c r="C4290" s="2" t="str">
        <f>IFERROR(__xludf.DUMMYFUNCTION("""COMPUTED_VALUE"""),"MOBILECARE - APP BONIFACIO HIGH STREET")</f>
        <v>MOBILECARE - APP BONIFACIO HIGH STREET</v>
      </c>
      <c r="D4290" s="2" t="str">
        <f>IFERROR(__xludf.DUMMYFUNCTION("""COMPUTED_VALUE"""),"661-35694")</f>
        <v>661-35694</v>
      </c>
      <c r="E4290" s="2" t="str">
        <f>IFERROR(__xludf.DUMMYFUNCTION("""COMPUTED_VALUE"""),"Battery, iPhone 15 Pro")</f>
        <v>Battery, iPhone 15 Pro</v>
      </c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</row>
    <row r="4291">
      <c r="A4291" s="10" t="str">
        <f t="shared" si="1"/>
        <v>April</v>
      </c>
      <c r="B4291" s="11">
        <f>IFERROR(__xludf.DUMMYFUNCTION("""COMPUTED_VALUE"""),46140.0)</f>
        <v>46140</v>
      </c>
      <c r="C4291" s="2" t="str">
        <f>IFERROR(__xludf.DUMMYFUNCTION("""COMPUTED_VALUE"""),"MOBILECARE - APP BONIFACIO HIGH STREET")</f>
        <v>MOBILECARE - APP BONIFACIO HIGH STREET</v>
      </c>
      <c r="D4291" s="2" t="str">
        <f>IFERROR(__xludf.DUMMYFUNCTION("""COMPUTED_VALUE"""),"661-21996")</f>
        <v>661-21996</v>
      </c>
      <c r="E4291" s="2" t="str">
        <f>IFERROR(__xludf.DUMMYFUNCTION("""COMPUTED_VALUE"""),"Battery, iPhone 13 Pro")</f>
        <v>Battery, iPhone 13 Pro</v>
      </c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</row>
    <row r="4292">
      <c r="A4292" s="10" t="str">
        <f t="shared" si="1"/>
        <v>May</v>
      </c>
      <c r="B4292" s="11">
        <f>IFERROR(__xludf.DUMMYFUNCTION("""COMPUTED_VALUE"""),46162.0)</f>
        <v>46162</v>
      </c>
      <c r="C4292" s="2" t="str">
        <f>IFERROR(__xludf.DUMMYFUNCTION("""COMPUTED_VALUE"""),"MOBILECARE - APP BONIFACIO HIGH STREET")</f>
        <v>MOBILECARE - APP BONIFACIO HIGH STREET</v>
      </c>
      <c r="D4292" s="2" t="str">
        <f>IFERROR(__xludf.DUMMYFUNCTION("""COMPUTED_VALUE"""),"661-42844")</f>
        <v>661-42844</v>
      </c>
      <c r="E4292" s="2" t="str">
        <f>IFERROR(__xludf.DUMMYFUNCTION("""COMPUTED_VALUE"""),"TrueDepth Camera, iPhone 16 Plus")</f>
        <v>TrueDepth Camera, iPhone 16 Plus</v>
      </c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</row>
    <row r="4293">
      <c r="A4293" s="10" t="str">
        <f t="shared" si="1"/>
        <v>April</v>
      </c>
      <c r="B4293" s="11">
        <f>IFERROR(__xludf.DUMMYFUNCTION("""COMPUTED_VALUE"""),46124.0)</f>
        <v>46124</v>
      </c>
      <c r="C4293" s="2" t="str">
        <f>IFERROR(__xludf.DUMMYFUNCTION("""COMPUTED_VALUE"""),"MOBILECARE - APP BONIFACIO HIGH STREET")</f>
        <v>MOBILECARE - APP BONIFACIO HIGH STREET</v>
      </c>
      <c r="D4293" s="2" t="str">
        <f>IFERROR(__xludf.DUMMYFUNCTION("""COMPUTED_VALUE"""),"661-17920")</f>
        <v>661-17920</v>
      </c>
      <c r="E4293" s="2" t="str">
        <f>IFERROR(__xludf.DUMMYFUNCTION("""COMPUTED_VALUE"""),"Battery, iPhone 12 and 12 Pro")</f>
        <v>Battery, iPhone 12 and 12 Pro</v>
      </c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</row>
    <row r="4294">
      <c r="A4294" s="10" t="str">
        <f t="shared" si="1"/>
        <v>March</v>
      </c>
      <c r="B4294" s="11">
        <f>IFERROR(__xludf.DUMMYFUNCTION("""COMPUTED_VALUE"""),46088.0)</f>
        <v>46088</v>
      </c>
      <c r="C4294" s="2" t="str">
        <f>IFERROR(__xludf.DUMMYFUNCTION("""COMPUTED_VALUE"""),"MOBILECARE - APP BONIFACIO HIGH STREET")</f>
        <v>MOBILECARE - APP BONIFACIO HIGH STREET</v>
      </c>
      <c r="D4294" s="2" t="str">
        <f>IFERROR(__xludf.DUMMYFUNCTION("""COMPUTED_VALUE"""),"661-42726")</f>
        <v>661-42726</v>
      </c>
      <c r="E4294" s="2" t="str">
        <f>IFERROR(__xludf.DUMMYFUNCTION("""COMPUTED_VALUE"""),"Display, iPhone 16 Pro")</f>
        <v>Display, iPhone 16 Pro</v>
      </c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</row>
    <row r="4295">
      <c r="A4295" s="10" t="str">
        <f t="shared" si="1"/>
        <v>March</v>
      </c>
      <c r="B4295" s="11">
        <f>IFERROR(__xludf.DUMMYFUNCTION("""COMPUTED_VALUE"""),46088.0)</f>
        <v>46088</v>
      </c>
      <c r="C4295" s="2" t="str">
        <f>IFERROR(__xludf.DUMMYFUNCTION("""COMPUTED_VALUE"""),"MOBILECARE - APP BONIFACIO HIGH STREET")</f>
        <v>MOBILECARE - APP BONIFACIO HIGH STREET</v>
      </c>
      <c r="D4295" s="2" t="str">
        <f>IFERROR(__xludf.DUMMYFUNCTION("""COMPUTED_VALUE"""),"661-18428")</f>
        <v>661-18428</v>
      </c>
      <c r="E4295" s="2" t="str">
        <f>IFERROR(__xludf.DUMMYFUNCTION("""COMPUTED_VALUE"""),"Battery, iPhone 12 Pro Max")</f>
        <v>Battery, iPhone 12 Pro Max</v>
      </c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</row>
    <row r="4296">
      <c r="A4296" s="10" t="str">
        <f t="shared" si="1"/>
        <v>February</v>
      </c>
      <c r="B4296" s="11">
        <f>IFERROR(__xludf.DUMMYFUNCTION("""COMPUTED_VALUE"""),46064.0)</f>
        <v>46064</v>
      </c>
      <c r="C4296" s="2" t="str">
        <f>IFERROR(__xludf.DUMMYFUNCTION("""COMPUTED_VALUE"""),"MOBILECARE - APP BONIFACIO HIGH STREET")</f>
        <v>MOBILECARE - APP BONIFACIO HIGH STREET</v>
      </c>
      <c r="D4296" s="2" t="str">
        <f>IFERROR(__xludf.DUMMYFUNCTION("""COMPUTED_VALUE"""),"661-30393")</f>
        <v>661-30393</v>
      </c>
      <c r="E4296" s="2" t="str">
        <f>IFERROR(__xludf.DUMMYFUNCTION("""COMPUTED_VALUE"""),"Camera, iPhone 14 Plus")</f>
        <v>Camera, iPhone 14 Plus</v>
      </c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</row>
    <row r="4297">
      <c r="A4297" s="10" t="str">
        <f t="shared" si="1"/>
        <v>June</v>
      </c>
      <c r="B4297" s="11">
        <f>IFERROR(__xludf.DUMMYFUNCTION("""COMPUTED_VALUE"""),46183.0)</f>
        <v>46183</v>
      </c>
      <c r="C4297" s="2" t="str">
        <f>IFERROR(__xludf.DUMMYFUNCTION("""COMPUTED_VALUE"""),"MOBILECARE - APP BONIFACIO HIGH STREET")</f>
        <v>MOBILECARE - APP BONIFACIO HIGH STREET</v>
      </c>
      <c r="D4297" s="2" t="str">
        <f>IFERROR(__xludf.DUMMYFUNCTION("""COMPUTED_VALUE"""),"661-22309")</f>
        <v>661-22309</v>
      </c>
      <c r="E4297" s="2" t="str">
        <f>IFERROR(__xludf.DUMMYFUNCTION("""COMPUTED_VALUE"""),"Display, iPhone 13 Pro Max")</f>
        <v>Display, iPhone 13 Pro Max</v>
      </c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</row>
    <row r="4298">
      <c r="A4298" s="10" t="str">
        <f t="shared" si="1"/>
        <v>May</v>
      </c>
      <c r="B4298" s="11">
        <f>IFERROR(__xludf.DUMMYFUNCTION("""COMPUTED_VALUE"""),46169.0)</f>
        <v>46169</v>
      </c>
      <c r="C4298" s="2" t="str">
        <f>IFERROR(__xludf.DUMMYFUNCTION("""COMPUTED_VALUE"""),"MOBILECARE - APP BONIFACIO HIGH STREET")</f>
        <v>MOBILECARE - APP BONIFACIO HIGH STREET</v>
      </c>
      <c r="D4298" s="2" t="str">
        <f>IFERROR(__xludf.DUMMYFUNCTION("""COMPUTED_VALUE"""),"661-56050")</f>
        <v>661-56050</v>
      </c>
      <c r="E4298" s="2" t="str">
        <f>IFERROR(__xludf.DUMMYFUNCTION("""COMPUTED_VALUE"""),"Display, iPhone 17 Pro Max")</f>
        <v>Display, iPhone 17 Pro Max</v>
      </c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</row>
    <row r="4299">
      <c r="A4299" s="10" t="str">
        <f t="shared" si="1"/>
        <v>May</v>
      </c>
      <c r="B4299" s="11">
        <f>IFERROR(__xludf.DUMMYFUNCTION("""COMPUTED_VALUE"""),46156.0)</f>
        <v>46156</v>
      </c>
      <c r="C4299" s="2" t="str">
        <f>IFERROR(__xludf.DUMMYFUNCTION("""COMPUTED_VALUE"""),"MOBILECARE - APP BONIFACIO HIGH STREET")</f>
        <v>MOBILECARE - APP BONIFACIO HIGH STREET</v>
      </c>
      <c r="D4299" s="2" t="str">
        <f>IFERROR(__xludf.DUMMYFUNCTION("""COMPUTED_VALUE"""),"661-56125")</f>
        <v>661-56125</v>
      </c>
      <c r="E4299" s="2" t="str">
        <f>IFERROR(__xludf.DUMMYFUNCTION("""COMPUTED_VALUE"""),"Display, iPhone 17 Pro")</f>
        <v>Display, iPhone 17 Pro</v>
      </c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</row>
    <row r="4300">
      <c r="A4300" s="10" t="str">
        <f t="shared" si="1"/>
        <v>March</v>
      </c>
      <c r="B4300" s="11">
        <f>IFERROR(__xludf.DUMMYFUNCTION("""COMPUTED_VALUE"""),46112.0)</f>
        <v>46112</v>
      </c>
      <c r="C4300" s="2" t="str">
        <f>IFERROR(__xludf.DUMMYFUNCTION("""COMPUTED_VALUE"""),"MOBILECARE - APP BONIFACIO HIGH STREET")</f>
        <v>MOBILECARE - APP BONIFACIO HIGH STREET</v>
      </c>
      <c r="D4300" s="2" t="str">
        <f>IFERROR(__xludf.DUMMYFUNCTION("""COMPUTED_VALUE"""),"661-42728")</f>
        <v>661-42728</v>
      </c>
      <c r="E4300" s="2" t="str">
        <f>IFERROR(__xludf.DUMMYFUNCTION("""COMPUTED_VALUE"""),"Camera, iPhone 16 Pro")</f>
        <v>Camera, iPhone 16 Pro</v>
      </c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</row>
    <row r="4301">
      <c r="A4301" s="10" t="str">
        <f t="shared" si="1"/>
        <v>March</v>
      </c>
      <c r="B4301" s="11">
        <f>IFERROR(__xludf.DUMMYFUNCTION("""COMPUTED_VALUE"""),46093.0)</f>
        <v>46093</v>
      </c>
      <c r="C4301" s="2" t="str">
        <f>IFERROR(__xludf.DUMMYFUNCTION("""COMPUTED_VALUE"""),"MOBILECARE - APP BONIFACIO HIGH STREET")</f>
        <v>MOBILECARE - APP BONIFACIO HIGH STREET</v>
      </c>
      <c r="D4301" s="2" t="str">
        <f>IFERROR(__xludf.DUMMYFUNCTION("""COMPUTED_VALUE"""),"661-22309")</f>
        <v>661-22309</v>
      </c>
      <c r="E4301" s="2" t="str">
        <f>IFERROR(__xludf.DUMMYFUNCTION("""COMPUTED_VALUE"""),"Display, iPhone 13 Pro Max")</f>
        <v>Display, iPhone 13 Pro Max</v>
      </c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</row>
    <row r="4302">
      <c r="A4302" s="10" t="str">
        <f t="shared" si="1"/>
        <v>March</v>
      </c>
      <c r="B4302" s="11">
        <f>IFERROR(__xludf.DUMMYFUNCTION("""COMPUTED_VALUE"""),46108.0)</f>
        <v>46108</v>
      </c>
      <c r="C4302" s="2" t="str">
        <f>IFERROR(__xludf.DUMMYFUNCTION("""COMPUTED_VALUE"""),"MOBILECARE - APP BONIFACIO HIGH STREET")</f>
        <v>MOBILECARE - APP BONIFACIO HIGH STREET</v>
      </c>
      <c r="D4302" s="2" t="str">
        <f>IFERROR(__xludf.DUMMYFUNCTION("""COMPUTED_VALUE"""),"661-56051")</f>
        <v>661-56051</v>
      </c>
      <c r="E4302" s="2" t="str">
        <f>IFERROR(__xludf.DUMMYFUNCTION("""COMPUTED_VALUE"""),"Front Camera, iPhone 17 Pro Max")</f>
        <v>Front Camera, iPhone 17 Pro Max</v>
      </c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</row>
    <row r="4303">
      <c r="A4303" s="10" t="str">
        <f t="shared" si="1"/>
        <v>March</v>
      </c>
      <c r="B4303" s="11">
        <f>IFERROR(__xludf.DUMMYFUNCTION("""COMPUTED_VALUE"""),46107.0)</f>
        <v>46107</v>
      </c>
      <c r="C4303" s="2" t="str">
        <f>IFERROR(__xludf.DUMMYFUNCTION("""COMPUTED_VALUE"""),"MOBILECARE - APP BONIFACIO HIGH STREET")</f>
        <v>MOBILECARE - APP BONIFACIO HIGH STREET</v>
      </c>
      <c r="D4303" s="2" t="str">
        <f>IFERROR(__xludf.DUMMYFUNCTION("""COMPUTED_VALUE"""),"661-42726")</f>
        <v>661-42726</v>
      </c>
      <c r="E4303" s="2" t="str">
        <f>IFERROR(__xludf.DUMMYFUNCTION("""COMPUTED_VALUE"""),"Display, iPhone 16 Pro")</f>
        <v>Display, iPhone 16 Pro</v>
      </c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</row>
    <row r="4304">
      <c r="A4304" s="10" t="str">
        <f t="shared" si="1"/>
        <v>March</v>
      </c>
      <c r="B4304" s="11">
        <f>IFERROR(__xludf.DUMMYFUNCTION("""COMPUTED_VALUE"""),46087.0)</f>
        <v>46087</v>
      </c>
      <c r="C4304" s="2" t="str">
        <f>IFERROR(__xludf.DUMMYFUNCTION("""COMPUTED_VALUE"""),"MOBILECARE - APP BONIFACIO HIGH STREET")</f>
        <v>MOBILECARE - APP BONIFACIO HIGH STREET</v>
      </c>
      <c r="D4304" s="2" t="str">
        <f>IFERROR(__xludf.DUMMYFUNCTION("""COMPUTED_VALUE"""),"661-35828")</f>
        <v>661-35828</v>
      </c>
      <c r="E4304" s="2" t="str">
        <f>IFERROR(__xludf.DUMMYFUNCTION("""COMPUTED_VALUE"""),"Camera, iPhone 15")</f>
        <v>Camera, iPhone 15</v>
      </c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</row>
    <row r="4305">
      <c r="A4305" s="10" t="str">
        <f t="shared" si="1"/>
        <v>May</v>
      </c>
      <c r="B4305" s="11">
        <f>IFERROR(__xludf.DUMMYFUNCTION("""COMPUTED_VALUE"""),46151.0)</f>
        <v>46151</v>
      </c>
      <c r="C4305" s="2" t="str">
        <f>IFERROR(__xludf.DUMMYFUNCTION("""COMPUTED_VALUE"""),"MOBILECARE - APP BONIFACIO HIGH STREET")</f>
        <v>MOBILECARE - APP BONIFACIO HIGH STREET</v>
      </c>
      <c r="D4305" s="2" t="str">
        <f>IFERROR(__xludf.DUMMYFUNCTION("""COMPUTED_VALUE"""),"661-21991")</f>
        <v>661-21991</v>
      </c>
      <c r="E4305" s="2" t="str">
        <f>IFERROR(__xludf.DUMMYFUNCTION("""COMPUTED_VALUE"""),"Battery, iPhone 13")</f>
        <v>Battery, iPhone 13</v>
      </c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</row>
    <row r="4306">
      <c r="A4306" s="10" t="str">
        <f t="shared" si="1"/>
        <v>April</v>
      </c>
      <c r="B4306" s="11">
        <f>IFERROR(__xludf.DUMMYFUNCTION("""COMPUTED_VALUE"""),46119.0)</f>
        <v>46119</v>
      </c>
      <c r="C4306" s="2" t="str">
        <f>IFERROR(__xludf.DUMMYFUNCTION("""COMPUTED_VALUE"""),"MOBILECARE - APP BONIFACIO HIGH STREET")</f>
        <v>MOBILECARE - APP BONIFACIO HIGH STREET</v>
      </c>
      <c r="D4306" s="2" t="str">
        <f>IFERROR(__xludf.DUMMYFUNCTION("""COMPUTED_VALUE"""),"661-36918")</f>
        <v>661-36918</v>
      </c>
      <c r="E4306" s="2" t="str">
        <f>IFERROR(__xludf.DUMMYFUNCTION("""COMPUTED_VALUE"""),"Battery, iPhone 15 Pro Max")</f>
        <v>Battery, iPhone 15 Pro Max</v>
      </c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</row>
    <row r="4307">
      <c r="A4307" s="10" t="str">
        <f t="shared" si="1"/>
        <v>March</v>
      </c>
      <c r="B4307" s="11">
        <f>IFERROR(__xludf.DUMMYFUNCTION("""COMPUTED_VALUE"""),46093.0)</f>
        <v>46093</v>
      </c>
      <c r="C4307" s="2" t="str">
        <f>IFERROR(__xludf.DUMMYFUNCTION("""COMPUTED_VALUE"""),"MOBILECARE - APP BONIFACIO HIGH STREET")</f>
        <v>MOBILECARE - APP BONIFACIO HIGH STREET</v>
      </c>
      <c r="D4307" s="2" t="str">
        <f>IFERROR(__xludf.DUMMYFUNCTION("""COMPUTED_VALUE"""),"661-22294")</f>
        <v>661-22294</v>
      </c>
      <c r="E4307" s="2" t="str">
        <f>IFERROR(__xludf.DUMMYFUNCTION("""COMPUTED_VALUE"""),"Battery, iPhone 13 Pro Max")</f>
        <v>Battery, iPhone 13 Pro Max</v>
      </c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</row>
    <row r="4308">
      <c r="A4308" s="10" t="str">
        <f t="shared" si="1"/>
        <v>March</v>
      </c>
      <c r="B4308" s="11">
        <f>IFERROR(__xludf.DUMMYFUNCTION("""COMPUTED_VALUE"""),46109.0)</f>
        <v>46109</v>
      </c>
      <c r="C4308" s="2" t="str">
        <f>IFERROR(__xludf.DUMMYFUNCTION("""COMPUTED_VALUE"""),"MOBILECARE - APP BONIFACIO HIGH STREET")</f>
        <v>MOBILECARE - APP BONIFACIO HIGH STREET</v>
      </c>
      <c r="D4308" s="2" t="str">
        <f>IFERROR(__xludf.DUMMYFUNCTION("""COMPUTED_VALUE"""),"661-30370")</f>
        <v>661-30370</v>
      </c>
      <c r="E4308" s="2" t="str">
        <f>IFERROR(__xludf.DUMMYFUNCTION("""COMPUTED_VALUE"""),"Camera, iPhone 14")</f>
        <v>Camera, iPhone 14</v>
      </c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</row>
    <row r="4309">
      <c r="A4309" s="10" t="str">
        <f t="shared" si="1"/>
        <v>March</v>
      </c>
      <c r="B4309" s="11">
        <f>IFERROR(__xludf.DUMMYFUNCTION("""COMPUTED_VALUE"""),46109.0)</f>
        <v>46109</v>
      </c>
      <c r="C4309" s="2" t="str">
        <f>IFERROR(__xludf.DUMMYFUNCTION("""COMPUTED_VALUE"""),"MOBILECARE - APP BONIFACIO HIGH STREET")</f>
        <v>MOBILECARE - APP BONIFACIO HIGH STREET</v>
      </c>
      <c r="D4309" s="2" t="str">
        <f>IFERROR(__xludf.DUMMYFUNCTION("""COMPUTED_VALUE"""),"661-30371")</f>
        <v>661-30371</v>
      </c>
      <c r="E4309" s="2" t="str">
        <f>IFERROR(__xludf.DUMMYFUNCTION("""COMPUTED_VALUE"""),"True Depth Camera, iPhone 14")</f>
        <v>True Depth Camera, iPhone 14</v>
      </c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</row>
    <row r="4310">
      <c r="A4310" s="10" t="str">
        <f t="shared" si="1"/>
        <v>March</v>
      </c>
      <c r="B4310" s="11">
        <f>IFERROR(__xludf.DUMMYFUNCTION("""COMPUTED_VALUE"""),46096.0)</f>
        <v>46096</v>
      </c>
      <c r="C4310" s="2" t="str">
        <f>IFERROR(__xludf.DUMMYFUNCTION("""COMPUTED_VALUE"""),"MOBILECARE - APP BONIFACIO HIGH STREET")</f>
        <v>MOBILECARE - APP BONIFACIO HIGH STREET</v>
      </c>
      <c r="D4310" s="2" t="str">
        <f>IFERROR(__xludf.DUMMYFUNCTION("""COMPUTED_VALUE"""),"661-44955")</f>
        <v>661-44955</v>
      </c>
      <c r="E4310" s="2" t="str">
        <f>IFERROR(__xludf.DUMMYFUNCTION("""COMPUTED_VALUE"""),"Display, iPhone 16 Pro Max")</f>
        <v>Display, iPhone 16 Pro Max</v>
      </c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</row>
    <row r="4311">
      <c r="A4311" s="10" t="str">
        <f t="shared" si="1"/>
        <v>March</v>
      </c>
      <c r="B4311" s="11">
        <f>IFERROR(__xludf.DUMMYFUNCTION("""COMPUTED_VALUE"""),46106.0)</f>
        <v>46106</v>
      </c>
      <c r="C4311" s="2" t="str">
        <f>IFERROR(__xludf.DUMMYFUNCTION("""COMPUTED_VALUE"""),"MOBILECARE - APP BONIFACIO HIGH STREET")</f>
        <v>MOBILECARE - APP BONIFACIO HIGH STREET</v>
      </c>
      <c r="D4311" s="2" t="str">
        <f>IFERROR(__xludf.DUMMYFUNCTION("""COMPUTED_VALUE"""),"661-44955")</f>
        <v>661-44955</v>
      </c>
      <c r="E4311" s="2" t="str">
        <f>IFERROR(__xludf.DUMMYFUNCTION("""COMPUTED_VALUE"""),"Display, iPhone 16 Pro Max")</f>
        <v>Display, iPhone 16 Pro Max</v>
      </c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</row>
    <row r="4312">
      <c r="A4312" s="10" t="str">
        <f t="shared" si="1"/>
        <v>June</v>
      </c>
      <c r="B4312" s="11">
        <f>IFERROR(__xludf.DUMMYFUNCTION("""COMPUTED_VALUE"""),46186.0)</f>
        <v>46186</v>
      </c>
      <c r="C4312" s="2" t="str">
        <f>IFERROR(__xludf.DUMMYFUNCTION("""COMPUTED_VALUE"""),"MOBILECARE - APP BONIFACIO HIGH STREET")</f>
        <v>MOBILECARE - APP BONIFACIO HIGH STREET</v>
      </c>
      <c r="D4312" s="2" t="str">
        <f>IFERROR(__xludf.DUMMYFUNCTION("""COMPUTED_VALUE"""),"661-56050")</f>
        <v>661-56050</v>
      </c>
      <c r="E4312" s="2" t="str">
        <f>IFERROR(__xludf.DUMMYFUNCTION("""COMPUTED_VALUE"""),"Display, iPhone 17 Pro Max")</f>
        <v>Display, iPhone 17 Pro Max</v>
      </c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</row>
    <row r="4313">
      <c r="A4313" s="10" t="str">
        <f t="shared" si="1"/>
        <v>June</v>
      </c>
      <c r="B4313" s="11">
        <f>IFERROR(__xludf.DUMMYFUNCTION("""COMPUTED_VALUE"""),46186.0)</f>
        <v>46186</v>
      </c>
      <c r="C4313" s="2" t="str">
        <f>IFERROR(__xludf.DUMMYFUNCTION("""COMPUTED_VALUE"""),"MOBILECARE - APP BONIFACIO HIGH STREET")</f>
        <v>MOBILECARE - APP BONIFACIO HIGH STREET</v>
      </c>
      <c r="D4313" s="2" t="str">
        <f>IFERROR(__xludf.DUMMYFUNCTION("""COMPUTED_VALUE"""),"661-56050")</f>
        <v>661-56050</v>
      </c>
      <c r="E4313" s="2" t="str">
        <f>IFERROR(__xludf.DUMMYFUNCTION("""COMPUTED_VALUE"""),"Display, iPhone 17 Pro Max")</f>
        <v>Display, iPhone 17 Pro Max</v>
      </c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</row>
    <row r="4314">
      <c r="A4314" s="10" t="str">
        <f t="shared" si="1"/>
        <v>April</v>
      </c>
      <c r="B4314" s="11">
        <f>IFERROR(__xludf.DUMMYFUNCTION("""COMPUTED_VALUE"""),46132.0)</f>
        <v>46132</v>
      </c>
      <c r="C4314" s="2" t="str">
        <f>IFERROR(__xludf.DUMMYFUNCTION("""COMPUTED_VALUE"""),"MOBILECARE - APP BONIFACIO HIGH STREET")</f>
        <v>MOBILECARE - APP BONIFACIO HIGH STREET</v>
      </c>
      <c r="D4314" s="2" t="str">
        <f>IFERROR(__xludf.DUMMYFUNCTION("""COMPUTED_VALUE"""),"661-36918")</f>
        <v>661-36918</v>
      </c>
      <c r="E4314" s="2" t="str">
        <f>IFERROR(__xludf.DUMMYFUNCTION("""COMPUTED_VALUE"""),"Battery, iPhone 15 Pro Max")</f>
        <v>Battery, iPhone 15 Pro Max</v>
      </c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</row>
    <row r="4315">
      <c r="A4315" s="10" t="str">
        <f t="shared" si="1"/>
        <v>March</v>
      </c>
      <c r="B4315" s="11">
        <f>IFERROR(__xludf.DUMMYFUNCTION("""COMPUTED_VALUE"""),46093.0)</f>
        <v>46093</v>
      </c>
      <c r="C4315" s="2" t="str">
        <f>IFERROR(__xludf.DUMMYFUNCTION("""COMPUTED_VALUE"""),"MOBILECARE - APP BONIFACIO HIGH STREET")</f>
        <v>MOBILECARE - APP BONIFACIO HIGH STREET</v>
      </c>
      <c r="D4315" s="2" t="str">
        <f>IFERROR(__xludf.DUMMYFUNCTION("""COMPUTED_VALUE"""),"661-35694")</f>
        <v>661-35694</v>
      </c>
      <c r="E4315" s="2" t="str">
        <f>IFERROR(__xludf.DUMMYFUNCTION("""COMPUTED_VALUE"""),"Battery, iPhone 15 Pro")</f>
        <v>Battery, iPhone 15 Pro</v>
      </c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</row>
    <row r="4316">
      <c r="A4316" s="10" t="str">
        <f t="shared" si="1"/>
        <v>June</v>
      </c>
      <c r="B4316" s="11">
        <f>IFERROR(__xludf.DUMMYFUNCTION("""COMPUTED_VALUE"""),46186.0)</f>
        <v>46186</v>
      </c>
      <c r="C4316" s="2" t="str">
        <f>IFERROR(__xludf.DUMMYFUNCTION("""COMPUTED_VALUE"""),"MOBILECARE - APP BONIFACIO HIGH STREET")</f>
        <v>MOBILECARE - APP BONIFACIO HIGH STREET</v>
      </c>
      <c r="D4316" s="2" t="str">
        <f>IFERROR(__xludf.DUMMYFUNCTION("""COMPUTED_VALUE"""),"661-18466")</f>
        <v>661-18466</v>
      </c>
      <c r="E4316" s="2" t="str">
        <f>IFERROR(__xludf.DUMMYFUNCTION("""COMPUTED_VALUE"""),"Display, iPhone 12 Pro Max")</f>
        <v>Display, iPhone 12 Pro Max</v>
      </c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</row>
    <row r="4317">
      <c r="A4317" s="10" t="str">
        <f t="shared" si="1"/>
        <v>June</v>
      </c>
      <c r="B4317" s="11">
        <f>IFERROR(__xludf.DUMMYFUNCTION("""COMPUTED_VALUE"""),46186.0)</f>
        <v>46186</v>
      </c>
      <c r="C4317" s="2" t="str">
        <f>IFERROR(__xludf.DUMMYFUNCTION("""COMPUTED_VALUE"""),"MOBILECARE - APP BONIFACIO HIGH STREET")</f>
        <v>MOBILECARE - APP BONIFACIO HIGH STREET</v>
      </c>
      <c r="D4317" s="2" t="str">
        <f>IFERROR(__xludf.DUMMYFUNCTION("""COMPUTED_VALUE"""),"661-18428")</f>
        <v>661-18428</v>
      </c>
      <c r="E4317" s="2" t="str">
        <f>IFERROR(__xludf.DUMMYFUNCTION("""COMPUTED_VALUE"""),"Battery, iPhone 12 Pro Max")</f>
        <v>Battery, iPhone 12 Pro Max</v>
      </c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</row>
    <row r="4318">
      <c r="A4318" s="10" t="str">
        <f t="shared" si="1"/>
        <v>April</v>
      </c>
      <c r="B4318" s="11">
        <f>IFERROR(__xludf.DUMMYFUNCTION("""COMPUTED_VALUE"""),46126.0)</f>
        <v>46126</v>
      </c>
      <c r="C4318" s="2" t="str">
        <f>IFERROR(__xludf.DUMMYFUNCTION("""COMPUTED_VALUE"""),"MOBILECARE - APP BONIFACIO HIGH STREET")</f>
        <v>MOBILECARE - APP BONIFACIO HIGH STREET</v>
      </c>
      <c r="D4318" s="2" t="str">
        <f>IFERROR(__xludf.DUMMYFUNCTION("""COMPUTED_VALUE"""),"661-21988")</f>
        <v>661-21988</v>
      </c>
      <c r="E4318" s="2" t="str">
        <f>IFERROR(__xludf.DUMMYFUNCTION("""COMPUTED_VALUE"""),"Display, iPhone 13")</f>
        <v>Display, iPhone 13</v>
      </c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</row>
    <row r="4319">
      <c r="A4319" s="10" t="str">
        <f t="shared" si="1"/>
        <v>March</v>
      </c>
      <c r="B4319" s="11">
        <f>IFERROR(__xludf.DUMMYFUNCTION("""COMPUTED_VALUE"""),46109.0)</f>
        <v>46109</v>
      </c>
      <c r="C4319" s="2" t="str">
        <f>IFERROR(__xludf.DUMMYFUNCTION("""COMPUTED_VALUE"""),"MOBILECARE - APP BONIFACIO HIGH STREET")</f>
        <v>MOBILECARE - APP BONIFACIO HIGH STREET</v>
      </c>
      <c r="D4319" s="2" t="str">
        <f>IFERROR(__xludf.DUMMYFUNCTION("""COMPUTED_VALUE"""),"661-21991")</f>
        <v>661-21991</v>
      </c>
      <c r="E4319" s="2" t="str">
        <f>IFERROR(__xludf.DUMMYFUNCTION("""COMPUTED_VALUE"""),"Battery, iPhone 13")</f>
        <v>Battery, iPhone 13</v>
      </c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</row>
    <row r="4320">
      <c r="A4320" s="10" t="str">
        <f t="shared" si="1"/>
        <v>May</v>
      </c>
      <c r="B4320" s="11">
        <f>IFERROR(__xludf.DUMMYFUNCTION("""COMPUTED_VALUE"""),46143.0)</f>
        <v>46143</v>
      </c>
      <c r="C4320" s="2" t="str">
        <f>IFERROR(__xludf.DUMMYFUNCTION("""COMPUTED_VALUE"""),"MOBILECARE - APP BONIFACIO HIGH STREET")</f>
        <v>MOBILECARE - APP BONIFACIO HIGH STREET</v>
      </c>
      <c r="D4320" s="2" t="str">
        <f>IFERROR(__xludf.DUMMYFUNCTION("""COMPUTED_VALUE"""),"661-44798")</f>
        <v>661-44798</v>
      </c>
      <c r="E4320" s="2" t="str">
        <f>IFERROR(__xludf.DUMMYFUNCTION("""COMPUTED_VALUE"""),"TrueDepth Camera, iPhone 16")</f>
        <v>TrueDepth Camera, iPhone 16</v>
      </c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</row>
    <row r="4321">
      <c r="A4321" s="10" t="str">
        <f t="shared" si="1"/>
        <v>May</v>
      </c>
      <c r="B4321" s="11">
        <f>IFERROR(__xludf.DUMMYFUNCTION("""COMPUTED_VALUE"""),46153.0)</f>
        <v>46153</v>
      </c>
      <c r="C4321" s="2" t="str">
        <f>IFERROR(__xludf.DUMMYFUNCTION("""COMPUTED_VALUE"""),"MOBILECARE - APP BONIFACIO HIGH STREET")</f>
        <v>MOBILECARE - APP BONIFACIO HIGH STREET</v>
      </c>
      <c r="D4321" s="2" t="str">
        <f>IFERROR(__xludf.DUMMYFUNCTION("""COMPUTED_VALUE"""),"661-30394")</f>
        <v>661-30394</v>
      </c>
      <c r="E4321" s="2" t="str">
        <f>IFERROR(__xludf.DUMMYFUNCTION("""COMPUTED_VALUE"""),"Battery, iPhone 14 Plus")</f>
        <v>Battery, iPhone 14 Plus</v>
      </c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</row>
    <row r="4322">
      <c r="A4322" s="10" t="str">
        <f t="shared" si="1"/>
        <v>March</v>
      </c>
      <c r="B4322" s="11">
        <f>IFERROR(__xludf.DUMMYFUNCTION("""COMPUTED_VALUE"""),46086.0)</f>
        <v>46086</v>
      </c>
      <c r="C4322" s="2" t="str">
        <f>IFERROR(__xludf.DUMMYFUNCTION("""COMPUTED_VALUE"""),"MOBILECARE - APP BONIFACIO HIGH STREET")</f>
        <v>MOBILECARE - APP BONIFACIO HIGH STREET</v>
      </c>
      <c r="D4322" s="2" t="str">
        <f>IFERROR(__xludf.DUMMYFUNCTION("""COMPUTED_VALUE"""),"661-30397")</f>
        <v>661-30397</v>
      </c>
      <c r="E4322" s="2" t="str">
        <f>IFERROR(__xludf.DUMMYFUNCTION("""COMPUTED_VALUE"""),"Battery, iPhone 14 Pro Max")</f>
        <v>Battery, iPhone 14 Pro Max</v>
      </c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</row>
    <row r="4323">
      <c r="A4323" s="10" t="str">
        <f t="shared" si="1"/>
        <v>January</v>
      </c>
      <c r="B4323" s="11">
        <f>IFERROR(__xludf.DUMMYFUNCTION("""COMPUTED_VALUE"""),46040.0)</f>
        <v>46040</v>
      </c>
      <c r="C4323" s="2" t="str">
        <f>IFERROR(__xludf.DUMMYFUNCTION("""COMPUTED_VALUE"""),"MOBILECARE - APP BONIFACIO HIGH STREET")</f>
        <v>MOBILECARE - APP BONIFACIO HIGH STREET</v>
      </c>
      <c r="D4323" s="2" t="str">
        <f>IFERROR(__xludf.DUMMYFUNCTION("""COMPUTED_VALUE"""),"661-42726")</f>
        <v>661-42726</v>
      </c>
      <c r="E4323" s="2" t="str">
        <f>IFERROR(__xludf.DUMMYFUNCTION("""COMPUTED_VALUE"""),"Display, iPhone 16 Pro")</f>
        <v>Display, iPhone 16 Pro</v>
      </c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</row>
    <row r="4324">
      <c r="A4324" s="10" t="str">
        <f t="shared" si="1"/>
        <v>March</v>
      </c>
      <c r="B4324" s="11">
        <f>IFERROR(__xludf.DUMMYFUNCTION("""COMPUTED_VALUE"""),46111.0)</f>
        <v>46111</v>
      </c>
      <c r="C4324" s="2" t="str">
        <f>IFERROR(__xludf.DUMMYFUNCTION("""COMPUTED_VALUE"""),"MOBILECARE - APP BONIFACIO HIGH STREET")</f>
        <v>MOBILECARE - APP BONIFACIO HIGH STREET</v>
      </c>
      <c r="D4324" s="2" t="str">
        <f>IFERROR(__xludf.DUMMYFUNCTION("""COMPUTED_VALUE"""),"661-21991")</f>
        <v>661-21991</v>
      </c>
      <c r="E4324" s="2" t="str">
        <f>IFERROR(__xludf.DUMMYFUNCTION("""COMPUTED_VALUE"""),"Battery, iPhone 13")</f>
        <v>Battery, iPhone 13</v>
      </c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</row>
    <row r="4325">
      <c r="A4325" s="10" t="str">
        <f t="shared" si="1"/>
        <v>March</v>
      </c>
      <c r="B4325" s="11">
        <f>IFERROR(__xludf.DUMMYFUNCTION("""COMPUTED_VALUE"""),46087.0)</f>
        <v>46087</v>
      </c>
      <c r="C4325" s="2" t="str">
        <f>IFERROR(__xludf.DUMMYFUNCTION("""COMPUTED_VALUE"""),"MOBILECARE - APP BONIFACIO HIGH STREET")</f>
        <v>MOBILECARE - APP BONIFACIO HIGH STREET</v>
      </c>
      <c r="D4325" s="2" t="str">
        <f>IFERROR(__xludf.DUMMYFUNCTION("""COMPUTED_VALUE"""),"661-21996")</f>
        <v>661-21996</v>
      </c>
      <c r="E4325" s="2" t="str">
        <f>IFERROR(__xludf.DUMMYFUNCTION("""COMPUTED_VALUE"""),"Battery, iPhone 13 Pro")</f>
        <v>Battery, iPhone 13 Pro</v>
      </c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</row>
    <row r="4326">
      <c r="A4326" s="10" t="str">
        <f t="shared" si="1"/>
        <v>March</v>
      </c>
      <c r="B4326" s="11">
        <f>IFERROR(__xludf.DUMMYFUNCTION("""COMPUTED_VALUE"""),46087.0)</f>
        <v>46087</v>
      </c>
      <c r="C4326" s="2" t="str">
        <f>IFERROR(__xludf.DUMMYFUNCTION("""COMPUTED_VALUE"""),"MOBILECARE - APP BONIFACIO HIGH STREET")</f>
        <v>MOBILECARE - APP BONIFACIO HIGH STREET</v>
      </c>
      <c r="D4326" s="2" t="str">
        <f>IFERROR(__xludf.DUMMYFUNCTION("""COMPUTED_VALUE"""),"661-21996")</f>
        <v>661-21996</v>
      </c>
      <c r="E4326" s="2" t="str">
        <f>IFERROR(__xludf.DUMMYFUNCTION("""COMPUTED_VALUE"""),"Battery, iPhone 13 Pro")</f>
        <v>Battery, iPhone 13 Pro</v>
      </c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</row>
    <row r="4327">
      <c r="A4327" s="10" t="str">
        <f t="shared" si="1"/>
        <v>April</v>
      </c>
      <c r="B4327" s="11">
        <f>IFERROR(__xludf.DUMMYFUNCTION("""COMPUTED_VALUE"""),46128.0)</f>
        <v>46128</v>
      </c>
      <c r="C4327" s="2" t="str">
        <f>IFERROR(__xludf.DUMMYFUNCTION("""COMPUTED_VALUE"""),"MOBILECARE - APP BONIFACIO HIGH STREET")</f>
        <v>MOBILECARE - APP BONIFACIO HIGH STREET</v>
      </c>
      <c r="D4327" s="2" t="str">
        <f>IFERROR(__xludf.DUMMYFUNCTION("""COMPUTED_VALUE"""),"661-22294")</f>
        <v>661-22294</v>
      </c>
      <c r="E4327" s="2" t="str">
        <f>IFERROR(__xludf.DUMMYFUNCTION("""COMPUTED_VALUE"""),"Battery, iPhone 13 Pro Max")</f>
        <v>Battery, iPhone 13 Pro Max</v>
      </c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</row>
    <row r="4328">
      <c r="A4328" s="10" t="str">
        <f t="shared" si="1"/>
        <v>January</v>
      </c>
      <c r="B4328" s="11">
        <f>IFERROR(__xludf.DUMMYFUNCTION("""COMPUTED_VALUE"""),46051.0)</f>
        <v>46051</v>
      </c>
      <c r="C4328" s="2" t="str">
        <f>IFERROR(__xludf.DUMMYFUNCTION("""COMPUTED_VALUE"""),"MOBILECARE - APP BONIFACIO HIGH STREET")</f>
        <v>MOBILECARE - APP BONIFACIO HIGH STREET</v>
      </c>
      <c r="D4328" s="2" t="str">
        <f>IFERROR(__xludf.DUMMYFUNCTION("""COMPUTED_VALUE"""),"661-42727")</f>
        <v>661-42727</v>
      </c>
      <c r="E4328" s="2" t="str">
        <f>IFERROR(__xludf.DUMMYFUNCTION("""COMPUTED_VALUE"""),"TrueDepth Camera, iPhone 16 Pro")</f>
        <v>TrueDepth Camera, iPhone 16 Pro</v>
      </c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</row>
    <row r="4329">
      <c r="A4329" s="10" t="str">
        <f t="shared" si="1"/>
        <v>January</v>
      </c>
      <c r="B4329" s="11">
        <f>IFERROR(__xludf.DUMMYFUNCTION("""COMPUTED_VALUE"""),46051.0)</f>
        <v>46051</v>
      </c>
      <c r="C4329" s="2" t="str">
        <f>IFERROR(__xludf.DUMMYFUNCTION("""COMPUTED_VALUE"""),"MOBILECARE - APP BONIFACIO HIGH STREET")</f>
        <v>MOBILECARE - APP BONIFACIO HIGH STREET</v>
      </c>
      <c r="D4329" s="2" t="str">
        <f>IFERROR(__xludf.DUMMYFUNCTION("""COMPUTED_VALUE"""),"923-10746")</f>
        <v>923-10746</v>
      </c>
      <c r="E4329" s="2" t="str">
        <f>IFERROR(__xludf.DUMMYFUNCTION("""COMPUTED_VALUE"""),"Bottom Speaker, iPhone 16 Pro")</f>
        <v>Bottom Speaker, iPhone 16 Pro</v>
      </c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</row>
    <row r="4330">
      <c r="A4330" s="10" t="str">
        <f t="shared" si="1"/>
        <v>May</v>
      </c>
      <c r="B4330" s="11">
        <f>IFERROR(__xludf.DUMMYFUNCTION("""COMPUTED_VALUE"""),46162.0)</f>
        <v>46162</v>
      </c>
      <c r="C4330" s="2" t="str">
        <f>IFERROR(__xludf.DUMMYFUNCTION("""COMPUTED_VALUE"""),"MOBILECARE - APP BONIFACIO HIGH STREET")</f>
        <v>MOBILECARE - APP BONIFACIO HIGH STREET</v>
      </c>
      <c r="D4330" s="2" t="str">
        <f>IFERROR(__xludf.DUMMYFUNCTION("""COMPUTED_VALUE"""),"661-30373")</f>
        <v>661-30373</v>
      </c>
      <c r="E4330" s="2" t="str">
        <f>IFERROR(__xludf.DUMMYFUNCTION("""COMPUTED_VALUE"""),"Battery, iPhone 14")</f>
        <v>Battery, iPhone 14</v>
      </c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</row>
    <row r="4331">
      <c r="A4331" s="10" t="str">
        <f t="shared" si="1"/>
        <v>May</v>
      </c>
      <c r="B4331" s="11">
        <f>IFERROR(__xludf.DUMMYFUNCTION("""COMPUTED_VALUE"""),46154.0)</f>
        <v>46154</v>
      </c>
      <c r="C4331" s="2" t="str">
        <f>IFERROR(__xludf.DUMMYFUNCTION("""COMPUTED_VALUE"""),"MOBILECARE - APP BONIFACIO HIGH STREET")</f>
        <v>MOBILECARE - APP BONIFACIO HIGH STREET</v>
      </c>
      <c r="D4331" s="2" t="str">
        <f>IFERROR(__xludf.DUMMYFUNCTION("""COMPUTED_VALUE"""),"661-35694")</f>
        <v>661-35694</v>
      </c>
      <c r="E4331" s="2" t="str">
        <f>IFERROR(__xludf.DUMMYFUNCTION("""COMPUTED_VALUE"""),"Battery, iPhone 15 Pro")</f>
        <v>Battery, iPhone 15 Pro</v>
      </c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</row>
    <row r="4332">
      <c r="A4332" s="10" t="str">
        <f t="shared" si="1"/>
        <v>March</v>
      </c>
      <c r="B4332" s="11">
        <f>IFERROR(__xludf.DUMMYFUNCTION("""COMPUTED_VALUE"""),46110.0)</f>
        <v>46110</v>
      </c>
      <c r="C4332" s="2" t="str">
        <f>IFERROR(__xludf.DUMMYFUNCTION("""COMPUTED_VALUE"""),"MOBILECARE - APP BONIFACIO HIGH STREET")</f>
        <v>MOBILECARE - APP BONIFACIO HIGH STREET</v>
      </c>
      <c r="D4332" s="2" t="str">
        <f>IFERROR(__xludf.DUMMYFUNCTION("""COMPUTED_VALUE"""),"661-35694")</f>
        <v>661-35694</v>
      </c>
      <c r="E4332" s="2" t="str">
        <f>IFERROR(__xludf.DUMMYFUNCTION("""COMPUTED_VALUE"""),"Battery, iPhone 15 Pro")</f>
        <v>Battery, iPhone 15 Pro</v>
      </c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</row>
    <row r="4333">
      <c r="A4333" s="10" t="str">
        <f t="shared" si="1"/>
        <v>March</v>
      </c>
      <c r="B4333" s="11">
        <f>IFERROR(__xludf.DUMMYFUNCTION("""COMPUTED_VALUE"""),46093.0)</f>
        <v>46093</v>
      </c>
      <c r="C4333" s="2" t="str">
        <f>IFERROR(__xludf.DUMMYFUNCTION("""COMPUTED_VALUE"""),"MOBILECARE - APP BONIFACIO HIGH STREET")</f>
        <v>MOBILECARE - APP BONIFACIO HIGH STREET</v>
      </c>
      <c r="D4333" s="2" t="str">
        <f>IFERROR(__xludf.DUMMYFUNCTION("""COMPUTED_VALUE"""),"661-21991")</f>
        <v>661-21991</v>
      </c>
      <c r="E4333" s="2" t="str">
        <f>IFERROR(__xludf.DUMMYFUNCTION("""COMPUTED_VALUE"""),"Battery, iPhone 13")</f>
        <v>Battery, iPhone 13</v>
      </c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</row>
    <row r="4334">
      <c r="A4334" s="10" t="str">
        <f t="shared" si="1"/>
        <v>April</v>
      </c>
      <c r="B4334" s="11">
        <f>IFERROR(__xludf.DUMMYFUNCTION("""COMPUTED_VALUE"""),46119.0)</f>
        <v>46119</v>
      </c>
      <c r="C4334" s="2" t="str">
        <f>IFERROR(__xludf.DUMMYFUNCTION("""COMPUTED_VALUE"""),"MOBILECARE - APP BONIFACIO HIGH STREET")</f>
        <v>MOBILECARE - APP BONIFACIO HIGH STREET</v>
      </c>
      <c r="D4334" s="2" t="str">
        <f>IFERROR(__xludf.DUMMYFUNCTION("""COMPUTED_VALUE"""),"661-21996")</f>
        <v>661-21996</v>
      </c>
      <c r="E4334" s="2" t="str">
        <f>IFERROR(__xludf.DUMMYFUNCTION("""COMPUTED_VALUE"""),"Battery, iPhone 13 Pro")</f>
        <v>Battery, iPhone 13 Pro</v>
      </c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</row>
    <row r="4335">
      <c r="A4335" s="10" t="str">
        <f t="shared" si="1"/>
        <v>February</v>
      </c>
      <c r="B4335" s="11">
        <f>IFERROR(__xludf.DUMMYFUNCTION("""COMPUTED_VALUE"""),46064.0)</f>
        <v>46064</v>
      </c>
      <c r="C4335" s="2" t="str">
        <f>IFERROR(__xludf.DUMMYFUNCTION("""COMPUTED_VALUE"""),"MOBILECARE - APP BONIFACIO HIGH STREET")</f>
        <v>MOBILECARE - APP BONIFACIO HIGH STREET</v>
      </c>
      <c r="D4335" s="2" t="str">
        <f>IFERROR(__xludf.DUMMYFUNCTION("""COMPUTED_VALUE"""),"661-30370")</f>
        <v>661-30370</v>
      </c>
      <c r="E4335" s="2" t="str">
        <f>IFERROR(__xludf.DUMMYFUNCTION("""COMPUTED_VALUE"""),"Camera, iPhone 14")</f>
        <v>Camera, iPhone 14</v>
      </c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</row>
    <row r="4336">
      <c r="A4336" s="10" t="str">
        <f t="shared" si="1"/>
        <v>April</v>
      </c>
      <c r="B4336" s="11">
        <f>IFERROR(__xludf.DUMMYFUNCTION("""COMPUTED_VALUE"""),46120.0)</f>
        <v>46120</v>
      </c>
      <c r="C4336" s="2" t="str">
        <f>IFERROR(__xludf.DUMMYFUNCTION("""COMPUTED_VALUE"""),"MOBILECARE - APP BONIFACIO HIGH STREET")</f>
        <v>MOBILECARE - APP BONIFACIO HIGH STREET</v>
      </c>
      <c r="D4336" s="2" t="str">
        <f>IFERROR(__xludf.DUMMYFUNCTION("""COMPUTED_VALUE"""),"661-35699")</f>
        <v>661-35699</v>
      </c>
      <c r="E4336" s="2" t="str">
        <f>IFERROR(__xludf.DUMMYFUNCTION("""COMPUTED_VALUE"""),"Display, iPhone 15 Pro")</f>
        <v>Display, iPhone 15 Pro</v>
      </c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</row>
    <row r="4337">
      <c r="A4337" s="10" t="str">
        <f t="shared" si="1"/>
        <v>April</v>
      </c>
      <c r="B4337" s="11">
        <f>IFERROR(__xludf.DUMMYFUNCTION("""COMPUTED_VALUE"""),46120.0)</f>
        <v>46120</v>
      </c>
      <c r="C4337" s="2" t="str">
        <f>IFERROR(__xludf.DUMMYFUNCTION("""COMPUTED_VALUE"""),"MOBILECARE - APP BONIFACIO HIGH STREET")</f>
        <v>MOBILECARE - APP BONIFACIO HIGH STREET</v>
      </c>
      <c r="D4337" s="2" t="str">
        <f>IFERROR(__xludf.DUMMYFUNCTION("""COMPUTED_VALUE"""),"661-35696")</f>
        <v>661-35696</v>
      </c>
      <c r="E4337" s="2" t="str">
        <f>IFERROR(__xludf.DUMMYFUNCTION("""COMPUTED_VALUE"""),"Camera , iPhone 15 Pro")</f>
        <v>Camera , iPhone 15 Pro</v>
      </c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</row>
    <row r="4338">
      <c r="A4338" s="10" t="str">
        <f t="shared" si="1"/>
        <v>June</v>
      </c>
      <c r="B4338" s="11">
        <f>IFERROR(__xludf.DUMMYFUNCTION("""COMPUTED_VALUE"""),46179.0)</f>
        <v>46179</v>
      </c>
      <c r="C4338" s="2" t="str">
        <f>IFERROR(__xludf.DUMMYFUNCTION("""COMPUTED_VALUE"""),"MOBILECARE - ZAMBOANGA")</f>
        <v>MOBILECARE - ZAMBOANGA</v>
      </c>
      <c r="D4338" s="2" t="str">
        <f>IFERROR(__xludf.DUMMYFUNCTION("""COMPUTED_VALUE"""),"PP661-23455")</f>
        <v>PP661-23455</v>
      </c>
      <c r="E4338" s="2" t="str">
        <f>IFERROR(__xludf.DUMMYFUNCTION("""COMPUTED_VALUE"""),"iPhone 13, Starlight, 128GB, Logic Board Assy Rear System, ROW")</f>
        <v>iPhone 13, Starlight, 128GB, Logic Board Assy Rear System, ROW</v>
      </c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</row>
    <row r="4339">
      <c r="A4339" s="10" t="str">
        <f t="shared" si="1"/>
        <v>March</v>
      </c>
      <c r="B4339" s="11">
        <f>IFERROR(__xludf.DUMMYFUNCTION("""COMPUTED_VALUE"""),46093.0)</f>
        <v>46093</v>
      </c>
      <c r="C4339" s="2" t="str">
        <f>IFERROR(__xludf.DUMMYFUNCTION("""COMPUTED_VALUE"""),"MOBILECARE - ZAMBOANGA")</f>
        <v>MOBILECARE - ZAMBOANGA</v>
      </c>
      <c r="D4339" s="2" t="str">
        <f>IFERROR(__xludf.DUMMYFUNCTION("""COMPUTED_VALUE"""),"661-36706")</f>
        <v>661-36706</v>
      </c>
      <c r="E4339" s="2" t="str">
        <f>IFERROR(__xludf.DUMMYFUNCTION("""COMPUTED_VALUE"""),"Display, iPhone 15")</f>
        <v>Display, iPhone 15</v>
      </c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</row>
    <row r="4340">
      <c r="A4340" s="10" t="str">
        <f t="shared" si="1"/>
        <v>March</v>
      </c>
      <c r="B4340" s="11">
        <f>IFERROR(__xludf.DUMMYFUNCTION("""COMPUTED_VALUE"""),46083.0)</f>
        <v>46083</v>
      </c>
      <c r="C4340" s="2" t="str">
        <f>IFERROR(__xludf.DUMMYFUNCTION("""COMPUTED_VALUE"""),"MOBILECARE - ZAMBOANGA")</f>
        <v>MOBILECARE - ZAMBOANGA</v>
      </c>
      <c r="D4340" s="2" t="str">
        <f>IFERROR(__xludf.DUMMYFUNCTION("""COMPUTED_VALUE"""),"661-21991")</f>
        <v>661-21991</v>
      </c>
      <c r="E4340" s="2" t="str">
        <f>IFERROR(__xludf.DUMMYFUNCTION("""COMPUTED_VALUE"""),"Battery, iPhone 13")</f>
        <v>Battery, iPhone 13</v>
      </c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</row>
    <row r="4341">
      <c r="A4341" s="10" t="str">
        <f t="shared" si="1"/>
        <v>May</v>
      </c>
      <c r="B4341" s="11">
        <f>IFERROR(__xludf.DUMMYFUNCTION("""COMPUTED_VALUE"""),46147.0)</f>
        <v>46147</v>
      </c>
      <c r="C4341" s="2" t="str">
        <f>IFERROR(__xludf.DUMMYFUNCTION("""COMPUTED_VALUE"""),"MOBILECARE - ZAMBOANGA")</f>
        <v>MOBILECARE - ZAMBOANGA</v>
      </c>
      <c r="D4341" s="2" t="str">
        <f>IFERROR(__xludf.DUMMYFUNCTION("""COMPUTED_VALUE"""),"661-42726")</f>
        <v>661-42726</v>
      </c>
      <c r="E4341" s="2" t="str">
        <f>IFERROR(__xludf.DUMMYFUNCTION("""COMPUTED_VALUE"""),"Display, iPhone 16 Pro")</f>
        <v>Display, iPhone 16 Pro</v>
      </c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</row>
    <row r="4342">
      <c r="A4342" s="10" t="str">
        <f t="shared" si="1"/>
        <v>April</v>
      </c>
      <c r="B4342" s="11">
        <f>IFERROR(__xludf.DUMMYFUNCTION("""COMPUTED_VALUE"""),46119.0)</f>
        <v>46119</v>
      </c>
      <c r="C4342" s="2" t="str">
        <f>IFERROR(__xludf.DUMMYFUNCTION("""COMPUTED_VALUE"""),"MOBILECARE - ZAMBOANGA")</f>
        <v>MOBILECARE - ZAMBOANGA</v>
      </c>
      <c r="D4342" s="2" t="str">
        <f>IFERROR(__xludf.DUMMYFUNCTION("""COMPUTED_VALUE"""),"661-36915")</f>
        <v>661-36915</v>
      </c>
      <c r="E4342" s="2" t="str">
        <f>IFERROR(__xludf.DUMMYFUNCTION("""COMPUTED_VALUE"""),"Display, iPhone 15 Pro Max")</f>
        <v>Display, iPhone 15 Pro Max</v>
      </c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</row>
    <row r="4343">
      <c r="A4343" s="10" t="str">
        <f t="shared" si="1"/>
        <v>March</v>
      </c>
      <c r="B4343" s="11">
        <f>IFERROR(__xludf.DUMMYFUNCTION("""COMPUTED_VALUE"""),46083.0)</f>
        <v>46083</v>
      </c>
      <c r="C4343" s="2" t="str">
        <f>IFERROR(__xludf.DUMMYFUNCTION("""COMPUTED_VALUE"""),"MOBILECARE - ZAMBOANGA")</f>
        <v>MOBILECARE - ZAMBOANGA</v>
      </c>
      <c r="D4343" s="2" t="str">
        <f>IFERROR(__xludf.DUMMYFUNCTION("""COMPUTED_VALUE"""),"PP661-23455")</f>
        <v>PP661-23455</v>
      </c>
      <c r="E4343" s="2" t="str">
        <f>IFERROR(__xludf.DUMMYFUNCTION("""COMPUTED_VALUE"""),"iPhone 13, Starlight, 128GB, Logic Board Assy Rear System, ROW")</f>
        <v>iPhone 13, Starlight, 128GB, Logic Board Assy Rear System, ROW</v>
      </c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</row>
    <row r="4344">
      <c r="A4344" s="10" t="str">
        <f t="shared" si="1"/>
        <v>June</v>
      </c>
      <c r="B4344" s="11">
        <f>IFERROR(__xludf.DUMMYFUNCTION("""COMPUTED_VALUE"""),46178.0)</f>
        <v>46178</v>
      </c>
      <c r="C4344" s="2" t="str">
        <f>IFERROR(__xludf.DUMMYFUNCTION("""COMPUTED_VALUE"""),"MOBILECARE - ZAMBOANGA")</f>
        <v>MOBILECARE - ZAMBOANGA</v>
      </c>
      <c r="D4344" s="2" t="str">
        <f>IFERROR(__xludf.DUMMYFUNCTION("""COMPUTED_VALUE"""),"661-22309")</f>
        <v>661-22309</v>
      </c>
      <c r="E4344" s="2" t="str">
        <f>IFERROR(__xludf.DUMMYFUNCTION("""COMPUTED_VALUE"""),"Display, iPhone 13 Pro Max")</f>
        <v>Display, iPhone 13 Pro Max</v>
      </c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</row>
    <row r="4345">
      <c r="A4345" s="10" t="str">
        <f t="shared" si="1"/>
        <v>June</v>
      </c>
      <c r="B4345" s="11">
        <f>IFERROR(__xludf.DUMMYFUNCTION("""COMPUTED_VALUE"""),46189.0)</f>
        <v>46189</v>
      </c>
      <c r="C4345" s="2" t="str">
        <f>IFERROR(__xludf.DUMMYFUNCTION("""COMPUTED_VALUE"""),"MOBILECARE - ZAMBOANGA")</f>
        <v>MOBILECARE - ZAMBOANGA</v>
      </c>
      <c r="D4345" s="2" t="str">
        <f>IFERROR(__xludf.DUMMYFUNCTION("""COMPUTED_VALUE"""),"661-56055")</f>
        <v>661-56055</v>
      </c>
      <c r="E4345" s="2" t="str">
        <f>IFERROR(__xludf.DUMMYFUNCTION("""COMPUTED_VALUE"""),"Deep Blue, Back Glass, iPhone 17 Pro Max")</f>
        <v>Deep Blue, Back Glass, iPhone 17 Pro Max</v>
      </c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</row>
    <row r="4346">
      <c r="A4346" s="10" t="str">
        <f t="shared" si="1"/>
        <v>June</v>
      </c>
      <c r="B4346" s="11">
        <f>IFERROR(__xludf.DUMMYFUNCTION("""COMPUTED_VALUE"""),46189.0)</f>
        <v>46189</v>
      </c>
      <c r="C4346" s="2" t="str">
        <f>IFERROR(__xludf.DUMMYFUNCTION("""COMPUTED_VALUE"""),"MOBILECARE - ZAMBOANGA")</f>
        <v>MOBILECARE - ZAMBOANGA</v>
      </c>
      <c r="D4346" s="2" t="str">
        <f>IFERROR(__xludf.DUMMYFUNCTION("""COMPUTED_VALUE"""),"661-56050")</f>
        <v>661-56050</v>
      </c>
      <c r="E4346" s="2" t="str">
        <f>IFERROR(__xludf.DUMMYFUNCTION("""COMPUTED_VALUE"""),"Display, iPhone 17 Pro Max")</f>
        <v>Display, iPhone 17 Pro Max</v>
      </c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</row>
    <row r="4347">
      <c r="A4347" s="10" t="str">
        <f t="shared" si="1"/>
        <v>March</v>
      </c>
      <c r="B4347" s="11">
        <f>IFERROR(__xludf.DUMMYFUNCTION("""COMPUTED_VALUE"""),46087.0)</f>
        <v>46087</v>
      </c>
      <c r="C4347" s="2" t="str">
        <f>IFERROR(__xludf.DUMMYFUNCTION("""COMPUTED_VALUE"""),"MOBILECARE - ZAMBOANGA")</f>
        <v>MOBILECARE - ZAMBOANGA</v>
      </c>
      <c r="D4347" s="2" t="str">
        <f>IFERROR(__xludf.DUMMYFUNCTION("""COMPUTED_VALUE"""),"661-22309")</f>
        <v>661-22309</v>
      </c>
      <c r="E4347" s="2" t="str">
        <f>IFERROR(__xludf.DUMMYFUNCTION("""COMPUTED_VALUE"""),"Display, iPhone 13 Pro Max")</f>
        <v>Display, iPhone 13 Pro Max</v>
      </c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</row>
    <row r="4348">
      <c r="A4348" s="10" t="str">
        <f t="shared" si="1"/>
        <v>June</v>
      </c>
      <c r="B4348" s="11">
        <f>IFERROR(__xludf.DUMMYFUNCTION("""COMPUTED_VALUE"""),46193.0)</f>
        <v>46193</v>
      </c>
      <c r="C4348" s="2" t="str">
        <f>IFERROR(__xludf.DUMMYFUNCTION("""COMPUTED_VALUE"""),"MOBILECARE - ZAMBOANGA")</f>
        <v>MOBILECARE - ZAMBOANGA</v>
      </c>
      <c r="D4348" s="2" t="str">
        <f>IFERROR(__xludf.DUMMYFUNCTION("""COMPUTED_VALUE"""),"TA661-36294")</f>
        <v>TA661-36294</v>
      </c>
      <c r="E4348" s="2" t="str">
        <f>IFERROR(__xludf.DUMMYFUNCTION("""COMPUTED_VALUE"""),"Blue, iPhone 15, 256GB, ROW, CI/AR, Taiwan")</f>
        <v>Blue, iPhone 15, 256GB, ROW, CI/AR, Taiwan</v>
      </c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</row>
    <row r="4349">
      <c r="A4349" s="10" t="str">
        <f t="shared" si="1"/>
        <v>April</v>
      </c>
      <c r="B4349" s="11">
        <f>IFERROR(__xludf.DUMMYFUNCTION("""COMPUTED_VALUE"""),46114.0)</f>
        <v>46114</v>
      </c>
      <c r="C4349" s="2" t="str">
        <f>IFERROR(__xludf.DUMMYFUNCTION("""COMPUTED_VALUE"""),"MOBILECARE - ZAMBOANGA")</f>
        <v>MOBILECARE - ZAMBOANGA</v>
      </c>
      <c r="D4349" s="2" t="str">
        <f>IFERROR(__xludf.DUMMYFUNCTION("""COMPUTED_VALUE"""),"661-21988")</f>
        <v>661-21988</v>
      </c>
      <c r="E4349" s="2" t="str">
        <f>IFERROR(__xludf.DUMMYFUNCTION("""COMPUTED_VALUE"""),"Display, iPhone 13")</f>
        <v>Display, iPhone 13</v>
      </c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</row>
    <row r="4350">
      <c r="A4350" s="10" t="str">
        <f t="shared" si="1"/>
        <v>February</v>
      </c>
      <c r="B4350" s="11">
        <f>IFERROR(__xludf.DUMMYFUNCTION("""COMPUTED_VALUE"""),46078.0)</f>
        <v>46078</v>
      </c>
      <c r="C4350" s="2" t="str">
        <f>IFERROR(__xludf.DUMMYFUNCTION("""COMPUTED_VALUE"""),"MOBILECARE - ZAMBOANGA")</f>
        <v>MOBILECARE - ZAMBOANGA</v>
      </c>
      <c r="D4350" s="2" t="str">
        <f>IFERROR(__xludf.DUMMYFUNCTION("""COMPUTED_VALUE"""),"TA661-36694")</f>
        <v>TA661-36694</v>
      </c>
      <c r="E4350" s="2" t="str">
        <f>IFERROR(__xludf.DUMMYFUNCTION("""COMPUTED_VALUE"""),"iPhone 15, Blue, 128GB, Logic Board Assy Mid System, ROW")</f>
        <v>iPhone 15, Blue, 128GB, Logic Board Assy Mid System, ROW</v>
      </c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</row>
    <row r="4351">
      <c r="A4351" s="10" t="str">
        <f t="shared" si="1"/>
        <v>February</v>
      </c>
      <c r="B4351" s="11">
        <f>IFERROR(__xludf.DUMMYFUNCTION("""COMPUTED_VALUE"""),46059.0)</f>
        <v>46059</v>
      </c>
      <c r="C4351" s="2" t="str">
        <f>IFERROR(__xludf.DUMMYFUNCTION("""COMPUTED_VALUE"""),"MOBILECARE - ZAMBOANGA")</f>
        <v>MOBILECARE - ZAMBOANGA</v>
      </c>
      <c r="D4351" s="2" t="str">
        <f>IFERROR(__xludf.DUMMYFUNCTION("""COMPUTED_VALUE"""),"661-56055")</f>
        <v>661-56055</v>
      </c>
      <c r="E4351" s="2" t="str">
        <f>IFERROR(__xludf.DUMMYFUNCTION("""COMPUTED_VALUE"""),"Deep Blue, Back Glass, iPhone 17 Pro Max")</f>
        <v>Deep Blue, Back Glass, iPhone 17 Pro Max</v>
      </c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</row>
    <row r="4352">
      <c r="A4352" s="10" t="str">
        <f t="shared" si="1"/>
        <v>February</v>
      </c>
      <c r="B4352" s="11">
        <f>IFERROR(__xludf.DUMMYFUNCTION("""COMPUTED_VALUE"""),46059.0)</f>
        <v>46059</v>
      </c>
      <c r="C4352" s="2" t="str">
        <f>IFERROR(__xludf.DUMMYFUNCTION("""COMPUTED_VALUE"""),"MOBILECARE - ZAMBOANGA")</f>
        <v>MOBILECARE - ZAMBOANGA</v>
      </c>
      <c r="D4352" s="2" t="str">
        <f>IFERROR(__xludf.DUMMYFUNCTION("""COMPUTED_VALUE"""),"661-56050")</f>
        <v>661-56050</v>
      </c>
      <c r="E4352" s="2" t="str">
        <f>IFERROR(__xludf.DUMMYFUNCTION("""COMPUTED_VALUE"""),"Display, iPhone 17 Pro Max")</f>
        <v>Display, iPhone 17 Pro Max</v>
      </c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</row>
    <row r="4353">
      <c r="A4353" s="10" t="str">
        <f t="shared" si="1"/>
        <v>February</v>
      </c>
      <c r="B4353" s="11">
        <f>IFERROR(__xludf.DUMMYFUNCTION("""COMPUTED_VALUE"""),46062.0)</f>
        <v>46062</v>
      </c>
      <c r="C4353" s="2" t="str">
        <f>IFERROR(__xludf.DUMMYFUNCTION("""COMPUTED_VALUE"""),"MOBILECARE - ZAMBOANGA")</f>
        <v>MOBILECARE - ZAMBOANGA</v>
      </c>
      <c r="D4353" s="2" t="str">
        <f>IFERROR(__xludf.DUMMYFUNCTION("""COMPUTED_VALUE"""),"TA661-36695")</f>
        <v>TA661-36695</v>
      </c>
      <c r="E4353" s="2" t="str">
        <f>IFERROR(__xludf.DUMMYFUNCTION("""COMPUTED_VALUE"""),"iPhone 15, Green, 128GB, Logic Board Assy Mid System, ROW")</f>
        <v>iPhone 15, Green, 128GB, Logic Board Assy Mid System, ROW</v>
      </c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</row>
    <row r="4354">
      <c r="A4354" s="10" t="str">
        <f t="shared" si="1"/>
        <v>June</v>
      </c>
      <c r="B4354" s="11">
        <f>IFERROR(__xludf.DUMMYFUNCTION("""COMPUTED_VALUE"""),46190.0)</f>
        <v>46190</v>
      </c>
      <c r="C4354" s="2" t="str">
        <f>IFERROR(__xludf.DUMMYFUNCTION("""COMPUTED_VALUE"""),"MOBILECARE - ZAMBOANGA")</f>
        <v>MOBILECARE - ZAMBOANGA</v>
      </c>
      <c r="D4354" s="2" t="str">
        <f>IFERROR(__xludf.DUMMYFUNCTION("""COMPUTED_VALUE"""),"661-42843")</f>
        <v>661-42843</v>
      </c>
      <c r="E4354" s="2" t="str">
        <f>IFERROR(__xludf.DUMMYFUNCTION("""COMPUTED_VALUE"""),"Display, iPhone 16 Plus")</f>
        <v>Display, iPhone 16 Plus</v>
      </c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</row>
    <row r="4355">
      <c r="A4355" s="10" t="str">
        <f t="shared" si="1"/>
        <v>June</v>
      </c>
      <c r="B4355" s="11">
        <f>IFERROR(__xludf.DUMMYFUNCTION("""COMPUTED_VALUE"""),46192.0)</f>
        <v>46192</v>
      </c>
      <c r="C4355" s="2" t="str">
        <f>IFERROR(__xludf.DUMMYFUNCTION("""COMPUTED_VALUE"""),"MOBILECARE - ZAMBOANGA")</f>
        <v>MOBILECARE - ZAMBOANGA</v>
      </c>
      <c r="D4355" s="2" t="str">
        <f>IFERROR(__xludf.DUMMYFUNCTION("""COMPUTED_VALUE"""),"661-17920")</f>
        <v>661-17920</v>
      </c>
      <c r="E4355" s="2" t="str">
        <f>IFERROR(__xludf.DUMMYFUNCTION("""COMPUTED_VALUE"""),"Battery, iPhone 12 and 12 Pro")</f>
        <v>Battery, iPhone 12 and 12 Pro</v>
      </c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</row>
    <row r="4356">
      <c r="A4356" s="10" t="str">
        <f t="shared" si="1"/>
        <v>June</v>
      </c>
      <c r="B4356" s="11">
        <f>IFERROR(__xludf.DUMMYFUNCTION("""COMPUTED_VALUE"""),46193.0)</f>
        <v>46193</v>
      </c>
      <c r="C4356" s="2" t="str">
        <f>IFERROR(__xludf.DUMMYFUNCTION("""COMPUTED_VALUE"""),"MOBILECARE - ZAMBOANGA")</f>
        <v>MOBILECARE - ZAMBOANGA</v>
      </c>
      <c r="D4356" s="2" t="str">
        <f>IFERROR(__xludf.DUMMYFUNCTION("""COMPUTED_VALUE"""),"661-17920")</f>
        <v>661-17920</v>
      </c>
      <c r="E4356" s="2" t="str">
        <f>IFERROR(__xludf.DUMMYFUNCTION("""COMPUTED_VALUE"""),"Battery, iPhone 12 and 12 Pro")</f>
        <v>Battery, iPhone 12 and 12 Pro</v>
      </c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</row>
    <row r="4357">
      <c r="A4357" s="10" t="str">
        <f t="shared" si="1"/>
        <v>March</v>
      </c>
      <c r="B4357" s="11">
        <f>IFERROR(__xludf.DUMMYFUNCTION("""COMPUTED_VALUE"""),46084.0)</f>
        <v>46084</v>
      </c>
      <c r="C4357" s="2" t="str">
        <f>IFERROR(__xludf.DUMMYFUNCTION("""COMPUTED_VALUE"""),"MOBILECARE - ZAMBOANGA")</f>
        <v>MOBILECARE - ZAMBOANGA</v>
      </c>
      <c r="D4357" s="2" t="str">
        <f>IFERROR(__xludf.DUMMYFUNCTION("""COMPUTED_VALUE"""),"661-18428")</f>
        <v>661-18428</v>
      </c>
      <c r="E4357" s="2" t="str">
        <f>IFERROR(__xludf.DUMMYFUNCTION("""COMPUTED_VALUE"""),"Battery, iPhone 12 Pro Max")</f>
        <v>Battery, iPhone 12 Pro Max</v>
      </c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</row>
    <row r="4358">
      <c r="A4358" s="10" t="str">
        <f t="shared" si="1"/>
        <v>March</v>
      </c>
      <c r="B4358" s="11">
        <f>IFERROR(__xludf.DUMMYFUNCTION("""COMPUTED_VALUE"""),46097.0)</f>
        <v>46097</v>
      </c>
      <c r="C4358" s="2" t="str">
        <f>IFERROR(__xludf.DUMMYFUNCTION("""COMPUTED_VALUE"""),"MOBILECARE - ZAMBOANGA")</f>
        <v>MOBILECARE - ZAMBOANGA</v>
      </c>
      <c r="D4358" s="2" t="str">
        <f>IFERROR(__xludf.DUMMYFUNCTION("""COMPUTED_VALUE"""),"PP661-23455")</f>
        <v>PP661-23455</v>
      </c>
      <c r="E4358" s="2" t="str">
        <f>IFERROR(__xludf.DUMMYFUNCTION("""COMPUTED_VALUE"""),"iPhone 13, Starlight, 128GB, Logic Board Assy Rear System, ROW")</f>
        <v>iPhone 13, Starlight, 128GB, Logic Board Assy Rear System, ROW</v>
      </c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</row>
    <row r="4359">
      <c r="A4359" s="10" t="str">
        <f t="shared" si="1"/>
        <v>February</v>
      </c>
      <c r="B4359" s="11">
        <f>IFERROR(__xludf.DUMMYFUNCTION("""COMPUTED_VALUE"""),46059.0)</f>
        <v>46059</v>
      </c>
      <c r="C4359" s="2" t="str">
        <f>IFERROR(__xludf.DUMMYFUNCTION("""COMPUTED_VALUE"""),"MOBILECARE - ZAMBOANGA")</f>
        <v>MOBILECARE - ZAMBOANGA</v>
      </c>
      <c r="D4359" s="2" t="str">
        <f>IFERROR(__xludf.DUMMYFUNCTION("""COMPUTED_VALUE"""),"Z661-55956")</f>
        <v>Z661-55956</v>
      </c>
      <c r="E4359" s="2" t="str">
        <f>IFERROR(__xludf.DUMMYFUNCTION("""COMPUTED_VALUE"""),"Logic Board, 256GB, iPhone 17 Pro Max, ROW")</f>
        <v>Logic Board, 256GB, iPhone 17 Pro Max, ROW</v>
      </c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</row>
    <row r="4360">
      <c r="A4360" s="10" t="str">
        <f t="shared" si="1"/>
        <v>March</v>
      </c>
      <c r="B4360" s="11">
        <f>IFERROR(__xludf.DUMMYFUNCTION("""COMPUTED_VALUE"""),46098.0)</f>
        <v>46098</v>
      </c>
      <c r="C4360" s="2" t="str">
        <f>IFERROR(__xludf.DUMMYFUNCTION("""COMPUTED_VALUE"""),"MOBILECARE - ZAMBOANGA")</f>
        <v>MOBILECARE - ZAMBOANGA</v>
      </c>
      <c r="D4360" s="2" t="str">
        <f>IFERROR(__xludf.DUMMYFUNCTION("""COMPUTED_VALUE"""),"PP661-23455")</f>
        <v>PP661-23455</v>
      </c>
      <c r="E4360" s="2" t="str">
        <f>IFERROR(__xludf.DUMMYFUNCTION("""COMPUTED_VALUE"""),"iPhone 13, Starlight, 128GB, Logic Board Assy Rear System, ROW")</f>
        <v>iPhone 13, Starlight, 128GB, Logic Board Assy Rear System, ROW</v>
      </c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</row>
    <row r="4361">
      <c r="A4361" s="10" t="str">
        <f t="shared" si="1"/>
        <v>March</v>
      </c>
      <c r="B4361" s="11">
        <f>IFERROR(__xludf.DUMMYFUNCTION("""COMPUTED_VALUE"""),46100.0)</f>
        <v>46100</v>
      </c>
      <c r="C4361" s="2" t="str">
        <f>IFERROR(__xludf.DUMMYFUNCTION("""COMPUTED_VALUE"""),"MOBILECARE - ZAMBOANGA")</f>
        <v>MOBILECARE - ZAMBOANGA</v>
      </c>
      <c r="D4361" s="2" t="str">
        <f>IFERROR(__xludf.DUMMYFUNCTION("""COMPUTED_VALUE"""),"Z661-55956")</f>
        <v>Z661-55956</v>
      </c>
      <c r="E4361" s="2" t="str">
        <f>IFERROR(__xludf.DUMMYFUNCTION("""COMPUTED_VALUE"""),"Logic Board, 256GB, iPhone 17 Pro Max, ROW")</f>
        <v>Logic Board, 256GB, iPhone 17 Pro Max, ROW</v>
      </c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</row>
    <row r="4362">
      <c r="A4362" s="10" t="str">
        <f t="shared" si="1"/>
        <v>June</v>
      </c>
      <c r="B4362" s="11">
        <f>IFERROR(__xludf.DUMMYFUNCTION("""COMPUTED_VALUE"""),46180.0)</f>
        <v>46180</v>
      </c>
      <c r="C4362" s="2" t="str">
        <f>IFERROR(__xludf.DUMMYFUNCTION("""COMPUTED_VALUE"""),"MOBILECARE - ZAMBOANGA")</f>
        <v>MOBILECARE - ZAMBOANGA</v>
      </c>
      <c r="D4362" s="2" t="str">
        <f>IFERROR(__xludf.DUMMYFUNCTION("""COMPUTED_VALUE"""),"661-21996")</f>
        <v>661-21996</v>
      </c>
      <c r="E4362" s="2" t="str">
        <f>IFERROR(__xludf.DUMMYFUNCTION("""COMPUTED_VALUE"""),"Battery, iPhone 13 Pro")</f>
        <v>Battery, iPhone 13 Pro</v>
      </c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</row>
    <row r="4363">
      <c r="A4363" s="10" t="str">
        <f t="shared" si="1"/>
        <v>March</v>
      </c>
      <c r="B4363" s="11">
        <f>IFERROR(__xludf.DUMMYFUNCTION("""COMPUTED_VALUE"""),46084.0)</f>
        <v>46084</v>
      </c>
      <c r="C4363" s="2" t="str">
        <f>IFERROR(__xludf.DUMMYFUNCTION("""COMPUTED_VALUE"""),"MOBILECARE - ZAMBOANGA")</f>
        <v>MOBILECARE - ZAMBOANGA</v>
      </c>
      <c r="D4363" s="2" t="str">
        <f>IFERROR(__xludf.DUMMYFUNCTION("""COMPUTED_VALUE"""),"661-44955")</f>
        <v>661-44955</v>
      </c>
      <c r="E4363" s="2" t="str">
        <f>IFERROR(__xludf.DUMMYFUNCTION("""COMPUTED_VALUE"""),"Display, iPhone 16 Pro Max")</f>
        <v>Display, iPhone 16 Pro Max</v>
      </c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</row>
    <row r="4364">
      <c r="A4364" s="10" t="str">
        <f t="shared" si="1"/>
        <v>February</v>
      </c>
      <c r="B4364" s="11">
        <f>IFERROR(__xludf.DUMMYFUNCTION("""COMPUTED_VALUE"""),46068.0)</f>
        <v>46068</v>
      </c>
      <c r="C4364" s="2" t="str">
        <f>IFERROR(__xludf.DUMMYFUNCTION("""COMPUTED_VALUE"""),"MOBILECARE - ZAMBOANGA")</f>
        <v>MOBILECARE - ZAMBOANGA</v>
      </c>
      <c r="D4364" s="2" t="str">
        <f>IFERROR(__xludf.DUMMYFUNCTION("""COMPUTED_VALUE"""),"661-44955")</f>
        <v>661-44955</v>
      </c>
      <c r="E4364" s="2" t="str">
        <f>IFERROR(__xludf.DUMMYFUNCTION("""COMPUTED_VALUE"""),"Display, iPhone 16 Pro Max")</f>
        <v>Display, iPhone 16 Pro Max</v>
      </c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</row>
    <row r="4365">
      <c r="A4365" s="10" t="str">
        <f t="shared" si="1"/>
        <v>February</v>
      </c>
      <c r="B4365" s="11">
        <f>IFERROR(__xludf.DUMMYFUNCTION("""COMPUTED_VALUE"""),46062.0)</f>
        <v>46062</v>
      </c>
      <c r="C4365" s="2" t="str">
        <f>IFERROR(__xludf.DUMMYFUNCTION("""COMPUTED_VALUE"""),"MOBILECARE - ZAMBOANGA")</f>
        <v>MOBILECARE - ZAMBOANGA</v>
      </c>
      <c r="D4365" s="2" t="str">
        <f>IFERROR(__xludf.DUMMYFUNCTION("""COMPUTED_VALUE"""),"TA661-36691")</f>
        <v>TA661-36691</v>
      </c>
      <c r="E4365" s="2" t="str">
        <f>IFERROR(__xludf.DUMMYFUNCTION("""COMPUTED_VALUE"""),"iPhone 15, Black, 128GB, Logic Board Assy Mid System, ROW")</f>
        <v>iPhone 15, Black, 128GB, Logic Board Assy Mid System, ROW</v>
      </c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</row>
    <row r="4366">
      <c r="A4366" s="10" t="str">
        <f t="shared" si="1"/>
        <v>June</v>
      </c>
      <c r="B4366" s="11">
        <f>IFERROR(__xludf.DUMMYFUNCTION("""COMPUTED_VALUE"""),46192.0)</f>
        <v>46192</v>
      </c>
      <c r="C4366" s="2" t="str">
        <f>IFERROR(__xludf.DUMMYFUNCTION("""COMPUTED_VALUE"""),"MOBILECARE - ZAMBOANGA")</f>
        <v>MOBILECARE - ZAMBOANGA</v>
      </c>
      <c r="D4366" s="2" t="str">
        <f>IFERROR(__xludf.DUMMYFUNCTION("""COMPUTED_VALUE"""),"PP661-23455")</f>
        <v>PP661-23455</v>
      </c>
      <c r="E4366" s="2" t="str">
        <f>IFERROR(__xludf.DUMMYFUNCTION("""COMPUTED_VALUE"""),"iPhone 13, Starlight, 128GB, Logic Board Assy Rear System, ROW")</f>
        <v>iPhone 13, Starlight, 128GB, Logic Board Assy Rear System, ROW</v>
      </c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</row>
    <row r="4367">
      <c r="A4367" s="10" t="str">
        <f t="shared" si="1"/>
        <v>June</v>
      </c>
      <c r="B4367" s="11">
        <f>IFERROR(__xludf.DUMMYFUNCTION("""COMPUTED_VALUE"""),46179.0)</f>
        <v>46179</v>
      </c>
      <c r="C4367" s="2" t="str">
        <f>IFERROR(__xludf.DUMMYFUNCTION("""COMPUTED_VALUE"""),"MOBILECARE - ZAMBOANGA")</f>
        <v>MOBILECARE - ZAMBOANGA</v>
      </c>
      <c r="D4367" s="2" t="str">
        <f>IFERROR(__xludf.DUMMYFUNCTION("""COMPUTED_VALUE"""),"PP661-23454")</f>
        <v>PP661-23454</v>
      </c>
      <c r="E4367" s="2" t="str">
        <f>IFERROR(__xludf.DUMMYFUNCTION("""COMPUTED_VALUE"""),"iPhone 13, Midnight, 128GB, Logic Board Assy Rear System, ROW")</f>
        <v>iPhone 13, Midnight, 128GB, Logic Board Assy Rear System, ROW</v>
      </c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</row>
    <row r="4368">
      <c r="A4368" s="10" t="str">
        <f t="shared" si="1"/>
        <v>June</v>
      </c>
      <c r="B4368" s="11">
        <f>IFERROR(__xludf.DUMMYFUNCTION("""COMPUTED_VALUE"""),46179.0)</f>
        <v>46179</v>
      </c>
      <c r="C4368" s="2" t="str">
        <f>IFERROR(__xludf.DUMMYFUNCTION("""COMPUTED_VALUE"""),"MOBILECARE - ZAMBOANGA")</f>
        <v>MOBILECARE - ZAMBOANGA</v>
      </c>
      <c r="D4368" s="2" t="str">
        <f>IFERROR(__xludf.DUMMYFUNCTION("""COMPUTED_VALUE"""),"PP661-23454")</f>
        <v>PP661-23454</v>
      </c>
      <c r="E4368" s="2" t="str">
        <f>IFERROR(__xludf.DUMMYFUNCTION("""COMPUTED_VALUE"""),"iPhone 13, Midnight, 128GB, Logic Board Assy Rear System, ROW")</f>
        <v>iPhone 13, Midnight, 128GB, Logic Board Assy Rear System, ROW</v>
      </c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</row>
    <row r="4369">
      <c r="A4369" s="10" t="str">
        <f t="shared" si="1"/>
        <v>February</v>
      </c>
      <c r="B4369" s="11">
        <f>IFERROR(__xludf.DUMMYFUNCTION("""COMPUTED_VALUE"""),46075.0)</f>
        <v>46075</v>
      </c>
      <c r="C4369" s="2" t="str">
        <f>IFERROR(__xludf.DUMMYFUNCTION("""COMPUTED_VALUE"""),"MOBILECARE - ZAMBOANGA")</f>
        <v>MOBILECARE - ZAMBOANGA</v>
      </c>
      <c r="D4369" s="2" t="str">
        <f>IFERROR(__xludf.DUMMYFUNCTION("""COMPUTED_VALUE"""),"PP661-28869")</f>
        <v>PP661-28869</v>
      </c>
      <c r="E4369" s="2" t="str">
        <f>IFERROR(__xludf.DUMMYFUNCTION("""COMPUTED_VALUE"""),"iPhone 14, Starlight, 128GB, Logic Board Assy Mid System, ROW")</f>
        <v>iPhone 14, Starlight, 128GB, Logic Board Assy Mid System, ROW</v>
      </c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</row>
    <row r="4370">
      <c r="A4370" s="10" t="str">
        <f t="shared" si="1"/>
        <v>June</v>
      </c>
      <c r="B4370" s="11">
        <f>IFERROR(__xludf.DUMMYFUNCTION("""COMPUTED_VALUE"""),46174.0)</f>
        <v>46174</v>
      </c>
      <c r="C4370" s="2" t="str">
        <f>IFERROR(__xludf.DUMMYFUNCTION("""COMPUTED_VALUE"""),"MOBILECARE - ZAMBOANGA")</f>
        <v>MOBILECARE - ZAMBOANGA</v>
      </c>
      <c r="D4370" s="2" t="str">
        <f>IFERROR(__xludf.DUMMYFUNCTION("""COMPUTED_VALUE"""),"661-18428")</f>
        <v>661-18428</v>
      </c>
      <c r="E4370" s="2" t="str">
        <f>IFERROR(__xludf.DUMMYFUNCTION("""COMPUTED_VALUE"""),"Battery, iPhone 12 Pro Max")</f>
        <v>Battery, iPhone 12 Pro Max</v>
      </c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</row>
    <row r="4371">
      <c r="A4371" s="10" t="str">
        <f t="shared" si="1"/>
        <v>March</v>
      </c>
      <c r="B4371" s="11">
        <f>IFERROR(__xludf.DUMMYFUNCTION("""COMPUTED_VALUE"""),46099.0)</f>
        <v>46099</v>
      </c>
      <c r="C4371" s="2" t="str">
        <f>IFERROR(__xludf.DUMMYFUNCTION("""COMPUTED_VALUE"""),"MOBILECARE - ZAMBOANGA")</f>
        <v>MOBILECARE - ZAMBOANGA</v>
      </c>
      <c r="D4371" s="2" t="str">
        <f>IFERROR(__xludf.DUMMYFUNCTION("""COMPUTED_VALUE"""),"661-56127")</f>
        <v>661-56127</v>
      </c>
      <c r="E4371" s="2" t="str">
        <f>IFERROR(__xludf.DUMMYFUNCTION("""COMPUTED_VALUE"""),"Camera, iPhone 17 Pro")</f>
        <v>Camera, iPhone 17 Pro</v>
      </c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</row>
    <row r="4372">
      <c r="A4372" s="10" t="str">
        <f t="shared" si="1"/>
        <v>March</v>
      </c>
      <c r="B4372" s="11">
        <f>IFERROR(__xludf.DUMMYFUNCTION("""COMPUTED_VALUE"""),46099.0)</f>
        <v>46099</v>
      </c>
      <c r="C4372" s="2" t="str">
        <f>IFERROR(__xludf.DUMMYFUNCTION("""COMPUTED_VALUE"""),"MOBILECARE - ZAMBOANGA")</f>
        <v>MOBILECARE - ZAMBOANGA</v>
      </c>
      <c r="D4372" s="2" t="str">
        <f>IFERROR(__xludf.DUMMYFUNCTION("""COMPUTED_VALUE"""),"661-56127")</f>
        <v>661-56127</v>
      </c>
      <c r="E4372" s="2" t="str">
        <f>IFERROR(__xludf.DUMMYFUNCTION("""COMPUTED_VALUE"""),"Camera, iPhone 17 Pro")</f>
        <v>Camera, iPhone 17 Pro</v>
      </c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</row>
    <row r="4373">
      <c r="A4373" s="10" t="str">
        <f t="shared" si="1"/>
        <v>February</v>
      </c>
      <c r="B4373" s="11">
        <f>IFERROR(__xludf.DUMMYFUNCTION("""COMPUTED_VALUE"""),46059.0)</f>
        <v>46059</v>
      </c>
      <c r="C4373" s="2" t="str">
        <f>IFERROR(__xludf.DUMMYFUNCTION("""COMPUTED_VALUE"""),"MOBILECARE - ZAMBOANGA")</f>
        <v>MOBILECARE - ZAMBOANGA</v>
      </c>
      <c r="D4373" s="2" t="str">
        <f>IFERROR(__xludf.DUMMYFUNCTION("""COMPUTED_VALUE"""),"PP661-23454")</f>
        <v>PP661-23454</v>
      </c>
      <c r="E4373" s="2" t="str">
        <f>IFERROR(__xludf.DUMMYFUNCTION("""COMPUTED_VALUE"""),"iPhone 13, Midnight, 128GB, Logic Board Assy Rear System, ROW")</f>
        <v>iPhone 13, Midnight, 128GB, Logic Board Assy Rear System, ROW</v>
      </c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</row>
    <row r="4374">
      <c r="A4374" s="10" t="str">
        <f t="shared" si="1"/>
        <v>March</v>
      </c>
      <c r="B4374" s="11">
        <f>IFERROR(__xludf.DUMMYFUNCTION("""COMPUTED_VALUE"""),46108.0)</f>
        <v>46108</v>
      </c>
      <c r="C4374" s="2" t="str">
        <f>IFERROR(__xludf.DUMMYFUNCTION("""COMPUTED_VALUE"""),"MOBILECARE - ZAMBOANGA")</f>
        <v>MOBILECARE - ZAMBOANGA</v>
      </c>
      <c r="D4374" s="2" t="str">
        <f>IFERROR(__xludf.DUMMYFUNCTION("""COMPUTED_VALUE"""),"661-22309")</f>
        <v>661-22309</v>
      </c>
      <c r="E4374" s="2" t="str">
        <f>IFERROR(__xludf.DUMMYFUNCTION("""COMPUTED_VALUE"""),"Display, iPhone 13 Pro Max")</f>
        <v>Display, iPhone 13 Pro Max</v>
      </c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</row>
    <row r="4375">
      <c r="A4375" s="10" t="str">
        <f t="shared" si="1"/>
        <v>April</v>
      </c>
      <c r="B4375" s="11">
        <f>IFERROR(__xludf.DUMMYFUNCTION("""COMPUTED_VALUE"""),46113.0)</f>
        <v>46113</v>
      </c>
      <c r="C4375" s="2" t="str">
        <f>IFERROR(__xludf.DUMMYFUNCTION("""COMPUTED_VALUE"""),"MOBILECARE - ZAMBOANGA")</f>
        <v>MOBILECARE - ZAMBOANGA</v>
      </c>
      <c r="D4375" s="2" t="str">
        <f>IFERROR(__xludf.DUMMYFUNCTION("""COMPUTED_VALUE"""),"PP661-28868")</f>
        <v>PP661-28868</v>
      </c>
      <c r="E4375" s="2" t="str">
        <f>IFERROR(__xludf.DUMMYFUNCTION("""COMPUTED_VALUE"""),"iPhone 14, Midnight, 128GB, Logic Board Assy Mid System, ROW")</f>
        <v>iPhone 14, Midnight, 128GB, Logic Board Assy Mid System, ROW</v>
      </c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</row>
    <row r="4376">
      <c r="A4376" s="10" t="str">
        <f t="shared" si="1"/>
        <v>February</v>
      </c>
      <c r="B4376" s="11">
        <f>IFERROR(__xludf.DUMMYFUNCTION("""COMPUTED_VALUE"""),46071.0)</f>
        <v>46071</v>
      </c>
      <c r="C4376" s="2" t="str">
        <f>IFERROR(__xludf.DUMMYFUNCTION("""COMPUTED_VALUE"""),"MOBILECARE - ZAMBOANGA")</f>
        <v>MOBILECARE - ZAMBOANGA</v>
      </c>
      <c r="D4376" s="2" t="str">
        <f>IFERROR(__xludf.DUMMYFUNCTION("""COMPUTED_VALUE"""),"661-13574")</f>
        <v>661-13574</v>
      </c>
      <c r="E4376" s="2" t="str">
        <f>IFERROR(__xludf.DUMMYFUNCTION("""COMPUTED_VALUE"""),"Battery, iPhone 11")</f>
        <v>Battery, iPhone 11</v>
      </c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</row>
    <row r="4377">
      <c r="A4377" s="10" t="str">
        <f t="shared" si="1"/>
        <v>February</v>
      </c>
      <c r="B4377" s="11">
        <f>IFERROR(__xludf.DUMMYFUNCTION("""COMPUTED_VALUE"""),46071.0)</f>
        <v>46071</v>
      </c>
      <c r="C4377" s="2" t="str">
        <f>IFERROR(__xludf.DUMMYFUNCTION("""COMPUTED_VALUE"""),"MOBILECARE - ZAMBOANGA")</f>
        <v>MOBILECARE - ZAMBOANGA</v>
      </c>
      <c r="D4377" s="2" t="str">
        <f>IFERROR(__xludf.DUMMYFUNCTION("""COMPUTED_VALUE"""),"661-13574")</f>
        <v>661-13574</v>
      </c>
      <c r="E4377" s="2" t="str">
        <f>IFERROR(__xludf.DUMMYFUNCTION("""COMPUTED_VALUE"""),"Battery, iPhone 11")</f>
        <v>Battery, iPhone 11</v>
      </c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</row>
    <row r="4378">
      <c r="A4378" s="10" t="str">
        <f t="shared" si="1"/>
        <v>February</v>
      </c>
      <c r="B4378" s="11">
        <f>IFERROR(__xludf.DUMMYFUNCTION("""COMPUTED_VALUE"""),46069.0)</f>
        <v>46069</v>
      </c>
      <c r="C4378" s="2" t="str">
        <f>IFERROR(__xludf.DUMMYFUNCTION("""COMPUTED_VALUE"""),"MOBILECARE - ZAMBOANGA")</f>
        <v>MOBILECARE - ZAMBOANGA</v>
      </c>
      <c r="D4378" s="2" t="str">
        <f>IFERROR(__xludf.DUMMYFUNCTION("""COMPUTED_VALUE"""),"661-30393")</f>
        <v>661-30393</v>
      </c>
      <c r="E4378" s="2" t="str">
        <f>IFERROR(__xludf.DUMMYFUNCTION("""COMPUTED_VALUE"""),"Camera, iPhone 14 Plus")</f>
        <v>Camera, iPhone 14 Plus</v>
      </c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</row>
    <row r="4379">
      <c r="A4379" s="10" t="str">
        <f t="shared" si="1"/>
        <v>April</v>
      </c>
      <c r="B4379" s="11">
        <f>IFERROR(__xludf.DUMMYFUNCTION("""COMPUTED_VALUE"""),46140.0)</f>
        <v>46140</v>
      </c>
      <c r="C4379" s="2" t="str">
        <f>IFERROR(__xludf.DUMMYFUNCTION("""COMPUTED_VALUE"""),"MOBILECARE - ZAMBOANGA")</f>
        <v>MOBILECARE - ZAMBOANGA</v>
      </c>
      <c r="D4379" s="2" t="str">
        <f>IFERROR(__xludf.DUMMYFUNCTION("""COMPUTED_VALUE"""),"661-42845")</f>
        <v>661-42845</v>
      </c>
      <c r="E4379" s="2" t="str">
        <f>IFERROR(__xludf.DUMMYFUNCTION("""COMPUTED_VALUE"""),"Camera, iPhone 16 Plus")</f>
        <v>Camera, iPhone 16 Plus</v>
      </c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</row>
    <row r="4380">
      <c r="A4380" s="10" t="str">
        <f t="shared" si="1"/>
        <v>April</v>
      </c>
      <c r="B4380" s="11">
        <f>IFERROR(__xludf.DUMMYFUNCTION("""COMPUTED_VALUE"""),46134.0)</f>
        <v>46134</v>
      </c>
      <c r="C4380" s="2" t="str">
        <f>IFERROR(__xludf.DUMMYFUNCTION("""COMPUTED_VALUE"""),"MOBILECARE - ZAMBOANGA")</f>
        <v>MOBILECARE - ZAMBOANGA</v>
      </c>
      <c r="D4380" s="2" t="str">
        <f>IFERROR(__xludf.DUMMYFUNCTION("""COMPUTED_VALUE"""),"PP661-22981")</f>
        <v>PP661-22981</v>
      </c>
      <c r="E4380" s="2" t="str">
        <f>IFERROR(__xludf.DUMMYFUNCTION("""COMPUTED_VALUE"""),"Starlight, 128 GB, iPhone 13, ROW, CI/AR, Philippines")</f>
        <v>Starlight, 128 GB, iPhone 13, ROW, CI/AR, Philippines</v>
      </c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</row>
    <row r="4381">
      <c r="A4381" s="10" t="str">
        <f t="shared" si="1"/>
        <v>March</v>
      </c>
      <c r="B4381" s="11">
        <f>IFERROR(__xludf.DUMMYFUNCTION("""COMPUTED_VALUE"""),46099.0)</f>
        <v>46099</v>
      </c>
      <c r="C4381" s="2" t="str">
        <f>IFERROR(__xludf.DUMMYFUNCTION("""COMPUTED_VALUE"""),"MOBILECARE - ZAMBOANGA")</f>
        <v>MOBILECARE - ZAMBOANGA</v>
      </c>
      <c r="D4381" s="2" t="str">
        <f>IFERROR(__xludf.DUMMYFUNCTION("""COMPUTED_VALUE"""),"PP661-23454")</f>
        <v>PP661-23454</v>
      </c>
      <c r="E4381" s="2" t="str">
        <f>IFERROR(__xludf.DUMMYFUNCTION("""COMPUTED_VALUE"""),"iPhone 13, Midnight, 128GB, Logic Board Assy Rear System, ROW")</f>
        <v>iPhone 13, Midnight, 128GB, Logic Board Assy Rear System, ROW</v>
      </c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</row>
    <row r="4382">
      <c r="A4382" s="10" t="str">
        <f t="shared" si="1"/>
        <v>March</v>
      </c>
      <c r="B4382" s="11">
        <f>IFERROR(__xludf.DUMMYFUNCTION("""COMPUTED_VALUE"""),46099.0)</f>
        <v>46099</v>
      </c>
      <c r="C4382" s="2" t="str">
        <f>IFERROR(__xludf.DUMMYFUNCTION("""COMPUTED_VALUE"""),"MOBILECARE - ZAMBOANGA")</f>
        <v>MOBILECARE - ZAMBOANGA</v>
      </c>
      <c r="D4382" s="2" t="str">
        <f>IFERROR(__xludf.DUMMYFUNCTION("""COMPUTED_VALUE"""),"PP661-23454")</f>
        <v>PP661-23454</v>
      </c>
      <c r="E4382" s="2" t="str">
        <f>IFERROR(__xludf.DUMMYFUNCTION("""COMPUTED_VALUE"""),"iPhone 13, Midnight, 128GB, Logic Board Assy Rear System, ROW")</f>
        <v>iPhone 13, Midnight, 128GB, Logic Board Assy Rear System, ROW</v>
      </c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</row>
    <row r="4383">
      <c r="A4383" s="10" t="str">
        <f t="shared" si="1"/>
        <v>February</v>
      </c>
      <c r="B4383" s="11">
        <f>IFERROR(__xludf.DUMMYFUNCTION("""COMPUTED_VALUE"""),46067.0)</f>
        <v>46067</v>
      </c>
      <c r="C4383" s="2" t="str">
        <f>IFERROR(__xludf.DUMMYFUNCTION("""COMPUTED_VALUE"""),"MOBILECARE - ZAMBOANGA")</f>
        <v>MOBILECARE - ZAMBOANGA</v>
      </c>
      <c r="D4383" s="2" t="str">
        <f>IFERROR(__xludf.DUMMYFUNCTION("""COMPUTED_VALUE"""),"661-30397")</f>
        <v>661-30397</v>
      </c>
      <c r="E4383" s="2" t="str">
        <f>IFERROR(__xludf.DUMMYFUNCTION("""COMPUTED_VALUE"""),"Battery, iPhone 14 Pro Max")</f>
        <v>Battery, iPhone 14 Pro Max</v>
      </c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</row>
    <row r="4384">
      <c r="A4384" s="10" t="str">
        <f t="shared" si="1"/>
        <v>May</v>
      </c>
      <c r="B4384" s="11">
        <f>IFERROR(__xludf.DUMMYFUNCTION("""COMPUTED_VALUE"""),46172.0)</f>
        <v>46172</v>
      </c>
      <c r="C4384" s="2" t="str">
        <f>IFERROR(__xludf.DUMMYFUNCTION("""COMPUTED_VALUE"""),"MOBILECARE - ZAMBOANGA")</f>
        <v>MOBILECARE - ZAMBOANGA</v>
      </c>
      <c r="D4384" s="2" t="str">
        <f>IFERROR(__xludf.DUMMYFUNCTION("""COMPUTED_VALUE"""),"661-22309")</f>
        <v>661-22309</v>
      </c>
      <c r="E4384" s="2" t="str">
        <f>IFERROR(__xludf.DUMMYFUNCTION("""COMPUTED_VALUE"""),"Display, iPhone 13 Pro Max")</f>
        <v>Display, iPhone 13 Pro Max</v>
      </c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</row>
    <row r="4385">
      <c r="A4385" s="10" t="str">
        <f t="shared" si="1"/>
        <v>April</v>
      </c>
      <c r="B4385" s="11">
        <f>IFERROR(__xludf.DUMMYFUNCTION("""COMPUTED_VALUE"""),46113.0)</f>
        <v>46113</v>
      </c>
      <c r="C4385" s="2" t="str">
        <f>IFERROR(__xludf.DUMMYFUNCTION("""COMPUTED_VALUE"""),"MOBILECARE - ZAMBOANGA")</f>
        <v>MOBILECARE - ZAMBOANGA</v>
      </c>
      <c r="D4385" s="2" t="str">
        <f>IFERROR(__xludf.DUMMYFUNCTION("""COMPUTED_VALUE"""),"661-21996")</f>
        <v>661-21996</v>
      </c>
      <c r="E4385" s="2" t="str">
        <f>IFERROR(__xludf.DUMMYFUNCTION("""COMPUTED_VALUE"""),"Battery, iPhone 13 Pro")</f>
        <v>Battery, iPhone 13 Pro</v>
      </c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</row>
    <row r="4386">
      <c r="A4386" s="10" t="str">
        <f t="shared" si="1"/>
        <v>March</v>
      </c>
      <c r="B4386" s="11">
        <f>IFERROR(__xludf.DUMMYFUNCTION("""COMPUTED_VALUE"""),46107.0)</f>
        <v>46107</v>
      </c>
      <c r="C4386" s="2" t="str">
        <f>IFERROR(__xludf.DUMMYFUNCTION("""COMPUTED_VALUE"""),"MOBILECARE - ZAMBOANGA")</f>
        <v>MOBILECARE - ZAMBOANGA</v>
      </c>
      <c r="D4386" s="2" t="str">
        <f>IFERROR(__xludf.DUMMYFUNCTION("""COMPUTED_VALUE"""),"661-35828")</f>
        <v>661-35828</v>
      </c>
      <c r="E4386" s="2" t="str">
        <f>IFERROR(__xludf.DUMMYFUNCTION("""COMPUTED_VALUE"""),"Camera, iPhone 15")</f>
        <v>Camera, iPhone 15</v>
      </c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</row>
    <row r="4387">
      <c r="A4387" s="10" t="str">
        <f t="shared" si="1"/>
        <v>February</v>
      </c>
      <c r="B4387" s="11">
        <f>IFERROR(__xludf.DUMMYFUNCTION("""COMPUTED_VALUE"""),46080.0)</f>
        <v>46080</v>
      </c>
      <c r="C4387" s="2" t="str">
        <f>IFERROR(__xludf.DUMMYFUNCTION("""COMPUTED_VALUE"""),"MOBILECARE - ZAMBOANGA")</f>
        <v>MOBILECARE - ZAMBOANGA</v>
      </c>
      <c r="D4387" s="2" t="str">
        <f>IFERROR(__xludf.DUMMYFUNCTION("""COMPUTED_VALUE"""),"661-56125")</f>
        <v>661-56125</v>
      </c>
      <c r="E4387" s="2" t="str">
        <f>IFERROR(__xludf.DUMMYFUNCTION("""COMPUTED_VALUE"""),"Display, iPhone 17 Pro")</f>
        <v>Display, iPhone 17 Pro</v>
      </c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</row>
    <row r="4388">
      <c r="A4388" s="10" t="str">
        <f t="shared" si="1"/>
        <v>June</v>
      </c>
      <c r="B4388" s="11">
        <f>IFERROR(__xludf.DUMMYFUNCTION("""COMPUTED_VALUE"""),46190.0)</f>
        <v>46190</v>
      </c>
      <c r="C4388" s="2" t="str">
        <f>IFERROR(__xludf.DUMMYFUNCTION("""COMPUTED_VALUE"""),"MOBILECARE - ZAMBOANGA")</f>
        <v>MOBILECARE - ZAMBOANGA</v>
      </c>
      <c r="D4388" s="2" t="str">
        <f>IFERROR(__xludf.DUMMYFUNCTION("""COMPUTED_VALUE"""),"TA661-36697")</f>
        <v>TA661-36697</v>
      </c>
      <c r="E4388" s="2" t="str">
        <f>IFERROR(__xludf.DUMMYFUNCTION("""COMPUTED_VALUE"""),"iPhone 15, Pink, 256GB, Logic Board Assy Mid System, ROW")</f>
        <v>iPhone 15, Pink, 256GB, Logic Board Assy Mid System, ROW</v>
      </c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</row>
    <row r="4389">
      <c r="A4389" s="10" t="str">
        <f t="shared" si="1"/>
        <v>April</v>
      </c>
      <c r="B4389" s="11">
        <f>IFERROR(__xludf.DUMMYFUNCTION("""COMPUTED_VALUE"""),46122.0)</f>
        <v>46122</v>
      </c>
      <c r="C4389" s="2" t="str">
        <f>IFERROR(__xludf.DUMMYFUNCTION("""COMPUTED_VALUE"""),"MOBILECARE - ZAMBOANGA")</f>
        <v>MOBILECARE - ZAMBOANGA</v>
      </c>
      <c r="D4389" s="2" t="str">
        <f>IFERROR(__xludf.DUMMYFUNCTION("""COMPUTED_VALUE"""),"TA661-55152")</f>
        <v>TA661-55152</v>
      </c>
      <c r="E4389" s="2" t="str">
        <f>IFERROR(__xludf.DUMMYFUNCTION("""COMPUTED_VALUE"""),"Silver, 512GB, iPhone 17 Pro, ROW, CI/AR, Taiwan")</f>
        <v>Silver, 512GB, iPhone 17 Pro, ROW, CI/AR, Taiwan</v>
      </c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</row>
    <row r="4390">
      <c r="A4390" s="10" t="str">
        <f t="shared" si="1"/>
        <v>April</v>
      </c>
      <c r="B4390" s="11">
        <f>IFERROR(__xludf.DUMMYFUNCTION("""COMPUTED_VALUE"""),46124.0)</f>
        <v>46124</v>
      </c>
      <c r="C4390" s="2" t="str">
        <f>IFERROR(__xludf.DUMMYFUNCTION("""COMPUTED_VALUE"""),"MOBILECARE - ZAMBOANGA")</f>
        <v>MOBILECARE - ZAMBOANGA</v>
      </c>
      <c r="D4390" s="2" t="str">
        <f>IFERROR(__xludf.DUMMYFUNCTION("""COMPUTED_VALUE"""),"PP661-23455")</f>
        <v>PP661-23455</v>
      </c>
      <c r="E4390" s="2" t="str">
        <f>IFERROR(__xludf.DUMMYFUNCTION("""COMPUTED_VALUE"""),"iPhone 13, Starlight, 128GB, Logic Board Assy Rear System, ROW")</f>
        <v>iPhone 13, Starlight, 128GB, Logic Board Assy Rear System, ROW</v>
      </c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</row>
    <row r="4391">
      <c r="A4391" s="10" t="str">
        <f t="shared" si="1"/>
        <v>April</v>
      </c>
      <c r="B4391" s="11">
        <f>IFERROR(__xludf.DUMMYFUNCTION("""COMPUTED_VALUE"""),46121.0)</f>
        <v>46121</v>
      </c>
      <c r="C4391" s="2" t="str">
        <f>IFERROR(__xludf.DUMMYFUNCTION("""COMPUTED_VALUE"""),"MOBILECARE - ZAMBOANGA")</f>
        <v>MOBILECARE - ZAMBOANGA</v>
      </c>
      <c r="D4391" s="2" t="str">
        <f>IFERROR(__xludf.DUMMYFUNCTION("""COMPUTED_VALUE"""),"PP661-28869")</f>
        <v>PP661-28869</v>
      </c>
      <c r="E4391" s="2" t="str">
        <f>IFERROR(__xludf.DUMMYFUNCTION("""COMPUTED_VALUE"""),"iPhone 14, Starlight, 128GB, Logic Board Assy Mid System, ROW")</f>
        <v>iPhone 14, Starlight, 128GB, Logic Board Assy Mid System, ROW</v>
      </c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</row>
    <row r="4392">
      <c r="A4392" s="10" t="str">
        <f t="shared" si="1"/>
        <v>June</v>
      </c>
      <c r="B4392" s="11">
        <f>IFERROR(__xludf.DUMMYFUNCTION("""COMPUTED_VALUE"""),46179.0)</f>
        <v>46179</v>
      </c>
      <c r="C4392" s="2" t="str">
        <f>IFERROR(__xludf.DUMMYFUNCTION("""COMPUTED_VALUE"""),"MOBILECARE - ZAMBOANGA")</f>
        <v>MOBILECARE - ZAMBOANGA</v>
      </c>
      <c r="D4392" s="2" t="str">
        <f>IFERROR(__xludf.DUMMYFUNCTION("""COMPUTED_VALUE"""),"661-17939")</f>
        <v>661-17939</v>
      </c>
      <c r="E4392" s="2" t="str">
        <f>IFERROR(__xludf.DUMMYFUNCTION("""COMPUTED_VALUE"""),"Battery, iPhone 12 mini")</f>
        <v>Battery, iPhone 12 mini</v>
      </c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</row>
    <row r="4393">
      <c r="A4393" s="10" t="str">
        <f t="shared" si="1"/>
        <v>June</v>
      </c>
      <c r="B4393" s="11">
        <f>IFERROR(__xludf.DUMMYFUNCTION("""COMPUTED_VALUE"""),46184.0)</f>
        <v>46184</v>
      </c>
      <c r="C4393" s="2" t="str">
        <f>IFERROR(__xludf.DUMMYFUNCTION("""COMPUTED_VALUE"""),"MOBILECARE - ZAMBOANGA")</f>
        <v>MOBILECARE - ZAMBOANGA</v>
      </c>
      <c r="D4393" s="2" t="str">
        <f>IFERROR(__xludf.DUMMYFUNCTION("""COMPUTED_VALUE"""),"TA661-36694")</f>
        <v>TA661-36694</v>
      </c>
      <c r="E4393" s="2" t="str">
        <f>IFERROR(__xludf.DUMMYFUNCTION("""COMPUTED_VALUE"""),"iPhone 15, Blue, 128GB, Logic Board Assy Mid System, ROW")</f>
        <v>iPhone 15, Blue, 128GB, Logic Board Assy Mid System, ROW</v>
      </c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</row>
    <row r="4394">
      <c r="A4394" s="10" t="str">
        <f t="shared" si="1"/>
        <v>May</v>
      </c>
      <c r="B4394" s="11">
        <f>IFERROR(__xludf.DUMMYFUNCTION("""COMPUTED_VALUE"""),46170.0)</f>
        <v>46170</v>
      </c>
      <c r="C4394" s="2" t="str">
        <f>IFERROR(__xludf.DUMMYFUNCTION("""COMPUTED_VALUE"""),"MOBILECARE - ZAMBOANGA")</f>
        <v>MOBILECARE - ZAMBOANGA</v>
      </c>
      <c r="D4394" s="2" t="str">
        <f>IFERROR(__xludf.DUMMYFUNCTION("""COMPUTED_VALUE"""),"661-30373")</f>
        <v>661-30373</v>
      </c>
      <c r="E4394" s="2" t="str">
        <f>IFERROR(__xludf.DUMMYFUNCTION("""COMPUTED_VALUE"""),"Battery, iPhone 14")</f>
        <v>Battery, iPhone 14</v>
      </c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</row>
    <row r="4395">
      <c r="A4395" s="10" t="str">
        <f t="shared" si="1"/>
        <v>June</v>
      </c>
      <c r="B4395" s="11">
        <f>IFERROR(__xludf.DUMMYFUNCTION("""COMPUTED_VALUE"""),46179.0)</f>
        <v>46179</v>
      </c>
      <c r="C4395" s="2" t="str">
        <f>IFERROR(__xludf.DUMMYFUNCTION("""COMPUTED_VALUE"""),"MOBILECARE - ZAMBOANGA")</f>
        <v>MOBILECARE - ZAMBOANGA</v>
      </c>
      <c r="D4395" s="2" t="str">
        <f>IFERROR(__xludf.DUMMYFUNCTION("""COMPUTED_VALUE"""),"PP661-28869")</f>
        <v>PP661-28869</v>
      </c>
      <c r="E4395" s="2" t="str">
        <f>IFERROR(__xludf.DUMMYFUNCTION("""COMPUTED_VALUE"""),"iPhone 14, Starlight, 128GB, Logic Board Assy Mid System, ROW")</f>
        <v>iPhone 14, Starlight, 128GB, Logic Board Assy Mid System, ROW</v>
      </c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</row>
    <row r="4396">
      <c r="A4396" s="10" t="str">
        <f t="shared" si="1"/>
        <v>April</v>
      </c>
      <c r="B4396" s="11">
        <f>IFERROR(__xludf.DUMMYFUNCTION("""COMPUTED_VALUE"""),46129.0)</f>
        <v>46129</v>
      </c>
      <c r="C4396" s="2" t="str">
        <f>IFERROR(__xludf.DUMMYFUNCTION("""COMPUTED_VALUE"""),"MOBILECARE - ZAMBOANGA")</f>
        <v>MOBILECARE - ZAMBOANGA</v>
      </c>
      <c r="D4396" s="2" t="str">
        <f>IFERROR(__xludf.DUMMYFUNCTION("""COMPUTED_VALUE"""),"PP661-28874")</f>
        <v>PP661-28874</v>
      </c>
      <c r="E4396" s="2" t="str">
        <f>IFERROR(__xludf.DUMMYFUNCTION("""COMPUTED_VALUE"""),"iPhone 14, Starlight, 256GB, Logic Board Assy Mid System, ROW")</f>
        <v>iPhone 14, Starlight, 256GB, Logic Board Assy Mid System, ROW</v>
      </c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</row>
    <row r="4397">
      <c r="A4397" s="10" t="str">
        <f t="shared" si="1"/>
        <v>April</v>
      </c>
      <c r="B4397" s="11">
        <f>IFERROR(__xludf.DUMMYFUNCTION("""COMPUTED_VALUE"""),46113.0)</f>
        <v>46113</v>
      </c>
      <c r="C4397" s="2" t="str">
        <f>IFERROR(__xludf.DUMMYFUNCTION("""COMPUTED_VALUE"""),"MOBILECARE - ZAMBOANGA")</f>
        <v>MOBILECARE - ZAMBOANGA</v>
      </c>
      <c r="D4397" s="2" t="str">
        <f>IFERROR(__xludf.DUMMYFUNCTION("""COMPUTED_VALUE"""),"TA661-36697")</f>
        <v>TA661-36697</v>
      </c>
      <c r="E4397" s="2" t="str">
        <f>IFERROR(__xludf.DUMMYFUNCTION("""COMPUTED_VALUE"""),"iPhone 15, Pink, 256GB, Logic Board Assy Mid System, ROW")</f>
        <v>iPhone 15, Pink, 256GB, Logic Board Assy Mid System, ROW</v>
      </c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</row>
    <row r="4398">
      <c r="A4398" s="10" t="str">
        <f t="shared" si="1"/>
        <v>February</v>
      </c>
      <c r="B4398" s="11">
        <f>IFERROR(__xludf.DUMMYFUNCTION("""COMPUTED_VALUE"""),46067.0)</f>
        <v>46067</v>
      </c>
      <c r="C4398" s="2" t="str">
        <f>IFERROR(__xludf.DUMMYFUNCTION("""COMPUTED_VALUE"""),"MOBILECARE - ZAMBOANGA")</f>
        <v>MOBILECARE - ZAMBOANGA</v>
      </c>
      <c r="D4398" s="2" t="str">
        <f>IFERROR(__xludf.DUMMYFUNCTION("""COMPUTED_VALUE"""),"TA661-55211")</f>
        <v>TA661-55211</v>
      </c>
      <c r="E4398" s="2" t="str">
        <f>IFERROR(__xludf.DUMMYFUNCTION("""COMPUTED_VALUE"""),"Deep Blue, 512GB, iPhone 17 Pro Max, ROW, CI/AR, Taiwan")</f>
        <v>Deep Blue, 512GB, iPhone 17 Pro Max, ROW, CI/AR, Taiwan</v>
      </c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</row>
    <row r="4399">
      <c r="A4399" s="10" t="str">
        <f t="shared" si="1"/>
        <v>May</v>
      </c>
      <c r="B4399" s="11">
        <f>IFERROR(__xludf.DUMMYFUNCTION("""COMPUTED_VALUE"""),46157.0)</f>
        <v>46157</v>
      </c>
      <c r="C4399" s="2" t="str">
        <f>IFERROR(__xludf.DUMMYFUNCTION("""COMPUTED_VALUE"""),"MOBILECARE - ZAMBOANGA")</f>
        <v>MOBILECARE - ZAMBOANGA</v>
      </c>
      <c r="D4399" s="2" t="str">
        <f>IFERROR(__xludf.DUMMYFUNCTION("""COMPUTED_VALUE"""),"661-22309")</f>
        <v>661-22309</v>
      </c>
      <c r="E4399" s="2" t="str">
        <f>IFERROR(__xludf.DUMMYFUNCTION("""COMPUTED_VALUE"""),"Display, iPhone 13 Pro Max")</f>
        <v>Display, iPhone 13 Pro Max</v>
      </c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</row>
    <row r="4400">
      <c r="A4400" s="10" t="str">
        <f t="shared" si="1"/>
        <v>May</v>
      </c>
      <c r="B4400" s="11">
        <f>IFERROR(__xludf.DUMMYFUNCTION("""COMPUTED_VALUE"""),46148.0)</f>
        <v>46148</v>
      </c>
      <c r="C4400" s="2" t="str">
        <f>IFERROR(__xludf.DUMMYFUNCTION("""COMPUTED_VALUE"""),"MOBILECARE - ZAMBOANGA")</f>
        <v>MOBILECARE - ZAMBOANGA</v>
      </c>
      <c r="D4400" s="2" t="str">
        <f>IFERROR(__xludf.DUMMYFUNCTION("""COMPUTED_VALUE"""),"661-30366")</f>
        <v>661-30366</v>
      </c>
      <c r="E4400" s="2" t="str">
        <f>IFERROR(__xludf.DUMMYFUNCTION("""COMPUTED_VALUE"""),"Display, iPhone 14")</f>
        <v>Display, iPhone 14</v>
      </c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</row>
    <row r="4401">
      <c r="A4401" s="10" t="str">
        <f t="shared" si="1"/>
        <v>April</v>
      </c>
      <c r="B4401" s="11">
        <f>IFERROR(__xludf.DUMMYFUNCTION("""COMPUTED_VALUE"""),46125.0)</f>
        <v>46125</v>
      </c>
      <c r="C4401" s="2" t="str">
        <f>IFERROR(__xludf.DUMMYFUNCTION("""COMPUTED_VALUE"""),"MOBILECARE - ZAMBOANGA")</f>
        <v>MOBILECARE - ZAMBOANGA</v>
      </c>
      <c r="D4401" s="2" t="str">
        <f>IFERROR(__xludf.DUMMYFUNCTION("""COMPUTED_VALUE"""),"661-30401")</f>
        <v>661-30401</v>
      </c>
      <c r="E4401" s="2" t="str">
        <f>IFERROR(__xludf.DUMMYFUNCTION("""COMPUTED_VALUE"""),"Display, iPhone 14 Pro Max")</f>
        <v>Display, iPhone 14 Pro Max</v>
      </c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</row>
    <row r="4402">
      <c r="A4402" s="10" t="str">
        <f t="shared" si="1"/>
        <v>May</v>
      </c>
      <c r="B4402" s="11">
        <f>IFERROR(__xludf.DUMMYFUNCTION("""COMPUTED_VALUE"""),46155.0)</f>
        <v>46155</v>
      </c>
      <c r="C4402" s="2" t="str">
        <f>IFERROR(__xludf.DUMMYFUNCTION("""COMPUTED_VALUE"""),"MOBILECARE - ZAMBOANGA")</f>
        <v>MOBILECARE - ZAMBOANGA</v>
      </c>
      <c r="D4402" s="2" t="str">
        <f>IFERROR(__xludf.DUMMYFUNCTION("""COMPUTED_VALUE"""),"661-56125")</f>
        <v>661-56125</v>
      </c>
      <c r="E4402" s="2" t="str">
        <f>IFERROR(__xludf.DUMMYFUNCTION("""COMPUTED_VALUE"""),"Display, iPhone 17 Pro")</f>
        <v>Display, iPhone 17 Pro</v>
      </c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</row>
    <row r="4403">
      <c r="A4403" s="10" t="str">
        <f t="shared" si="1"/>
        <v>March</v>
      </c>
      <c r="B4403" s="11">
        <f>IFERROR(__xludf.DUMMYFUNCTION("""COMPUTED_VALUE"""),46101.0)</f>
        <v>46101</v>
      </c>
      <c r="C4403" s="2" t="str">
        <f>IFERROR(__xludf.DUMMYFUNCTION("""COMPUTED_VALUE"""),"MOBILECARE - ZAMBOANGA")</f>
        <v>MOBILECARE - ZAMBOANGA</v>
      </c>
      <c r="D4403" s="2" t="str">
        <f>IFERROR(__xludf.DUMMYFUNCTION("""COMPUTED_VALUE"""),"661-22309")</f>
        <v>661-22309</v>
      </c>
      <c r="E4403" s="2" t="str">
        <f>IFERROR(__xludf.DUMMYFUNCTION("""COMPUTED_VALUE"""),"Display, iPhone 13 Pro Max")</f>
        <v>Display, iPhone 13 Pro Max</v>
      </c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</row>
    <row r="4404">
      <c r="A4404" s="10" t="str">
        <f t="shared" si="1"/>
        <v>February</v>
      </c>
      <c r="B4404" s="11">
        <f>IFERROR(__xludf.DUMMYFUNCTION("""COMPUTED_VALUE"""),46059.0)</f>
        <v>46059</v>
      </c>
      <c r="C4404" s="2" t="str">
        <f>IFERROR(__xludf.DUMMYFUNCTION("""COMPUTED_VALUE"""),"MOBILECARE - ZAMBOANGA")</f>
        <v>MOBILECARE - ZAMBOANGA</v>
      </c>
      <c r="D4404" s="2" t="str">
        <f>IFERROR(__xludf.DUMMYFUNCTION("""COMPUTED_VALUE"""),"661-21991")</f>
        <v>661-21991</v>
      </c>
      <c r="E4404" s="2" t="str">
        <f>IFERROR(__xludf.DUMMYFUNCTION("""COMPUTED_VALUE"""),"Battery, iPhone 13")</f>
        <v>Battery, iPhone 13</v>
      </c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</row>
    <row r="4405">
      <c r="A4405" s="10" t="str">
        <f t="shared" si="1"/>
        <v>April</v>
      </c>
      <c r="B4405" s="11">
        <f>IFERROR(__xludf.DUMMYFUNCTION("""COMPUTED_VALUE"""),46140.0)</f>
        <v>46140</v>
      </c>
      <c r="C4405" s="2" t="str">
        <f>IFERROR(__xludf.DUMMYFUNCTION("""COMPUTED_VALUE"""),"MOBILECARE - ZAMBOANGA")</f>
        <v>MOBILECARE - ZAMBOANGA</v>
      </c>
      <c r="D4405" s="2" t="str">
        <f>IFERROR(__xludf.DUMMYFUNCTION("""COMPUTED_VALUE"""),"TA661-36693")</f>
        <v>TA661-36693</v>
      </c>
      <c r="E4405" s="2" t="str">
        <f>IFERROR(__xludf.DUMMYFUNCTION("""COMPUTED_VALUE"""),"iPhone 15, Yellow, 128GB, Logic Board Assy Mid System, ROW")</f>
        <v>iPhone 15, Yellow, 128GB, Logic Board Assy Mid System, ROW</v>
      </c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</row>
    <row r="4406">
      <c r="A4406" s="10" t="str">
        <f t="shared" si="1"/>
        <v>June</v>
      </c>
      <c r="B4406" s="11">
        <f>IFERROR(__xludf.DUMMYFUNCTION("""COMPUTED_VALUE"""),46180.0)</f>
        <v>46180</v>
      </c>
      <c r="C4406" s="2" t="str">
        <f>IFERROR(__xludf.DUMMYFUNCTION("""COMPUTED_VALUE"""),"MOBILECARE - NEWPOINT MALL")</f>
        <v>MOBILECARE - NEWPOINT MALL</v>
      </c>
      <c r="D4406" s="2" t="str">
        <f>IFERROR(__xludf.DUMMYFUNCTION("""COMPUTED_VALUE"""),"661-30397")</f>
        <v>661-30397</v>
      </c>
      <c r="E4406" s="2" t="str">
        <f>IFERROR(__xludf.DUMMYFUNCTION("""COMPUTED_VALUE"""),"Battery, iPhone 14 Pro Max")</f>
        <v>Battery, iPhone 14 Pro Max</v>
      </c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</row>
    <row r="4407">
      <c r="A4407" s="10" t="str">
        <f t="shared" si="1"/>
        <v>June</v>
      </c>
      <c r="B4407" s="11">
        <f>IFERROR(__xludf.DUMMYFUNCTION("""COMPUTED_VALUE"""),46180.0)</f>
        <v>46180</v>
      </c>
      <c r="C4407" s="2" t="str">
        <f>IFERROR(__xludf.DUMMYFUNCTION("""COMPUTED_VALUE"""),"MOBILECARE - NEWPOINT MALL")</f>
        <v>MOBILECARE - NEWPOINT MALL</v>
      </c>
      <c r="D4407" s="2" t="str">
        <f>IFERROR(__xludf.DUMMYFUNCTION("""COMPUTED_VALUE"""),"661-30401")</f>
        <v>661-30401</v>
      </c>
      <c r="E4407" s="2" t="str">
        <f>IFERROR(__xludf.DUMMYFUNCTION("""COMPUTED_VALUE"""),"Display, iPhone 14 Pro Max")</f>
        <v>Display, iPhone 14 Pro Max</v>
      </c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</row>
    <row r="4408">
      <c r="A4408" s="10" t="str">
        <f t="shared" si="1"/>
        <v>June</v>
      </c>
      <c r="B4408" s="11">
        <f>IFERROR(__xludf.DUMMYFUNCTION("""COMPUTED_VALUE"""),46179.0)</f>
        <v>46179</v>
      </c>
      <c r="C4408" s="2" t="str">
        <f>IFERROR(__xludf.DUMMYFUNCTION("""COMPUTED_VALUE"""),"MOBILECARE - NEWPOINT MALL")</f>
        <v>MOBILECARE - NEWPOINT MALL</v>
      </c>
      <c r="D4408" s="2" t="str">
        <f>IFERROR(__xludf.DUMMYFUNCTION("""COMPUTED_VALUE"""),"661-21991")</f>
        <v>661-21991</v>
      </c>
      <c r="E4408" s="2" t="str">
        <f>IFERROR(__xludf.DUMMYFUNCTION("""COMPUTED_VALUE"""),"Battery, iPhone 13")</f>
        <v>Battery, iPhone 13</v>
      </c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</row>
    <row r="4409">
      <c r="A4409" s="10" t="str">
        <f t="shared" si="1"/>
        <v>June</v>
      </c>
      <c r="B4409" s="11">
        <f>IFERROR(__xludf.DUMMYFUNCTION("""COMPUTED_VALUE"""),46178.0)</f>
        <v>46178</v>
      </c>
      <c r="C4409" s="2" t="str">
        <f>IFERROR(__xludf.DUMMYFUNCTION("""COMPUTED_VALUE"""),"MOBILECARE - NEWPOINT MALL")</f>
        <v>MOBILECARE - NEWPOINT MALL</v>
      </c>
      <c r="D4409" s="2" t="str">
        <f>IFERROR(__xludf.DUMMYFUNCTION("""COMPUTED_VALUE"""),"PP661-23455")</f>
        <v>PP661-23455</v>
      </c>
      <c r="E4409" s="2" t="str">
        <f>IFERROR(__xludf.DUMMYFUNCTION("""COMPUTED_VALUE"""),"iPhone 13, Starlight, 128GB, Logic Board Assy Rear System, ROW")</f>
        <v>iPhone 13, Starlight, 128GB, Logic Board Assy Rear System, ROW</v>
      </c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</row>
    <row r="4410">
      <c r="A4410" s="10" t="str">
        <f t="shared" si="1"/>
        <v>May</v>
      </c>
      <c r="B4410" s="11">
        <f>IFERROR(__xludf.DUMMYFUNCTION("""COMPUTED_VALUE"""),46158.0)</f>
        <v>46158</v>
      </c>
      <c r="C4410" s="2" t="str">
        <f>IFERROR(__xludf.DUMMYFUNCTION("""COMPUTED_VALUE"""),"MOBILECARE - NEWPOINT MALL")</f>
        <v>MOBILECARE - NEWPOINT MALL</v>
      </c>
      <c r="D4410" s="2" t="str">
        <f>IFERROR(__xludf.DUMMYFUNCTION("""COMPUTED_VALUE"""),"661-21991")</f>
        <v>661-21991</v>
      </c>
      <c r="E4410" s="2" t="str">
        <f>IFERROR(__xludf.DUMMYFUNCTION("""COMPUTED_VALUE"""),"Battery, iPhone 13")</f>
        <v>Battery, iPhone 13</v>
      </c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</row>
    <row r="4411">
      <c r="A4411" s="10" t="str">
        <f t="shared" si="1"/>
        <v>June</v>
      </c>
      <c r="B4411" s="11">
        <f>IFERROR(__xludf.DUMMYFUNCTION("""COMPUTED_VALUE"""),46178.0)</f>
        <v>46178</v>
      </c>
      <c r="C4411" s="2" t="str">
        <f>IFERROR(__xludf.DUMMYFUNCTION("""COMPUTED_VALUE"""),"MOBILECARE - NEWPOINT MALL")</f>
        <v>MOBILECARE - NEWPOINT MALL</v>
      </c>
      <c r="D4411" s="2" t="str">
        <f>IFERROR(__xludf.DUMMYFUNCTION("""COMPUTED_VALUE"""),"Z661-56015")</f>
        <v>Z661-56015</v>
      </c>
      <c r="E4411" s="2" t="str">
        <f>IFERROR(__xludf.DUMMYFUNCTION("""COMPUTED_VALUE"""),"Logic Board, 256GB, iPhone 17, ROW")</f>
        <v>Logic Board, 256GB, iPhone 17, ROW</v>
      </c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</row>
    <row r="4412">
      <c r="A4412" s="10" t="str">
        <f t="shared" si="1"/>
        <v>May</v>
      </c>
      <c r="B4412" s="11">
        <f>IFERROR(__xludf.DUMMYFUNCTION("""COMPUTED_VALUE"""),46145.0)</f>
        <v>46145</v>
      </c>
      <c r="C4412" s="2" t="str">
        <f>IFERROR(__xludf.DUMMYFUNCTION("""COMPUTED_VALUE"""),"MOBILECARE - NEWPOINT MALL")</f>
        <v>MOBILECARE - NEWPOINT MALL</v>
      </c>
      <c r="D4412" s="2" t="str">
        <f>IFERROR(__xludf.DUMMYFUNCTION("""COMPUTED_VALUE"""),"TA661-36692")</f>
        <v>TA661-36692</v>
      </c>
      <c r="E4412" s="2" t="str">
        <f>IFERROR(__xludf.DUMMYFUNCTION("""COMPUTED_VALUE"""),"iPhone 15, Pink, 128GB, Logic Board Assy Mid System, ROW")</f>
        <v>iPhone 15, Pink, 128GB, Logic Board Assy Mid System, ROW</v>
      </c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</row>
    <row r="4413">
      <c r="A4413" s="10" t="str">
        <f t="shared" si="1"/>
        <v>April</v>
      </c>
      <c r="B4413" s="11">
        <f>IFERROR(__xludf.DUMMYFUNCTION("""COMPUTED_VALUE"""),46125.0)</f>
        <v>46125</v>
      </c>
      <c r="C4413" s="2" t="str">
        <f>IFERROR(__xludf.DUMMYFUNCTION("""COMPUTED_VALUE"""),"MOBILECARE - NEWPOINT MALL")</f>
        <v>MOBILECARE - NEWPOINT MALL</v>
      </c>
      <c r="D4413" s="2" t="str">
        <f>IFERROR(__xludf.DUMMYFUNCTION("""COMPUTED_VALUE"""),"661-37213")</f>
        <v>661-37213</v>
      </c>
      <c r="E4413" s="2" t="str">
        <f>IFERROR(__xludf.DUMMYFUNCTION("""COMPUTED_VALUE"""),"Display, iPhone 15 Plus")</f>
        <v>Display, iPhone 15 Plus</v>
      </c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</row>
    <row r="4414">
      <c r="A4414" s="10" t="str">
        <f t="shared" si="1"/>
        <v>April</v>
      </c>
      <c r="B4414" s="11">
        <f>IFERROR(__xludf.DUMMYFUNCTION("""COMPUTED_VALUE"""),46117.0)</f>
        <v>46117</v>
      </c>
      <c r="C4414" s="2" t="str">
        <f>IFERROR(__xludf.DUMMYFUNCTION("""COMPUTED_VALUE"""),"MOBILECARE - NEWPOINT MALL")</f>
        <v>MOBILECARE - NEWPOINT MALL</v>
      </c>
      <c r="D4414" s="2" t="str">
        <f>IFERROR(__xludf.DUMMYFUNCTION("""COMPUTED_VALUE"""),"661-44956")</f>
        <v>661-44956</v>
      </c>
      <c r="E4414" s="2" t="str">
        <f>IFERROR(__xludf.DUMMYFUNCTION("""COMPUTED_VALUE"""),"TrueDepth Camera, iPhone 16 Pro Max")</f>
        <v>TrueDepth Camera, iPhone 16 Pro Max</v>
      </c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</row>
    <row r="4415">
      <c r="A4415" s="10" t="str">
        <f t="shared" si="1"/>
        <v>April</v>
      </c>
      <c r="B4415" s="11">
        <f>IFERROR(__xludf.DUMMYFUNCTION("""COMPUTED_VALUE"""),46117.0)</f>
        <v>46117</v>
      </c>
      <c r="C4415" s="2" t="str">
        <f>IFERROR(__xludf.DUMMYFUNCTION("""COMPUTED_VALUE"""),"MOBILECARE - NEWPOINT MALL")</f>
        <v>MOBILECARE - NEWPOINT MALL</v>
      </c>
      <c r="D4415" s="2" t="str">
        <f>IFERROR(__xludf.DUMMYFUNCTION("""COMPUTED_VALUE"""),"661-44957")</f>
        <v>661-44957</v>
      </c>
      <c r="E4415" s="2" t="str">
        <f>IFERROR(__xludf.DUMMYFUNCTION("""COMPUTED_VALUE"""),"Camera, iPhone 16 Pro Max")</f>
        <v>Camera, iPhone 16 Pro Max</v>
      </c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</row>
    <row r="4416">
      <c r="A4416" s="10" t="str">
        <f t="shared" si="1"/>
        <v>February</v>
      </c>
      <c r="B4416" s="11">
        <f>IFERROR(__xludf.DUMMYFUNCTION("""COMPUTED_VALUE"""),46064.0)</f>
        <v>46064</v>
      </c>
      <c r="C4416" s="2" t="str">
        <f>IFERROR(__xludf.DUMMYFUNCTION("""COMPUTED_VALUE"""),"MOBILECARE - NEWPOINT MALL")</f>
        <v>MOBILECARE - NEWPOINT MALL</v>
      </c>
      <c r="D4416" s="2" t="str">
        <f>IFERROR(__xludf.DUMMYFUNCTION("""COMPUTED_VALUE"""),"TA661-43605")</f>
        <v>TA661-43605</v>
      </c>
      <c r="E4416" s="2" t="str">
        <f>IFERROR(__xludf.DUMMYFUNCTION("""COMPUTED_VALUE"""),"128GB, Black, ROW, iPhone 16, Logic Board Assy Mid System")</f>
        <v>128GB, Black, ROW, iPhone 16, Logic Board Assy Mid System</v>
      </c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</row>
    <row r="4417">
      <c r="A4417" s="10" t="str">
        <f t="shared" si="1"/>
        <v>February</v>
      </c>
      <c r="B4417" s="11">
        <f>IFERROR(__xludf.DUMMYFUNCTION("""COMPUTED_VALUE"""),46064.0)</f>
        <v>46064</v>
      </c>
      <c r="C4417" s="2" t="str">
        <f>IFERROR(__xludf.DUMMYFUNCTION("""COMPUTED_VALUE"""),"MOBILECARE - NEWPOINT MALL")</f>
        <v>MOBILECARE - NEWPOINT MALL</v>
      </c>
      <c r="D4417" s="2" t="str">
        <f>IFERROR(__xludf.DUMMYFUNCTION("""COMPUTED_VALUE"""),"PP661-23454")</f>
        <v>PP661-23454</v>
      </c>
      <c r="E4417" s="2" t="str">
        <f>IFERROR(__xludf.DUMMYFUNCTION("""COMPUTED_VALUE"""),"iPhone 13, Midnight, 128GB, Logic Board Assy Rear System, ROW")</f>
        <v>iPhone 13, Midnight, 128GB, Logic Board Assy Rear System, ROW</v>
      </c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</row>
    <row r="4418">
      <c r="A4418" s="10" t="str">
        <f t="shared" si="1"/>
        <v>January</v>
      </c>
      <c r="B4418" s="11">
        <f>IFERROR(__xludf.DUMMYFUNCTION("""COMPUTED_VALUE"""),46046.0)</f>
        <v>46046</v>
      </c>
      <c r="C4418" s="2" t="str">
        <f>IFERROR(__xludf.DUMMYFUNCTION("""COMPUTED_VALUE"""),"MOBILECARE - NEWPOINT MALL")</f>
        <v>MOBILECARE - NEWPOINT MALL</v>
      </c>
      <c r="D4418" s="2" t="str">
        <f>IFERROR(__xludf.DUMMYFUNCTION("""COMPUTED_VALUE"""),"661-21996")</f>
        <v>661-21996</v>
      </c>
      <c r="E4418" s="2" t="str">
        <f>IFERROR(__xludf.DUMMYFUNCTION("""COMPUTED_VALUE"""),"Battery, iPhone 13 Pro")</f>
        <v>Battery, iPhone 13 Pro</v>
      </c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</row>
    <row r="4419">
      <c r="A4419" s="10" t="str">
        <f t="shared" si="1"/>
        <v>February</v>
      </c>
      <c r="B4419" s="11">
        <f>IFERROR(__xludf.DUMMYFUNCTION("""COMPUTED_VALUE"""),46060.0)</f>
        <v>46060</v>
      </c>
      <c r="C4419" s="2" t="str">
        <f>IFERROR(__xludf.DUMMYFUNCTION("""COMPUTED_VALUE"""),"MOBILECARE - NEWPOINT MALL")</f>
        <v>MOBILECARE - NEWPOINT MALL</v>
      </c>
      <c r="D4419" s="2" t="str">
        <f>IFERROR(__xludf.DUMMYFUNCTION("""COMPUTED_VALUE"""),"661-30397")</f>
        <v>661-30397</v>
      </c>
      <c r="E4419" s="2" t="str">
        <f>IFERROR(__xludf.DUMMYFUNCTION("""COMPUTED_VALUE"""),"Battery, iPhone 14 Pro Max")</f>
        <v>Battery, iPhone 14 Pro Max</v>
      </c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</row>
    <row r="4420">
      <c r="A4420" s="10" t="str">
        <f t="shared" si="1"/>
        <v>February</v>
      </c>
      <c r="B4420" s="11">
        <f>IFERROR(__xludf.DUMMYFUNCTION("""COMPUTED_VALUE"""),46059.0)</f>
        <v>46059</v>
      </c>
      <c r="C4420" s="2" t="str">
        <f>IFERROR(__xludf.DUMMYFUNCTION("""COMPUTED_VALUE"""),"MOBILECARE - NEWPOINT MALL")</f>
        <v>MOBILECARE - NEWPOINT MALL</v>
      </c>
      <c r="D4420" s="2" t="str">
        <f>IFERROR(__xludf.DUMMYFUNCTION("""COMPUTED_VALUE"""),"661-42845")</f>
        <v>661-42845</v>
      </c>
      <c r="E4420" s="2" t="str">
        <f>IFERROR(__xludf.DUMMYFUNCTION("""COMPUTED_VALUE"""),"Camera, iPhone 16 Plus")</f>
        <v>Camera, iPhone 16 Plus</v>
      </c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</row>
    <row r="4421">
      <c r="A4421" s="10" t="str">
        <f t="shared" si="1"/>
        <v>January</v>
      </c>
      <c r="B4421" s="11">
        <f>IFERROR(__xludf.DUMMYFUNCTION("""COMPUTED_VALUE"""),46053.0)</f>
        <v>46053</v>
      </c>
      <c r="C4421" s="2" t="str">
        <f>IFERROR(__xludf.DUMMYFUNCTION("""COMPUTED_VALUE"""),"MOBILECARE - NEWPOINT MALL")</f>
        <v>MOBILECARE - NEWPOINT MALL</v>
      </c>
      <c r="D4421" s="2" t="str">
        <f>IFERROR(__xludf.DUMMYFUNCTION("""COMPUTED_VALUE"""),"661-21988")</f>
        <v>661-21988</v>
      </c>
      <c r="E4421" s="2" t="str">
        <f>IFERROR(__xludf.DUMMYFUNCTION("""COMPUTED_VALUE"""),"Display, iPhone 13")</f>
        <v>Display, iPhone 13</v>
      </c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</row>
    <row r="4422">
      <c r="A4422" s="10" t="str">
        <f t="shared" si="1"/>
        <v>January</v>
      </c>
      <c r="B4422" s="11">
        <f>IFERROR(__xludf.DUMMYFUNCTION("""COMPUTED_VALUE"""),46053.0)</f>
        <v>46053</v>
      </c>
      <c r="C4422" s="2" t="str">
        <f>IFERROR(__xludf.DUMMYFUNCTION("""COMPUTED_VALUE"""),"MOBILECARE - NEWPOINT MALL")</f>
        <v>MOBILECARE - NEWPOINT MALL</v>
      </c>
      <c r="D4422" s="2" t="str">
        <f>IFERROR(__xludf.DUMMYFUNCTION("""COMPUTED_VALUE"""),"661-21988")</f>
        <v>661-21988</v>
      </c>
      <c r="E4422" s="2" t="str">
        <f>IFERROR(__xludf.DUMMYFUNCTION("""COMPUTED_VALUE"""),"Display, iPhone 13")</f>
        <v>Display, iPhone 13</v>
      </c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</row>
    <row r="4423">
      <c r="A4423" s="10" t="str">
        <f t="shared" si="1"/>
        <v>January</v>
      </c>
      <c r="B4423" s="11">
        <f>IFERROR(__xludf.DUMMYFUNCTION("""COMPUTED_VALUE"""),46042.0)</f>
        <v>46042</v>
      </c>
      <c r="C4423" s="2" t="str">
        <f>IFERROR(__xludf.DUMMYFUNCTION("""COMPUTED_VALUE"""),"MOBILECARE - NEWPOINT MALL")</f>
        <v>MOBILECARE - NEWPOINT MALL</v>
      </c>
      <c r="D4423" s="2" t="str">
        <f>IFERROR(__xludf.DUMMYFUNCTION("""COMPUTED_VALUE"""),"661-30382")</f>
        <v>661-30382</v>
      </c>
      <c r="E4423" s="2" t="str">
        <f>IFERROR(__xludf.DUMMYFUNCTION("""COMPUTED_VALUE"""),"Battery, iPhone 14 Pro")</f>
        <v>Battery, iPhone 14 Pro</v>
      </c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</row>
    <row r="4424">
      <c r="A4424" s="10" t="str">
        <f t="shared" si="1"/>
        <v>February</v>
      </c>
      <c r="B4424" s="11">
        <f>IFERROR(__xludf.DUMMYFUNCTION("""COMPUTED_VALUE"""),46056.0)</f>
        <v>46056</v>
      </c>
      <c r="C4424" s="2" t="str">
        <f>IFERROR(__xludf.DUMMYFUNCTION("""COMPUTED_VALUE"""),"MOBILECARE - NEWPOINT MALL")</f>
        <v>MOBILECARE - NEWPOINT MALL</v>
      </c>
      <c r="D4424" s="2" t="str">
        <f>IFERROR(__xludf.DUMMYFUNCTION("""COMPUTED_VALUE"""),"PP661-28871")</f>
        <v>PP661-28871</v>
      </c>
      <c r="E4424" s="2" t="str">
        <f>IFERROR(__xludf.DUMMYFUNCTION("""COMPUTED_VALUE"""),"iPhone 14, Blue, 128GB, Logic Board Assy Mid System, ROW")</f>
        <v>iPhone 14, Blue, 128GB, Logic Board Assy Mid System, ROW</v>
      </c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</row>
    <row r="4425">
      <c r="A4425" s="10" t="str">
        <f t="shared" si="1"/>
        <v>February</v>
      </c>
      <c r="B4425" s="11">
        <f>IFERROR(__xludf.DUMMYFUNCTION("""COMPUTED_VALUE"""),46056.0)</f>
        <v>46056</v>
      </c>
      <c r="C4425" s="2" t="str">
        <f>IFERROR(__xludf.DUMMYFUNCTION("""COMPUTED_VALUE"""),"MOBILECARE - NEWPOINT MALL")</f>
        <v>MOBILECARE - NEWPOINT MALL</v>
      </c>
      <c r="D4425" s="2" t="str">
        <f>IFERROR(__xludf.DUMMYFUNCTION("""COMPUTED_VALUE"""),"661-30416")</f>
        <v>661-30416</v>
      </c>
      <c r="E4425" s="2" t="str">
        <f>IFERROR(__xludf.DUMMYFUNCTION("""COMPUTED_VALUE"""),"Blue, Back Glass, iPhone 14")</f>
        <v>Blue, Back Glass, iPhone 14</v>
      </c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</row>
    <row r="4426">
      <c r="A4426" s="10" t="str">
        <f t="shared" si="1"/>
        <v>June</v>
      </c>
      <c r="B4426" s="11">
        <f>IFERROR(__xludf.DUMMYFUNCTION("""COMPUTED_VALUE"""),46187.0)</f>
        <v>46187</v>
      </c>
      <c r="C4426" s="2" t="str">
        <f>IFERROR(__xludf.DUMMYFUNCTION("""COMPUTED_VALUE"""),"MOBILECARE - NEWPOINT MALL")</f>
        <v>MOBILECARE - NEWPOINT MALL</v>
      </c>
      <c r="D4426" s="2" t="str">
        <f>IFERROR(__xludf.DUMMYFUNCTION("""COMPUTED_VALUE"""),"661-21988")</f>
        <v>661-21988</v>
      </c>
      <c r="E4426" s="2" t="str">
        <f>IFERROR(__xludf.DUMMYFUNCTION("""COMPUTED_VALUE"""),"Display, iPhone 13")</f>
        <v>Display, iPhone 13</v>
      </c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</row>
    <row r="4427">
      <c r="A4427" s="10" t="str">
        <f t="shared" si="1"/>
        <v>June</v>
      </c>
      <c r="B4427" s="11">
        <f>IFERROR(__xludf.DUMMYFUNCTION("""COMPUTED_VALUE"""),46186.0)</f>
        <v>46186</v>
      </c>
      <c r="C4427" s="2" t="str">
        <f>IFERROR(__xludf.DUMMYFUNCTION("""COMPUTED_VALUE"""),"MOBILECARE - NEWPOINT MALL")</f>
        <v>MOBILECARE - NEWPOINT MALL</v>
      </c>
      <c r="D4427" s="2" t="str">
        <f>IFERROR(__xludf.DUMMYFUNCTION("""COMPUTED_VALUE"""),"661-21991")</f>
        <v>661-21991</v>
      </c>
      <c r="E4427" s="2" t="str">
        <f>IFERROR(__xludf.DUMMYFUNCTION("""COMPUTED_VALUE"""),"Battery, iPhone 13")</f>
        <v>Battery, iPhone 13</v>
      </c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</row>
    <row r="4428">
      <c r="A4428" s="10" t="str">
        <f t="shared" si="1"/>
        <v>May</v>
      </c>
      <c r="B4428" s="11">
        <f>IFERROR(__xludf.DUMMYFUNCTION("""COMPUTED_VALUE"""),46169.0)</f>
        <v>46169</v>
      </c>
      <c r="C4428" s="2" t="str">
        <f>IFERROR(__xludf.DUMMYFUNCTION("""COMPUTED_VALUE"""),"MOBILECARE - NEWPOINT MALL")</f>
        <v>MOBILECARE - NEWPOINT MALL</v>
      </c>
      <c r="D4428" s="2" t="str">
        <f>IFERROR(__xludf.DUMMYFUNCTION("""COMPUTED_VALUE"""),"ZP923-13640")</f>
        <v>ZP923-13640</v>
      </c>
      <c r="E4428" s="2" t="str">
        <f>IFERROR(__xludf.DUMMYFUNCTION("""COMPUTED_VALUE"""),"Deep Blue, Enclosure, ROW, iPhone 17 Pro")</f>
        <v>Deep Blue, Enclosure, ROW, iPhone 17 Pro</v>
      </c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</row>
    <row r="4429">
      <c r="A4429" s="10" t="str">
        <f t="shared" si="1"/>
        <v>May</v>
      </c>
      <c r="B4429" s="11">
        <f>IFERROR(__xludf.DUMMYFUNCTION("""COMPUTED_VALUE"""),46167.0)</f>
        <v>46167</v>
      </c>
      <c r="C4429" s="2" t="str">
        <f>IFERROR(__xludf.DUMMYFUNCTION("""COMPUTED_VALUE"""),"MOBILECARE - NEWPOINT MALL")</f>
        <v>MOBILECARE - NEWPOINT MALL</v>
      </c>
      <c r="D4429" s="2" t="str">
        <f>IFERROR(__xludf.DUMMYFUNCTION("""COMPUTED_VALUE"""),"661-56125")</f>
        <v>661-56125</v>
      </c>
      <c r="E4429" s="2" t="str">
        <f>IFERROR(__xludf.DUMMYFUNCTION("""COMPUTED_VALUE"""),"Display, iPhone 17 Pro")</f>
        <v>Display, iPhone 17 Pro</v>
      </c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</row>
    <row r="4430">
      <c r="A4430" s="10" t="str">
        <f t="shared" si="1"/>
        <v>May</v>
      </c>
      <c r="B4430" s="11">
        <f>IFERROR(__xludf.DUMMYFUNCTION("""COMPUTED_VALUE"""),46160.0)</f>
        <v>46160</v>
      </c>
      <c r="C4430" s="2" t="str">
        <f>IFERROR(__xludf.DUMMYFUNCTION("""COMPUTED_VALUE"""),"MOBILECARE - NEWPOINT MALL")</f>
        <v>MOBILECARE - NEWPOINT MALL</v>
      </c>
      <c r="D4430" s="2" t="str">
        <f>IFERROR(__xludf.DUMMYFUNCTION("""COMPUTED_VALUE"""),"661-21991")</f>
        <v>661-21991</v>
      </c>
      <c r="E4430" s="2" t="str">
        <f>IFERROR(__xludf.DUMMYFUNCTION("""COMPUTED_VALUE"""),"Battery, iPhone 13")</f>
        <v>Battery, iPhone 13</v>
      </c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</row>
    <row r="4431">
      <c r="A4431" s="10" t="str">
        <f t="shared" si="1"/>
        <v>May</v>
      </c>
      <c r="B4431" s="11">
        <f>IFERROR(__xludf.DUMMYFUNCTION("""COMPUTED_VALUE"""),46158.0)</f>
        <v>46158</v>
      </c>
      <c r="C4431" s="2" t="str">
        <f>IFERROR(__xludf.DUMMYFUNCTION("""COMPUTED_VALUE"""),"MOBILECARE - NEWPOINT MALL")</f>
        <v>MOBILECARE - NEWPOINT MALL</v>
      </c>
      <c r="D4431" s="2" t="str">
        <f>IFERROR(__xludf.DUMMYFUNCTION("""COMPUTED_VALUE"""),"661-44797")</f>
        <v>661-44797</v>
      </c>
      <c r="E4431" s="2" t="str">
        <f>IFERROR(__xludf.DUMMYFUNCTION("""COMPUTED_VALUE"""),"Display, iPhone 16")</f>
        <v>Display, iPhone 16</v>
      </c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</row>
    <row r="4432">
      <c r="A4432" s="10" t="str">
        <f t="shared" si="1"/>
        <v>May</v>
      </c>
      <c r="B4432" s="11">
        <f>IFERROR(__xludf.DUMMYFUNCTION("""COMPUTED_VALUE"""),46145.0)</f>
        <v>46145</v>
      </c>
      <c r="C4432" s="2" t="str">
        <f>IFERROR(__xludf.DUMMYFUNCTION("""COMPUTED_VALUE"""),"MOBILECARE - NEWPOINT MALL")</f>
        <v>MOBILECARE - NEWPOINT MALL</v>
      </c>
      <c r="D4432" s="2" t="str">
        <f>IFERROR(__xludf.DUMMYFUNCTION("""COMPUTED_VALUE"""),"661-30397")</f>
        <v>661-30397</v>
      </c>
      <c r="E4432" s="2" t="str">
        <f>IFERROR(__xludf.DUMMYFUNCTION("""COMPUTED_VALUE"""),"Battery, iPhone 14 Pro Max")</f>
        <v>Battery, iPhone 14 Pro Max</v>
      </c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</row>
    <row r="4433">
      <c r="A4433" s="10" t="str">
        <f t="shared" si="1"/>
        <v>May</v>
      </c>
      <c r="B4433" s="11">
        <f>IFERROR(__xludf.DUMMYFUNCTION("""COMPUTED_VALUE"""),46149.0)</f>
        <v>46149</v>
      </c>
      <c r="C4433" s="2" t="str">
        <f>IFERROR(__xludf.DUMMYFUNCTION("""COMPUTED_VALUE"""),"MOBILECARE - NEWPOINT MALL")</f>
        <v>MOBILECARE - NEWPOINT MALL</v>
      </c>
      <c r="D4433" s="2" t="str">
        <f>IFERROR(__xludf.DUMMYFUNCTION("""COMPUTED_VALUE"""),"661-21991")</f>
        <v>661-21991</v>
      </c>
      <c r="E4433" s="2" t="str">
        <f>IFERROR(__xludf.DUMMYFUNCTION("""COMPUTED_VALUE"""),"Battery, iPhone 13")</f>
        <v>Battery, iPhone 13</v>
      </c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</row>
    <row r="4434">
      <c r="A4434" s="10" t="str">
        <f t="shared" si="1"/>
        <v>May</v>
      </c>
      <c r="B4434" s="11">
        <f>IFERROR(__xludf.DUMMYFUNCTION("""COMPUTED_VALUE"""),46150.0)</f>
        <v>46150</v>
      </c>
      <c r="C4434" s="2" t="str">
        <f>IFERROR(__xludf.DUMMYFUNCTION("""COMPUTED_VALUE"""),"MOBILECARE - NEWPOINT MALL")</f>
        <v>MOBILECARE - NEWPOINT MALL</v>
      </c>
      <c r="D4434" s="2" t="str">
        <f>IFERROR(__xludf.DUMMYFUNCTION("""COMPUTED_VALUE"""),"TA661-36694")</f>
        <v>TA661-36694</v>
      </c>
      <c r="E4434" s="2" t="str">
        <f>IFERROR(__xludf.DUMMYFUNCTION("""COMPUTED_VALUE"""),"iPhone 15, Blue, 128GB, Logic Board Assy Mid System, ROW")</f>
        <v>iPhone 15, Blue, 128GB, Logic Board Assy Mid System, ROW</v>
      </c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</row>
    <row r="4435">
      <c r="A4435" s="10" t="str">
        <f t="shared" si="1"/>
        <v>April</v>
      </c>
      <c r="B4435" s="11">
        <f>IFERROR(__xludf.DUMMYFUNCTION("""COMPUTED_VALUE"""),46126.0)</f>
        <v>46126</v>
      </c>
      <c r="C4435" s="2" t="str">
        <f>IFERROR(__xludf.DUMMYFUNCTION("""COMPUTED_VALUE"""),"MOBILECARE - NEWPOINT MALL")</f>
        <v>MOBILECARE - NEWPOINT MALL</v>
      </c>
      <c r="D4435" s="2" t="str">
        <f>IFERROR(__xludf.DUMMYFUNCTION("""COMPUTED_VALUE"""),"PP661-22980")</f>
        <v>PP661-22980</v>
      </c>
      <c r="E4435" s="2" t="str">
        <f>IFERROR(__xludf.DUMMYFUNCTION("""COMPUTED_VALUE"""),"Midnight, 128 GB, iPhone 13, ROW, CI/AR, Philippines")</f>
        <v>Midnight, 128 GB, iPhone 13, ROW, CI/AR, Philippines</v>
      </c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</row>
    <row r="4436">
      <c r="A4436" s="10" t="str">
        <f t="shared" si="1"/>
        <v>April</v>
      </c>
      <c r="B4436" s="11">
        <f>IFERROR(__xludf.DUMMYFUNCTION("""COMPUTED_VALUE"""),46123.0)</f>
        <v>46123</v>
      </c>
      <c r="C4436" s="2" t="str">
        <f>IFERROR(__xludf.DUMMYFUNCTION("""COMPUTED_VALUE"""),"MOBILECARE - NEWPOINT MALL")</f>
        <v>MOBILECARE - NEWPOINT MALL</v>
      </c>
      <c r="D4436" s="2" t="str">
        <f>IFERROR(__xludf.DUMMYFUNCTION("""COMPUTED_VALUE"""),"Z661-55956")</f>
        <v>Z661-55956</v>
      </c>
      <c r="E4436" s="2" t="str">
        <f>IFERROR(__xludf.DUMMYFUNCTION("""COMPUTED_VALUE"""),"Logic Board, 256GB, iPhone 17 Pro Max, ROW")</f>
        <v>Logic Board, 256GB, iPhone 17 Pro Max, ROW</v>
      </c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</row>
    <row r="4437">
      <c r="A4437" s="10" t="str">
        <f t="shared" si="1"/>
        <v>March</v>
      </c>
      <c r="B4437" s="11">
        <f>IFERROR(__xludf.DUMMYFUNCTION("""COMPUTED_VALUE"""),46107.0)</f>
        <v>46107</v>
      </c>
      <c r="C4437" s="2" t="str">
        <f>IFERROR(__xludf.DUMMYFUNCTION("""COMPUTED_VALUE"""),"MOBILECARE - NEWPOINT MALL")</f>
        <v>MOBILECARE - NEWPOINT MALL</v>
      </c>
      <c r="D4437" s="2" t="str">
        <f>IFERROR(__xludf.DUMMYFUNCTION("""COMPUTED_VALUE"""),"661-42843")</f>
        <v>661-42843</v>
      </c>
      <c r="E4437" s="2" t="str">
        <f>IFERROR(__xludf.DUMMYFUNCTION("""COMPUTED_VALUE"""),"Display, iPhone 16 Plus")</f>
        <v>Display, iPhone 16 Plus</v>
      </c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</row>
    <row r="4438">
      <c r="A4438" s="10" t="str">
        <f t="shared" si="1"/>
        <v>April</v>
      </c>
      <c r="B4438" s="11">
        <f>IFERROR(__xludf.DUMMYFUNCTION("""COMPUTED_VALUE"""),46117.0)</f>
        <v>46117</v>
      </c>
      <c r="C4438" s="2" t="str">
        <f>IFERROR(__xludf.DUMMYFUNCTION("""COMPUTED_VALUE"""),"MOBILECARE - NEWPOINT MALL")</f>
        <v>MOBILECARE - NEWPOINT MALL</v>
      </c>
      <c r="D4438" s="2" t="str">
        <f>IFERROR(__xludf.DUMMYFUNCTION("""COMPUTED_VALUE"""),"661-21988")</f>
        <v>661-21988</v>
      </c>
      <c r="E4438" s="2" t="str">
        <f>IFERROR(__xludf.DUMMYFUNCTION("""COMPUTED_VALUE"""),"Display, iPhone 13")</f>
        <v>Display, iPhone 13</v>
      </c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</row>
    <row r="4439">
      <c r="A4439" s="10" t="str">
        <f t="shared" si="1"/>
        <v>April</v>
      </c>
      <c r="B4439" s="11">
        <f>IFERROR(__xludf.DUMMYFUNCTION("""COMPUTED_VALUE"""),46123.0)</f>
        <v>46123</v>
      </c>
      <c r="C4439" s="2" t="str">
        <f>IFERROR(__xludf.DUMMYFUNCTION("""COMPUTED_VALUE"""),"MOBILECARE - NEWPOINT MALL")</f>
        <v>MOBILECARE - NEWPOINT MALL</v>
      </c>
      <c r="D4439" s="2" t="str">
        <f>IFERROR(__xludf.DUMMYFUNCTION("""COMPUTED_VALUE"""),"Z661-55957")</f>
        <v>Z661-55957</v>
      </c>
      <c r="E4439" s="2" t="str">
        <f>IFERROR(__xludf.DUMMYFUNCTION("""COMPUTED_VALUE"""),"Logic Board, 512GB, iPhone 17 Pro Max, ROW")</f>
        <v>Logic Board, 512GB, iPhone 17 Pro Max, ROW</v>
      </c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</row>
    <row r="4440">
      <c r="A4440" s="10" t="str">
        <f t="shared" si="1"/>
        <v>April</v>
      </c>
      <c r="B4440" s="11">
        <f>IFERROR(__xludf.DUMMYFUNCTION("""COMPUTED_VALUE"""),46123.0)</f>
        <v>46123</v>
      </c>
      <c r="C4440" s="2" t="str">
        <f>IFERROR(__xludf.DUMMYFUNCTION("""COMPUTED_VALUE"""),"MOBILECARE - NEWPOINT MALL")</f>
        <v>MOBILECARE - NEWPOINT MALL</v>
      </c>
      <c r="D4440" s="2" t="str">
        <f>IFERROR(__xludf.DUMMYFUNCTION("""COMPUTED_VALUE"""),"ZP923-13785")</f>
        <v>ZP923-13785</v>
      </c>
      <c r="E4440" s="2" t="str">
        <f>IFERROR(__xludf.DUMMYFUNCTION("""COMPUTED_VALUE"""),"Silver, Enclosure, iPhone 17 Pro Max, ROW")</f>
        <v>Silver, Enclosure, iPhone 17 Pro Max, ROW</v>
      </c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</row>
    <row r="4441">
      <c r="A4441" s="10" t="str">
        <f t="shared" si="1"/>
        <v>March</v>
      </c>
      <c r="B4441" s="11">
        <f>IFERROR(__xludf.DUMMYFUNCTION("""COMPUTED_VALUE"""),46092.0)</f>
        <v>46092</v>
      </c>
      <c r="C4441" s="2" t="str">
        <f>IFERROR(__xludf.DUMMYFUNCTION("""COMPUTED_VALUE"""),"MOBILECARE - NEWPOINT MALL")</f>
        <v>MOBILECARE - NEWPOINT MALL</v>
      </c>
      <c r="D4441" s="2" t="str">
        <f>IFERROR(__xludf.DUMMYFUNCTION("""COMPUTED_VALUE"""),"661-44797")</f>
        <v>661-44797</v>
      </c>
      <c r="E4441" s="2" t="str">
        <f>IFERROR(__xludf.DUMMYFUNCTION("""COMPUTED_VALUE"""),"Display, iPhone 16")</f>
        <v>Display, iPhone 16</v>
      </c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</row>
    <row r="4442">
      <c r="A4442" s="10" t="str">
        <f t="shared" si="1"/>
        <v>April</v>
      </c>
      <c r="B4442" s="11">
        <f>IFERROR(__xludf.DUMMYFUNCTION("""COMPUTED_VALUE"""),46113.0)</f>
        <v>46113</v>
      </c>
      <c r="C4442" s="2" t="str">
        <f>IFERROR(__xludf.DUMMYFUNCTION("""COMPUTED_VALUE"""),"MOBILECARE - NEWPOINT MALL")</f>
        <v>MOBILECARE - NEWPOINT MALL</v>
      </c>
      <c r="D4442" s="2" t="str">
        <f>IFERROR(__xludf.DUMMYFUNCTION("""COMPUTED_VALUE"""),"Z661-56015")</f>
        <v>Z661-56015</v>
      </c>
      <c r="E4442" s="2" t="str">
        <f>IFERROR(__xludf.DUMMYFUNCTION("""COMPUTED_VALUE"""),"Logic Board, 256GB, iPhone 17, ROW")</f>
        <v>Logic Board, 256GB, iPhone 17, ROW</v>
      </c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</row>
    <row r="4443">
      <c r="A4443" s="10" t="str">
        <f t="shared" si="1"/>
        <v>March</v>
      </c>
      <c r="B4443" s="11">
        <f>IFERROR(__xludf.DUMMYFUNCTION("""COMPUTED_VALUE"""),46104.0)</f>
        <v>46104</v>
      </c>
      <c r="C4443" s="2" t="str">
        <f>IFERROR(__xludf.DUMMYFUNCTION("""COMPUTED_VALUE"""),"MOBILECARE - NEWPOINT MALL")</f>
        <v>MOBILECARE - NEWPOINT MALL</v>
      </c>
      <c r="D4443" s="2" t="str">
        <f>IFERROR(__xludf.DUMMYFUNCTION("""COMPUTED_VALUE"""),"Z661-55957")</f>
        <v>Z661-55957</v>
      </c>
      <c r="E4443" s="2" t="str">
        <f>IFERROR(__xludf.DUMMYFUNCTION("""COMPUTED_VALUE"""),"Logic Board, 512GB, iPhone 17 Pro Max, ROW")</f>
        <v>Logic Board, 512GB, iPhone 17 Pro Max, ROW</v>
      </c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</row>
    <row r="4444">
      <c r="A4444" s="10" t="str">
        <f t="shared" si="1"/>
        <v>February</v>
      </c>
      <c r="B4444" s="11">
        <f>IFERROR(__xludf.DUMMYFUNCTION("""COMPUTED_VALUE"""),46080.0)</f>
        <v>46080</v>
      </c>
      <c r="C4444" s="2" t="str">
        <f>IFERROR(__xludf.DUMMYFUNCTION("""COMPUTED_VALUE"""),"MOBILECARE - NEWPOINT MALL")</f>
        <v>MOBILECARE - NEWPOINT MALL</v>
      </c>
      <c r="D4444" s="2" t="str">
        <f>IFERROR(__xludf.DUMMYFUNCTION("""COMPUTED_VALUE"""),"661-21996")</f>
        <v>661-21996</v>
      </c>
      <c r="E4444" s="2" t="str">
        <f>IFERROR(__xludf.DUMMYFUNCTION("""COMPUTED_VALUE"""),"Battery, iPhone 13 Pro")</f>
        <v>Battery, iPhone 13 Pro</v>
      </c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</row>
    <row r="4445">
      <c r="A4445" s="10" t="str">
        <f t="shared" si="1"/>
        <v>March</v>
      </c>
      <c r="B4445" s="11">
        <f>IFERROR(__xludf.DUMMYFUNCTION("""COMPUTED_VALUE"""),46093.0)</f>
        <v>46093</v>
      </c>
      <c r="C4445" s="2" t="str">
        <f>IFERROR(__xludf.DUMMYFUNCTION("""COMPUTED_VALUE"""),"MOBILECARE - NEWPOINT MALL")</f>
        <v>MOBILECARE - NEWPOINT MALL</v>
      </c>
      <c r="D4445" s="2" t="str">
        <f>IFERROR(__xludf.DUMMYFUNCTION("""COMPUTED_VALUE"""),"TA661-36696")</f>
        <v>TA661-36696</v>
      </c>
      <c r="E4445" s="2" t="str">
        <f>IFERROR(__xludf.DUMMYFUNCTION("""COMPUTED_VALUE"""),"iPhone 15, Black, 256GB, Logic Board Assy Mid System, ROW")</f>
        <v>iPhone 15, Black, 256GB, Logic Board Assy Mid System, ROW</v>
      </c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</row>
    <row r="4446">
      <c r="A4446" s="10" t="str">
        <f t="shared" si="1"/>
        <v>March</v>
      </c>
      <c r="B4446" s="11">
        <f>IFERROR(__xludf.DUMMYFUNCTION("""COMPUTED_VALUE"""),46093.0)</f>
        <v>46093</v>
      </c>
      <c r="C4446" s="2" t="str">
        <f>IFERROR(__xludf.DUMMYFUNCTION("""COMPUTED_VALUE"""),"MOBILECARE - NEWPOINT MALL")</f>
        <v>MOBILECARE - NEWPOINT MALL</v>
      </c>
      <c r="D4446" s="2" t="str">
        <f>IFERROR(__xludf.DUMMYFUNCTION("""COMPUTED_VALUE"""),"TA661-45323")</f>
        <v>TA661-45323</v>
      </c>
      <c r="E4446" s="2" t="str">
        <f>IFERROR(__xludf.DUMMYFUNCTION("""COMPUTED_VALUE"""),"256GB, Desert Titanium, ROW, iPhone 16 Pro Max, Logic Board Assy Mid Sys")</f>
        <v>256GB, Desert Titanium, ROW, iPhone 16 Pro Max, Logic Board Assy Mid Sys</v>
      </c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</row>
    <row r="4447">
      <c r="A4447" s="10" t="str">
        <f t="shared" si="1"/>
        <v>January</v>
      </c>
      <c r="B4447" s="11">
        <f>IFERROR(__xludf.DUMMYFUNCTION("""COMPUTED_VALUE"""),46040.0)</f>
        <v>46040</v>
      </c>
      <c r="C4447" s="2" t="str">
        <f>IFERROR(__xludf.DUMMYFUNCTION("""COMPUTED_VALUE"""),"MOBILECARE - NEWPOINT MALL")</f>
        <v>MOBILECARE - NEWPOINT MALL</v>
      </c>
      <c r="D4447" s="2" t="str">
        <f>IFERROR(__xludf.DUMMYFUNCTION("""COMPUTED_VALUE"""),"661-21996")</f>
        <v>661-21996</v>
      </c>
      <c r="E4447" s="2" t="str">
        <f>IFERROR(__xludf.DUMMYFUNCTION("""COMPUTED_VALUE"""),"Battery, iPhone 13 Pro")</f>
        <v>Battery, iPhone 13 Pro</v>
      </c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</row>
    <row r="4448">
      <c r="A4448" s="10" t="str">
        <f t="shared" si="1"/>
        <v>February</v>
      </c>
      <c r="B4448" s="11">
        <f>IFERROR(__xludf.DUMMYFUNCTION("""COMPUTED_VALUE"""),46061.0)</f>
        <v>46061</v>
      </c>
      <c r="C4448" s="2" t="str">
        <f>IFERROR(__xludf.DUMMYFUNCTION("""COMPUTED_VALUE"""),"MOBILECARE - NEWPOINT MALL")</f>
        <v>MOBILECARE - NEWPOINT MALL</v>
      </c>
      <c r="D4448" s="2" t="str">
        <f>IFERROR(__xludf.DUMMYFUNCTION("""COMPUTED_VALUE"""),"PP661-23454")</f>
        <v>PP661-23454</v>
      </c>
      <c r="E4448" s="2" t="str">
        <f>IFERROR(__xludf.DUMMYFUNCTION("""COMPUTED_VALUE"""),"iPhone 13, Midnight, 128GB, Logic Board Assy Rear System, ROW")</f>
        <v>iPhone 13, Midnight, 128GB, Logic Board Assy Rear System, ROW</v>
      </c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</row>
    <row r="4449">
      <c r="A4449" s="10" t="str">
        <f t="shared" si="1"/>
        <v>January</v>
      </c>
      <c r="B4449" s="11">
        <f>IFERROR(__xludf.DUMMYFUNCTION("""COMPUTED_VALUE"""),46040.0)</f>
        <v>46040</v>
      </c>
      <c r="C4449" s="2" t="str">
        <f>IFERROR(__xludf.DUMMYFUNCTION("""COMPUTED_VALUE"""),"MOBILECARE - NEWPOINT MALL")</f>
        <v>MOBILECARE - NEWPOINT MALL</v>
      </c>
      <c r="D4449" s="2" t="str">
        <f>IFERROR(__xludf.DUMMYFUNCTION("""COMPUTED_VALUE"""),"661-56050")</f>
        <v>661-56050</v>
      </c>
      <c r="E4449" s="2" t="str">
        <f>IFERROR(__xludf.DUMMYFUNCTION("""COMPUTED_VALUE"""),"Display, iPhone 17 Pro Max")</f>
        <v>Display, iPhone 17 Pro Max</v>
      </c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</row>
    <row r="4450">
      <c r="A4450" s="10" t="str">
        <f t="shared" si="1"/>
        <v>June</v>
      </c>
      <c r="B4450" s="11">
        <f>IFERROR(__xludf.DUMMYFUNCTION("""COMPUTED_VALUE"""),46185.0)</f>
        <v>46185</v>
      </c>
      <c r="C4450" s="2" t="str">
        <f>IFERROR(__xludf.DUMMYFUNCTION("""COMPUTED_VALUE"""),"MOBILECARE - NEWPOINT MALL")</f>
        <v>MOBILECARE - NEWPOINT MALL</v>
      </c>
      <c r="D4450" s="2" t="str">
        <f>IFERROR(__xludf.DUMMYFUNCTION("""COMPUTED_VALUE"""),"PP661-28868")</f>
        <v>PP661-28868</v>
      </c>
      <c r="E4450" s="2" t="str">
        <f>IFERROR(__xludf.DUMMYFUNCTION("""COMPUTED_VALUE"""),"iPhone 14, Midnight, 128GB, Logic Board Assy Mid System, ROW")</f>
        <v>iPhone 14, Midnight, 128GB, Logic Board Assy Mid System, ROW</v>
      </c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</row>
    <row r="4451">
      <c r="A4451" s="10" t="str">
        <f t="shared" si="1"/>
        <v>May</v>
      </c>
      <c r="B4451" s="11">
        <f>IFERROR(__xludf.DUMMYFUNCTION("""COMPUTED_VALUE"""),46166.0)</f>
        <v>46166</v>
      </c>
      <c r="C4451" s="2" t="str">
        <f>IFERROR(__xludf.DUMMYFUNCTION("""COMPUTED_VALUE"""),"MOBILECARE - NEWPOINT MALL")</f>
        <v>MOBILECARE - NEWPOINT MALL</v>
      </c>
      <c r="D4451" s="2" t="str">
        <f>IFERROR(__xludf.DUMMYFUNCTION("""COMPUTED_VALUE"""),"661-21991")</f>
        <v>661-21991</v>
      </c>
      <c r="E4451" s="2" t="str">
        <f>IFERROR(__xludf.DUMMYFUNCTION("""COMPUTED_VALUE"""),"Battery, iPhone 13")</f>
        <v>Battery, iPhone 13</v>
      </c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</row>
    <row r="4452">
      <c r="A4452" s="10" t="str">
        <f t="shared" si="1"/>
        <v>May</v>
      </c>
      <c r="B4452" s="11">
        <f>IFERROR(__xludf.DUMMYFUNCTION("""COMPUTED_VALUE"""),46156.0)</f>
        <v>46156</v>
      </c>
      <c r="C4452" s="2" t="str">
        <f>IFERROR(__xludf.DUMMYFUNCTION("""COMPUTED_VALUE"""),"MOBILECARE - NEWPOINT MALL")</f>
        <v>MOBILECARE - NEWPOINT MALL</v>
      </c>
      <c r="D4452" s="2" t="str">
        <f>IFERROR(__xludf.DUMMYFUNCTION("""COMPUTED_VALUE"""),"661-44955")</f>
        <v>661-44955</v>
      </c>
      <c r="E4452" s="2" t="str">
        <f>IFERROR(__xludf.DUMMYFUNCTION("""COMPUTED_VALUE"""),"Display, iPhone 16 Pro Max")</f>
        <v>Display, iPhone 16 Pro Max</v>
      </c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</row>
    <row r="4453">
      <c r="A4453" s="10" t="str">
        <f t="shared" si="1"/>
        <v>May</v>
      </c>
      <c r="B4453" s="11">
        <f>IFERROR(__xludf.DUMMYFUNCTION("""COMPUTED_VALUE"""),46149.0)</f>
        <v>46149</v>
      </c>
      <c r="C4453" s="2" t="str">
        <f>IFERROR(__xludf.DUMMYFUNCTION("""COMPUTED_VALUE"""),"MOBILECARE - NEWPOINT MALL")</f>
        <v>MOBILECARE - NEWPOINT MALL</v>
      </c>
      <c r="D4453" s="2" t="str">
        <f>IFERROR(__xludf.DUMMYFUNCTION("""COMPUTED_VALUE"""),"661-44955")</f>
        <v>661-44955</v>
      </c>
      <c r="E4453" s="2" t="str">
        <f>IFERROR(__xludf.DUMMYFUNCTION("""COMPUTED_VALUE"""),"Display, iPhone 16 Pro Max")</f>
        <v>Display, iPhone 16 Pro Max</v>
      </c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</row>
    <row r="4454">
      <c r="A4454" s="10" t="str">
        <f t="shared" si="1"/>
        <v>April</v>
      </c>
      <c r="B4454" s="11">
        <f>IFERROR(__xludf.DUMMYFUNCTION("""COMPUTED_VALUE"""),46133.0)</f>
        <v>46133</v>
      </c>
      <c r="C4454" s="2" t="str">
        <f>IFERROR(__xludf.DUMMYFUNCTION("""COMPUTED_VALUE"""),"MOBILECARE - NEWPOINT MALL")</f>
        <v>MOBILECARE - NEWPOINT MALL</v>
      </c>
      <c r="D4454" s="2" t="str">
        <f>IFERROR(__xludf.DUMMYFUNCTION("""COMPUTED_VALUE"""),"Z661-56015")</f>
        <v>Z661-56015</v>
      </c>
      <c r="E4454" s="2" t="str">
        <f>IFERROR(__xludf.DUMMYFUNCTION("""COMPUTED_VALUE"""),"Logic Board, 256GB, iPhone 17, ROW")</f>
        <v>Logic Board, 256GB, iPhone 17, ROW</v>
      </c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</row>
    <row r="4455">
      <c r="A4455" s="10" t="str">
        <f t="shared" si="1"/>
        <v>April</v>
      </c>
      <c r="B4455" s="11">
        <f>IFERROR(__xludf.DUMMYFUNCTION("""COMPUTED_VALUE"""),46123.0)</f>
        <v>46123</v>
      </c>
      <c r="C4455" s="2" t="str">
        <f>IFERROR(__xludf.DUMMYFUNCTION("""COMPUTED_VALUE"""),"MOBILECARE - NEWPOINT MALL")</f>
        <v>MOBILECARE - NEWPOINT MALL</v>
      </c>
      <c r="D4455" s="2" t="str">
        <f>IFERROR(__xludf.DUMMYFUNCTION("""COMPUTED_VALUE"""),"661-42727")</f>
        <v>661-42727</v>
      </c>
      <c r="E4455" s="2" t="str">
        <f>IFERROR(__xludf.DUMMYFUNCTION("""COMPUTED_VALUE"""),"TrueDepth Camera, iPhone 16 Pro")</f>
        <v>TrueDepth Camera, iPhone 16 Pro</v>
      </c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</row>
    <row r="4456">
      <c r="A4456" s="10" t="str">
        <f t="shared" si="1"/>
        <v>March</v>
      </c>
      <c r="B4456" s="11">
        <f>IFERROR(__xludf.DUMMYFUNCTION("""COMPUTED_VALUE"""),46110.0)</f>
        <v>46110</v>
      </c>
      <c r="C4456" s="2" t="str">
        <f>IFERROR(__xludf.DUMMYFUNCTION("""COMPUTED_VALUE"""),"MOBILECARE - NEWPOINT MALL")</f>
        <v>MOBILECARE - NEWPOINT MALL</v>
      </c>
      <c r="D4456" s="2" t="str">
        <f>IFERROR(__xludf.DUMMYFUNCTION("""COMPUTED_VALUE"""),"Z661-55942")</f>
        <v>Z661-55942</v>
      </c>
      <c r="E4456" s="2" t="str">
        <f>IFERROR(__xludf.DUMMYFUNCTION("""COMPUTED_VALUE"""),"Logic Board, 256GB, A3523, ROW, iPhone 17 Pro")</f>
        <v>Logic Board, 256GB, A3523, ROW, iPhone 17 Pro</v>
      </c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</row>
    <row r="4457">
      <c r="A4457" s="10" t="str">
        <f t="shared" si="1"/>
        <v>March</v>
      </c>
      <c r="B4457" s="11">
        <f>IFERROR(__xludf.DUMMYFUNCTION("""COMPUTED_VALUE"""),46101.0)</f>
        <v>46101</v>
      </c>
      <c r="C4457" s="2" t="str">
        <f>IFERROR(__xludf.DUMMYFUNCTION("""COMPUTED_VALUE"""),"MOBILECARE - NEWPOINT MALL")</f>
        <v>MOBILECARE - NEWPOINT MALL</v>
      </c>
      <c r="D4457" s="2" t="str">
        <f>IFERROR(__xludf.DUMMYFUNCTION("""COMPUTED_VALUE"""),"Z661-55956")</f>
        <v>Z661-55956</v>
      </c>
      <c r="E4457" s="2" t="str">
        <f>IFERROR(__xludf.DUMMYFUNCTION("""COMPUTED_VALUE"""),"Logic Board, 256GB, iPhone 17 Pro Max, ROW")</f>
        <v>Logic Board, 256GB, iPhone 17 Pro Max, ROW</v>
      </c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</row>
    <row r="4458">
      <c r="A4458" s="10" t="str">
        <f t="shared" si="1"/>
        <v>February</v>
      </c>
      <c r="B4458" s="11">
        <f>IFERROR(__xludf.DUMMYFUNCTION("""COMPUTED_VALUE"""),46079.0)</f>
        <v>46079</v>
      </c>
      <c r="C4458" s="2" t="str">
        <f>IFERROR(__xludf.DUMMYFUNCTION("""COMPUTED_VALUE"""),"MOBILECARE - NEWPOINT MALL")</f>
        <v>MOBILECARE - NEWPOINT MALL</v>
      </c>
      <c r="D4458" s="2" t="str">
        <f>IFERROR(__xludf.DUMMYFUNCTION("""COMPUTED_VALUE"""),"TA661-45322")</f>
        <v>TA661-45322</v>
      </c>
      <c r="E4458" s="2" t="str">
        <f>IFERROR(__xludf.DUMMYFUNCTION("""COMPUTED_VALUE"""),"256GB, White Titanium, ROW, iPhone 16 Pro Max, Logic Board Assy Mid Syst")</f>
        <v>256GB, White Titanium, ROW, iPhone 16 Pro Max, Logic Board Assy Mid Syst</v>
      </c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</row>
    <row r="4459">
      <c r="A4459" s="10" t="str">
        <f t="shared" si="1"/>
        <v>February</v>
      </c>
      <c r="B4459" s="11">
        <f>IFERROR(__xludf.DUMMYFUNCTION("""COMPUTED_VALUE"""),46070.0)</f>
        <v>46070</v>
      </c>
      <c r="C4459" s="2" t="str">
        <f>IFERROR(__xludf.DUMMYFUNCTION("""COMPUTED_VALUE"""),"MOBILECARE - NEWPOINT MALL")</f>
        <v>MOBILECARE - NEWPOINT MALL</v>
      </c>
      <c r="D4459" s="2" t="str">
        <f>IFERROR(__xludf.DUMMYFUNCTION("""COMPUTED_VALUE"""),"TA661-45232")</f>
        <v>TA661-45232</v>
      </c>
      <c r="E4459" s="2" t="str">
        <f>IFERROR(__xludf.DUMMYFUNCTION("""COMPUTED_VALUE"""),"128GB, White, ROW, iPhone 16 Plus, Logic Board Assy Mid System")</f>
        <v>128GB, White, ROW, iPhone 16 Plus, Logic Board Assy Mid System</v>
      </c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</row>
    <row r="4460">
      <c r="A4460" s="10" t="str">
        <f t="shared" si="1"/>
        <v>January</v>
      </c>
      <c r="B4460" s="11">
        <f>IFERROR(__xludf.DUMMYFUNCTION("""COMPUTED_VALUE"""),46046.0)</f>
        <v>46046</v>
      </c>
      <c r="C4460" s="2" t="str">
        <f>IFERROR(__xludf.DUMMYFUNCTION("""COMPUTED_VALUE"""),"MOBILECARE - NEWPOINT MALL")</f>
        <v>MOBILECARE - NEWPOINT MALL</v>
      </c>
      <c r="D4460" s="2" t="str">
        <f>IFERROR(__xludf.DUMMYFUNCTION("""COMPUTED_VALUE"""),"661-18428")</f>
        <v>661-18428</v>
      </c>
      <c r="E4460" s="2" t="str">
        <f>IFERROR(__xludf.DUMMYFUNCTION("""COMPUTED_VALUE"""),"Battery, iPhone 12 Pro Max")</f>
        <v>Battery, iPhone 12 Pro Max</v>
      </c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</row>
    <row r="4461">
      <c r="A4461" s="10" t="str">
        <f t="shared" si="1"/>
        <v>January</v>
      </c>
      <c r="B4461" s="11">
        <f>IFERROR(__xludf.DUMMYFUNCTION("""COMPUTED_VALUE"""),46040.0)</f>
        <v>46040</v>
      </c>
      <c r="C4461" s="2" t="str">
        <f>IFERROR(__xludf.DUMMYFUNCTION("""COMPUTED_VALUE"""),"MOBILECARE - NEWPOINT MALL")</f>
        <v>MOBILECARE - NEWPOINT MALL</v>
      </c>
      <c r="D4461" s="2" t="str">
        <f>IFERROR(__xludf.DUMMYFUNCTION("""COMPUTED_VALUE"""),"661-21988")</f>
        <v>661-21988</v>
      </c>
      <c r="E4461" s="2" t="str">
        <f>IFERROR(__xludf.DUMMYFUNCTION("""COMPUTED_VALUE"""),"Display, iPhone 13")</f>
        <v>Display, iPhone 13</v>
      </c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</row>
    <row r="4462">
      <c r="A4462" s="10" t="str">
        <f t="shared" si="1"/>
        <v>June</v>
      </c>
      <c r="B4462" s="11">
        <f>IFERROR(__xludf.DUMMYFUNCTION("""COMPUTED_VALUE"""),46178.0)</f>
        <v>46178</v>
      </c>
      <c r="C4462" s="2" t="str">
        <f>IFERROR(__xludf.DUMMYFUNCTION("""COMPUTED_VALUE"""),"MOBILECARE - NEWPOINT MALL")</f>
        <v>MOBILECARE - NEWPOINT MALL</v>
      </c>
      <c r="D4462" s="2" t="str">
        <f>IFERROR(__xludf.DUMMYFUNCTION("""COMPUTED_VALUE"""),"PP661-28869")</f>
        <v>PP661-28869</v>
      </c>
      <c r="E4462" s="2" t="str">
        <f>IFERROR(__xludf.DUMMYFUNCTION("""COMPUTED_VALUE"""),"iPhone 14, Starlight, 128GB, Logic Board Assy Mid System, ROW")</f>
        <v>iPhone 14, Starlight, 128GB, Logic Board Assy Mid System, ROW</v>
      </c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</row>
    <row r="4463">
      <c r="A4463" s="10" t="str">
        <f t="shared" si="1"/>
        <v>May</v>
      </c>
      <c r="B4463" s="11">
        <f>IFERROR(__xludf.DUMMYFUNCTION("""COMPUTED_VALUE"""),46143.0)</f>
        <v>46143</v>
      </c>
      <c r="C4463" s="2" t="str">
        <f>IFERROR(__xludf.DUMMYFUNCTION("""COMPUTED_VALUE"""),"MOBILECARE - NEWPOINT MALL")</f>
        <v>MOBILECARE - NEWPOINT MALL</v>
      </c>
      <c r="D4463" s="2" t="str">
        <f>IFERROR(__xludf.DUMMYFUNCTION("""COMPUTED_VALUE"""),"661-44955")</f>
        <v>661-44955</v>
      </c>
      <c r="E4463" s="2" t="str">
        <f>IFERROR(__xludf.DUMMYFUNCTION("""COMPUTED_VALUE"""),"Display, iPhone 16 Pro Max")</f>
        <v>Display, iPhone 16 Pro Max</v>
      </c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</row>
    <row r="4464">
      <c r="A4464" s="10" t="str">
        <f t="shared" si="1"/>
        <v>April</v>
      </c>
      <c r="B4464" s="11">
        <f>IFERROR(__xludf.DUMMYFUNCTION("""COMPUTED_VALUE"""),46125.0)</f>
        <v>46125</v>
      </c>
      <c r="C4464" s="2" t="str">
        <f>IFERROR(__xludf.DUMMYFUNCTION("""COMPUTED_VALUE"""),"MOBILECARE - NEWPOINT MALL")</f>
        <v>MOBILECARE - NEWPOINT MALL</v>
      </c>
      <c r="D4464" s="2" t="str">
        <f>IFERROR(__xludf.DUMMYFUNCTION("""COMPUTED_VALUE"""),"661-21991")</f>
        <v>661-21991</v>
      </c>
      <c r="E4464" s="2" t="str">
        <f>IFERROR(__xludf.DUMMYFUNCTION("""COMPUTED_VALUE"""),"Battery, iPhone 13")</f>
        <v>Battery, iPhone 13</v>
      </c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</row>
    <row r="4465">
      <c r="A4465" s="10" t="str">
        <f t="shared" si="1"/>
        <v>March</v>
      </c>
      <c r="B4465" s="11">
        <f>IFERROR(__xludf.DUMMYFUNCTION("""COMPUTED_VALUE"""),46106.0)</f>
        <v>46106</v>
      </c>
      <c r="C4465" s="2" t="str">
        <f>IFERROR(__xludf.DUMMYFUNCTION("""COMPUTED_VALUE"""),"MOBILECARE - NEWPOINT MALL")</f>
        <v>MOBILECARE - NEWPOINT MALL</v>
      </c>
      <c r="D4465" s="2" t="str">
        <f>IFERROR(__xludf.DUMMYFUNCTION("""COMPUTED_VALUE"""),"661-21988")</f>
        <v>661-21988</v>
      </c>
      <c r="E4465" s="2" t="str">
        <f>IFERROR(__xludf.DUMMYFUNCTION("""COMPUTED_VALUE"""),"Display, iPhone 13")</f>
        <v>Display, iPhone 13</v>
      </c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</row>
    <row r="4466">
      <c r="A4466" s="10" t="str">
        <f t="shared" si="1"/>
        <v>March</v>
      </c>
      <c r="B4466" s="11">
        <f>IFERROR(__xludf.DUMMYFUNCTION("""COMPUTED_VALUE"""),46095.0)</f>
        <v>46095</v>
      </c>
      <c r="C4466" s="2" t="str">
        <f>IFERROR(__xludf.DUMMYFUNCTION("""COMPUTED_VALUE"""),"MOBILECARE - NEWPOINT MALL")</f>
        <v>MOBILECARE - NEWPOINT MALL</v>
      </c>
      <c r="D4466" s="2" t="str">
        <f>IFERROR(__xludf.DUMMYFUNCTION("""COMPUTED_VALUE"""),"TA661-36691")</f>
        <v>TA661-36691</v>
      </c>
      <c r="E4466" s="2" t="str">
        <f>IFERROR(__xludf.DUMMYFUNCTION("""COMPUTED_VALUE"""),"iPhone 15, Black, 128GB, Logic Board Assy Mid System, ROW")</f>
        <v>iPhone 15, Black, 128GB, Logic Board Assy Mid System, ROW</v>
      </c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</row>
    <row r="4467">
      <c r="A4467" s="10" t="str">
        <f t="shared" si="1"/>
        <v>March</v>
      </c>
      <c r="B4467" s="11">
        <f>IFERROR(__xludf.DUMMYFUNCTION("""COMPUTED_VALUE"""),46082.0)</f>
        <v>46082</v>
      </c>
      <c r="C4467" s="2" t="str">
        <f>IFERROR(__xludf.DUMMYFUNCTION("""COMPUTED_VALUE"""),"MOBILECARE - NEWPOINT MALL")</f>
        <v>MOBILECARE - NEWPOINT MALL</v>
      </c>
      <c r="D4467" s="2" t="str">
        <f>IFERROR(__xludf.DUMMYFUNCTION("""COMPUTED_VALUE"""),"661-32232")</f>
        <v>661-32232</v>
      </c>
      <c r="E4467" s="2" t="str">
        <f>IFERROR(__xludf.DUMMYFUNCTION("""COMPUTED_VALUE"""),"Rear Camera, iPhone 13/mini, MICN")</f>
        <v>Rear Camera, iPhone 13/mini, MICN</v>
      </c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</row>
    <row r="4468">
      <c r="A4468" s="10" t="str">
        <f t="shared" si="1"/>
        <v>February</v>
      </c>
      <c r="B4468" s="11">
        <f>IFERROR(__xludf.DUMMYFUNCTION("""COMPUTED_VALUE"""),46075.0)</f>
        <v>46075</v>
      </c>
      <c r="C4468" s="2" t="str">
        <f>IFERROR(__xludf.DUMMYFUNCTION("""COMPUTED_VALUE"""),"MOBILECARE - NEWPOINT MALL")</f>
        <v>MOBILECARE - NEWPOINT MALL</v>
      </c>
      <c r="D4468" s="2" t="str">
        <f>IFERROR(__xludf.DUMMYFUNCTION("""COMPUTED_VALUE"""),"ZP923-13787")</f>
        <v>ZP923-13787</v>
      </c>
      <c r="E4468" s="2" t="str">
        <f>IFERROR(__xludf.DUMMYFUNCTION("""COMPUTED_VALUE"""),"Deep Blue, Enclosure, iPhone 17 Pro Max, ROW")</f>
        <v>Deep Blue, Enclosure, iPhone 17 Pro Max, ROW</v>
      </c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</row>
    <row r="4469">
      <c r="A4469" s="10" t="str">
        <f t="shared" si="1"/>
        <v>February</v>
      </c>
      <c r="B4469" s="11">
        <f>IFERROR(__xludf.DUMMYFUNCTION("""COMPUTED_VALUE"""),46064.0)</f>
        <v>46064</v>
      </c>
      <c r="C4469" s="2" t="str">
        <f>IFERROR(__xludf.DUMMYFUNCTION("""COMPUTED_VALUE"""),"MOBILECARE - NEWPOINT MALL")</f>
        <v>MOBILECARE - NEWPOINT MALL</v>
      </c>
      <c r="D4469" s="2" t="str">
        <f>IFERROR(__xludf.DUMMYFUNCTION("""COMPUTED_VALUE"""),"661-36918")</f>
        <v>661-36918</v>
      </c>
      <c r="E4469" s="2" t="str">
        <f>IFERROR(__xludf.DUMMYFUNCTION("""COMPUTED_VALUE"""),"Battery, iPhone 15 Pro Max")</f>
        <v>Battery, iPhone 15 Pro Max</v>
      </c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</row>
    <row r="4470">
      <c r="A4470" s="10" t="str">
        <f t="shared" si="1"/>
        <v>February</v>
      </c>
      <c r="B4470" s="11">
        <f>IFERROR(__xludf.DUMMYFUNCTION("""COMPUTED_VALUE"""),46055.0)</f>
        <v>46055</v>
      </c>
      <c r="C4470" s="2" t="str">
        <f>IFERROR(__xludf.DUMMYFUNCTION("""COMPUTED_VALUE"""),"MOBILECARE - NEWPOINT MALL")</f>
        <v>MOBILECARE - NEWPOINT MALL</v>
      </c>
      <c r="D4470" s="2" t="str">
        <f>IFERROR(__xludf.DUMMYFUNCTION("""COMPUTED_VALUE"""),"661-22294")</f>
        <v>661-22294</v>
      </c>
      <c r="E4470" s="2" t="str">
        <f>IFERROR(__xludf.DUMMYFUNCTION("""COMPUTED_VALUE"""),"Battery, iPhone 13 Pro Max")</f>
        <v>Battery, iPhone 13 Pro Max</v>
      </c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</row>
    <row r="4471">
      <c r="A4471" s="10" t="str">
        <f t="shared" si="1"/>
        <v>February</v>
      </c>
      <c r="B4471" s="11">
        <f>IFERROR(__xludf.DUMMYFUNCTION("""COMPUTED_VALUE"""),46057.0)</f>
        <v>46057</v>
      </c>
      <c r="C4471" s="2" t="str">
        <f>IFERROR(__xludf.DUMMYFUNCTION("""COMPUTED_VALUE"""),"MOBILECARE - NEWPOINT MALL")</f>
        <v>MOBILECARE - NEWPOINT MALL</v>
      </c>
      <c r="D4471" s="2" t="str">
        <f>IFERROR(__xludf.DUMMYFUNCTION("""COMPUTED_VALUE"""),"661-56125")</f>
        <v>661-56125</v>
      </c>
      <c r="E4471" s="2" t="str">
        <f>IFERROR(__xludf.DUMMYFUNCTION("""COMPUTED_VALUE"""),"Display, iPhone 17 Pro")</f>
        <v>Display, iPhone 17 Pro</v>
      </c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</row>
    <row r="4472">
      <c r="A4472" s="10" t="str">
        <f t="shared" si="1"/>
        <v>January</v>
      </c>
      <c r="B4472" s="11">
        <f>IFERROR(__xludf.DUMMYFUNCTION("""COMPUTED_VALUE"""),46038.0)</f>
        <v>46038</v>
      </c>
      <c r="C4472" s="2" t="str">
        <f>IFERROR(__xludf.DUMMYFUNCTION("""COMPUTED_VALUE"""),"MOBILECARE - NEWPOINT MALL")</f>
        <v>MOBILECARE - NEWPOINT MALL</v>
      </c>
      <c r="D4472" s="2" t="str">
        <f>IFERROR(__xludf.DUMMYFUNCTION("""COMPUTED_VALUE"""),"661-21991")</f>
        <v>661-21991</v>
      </c>
      <c r="E4472" s="2" t="str">
        <f>IFERROR(__xludf.DUMMYFUNCTION("""COMPUTED_VALUE"""),"Battery, iPhone 13")</f>
        <v>Battery, iPhone 13</v>
      </c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</row>
    <row r="4473">
      <c r="A4473" s="10" t="str">
        <f t="shared" si="1"/>
        <v>January</v>
      </c>
      <c r="B4473" s="11">
        <f>IFERROR(__xludf.DUMMYFUNCTION("""COMPUTED_VALUE"""),46047.0)</f>
        <v>46047</v>
      </c>
      <c r="C4473" s="2" t="str">
        <f>IFERROR(__xludf.DUMMYFUNCTION("""COMPUTED_VALUE"""),"MOBILECARE - NEWPOINT MALL")</f>
        <v>MOBILECARE - NEWPOINT MALL</v>
      </c>
      <c r="D4473" s="2" t="str">
        <f>IFERROR(__xludf.DUMMYFUNCTION("""COMPUTED_VALUE"""),"661-30366")</f>
        <v>661-30366</v>
      </c>
      <c r="E4473" s="2" t="str">
        <f>IFERROR(__xludf.DUMMYFUNCTION("""COMPUTED_VALUE"""),"Display, iPhone 14")</f>
        <v>Display, iPhone 14</v>
      </c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</row>
    <row r="4474">
      <c r="A4474" s="10" t="str">
        <f t="shared" si="1"/>
        <v>June</v>
      </c>
      <c r="B4474" s="11">
        <f>IFERROR(__xludf.DUMMYFUNCTION("""COMPUTED_VALUE"""),46180.0)</f>
        <v>46180</v>
      </c>
      <c r="C4474" s="2" t="str">
        <f>IFERROR(__xludf.DUMMYFUNCTION("""COMPUTED_VALUE"""),"MOBILECARE - NEWPOINT MALL")</f>
        <v>MOBILECARE - NEWPOINT MALL</v>
      </c>
      <c r="D4474" s="2" t="str">
        <f>IFERROR(__xludf.DUMMYFUNCTION("""COMPUTED_VALUE"""),"661-21996")</f>
        <v>661-21996</v>
      </c>
      <c r="E4474" s="2" t="str">
        <f>IFERROR(__xludf.DUMMYFUNCTION("""COMPUTED_VALUE"""),"Battery, iPhone 13 Pro")</f>
        <v>Battery, iPhone 13 Pro</v>
      </c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</row>
    <row r="4475">
      <c r="A4475" s="10" t="str">
        <f t="shared" si="1"/>
        <v>June</v>
      </c>
      <c r="B4475" s="11">
        <f>IFERROR(__xludf.DUMMYFUNCTION("""COMPUTED_VALUE"""),46179.0)</f>
        <v>46179</v>
      </c>
      <c r="C4475" s="2" t="str">
        <f>IFERROR(__xludf.DUMMYFUNCTION("""COMPUTED_VALUE"""),"MOBILECARE - NEWPOINT MALL")</f>
        <v>MOBILECARE - NEWPOINT MALL</v>
      </c>
      <c r="D4475" s="2" t="str">
        <f>IFERROR(__xludf.DUMMYFUNCTION("""COMPUTED_VALUE"""),"661-21991")</f>
        <v>661-21991</v>
      </c>
      <c r="E4475" s="2" t="str">
        <f>IFERROR(__xludf.DUMMYFUNCTION("""COMPUTED_VALUE"""),"Battery, iPhone 13")</f>
        <v>Battery, iPhone 13</v>
      </c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</row>
    <row r="4476">
      <c r="A4476" s="10" t="str">
        <f t="shared" si="1"/>
        <v>May</v>
      </c>
      <c r="B4476" s="11">
        <f>IFERROR(__xludf.DUMMYFUNCTION("""COMPUTED_VALUE"""),46172.0)</f>
        <v>46172</v>
      </c>
      <c r="C4476" s="2" t="str">
        <f>IFERROR(__xludf.DUMMYFUNCTION("""COMPUTED_VALUE"""),"MOBILECARE - NEWPOINT MALL")</f>
        <v>MOBILECARE - NEWPOINT MALL</v>
      </c>
      <c r="D4476" s="2" t="str">
        <f>IFERROR(__xludf.DUMMYFUNCTION("""COMPUTED_VALUE"""),"661-30397")</f>
        <v>661-30397</v>
      </c>
      <c r="E4476" s="2" t="str">
        <f>IFERROR(__xludf.DUMMYFUNCTION("""COMPUTED_VALUE"""),"Battery, iPhone 14 Pro Max")</f>
        <v>Battery, iPhone 14 Pro Max</v>
      </c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</row>
    <row r="4477">
      <c r="A4477" s="10" t="str">
        <f t="shared" si="1"/>
        <v>May</v>
      </c>
      <c r="B4477" s="11">
        <f>IFERROR(__xludf.DUMMYFUNCTION("""COMPUTED_VALUE"""),46169.0)</f>
        <v>46169</v>
      </c>
      <c r="C4477" s="2" t="str">
        <f>IFERROR(__xludf.DUMMYFUNCTION("""COMPUTED_VALUE"""),"MOBILECARE - NEWPOINT MALL")</f>
        <v>MOBILECARE - NEWPOINT MALL</v>
      </c>
      <c r="D4477" s="2" t="str">
        <f>IFERROR(__xludf.DUMMYFUNCTION("""COMPUTED_VALUE"""),"661-21991")</f>
        <v>661-21991</v>
      </c>
      <c r="E4477" s="2" t="str">
        <f>IFERROR(__xludf.DUMMYFUNCTION("""COMPUTED_VALUE"""),"Battery, iPhone 13")</f>
        <v>Battery, iPhone 13</v>
      </c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</row>
    <row r="4478">
      <c r="A4478" s="10" t="str">
        <f t="shared" si="1"/>
        <v>June</v>
      </c>
      <c r="B4478" s="11">
        <f>IFERROR(__xludf.DUMMYFUNCTION("""COMPUTED_VALUE"""),46183.0)</f>
        <v>46183</v>
      </c>
      <c r="C4478" s="2" t="str">
        <f>IFERROR(__xludf.DUMMYFUNCTION("""COMPUTED_VALUE"""),"MOBILECARE - NEWPOINT MALL")</f>
        <v>MOBILECARE - NEWPOINT MALL</v>
      </c>
      <c r="D4478" s="2" t="str">
        <f>IFERROR(__xludf.DUMMYFUNCTION("""COMPUTED_VALUE"""),"TA661-36691")</f>
        <v>TA661-36691</v>
      </c>
      <c r="E4478" s="2" t="str">
        <f>IFERROR(__xludf.DUMMYFUNCTION("""COMPUTED_VALUE"""),"iPhone 15, Black, 128GB, Logic Board Assy Mid System, ROW")</f>
        <v>iPhone 15, Black, 128GB, Logic Board Assy Mid System, ROW</v>
      </c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</row>
    <row r="4479">
      <c r="A4479" s="10" t="str">
        <f t="shared" si="1"/>
        <v>May</v>
      </c>
      <c r="B4479" s="11">
        <f>IFERROR(__xludf.DUMMYFUNCTION("""COMPUTED_VALUE"""),46150.0)</f>
        <v>46150</v>
      </c>
      <c r="C4479" s="2" t="str">
        <f>IFERROR(__xludf.DUMMYFUNCTION("""COMPUTED_VALUE"""),"MOBILECARE - NEWPOINT MALL")</f>
        <v>MOBILECARE - NEWPOINT MALL</v>
      </c>
      <c r="D4479" s="2" t="str">
        <f>IFERROR(__xludf.DUMMYFUNCTION("""COMPUTED_VALUE"""),"661-22294")</f>
        <v>661-22294</v>
      </c>
      <c r="E4479" s="2" t="str">
        <f>IFERROR(__xludf.DUMMYFUNCTION("""COMPUTED_VALUE"""),"Battery, iPhone 13 Pro Max")</f>
        <v>Battery, iPhone 13 Pro Max</v>
      </c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</row>
    <row r="4480">
      <c r="A4480" s="10" t="str">
        <f t="shared" si="1"/>
        <v>April</v>
      </c>
      <c r="B4480" s="11">
        <f>IFERROR(__xludf.DUMMYFUNCTION("""COMPUTED_VALUE"""),46131.0)</f>
        <v>46131</v>
      </c>
      <c r="C4480" s="2" t="str">
        <f>IFERROR(__xludf.DUMMYFUNCTION("""COMPUTED_VALUE"""),"MOBILECARE - NEWPOINT MALL")</f>
        <v>MOBILECARE - NEWPOINT MALL</v>
      </c>
      <c r="D4480" s="2" t="str">
        <f>IFERROR(__xludf.DUMMYFUNCTION("""COMPUTED_VALUE"""),"661-22309")</f>
        <v>661-22309</v>
      </c>
      <c r="E4480" s="2" t="str">
        <f>IFERROR(__xludf.DUMMYFUNCTION("""COMPUTED_VALUE"""),"Display, iPhone 13 Pro Max")</f>
        <v>Display, iPhone 13 Pro Max</v>
      </c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</row>
    <row r="4481">
      <c r="A4481" s="10" t="str">
        <f t="shared" si="1"/>
        <v>April</v>
      </c>
      <c r="B4481" s="11">
        <f>IFERROR(__xludf.DUMMYFUNCTION("""COMPUTED_VALUE"""),46138.0)</f>
        <v>46138</v>
      </c>
      <c r="C4481" s="2" t="str">
        <f>IFERROR(__xludf.DUMMYFUNCTION("""COMPUTED_VALUE"""),"MOBILECARE - NEWPOINT MALL")</f>
        <v>MOBILECARE - NEWPOINT MALL</v>
      </c>
      <c r="D4481" s="2" t="str">
        <f>IFERROR(__xludf.DUMMYFUNCTION("""COMPUTED_VALUE"""),"PP661-23455")</f>
        <v>PP661-23455</v>
      </c>
      <c r="E4481" s="2" t="str">
        <f>IFERROR(__xludf.DUMMYFUNCTION("""COMPUTED_VALUE"""),"iPhone 13, Starlight, 128GB, Logic Board Assy Rear System, ROW")</f>
        <v>iPhone 13, Starlight, 128GB, Logic Board Assy Rear System, ROW</v>
      </c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</row>
    <row r="4482">
      <c r="A4482" s="10" t="str">
        <f t="shared" si="1"/>
        <v>March</v>
      </c>
      <c r="B4482" s="11">
        <f>IFERROR(__xludf.DUMMYFUNCTION("""COMPUTED_VALUE"""),46097.0)</f>
        <v>46097</v>
      </c>
      <c r="C4482" s="2" t="str">
        <f>IFERROR(__xludf.DUMMYFUNCTION("""COMPUTED_VALUE"""),"MOBILECARE - NEWPOINT MALL")</f>
        <v>MOBILECARE - NEWPOINT MALL</v>
      </c>
      <c r="D4482" s="2" t="str">
        <f>IFERROR(__xludf.DUMMYFUNCTION("""COMPUTED_VALUE"""),"661-30393")</f>
        <v>661-30393</v>
      </c>
      <c r="E4482" s="2" t="str">
        <f>IFERROR(__xludf.DUMMYFUNCTION("""COMPUTED_VALUE"""),"Camera, iPhone 14 Plus")</f>
        <v>Camera, iPhone 14 Plus</v>
      </c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</row>
    <row r="4483">
      <c r="A4483" s="10" t="str">
        <f t="shared" si="1"/>
        <v>March</v>
      </c>
      <c r="B4483" s="11">
        <f>IFERROR(__xludf.DUMMYFUNCTION("""COMPUTED_VALUE"""),46088.0)</f>
        <v>46088</v>
      </c>
      <c r="C4483" s="2" t="str">
        <f>IFERROR(__xludf.DUMMYFUNCTION("""COMPUTED_VALUE"""),"MOBILECARE - NEWPOINT MALL")</f>
        <v>MOBILECARE - NEWPOINT MALL</v>
      </c>
      <c r="D4483" s="2" t="str">
        <f>IFERROR(__xludf.DUMMYFUNCTION("""COMPUTED_VALUE"""),"PP661-22980")</f>
        <v>PP661-22980</v>
      </c>
      <c r="E4483" s="2" t="str">
        <f>IFERROR(__xludf.DUMMYFUNCTION("""COMPUTED_VALUE"""),"Midnight, 128 GB, iPhone 13, ROW, CI/AR, Philippines")</f>
        <v>Midnight, 128 GB, iPhone 13, ROW, CI/AR, Philippines</v>
      </c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</row>
    <row r="4484">
      <c r="A4484" s="10" t="str">
        <f t="shared" si="1"/>
        <v>February</v>
      </c>
      <c r="B4484" s="11">
        <f>IFERROR(__xludf.DUMMYFUNCTION("""COMPUTED_VALUE"""),46076.0)</f>
        <v>46076</v>
      </c>
      <c r="C4484" s="2" t="str">
        <f>IFERROR(__xludf.DUMMYFUNCTION("""COMPUTED_VALUE"""),"MOBILECARE - NEWPOINT MALL")</f>
        <v>MOBILECARE - NEWPOINT MALL</v>
      </c>
      <c r="D4484" s="2" t="str">
        <f>IFERROR(__xludf.DUMMYFUNCTION("""COMPUTED_VALUE"""),"PP661-23455")</f>
        <v>PP661-23455</v>
      </c>
      <c r="E4484" s="2" t="str">
        <f>IFERROR(__xludf.DUMMYFUNCTION("""COMPUTED_VALUE"""),"iPhone 13, Starlight, 128GB, Logic Board Assy Rear System, ROW")</f>
        <v>iPhone 13, Starlight, 128GB, Logic Board Assy Rear System, ROW</v>
      </c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</row>
    <row r="4485">
      <c r="A4485" s="10" t="str">
        <f t="shared" si="1"/>
        <v>February</v>
      </c>
      <c r="B4485" s="11">
        <f>IFERROR(__xludf.DUMMYFUNCTION("""COMPUTED_VALUE"""),46064.0)</f>
        <v>46064</v>
      </c>
      <c r="C4485" s="2" t="str">
        <f>IFERROR(__xludf.DUMMYFUNCTION("""COMPUTED_VALUE"""),"MOBILECARE - NEWPOINT MALL")</f>
        <v>MOBILECARE - NEWPOINT MALL</v>
      </c>
      <c r="D4485" s="2" t="str">
        <f>IFERROR(__xludf.DUMMYFUNCTION("""COMPUTED_VALUE"""),"PP661-22980")</f>
        <v>PP661-22980</v>
      </c>
      <c r="E4485" s="2" t="str">
        <f>IFERROR(__xludf.DUMMYFUNCTION("""COMPUTED_VALUE"""),"Midnight, 128 GB, iPhone 13, ROW, CI/AR, Philippines")</f>
        <v>Midnight, 128 GB, iPhone 13, ROW, CI/AR, Philippines</v>
      </c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</row>
    <row r="4486">
      <c r="A4486" s="10" t="str">
        <f t="shared" si="1"/>
        <v>January</v>
      </c>
      <c r="B4486" s="11">
        <f>IFERROR(__xludf.DUMMYFUNCTION("""COMPUTED_VALUE"""),46046.0)</f>
        <v>46046</v>
      </c>
      <c r="C4486" s="2" t="str">
        <f>IFERROR(__xludf.DUMMYFUNCTION("""COMPUTED_VALUE"""),"MOBILECARE - NEWPOINT MALL")</f>
        <v>MOBILECARE - NEWPOINT MALL</v>
      </c>
      <c r="D4486" s="2" t="str">
        <f>IFERROR(__xludf.DUMMYFUNCTION("""COMPUTED_VALUE"""),"661-21991")</f>
        <v>661-21991</v>
      </c>
      <c r="E4486" s="2" t="str">
        <f>IFERROR(__xludf.DUMMYFUNCTION("""COMPUTED_VALUE"""),"Battery, iPhone 13")</f>
        <v>Battery, iPhone 13</v>
      </c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</row>
    <row r="4487">
      <c r="A4487" s="10" t="str">
        <f t="shared" si="1"/>
        <v>May</v>
      </c>
      <c r="B4487" s="11">
        <f>IFERROR(__xludf.DUMMYFUNCTION("""COMPUTED_VALUE"""),46167.0)</f>
        <v>46167</v>
      </c>
      <c r="C4487" s="2" t="str">
        <f>IFERROR(__xludf.DUMMYFUNCTION("""COMPUTED_VALUE"""),"MOBILECARE - NEWPOINT MALL")</f>
        <v>MOBILECARE - NEWPOINT MALL</v>
      </c>
      <c r="D4487" s="2" t="str">
        <f>IFERROR(__xludf.DUMMYFUNCTION("""COMPUTED_VALUE"""),"661-22311")</f>
        <v>661-22311</v>
      </c>
      <c r="E4487" s="2" t="str">
        <f>IFERROR(__xludf.DUMMYFUNCTION("""COMPUTED_VALUE"""),"Display, iPhone 13 mini")</f>
        <v>Display, iPhone 13 mini</v>
      </c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</row>
    <row r="4488">
      <c r="A4488" s="10" t="str">
        <f t="shared" si="1"/>
        <v>May</v>
      </c>
      <c r="B4488" s="11">
        <f>IFERROR(__xludf.DUMMYFUNCTION("""COMPUTED_VALUE"""),46156.0)</f>
        <v>46156</v>
      </c>
      <c r="C4488" s="2" t="str">
        <f>IFERROR(__xludf.DUMMYFUNCTION("""COMPUTED_VALUE"""),"MOBILECARE - NEWPOINT MALL")</f>
        <v>MOBILECARE - NEWPOINT MALL</v>
      </c>
      <c r="D4488" s="2" t="str">
        <f>IFERROR(__xludf.DUMMYFUNCTION("""COMPUTED_VALUE"""),"661-21991")</f>
        <v>661-21991</v>
      </c>
      <c r="E4488" s="2" t="str">
        <f>IFERROR(__xludf.DUMMYFUNCTION("""COMPUTED_VALUE"""),"Battery, iPhone 13")</f>
        <v>Battery, iPhone 13</v>
      </c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</row>
    <row r="4489">
      <c r="A4489" s="10" t="str">
        <f t="shared" si="1"/>
        <v>April</v>
      </c>
      <c r="B4489" s="11">
        <f>IFERROR(__xludf.DUMMYFUNCTION("""COMPUTED_VALUE"""),46120.0)</f>
        <v>46120</v>
      </c>
      <c r="C4489" s="2" t="str">
        <f>IFERROR(__xludf.DUMMYFUNCTION("""COMPUTED_VALUE"""),"MOBILECARE - NEWPOINT MALL")</f>
        <v>MOBILECARE - NEWPOINT MALL</v>
      </c>
      <c r="D4489" s="2" t="str">
        <f>IFERROR(__xludf.DUMMYFUNCTION("""COMPUTED_VALUE"""),"661-21991")</f>
        <v>661-21991</v>
      </c>
      <c r="E4489" s="2" t="str">
        <f>IFERROR(__xludf.DUMMYFUNCTION("""COMPUTED_VALUE"""),"Battery, iPhone 13")</f>
        <v>Battery, iPhone 13</v>
      </c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</row>
    <row r="4490">
      <c r="A4490" s="10" t="str">
        <f t="shared" si="1"/>
        <v>March</v>
      </c>
      <c r="B4490" s="11">
        <f>IFERROR(__xludf.DUMMYFUNCTION("""COMPUTED_VALUE"""),46094.0)</f>
        <v>46094</v>
      </c>
      <c r="C4490" s="2" t="str">
        <f>IFERROR(__xludf.DUMMYFUNCTION("""COMPUTED_VALUE"""),"MOBILECARE - NEWPOINT MALL")</f>
        <v>MOBILECARE - NEWPOINT MALL</v>
      </c>
      <c r="D4490" s="2" t="str">
        <f>IFERROR(__xludf.DUMMYFUNCTION("""COMPUTED_VALUE"""),"661-21991")</f>
        <v>661-21991</v>
      </c>
      <c r="E4490" s="2" t="str">
        <f>IFERROR(__xludf.DUMMYFUNCTION("""COMPUTED_VALUE"""),"Battery, iPhone 13")</f>
        <v>Battery, iPhone 13</v>
      </c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</row>
    <row r="4491">
      <c r="A4491" s="10" t="str">
        <f t="shared" si="1"/>
        <v>March</v>
      </c>
      <c r="B4491" s="11">
        <f>IFERROR(__xludf.DUMMYFUNCTION("""COMPUTED_VALUE"""),46095.0)</f>
        <v>46095</v>
      </c>
      <c r="C4491" s="2" t="str">
        <f>IFERROR(__xludf.DUMMYFUNCTION("""COMPUTED_VALUE"""),"MOBILECARE - NEWPOINT MALL")</f>
        <v>MOBILECARE - NEWPOINT MALL</v>
      </c>
      <c r="D4491" s="2" t="str">
        <f>IFERROR(__xludf.DUMMYFUNCTION("""COMPUTED_VALUE"""),"661-21991")</f>
        <v>661-21991</v>
      </c>
      <c r="E4491" s="2" t="str">
        <f>IFERROR(__xludf.DUMMYFUNCTION("""COMPUTED_VALUE"""),"Battery, iPhone 13")</f>
        <v>Battery, iPhone 13</v>
      </c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</row>
    <row r="4492">
      <c r="A4492" s="10" t="str">
        <f t="shared" si="1"/>
        <v>March</v>
      </c>
      <c r="B4492" s="11">
        <f>IFERROR(__xludf.DUMMYFUNCTION("""COMPUTED_VALUE"""),46087.0)</f>
        <v>46087</v>
      </c>
      <c r="C4492" s="2" t="str">
        <f>IFERROR(__xludf.DUMMYFUNCTION("""COMPUTED_VALUE"""),"MOBILECARE - NEWPOINT MALL")</f>
        <v>MOBILECARE - NEWPOINT MALL</v>
      </c>
      <c r="D4492" s="2" t="str">
        <f>IFERROR(__xludf.DUMMYFUNCTION("""COMPUTED_VALUE"""),"661-44797")</f>
        <v>661-44797</v>
      </c>
      <c r="E4492" s="2" t="str">
        <f>IFERROR(__xludf.DUMMYFUNCTION("""COMPUTED_VALUE"""),"Display, iPhone 16")</f>
        <v>Display, iPhone 16</v>
      </c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</row>
    <row r="4493">
      <c r="A4493" s="10" t="str">
        <f t="shared" si="1"/>
        <v>March</v>
      </c>
      <c r="B4493" s="11">
        <f>IFERROR(__xludf.DUMMYFUNCTION("""COMPUTED_VALUE"""),46110.0)</f>
        <v>46110</v>
      </c>
      <c r="C4493" s="2" t="str">
        <f>IFERROR(__xludf.DUMMYFUNCTION("""COMPUTED_VALUE"""),"MOBILECARE - NEWPOINT MALL")</f>
        <v>MOBILECARE - NEWPOINT MALL</v>
      </c>
      <c r="D4493" s="2" t="str">
        <f>IFERROR(__xludf.DUMMYFUNCTION("""COMPUTED_VALUE"""),"TA661-43502")</f>
        <v>TA661-43502</v>
      </c>
      <c r="E4493" s="2" t="str">
        <f>IFERROR(__xludf.DUMMYFUNCTION("""COMPUTED_VALUE"""),"128GB, Teal, ROW, iPhone 16, CI/AR")</f>
        <v>128GB, Teal, ROW, iPhone 16, CI/AR</v>
      </c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</row>
    <row r="4494">
      <c r="A4494" s="10" t="str">
        <f t="shared" si="1"/>
        <v>March</v>
      </c>
      <c r="B4494" s="11">
        <f>IFERROR(__xludf.DUMMYFUNCTION("""COMPUTED_VALUE"""),46096.0)</f>
        <v>46096</v>
      </c>
      <c r="C4494" s="2" t="str">
        <f>IFERROR(__xludf.DUMMYFUNCTION("""COMPUTED_VALUE"""),"MOBILECARE - NEWPOINT MALL")</f>
        <v>MOBILECARE - NEWPOINT MALL</v>
      </c>
      <c r="D4494" s="2" t="str">
        <f>IFERROR(__xludf.DUMMYFUNCTION("""COMPUTED_VALUE"""),"PP661-23455")</f>
        <v>PP661-23455</v>
      </c>
      <c r="E4494" s="2" t="str">
        <f>IFERROR(__xludf.DUMMYFUNCTION("""COMPUTED_VALUE"""),"iPhone 13, Starlight, 128GB, Logic Board Assy Rear System, ROW")</f>
        <v>iPhone 13, Starlight, 128GB, Logic Board Assy Rear System, ROW</v>
      </c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</row>
    <row r="4495">
      <c r="A4495" s="10" t="str">
        <f t="shared" si="1"/>
        <v>February</v>
      </c>
      <c r="B4495" s="11">
        <f>IFERROR(__xludf.DUMMYFUNCTION("""COMPUTED_VALUE"""),46076.0)</f>
        <v>46076</v>
      </c>
      <c r="C4495" s="2" t="str">
        <f>IFERROR(__xludf.DUMMYFUNCTION("""COMPUTED_VALUE"""),"MOBILECARE - NEWPOINT MALL")</f>
        <v>MOBILECARE - NEWPOINT MALL</v>
      </c>
      <c r="D4495" s="2" t="str">
        <f>IFERROR(__xludf.DUMMYFUNCTION("""COMPUTED_VALUE"""),"661-22309")</f>
        <v>661-22309</v>
      </c>
      <c r="E4495" s="2" t="str">
        <f>IFERROR(__xludf.DUMMYFUNCTION("""COMPUTED_VALUE"""),"Display, iPhone 13 Pro Max")</f>
        <v>Display, iPhone 13 Pro Max</v>
      </c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</row>
    <row r="4496">
      <c r="A4496" s="10" t="str">
        <f t="shared" si="1"/>
        <v>February</v>
      </c>
      <c r="B4496" s="11">
        <f>IFERROR(__xludf.DUMMYFUNCTION("""COMPUTED_VALUE"""),46074.0)</f>
        <v>46074</v>
      </c>
      <c r="C4496" s="2" t="str">
        <f>IFERROR(__xludf.DUMMYFUNCTION("""COMPUTED_VALUE"""),"MOBILECARE - NEWPOINT MALL")</f>
        <v>MOBILECARE - NEWPOINT MALL</v>
      </c>
      <c r="D4496" s="2" t="str">
        <f>IFERROR(__xludf.DUMMYFUNCTION("""COMPUTED_VALUE"""),"661-21988")</f>
        <v>661-21988</v>
      </c>
      <c r="E4496" s="2" t="str">
        <f>IFERROR(__xludf.DUMMYFUNCTION("""COMPUTED_VALUE"""),"Display, iPhone 13")</f>
        <v>Display, iPhone 13</v>
      </c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</row>
    <row r="4497">
      <c r="A4497" s="10" t="str">
        <f t="shared" si="1"/>
        <v>February</v>
      </c>
      <c r="B4497" s="11">
        <f>IFERROR(__xludf.DUMMYFUNCTION("""COMPUTED_VALUE"""),46057.0)</f>
        <v>46057</v>
      </c>
      <c r="C4497" s="2" t="str">
        <f>IFERROR(__xludf.DUMMYFUNCTION("""COMPUTED_VALUE"""),"MOBILECARE - NEWPOINT MALL")</f>
        <v>MOBILECARE - NEWPOINT MALL</v>
      </c>
      <c r="D4497" s="2" t="str">
        <f>IFERROR(__xludf.DUMMYFUNCTION("""COMPUTED_VALUE"""),"661-21991")</f>
        <v>661-21991</v>
      </c>
      <c r="E4497" s="2" t="str">
        <f>IFERROR(__xludf.DUMMYFUNCTION("""COMPUTED_VALUE"""),"Battery, iPhone 13")</f>
        <v>Battery, iPhone 13</v>
      </c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</row>
    <row r="4498">
      <c r="A4498" s="10" t="str">
        <f t="shared" si="1"/>
        <v>February</v>
      </c>
      <c r="B4498" s="11">
        <f>IFERROR(__xludf.DUMMYFUNCTION("""COMPUTED_VALUE"""),46054.0)</f>
        <v>46054</v>
      </c>
      <c r="C4498" s="2" t="str">
        <f>IFERROR(__xludf.DUMMYFUNCTION("""COMPUTED_VALUE"""),"MOBILECARE - NEWPOINT MALL")</f>
        <v>MOBILECARE - NEWPOINT MALL</v>
      </c>
      <c r="D4498" s="2" t="str">
        <f>IFERROR(__xludf.DUMMYFUNCTION("""COMPUTED_VALUE"""),"661-44956")</f>
        <v>661-44956</v>
      </c>
      <c r="E4498" s="2" t="str">
        <f>IFERROR(__xludf.DUMMYFUNCTION("""COMPUTED_VALUE"""),"TrueDepth Camera, iPhone 16 Pro Max")</f>
        <v>TrueDepth Camera, iPhone 16 Pro Max</v>
      </c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</row>
    <row r="4499">
      <c r="A4499" s="10" t="str">
        <f t="shared" si="1"/>
        <v>June</v>
      </c>
      <c r="B4499" s="11">
        <f>IFERROR(__xludf.DUMMYFUNCTION("""COMPUTED_VALUE"""),46193.0)</f>
        <v>46193</v>
      </c>
      <c r="C4499" s="2" t="str">
        <f>IFERROR(__xludf.DUMMYFUNCTION("""COMPUTED_VALUE"""),"MOBILECARE - NEWPOINT MALL")</f>
        <v>MOBILECARE - NEWPOINT MALL</v>
      </c>
      <c r="D4499" s="2" t="str">
        <f>IFERROR(__xludf.DUMMYFUNCTION("""COMPUTED_VALUE"""),"661-36829")</f>
        <v>661-36829</v>
      </c>
      <c r="E4499" s="2" t="str">
        <f>IFERROR(__xludf.DUMMYFUNCTION("""COMPUTED_VALUE"""),"TrueDepth Camera, iPhone 15")</f>
        <v>TrueDepth Camera, iPhone 15</v>
      </c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</row>
    <row r="4500">
      <c r="A4500" s="10" t="str">
        <f t="shared" si="1"/>
        <v>June</v>
      </c>
      <c r="B4500" s="11">
        <f>IFERROR(__xludf.DUMMYFUNCTION("""COMPUTED_VALUE"""),46179.0)</f>
        <v>46179</v>
      </c>
      <c r="C4500" s="2" t="str">
        <f>IFERROR(__xludf.DUMMYFUNCTION("""COMPUTED_VALUE"""),"MOBILECARE - NEWPOINT MALL")</f>
        <v>MOBILECARE - NEWPOINT MALL</v>
      </c>
      <c r="D4500" s="2" t="str">
        <f>IFERROR(__xludf.DUMMYFUNCTION("""COMPUTED_VALUE"""),"661-21991")</f>
        <v>661-21991</v>
      </c>
      <c r="E4500" s="2" t="str">
        <f>IFERROR(__xludf.DUMMYFUNCTION("""COMPUTED_VALUE"""),"Battery, iPhone 13")</f>
        <v>Battery, iPhone 13</v>
      </c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</row>
    <row r="4501">
      <c r="A4501" s="10" t="str">
        <f t="shared" si="1"/>
        <v>May</v>
      </c>
      <c r="B4501" s="11">
        <f>IFERROR(__xludf.DUMMYFUNCTION("""COMPUTED_VALUE"""),46165.0)</f>
        <v>46165</v>
      </c>
      <c r="C4501" s="2" t="str">
        <f>IFERROR(__xludf.DUMMYFUNCTION("""COMPUTED_VALUE"""),"MOBILECARE - NEWPOINT MALL")</f>
        <v>MOBILECARE - NEWPOINT MALL</v>
      </c>
      <c r="D4501" s="2" t="str">
        <f>IFERROR(__xludf.DUMMYFUNCTION("""COMPUTED_VALUE"""),"661-44797")</f>
        <v>661-44797</v>
      </c>
      <c r="E4501" s="2" t="str">
        <f>IFERROR(__xludf.DUMMYFUNCTION("""COMPUTED_VALUE"""),"Display, iPhone 16")</f>
        <v>Display, iPhone 16</v>
      </c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</row>
    <row r="4502">
      <c r="A4502" s="10" t="str">
        <f t="shared" si="1"/>
        <v>May</v>
      </c>
      <c r="B4502" s="11">
        <f>IFERROR(__xludf.DUMMYFUNCTION("""COMPUTED_VALUE"""),46150.0)</f>
        <v>46150</v>
      </c>
      <c r="C4502" s="2" t="str">
        <f>IFERROR(__xludf.DUMMYFUNCTION("""COMPUTED_VALUE"""),"MOBILECARE - NEWPOINT MALL")</f>
        <v>MOBILECARE - NEWPOINT MALL</v>
      </c>
      <c r="D4502" s="2" t="str">
        <f>IFERROR(__xludf.DUMMYFUNCTION("""COMPUTED_VALUE"""),"661-42726")</f>
        <v>661-42726</v>
      </c>
      <c r="E4502" s="2" t="str">
        <f>IFERROR(__xludf.DUMMYFUNCTION("""COMPUTED_VALUE"""),"Display, iPhone 16 Pro")</f>
        <v>Display, iPhone 16 Pro</v>
      </c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</row>
    <row r="4503">
      <c r="A4503" s="10" t="str">
        <f t="shared" si="1"/>
        <v>April</v>
      </c>
      <c r="B4503" s="11">
        <f>IFERROR(__xludf.DUMMYFUNCTION("""COMPUTED_VALUE"""),46140.0)</f>
        <v>46140</v>
      </c>
      <c r="C4503" s="2" t="str">
        <f>IFERROR(__xludf.DUMMYFUNCTION("""COMPUTED_VALUE"""),"MOBILECARE - NEWPOINT MALL")</f>
        <v>MOBILECARE - NEWPOINT MALL</v>
      </c>
      <c r="D4503" s="2" t="str">
        <f>IFERROR(__xludf.DUMMYFUNCTION("""COMPUTED_VALUE"""),"661-42726")</f>
        <v>661-42726</v>
      </c>
      <c r="E4503" s="2" t="str">
        <f>IFERROR(__xludf.DUMMYFUNCTION("""COMPUTED_VALUE"""),"Display, iPhone 16 Pro")</f>
        <v>Display, iPhone 16 Pro</v>
      </c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</row>
    <row r="4504">
      <c r="A4504" s="10" t="str">
        <f t="shared" si="1"/>
        <v>May</v>
      </c>
      <c r="B4504" s="11">
        <f>IFERROR(__xludf.DUMMYFUNCTION("""COMPUTED_VALUE"""),46144.0)</f>
        <v>46144</v>
      </c>
      <c r="C4504" s="2" t="str">
        <f>IFERROR(__xludf.DUMMYFUNCTION("""COMPUTED_VALUE"""),"MOBILECARE - NEWPOINT MALL")</f>
        <v>MOBILECARE - NEWPOINT MALL</v>
      </c>
      <c r="D4504" s="2" t="str">
        <f>IFERROR(__xludf.DUMMYFUNCTION("""COMPUTED_VALUE"""),"TA661-45324")</f>
        <v>TA661-45324</v>
      </c>
      <c r="E4504" s="2" t="str">
        <f>IFERROR(__xludf.DUMMYFUNCTION("""COMPUTED_VALUE"""),"256GB, Natural Titanium, ROW, iPhone 16 Pro Max, Logic Board Assy Mid Sy")</f>
        <v>256GB, Natural Titanium, ROW, iPhone 16 Pro Max, Logic Board Assy Mid Sy</v>
      </c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</row>
    <row r="4505">
      <c r="A4505" s="10" t="str">
        <f t="shared" si="1"/>
        <v>March</v>
      </c>
      <c r="B4505" s="11">
        <f>IFERROR(__xludf.DUMMYFUNCTION("""COMPUTED_VALUE"""),46111.0)</f>
        <v>46111</v>
      </c>
      <c r="C4505" s="2" t="str">
        <f>IFERROR(__xludf.DUMMYFUNCTION("""COMPUTED_VALUE"""),"MOBILECARE - NEWPOINT MALL")</f>
        <v>MOBILECARE - NEWPOINT MALL</v>
      </c>
      <c r="D4505" s="2" t="str">
        <f>IFERROR(__xludf.DUMMYFUNCTION("""COMPUTED_VALUE"""),"661-21991")</f>
        <v>661-21991</v>
      </c>
      <c r="E4505" s="2" t="str">
        <f>IFERROR(__xludf.DUMMYFUNCTION("""COMPUTED_VALUE"""),"Battery, iPhone 13")</f>
        <v>Battery, iPhone 13</v>
      </c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</row>
    <row r="4506">
      <c r="A4506" s="10" t="str">
        <f t="shared" si="1"/>
        <v>March</v>
      </c>
      <c r="B4506" s="11">
        <f>IFERROR(__xludf.DUMMYFUNCTION("""COMPUTED_VALUE"""),46107.0)</f>
        <v>46107</v>
      </c>
      <c r="C4506" s="2" t="str">
        <f>IFERROR(__xludf.DUMMYFUNCTION("""COMPUTED_VALUE"""),"MOBILECARE - NEWPOINT MALL")</f>
        <v>MOBILECARE - NEWPOINT MALL</v>
      </c>
      <c r="D4506" s="2" t="str">
        <f>IFERROR(__xludf.DUMMYFUNCTION("""COMPUTED_VALUE"""),"Z661-56015")</f>
        <v>Z661-56015</v>
      </c>
      <c r="E4506" s="2" t="str">
        <f>IFERROR(__xludf.DUMMYFUNCTION("""COMPUTED_VALUE"""),"Logic Board, 256GB, iPhone 17, ROW")</f>
        <v>Logic Board, 256GB, iPhone 17, ROW</v>
      </c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</row>
    <row r="4507">
      <c r="A4507" s="10" t="str">
        <f t="shared" si="1"/>
        <v>February</v>
      </c>
      <c r="B4507" s="11">
        <f>IFERROR(__xludf.DUMMYFUNCTION("""COMPUTED_VALUE"""),46076.0)</f>
        <v>46076</v>
      </c>
      <c r="C4507" s="2" t="str">
        <f>IFERROR(__xludf.DUMMYFUNCTION("""COMPUTED_VALUE"""),"MOBILECARE - NEWPOINT MALL")</f>
        <v>MOBILECARE - NEWPOINT MALL</v>
      </c>
      <c r="D4507" s="2" t="str">
        <f>IFERROR(__xludf.DUMMYFUNCTION("""COMPUTED_VALUE"""),"661-44955")</f>
        <v>661-44955</v>
      </c>
      <c r="E4507" s="2" t="str">
        <f>IFERROR(__xludf.DUMMYFUNCTION("""COMPUTED_VALUE"""),"Display, iPhone 16 Pro Max")</f>
        <v>Display, iPhone 16 Pro Max</v>
      </c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</row>
    <row r="4508">
      <c r="A4508" s="10" t="str">
        <f t="shared" si="1"/>
        <v>March</v>
      </c>
      <c r="B4508" s="11">
        <f>IFERROR(__xludf.DUMMYFUNCTION("""COMPUTED_VALUE"""),46082.0)</f>
        <v>46082</v>
      </c>
      <c r="C4508" s="2" t="str">
        <f>IFERROR(__xludf.DUMMYFUNCTION("""COMPUTED_VALUE"""),"MOBILECARE - NEWPOINT MALL")</f>
        <v>MOBILECARE - NEWPOINT MALL</v>
      </c>
      <c r="D4508" s="2" t="str">
        <f>IFERROR(__xludf.DUMMYFUNCTION("""COMPUTED_VALUE"""),"661-56050")</f>
        <v>661-56050</v>
      </c>
      <c r="E4508" s="2" t="str">
        <f>IFERROR(__xludf.DUMMYFUNCTION("""COMPUTED_VALUE"""),"Display, iPhone 17 Pro Max")</f>
        <v>Display, iPhone 17 Pro Max</v>
      </c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</row>
    <row r="4509">
      <c r="A4509" s="10" t="str">
        <f t="shared" si="1"/>
        <v>February</v>
      </c>
      <c r="B4509" s="11">
        <f>IFERROR(__xludf.DUMMYFUNCTION("""COMPUTED_VALUE"""),46069.0)</f>
        <v>46069</v>
      </c>
      <c r="C4509" s="2" t="str">
        <f>IFERROR(__xludf.DUMMYFUNCTION("""COMPUTED_VALUE"""),"MOBILECARE - NEWPOINT MALL")</f>
        <v>MOBILECARE - NEWPOINT MALL</v>
      </c>
      <c r="D4509" s="2" t="str">
        <f>IFERROR(__xludf.DUMMYFUNCTION("""COMPUTED_VALUE"""),"661-21991")</f>
        <v>661-21991</v>
      </c>
      <c r="E4509" s="2" t="str">
        <f>IFERROR(__xludf.DUMMYFUNCTION("""COMPUTED_VALUE"""),"Battery, iPhone 13")</f>
        <v>Battery, iPhone 13</v>
      </c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</row>
    <row r="4510">
      <c r="A4510" s="10" t="str">
        <f t="shared" si="1"/>
        <v>February</v>
      </c>
      <c r="B4510" s="11">
        <f>IFERROR(__xludf.DUMMYFUNCTION("""COMPUTED_VALUE"""),46080.0)</f>
        <v>46080</v>
      </c>
      <c r="C4510" s="2" t="str">
        <f>IFERROR(__xludf.DUMMYFUNCTION("""COMPUTED_VALUE"""),"MOBILECARE - NEWPOINT MALL")</f>
        <v>MOBILECARE - NEWPOINT MALL</v>
      </c>
      <c r="D4510" s="2" t="str">
        <f>IFERROR(__xludf.DUMMYFUNCTION("""COMPUTED_VALUE"""),"PP661-28614")</f>
        <v>PP661-28614</v>
      </c>
      <c r="E4510" s="2" t="str">
        <f>IFERROR(__xludf.DUMMYFUNCTION("""COMPUTED_VALUE"""),"Starlight, iPhone 14, 128GB, ROW, CI/AR, Philippines")</f>
        <v>Starlight, iPhone 14, 128GB, ROW, CI/AR, Philippines</v>
      </c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</row>
    <row r="4511">
      <c r="A4511" s="10" t="str">
        <f t="shared" si="1"/>
        <v>February</v>
      </c>
      <c r="B4511" s="11">
        <f>IFERROR(__xludf.DUMMYFUNCTION("""COMPUTED_VALUE"""),46062.0)</f>
        <v>46062</v>
      </c>
      <c r="C4511" s="2" t="str">
        <f>IFERROR(__xludf.DUMMYFUNCTION("""COMPUTED_VALUE"""),"MOBILECARE - NEWPOINT MALL")</f>
        <v>MOBILECARE - NEWPOINT MALL</v>
      </c>
      <c r="D4511" s="2" t="str">
        <f>IFERROR(__xludf.DUMMYFUNCTION("""COMPUTED_VALUE"""),"661-42845")</f>
        <v>661-42845</v>
      </c>
      <c r="E4511" s="2" t="str">
        <f>IFERROR(__xludf.DUMMYFUNCTION("""COMPUTED_VALUE"""),"Camera, iPhone 16 Plus")</f>
        <v>Camera, iPhone 16 Plus</v>
      </c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</row>
    <row r="4512">
      <c r="A4512" s="10" t="str">
        <f t="shared" si="1"/>
        <v>February</v>
      </c>
      <c r="B4512" s="11">
        <f>IFERROR(__xludf.DUMMYFUNCTION("""COMPUTED_VALUE"""),46074.0)</f>
        <v>46074</v>
      </c>
      <c r="C4512" s="2" t="str">
        <f>IFERROR(__xludf.DUMMYFUNCTION("""COMPUTED_VALUE"""),"MOBILECARE - NEWPOINT MALL")</f>
        <v>MOBILECARE - NEWPOINT MALL</v>
      </c>
      <c r="D4512" s="2" t="str">
        <f>IFERROR(__xludf.DUMMYFUNCTION("""COMPUTED_VALUE"""),"PP661-28873")</f>
        <v>PP661-28873</v>
      </c>
      <c r="E4512" s="2" t="str">
        <f>IFERROR(__xludf.DUMMYFUNCTION("""COMPUTED_VALUE"""),"iPhone 14, Midnight, 256GB, Logic Board Assy Mid System, ROW")</f>
        <v>iPhone 14, Midnight, 256GB, Logic Board Assy Mid System, ROW</v>
      </c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</row>
    <row r="4513">
      <c r="A4513" s="10" t="str">
        <f t="shared" si="1"/>
        <v>February</v>
      </c>
      <c r="B4513" s="11">
        <f>IFERROR(__xludf.DUMMYFUNCTION("""COMPUTED_VALUE"""),46071.0)</f>
        <v>46071</v>
      </c>
      <c r="C4513" s="2" t="str">
        <f>IFERROR(__xludf.DUMMYFUNCTION("""COMPUTED_VALUE"""),"MOBILECARE - NEWPOINT MALL")</f>
        <v>MOBILECARE - NEWPOINT MALL</v>
      </c>
      <c r="D4513" s="2" t="str">
        <f>IFERROR(__xludf.DUMMYFUNCTION("""COMPUTED_VALUE"""),"PP661-23455")</f>
        <v>PP661-23455</v>
      </c>
      <c r="E4513" s="2" t="str">
        <f>IFERROR(__xludf.DUMMYFUNCTION("""COMPUTED_VALUE"""),"iPhone 13, Starlight, 128GB, Logic Board Assy Rear System, ROW")</f>
        <v>iPhone 13, Starlight, 128GB, Logic Board Assy Rear System, ROW</v>
      </c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</row>
    <row r="4514">
      <c r="A4514" s="10" t="str">
        <f t="shared" si="1"/>
        <v>January</v>
      </c>
      <c r="B4514" s="11">
        <f>IFERROR(__xludf.DUMMYFUNCTION("""COMPUTED_VALUE"""),46046.0)</f>
        <v>46046</v>
      </c>
      <c r="C4514" s="2" t="str">
        <f>IFERROR(__xludf.DUMMYFUNCTION("""COMPUTED_VALUE"""),"MOBILECARE - NEWPOINT MALL")</f>
        <v>MOBILECARE - NEWPOINT MALL</v>
      </c>
      <c r="D4514" s="2" t="str">
        <f>IFERROR(__xludf.DUMMYFUNCTION("""COMPUTED_VALUE"""),"661-21991")</f>
        <v>661-21991</v>
      </c>
      <c r="E4514" s="2" t="str">
        <f>IFERROR(__xludf.DUMMYFUNCTION("""COMPUTED_VALUE"""),"Battery, iPhone 13")</f>
        <v>Battery, iPhone 13</v>
      </c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</row>
    <row r="4515">
      <c r="A4515" s="10" t="str">
        <f t="shared" si="1"/>
        <v>February</v>
      </c>
      <c r="B4515" s="11">
        <f>IFERROR(__xludf.DUMMYFUNCTION("""COMPUTED_VALUE"""),46067.0)</f>
        <v>46067</v>
      </c>
      <c r="C4515" s="2" t="str">
        <f>IFERROR(__xludf.DUMMYFUNCTION("""COMPUTED_VALUE"""),"MOBILECARE - NEWPOINT MALL")</f>
        <v>MOBILECARE - NEWPOINT MALL</v>
      </c>
      <c r="D4515" s="2" t="str">
        <f>IFERROR(__xludf.DUMMYFUNCTION("""COMPUTED_VALUE"""),"TA661-44999")</f>
        <v>TA661-44999</v>
      </c>
      <c r="E4515" s="2" t="str">
        <f>IFERROR(__xludf.DUMMYFUNCTION("""COMPUTED_VALUE"""),"256GB, Black Titanium, ROW, iPhone 16 Pro, Logic Board Assy Mid System")</f>
        <v>256GB, Black Titanium, ROW, iPhone 16 Pro, Logic Board Assy Mid System</v>
      </c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</row>
    <row r="4516">
      <c r="A4516" s="10" t="str">
        <f t="shared" si="1"/>
        <v>May</v>
      </c>
      <c r="B4516" s="11">
        <f>IFERROR(__xludf.DUMMYFUNCTION("""COMPUTED_VALUE"""),46155.0)</f>
        <v>46155</v>
      </c>
      <c r="C4516" s="2" t="str">
        <f>IFERROR(__xludf.DUMMYFUNCTION("""COMPUTED_VALUE"""),"MOBILECARE - NEWPOINT MALL")</f>
        <v>MOBILECARE - NEWPOINT MALL</v>
      </c>
      <c r="D4516" s="2" t="str">
        <f>IFERROR(__xludf.DUMMYFUNCTION("""COMPUTED_VALUE"""),"661-25890")</f>
        <v>661-25890</v>
      </c>
      <c r="E4516" s="2" t="str">
        <f>IFERROR(__xludf.DUMMYFUNCTION("""COMPUTED_VALUE"""),"Battery, iPhone SE 3rd generation")</f>
        <v>Battery, iPhone SE 3rd generation</v>
      </c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</row>
    <row r="4517">
      <c r="A4517" s="10" t="str">
        <f t="shared" si="1"/>
        <v>April</v>
      </c>
      <c r="B4517" s="11">
        <f>IFERROR(__xludf.DUMMYFUNCTION("""COMPUTED_VALUE"""),46140.0)</f>
        <v>46140</v>
      </c>
      <c r="C4517" s="2" t="str">
        <f>IFERROR(__xludf.DUMMYFUNCTION("""COMPUTED_VALUE"""),"MOBILECARE - NEWPOINT MALL")</f>
        <v>MOBILECARE - NEWPOINT MALL</v>
      </c>
      <c r="D4517" s="2" t="str">
        <f>IFERROR(__xludf.DUMMYFUNCTION("""COMPUTED_VALUE"""),"Z661-55956")</f>
        <v>Z661-55956</v>
      </c>
      <c r="E4517" s="2" t="str">
        <f>IFERROR(__xludf.DUMMYFUNCTION("""COMPUTED_VALUE"""),"Logic Board, 256GB, iPhone 17 Pro Max, ROW")</f>
        <v>Logic Board, 256GB, iPhone 17 Pro Max, ROW</v>
      </c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</row>
    <row r="4518">
      <c r="A4518" s="10" t="str">
        <f t="shared" si="1"/>
        <v>April</v>
      </c>
      <c r="B4518" s="11">
        <f>IFERROR(__xludf.DUMMYFUNCTION("""COMPUTED_VALUE"""),46138.0)</f>
        <v>46138</v>
      </c>
      <c r="C4518" s="2" t="str">
        <f>IFERROR(__xludf.DUMMYFUNCTION("""COMPUTED_VALUE"""),"MOBILECARE - NEWPOINT MALL")</f>
        <v>MOBILECARE - NEWPOINT MALL</v>
      </c>
      <c r="D4518" s="2" t="str">
        <f>IFERROR(__xludf.DUMMYFUNCTION("""COMPUTED_VALUE"""),"ZP923-13785")</f>
        <v>ZP923-13785</v>
      </c>
      <c r="E4518" s="2" t="str">
        <f>IFERROR(__xludf.DUMMYFUNCTION("""COMPUTED_VALUE"""),"Silver, Enclosure, iPhone 17 Pro Max, ROW")</f>
        <v>Silver, Enclosure, iPhone 17 Pro Max, ROW</v>
      </c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</row>
    <row r="4519">
      <c r="A4519" s="10" t="str">
        <f t="shared" si="1"/>
        <v>April</v>
      </c>
      <c r="B4519" s="11">
        <f>IFERROR(__xludf.DUMMYFUNCTION("""COMPUTED_VALUE"""),46139.0)</f>
        <v>46139</v>
      </c>
      <c r="C4519" s="2" t="str">
        <f>IFERROR(__xludf.DUMMYFUNCTION("""COMPUTED_VALUE"""),"MOBILECARE - NEWPOINT MALL")</f>
        <v>MOBILECARE - NEWPOINT MALL</v>
      </c>
      <c r="D4519" s="2" t="str">
        <f>IFERROR(__xludf.DUMMYFUNCTION("""COMPUTED_VALUE"""),"Z661-55942")</f>
        <v>Z661-55942</v>
      </c>
      <c r="E4519" s="2" t="str">
        <f>IFERROR(__xludf.DUMMYFUNCTION("""COMPUTED_VALUE"""),"Logic Board, 256GB, A3523, ROW, iPhone 17 Pro")</f>
        <v>Logic Board, 256GB, A3523, ROW, iPhone 17 Pro</v>
      </c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</row>
    <row r="4520">
      <c r="A4520" s="10" t="str">
        <f t="shared" si="1"/>
        <v>May</v>
      </c>
      <c r="B4520" s="11">
        <f>IFERROR(__xludf.DUMMYFUNCTION("""COMPUTED_VALUE"""),46145.0)</f>
        <v>46145</v>
      </c>
      <c r="C4520" s="2" t="str">
        <f>IFERROR(__xludf.DUMMYFUNCTION("""COMPUTED_VALUE"""),"MOBILECARE - NEWPOINT MALL")</f>
        <v>MOBILECARE - NEWPOINT MALL</v>
      </c>
      <c r="D4520" s="2" t="str">
        <f>IFERROR(__xludf.DUMMYFUNCTION("""COMPUTED_VALUE"""),"TA661-45000")</f>
        <v>TA661-45000</v>
      </c>
      <c r="E4520" s="2" t="str">
        <f>IFERROR(__xludf.DUMMYFUNCTION("""COMPUTED_VALUE"""),"256GB, White Titanium, ROW, iPhone 16 Pro, Logic Board Assy Mid System")</f>
        <v>256GB, White Titanium, ROW, iPhone 16 Pro, Logic Board Assy Mid System</v>
      </c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</row>
    <row r="4521">
      <c r="A4521" s="10" t="str">
        <f t="shared" si="1"/>
        <v>March</v>
      </c>
      <c r="B4521" s="11">
        <f>IFERROR(__xludf.DUMMYFUNCTION("""COMPUTED_VALUE"""),46103.0)</f>
        <v>46103</v>
      </c>
      <c r="C4521" s="2" t="str">
        <f>IFERROR(__xludf.DUMMYFUNCTION("""COMPUTED_VALUE"""),"MOBILECARE - NEWPOINT MALL")</f>
        <v>MOBILECARE - NEWPOINT MALL</v>
      </c>
      <c r="D4521" s="2" t="str">
        <f>IFERROR(__xludf.DUMMYFUNCTION("""COMPUTED_VALUE"""),"661-42726")</f>
        <v>661-42726</v>
      </c>
      <c r="E4521" s="2" t="str">
        <f>IFERROR(__xludf.DUMMYFUNCTION("""COMPUTED_VALUE"""),"Display, iPhone 16 Pro")</f>
        <v>Display, iPhone 16 Pro</v>
      </c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</row>
    <row r="4522">
      <c r="A4522" s="10" t="str">
        <f t="shared" si="1"/>
        <v>March</v>
      </c>
      <c r="B4522" s="11">
        <f>IFERROR(__xludf.DUMMYFUNCTION("""COMPUTED_VALUE"""),46099.0)</f>
        <v>46099</v>
      </c>
      <c r="C4522" s="2" t="str">
        <f>IFERROR(__xludf.DUMMYFUNCTION("""COMPUTED_VALUE"""),"MOBILECARE - NEWPOINT MALL")</f>
        <v>MOBILECARE - NEWPOINT MALL</v>
      </c>
      <c r="D4522" s="2" t="str">
        <f>IFERROR(__xludf.DUMMYFUNCTION("""COMPUTED_VALUE"""),"TA661-45002")</f>
        <v>TA661-45002</v>
      </c>
      <c r="E4522" s="2" t="str">
        <f>IFERROR(__xludf.DUMMYFUNCTION("""COMPUTED_VALUE"""),"256GB, Natural Titanium, ROW, iPhone 16 Pro, Logic Board Assy Mid System")</f>
        <v>256GB, Natural Titanium, ROW, iPhone 16 Pro, Logic Board Assy Mid System</v>
      </c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</row>
    <row r="4523">
      <c r="A4523" s="10" t="str">
        <f t="shared" si="1"/>
        <v>February</v>
      </c>
      <c r="B4523" s="11">
        <f>IFERROR(__xludf.DUMMYFUNCTION("""COMPUTED_VALUE"""),46076.0)</f>
        <v>46076</v>
      </c>
      <c r="C4523" s="2" t="str">
        <f>IFERROR(__xludf.DUMMYFUNCTION("""COMPUTED_VALUE"""),"MOBILECARE - NEWPOINT MALL")</f>
        <v>MOBILECARE - NEWPOINT MALL</v>
      </c>
      <c r="D4523" s="2" t="str">
        <f>IFERROR(__xludf.DUMMYFUNCTION("""COMPUTED_VALUE"""),"923-13631")</f>
        <v>923-13631</v>
      </c>
      <c r="E4523" s="2" t="str">
        <f>IFERROR(__xludf.DUMMYFUNCTION("""COMPUTED_VALUE"""),"Top Speaker, iPhone 17 Pro")</f>
        <v>Top Speaker, iPhone 17 Pro</v>
      </c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</row>
    <row r="4524">
      <c r="A4524" s="10" t="str">
        <f t="shared" si="1"/>
        <v>February</v>
      </c>
      <c r="B4524" s="11">
        <f>IFERROR(__xludf.DUMMYFUNCTION("""COMPUTED_VALUE"""),46076.0)</f>
        <v>46076</v>
      </c>
      <c r="C4524" s="2" t="str">
        <f>IFERROR(__xludf.DUMMYFUNCTION("""COMPUTED_VALUE"""),"MOBILECARE - NEWPOINT MALL")</f>
        <v>MOBILECARE - NEWPOINT MALL</v>
      </c>
      <c r="D4524" s="2" t="str">
        <f>IFERROR(__xludf.DUMMYFUNCTION("""COMPUTED_VALUE"""),"923-13628")</f>
        <v>923-13628</v>
      </c>
      <c r="E4524" s="2" t="str">
        <f>IFERROR(__xludf.DUMMYFUNCTION("""COMPUTED_VALUE"""),"Speaker, pSIM, iPhone 17 Pro")</f>
        <v>Speaker, pSIM, iPhone 17 Pro</v>
      </c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</row>
    <row r="4525">
      <c r="A4525" s="10" t="str">
        <f t="shared" si="1"/>
        <v>February</v>
      </c>
      <c r="B4525" s="11">
        <f>IFERROR(__xludf.DUMMYFUNCTION("""COMPUTED_VALUE"""),46072.0)</f>
        <v>46072</v>
      </c>
      <c r="C4525" s="2" t="str">
        <f>IFERROR(__xludf.DUMMYFUNCTION("""COMPUTED_VALUE"""),"MOBILECARE - NEWPOINT MALL")</f>
        <v>MOBILECARE - NEWPOINT MALL</v>
      </c>
      <c r="D4525" s="2" t="str">
        <f>IFERROR(__xludf.DUMMYFUNCTION("""COMPUTED_VALUE"""),"661-21991")</f>
        <v>661-21991</v>
      </c>
      <c r="E4525" s="2" t="str">
        <f>IFERROR(__xludf.DUMMYFUNCTION("""COMPUTED_VALUE"""),"Battery, iPhone 13")</f>
        <v>Battery, iPhone 13</v>
      </c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</row>
    <row r="4526">
      <c r="A4526" s="10" t="str">
        <f t="shared" si="1"/>
        <v>February</v>
      </c>
      <c r="B4526" s="11">
        <f>IFERROR(__xludf.DUMMYFUNCTION("""COMPUTED_VALUE"""),46064.0)</f>
        <v>46064</v>
      </c>
      <c r="C4526" s="2" t="str">
        <f>IFERROR(__xludf.DUMMYFUNCTION("""COMPUTED_VALUE"""),"MOBILECARE - NEWPOINT MALL")</f>
        <v>MOBILECARE - NEWPOINT MALL</v>
      </c>
      <c r="D4526" s="2" t="str">
        <f>IFERROR(__xludf.DUMMYFUNCTION("""COMPUTED_VALUE"""),"661-21988")</f>
        <v>661-21988</v>
      </c>
      <c r="E4526" s="2" t="str">
        <f>IFERROR(__xludf.DUMMYFUNCTION("""COMPUTED_VALUE"""),"Display, iPhone 13")</f>
        <v>Display, iPhone 13</v>
      </c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</row>
    <row r="4527">
      <c r="A4527" s="10" t="str">
        <f t="shared" si="1"/>
        <v>February</v>
      </c>
      <c r="B4527" s="11">
        <f>IFERROR(__xludf.DUMMYFUNCTION("""COMPUTED_VALUE"""),46069.0)</f>
        <v>46069</v>
      </c>
      <c r="C4527" s="2" t="str">
        <f>IFERROR(__xludf.DUMMYFUNCTION("""COMPUTED_VALUE"""),"MOBILECARE - NEWPOINT MALL")</f>
        <v>MOBILECARE - NEWPOINT MALL</v>
      </c>
      <c r="D4527" s="2" t="str">
        <f>IFERROR(__xludf.DUMMYFUNCTION("""COMPUTED_VALUE"""),"PP661-23455")</f>
        <v>PP661-23455</v>
      </c>
      <c r="E4527" s="2" t="str">
        <f>IFERROR(__xludf.DUMMYFUNCTION("""COMPUTED_VALUE"""),"iPhone 13, Starlight, 128GB, Logic Board Assy Rear System, ROW")</f>
        <v>iPhone 13, Starlight, 128GB, Logic Board Assy Rear System, ROW</v>
      </c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</row>
    <row r="4528">
      <c r="A4528" s="10" t="str">
        <f t="shared" si="1"/>
        <v>February</v>
      </c>
      <c r="B4528" s="11">
        <f>IFERROR(__xludf.DUMMYFUNCTION("""COMPUTED_VALUE"""),46058.0)</f>
        <v>46058</v>
      </c>
      <c r="C4528" s="2" t="str">
        <f>IFERROR(__xludf.DUMMYFUNCTION("""COMPUTED_VALUE"""),"MOBILECARE - NEWPOINT MALL")</f>
        <v>MOBILECARE - NEWPOINT MALL</v>
      </c>
      <c r="D4528" s="2" t="str">
        <f>IFERROR(__xludf.DUMMYFUNCTION("""COMPUTED_VALUE"""),"661-21988")</f>
        <v>661-21988</v>
      </c>
      <c r="E4528" s="2" t="str">
        <f>IFERROR(__xludf.DUMMYFUNCTION("""COMPUTED_VALUE"""),"Display, iPhone 13")</f>
        <v>Display, iPhone 13</v>
      </c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</row>
    <row r="4529">
      <c r="A4529" s="10" t="str">
        <f t="shared" si="1"/>
        <v>June</v>
      </c>
      <c r="B4529" s="11">
        <f>IFERROR(__xludf.DUMMYFUNCTION("""COMPUTED_VALUE"""),46180.0)</f>
        <v>46180</v>
      </c>
      <c r="C4529" s="2" t="str">
        <f>IFERROR(__xludf.DUMMYFUNCTION("""COMPUTED_VALUE"""),"MOBILECARE - NEWPOINT MALL")</f>
        <v>MOBILECARE - NEWPOINT MALL</v>
      </c>
      <c r="D4529" s="2" t="str">
        <f>IFERROR(__xludf.DUMMYFUNCTION("""COMPUTED_VALUE"""),"661-21991")</f>
        <v>661-21991</v>
      </c>
      <c r="E4529" s="2" t="str">
        <f>IFERROR(__xludf.DUMMYFUNCTION("""COMPUTED_VALUE"""),"Battery, iPhone 13")</f>
        <v>Battery, iPhone 13</v>
      </c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</row>
    <row r="4530">
      <c r="A4530" s="10" t="str">
        <f t="shared" si="1"/>
        <v>June</v>
      </c>
      <c r="B4530" s="11">
        <f>IFERROR(__xludf.DUMMYFUNCTION("""COMPUTED_VALUE"""),46177.0)</f>
        <v>46177</v>
      </c>
      <c r="C4530" s="2" t="str">
        <f>IFERROR(__xludf.DUMMYFUNCTION("""COMPUTED_VALUE"""),"MOBILECARE - NEWPOINT MALL")</f>
        <v>MOBILECARE - NEWPOINT MALL</v>
      </c>
      <c r="D4530" s="2" t="str">
        <f>IFERROR(__xludf.DUMMYFUNCTION("""COMPUTED_VALUE"""),"661-44797")</f>
        <v>661-44797</v>
      </c>
      <c r="E4530" s="2" t="str">
        <f>IFERROR(__xludf.DUMMYFUNCTION("""COMPUTED_VALUE"""),"Display, iPhone 16")</f>
        <v>Display, iPhone 16</v>
      </c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</row>
    <row r="4531">
      <c r="A4531" s="10" t="str">
        <f t="shared" si="1"/>
        <v>May</v>
      </c>
      <c r="B4531" s="11">
        <f>IFERROR(__xludf.DUMMYFUNCTION("""COMPUTED_VALUE"""),46161.0)</f>
        <v>46161</v>
      </c>
      <c r="C4531" s="2" t="str">
        <f>IFERROR(__xludf.DUMMYFUNCTION("""COMPUTED_VALUE"""),"MOBILECARE - NEWPOINT MALL")</f>
        <v>MOBILECARE - NEWPOINT MALL</v>
      </c>
      <c r="D4531" s="2" t="str">
        <f>IFERROR(__xludf.DUMMYFUNCTION("""COMPUTED_VALUE"""),"661-44797")</f>
        <v>661-44797</v>
      </c>
      <c r="E4531" s="2" t="str">
        <f>IFERROR(__xludf.DUMMYFUNCTION("""COMPUTED_VALUE"""),"Display, iPhone 16")</f>
        <v>Display, iPhone 16</v>
      </c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</row>
    <row r="4532">
      <c r="A4532" s="10" t="str">
        <f t="shared" si="1"/>
        <v>June</v>
      </c>
      <c r="B4532" s="11">
        <f>IFERROR(__xludf.DUMMYFUNCTION("""COMPUTED_VALUE"""),46180.0)</f>
        <v>46180</v>
      </c>
      <c r="C4532" s="2" t="str">
        <f>IFERROR(__xludf.DUMMYFUNCTION("""COMPUTED_VALUE"""),"MOBILECARE - NEWPOINT MALL")</f>
        <v>MOBILECARE - NEWPOINT MALL</v>
      </c>
      <c r="D4532" s="2" t="str">
        <f>IFERROR(__xludf.DUMMYFUNCTION("""COMPUTED_VALUE"""),"PP661-28869")</f>
        <v>PP661-28869</v>
      </c>
      <c r="E4532" s="2" t="str">
        <f>IFERROR(__xludf.DUMMYFUNCTION("""COMPUTED_VALUE"""),"iPhone 14, Starlight, 128GB, Logic Board Assy Mid System, ROW")</f>
        <v>iPhone 14, Starlight, 128GB, Logic Board Assy Mid System, ROW</v>
      </c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</row>
    <row r="4533">
      <c r="A4533" s="10" t="str">
        <f t="shared" si="1"/>
        <v>May</v>
      </c>
      <c r="B4533" s="11">
        <f>IFERROR(__xludf.DUMMYFUNCTION("""COMPUTED_VALUE"""),46153.0)</f>
        <v>46153</v>
      </c>
      <c r="C4533" s="2" t="str">
        <f>IFERROR(__xludf.DUMMYFUNCTION("""COMPUTED_VALUE"""),"MOBILECARE - NEWPOINT MALL")</f>
        <v>MOBILECARE - NEWPOINT MALL</v>
      </c>
      <c r="D4533" s="2" t="str">
        <f>IFERROR(__xludf.DUMMYFUNCTION("""COMPUTED_VALUE"""),"PP661-25569")</f>
        <v>PP661-25569</v>
      </c>
      <c r="E4533" s="2" t="str">
        <f>IFERROR(__xludf.DUMMYFUNCTION("""COMPUTED_VALUE"""),"Green, 128 GB, iPhone 13, ROW, CI/AR, Philippines")</f>
        <v>Green, 128 GB, iPhone 13, ROW, CI/AR, Philippines</v>
      </c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</row>
    <row r="4534">
      <c r="A4534" s="10" t="str">
        <f t="shared" si="1"/>
        <v>May</v>
      </c>
      <c r="B4534" s="11">
        <f>IFERROR(__xludf.DUMMYFUNCTION("""COMPUTED_VALUE"""),46144.0)</f>
        <v>46144</v>
      </c>
      <c r="C4534" s="2" t="str">
        <f>IFERROR(__xludf.DUMMYFUNCTION("""COMPUTED_VALUE"""),"MOBILECARE - NEWPOINT MALL")</f>
        <v>MOBILECARE - NEWPOINT MALL</v>
      </c>
      <c r="D4534" s="2" t="str">
        <f>IFERROR(__xludf.DUMMYFUNCTION("""COMPUTED_VALUE"""),"TA661-45323")</f>
        <v>TA661-45323</v>
      </c>
      <c r="E4534" s="2" t="str">
        <f>IFERROR(__xludf.DUMMYFUNCTION("""COMPUTED_VALUE"""),"256GB, Desert Titanium, ROW, iPhone 16 Pro Max, Logic Board Assy Mid Sys")</f>
        <v>256GB, Desert Titanium, ROW, iPhone 16 Pro Max, Logic Board Assy Mid Sys</v>
      </c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</row>
    <row r="4535">
      <c r="A4535" s="10" t="str">
        <f t="shared" si="1"/>
        <v>April</v>
      </c>
      <c r="B4535" s="11">
        <f>IFERROR(__xludf.DUMMYFUNCTION("""COMPUTED_VALUE"""),46124.0)</f>
        <v>46124</v>
      </c>
      <c r="C4535" s="2" t="str">
        <f>IFERROR(__xludf.DUMMYFUNCTION("""COMPUTED_VALUE"""),"MOBILECARE - NEWPOINT MALL")</f>
        <v>MOBILECARE - NEWPOINT MALL</v>
      </c>
      <c r="D4535" s="2" t="str">
        <f>IFERROR(__xludf.DUMMYFUNCTION("""COMPUTED_VALUE"""),"661-22294")</f>
        <v>661-22294</v>
      </c>
      <c r="E4535" s="2" t="str">
        <f>IFERROR(__xludf.DUMMYFUNCTION("""COMPUTED_VALUE"""),"Battery, iPhone 13 Pro Max")</f>
        <v>Battery, iPhone 13 Pro Max</v>
      </c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</row>
    <row r="4536">
      <c r="A4536" s="10" t="str">
        <f t="shared" si="1"/>
        <v>April</v>
      </c>
      <c r="B4536" s="11">
        <f>IFERROR(__xludf.DUMMYFUNCTION("""COMPUTED_VALUE"""),46139.0)</f>
        <v>46139</v>
      </c>
      <c r="C4536" s="2" t="str">
        <f>IFERROR(__xludf.DUMMYFUNCTION("""COMPUTED_VALUE"""),"MOBILECARE - NEWPOINT MALL")</f>
        <v>MOBILECARE - NEWPOINT MALL</v>
      </c>
      <c r="D4536" s="2" t="str">
        <f>IFERROR(__xludf.DUMMYFUNCTION("""COMPUTED_VALUE"""),"PP661-28869")</f>
        <v>PP661-28869</v>
      </c>
      <c r="E4536" s="2" t="str">
        <f>IFERROR(__xludf.DUMMYFUNCTION("""COMPUTED_VALUE"""),"iPhone 14, Starlight, 128GB, Logic Board Assy Mid System, ROW")</f>
        <v>iPhone 14, Starlight, 128GB, Logic Board Assy Mid System, ROW</v>
      </c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</row>
    <row r="4537">
      <c r="A4537" s="10" t="str">
        <f t="shared" si="1"/>
        <v>April</v>
      </c>
      <c r="B4537" s="11">
        <f>IFERROR(__xludf.DUMMYFUNCTION("""COMPUTED_VALUE"""),46136.0)</f>
        <v>46136</v>
      </c>
      <c r="C4537" s="2" t="str">
        <f>IFERROR(__xludf.DUMMYFUNCTION("""COMPUTED_VALUE"""),"MOBILECARE - NEWPOINT MALL")</f>
        <v>MOBILECARE - NEWPOINT MALL</v>
      </c>
      <c r="D4537" s="2" t="str">
        <f>IFERROR(__xludf.DUMMYFUNCTION("""COMPUTED_VALUE"""),"TA661-45238")</f>
        <v>TA661-45238</v>
      </c>
      <c r="E4537" s="2" t="str">
        <f>IFERROR(__xludf.DUMMYFUNCTION("""COMPUTED_VALUE"""),"256GB, Pink, ROW, iPhone 16 Plus, Logic Board Assy Mid System")</f>
        <v>256GB, Pink, ROW, iPhone 16 Plus, Logic Board Assy Mid System</v>
      </c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</row>
    <row r="4538">
      <c r="A4538" s="10" t="str">
        <f t="shared" si="1"/>
        <v>April</v>
      </c>
      <c r="B4538" s="11">
        <f>IFERROR(__xludf.DUMMYFUNCTION("""COMPUTED_VALUE"""),46121.0)</f>
        <v>46121</v>
      </c>
      <c r="C4538" s="2" t="str">
        <f>IFERROR(__xludf.DUMMYFUNCTION("""COMPUTED_VALUE"""),"MOBILECARE - NEWPOINT MALL")</f>
        <v>MOBILECARE - NEWPOINT MALL</v>
      </c>
      <c r="D4538" s="2" t="str">
        <f>IFERROR(__xludf.DUMMYFUNCTION("""COMPUTED_VALUE"""),"Z661-55942")</f>
        <v>Z661-55942</v>
      </c>
      <c r="E4538" s="2" t="str">
        <f>IFERROR(__xludf.DUMMYFUNCTION("""COMPUTED_VALUE"""),"Logic Board, 256GB, A3523, ROW, iPhone 17 Pro")</f>
        <v>Logic Board, 256GB, A3523, ROW, iPhone 17 Pro</v>
      </c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</row>
    <row r="4539">
      <c r="A4539" s="10" t="str">
        <f t="shared" si="1"/>
        <v>March</v>
      </c>
      <c r="B4539" s="11">
        <f>IFERROR(__xludf.DUMMYFUNCTION("""COMPUTED_VALUE"""),46096.0)</f>
        <v>46096</v>
      </c>
      <c r="C4539" s="2" t="str">
        <f>IFERROR(__xludf.DUMMYFUNCTION("""COMPUTED_VALUE"""),"MOBILECARE - NEWPOINT MALL")</f>
        <v>MOBILECARE - NEWPOINT MALL</v>
      </c>
      <c r="D4539" s="2" t="str">
        <f>IFERROR(__xludf.DUMMYFUNCTION("""COMPUTED_VALUE"""),"661-30393")</f>
        <v>661-30393</v>
      </c>
      <c r="E4539" s="2" t="str">
        <f>IFERROR(__xludf.DUMMYFUNCTION("""COMPUTED_VALUE"""),"Camera, iPhone 14 Plus")</f>
        <v>Camera, iPhone 14 Plus</v>
      </c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</row>
    <row r="4540">
      <c r="A4540" s="10" t="str">
        <f t="shared" si="1"/>
        <v>February</v>
      </c>
      <c r="B4540" s="11">
        <f>IFERROR(__xludf.DUMMYFUNCTION("""COMPUTED_VALUE"""),46075.0)</f>
        <v>46075</v>
      </c>
      <c r="C4540" s="2" t="str">
        <f>IFERROR(__xludf.DUMMYFUNCTION("""COMPUTED_VALUE"""),"MOBILECARE - NEWPOINT MALL")</f>
        <v>MOBILECARE - NEWPOINT MALL</v>
      </c>
      <c r="D4540" s="2" t="str">
        <f>IFERROR(__xludf.DUMMYFUNCTION("""COMPUTED_VALUE"""),"TA661-36692")</f>
        <v>TA661-36692</v>
      </c>
      <c r="E4540" s="2" t="str">
        <f>IFERROR(__xludf.DUMMYFUNCTION("""COMPUTED_VALUE"""),"iPhone 15, Pink, 128GB, Logic Board Assy Mid System, ROW")</f>
        <v>iPhone 15, Pink, 128GB, Logic Board Assy Mid System, ROW</v>
      </c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</row>
    <row r="4541">
      <c r="A4541" s="10" t="str">
        <f t="shared" si="1"/>
        <v>February</v>
      </c>
      <c r="B4541" s="11">
        <f>IFERROR(__xludf.DUMMYFUNCTION("""COMPUTED_VALUE"""),46065.0)</f>
        <v>46065</v>
      </c>
      <c r="C4541" s="2" t="str">
        <f>IFERROR(__xludf.DUMMYFUNCTION("""COMPUTED_VALUE"""),"MOBILECARE - NEWPOINT MALL")</f>
        <v>MOBILECARE - NEWPOINT MALL</v>
      </c>
      <c r="D4541" s="2" t="str">
        <f>IFERROR(__xludf.DUMMYFUNCTION("""COMPUTED_VALUE"""),"661-21988")</f>
        <v>661-21988</v>
      </c>
      <c r="E4541" s="2" t="str">
        <f>IFERROR(__xludf.DUMMYFUNCTION("""COMPUTED_VALUE"""),"Display, iPhone 13")</f>
        <v>Display, iPhone 13</v>
      </c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</row>
    <row r="4542">
      <c r="A4542" s="10" t="str">
        <f t="shared" si="1"/>
        <v>February</v>
      </c>
      <c r="B4542" s="11">
        <f>IFERROR(__xludf.DUMMYFUNCTION("""COMPUTED_VALUE"""),46058.0)</f>
        <v>46058</v>
      </c>
      <c r="C4542" s="2" t="str">
        <f>IFERROR(__xludf.DUMMYFUNCTION("""COMPUTED_VALUE"""),"MOBILECARE - NEWPOINT MALL")</f>
        <v>MOBILECARE - NEWPOINT MALL</v>
      </c>
      <c r="D4542" s="2" t="str">
        <f>IFERROR(__xludf.DUMMYFUNCTION("""COMPUTED_VALUE"""),"661-56125")</f>
        <v>661-56125</v>
      </c>
      <c r="E4542" s="2" t="str">
        <f>IFERROR(__xludf.DUMMYFUNCTION("""COMPUTED_VALUE"""),"Display, iPhone 17 Pro")</f>
        <v>Display, iPhone 17 Pro</v>
      </c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</row>
    <row r="4543">
      <c r="A4543" s="10" t="str">
        <f t="shared" si="1"/>
        <v>February</v>
      </c>
      <c r="B4543" s="11">
        <f>IFERROR(__xludf.DUMMYFUNCTION("""COMPUTED_VALUE"""),46061.0)</f>
        <v>46061</v>
      </c>
      <c r="C4543" s="2" t="str">
        <f>IFERROR(__xludf.DUMMYFUNCTION("""COMPUTED_VALUE"""),"MOBILECARE - NEWPOINT MALL")</f>
        <v>MOBILECARE - NEWPOINT MALL</v>
      </c>
      <c r="D4543" s="2" t="str">
        <f>IFERROR(__xludf.DUMMYFUNCTION("""COMPUTED_VALUE"""),"TA661-36692")</f>
        <v>TA661-36692</v>
      </c>
      <c r="E4543" s="2" t="str">
        <f>IFERROR(__xludf.DUMMYFUNCTION("""COMPUTED_VALUE"""),"iPhone 15, Pink, 128GB, Logic Board Assy Mid System, ROW")</f>
        <v>iPhone 15, Pink, 128GB, Logic Board Assy Mid System, ROW</v>
      </c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</row>
    <row r="4544">
      <c r="A4544" s="10" t="str">
        <f t="shared" si="1"/>
        <v>January</v>
      </c>
      <c r="B4544" s="11">
        <f>IFERROR(__xludf.DUMMYFUNCTION("""COMPUTED_VALUE"""),46041.0)</f>
        <v>46041</v>
      </c>
      <c r="C4544" s="2" t="str">
        <f>IFERROR(__xludf.DUMMYFUNCTION("""COMPUTED_VALUE"""),"MOBILECARE - NEWPOINT MALL")</f>
        <v>MOBILECARE - NEWPOINT MALL</v>
      </c>
      <c r="D4544" s="2" t="str">
        <f>IFERROR(__xludf.DUMMYFUNCTION("""COMPUTED_VALUE"""),"661-36706")</f>
        <v>661-36706</v>
      </c>
      <c r="E4544" s="2" t="str">
        <f>IFERROR(__xludf.DUMMYFUNCTION("""COMPUTED_VALUE"""),"Display, iPhone 15")</f>
        <v>Display, iPhone 15</v>
      </c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</row>
    <row r="4545">
      <c r="A4545" s="10" t="str">
        <f t="shared" si="1"/>
        <v>June</v>
      </c>
      <c r="B4545" s="11">
        <f>IFERROR(__xludf.DUMMYFUNCTION("""COMPUTED_VALUE"""),46180.0)</f>
        <v>46180</v>
      </c>
      <c r="C4545" s="2" t="str">
        <f>IFERROR(__xludf.DUMMYFUNCTION("""COMPUTED_VALUE"""),"MOBILECARE - NEWPOINT MALL")</f>
        <v>MOBILECARE - NEWPOINT MALL</v>
      </c>
      <c r="D4545" s="2" t="str">
        <f>IFERROR(__xludf.DUMMYFUNCTION("""COMPUTED_VALUE"""),"661-36918")</f>
        <v>661-36918</v>
      </c>
      <c r="E4545" s="2" t="str">
        <f>IFERROR(__xludf.DUMMYFUNCTION("""COMPUTED_VALUE"""),"Battery, iPhone 15 Pro Max")</f>
        <v>Battery, iPhone 15 Pro Max</v>
      </c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</row>
    <row r="4546">
      <c r="A4546" s="10" t="str">
        <f t="shared" si="1"/>
        <v>May</v>
      </c>
      <c r="B4546" s="11">
        <f>IFERROR(__xludf.DUMMYFUNCTION("""COMPUTED_VALUE"""),46163.0)</f>
        <v>46163</v>
      </c>
      <c r="C4546" s="2" t="str">
        <f>IFERROR(__xludf.DUMMYFUNCTION("""COMPUTED_VALUE"""),"MOBILECARE - NEWPOINT MALL")</f>
        <v>MOBILECARE - NEWPOINT MALL</v>
      </c>
      <c r="D4546" s="2" t="str">
        <f>IFERROR(__xludf.DUMMYFUNCTION("""COMPUTED_VALUE"""),"661-42726")</f>
        <v>661-42726</v>
      </c>
      <c r="E4546" s="2" t="str">
        <f>IFERROR(__xludf.DUMMYFUNCTION("""COMPUTED_VALUE"""),"Display, iPhone 16 Pro")</f>
        <v>Display, iPhone 16 Pro</v>
      </c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</row>
    <row r="4547">
      <c r="A4547" s="10" t="str">
        <f t="shared" si="1"/>
        <v>May</v>
      </c>
      <c r="B4547" s="11">
        <f>IFERROR(__xludf.DUMMYFUNCTION("""COMPUTED_VALUE"""),46164.0)</f>
        <v>46164</v>
      </c>
      <c r="C4547" s="2" t="str">
        <f>IFERROR(__xludf.DUMMYFUNCTION("""COMPUTED_VALUE"""),"MOBILECARE - NEWPOINT MALL")</f>
        <v>MOBILECARE - NEWPOINT MALL</v>
      </c>
      <c r="D4547" s="2" t="str">
        <f>IFERROR(__xludf.DUMMYFUNCTION("""COMPUTED_VALUE"""),"661-44956")</f>
        <v>661-44956</v>
      </c>
      <c r="E4547" s="2" t="str">
        <f>IFERROR(__xludf.DUMMYFUNCTION("""COMPUTED_VALUE"""),"TrueDepth Camera, iPhone 16 Pro Max")</f>
        <v>TrueDepth Camera, iPhone 16 Pro Max</v>
      </c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</row>
    <row r="4548">
      <c r="A4548" s="10" t="str">
        <f t="shared" si="1"/>
        <v>April</v>
      </c>
      <c r="B4548" s="11">
        <f>IFERROR(__xludf.DUMMYFUNCTION("""COMPUTED_VALUE"""),46139.0)</f>
        <v>46139</v>
      </c>
      <c r="C4548" s="2" t="str">
        <f>IFERROR(__xludf.DUMMYFUNCTION("""COMPUTED_VALUE"""),"MOBILECARE - NEWPOINT MALL")</f>
        <v>MOBILECARE - NEWPOINT MALL</v>
      </c>
      <c r="D4548" s="2" t="str">
        <f>IFERROR(__xludf.DUMMYFUNCTION("""COMPUTED_VALUE"""),"661-21991")</f>
        <v>661-21991</v>
      </c>
      <c r="E4548" s="2" t="str">
        <f>IFERROR(__xludf.DUMMYFUNCTION("""COMPUTED_VALUE"""),"Battery, iPhone 13")</f>
        <v>Battery, iPhone 13</v>
      </c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</row>
    <row r="4549">
      <c r="A4549" s="10" t="str">
        <f t="shared" si="1"/>
        <v>April</v>
      </c>
      <c r="B4549" s="11">
        <f>IFERROR(__xludf.DUMMYFUNCTION("""COMPUTED_VALUE"""),46125.0)</f>
        <v>46125</v>
      </c>
      <c r="C4549" s="2" t="str">
        <f>IFERROR(__xludf.DUMMYFUNCTION("""COMPUTED_VALUE"""),"MOBILECARE - NEWPOINT MALL")</f>
        <v>MOBILECARE - NEWPOINT MALL</v>
      </c>
      <c r="D4549" s="2" t="str">
        <f>IFERROR(__xludf.DUMMYFUNCTION("""COMPUTED_VALUE"""),"661-21988")</f>
        <v>661-21988</v>
      </c>
      <c r="E4549" s="2" t="str">
        <f>IFERROR(__xludf.DUMMYFUNCTION("""COMPUTED_VALUE"""),"Display, iPhone 13")</f>
        <v>Display, iPhone 13</v>
      </c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</row>
    <row r="4550">
      <c r="A4550" s="10" t="str">
        <f t="shared" si="1"/>
        <v>May</v>
      </c>
      <c r="B4550" s="11">
        <f>IFERROR(__xludf.DUMMYFUNCTION("""COMPUTED_VALUE"""),46146.0)</f>
        <v>46146</v>
      </c>
      <c r="C4550" s="2" t="str">
        <f>IFERROR(__xludf.DUMMYFUNCTION("""COMPUTED_VALUE"""),"MOBILECARE - NEWPOINT MALL")</f>
        <v>MOBILECARE - NEWPOINT MALL</v>
      </c>
      <c r="D4550" s="2" t="str">
        <f>IFERROR(__xludf.DUMMYFUNCTION("""COMPUTED_VALUE"""),"PP661-22981")</f>
        <v>PP661-22981</v>
      </c>
      <c r="E4550" s="2" t="str">
        <f>IFERROR(__xludf.DUMMYFUNCTION("""COMPUTED_VALUE"""),"Starlight, 128 GB, iPhone 13, ROW, CI/AR, Philippines")</f>
        <v>Starlight, 128 GB, iPhone 13, ROW, CI/AR, Philippines</v>
      </c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</row>
    <row r="4551">
      <c r="A4551" s="10" t="str">
        <f t="shared" si="1"/>
        <v>April</v>
      </c>
      <c r="B4551" s="11">
        <f>IFERROR(__xludf.DUMMYFUNCTION("""COMPUTED_VALUE"""),46125.0)</f>
        <v>46125</v>
      </c>
      <c r="C4551" s="2" t="str">
        <f>IFERROR(__xludf.DUMMYFUNCTION("""COMPUTED_VALUE"""),"MOBILECARE - NEWPOINT MALL")</f>
        <v>MOBILECARE - NEWPOINT MALL</v>
      </c>
      <c r="D4551" s="2" t="str">
        <f>IFERROR(__xludf.DUMMYFUNCTION("""COMPUTED_VALUE"""),"661-30382")</f>
        <v>661-30382</v>
      </c>
      <c r="E4551" s="2" t="str">
        <f>IFERROR(__xludf.DUMMYFUNCTION("""COMPUTED_VALUE"""),"Battery, iPhone 14 Pro")</f>
        <v>Battery, iPhone 14 Pro</v>
      </c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</row>
    <row r="4552">
      <c r="A4552" s="10" t="str">
        <f t="shared" si="1"/>
        <v>April</v>
      </c>
      <c r="B4552" s="11">
        <f>IFERROR(__xludf.DUMMYFUNCTION("""COMPUTED_VALUE"""),46120.0)</f>
        <v>46120</v>
      </c>
      <c r="C4552" s="2" t="str">
        <f>IFERROR(__xludf.DUMMYFUNCTION("""COMPUTED_VALUE"""),"MOBILECARE - NEWPOINT MALL")</f>
        <v>MOBILECARE - NEWPOINT MALL</v>
      </c>
      <c r="D4552" s="2" t="str">
        <f>IFERROR(__xludf.DUMMYFUNCTION("""COMPUTED_VALUE"""),"661-44955")</f>
        <v>661-44955</v>
      </c>
      <c r="E4552" s="2" t="str">
        <f>IFERROR(__xludf.DUMMYFUNCTION("""COMPUTED_VALUE"""),"Display, iPhone 16 Pro Max")</f>
        <v>Display, iPhone 16 Pro Max</v>
      </c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</row>
    <row r="4553">
      <c r="A4553" s="10" t="str">
        <f t="shared" si="1"/>
        <v>April</v>
      </c>
      <c r="B4553" s="11">
        <f>IFERROR(__xludf.DUMMYFUNCTION("""COMPUTED_VALUE"""),46121.0)</f>
        <v>46121</v>
      </c>
      <c r="C4553" s="2" t="str">
        <f>IFERROR(__xludf.DUMMYFUNCTION("""COMPUTED_VALUE"""),"MOBILECARE - NEWPOINT MALL")</f>
        <v>MOBILECARE - NEWPOINT MALL</v>
      </c>
      <c r="D4553" s="2" t="str">
        <f>IFERROR(__xludf.DUMMYFUNCTION("""COMPUTED_VALUE"""),"661-56050")</f>
        <v>661-56050</v>
      </c>
      <c r="E4553" s="2" t="str">
        <f>IFERROR(__xludf.DUMMYFUNCTION("""COMPUTED_VALUE"""),"Display, iPhone 17 Pro Max")</f>
        <v>Display, iPhone 17 Pro Max</v>
      </c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</row>
    <row r="4554">
      <c r="A4554" s="10" t="str">
        <f t="shared" si="1"/>
        <v>April</v>
      </c>
      <c r="B4554" s="11">
        <f>IFERROR(__xludf.DUMMYFUNCTION("""COMPUTED_VALUE"""),46141.0)</f>
        <v>46141</v>
      </c>
      <c r="C4554" s="2" t="str">
        <f>IFERROR(__xludf.DUMMYFUNCTION("""COMPUTED_VALUE"""),"MOBILECARE - NEWPOINT MALL")</f>
        <v>MOBILECARE - NEWPOINT MALL</v>
      </c>
      <c r="D4554" s="2" t="str">
        <f>IFERROR(__xludf.DUMMYFUNCTION("""COMPUTED_VALUE"""),"TA661-55208")</f>
        <v>TA661-55208</v>
      </c>
      <c r="E4554" s="2" t="str">
        <f>IFERROR(__xludf.DUMMYFUNCTION("""COMPUTED_VALUE"""),"Deep Blue, 256GB, iPhone 17 Pro Max, ROW, CI/AR, Taiwan")</f>
        <v>Deep Blue, 256GB, iPhone 17 Pro Max, ROW, CI/AR, Taiwan</v>
      </c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</row>
    <row r="4555">
      <c r="A4555" s="10" t="str">
        <f t="shared" si="1"/>
        <v>March</v>
      </c>
      <c r="B4555" s="11">
        <f>IFERROR(__xludf.DUMMYFUNCTION("""COMPUTED_VALUE"""),46105.0)</f>
        <v>46105</v>
      </c>
      <c r="C4555" s="2" t="str">
        <f>IFERROR(__xludf.DUMMYFUNCTION("""COMPUTED_VALUE"""),"MOBILECARE - NEWPOINT MALL")</f>
        <v>MOBILECARE - NEWPOINT MALL</v>
      </c>
      <c r="D4555" s="2" t="str">
        <f>IFERROR(__xludf.DUMMYFUNCTION("""COMPUTED_VALUE"""),"661-22294")</f>
        <v>661-22294</v>
      </c>
      <c r="E4555" s="2" t="str">
        <f>IFERROR(__xludf.DUMMYFUNCTION("""COMPUTED_VALUE"""),"Battery, iPhone 13 Pro Max")</f>
        <v>Battery, iPhone 13 Pro Max</v>
      </c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</row>
    <row r="4556">
      <c r="A4556" s="10" t="str">
        <f t="shared" si="1"/>
        <v>April</v>
      </c>
      <c r="B4556" s="11">
        <f>IFERROR(__xludf.DUMMYFUNCTION("""COMPUTED_VALUE"""),46116.0)</f>
        <v>46116</v>
      </c>
      <c r="C4556" s="2" t="str">
        <f>IFERROR(__xludf.DUMMYFUNCTION("""COMPUTED_VALUE"""),"MOBILECARE - NEWPOINT MALL")</f>
        <v>MOBILECARE - NEWPOINT MALL</v>
      </c>
      <c r="D4556" s="2" t="str">
        <f>IFERROR(__xludf.DUMMYFUNCTION("""COMPUTED_VALUE"""),"PP661-23454")</f>
        <v>PP661-23454</v>
      </c>
      <c r="E4556" s="2" t="str">
        <f>IFERROR(__xludf.DUMMYFUNCTION("""COMPUTED_VALUE"""),"iPhone 13, Midnight, 128GB, Logic Board Assy Rear System, ROW")</f>
        <v>iPhone 13, Midnight, 128GB, Logic Board Assy Rear System, ROW</v>
      </c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</row>
    <row r="4557">
      <c r="A4557" s="10" t="str">
        <f t="shared" si="1"/>
        <v>March</v>
      </c>
      <c r="B4557" s="11">
        <f>IFERROR(__xludf.DUMMYFUNCTION("""COMPUTED_VALUE"""),46112.0)</f>
        <v>46112</v>
      </c>
      <c r="C4557" s="2" t="str">
        <f>IFERROR(__xludf.DUMMYFUNCTION("""COMPUTED_VALUE"""),"MOBILECARE - NEWPOINT MALL")</f>
        <v>MOBILECARE - NEWPOINT MALL</v>
      </c>
      <c r="D4557" s="2" t="str">
        <f>IFERROR(__xludf.DUMMYFUNCTION("""COMPUTED_VALUE"""),"TA661-45328")</f>
        <v>TA661-45328</v>
      </c>
      <c r="E4557" s="2" t="str">
        <f>IFERROR(__xludf.DUMMYFUNCTION("""COMPUTED_VALUE"""),"512GB, Natural Titanium, ROW, iPhone 16 Pro Max, Logic Board Assy Mid Sy")</f>
        <v>512GB, Natural Titanium, ROW, iPhone 16 Pro Max, Logic Board Assy Mid Sy</v>
      </c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</row>
    <row r="4558">
      <c r="A4558" s="10" t="str">
        <f t="shared" si="1"/>
        <v>February</v>
      </c>
      <c r="B4558" s="11">
        <f>IFERROR(__xludf.DUMMYFUNCTION("""COMPUTED_VALUE"""),46075.0)</f>
        <v>46075</v>
      </c>
      <c r="C4558" s="2" t="str">
        <f>IFERROR(__xludf.DUMMYFUNCTION("""COMPUTED_VALUE"""),"MOBILECARE - NEWPOINT MALL")</f>
        <v>MOBILECARE - NEWPOINT MALL</v>
      </c>
      <c r="D4558" s="2" t="str">
        <f>IFERROR(__xludf.DUMMYFUNCTION("""COMPUTED_VALUE"""),"661-21991")</f>
        <v>661-21991</v>
      </c>
      <c r="E4558" s="2" t="str">
        <f>IFERROR(__xludf.DUMMYFUNCTION("""COMPUTED_VALUE"""),"Battery, iPhone 13")</f>
        <v>Battery, iPhone 13</v>
      </c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</row>
    <row r="4559">
      <c r="A4559" s="10" t="str">
        <f t="shared" si="1"/>
        <v>February</v>
      </c>
      <c r="B4559" s="11">
        <f>IFERROR(__xludf.DUMMYFUNCTION("""COMPUTED_VALUE"""),46064.0)</f>
        <v>46064</v>
      </c>
      <c r="C4559" s="2" t="str">
        <f>IFERROR(__xludf.DUMMYFUNCTION("""COMPUTED_VALUE"""),"MOBILECARE - NEWPOINT MALL")</f>
        <v>MOBILECARE - NEWPOINT MALL</v>
      </c>
      <c r="D4559" s="2" t="str">
        <f>IFERROR(__xludf.DUMMYFUNCTION("""COMPUTED_VALUE"""),"661-21991")</f>
        <v>661-21991</v>
      </c>
      <c r="E4559" s="2" t="str">
        <f>IFERROR(__xludf.DUMMYFUNCTION("""COMPUTED_VALUE"""),"Battery, iPhone 13")</f>
        <v>Battery, iPhone 13</v>
      </c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</row>
    <row r="4560">
      <c r="A4560" s="10" t="str">
        <f t="shared" si="1"/>
        <v>February</v>
      </c>
      <c r="B4560" s="11">
        <f>IFERROR(__xludf.DUMMYFUNCTION("""COMPUTED_VALUE"""),46067.0)</f>
        <v>46067</v>
      </c>
      <c r="C4560" s="2" t="str">
        <f>IFERROR(__xludf.DUMMYFUNCTION("""COMPUTED_VALUE"""),"MOBILECARE - NEWPOINT MALL")</f>
        <v>MOBILECARE - NEWPOINT MALL</v>
      </c>
      <c r="D4560" s="2" t="str">
        <f>IFERROR(__xludf.DUMMYFUNCTION("""COMPUTED_VALUE"""),"PP661-23455")</f>
        <v>PP661-23455</v>
      </c>
      <c r="E4560" s="2" t="str">
        <f>IFERROR(__xludf.DUMMYFUNCTION("""COMPUTED_VALUE"""),"iPhone 13, Starlight, 128GB, Logic Board Assy Rear System, ROW")</f>
        <v>iPhone 13, Starlight, 128GB, Logic Board Assy Rear System, ROW</v>
      </c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</row>
    <row r="4561">
      <c r="A4561" s="10" t="str">
        <f t="shared" si="1"/>
        <v>February</v>
      </c>
      <c r="B4561" s="11">
        <f>IFERROR(__xludf.DUMMYFUNCTION("""COMPUTED_VALUE"""),46061.0)</f>
        <v>46061</v>
      </c>
      <c r="C4561" s="2" t="str">
        <f>IFERROR(__xludf.DUMMYFUNCTION("""COMPUTED_VALUE"""),"MOBILECARE - NEWPOINT MALL")</f>
        <v>MOBILECARE - NEWPOINT MALL</v>
      </c>
      <c r="D4561" s="2" t="str">
        <f>IFERROR(__xludf.DUMMYFUNCTION("""COMPUTED_VALUE"""),"TA661-45000")</f>
        <v>TA661-45000</v>
      </c>
      <c r="E4561" s="2" t="str">
        <f>IFERROR(__xludf.DUMMYFUNCTION("""COMPUTED_VALUE"""),"256GB, White Titanium, ROW, iPhone 16 Pro, Logic Board Assy Mid System")</f>
        <v>256GB, White Titanium, ROW, iPhone 16 Pro, Logic Board Assy Mid System</v>
      </c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</row>
    <row r="4562">
      <c r="A4562" s="10" t="str">
        <f t="shared" si="1"/>
        <v>January</v>
      </c>
      <c r="B4562" s="11">
        <f>IFERROR(__xludf.DUMMYFUNCTION("""COMPUTED_VALUE"""),46041.0)</f>
        <v>46041</v>
      </c>
      <c r="C4562" s="2" t="str">
        <f>IFERROR(__xludf.DUMMYFUNCTION("""COMPUTED_VALUE"""),"MOBILECARE - NEWPOINT MALL")</f>
        <v>MOBILECARE - NEWPOINT MALL</v>
      </c>
      <c r="D4562" s="2" t="str">
        <f>IFERROR(__xludf.DUMMYFUNCTION("""COMPUTED_VALUE"""),"661-13574")</f>
        <v>661-13574</v>
      </c>
      <c r="E4562" s="2" t="str">
        <f>IFERROR(__xludf.DUMMYFUNCTION("""COMPUTED_VALUE"""),"Battery, iPhone 11")</f>
        <v>Battery, iPhone 11</v>
      </c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</row>
    <row r="4563">
      <c r="A4563" s="10" t="str">
        <f t="shared" si="1"/>
        <v>May</v>
      </c>
      <c r="B4563" s="11">
        <f>IFERROR(__xludf.DUMMYFUNCTION("""COMPUTED_VALUE"""),46166.0)</f>
        <v>46166</v>
      </c>
      <c r="C4563" s="2" t="str">
        <f>IFERROR(__xludf.DUMMYFUNCTION("""COMPUTED_VALUE"""),"MOBILECARE - NEWPOINT MALL")</f>
        <v>MOBILECARE - NEWPOINT MALL</v>
      </c>
      <c r="D4563" s="2" t="str">
        <f>IFERROR(__xludf.DUMMYFUNCTION("""COMPUTED_VALUE"""),"661-21996")</f>
        <v>661-21996</v>
      </c>
      <c r="E4563" s="2" t="str">
        <f>IFERROR(__xludf.DUMMYFUNCTION("""COMPUTED_VALUE"""),"Battery, iPhone 13 Pro")</f>
        <v>Battery, iPhone 13 Pro</v>
      </c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</row>
    <row r="4564">
      <c r="A4564" s="10" t="str">
        <f t="shared" si="1"/>
        <v>May</v>
      </c>
      <c r="B4564" s="11">
        <f>IFERROR(__xludf.DUMMYFUNCTION("""COMPUTED_VALUE"""),46161.0)</f>
        <v>46161</v>
      </c>
      <c r="C4564" s="2" t="str">
        <f>IFERROR(__xludf.DUMMYFUNCTION("""COMPUTED_VALUE"""),"MOBILECARE - NEWPOINT MALL")</f>
        <v>MOBILECARE - NEWPOINT MALL</v>
      </c>
      <c r="D4564" s="2" t="str">
        <f>IFERROR(__xludf.DUMMYFUNCTION("""COMPUTED_VALUE"""),"661-21991")</f>
        <v>661-21991</v>
      </c>
      <c r="E4564" s="2" t="str">
        <f>IFERROR(__xludf.DUMMYFUNCTION("""COMPUTED_VALUE"""),"Battery, iPhone 13")</f>
        <v>Battery, iPhone 13</v>
      </c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</row>
    <row r="4565">
      <c r="A4565" s="10" t="str">
        <f t="shared" si="1"/>
        <v>May</v>
      </c>
      <c r="B4565" s="11">
        <f>IFERROR(__xludf.DUMMYFUNCTION("""COMPUTED_VALUE"""),46151.0)</f>
        <v>46151</v>
      </c>
      <c r="C4565" s="2" t="str">
        <f>IFERROR(__xludf.DUMMYFUNCTION("""COMPUTED_VALUE"""),"MOBILECARE - NEWPOINT MALL")</f>
        <v>MOBILECARE - NEWPOINT MALL</v>
      </c>
      <c r="D4565" s="2" t="str">
        <f>IFERROR(__xludf.DUMMYFUNCTION("""COMPUTED_VALUE"""),"661-21996")</f>
        <v>661-21996</v>
      </c>
      <c r="E4565" s="2" t="str">
        <f>IFERROR(__xludf.DUMMYFUNCTION("""COMPUTED_VALUE"""),"Battery, iPhone 13 Pro")</f>
        <v>Battery, iPhone 13 Pro</v>
      </c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</row>
    <row r="4566">
      <c r="A4566" s="10" t="str">
        <f t="shared" si="1"/>
        <v>May</v>
      </c>
      <c r="B4566" s="11">
        <f>IFERROR(__xludf.DUMMYFUNCTION("""COMPUTED_VALUE"""),46150.0)</f>
        <v>46150</v>
      </c>
      <c r="C4566" s="2" t="str">
        <f>IFERROR(__xludf.DUMMYFUNCTION("""COMPUTED_VALUE"""),"MOBILECARE - NEWPOINT MALL")</f>
        <v>MOBILECARE - NEWPOINT MALL</v>
      </c>
      <c r="D4566" s="2" t="str">
        <f>IFERROR(__xludf.DUMMYFUNCTION("""COMPUTED_VALUE"""),"661-56125")</f>
        <v>661-56125</v>
      </c>
      <c r="E4566" s="2" t="str">
        <f>IFERROR(__xludf.DUMMYFUNCTION("""COMPUTED_VALUE"""),"Display, iPhone 17 Pro")</f>
        <v>Display, iPhone 17 Pro</v>
      </c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</row>
    <row r="4567">
      <c r="A4567" s="10" t="str">
        <f t="shared" si="1"/>
        <v>June</v>
      </c>
      <c r="B4567" s="11">
        <f>IFERROR(__xludf.DUMMYFUNCTION("""COMPUTED_VALUE"""),46188.0)</f>
        <v>46188</v>
      </c>
      <c r="C4567" s="2" t="str">
        <f>IFERROR(__xludf.DUMMYFUNCTION("""COMPUTED_VALUE"""),"MOBILECARE - NEWPOINT MALL")</f>
        <v>MOBILECARE - NEWPOINT MALL</v>
      </c>
      <c r="D4567" s="2" t="str">
        <f>IFERROR(__xludf.DUMMYFUNCTION("""COMPUTED_VALUE"""),"PP661-28868")</f>
        <v>PP661-28868</v>
      </c>
      <c r="E4567" s="2" t="str">
        <f>IFERROR(__xludf.DUMMYFUNCTION("""COMPUTED_VALUE"""),"iPhone 14, Midnight, 128GB, Logic Board Assy Mid System, ROW")</f>
        <v>iPhone 14, Midnight, 128GB, Logic Board Assy Mid System, ROW</v>
      </c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</row>
    <row r="4568">
      <c r="A4568" s="10" t="str">
        <f t="shared" si="1"/>
        <v>April</v>
      </c>
      <c r="B4568" s="11">
        <f>IFERROR(__xludf.DUMMYFUNCTION("""COMPUTED_VALUE"""),46139.0)</f>
        <v>46139</v>
      </c>
      <c r="C4568" s="2" t="str">
        <f>IFERROR(__xludf.DUMMYFUNCTION("""COMPUTED_VALUE"""),"MOBILECARE - NEWPOINT MALL")</f>
        <v>MOBILECARE - NEWPOINT MALL</v>
      </c>
      <c r="D4568" s="2" t="str">
        <f>IFERROR(__xludf.DUMMYFUNCTION("""COMPUTED_VALUE"""),"661-44961")</f>
        <v>661-44961</v>
      </c>
      <c r="E4568" s="2" t="str">
        <f>IFERROR(__xludf.DUMMYFUNCTION("""COMPUTED_VALUE"""),"Natural Titanium, Back Glass, iPhone 16 Pro Max")</f>
        <v>Natural Titanium, Back Glass, iPhone 16 Pro Max</v>
      </c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</row>
    <row r="4569">
      <c r="A4569" s="10" t="str">
        <f t="shared" si="1"/>
        <v>May</v>
      </c>
      <c r="B4569" s="11">
        <f>IFERROR(__xludf.DUMMYFUNCTION("""COMPUTED_VALUE"""),46144.0)</f>
        <v>46144</v>
      </c>
      <c r="C4569" s="2" t="str">
        <f>IFERROR(__xludf.DUMMYFUNCTION("""COMPUTED_VALUE"""),"MOBILECARE - NEWPOINT MALL")</f>
        <v>MOBILECARE - NEWPOINT MALL</v>
      </c>
      <c r="D4569" s="2" t="str">
        <f>IFERROR(__xludf.DUMMYFUNCTION("""COMPUTED_VALUE"""),"PP661-23454")</f>
        <v>PP661-23454</v>
      </c>
      <c r="E4569" s="2" t="str">
        <f>IFERROR(__xludf.DUMMYFUNCTION("""COMPUTED_VALUE"""),"iPhone 13, Midnight, 128GB, Logic Board Assy Rear System, ROW")</f>
        <v>iPhone 13, Midnight, 128GB, Logic Board Assy Rear System, ROW</v>
      </c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</row>
    <row r="4570">
      <c r="A4570" s="10" t="str">
        <f t="shared" si="1"/>
        <v>April</v>
      </c>
      <c r="B4570" s="11">
        <f>IFERROR(__xludf.DUMMYFUNCTION("""COMPUTED_VALUE"""),46130.0)</f>
        <v>46130</v>
      </c>
      <c r="C4570" s="2" t="str">
        <f>IFERROR(__xludf.DUMMYFUNCTION("""COMPUTED_VALUE"""),"MOBILECARE - NEWPOINT MALL")</f>
        <v>MOBILECARE - NEWPOINT MALL</v>
      </c>
      <c r="D4570" s="2" t="str">
        <f>IFERROR(__xludf.DUMMYFUNCTION("""COMPUTED_VALUE"""),"PP661-28868")</f>
        <v>PP661-28868</v>
      </c>
      <c r="E4570" s="2" t="str">
        <f>IFERROR(__xludf.DUMMYFUNCTION("""COMPUTED_VALUE"""),"iPhone 14, Midnight, 128GB, Logic Board Assy Mid System, ROW")</f>
        <v>iPhone 14, Midnight, 128GB, Logic Board Assy Mid System, ROW</v>
      </c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</row>
    <row r="4571">
      <c r="A4571" s="10" t="str">
        <f t="shared" si="1"/>
        <v>April</v>
      </c>
      <c r="B4571" s="11">
        <f>IFERROR(__xludf.DUMMYFUNCTION("""COMPUTED_VALUE"""),46120.0)</f>
        <v>46120</v>
      </c>
      <c r="C4571" s="2" t="str">
        <f>IFERROR(__xludf.DUMMYFUNCTION("""COMPUTED_VALUE"""),"MOBILECARE - NEWPOINT MALL")</f>
        <v>MOBILECARE - NEWPOINT MALL</v>
      </c>
      <c r="D4571" s="2" t="str">
        <f>IFERROR(__xludf.DUMMYFUNCTION("""COMPUTED_VALUE"""),"PP661-23455")</f>
        <v>PP661-23455</v>
      </c>
      <c r="E4571" s="2" t="str">
        <f>IFERROR(__xludf.DUMMYFUNCTION("""COMPUTED_VALUE"""),"iPhone 13, Starlight, 128GB, Logic Board Assy Rear System, ROW")</f>
        <v>iPhone 13, Starlight, 128GB, Logic Board Assy Rear System, ROW</v>
      </c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</row>
    <row r="4572">
      <c r="A4572" s="10" t="str">
        <f t="shared" si="1"/>
        <v>March</v>
      </c>
      <c r="B4572" s="11">
        <f>IFERROR(__xludf.DUMMYFUNCTION("""COMPUTED_VALUE"""),46106.0)</f>
        <v>46106</v>
      </c>
      <c r="C4572" s="2" t="str">
        <f>IFERROR(__xludf.DUMMYFUNCTION("""COMPUTED_VALUE"""),"MOBILECARE - NEWPOINT MALL")</f>
        <v>MOBILECARE - NEWPOINT MALL</v>
      </c>
      <c r="D4572" s="2" t="str">
        <f>IFERROR(__xludf.DUMMYFUNCTION("""COMPUTED_VALUE"""),"661-21991")</f>
        <v>661-21991</v>
      </c>
      <c r="E4572" s="2" t="str">
        <f>IFERROR(__xludf.DUMMYFUNCTION("""COMPUTED_VALUE"""),"Battery, iPhone 13")</f>
        <v>Battery, iPhone 13</v>
      </c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</row>
    <row r="4573">
      <c r="A4573" s="10" t="str">
        <f t="shared" si="1"/>
        <v>March</v>
      </c>
      <c r="B4573" s="11">
        <f>IFERROR(__xludf.DUMMYFUNCTION("""COMPUTED_VALUE"""),46092.0)</f>
        <v>46092</v>
      </c>
      <c r="C4573" s="2" t="str">
        <f>IFERROR(__xludf.DUMMYFUNCTION("""COMPUTED_VALUE"""),"MOBILECARE - NEWPOINT MALL")</f>
        <v>MOBILECARE - NEWPOINT MALL</v>
      </c>
      <c r="D4573" s="2" t="str">
        <f>IFERROR(__xludf.DUMMYFUNCTION("""COMPUTED_VALUE"""),"661-22294")</f>
        <v>661-22294</v>
      </c>
      <c r="E4573" s="2" t="str">
        <f>IFERROR(__xludf.DUMMYFUNCTION("""COMPUTED_VALUE"""),"Battery, iPhone 13 Pro Max")</f>
        <v>Battery, iPhone 13 Pro Max</v>
      </c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</row>
    <row r="4574">
      <c r="A4574" s="10" t="str">
        <f t="shared" si="1"/>
        <v>March</v>
      </c>
      <c r="B4574" s="11">
        <f>IFERROR(__xludf.DUMMYFUNCTION("""COMPUTED_VALUE"""),46087.0)</f>
        <v>46087</v>
      </c>
      <c r="C4574" s="2" t="str">
        <f>IFERROR(__xludf.DUMMYFUNCTION("""COMPUTED_VALUE"""),"MOBILECARE - NEWPOINT MALL")</f>
        <v>MOBILECARE - NEWPOINT MALL</v>
      </c>
      <c r="D4574" s="2" t="str">
        <f>IFERROR(__xludf.DUMMYFUNCTION("""COMPUTED_VALUE"""),"661-56050")</f>
        <v>661-56050</v>
      </c>
      <c r="E4574" s="2" t="str">
        <f>IFERROR(__xludf.DUMMYFUNCTION("""COMPUTED_VALUE"""),"Display, iPhone 17 Pro Max")</f>
        <v>Display, iPhone 17 Pro Max</v>
      </c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</row>
    <row r="4575">
      <c r="A4575" s="10" t="str">
        <f t="shared" si="1"/>
        <v>March</v>
      </c>
      <c r="B4575" s="11">
        <f>IFERROR(__xludf.DUMMYFUNCTION("""COMPUTED_VALUE"""),46085.0)</f>
        <v>46085</v>
      </c>
      <c r="C4575" s="2" t="str">
        <f>IFERROR(__xludf.DUMMYFUNCTION("""COMPUTED_VALUE"""),"MOBILECARE - NEWPOINT MALL")</f>
        <v>MOBILECARE - NEWPOINT MALL</v>
      </c>
      <c r="D4575" s="2" t="str">
        <f>IFERROR(__xludf.DUMMYFUNCTION("""COMPUTED_VALUE"""),"661-30373")</f>
        <v>661-30373</v>
      </c>
      <c r="E4575" s="2" t="str">
        <f>IFERROR(__xludf.DUMMYFUNCTION("""COMPUTED_VALUE"""),"Battery, iPhone 14")</f>
        <v>Battery, iPhone 14</v>
      </c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</row>
    <row r="4576">
      <c r="A4576" s="10" t="str">
        <f t="shared" si="1"/>
        <v>March</v>
      </c>
      <c r="B4576" s="11">
        <f>IFERROR(__xludf.DUMMYFUNCTION("""COMPUTED_VALUE"""),46083.0)</f>
        <v>46083</v>
      </c>
      <c r="C4576" s="2" t="str">
        <f>IFERROR(__xludf.DUMMYFUNCTION("""COMPUTED_VALUE"""),"MOBILECARE - NEWPOINT MALL")</f>
        <v>MOBILECARE - NEWPOINT MALL</v>
      </c>
      <c r="D4576" s="2" t="str">
        <f>IFERROR(__xludf.DUMMYFUNCTION("""COMPUTED_VALUE"""),"661-21988")</f>
        <v>661-21988</v>
      </c>
      <c r="E4576" s="2" t="str">
        <f>IFERROR(__xludf.DUMMYFUNCTION("""COMPUTED_VALUE"""),"Display, iPhone 13")</f>
        <v>Display, iPhone 13</v>
      </c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</row>
    <row r="4577">
      <c r="A4577" s="10" t="str">
        <f t="shared" si="1"/>
        <v>February</v>
      </c>
      <c r="B4577" s="11">
        <f>IFERROR(__xludf.DUMMYFUNCTION("""COMPUTED_VALUE"""),46075.0)</f>
        <v>46075</v>
      </c>
      <c r="C4577" s="2" t="str">
        <f>IFERROR(__xludf.DUMMYFUNCTION("""COMPUTED_VALUE"""),"MOBILECARE - NEWPOINT MALL")</f>
        <v>MOBILECARE - NEWPOINT MALL</v>
      </c>
      <c r="D4577" s="2" t="str">
        <f>IFERROR(__xludf.DUMMYFUNCTION("""COMPUTED_VALUE"""),"TA661-45236")</f>
        <v>TA661-45236</v>
      </c>
      <c r="E4577" s="2" t="str">
        <f>IFERROR(__xludf.DUMMYFUNCTION("""COMPUTED_VALUE"""),"256GB, Black, ROW, iPhone 16 Plus, Logic Board Assy Mid System")</f>
        <v>256GB, Black, ROW, iPhone 16 Plus, Logic Board Assy Mid System</v>
      </c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</row>
    <row r="4578">
      <c r="A4578" s="10" t="str">
        <f t="shared" si="1"/>
        <v>February</v>
      </c>
      <c r="B4578" s="11">
        <f>IFERROR(__xludf.DUMMYFUNCTION("""COMPUTED_VALUE"""),46058.0)</f>
        <v>46058</v>
      </c>
      <c r="C4578" s="2" t="str">
        <f>IFERROR(__xludf.DUMMYFUNCTION("""COMPUTED_VALUE"""),"MOBILECARE - NEWPOINT MALL")</f>
        <v>MOBILECARE - NEWPOINT MALL</v>
      </c>
      <c r="D4578" s="2" t="str">
        <f>IFERROR(__xludf.DUMMYFUNCTION("""COMPUTED_VALUE"""),"661-36706")</f>
        <v>661-36706</v>
      </c>
      <c r="E4578" s="2" t="str">
        <f>IFERROR(__xludf.DUMMYFUNCTION("""COMPUTED_VALUE"""),"Display, iPhone 15")</f>
        <v>Display, iPhone 15</v>
      </c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</row>
    <row r="4579">
      <c r="A4579" s="10" t="str">
        <f t="shared" si="1"/>
        <v>February</v>
      </c>
      <c r="B4579" s="11">
        <f>IFERROR(__xludf.DUMMYFUNCTION("""COMPUTED_VALUE"""),46071.0)</f>
        <v>46071</v>
      </c>
      <c r="C4579" s="2" t="str">
        <f>IFERROR(__xludf.DUMMYFUNCTION("""COMPUTED_VALUE"""),"MOBILECARE - NEWPOINT MALL")</f>
        <v>MOBILECARE - NEWPOINT MALL</v>
      </c>
      <c r="D4579" s="2" t="str">
        <f>IFERROR(__xludf.DUMMYFUNCTION("""COMPUTED_VALUE"""),"TA661-45323")</f>
        <v>TA661-45323</v>
      </c>
      <c r="E4579" s="2" t="str">
        <f>IFERROR(__xludf.DUMMYFUNCTION("""COMPUTED_VALUE"""),"256GB, Desert Titanium, ROW, iPhone 16 Pro Max, Logic Board Assy Mid Sys")</f>
        <v>256GB, Desert Titanium, ROW, iPhone 16 Pro Max, Logic Board Assy Mid Sys</v>
      </c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</row>
    <row r="4580">
      <c r="A4580" s="10" t="str">
        <f t="shared" si="1"/>
        <v>January</v>
      </c>
      <c r="B4580" s="11">
        <f>IFERROR(__xludf.DUMMYFUNCTION("""COMPUTED_VALUE"""),46052.0)</f>
        <v>46052</v>
      </c>
      <c r="C4580" s="2" t="str">
        <f>IFERROR(__xludf.DUMMYFUNCTION("""COMPUTED_VALUE"""),"MOBILECARE - NEWPOINT MALL")</f>
        <v>MOBILECARE - NEWPOINT MALL</v>
      </c>
      <c r="D4580" s="2" t="str">
        <f>IFERROR(__xludf.DUMMYFUNCTION("""COMPUTED_VALUE"""),"TA661-45263")</f>
        <v>TA661-45263</v>
      </c>
      <c r="E4580" s="2" t="str">
        <f>IFERROR(__xludf.DUMMYFUNCTION("""COMPUTED_VALUE"""),"256GB, Desert Titanium, ROW, iPhone 16 Pro Max, CI/AR")</f>
        <v>256GB, Desert Titanium, ROW, iPhone 16 Pro Max, CI/AR</v>
      </c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</row>
    <row r="4581">
      <c r="A4581" s="10" t="str">
        <f t="shared" si="1"/>
        <v>February</v>
      </c>
      <c r="B4581" s="11">
        <f>IFERROR(__xludf.DUMMYFUNCTION("""COMPUTED_VALUE"""),46060.0)</f>
        <v>46060</v>
      </c>
      <c r="C4581" s="2" t="str">
        <f>IFERROR(__xludf.DUMMYFUNCTION("""COMPUTED_VALUE"""),"MOBILECARE - NEWPOINT MALL")</f>
        <v>MOBILECARE - NEWPOINT MALL</v>
      </c>
      <c r="D4581" s="2" t="str">
        <f>IFERROR(__xludf.DUMMYFUNCTION("""COMPUTED_VALUE"""),"PP661-23455")</f>
        <v>PP661-23455</v>
      </c>
      <c r="E4581" s="2" t="str">
        <f>IFERROR(__xludf.DUMMYFUNCTION("""COMPUTED_VALUE"""),"iPhone 13, Starlight, 128GB, Logic Board Assy Rear System, ROW")</f>
        <v>iPhone 13, Starlight, 128GB, Logic Board Assy Rear System, ROW</v>
      </c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</row>
    <row r="4582">
      <c r="A4582" s="10" t="str">
        <f t="shared" si="1"/>
        <v>May</v>
      </c>
      <c r="B4582" s="11">
        <f>IFERROR(__xludf.DUMMYFUNCTION("""COMPUTED_VALUE"""),46172.0)</f>
        <v>46172</v>
      </c>
      <c r="C4582" s="2" t="str">
        <f>IFERROR(__xludf.DUMMYFUNCTION("""COMPUTED_VALUE"""),"MOBILECARE - NEWPOINT MALL")</f>
        <v>MOBILECARE - NEWPOINT MALL</v>
      </c>
      <c r="D4582" s="2" t="str">
        <f>IFERROR(__xludf.DUMMYFUNCTION("""COMPUTED_VALUE"""),"661-42726")</f>
        <v>661-42726</v>
      </c>
      <c r="E4582" s="2" t="str">
        <f>IFERROR(__xludf.DUMMYFUNCTION("""COMPUTED_VALUE"""),"Display, iPhone 16 Pro")</f>
        <v>Display, iPhone 16 Pro</v>
      </c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</row>
    <row r="4583">
      <c r="A4583" s="10" t="str">
        <f t="shared" si="1"/>
        <v>June</v>
      </c>
      <c r="B4583" s="11">
        <f>IFERROR(__xludf.DUMMYFUNCTION("""COMPUTED_VALUE"""),46174.0)</f>
        <v>46174</v>
      </c>
      <c r="C4583" s="2" t="str">
        <f>IFERROR(__xludf.DUMMYFUNCTION("""COMPUTED_VALUE"""),"MOBILECARE - NEWPOINT MALL")</f>
        <v>MOBILECARE - NEWPOINT MALL</v>
      </c>
      <c r="D4583" s="2" t="str">
        <f>IFERROR(__xludf.DUMMYFUNCTION("""COMPUTED_VALUE"""),"661-21991")</f>
        <v>661-21991</v>
      </c>
      <c r="E4583" s="2" t="str">
        <f>IFERROR(__xludf.DUMMYFUNCTION("""COMPUTED_VALUE"""),"Battery, iPhone 13")</f>
        <v>Battery, iPhone 13</v>
      </c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</row>
    <row r="4584">
      <c r="A4584" s="10" t="str">
        <f t="shared" si="1"/>
        <v>May</v>
      </c>
      <c r="B4584" s="11">
        <f>IFERROR(__xludf.DUMMYFUNCTION("""COMPUTED_VALUE"""),46145.0)</f>
        <v>46145</v>
      </c>
      <c r="C4584" s="2" t="str">
        <f>IFERROR(__xludf.DUMMYFUNCTION("""COMPUTED_VALUE"""),"MOBILECARE - NEWPOINT MALL")</f>
        <v>MOBILECARE - NEWPOINT MALL</v>
      </c>
      <c r="D4584" s="2" t="str">
        <f>IFERROR(__xludf.DUMMYFUNCTION("""COMPUTED_VALUE"""),"661-21991")</f>
        <v>661-21991</v>
      </c>
      <c r="E4584" s="2" t="str">
        <f>IFERROR(__xludf.DUMMYFUNCTION("""COMPUTED_VALUE"""),"Battery, iPhone 13")</f>
        <v>Battery, iPhone 13</v>
      </c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</row>
    <row r="4585">
      <c r="A4585" s="10" t="str">
        <f t="shared" si="1"/>
        <v>May</v>
      </c>
      <c r="B4585" s="11">
        <f>IFERROR(__xludf.DUMMYFUNCTION("""COMPUTED_VALUE"""),46147.0)</f>
        <v>46147</v>
      </c>
      <c r="C4585" s="2" t="str">
        <f>IFERROR(__xludf.DUMMYFUNCTION("""COMPUTED_VALUE"""),"MOBILECARE - NEWPOINT MALL")</f>
        <v>MOBILECARE - NEWPOINT MALL</v>
      </c>
      <c r="D4585" s="2" t="str">
        <f>IFERROR(__xludf.DUMMYFUNCTION("""COMPUTED_VALUE"""),"Z661-55942")</f>
        <v>Z661-55942</v>
      </c>
      <c r="E4585" s="2" t="str">
        <f>IFERROR(__xludf.DUMMYFUNCTION("""COMPUTED_VALUE"""),"Logic Board, 256GB, A3523, ROW, iPhone 17 Pro")</f>
        <v>Logic Board, 256GB, A3523, ROW, iPhone 17 Pro</v>
      </c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</row>
    <row r="4586">
      <c r="A4586" s="10" t="str">
        <f t="shared" si="1"/>
        <v>April</v>
      </c>
      <c r="B4586" s="11">
        <f>IFERROR(__xludf.DUMMYFUNCTION("""COMPUTED_VALUE"""),46120.0)</f>
        <v>46120</v>
      </c>
      <c r="C4586" s="2" t="str">
        <f>IFERROR(__xludf.DUMMYFUNCTION("""COMPUTED_VALUE"""),"MOBILECARE - NEWPOINT MALL")</f>
        <v>MOBILECARE - NEWPOINT MALL</v>
      </c>
      <c r="D4586" s="2" t="str">
        <f>IFERROR(__xludf.DUMMYFUNCTION("""COMPUTED_VALUE"""),"661-30366")</f>
        <v>661-30366</v>
      </c>
      <c r="E4586" s="2" t="str">
        <f>IFERROR(__xludf.DUMMYFUNCTION("""COMPUTED_VALUE"""),"Display, iPhone 14")</f>
        <v>Display, iPhone 14</v>
      </c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</row>
    <row r="4587">
      <c r="A4587" s="10" t="str">
        <f t="shared" si="1"/>
        <v>April</v>
      </c>
      <c r="B4587" s="11">
        <f>IFERROR(__xludf.DUMMYFUNCTION("""COMPUTED_VALUE"""),46129.0)</f>
        <v>46129</v>
      </c>
      <c r="C4587" s="2" t="str">
        <f>IFERROR(__xludf.DUMMYFUNCTION("""COMPUTED_VALUE"""),"MOBILECARE - NEWPOINT MALL")</f>
        <v>MOBILECARE - NEWPOINT MALL</v>
      </c>
      <c r="D4587" s="2" t="str">
        <f>IFERROR(__xludf.DUMMYFUNCTION("""COMPUTED_VALUE"""),"661-21991")</f>
        <v>661-21991</v>
      </c>
      <c r="E4587" s="2" t="str">
        <f>IFERROR(__xludf.DUMMYFUNCTION("""COMPUTED_VALUE"""),"Battery, iPhone 13")</f>
        <v>Battery, iPhone 13</v>
      </c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</row>
    <row r="4588">
      <c r="A4588" s="10" t="str">
        <f t="shared" si="1"/>
        <v>April</v>
      </c>
      <c r="B4588" s="11">
        <f>IFERROR(__xludf.DUMMYFUNCTION("""COMPUTED_VALUE"""),46119.0)</f>
        <v>46119</v>
      </c>
      <c r="C4588" s="2" t="str">
        <f>IFERROR(__xludf.DUMMYFUNCTION("""COMPUTED_VALUE"""),"MOBILECARE - NEWPOINT MALL")</f>
        <v>MOBILECARE - NEWPOINT MALL</v>
      </c>
      <c r="D4588" s="2" t="str">
        <f>IFERROR(__xludf.DUMMYFUNCTION("""COMPUTED_VALUE"""),"TA661-45264")</f>
        <v>TA661-45264</v>
      </c>
      <c r="E4588" s="2" t="str">
        <f>IFERROR(__xludf.DUMMYFUNCTION("""COMPUTED_VALUE"""),"256GB, Natural Titanium, ROW, iPhone 16 Pro Max, CI/AR")</f>
        <v>256GB, Natural Titanium, ROW, iPhone 16 Pro Max, CI/AR</v>
      </c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</row>
    <row r="4589">
      <c r="A4589" s="10" t="str">
        <f t="shared" si="1"/>
        <v>March</v>
      </c>
      <c r="B4589" s="11">
        <f>IFERROR(__xludf.DUMMYFUNCTION("""COMPUTED_VALUE"""),46097.0)</f>
        <v>46097</v>
      </c>
      <c r="C4589" s="2" t="str">
        <f>IFERROR(__xludf.DUMMYFUNCTION("""COMPUTED_VALUE"""),"MOBILECARE - NEWPOINT MALL")</f>
        <v>MOBILECARE - NEWPOINT MALL</v>
      </c>
      <c r="D4589" s="2" t="str">
        <f>IFERROR(__xludf.DUMMYFUNCTION("""COMPUTED_VALUE"""),"661-21991")</f>
        <v>661-21991</v>
      </c>
      <c r="E4589" s="2" t="str">
        <f>IFERROR(__xludf.DUMMYFUNCTION("""COMPUTED_VALUE"""),"Battery, iPhone 13")</f>
        <v>Battery, iPhone 13</v>
      </c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</row>
    <row r="4590">
      <c r="A4590" s="10" t="str">
        <f t="shared" si="1"/>
        <v>March</v>
      </c>
      <c r="B4590" s="11">
        <f>IFERROR(__xludf.DUMMYFUNCTION("""COMPUTED_VALUE"""),46109.0)</f>
        <v>46109</v>
      </c>
      <c r="C4590" s="2" t="str">
        <f>IFERROR(__xludf.DUMMYFUNCTION("""COMPUTED_VALUE"""),"MOBILECARE - NEWPOINT MALL")</f>
        <v>MOBILECARE - NEWPOINT MALL</v>
      </c>
      <c r="D4590" s="2" t="str">
        <f>IFERROR(__xludf.DUMMYFUNCTION("""COMPUTED_VALUE"""),"TA661-45327")</f>
        <v>TA661-45327</v>
      </c>
      <c r="E4590" s="2" t="str">
        <f>IFERROR(__xludf.DUMMYFUNCTION("""COMPUTED_VALUE"""),"512GB, Desert Titanium, ROW, iPhone 16 Pro Max, Logic Board Assy Mid Sys")</f>
        <v>512GB, Desert Titanium, ROW, iPhone 16 Pro Max, Logic Board Assy Mid Sys</v>
      </c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</row>
    <row r="4591">
      <c r="A4591" s="10" t="str">
        <f t="shared" si="1"/>
        <v>March</v>
      </c>
      <c r="B4591" s="11">
        <f>IFERROR(__xludf.DUMMYFUNCTION("""COMPUTED_VALUE"""),46086.0)</f>
        <v>46086</v>
      </c>
      <c r="C4591" s="2" t="str">
        <f>IFERROR(__xludf.DUMMYFUNCTION("""COMPUTED_VALUE"""),"MOBILECARE - NEWPOINT MALL")</f>
        <v>MOBILECARE - NEWPOINT MALL</v>
      </c>
      <c r="D4591" s="2" t="str">
        <f>IFERROR(__xludf.DUMMYFUNCTION("""COMPUTED_VALUE"""),"661-21993")</f>
        <v>661-21993</v>
      </c>
      <c r="E4591" s="2" t="str">
        <f>IFERROR(__xludf.DUMMYFUNCTION("""COMPUTED_VALUE"""),"Display, iPhone 13 Pro")</f>
        <v>Display, iPhone 13 Pro</v>
      </c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</row>
    <row r="4592">
      <c r="A4592" s="10" t="str">
        <f t="shared" si="1"/>
        <v>March</v>
      </c>
      <c r="B4592" s="11">
        <f>IFERROR(__xludf.DUMMYFUNCTION("""COMPUTED_VALUE"""),46086.0)</f>
        <v>46086</v>
      </c>
      <c r="C4592" s="2" t="str">
        <f>IFERROR(__xludf.DUMMYFUNCTION("""COMPUTED_VALUE"""),"MOBILECARE - NEWPOINT MALL")</f>
        <v>MOBILECARE - NEWPOINT MALL</v>
      </c>
      <c r="D4592" s="2" t="str">
        <f>IFERROR(__xludf.DUMMYFUNCTION("""COMPUTED_VALUE"""),"661-21996")</f>
        <v>661-21996</v>
      </c>
      <c r="E4592" s="2" t="str">
        <f>IFERROR(__xludf.DUMMYFUNCTION("""COMPUTED_VALUE"""),"Battery, iPhone 13 Pro")</f>
        <v>Battery, iPhone 13 Pro</v>
      </c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</row>
    <row r="4593">
      <c r="A4593" s="10" t="str">
        <f t="shared" si="1"/>
        <v>February</v>
      </c>
      <c r="B4593" s="11">
        <f>IFERROR(__xludf.DUMMYFUNCTION("""COMPUTED_VALUE"""),46081.0)</f>
        <v>46081</v>
      </c>
      <c r="C4593" s="2" t="str">
        <f>IFERROR(__xludf.DUMMYFUNCTION("""COMPUTED_VALUE"""),"MOBILECARE - NEWPOINT MALL")</f>
        <v>MOBILECARE - NEWPOINT MALL</v>
      </c>
      <c r="D4593" s="2" t="str">
        <f>IFERROR(__xludf.DUMMYFUNCTION("""COMPUTED_VALUE"""),"661-44955")</f>
        <v>661-44955</v>
      </c>
      <c r="E4593" s="2" t="str">
        <f>IFERROR(__xludf.DUMMYFUNCTION("""COMPUTED_VALUE"""),"Display, iPhone 16 Pro Max")</f>
        <v>Display, iPhone 16 Pro Max</v>
      </c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</row>
    <row r="4594">
      <c r="A4594" s="10" t="str">
        <f t="shared" si="1"/>
        <v>March</v>
      </c>
      <c r="B4594" s="11">
        <f>IFERROR(__xludf.DUMMYFUNCTION("""COMPUTED_VALUE"""),46082.0)</f>
        <v>46082</v>
      </c>
      <c r="C4594" s="2" t="str">
        <f>IFERROR(__xludf.DUMMYFUNCTION("""COMPUTED_VALUE"""),"MOBILECARE - NEWPOINT MALL")</f>
        <v>MOBILECARE - NEWPOINT MALL</v>
      </c>
      <c r="D4594" s="2" t="str">
        <f>IFERROR(__xludf.DUMMYFUNCTION("""COMPUTED_VALUE"""),"PP661-23455")</f>
        <v>PP661-23455</v>
      </c>
      <c r="E4594" s="2" t="str">
        <f>IFERROR(__xludf.DUMMYFUNCTION("""COMPUTED_VALUE"""),"iPhone 13, Starlight, 128GB, Logic Board Assy Rear System, ROW")</f>
        <v>iPhone 13, Starlight, 128GB, Logic Board Assy Rear System, ROW</v>
      </c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</row>
    <row r="4595">
      <c r="A4595" s="10" t="str">
        <f t="shared" si="1"/>
        <v>March</v>
      </c>
      <c r="B4595" s="11">
        <f>IFERROR(__xludf.DUMMYFUNCTION("""COMPUTED_VALUE"""),46082.0)</f>
        <v>46082</v>
      </c>
      <c r="C4595" s="2" t="str">
        <f>IFERROR(__xludf.DUMMYFUNCTION("""COMPUTED_VALUE"""),"MOBILECARE - NEWPOINT MALL")</f>
        <v>MOBILECARE - NEWPOINT MALL</v>
      </c>
      <c r="D4595" s="2" t="str">
        <f>IFERROR(__xludf.DUMMYFUNCTION("""COMPUTED_VALUE"""),"TA661-45323")</f>
        <v>TA661-45323</v>
      </c>
      <c r="E4595" s="2" t="str">
        <f>IFERROR(__xludf.DUMMYFUNCTION("""COMPUTED_VALUE"""),"256GB, Desert Titanium, ROW, iPhone 16 Pro Max, Logic Board Assy Mid Sys")</f>
        <v>256GB, Desert Titanium, ROW, iPhone 16 Pro Max, Logic Board Assy Mid Sys</v>
      </c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</row>
    <row r="4596">
      <c r="A4596" s="10" t="str">
        <f t="shared" si="1"/>
        <v>February</v>
      </c>
      <c r="B4596" s="11">
        <f>IFERROR(__xludf.DUMMYFUNCTION("""COMPUTED_VALUE"""),46069.0)</f>
        <v>46069</v>
      </c>
      <c r="C4596" s="2" t="str">
        <f>IFERROR(__xludf.DUMMYFUNCTION("""COMPUTED_VALUE"""),"MOBILECARE - NEWPOINT MALL")</f>
        <v>MOBILECARE - NEWPOINT MALL</v>
      </c>
      <c r="D4596" s="2" t="str">
        <f>IFERROR(__xludf.DUMMYFUNCTION("""COMPUTED_VALUE"""),"661-44960")</f>
        <v>661-44960</v>
      </c>
      <c r="E4596" s="2" t="str">
        <f>IFERROR(__xludf.DUMMYFUNCTION("""COMPUTED_VALUE"""),"Desert Titanium, Back Glass, iPhone 16 Pro Max")</f>
        <v>Desert Titanium, Back Glass, iPhone 16 Pro Max</v>
      </c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</row>
    <row r="4597">
      <c r="A4597" s="10" t="str">
        <f t="shared" si="1"/>
        <v>February</v>
      </c>
      <c r="B4597" s="11">
        <f>IFERROR(__xludf.DUMMYFUNCTION("""COMPUTED_VALUE"""),46069.0)</f>
        <v>46069</v>
      </c>
      <c r="C4597" s="2" t="str">
        <f>IFERROR(__xludf.DUMMYFUNCTION("""COMPUTED_VALUE"""),"MOBILECARE - NEWPOINT MALL")</f>
        <v>MOBILECARE - NEWPOINT MALL</v>
      </c>
      <c r="D4597" s="2" t="str">
        <f>IFERROR(__xludf.DUMMYFUNCTION("""COMPUTED_VALUE"""),"661-44957")</f>
        <v>661-44957</v>
      </c>
      <c r="E4597" s="2" t="str">
        <f>IFERROR(__xludf.DUMMYFUNCTION("""COMPUTED_VALUE"""),"Camera, iPhone 16 Pro Max")</f>
        <v>Camera, iPhone 16 Pro Max</v>
      </c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</row>
    <row r="4598">
      <c r="A4598" s="10" t="str">
        <f t="shared" si="1"/>
        <v>February</v>
      </c>
      <c r="B4598" s="11">
        <f>IFERROR(__xludf.DUMMYFUNCTION("""COMPUTED_VALUE"""),46066.0)</f>
        <v>46066</v>
      </c>
      <c r="C4598" s="2" t="str">
        <f>IFERROR(__xludf.DUMMYFUNCTION("""COMPUTED_VALUE"""),"MOBILECARE - NEWPOINT MALL")</f>
        <v>MOBILECARE - NEWPOINT MALL</v>
      </c>
      <c r="D4598" s="2" t="str">
        <f>IFERROR(__xludf.DUMMYFUNCTION("""COMPUTED_VALUE"""),"661-44955")</f>
        <v>661-44955</v>
      </c>
      <c r="E4598" s="2" t="str">
        <f>IFERROR(__xludf.DUMMYFUNCTION("""COMPUTED_VALUE"""),"Display, iPhone 16 Pro Max")</f>
        <v>Display, iPhone 16 Pro Max</v>
      </c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</row>
    <row r="4599">
      <c r="A4599" s="10" t="str">
        <f t="shared" si="1"/>
        <v>February</v>
      </c>
      <c r="B4599" s="11">
        <f>IFERROR(__xludf.DUMMYFUNCTION("""COMPUTED_VALUE"""),46056.0)</f>
        <v>46056</v>
      </c>
      <c r="C4599" s="2" t="str">
        <f>IFERROR(__xludf.DUMMYFUNCTION("""COMPUTED_VALUE"""),"MOBILECARE - NEWPOINT MALL")</f>
        <v>MOBILECARE - NEWPOINT MALL</v>
      </c>
      <c r="D4599" s="2" t="str">
        <f>IFERROR(__xludf.DUMMYFUNCTION("""COMPUTED_VALUE"""),"661-56067")</f>
        <v>661-56067</v>
      </c>
      <c r="E4599" s="2" t="str">
        <f>IFERROR(__xludf.DUMMYFUNCTION("""COMPUTED_VALUE"""),"Camera, iPhone 17")</f>
        <v>Camera, iPhone 17</v>
      </c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</row>
    <row r="4600">
      <c r="A4600" s="10" t="str">
        <f t="shared" si="1"/>
        <v>February</v>
      </c>
      <c r="B4600" s="11">
        <f>IFERROR(__xludf.DUMMYFUNCTION("""COMPUTED_VALUE"""),46056.0)</f>
        <v>46056</v>
      </c>
      <c r="C4600" s="2" t="str">
        <f>IFERROR(__xludf.DUMMYFUNCTION("""COMPUTED_VALUE"""),"MOBILECARE - NEWPOINT MALL")</f>
        <v>MOBILECARE - NEWPOINT MALL</v>
      </c>
      <c r="D4600" s="2" t="str">
        <f>IFERROR(__xludf.DUMMYFUNCTION("""COMPUTED_VALUE"""),"661-56066")</f>
        <v>661-56066</v>
      </c>
      <c r="E4600" s="2" t="str">
        <f>IFERROR(__xludf.DUMMYFUNCTION("""COMPUTED_VALUE"""),"Front Camera, iPhone 17")</f>
        <v>Front Camera, iPhone 17</v>
      </c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</row>
    <row r="4601">
      <c r="A4601" s="10" t="str">
        <f t="shared" si="1"/>
        <v>February</v>
      </c>
      <c r="B4601" s="11">
        <f>IFERROR(__xludf.DUMMYFUNCTION("""COMPUTED_VALUE"""),46078.0)</f>
        <v>46078</v>
      </c>
      <c r="C4601" s="2" t="str">
        <f>IFERROR(__xludf.DUMMYFUNCTION("""COMPUTED_VALUE"""),"MOBILECARE - NEWPOINT MALL")</f>
        <v>MOBILECARE - NEWPOINT MALL</v>
      </c>
      <c r="D4601" s="2" t="str">
        <f>IFERROR(__xludf.DUMMYFUNCTION("""COMPUTED_VALUE"""),"TA661-55282")</f>
        <v>TA661-55282</v>
      </c>
      <c r="E4601" s="2" t="str">
        <f>IFERROR(__xludf.DUMMYFUNCTION("""COMPUTED_VALUE"""),"Lavender, 256GB, iPhone 17, ROW, Taiwan, CI/AR")</f>
        <v>Lavender, 256GB, iPhone 17, ROW, Taiwan, CI/AR</v>
      </c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</row>
    <row r="4602">
      <c r="A4602" s="10" t="str">
        <f t="shared" si="1"/>
        <v>February</v>
      </c>
      <c r="B4602" s="11">
        <f>IFERROR(__xludf.DUMMYFUNCTION("""COMPUTED_VALUE"""),46055.0)</f>
        <v>46055</v>
      </c>
      <c r="C4602" s="2" t="str">
        <f>IFERROR(__xludf.DUMMYFUNCTION("""COMPUTED_VALUE"""),"MOBILECARE - NEWPOINT MALL")</f>
        <v>MOBILECARE - NEWPOINT MALL</v>
      </c>
      <c r="D4602" s="2" t="str">
        <f>IFERROR(__xludf.DUMMYFUNCTION("""COMPUTED_VALUE"""),"661-22309")</f>
        <v>661-22309</v>
      </c>
      <c r="E4602" s="2" t="str">
        <f>IFERROR(__xludf.DUMMYFUNCTION("""COMPUTED_VALUE"""),"Display, iPhone 13 Pro Max")</f>
        <v>Display, iPhone 13 Pro Max</v>
      </c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</row>
    <row r="4603">
      <c r="A4603" s="10" t="str">
        <f t="shared" si="1"/>
        <v>May</v>
      </c>
      <c r="B4603" s="11">
        <f>IFERROR(__xludf.DUMMYFUNCTION("""COMPUTED_VALUE"""),46172.0)</f>
        <v>46172</v>
      </c>
      <c r="C4603" s="2" t="str">
        <f>IFERROR(__xludf.DUMMYFUNCTION("""COMPUTED_VALUE"""),"MOBILECARE - NEWPOINT MALL")</f>
        <v>MOBILECARE - NEWPOINT MALL</v>
      </c>
      <c r="D4603" s="2" t="str">
        <f>IFERROR(__xludf.DUMMYFUNCTION("""COMPUTED_VALUE"""),"661-32232")</f>
        <v>661-32232</v>
      </c>
      <c r="E4603" s="2" t="str">
        <f>IFERROR(__xludf.DUMMYFUNCTION("""COMPUTED_VALUE"""),"Rear Camera, iPhone 13/mini, MICN")</f>
        <v>Rear Camera, iPhone 13/mini, MICN</v>
      </c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</row>
    <row r="4604">
      <c r="A4604" s="10" t="str">
        <f t="shared" si="1"/>
        <v>May</v>
      </c>
      <c r="B4604" s="11">
        <f>IFERROR(__xludf.DUMMYFUNCTION("""COMPUTED_VALUE"""),46172.0)</f>
        <v>46172</v>
      </c>
      <c r="C4604" s="2" t="str">
        <f>IFERROR(__xludf.DUMMYFUNCTION("""COMPUTED_VALUE"""),"MOBILECARE - NEWPOINT MALL")</f>
        <v>MOBILECARE - NEWPOINT MALL</v>
      </c>
      <c r="D4604" s="2" t="str">
        <f>IFERROR(__xludf.DUMMYFUNCTION("""COMPUTED_VALUE"""),"661-23878")</f>
        <v>661-23878</v>
      </c>
      <c r="E4604" s="2" t="str">
        <f>IFERROR(__xludf.DUMMYFUNCTION("""COMPUTED_VALUE"""),"TrueDepth Camera, iPhone 13")</f>
        <v>TrueDepth Camera, iPhone 13</v>
      </c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</row>
    <row r="4605">
      <c r="A4605" s="10" t="str">
        <f t="shared" si="1"/>
        <v>June</v>
      </c>
      <c r="B4605" s="11">
        <f>IFERROR(__xludf.DUMMYFUNCTION("""COMPUTED_VALUE"""),46191.0)</f>
        <v>46191</v>
      </c>
      <c r="C4605" s="2" t="str">
        <f>IFERROR(__xludf.DUMMYFUNCTION("""COMPUTED_VALUE"""),"MOBILECARE - NEWPOINT MALL")</f>
        <v>MOBILECARE - NEWPOINT MALL</v>
      </c>
      <c r="D4605" s="2" t="str">
        <f>IFERROR(__xludf.DUMMYFUNCTION("""COMPUTED_VALUE"""),"PP661-22981")</f>
        <v>PP661-22981</v>
      </c>
      <c r="E4605" s="2" t="str">
        <f>IFERROR(__xludf.DUMMYFUNCTION("""COMPUTED_VALUE"""),"Starlight, 128 GB, iPhone 13, ROW, CI/AR, Philippines")</f>
        <v>Starlight, 128 GB, iPhone 13, ROW, CI/AR, Philippines</v>
      </c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</row>
    <row r="4606">
      <c r="A4606" s="10" t="str">
        <f t="shared" si="1"/>
        <v>May</v>
      </c>
      <c r="B4606" s="11">
        <f>IFERROR(__xludf.DUMMYFUNCTION("""COMPUTED_VALUE"""),46169.0)</f>
        <v>46169</v>
      </c>
      <c r="C4606" s="2" t="str">
        <f>IFERROR(__xludf.DUMMYFUNCTION("""COMPUTED_VALUE"""),"MOBILECARE - NEWPOINT MALL")</f>
        <v>MOBILECARE - NEWPOINT MALL</v>
      </c>
      <c r="D4606" s="2" t="str">
        <f>IFERROR(__xludf.DUMMYFUNCTION("""COMPUTED_VALUE"""),"661-23878")</f>
        <v>661-23878</v>
      </c>
      <c r="E4606" s="2" t="str">
        <f>IFERROR(__xludf.DUMMYFUNCTION("""COMPUTED_VALUE"""),"TrueDepth Camera, iPhone 13")</f>
        <v>TrueDepth Camera, iPhone 13</v>
      </c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</row>
    <row r="4607">
      <c r="A4607" s="10" t="str">
        <f t="shared" si="1"/>
        <v>May</v>
      </c>
      <c r="B4607" s="11">
        <f>IFERROR(__xludf.DUMMYFUNCTION("""COMPUTED_VALUE"""),46169.0)</f>
        <v>46169</v>
      </c>
      <c r="C4607" s="2" t="str">
        <f>IFERROR(__xludf.DUMMYFUNCTION("""COMPUTED_VALUE"""),"MOBILECARE - NEWPOINT MALL")</f>
        <v>MOBILECARE - NEWPOINT MALL</v>
      </c>
      <c r="D4607" s="2" t="str">
        <f>IFERROR(__xludf.DUMMYFUNCTION("""COMPUTED_VALUE"""),"661-32232")</f>
        <v>661-32232</v>
      </c>
      <c r="E4607" s="2" t="str">
        <f>IFERROR(__xludf.DUMMYFUNCTION("""COMPUTED_VALUE"""),"Rear Camera, iPhone 13/mini, MICN")</f>
        <v>Rear Camera, iPhone 13/mini, MICN</v>
      </c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</row>
    <row r="4608">
      <c r="A4608" s="10" t="str">
        <f t="shared" si="1"/>
        <v>May</v>
      </c>
      <c r="B4608" s="11">
        <f>IFERROR(__xludf.DUMMYFUNCTION("""COMPUTED_VALUE"""),46154.0)</f>
        <v>46154</v>
      </c>
      <c r="C4608" s="2" t="str">
        <f>IFERROR(__xludf.DUMMYFUNCTION("""COMPUTED_VALUE"""),"MOBILECARE - NEWPOINT MALL")</f>
        <v>MOBILECARE - NEWPOINT MALL</v>
      </c>
      <c r="D4608" s="2" t="str">
        <f>IFERROR(__xludf.DUMMYFUNCTION("""COMPUTED_VALUE"""),"661-35696")</f>
        <v>661-35696</v>
      </c>
      <c r="E4608" s="2" t="str">
        <f>IFERROR(__xludf.DUMMYFUNCTION("""COMPUTED_VALUE"""),"Camera , iPhone 15 Pro")</f>
        <v>Camera , iPhone 15 Pro</v>
      </c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</row>
    <row r="4609">
      <c r="A4609" s="10" t="str">
        <f t="shared" si="1"/>
        <v>May</v>
      </c>
      <c r="B4609" s="11">
        <f>IFERROR(__xludf.DUMMYFUNCTION("""COMPUTED_VALUE"""),46154.0)</f>
        <v>46154</v>
      </c>
      <c r="C4609" s="2" t="str">
        <f>IFERROR(__xludf.DUMMYFUNCTION("""COMPUTED_VALUE"""),"MOBILECARE - NEWPOINT MALL")</f>
        <v>MOBILECARE - NEWPOINT MALL</v>
      </c>
      <c r="D4609" s="2" t="str">
        <f>IFERROR(__xludf.DUMMYFUNCTION("""COMPUTED_VALUE"""),"661-35694")</f>
        <v>661-35694</v>
      </c>
      <c r="E4609" s="2" t="str">
        <f>IFERROR(__xludf.DUMMYFUNCTION("""COMPUTED_VALUE"""),"Battery, iPhone 15 Pro")</f>
        <v>Battery, iPhone 15 Pro</v>
      </c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</row>
    <row r="4610">
      <c r="A4610" s="10" t="str">
        <f t="shared" si="1"/>
        <v>April</v>
      </c>
      <c r="B4610" s="11">
        <f>IFERROR(__xludf.DUMMYFUNCTION("""COMPUTED_VALUE"""),46131.0)</f>
        <v>46131</v>
      </c>
      <c r="C4610" s="2" t="str">
        <f>IFERROR(__xludf.DUMMYFUNCTION("""COMPUTED_VALUE"""),"MOBILECARE - NEWPOINT MALL")</f>
        <v>MOBILECARE - NEWPOINT MALL</v>
      </c>
      <c r="D4610" s="2" t="str">
        <f>IFERROR(__xludf.DUMMYFUNCTION("""COMPUTED_VALUE"""),"661-22294")</f>
        <v>661-22294</v>
      </c>
      <c r="E4610" s="2" t="str">
        <f>IFERROR(__xludf.DUMMYFUNCTION("""COMPUTED_VALUE"""),"Battery, iPhone 13 Pro Max")</f>
        <v>Battery, iPhone 13 Pro Max</v>
      </c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</row>
    <row r="4611">
      <c r="A4611" s="10" t="str">
        <f t="shared" si="1"/>
        <v>April</v>
      </c>
      <c r="B4611" s="11">
        <f>IFERROR(__xludf.DUMMYFUNCTION("""COMPUTED_VALUE"""),46121.0)</f>
        <v>46121</v>
      </c>
      <c r="C4611" s="2" t="str">
        <f>IFERROR(__xludf.DUMMYFUNCTION("""COMPUTED_VALUE"""),"MOBILECARE - NEWPOINT MALL")</f>
        <v>MOBILECARE - NEWPOINT MALL</v>
      </c>
      <c r="D4611" s="2" t="str">
        <f>IFERROR(__xludf.DUMMYFUNCTION("""COMPUTED_VALUE"""),"TA661-36699")</f>
        <v>TA661-36699</v>
      </c>
      <c r="E4611" s="2" t="str">
        <f>IFERROR(__xludf.DUMMYFUNCTION("""COMPUTED_VALUE"""),"iPhone 15, Blue, 256GB, Logic Board Assy Mid System, ROW")</f>
        <v>iPhone 15, Blue, 256GB, Logic Board Assy Mid System, ROW</v>
      </c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</row>
    <row r="4612">
      <c r="A4612" s="10" t="str">
        <f t="shared" si="1"/>
        <v>March</v>
      </c>
      <c r="B4612" s="11">
        <f>IFERROR(__xludf.DUMMYFUNCTION("""COMPUTED_VALUE"""),46107.0)</f>
        <v>46107</v>
      </c>
      <c r="C4612" s="2" t="str">
        <f>IFERROR(__xludf.DUMMYFUNCTION("""COMPUTED_VALUE"""),"MOBILECARE - NEWPOINT MALL")</f>
        <v>MOBILECARE - NEWPOINT MALL</v>
      </c>
      <c r="D4612" s="2" t="str">
        <f>IFERROR(__xludf.DUMMYFUNCTION("""COMPUTED_VALUE"""),"661-21991")</f>
        <v>661-21991</v>
      </c>
      <c r="E4612" s="2" t="str">
        <f>IFERROR(__xludf.DUMMYFUNCTION("""COMPUTED_VALUE"""),"Battery, iPhone 13")</f>
        <v>Battery, iPhone 13</v>
      </c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</row>
    <row r="4613">
      <c r="A4613" s="10" t="str">
        <f t="shared" si="1"/>
        <v>March</v>
      </c>
      <c r="B4613" s="11">
        <f>IFERROR(__xludf.DUMMYFUNCTION("""COMPUTED_VALUE"""),46086.0)</f>
        <v>46086</v>
      </c>
      <c r="C4613" s="2" t="str">
        <f>IFERROR(__xludf.DUMMYFUNCTION("""COMPUTED_VALUE"""),"MOBILECARE - NEWPOINT MALL")</f>
        <v>MOBILECARE - NEWPOINT MALL</v>
      </c>
      <c r="D4613" s="2" t="str">
        <f>IFERROR(__xludf.DUMMYFUNCTION("""COMPUTED_VALUE"""),"PP661-23455")</f>
        <v>PP661-23455</v>
      </c>
      <c r="E4613" s="2" t="str">
        <f>IFERROR(__xludf.DUMMYFUNCTION("""COMPUTED_VALUE"""),"iPhone 13, Starlight, 128GB, Logic Board Assy Rear System, ROW")</f>
        <v>iPhone 13, Starlight, 128GB, Logic Board Assy Rear System, ROW</v>
      </c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</row>
    <row r="4614">
      <c r="A4614" s="10" t="str">
        <f t="shared" si="1"/>
        <v>February</v>
      </c>
      <c r="B4614" s="11">
        <f>IFERROR(__xludf.DUMMYFUNCTION("""COMPUTED_VALUE"""),46075.0)</f>
        <v>46075</v>
      </c>
      <c r="C4614" s="2" t="str">
        <f>IFERROR(__xludf.DUMMYFUNCTION("""COMPUTED_VALUE"""),"MOBILECARE - NEWPOINT MALL")</f>
        <v>MOBILECARE - NEWPOINT MALL</v>
      </c>
      <c r="D4614" s="2" t="str">
        <f>IFERROR(__xludf.DUMMYFUNCTION("""COMPUTED_VALUE"""),"661-42726")</f>
        <v>661-42726</v>
      </c>
      <c r="E4614" s="2" t="str">
        <f>IFERROR(__xludf.DUMMYFUNCTION("""COMPUTED_VALUE"""),"Display, iPhone 16 Pro")</f>
        <v>Display, iPhone 16 Pro</v>
      </c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</row>
    <row r="4615">
      <c r="A4615" s="10" t="str">
        <f t="shared" si="1"/>
        <v>February</v>
      </c>
      <c r="B4615" s="11">
        <f>IFERROR(__xludf.DUMMYFUNCTION("""COMPUTED_VALUE"""),46057.0)</f>
        <v>46057</v>
      </c>
      <c r="C4615" s="2" t="str">
        <f>IFERROR(__xludf.DUMMYFUNCTION("""COMPUTED_VALUE"""),"MOBILECARE - NEWPOINT MALL")</f>
        <v>MOBILECARE - NEWPOINT MALL</v>
      </c>
      <c r="D4615" s="2" t="str">
        <f>IFERROR(__xludf.DUMMYFUNCTION("""COMPUTED_VALUE"""),"661-17920")</f>
        <v>661-17920</v>
      </c>
      <c r="E4615" s="2" t="str">
        <f>IFERROR(__xludf.DUMMYFUNCTION("""COMPUTED_VALUE"""),"Battery, iPhone 12 and 12 Pro")</f>
        <v>Battery, iPhone 12 and 12 Pro</v>
      </c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</row>
    <row r="4616">
      <c r="A4616" s="10" t="str">
        <f t="shared" si="1"/>
        <v>May</v>
      </c>
      <c r="B4616" s="11">
        <f>IFERROR(__xludf.DUMMYFUNCTION("""COMPUTED_VALUE"""),46144.0)</f>
        <v>46144</v>
      </c>
      <c r="C4616" s="2" t="str">
        <f>IFERROR(__xludf.DUMMYFUNCTION("""COMPUTED_VALUE"""),"MOBILECARE - NEWPOINT MALL")</f>
        <v>MOBILECARE - NEWPOINT MALL</v>
      </c>
      <c r="D4616" s="2" t="str">
        <f>IFERROR(__xludf.DUMMYFUNCTION("""COMPUTED_VALUE"""),"661-49426")</f>
        <v>661-49426</v>
      </c>
      <c r="E4616" s="2" t="str">
        <f>IFERROR(__xludf.DUMMYFUNCTION("""COMPUTED_VALUE"""),"TrueDepth Camera, iPhone 16e")</f>
        <v>TrueDepth Camera, iPhone 16e</v>
      </c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</row>
    <row r="4617">
      <c r="A4617" s="10" t="str">
        <f t="shared" si="1"/>
        <v>May</v>
      </c>
      <c r="B4617" s="11">
        <f>IFERROR(__xludf.DUMMYFUNCTION("""COMPUTED_VALUE"""),46147.0)</f>
        <v>46147</v>
      </c>
      <c r="C4617" s="2" t="str">
        <f>IFERROR(__xludf.DUMMYFUNCTION("""COMPUTED_VALUE"""),"MOBILECARE - NEWPOINT MALL")</f>
        <v>MOBILECARE - NEWPOINT MALL</v>
      </c>
      <c r="D4617" s="2" t="str">
        <f>IFERROR(__xludf.DUMMYFUNCTION("""COMPUTED_VALUE"""),"661-21991")</f>
        <v>661-21991</v>
      </c>
      <c r="E4617" s="2" t="str">
        <f>IFERROR(__xludf.DUMMYFUNCTION("""COMPUTED_VALUE"""),"Battery, iPhone 13")</f>
        <v>Battery, iPhone 13</v>
      </c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</row>
    <row r="4618">
      <c r="A4618" s="10" t="str">
        <f t="shared" si="1"/>
        <v>March</v>
      </c>
      <c r="B4618" s="11">
        <f>IFERROR(__xludf.DUMMYFUNCTION("""COMPUTED_VALUE"""),46110.0)</f>
        <v>46110</v>
      </c>
      <c r="C4618" s="2" t="str">
        <f>IFERROR(__xludf.DUMMYFUNCTION("""COMPUTED_VALUE"""),"MOBILECARE - NEWPOINT MALL")</f>
        <v>MOBILECARE - NEWPOINT MALL</v>
      </c>
      <c r="D4618" s="2" t="str">
        <f>IFERROR(__xludf.DUMMYFUNCTION("""COMPUTED_VALUE"""),"661-21988")</f>
        <v>661-21988</v>
      </c>
      <c r="E4618" s="2" t="str">
        <f>IFERROR(__xludf.DUMMYFUNCTION("""COMPUTED_VALUE"""),"Display, iPhone 13")</f>
        <v>Display, iPhone 13</v>
      </c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</row>
    <row r="4619">
      <c r="A4619" s="10" t="str">
        <f t="shared" si="1"/>
        <v>April</v>
      </c>
      <c r="B4619" s="11">
        <f>IFERROR(__xludf.DUMMYFUNCTION("""COMPUTED_VALUE"""),46123.0)</f>
        <v>46123</v>
      </c>
      <c r="C4619" s="2" t="str">
        <f>IFERROR(__xludf.DUMMYFUNCTION("""COMPUTED_VALUE"""),"MOBILECARE - NEWPOINT MALL")</f>
        <v>MOBILECARE - NEWPOINT MALL</v>
      </c>
      <c r="D4619" s="2" t="str">
        <f>IFERROR(__xludf.DUMMYFUNCTION("""COMPUTED_VALUE"""),"Z661-55956")</f>
        <v>Z661-55956</v>
      </c>
      <c r="E4619" s="2" t="str">
        <f>IFERROR(__xludf.DUMMYFUNCTION("""COMPUTED_VALUE"""),"Logic Board, 256GB, iPhone 17 Pro Max, ROW")</f>
        <v>Logic Board, 256GB, iPhone 17 Pro Max, ROW</v>
      </c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</row>
    <row r="4620">
      <c r="A4620" s="10" t="str">
        <f t="shared" si="1"/>
        <v>April</v>
      </c>
      <c r="B4620" s="11">
        <f>IFERROR(__xludf.DUMMYFUNCTION("""COMPUTED_VALUE"""),46121.0)</f>
        <v>46121</v>
      </c>
      <c r="C4620" s="2" t="str">
        <f>IFERROR(__xludf.DUMMYFUNCTION("""COMPUTED_VALUE"""),"MOBILECARE - NEWPOINT MALL")</f>
        <v>MOBILECARE - NEWPOINT MALL</v>
      </c>
      <c r="D4620" s="2" t="str">
        <f>IFERROR(__xludf.DUMMYFUNCTION("""COMPUTED_VALUE"""),"PP661-28869")</f>
        <v>PP661-28869</v>
      </c>
      <c r="E4620" s="2" t="str">
        <f>IFERROR(__xludf.DUMMYFUNCTION("""COMPUTED_VALUE"""),"iPhone 14, Starlight, 128GB, Logic Board Assy Mid System, ROW")</f>
        <v>iPhone 14, Starlight, 128GB, Logic Board Assy Mid System, ROW</v>
      </c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</row>
    <row r="4621">
      <c r="A4621" s="10" t="str">
        <f t="shared" si="1"/>
        <v>March</v>
      </c>
      <c r="B4621" s="11">
        <f>IFERROR(__xludf.DUMMYFUNCTION("""COMPUTED_VALUE"""),46103.0)</f>
        <v>46103</v>
      </c>
      <c r="C4621" s="2" t="str">
        <f>IFERROR(__xludf.DUMMYFUNCTION("""COMPUTED_VALUE"""),"MOBILECARE - NEWPOINT MALL")</f>
        <v>MOBILECARE - NEWPOINT MALL</v>
      </c>
      <c r="D4621" s="2" t="str">
        <f>IFERROR(__xludf.DUMMYFUNCTION("""COMPUTED_VALUE"""),"661-44961")</f>
        <v>661-44961</v>
      </c>
      <c r="E4621" s="2" t="str">
        <f>IFERROR(__xludf.DUMMYFUNCTION("""COMPUTED_VALUE"""),"Natural Titanium, Back Glass, iPhone 16 Pro Max")</f>
        <v>Natural Titanium, Back Glass, iPhone 16 Pro Max</v>
      </c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</row>
    <row r="4622">
      <c r="A4622" s="10" t="str">
        <f t="shared" si="1"/>
        <v>March</v>
      </c>
      <c r="B4622" s="11">
        <f>IFERROR(__xludf.DUMMYFUNCTION("""COMPUTED_VALUE"""),46112.0)</f>
        <v>46112</v>
      </c>
      <c r="C4622" s="2" t="str">
        <f>IFERROR(__xludf.DUMMYFUNCTION("""COMPUTED_VALUE"""),"MOBILECARE - NEWPOINT MALL")</f>
        <v>MOBILECARE - NEWPOINT MALL</v>
      </c>
      <c r="D4622" s="2" t="str">
        <f>IFERROR(__xludf.DUMMYFUNCTION("""COMPUTED_VALUE"""),"Z661-55942")</f>
        <v>Z661-55942</v>
      </c>
      <c r="E4622" s="2" t="str">
        <f>IFERROR(__xludf.DUMMYFUNCTION("""COMPUTED_VALUE"""),"Logic Board, 256GB, A3523, ROW, iPhone 17 Pro")</f>
        <v>Logic Board, 256GB, A3523, ROW, iPhone 17 Pro</v>
      </c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</row>
    <row r="4623">
      <c r="A4623" s="10" t="str">
        <f t="shared" si="1"/>
        <v>March</v>
      </c>
      <c r="B4623" s="11">
        <f>IFERROR(__xludf.DUMMYFUNCTION("""COMPUTED_VALUE"""),46092.0)</f>
        <v>46092</v>
      </c>
      <c r="C4623" s="2" t="str">
        <f>IFERROR(__xludf.DUMMYFUNCTION("""COMPUTED_VALUE"""),"MOBILECARE - NEWPOINT MALL")</f>
        <v>MOBILECARE - NEWPOINT MALL</v>
      </c>
      <c r="D4623" s="2" t="str">
        <f>IFERROR(__xludf.DUMMYFUNCTION("""COMPUTED_VALUE"""),"661-30397")</f>
        <v>661-30397</v>
      </c>
      <c r="E4623" s="2" t="str">
        <f>IFERROR(__xludf.DUMMYFUNCTION("""COMPUTED_VALUE"""),"Battery, iPhone 14 Pro Max")</f>
        <v>Battery, iPhone 14 Pro Max</v>
      </c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</row>
    <row r="4624">
      <c r="A4624" s="10" t="str">
        <f t="shared" si="1"/>
        <v>March</v>
      </c>
      <c r="B4624" s="11">
        <f>IFERROR(__xludf.DUMMYFUNCTION("""COMPUTED_VALUE"""),46108.0)</f>
        <v>46108</v>
      </c>
      <c r="C4624" s="2" t="str">
        <f>IFERROR(__xludf.DUMMYFUNCTION("""COMPUTED_VALUE"""),"MOBILECARE - NEWPOINT MALL")</f>
        <v>MOBILECARE - NEWPOINT MALL</v>
      </c>
      <c r="D4624" s="2" t="str">
        <f>IFERROR(__xludf.DUMMYFUNCTION("""COMPUTED_VALUE"""),"PP661-23454")</f>
        <v>PP661-23454</v>
      </c>
      <c r="E4624" s="2" t="str">
        <f>IFERROR(__xludf.DUMMYFUNCTION("""COMPUTED_VALUE"""),"iPhone 13, Midnight, 128GB, Logic Board Assy Rear System, ROW")</f>
        <v>iPhone 13, Midnight, 128GB, Logic Board Assy Rear System, ROW</v>
      </c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</row>
    <row r="4625">
      <c r="A4625" s="10" t="str">
        <f t="shared" si="1"/>
        <v>March</v>
      </c>
      <c r="B4625" s="11">
        <f>IFERROR(__xludf.DUMMYFUNCTION("""COMPUTED_VALUE"""),46086.0)</f>
        <v>46086</v>
      </c>
      <c r="C4625" s="2" t="str">
        <f>IFERROR(__xludf.DUMMYFUNCTION("""COMPUTED_VALUE"""),"MOBILECARE - NEWPOINT MALL")</f>
        <v>MOBILECARE - NEWPOINT MALL</v>
      </c>
      <c r="D4625" s="2" t="str">
        <f>IFERROR(__xludf.DUMMYFUNCTION("""COMPUTED_VALUE"""),"661-56050")</f>
        <v>661-56050</v>
      </c>
      <c r="E4625" s="2" t="str">
        <f>IFERROR(__xludf.DUMMYFUNCTION("""COMPUTED_VALUE"""),"Display, iPhone 17 Pro Max")</f>
        <v>Display, iPhone 17 Pro Max</v>
      </c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</row>
    <row r="4626">
      <c r="A4626" s="10" t="str">
        <f t="shared" si="1"/>
        <v>March</v>
      </c>
      <c r="B4626" s="11">
        <f>IFERROR(__xludf.DUMMYFUNCTION("""COMPUTED_VALUE"""),46085.0)</f>
        <v>46085</v>
      </c>
      <c r="C4626" s="2" t="str">
        <f>IFERROR(__xludf.DUMMYFUNCTION("""COMPUTED_VALUE"""),"MOBILECARE - NEWPOINT MALL")</f>
        <v>MOBILECARE - NEWPOINT MALL</v>
      </c>
      <c r="D4626" s="2" t="str">
        <f>IFERROR(__xludf.DUMMYFUNCTION("""COMPUTED_VALUE"""),"661-21988")</f>
        <v>661-21988</v>
      </c>
      <c r="E4626" s="2" t="str">
        <f>IFERROR(__xludf.DUMMYFUNCTION("""COMPUTED_VALUE"""),"Display, iPhone 13")</f>
        <v>Display, iPhone 13</v>
      </c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</row>
    <row r="4627">
      <c r="A4627" s="10" t="str">
        <f t="shared" si="1"/>
        <v>January</v>
      </c>
      <c r="B4627" s="11">
        <f>IFERROR(__xludf.DUMMYFUNCTION("""COMPUTED_VALUE"""),46041.0)</f>
        <v>46041</v>
      </c>
      <c r="C4627" s="2" t="str">
        <f>IFERROR(__xludf.DUMMYFUNCTION("""COMPUTED_VALUE"""),"MOBILECARE - NEWPOINT MALL")</f>
        <v>MOBILECARE - NEWPOINT MALL</v>
      </c>
      <c r="D4627" s="2" t="str">
        <f>IFERROR(__xludf.DUMMYFUNCTION("""COMPUTED_VALUE"""),"661-56125")</f>
        <v>661-56125</v>
      </c>
      <c r="E4627" s="2" t="str">
        <f>IFERROR(__xludf.DUMMYFUNCTION("""COMPUTED_VALUE"""),"Display, iPhone 17 Pro")</f>
        <v>Display, iPhone 17 Pro</v>
      </c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</row>
    <row r="4628">
      <c r="A4628" s="10" t="str">
        <f t="shared" si="1"/>
        <v>June</v>
      </c>
      <c r="B4628" s="11">
        <f>IFERROR(__xludf.DUMMYFUNCTION("""COMPUTED_VALUE"""),46193.0)</f>
        <v>46193</v>
      </c>
      <c r="C4628" s="2" t="str">
        <f>IFERROR(__xludf.DUMMYFUNCTION("""COMPUTED_VALUE"""),"MOBILECARE - NEWPOINT MALL")</f>
        <v>MOBILECARE - NEWPOINT MALL</v>
      </c>
      <c r="D4628" s="2" t="str">
        <f>IFERROR(__xludf.DUMMYFUNCTION("""COMPUTED_VALUE"""),"661-21991")</f>
        <v>661-21991</v>
      </c>
      <c r="E4628" s="2" t="str">
        <f>IFERROR(__xludf.DUMMYFUNCTION("""COMPUTED_VALUE"""),"Battery, iPhone 13")</f>
        <v>Battery, iPhone 13</v>
      </c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</row>
    <row r="4629">
      <c r="A4629" s="10" t="str">
        <f t="shared" si="1"/>
        <v>June</v>
      </c>
      <c r="B4629" s="11">
        <f>IFERROR(__xludf.DUMMYFUNCTION("""COMPUTED_VALUE"""),46183.0)</f>
        <v>46183</v>
      </c>
      <c r="C4629" s="2" t="str">
        <f>IFERROR(__xludf.DUMMYFUNCTION("""COMPUTED_VALUE"""),"MOBILECARE - NEWPOINT MALL")</f>
        <v>MOBILECARE - NEWPOINT MALL</v>
      </c>
      <c r="D4629" s="2" t="str">
        <f>IFERROR(__xludf.DUMMYFUNCTION("""COMPUTED_VALUE"""),"661-18428")</f>
        <v>661-18428</v>
      </c>
      <c r="E4629" s="2" t="str">
        <f>IFERROR(__xludf.DUMMYFUNCTION("""COMPUTED_VALUE"""),"Battery, iPhone 12 Pro Max")</f>
        <v>Battery, iPhone 12 Pro Max</v>
      </c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</row>
    <row r="4630">
      <c r="A4630" s="10" t="str">
        <f t="shared" si="1"/>
        <v>April</v>
      </c>
      <c r="B4630" s="11">
        <f>IFERROR(__xludf.DUMMYFUNCTION("""COMPUTED_VALUE"""),46116.0)</f>
        <v>46116</v>
      </c>
      <c r="C4630" s="2" t="str">
        <f>IFERROR(__xludf.DUMMYFUNCTION("""COMPUTED_VALUE"""),"MOBILECARE - NEWPOINT MALL")</f>
        <v>MOBILECARE - NEWPOINT MALL</v>
      </c>
      <c r="D4630" s="2" t="str">
        <f>IFERROR(__xludf.DUMMYFUNCTION("""COMPUTED_VALUE"""),"TA661-44999")</f>
        <v>TA661-44999</v>
      </c>
      <c r="E4630" s="2" t="str">
        <f>IFERROR(__xludf.DUMMYFUNCTION("""COMPUTED_VALUE"""),"256GB, Black Titanium, ROW, iPhone 16 Pro, Logic Board Assy Mid System")</f>
        <v>256GB, Black Titanium, ROW, iPhone 16 Pro, Logic Board Assy Mid System</v>
      </c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</row>
    <row r="4631">
      <c r="A4631" s="10" t="str">
        <f t="shared" si="1"/>
        <v>March</v>
      </c>
      <c r="B4631" s="11">
        <f>IFERROR(__xludf.DUMMYFUNCTION("""COMPUTED_VALUE"""),46109.0)</f>
        <v>46109</v>
      </c>
      <c r="C4631" s="2" t="str">
        <f>IFERROR(__xludf.DUMMYFUNCTION("""COMPUTED_VALUE"""),"MOBILECARE - NEWPOINT MALL")</f>
        <v>MOBILECARE - NEWPOINT MALL</v>
      </c>
      <c r="D4631" s="2" t="str">
        <f>IFERROR(__xludf.DUMMYFUNCTION("""COMPUTED_VALUE"""),"TA661-43609")</f>
        <v>TA661-43609</v>
      </c>
      <c r="E4631" s="2" t="str">
        <f>IFERROR(__xludf.DUMMYFUNCTION("""COMPUTED_VALUE"""),"128GB, Teal, ROW, iPhone 16, Logic Board Assy Mid System")</f>
        <v>128GB, Teal, ROW, iPhone 16, Logic Board Assy Mid System</v>
      </c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</row>
    <row r="4632">
      <c r="A4632" s="10" t="str">
        <f t="shared" si="1"/>
        <v>March</v>
      </c>
      <c r="B4632" s="11">
        <f>IFERROR(__xludf.DUMMYFUNCTION("""COMPUTED_VALUE"""),46087.0)</f>
        <v>46087</v>
      </c>
      <c r="C4632" s="2" t="str">
        <f>IFERROR(__xludf.DUMMYFUNCTION("""COMPUTED_VALUE"""),"MOBILECARE - NEWPOINT MALL")</f>
        <v>MOBILECARE - NEWPOINT MALL</v>
      </c>
      <c r="D4632" s="2" t="str">
        <f>IFERROR(__xludf.DUMMYFUNCTION("""COMPUTED_VALUE"""),"661-17920")</f>
        <v>661-17920</v>
      </c>
      <c r="E4632" s="2" t="str">
        <f>IFERROR(__xludf.DUMMYFUNCTION("""COMPUTED_VALUE"""),"Battery, iPhone 12 and 12 Pro")</f>
        <v>Battery, iPhone 12 and 12 Pro</v>
      </c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</row>
    <row r="4633">
      <c r="A4633" s="10" t="str">
        <f t="shared" si="1"/>
        <v>February</v>
      </c>
      <c r="B4633" s="11">
        <f>IFERROR(__xludf.DUMMYFUNCTION("""COMPUTED_VALUE"""),46069.0)</f>
        <v>46069</v>
      </c>
      <c r="C4633" s="2" t="str">
        <f>IFERROR(__xludf.DUMMYFUNCTION("""COMPUTED_VALUE"""),"MOBILECARE - NEWPOINT MALL")</f>
        <v>MOBILECARE - NEWPOINT MALL</v>
      </c>
      <c r="D4633" s="2" t="str">
        <f>IFERROR(__xludf.DUMMYFUNCTION("""COMPUTED_VALUE"""),"661-21996")</f>
        <v>661-21996</v>
      </c>
      <c r="E4633" s="2" t="str">
        <f>IFERROR(__xludf.DUMMYFUNCTION("""COMPUTED_VALUE"""),"Battery, iPhone 13 Pro")</f>
        <v>Battery, iPhone 13 Pro</v>
      </c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</row>
    <row r="4634">
      <c r="A4634" s="10" t="str">
        <f t="shared" si="1"/>
        <v>February</v>
      </c>
      <c r="B4634" s="11">
        <f>IFERROR(__xludf.DUMMYFUNCTION("""COMPUTED_VALUE"""),46066.0)</f>
        <v>46066</v>
      </c>
      <c r="C4634" s="2" t="str">
        <f>IFERROR(__xludf.DUMMYFUNCTION("""COMPUTED_VALUE"""),"MOBILECARE - NEWPOINT MALL")</f>
        <v>MOBILECARE - NEWPOINT MALL</v>
      </c>
      <c r="D4634" s="2" t="str">
        <f>IFERROR(__xludf.DUMMYFUNCTION("""COMPUTED_VALUE"""),"661-21996")</f>
        <v>661-21996</v>
      </c>
      <c r="E4634" s="2" t="str">
        <f>IFERROR(__xludf.DUMMYFUNCTION("""COMPUTED_VALUE"""),"Battery, iPhone 13 Pro")</f>
        <v>Battery, iPhone 13 Pro</v>
      </c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</row>
    <row r="4635">
      <c r="A4635" s="10" t="str">
        <f t="shared" si="1"/>
        <v>February</v>
      </c>
      <c r="B4635" s="11">
        <f>IFERROR(__xludf.DUMMYFUNCTION("""COMPUTED_VALUE"""),46079.0)</f>
        <v>46079</v>
      </c>
      <c r="C4635" s="2" t="str">
        <f>IFERROR(__xludf.DUMMYFUNCTION("""COMPUTED_VALUE"""),"MOBILECARE - NEWPOINT MALL")</f>
        <v>MOBILECARE - NEWPOINT MALL</v>
      </c>
      <c r="D4635" s="2" t="str">
        <f>IFERROR(__xludf.DUMMYFUNCTION("""COMPUTED_VALUE"""),"PP661-23455")</f>
        <v>PP661-23455</v>
      </c>
      <c r="E4635" s="2" t="str">
        <f>IFERROR(__xludf.DUMMYFUNCTION("""COMPUTED_VALUE"""),"iPhone 13, Starlight, 128GB, Logic Board Assy Rear System, ROW")</f>
        <v>iPhone 13, Starlight, 128GB, Logic Board Assy Rear System, ROW</v>
      </c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</row>
    <row r="4636">
      <c r="A4636" s="10" t="str">
        <f t="shared" si="1"/>
        <v>February</v>
      </c>
      <c r="B4636" s="11">
        <f>IFERROR(__xludf.DUMMYFUNCTION("""COMPUTED_VALUE"""),46068.0)</f>
        <v>46068</v>
      </c>
      <c r="C4636" s="2" t="str">
        <f>IFERROR(__xludf.DUMMYFUNCTION("""COMPUTED_VALUE"""),"MOBILECARE - NEWPOINT MALL")</f>
        <v>MOBILECARE - NEWPOINT MALL</v>
      </c>
      <c r="D4636" s="2" t="str">
        <f>IFERROR(__xludf.DUMMYFUNCTION("""COMPUTED_VALUE"""),"661-21988")</f>
        <v>661-21988</v>
      </c>
      <c r="E4636" s="2" t="str">
        <f>IFERROR(__xludf.DUMMYFUNCTION("""COMPUTED_VALUE"""),"Display, iPhone 13")</f>
        <v>Display, iPhone 13</v>
      </c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</row>
    <row r="4637">
      <c r="A4637" s="10" t="str">
        <f t="shared" si="1"/>
        <v>January</v>
      </c>
      <c r="B4637" s="11">
        <f>IFERROR(__xludf.DUMMYFUNCTION("""COMPUTED_VALUE"""),46051.0)</f>
        <v>46051</v>
      </c>
      <c r="C4637" s="2" t="str">
        <f>IFERROR(__xludf.DUMMYFUNCTION("""COMPUTED_VALUE"""),"MOBILECARE - NEWPOINT MALL")</f>
        <v>MOBILECARE - NEWPOINT MALL</v>
      </c>
      <c r="D4637" s="2" t="str">
        <f>IFERROR(__xludf.DUMMYFUNCTION("""COMPUTED_VALUE"""),"661-21996")</f>
        <v>661-21996</v>
      </c>
      <c r="E4637" s="2" t="str">
        <f>IFERROR(__xludf.DUMMYFUNCTION("""COMPUTED_VALUE"""),"Battery, iPhone 13 Pro")</f>
        <v>Battery, iPhone 13 Pro</v>
      </c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</row>
    <row r="4638">
      <c r="A4638" s="10" t="str">
        <f t="shared" si="1"/>
        <v>February</v>
      </c>
      <c r="B4638" s="11">
        <f>IFERROR(__xludf.DUMMYFUNCTION("""COMPUTED_VALUE"""),46057.0)</f>
        <v>46057</v>
      </c>
      <c r="C4638" s="2" t="str">
        <f>IFERROR(__xludf.DUMMYFUNCTION("""COMPUTED_VALUE"""),"MOBILECARE - NEWPOINT MALL")</f>
        <v>MOBILECARE - NEWPOINT MALL</v>
      </c>
      <c r="D4638" s="2" t="str">
        <f>IFERROR(__xludf.DUMMYFUNCTION("""COMPUTED_VALUE"""),"661-22309")</f>
        <v>661-22309</v>
      </c>
      <c r="E4638" s="2" t="str">
        <f>IFERROR(__xludf.DUMMYFUNCTION("""COMPUTED_VALUE"""),"Display, iPhone 13 Pro Max")</f>
        <v>Display, iPhone 13 Pro Max</v>
      </c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</row>
    <row r="4639">
      <c r="A4639" s="10" t="str">
        <f t="shared" si="1"/>
        <v>February</v>
      </c>
      <c r="B4639" s="11">
        <f>IFERROR(__xludf.DUMMYFUNCTION("""COMPUTED_VALUE"""),46062.0)</f>
        <v>46062</v>
      </c>
      <c r="C4639" s="2" t="str">
        <f>IFERROR(__xludf.DUMMYFUNCTION("""COMPUTED_VALUE"""),"MOBILECARE - NEWPOINT MALL")</f>
        <v>MOBILECARE - NEWPOINT MALL</v>
      </c>
      <c r="D4639" s="2" t="str">
        <f>IFERROR(__xludf.DUMMYFUNCTION("""COMPUTED_VALUE"""),"PP661-23454")</f>
        <v>PP661-23454</v>
      </c>
      <c r="E4639" s="2" t="str">
        <f>IFERROR(__xludf.DUMMYFUNCTION("""COMPUTED_VALUE"""),"iPhone 13, Midnight, 128GB, Logic Board Assy Rear System, ROW")</f>
        <v>iPhone 13, Midnight, 128GB, Logic Board Assy Rear System, ROW</v>
      </c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</row>
    <row r="4640">
      <c r="A4640" s="10" t="str">
        <f t="shared" si="1"/>
        <v>February</v>
      </c>
      <c r="B4640" s="11">
        <f>IFERROR(__xludf.DUMMYFUNCTION("""COMPUTED_VALUE"""),46058.0)</f>
        <v>46058</v>
      </c>
      <c r="C4640" s="2" t="str">
        <f>IFERROR(__xludf.DUMMYFUNCTION("""COMPUTED_VALUE"""),"MOBILECARE - NEWPOINT MALL")</f>
        <v>MOBILECARE - NEWPOINT MALL</v>
      </c>
      <c r="D4640" s="2" t="str">
        <f>IFERROR(__xludf.DUMMYFUNCTION("""COMPUTED_VALUE"""),"PP661-28869")</f>
        <v>PP661-28869</v>
      </c>
      <c r="E4640" s="2" t="str">
        <f>IFERROR(__xludf.DUMMYFUNCTION("""COMPUTED_VALUE"""),"iPhone 14, Starlight, 128GB, Logic Board Assy Mid System, ROW")</f>
        <v>iPhone 14, Starlight, 128GB, Logic Board Assy Mid System, ROW</v>
      </c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</row>
    <row r="4641">
      <c r="A4641" s="10" t="str">
        <f t="shared" si="1"/>
        <v>June</v>
      </c>
      <c r="B4641" s="11">
        <f>IFERROR(__xludf.DUMMYFUNCTION("""COMPUTED_VALUE"""),46180.0)</f>
        <v>46180</v>
      </c>
      <c r="C4641" s="2" t="str">
        <f>IFERROR(__xludf.DUMMYFUNCTION("""COMPUTED_VALUE"""),"MOBILECARE - NEWPOINT MALL")</f>
        <v>MOBILECARE - NEWPOINT MALL</v>
      </c>
      <c r="D4641" s="2" t="str">
        <f>IFERROR(__xludf.DUMMYFUNCTION("""COMPUTED_VALUE"""),"661-56125")</f>
        <v>661-56125</v>
      </c>
      <c r="E4641" s="2" t="str">
        <f>IFERROR(__xludf.DUMMYFUNCTION("""COMPUTED_VALUE"""),"Display, iPhone 17 Pro")</f>
        <v>Display, iPhone 17 Pro</v>
      </c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</row>
    <row r="4642">
      <c r="A4642" s="10" t="str">
        <f t="shared" si="1"/>
        <v>May</v>
      </c>
      <c r="B4642" s="11">
        <f>IFERROR(__xludf.DUMMYFUNCTION("""COMPUTED_VALUE"""),46163.0)</f>
        <v>46163</v>
      </c>
      <c r="C4642" s="2" t="str">
        <f>IFERROR(__xludf.DUMMYFUNCTION("""COMPUTED_VALUE"""),"MOBILECARE - NEWPOINT MALL")</f>
        <v>MOBILECARE - NEWPOINT MALL</v>
      </c>
      <c r="D4642" s="2" t="str">
        <f>IFERROR(__xludf.DUMMYFUNCTION("""COMPUTED_VALUE"""),"661-56050")</f>
        <v>661-56050</v>
      </c>
      <c r="E4642" s="2" t="str">
        <f>IFERROR(__xludf.DUMMYFUNCTION("""COMPUTED_VALUE"""),"Display, iPhone 17 Pro Max")</f>
        <v>Display, iPhone 17 Pro Max</v>
      </c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</row>
    <row r="4643">
      <c r="A4643" s="10" t="str">
        <f t="shared" si="1"/>
        <v>May</v>
      </c>
      <c r="B4643" s="11">
        <f>IFERROR(__xludf.DUMMYFUNCTION("""COMPUTED_VALUE"""),46166.0)</f>
        <v>46166</v>
      </c>
      <c r="C4643" s="2" t="str">
        <f>IFERROR(__xludf.DUMMYFUNCTION("""COMPUTED_VALUE"""),"MOBILECARE - NEWPOINT MALL")</f>
        <v>MOBILECARE - NEWPOINT MALL</v>
      </c>
      <c r="D4643" s="2" t="str">
        <f>IFERROR(__xludf.DUMMYFUNCTION("""COMPUTED_VALUE"""),"661-36706")</f>
        <v>661-36706</v>
      </c>
      <c r="E4643" s="2" t="str">
        <f>IFERROR(__xludf.DUMMYFUNCTION("""COMPUTED_VALUE"""),"Display, iPhone 15")</f>
        <v>Display, iPhone 15</v>
      </c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</row>
    <row r="4644">
      <c r="A4644" s="10" t="str">
        <f t="shared" si="1"/>
        <v>June</v>
      </c>
      <c r="B4644" s="11">
        <f>IFERROR(__xludf.DUMMYFUNCTION("""COMPUTED_VALUE"""),46188.0)</f>
        <v>46188</v>
      </c>
      <c r="C4644" s="2" t="str">
        <f>IFERROR(__xludf.DUMMYFUNCTION("""COMPUTED_VALUE"""),"MOBILECARE - NEWPOINT MALL")</f>
        <v>MOBILECARE - NEWPOINT MALL</v>
      </c>
      <c r="D4644" s="2" t="str">
        <f>IFERROR(__xludf.DUMMYFUNCTION("""COMPUTED_VALUE"""),"TA661-45324")</f>
        <v>TA661-45324</v>
      </c>
      <c r="E4644" s="2" t="str">
        <f>IFERROR(__xludf.DUMMYFUNCTION("""COMPUTED_VALUE"""),"256GB, Natural Titanium, ROW, iPhone 16 Pro Max, Logic Board Assy Mid Sy")</f>
        <v>256GB, Natural Titanium, ROW, iPhone 16 Pro Max, Logic Board Assy Mid Sy</v>
      </c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</row>
    <row r="4645">
      <c r="A4645" s="10" t="str">
        <f t="shared" si="1"/>
        <v>April</v>
      </c>
      <c r="B4645" s="11">
        <f>IFERROR(__xludf.DUMMYFUNCTION("""COMPUTED_VALUE"""),46140.0)</f>
        <v>46140</v>
      </c>
      <c r="C4645" s="2" t="str">
        <f>IFERROR(__xludf.DUMMYFUNCTION("""COMPUTED_VALUE"""),"MOBILECARE - NEWPOINT MALL")</f>
        <v>MOBILECARE - NEWPOINT MALL</v>
      </c>
      <c r="D4645" s="2" t="str">
        <f>IFERROR(__xludf.DUMMYFUNCTION("""COMPUTED_VALUE"""),"661-22309")</f>
        <v>661-22309</v>
      </c>
      <c r="E4645" s="2" t="str">
        <f>IFERROR(__xludf.DUMMYFUNCTION("""COMPUTED_VALUE"""),"Display, iPhone 13 Pro Max")</f>
        <v>Display, iPhone 13 Pro Max</v>
      </c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</row>
    <row r="4646">
      <c r="A4646" s="10" t="str">
        <f t="shared" si="1"/>
        <v>April</v>
      </c>
      <c r="B4646" s="11">
        <f>IFERROR(__xludf.DUMMYFUNCTION("""COMPUTED_VALUE"""),46140.0)</f>
        <v>46140</v>
      </c>
      <c r="C4646" s="2" t="str">
        <f>IFERROR(__xludf.DUMMYFUNCTION("""COMPUTED_VALUE"""),"MOBILECARE - NEWPOINT MALL")</f>
        <v>MOBILECARE - NEWPOINT MALL</v>
      </c>
      <c r="D4646" s="2" t="str">
        <f>IFERROR(__xludf.DUMMYFUNCTION("""COMPUTED_VALUE"""),"661-22294")</f>
        <v>661-22294</v>
      </c>
      <c r="E4646" s="2" t="str">
        <f>IFERROR(__xludf.DUMMYFUNCTION("""COMPUTED_VALUE"""),"Battery, iPhone 13 Pro Max")</f>
        <v>Battery, iPhone 13 Pro Max</v>
      </c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</row>
    <row r="4647">
      <c r="A4647" s="10" t="str">
        <f t="shared" si="1"/>
        <v>April</v>
      </c>
      <c r="B4647" s="11">
        <f>IFERROR(__xludf.DUMMYFUNCTION("""COMPUTED_VALUE"""),46134.0)</f>
        <v>46134</v>
      </c>
      <c r="C4647" s="2" t="str">
        <f>IFERROR(__xludf.DUMMYFUNCTION("""COMPUTED_VALUE"""),"MOBILECARE - NEWPOINT MALL")</f>
        <v>MOBILECARE - NEWPOINT MALL</v>
      </c>
      <c r="D4647" s="2" t="str">
        <f>IFERROR(__xludf.DUMMYFUNCTION("""COMPUTED_VALUE"""),"661-56050")</f>
        <v>661-56050</v>
      </c>
      <c r="E4647" s="2" t="str">
        <f>IFERROR(__xludf.DUMMYFUNCTION("""COMPUTED_VALUE"""),"Display, iPhone 17 Pro Max")</f>
        <v>Display, iPhone 17 Pro Max</v>
      </c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</row>
    <row r="4648">
      <c r="A4648" s="10" t="str">
        <f t="shared" si="1"/>
        <v>April</v>
      </c>
      <c r="B4648" s="11">
        <f>IFERROR(__xludf.DUMMYFUNCTION("""COMPUTED_VALUE"""),46116.0)</f>
        <v>46116</v>
      </c>
      <c r="C4648" s="2" t="str">
        <f>IFERROR(__xludf.DUMMYFUNCTION("""COMPUTED_VALUE"""),"MOBILECARE - NEWPOINT MALL")</f>
        <v>MOBILECARE - NEWPOINT MALL</v>
      </c>
      <c r="D4648" s="2" t="str">
        <f>IFERROR(__xludf.DUMMYFUNCTION("""COMPUTED_VALUE"""),"661-23878")</f>
        <v>661-23878</v>
      </c>
      <c r="E4648" s="2" t="str">
        <f>IFERROR(__xludf.DUMMYFUNCTION("""COMPUTED_VALUE"""),"TrueDepth Camera, iPhone 13")</f>
        <v>TrueDepth Camera, iPhone 13</v>
      </c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</row>
    <row r="4649">
      <c r="A4649" s="10" t="str">
        <f t="shared" si="1"/>
        <v>April</v>
      </c>
      <c r="B4649" s="11">
        <f>IFERROR(__xludf.DUMMYFUNCTION("""COMPUTED_VALUE"""),46126.0)</f>
        <v>46126</v>
      </c>
      <c r="C4649" s="2" t="str">
        <f>IFERROR(__xludf.DUMMYFUNCTION("""COMPUTED_VALUE"""),"MOBILECARE - NEWPOINT MALL")</f>
        <v>MOBILECARE - NEWPOINT MALL</v>
      </c>
      <c r="D4649" s="2" t="str">
        <f>IFERROR(__xludf.DUMMYFUNCTION("""COMPUTED_VALUE"""),"PP661-28869")</f>
        <v>PP661-28869</v>
      </c>
      <c r="E4649" s="2" t="str">
        <f>IFERROR(__xludf.DUMMYFUNCTION("""COMPUTED_VALUE"""),"iPhone 14, Starlight, 128GB, Logic Board Assy Mid System, ROW")</f>
        <v>iPhone 14, Starlight, 128GB, Logic Board Assy Mid System, ROW</v>
      </c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</row>
    <row r="4650">
      <c r="A4650" s="10" t="str">
        <f t="shared" si="1"/>
        <v>February</v>
      </c>
      <c r="B4650" s="11">
        <f>IFERROR(__xludf.DUMMYFUNCTION("""COMPUTED_VALUE"""),46080.0)</f>
        <v>46080</v>
      </c>
      <c r="C4650" s="2" t="str">
        <f>IFERROR(__xludf.DUMMYFUNCTION("""COMPUTED_VALUE"""),"MOBILECARE - NEWPOINT MALL")</f>
        <v>MOBILECARE - NEWPOINT MALL</v>
      </c>
      <c r="D4650" s="2" t="str">
        <f>IFERROR(__xludf.DUMMYFUNCTION("""COMPUTED_VALUE"""),"661-44957")</f>
        <v>661-44957</v>
      </c>
      <c r="E4650" s="2" t="str">
        <f>IFERROR(__xludf.DUMMYFUNCTION("""COMPUTED_VALUE"""),"Camera, iPhone 16 Pro Max")</f>
        <v>Camera, iPhone 16 Pro Max</v>
      </c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</row>
    <row r="4651">
      <c r="A4651" s="10" t="str">
        <f t="shared" si="1"/>
        <v>February</v>
      </c>
      <c r="B4651" s="11">
        <f>IFERROR(__xludf.DUMMYFUNCTION("""COMPUTED_VALUE"""),46081.0)</f>
        <v>46081</v>
      </c>
      <c r="C4651" s="2" t="str">
        <f>IFERROR(__xludf.DUMMYFUNCTION("""COMPUTED_VALUE"""),"MOBILECARE - NEWPOINT MALL")</f>
        <v>MOBILECARE - NEWPOINT MALL</v>
      </c>
      <c r="D4651" s="2" t="str">
        <f>IFERROR(__xludf.DUMMYFUNCTION("""COMPUTED_VALUE"""),"661-30393")</f>
        <v>661-30393</v>
      </c>
      <c r="E4651" s="2" t="str">
        <f>IFERROR(__xludf.DUMMYFUNCTION("""COMPUTED_VALUE"""),"Camera, iPhone 14 Plus")</f>
        <v>Camera, iPhone 14 Plus</v>
      </c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</row>
    <row r="4652">
      <c r="A4652" s="10" t="str">
        <f t="shared" si="1"/>
        <v>February</v>
      </c>
      <c r="B4652" s="11">
        <f>IFERROR(__xludf.DUMMYFUNCTION("""COMPUTED_VALUE"""),46081.0)</f>
        <v>46081</v>
      </c>
      <c r="C4652" s="2" t="str">
        <f>IFERROR(__xludf.DUMMYFUNCTION("""COMPUTED_VALUE"""),"MOBILECARE - NEWPOINT MALL")</f>
        <v>MOBILECARE - NEWPOINT MALL</v>
      </c>
      <c r="D4652" s="2" t="str">
        <f>IFERROR(__xludf.DUMMYFUNCTION("""COMPUTED_VALUE"""),"661-17920")</f>
        <v>661-17920</v>
      </c>
      <c r="E4652" s="2" t="str">
        <f>IFERROR(__xludf.DUMMYFUNCTION("""COMPUTED_VALUE"""),"Battery, iPhone 12 and 12 Pro")</f>
        <v>Battery, iPhone 12 and 12 Pro</v>
      </c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</row>
    <row r="4653">
      <c r="A4653" s="10" t="str">
        <f t="shared" si="1"/>
        <v>March</v>
      </c>
      <c r="B4653" s="11">
        <f>IFERROR(__xludf.DUMMYFUNCTION("""COMPUTED_VALUE"""),46087.0)</f>
        <v>46087</v>
      </c>
      <c r="C4653" s="2" t="str">
        <f>IFERROR(__xludf.DUMMYFUNCTION("""COMPUTED_VALUE"""),"MOBILECARE - NEWPOINT MALL")</f>
        <v>MOBILECARE - NEWPOINT MALL</v>
      </c>
      <c r="D4653" s="2" t="str">
        <f>IFERROR(__xludf.DUMMYFUNCTION("""COMPUTED_VALUE"""),"TA661-43606")</f>
        <v>TA661-43606</v>
      </c>
      <c r="E4653" s="2" t="str">
        <f>IFERROR(__xludf.DUMMYFUNCTION("""COMPUTED_VALUE"""),"128GB, White, ROW, iPhone 16, Logic Board Assy Mid System")</f>
        <v>128GB, White, ROW, iPhone 16, Logic Board Assy Mid System</v>
      </c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</row>
    <row r="4654">
      <c r="A4654" s="10" t="str">
        <f t="shared" si="1"/>
        <v>February</v>
      </c>
      <c r="B4654" s="11">
        <f>IFERROR(__xludf.DUMMYFUNCTION("""COMPUTED_VALUE"""),46076.0)</f>
        <v>46076</v>
      </c>
      <c r="C4654" s="2" t="str">
        <f>IFERROR(__xludf.DUMMYFUNCTION("""COMPUTED_VALUE"""),"MOBILECARE - NEWPOINT MALL")</f>
        <v>MOBILECARE - NEWPOINT MALL</v>
      </c>
      <c r="D4654" s="2" t="str">
        <f>IFERROR(__xludf.DUMMYFUNCTION("""COMPUTED_VALUE"""),"PP661-23455")</f>
        <v>PP661-23455</v>
      </c>
      <c r="E4654" s="2" t="str">
        <f>IFERROR(__xludf.DUMMYFUNCTION("""COMPUTED_VALUE"""),"iPhone 13, Starlight, 128GB, Logic Board Assy Rear System, ROW")</f>
        <v>iPhone 13, Starlight, 128GB, Logic Board Assy Rear System, ROW</v>
      </c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</row>
    <row r="4655">
      <c r="A4655" s="10" t="str">
        <f t="shared" si="1"/>
        <v>February</v>
      </c>
      <c r="B4655" s="11">
        <f>IFERROR(__xludf.DUMMYFUNCTION("""COMPUTED_VALUE"""),46067.0)</f>
        <v>46067</v>
      </c>
      <c r="C4655" s="2" t="str">
        <f>IFERROR(__xludf.DUMMYFUNCTION("""COMPUTED_VALUE"""),"MOBILECARE - NEWPOINT MALL")</f>
        <v>MOBILECARE - NEWPOINT MALL</v>
      </c>
      <c r="D4655" s="2" t="str">
        <f>IFERROR(__xludf.DUMMYFUNCTION("""COMPUTED_VALUE"""),"PP661-23454")</f>
        <v>PP661-23454</v>
      </c>
      <c r="E4655" s="2" t="str">
        <f>IFERROR(__xludf.DUMMYFUNCTION("""COMPUTED_VALUE"""),"iPhone 13, Midnight, 128GB, Logic Board Assy Rear System, ROW")</f>
        <v>iPhone 13, Midnight, 128GB, Logic Board Assy Rear System, ROW</v>
      </c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</row>
    <row r="4656">
      <c r="A4656" s="10" t="str">
        <f t="shared" si="1"/>
        <v>June</v>
      </c>
      <c r="B4656" s="11">
        <f>IFERROR(__xludf.DUMMYFUNCTION("""COMPUTED_VALUE"""),46193.0)</f>
        <v>46193</v>
      </c>
      <c r="C4656" s="2" t="str">
        <f>IFERROR(__xludf.DUMMYFUNCTION("""COMPUTED_VALUE"""),"MOBILECARE - NEWPOINT MALL")</f>
        <v>MOBILECARE - NEWPOINT MALL</v>
      </c>
      <c r="D4656" s="2" t="str">
        <f>IFERROR(__xludf.DUMMYFUNCTION("""COMPUTED_VALUE"""),"661-22294")</f>
        <v>661-22294</v>
      </c>
      <c r="E4656" s="2" t="str">
        <f>IFERROR(__xludf.DUMMYFUNCTION("""COMPUTED_VALUE"""),"Battery, iPhone 13 Pro Max")</f>
        <v>Battery, iPhone 13 Pro Max</v>
      </c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</row>
    <row r="4657">
      <c r="A4657" s="10" t="str">
        <f t="shared" si="1"/>
        <v>June</v>
      </c>
      <c r="B4657" s="11">
        <f>IFERROR(__xludf.DUMMYFUNCTION("""COMPUTED_VALUE"""),46184.0)</f>
        <v>46184</v>
      </c>
      <c r="C4657" s="2" t="str">
        <f>IFERROR(__xludf.DUMMYFUNCTION("""COMPUTED_VALUE"""),"MOBILECARE - NEWPOINT MALL")</f>
        <v>MOBILECARE - NEWPOINT MALL</v>
      </c>
      <c r="D4657" s="2" t="str">
        <f>IFERROR(__xludf.DUMMYFUNCTION("""COMPUTED_VALUE"""),"661-17920")</f>
        <v>661-17920</v>
      </c>
      <c r="E4657" s="2" t="str">
        <f>IFERROR(__xludf.DUMMYFUNCTION("""COMPUTED_VALUE"""),"Battery, iPhone 12 and 12 Pro")</f>
        <v>Battery, iPhone 12 and 12 Pro</v>
      </c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</row>
    <row r="4658">
      <c r="A4658" s="10" t="str">
        <f t="shared" si="1"/>
        <v>June</v>
      </c>
      <c r="B4658" s="11">
        <f>IFERROR(__xludf.DUMMYFUNCTION("""COMPUTED_VALUE"""),46182.0)</f>
        <v>46182</v>
      </c>
      <c r="C4658" s="2" t="str">
        <f>IFERROR(__xludf.DUMMYFUNCTION("""COMPUTED_VALUE"""),"MOBILECARE - NEWPOINT MALL")</f>
        <v>MOBILECARE - NEWPOINT MALL</v>
      </c>
      <c r="D4658" s="2" t="str">
        <f>IFERROR(__xludf.DUMMYFUNCTION("""COMPUTED_VALUE"""),"661-22294")</f>
        <v>661-22294</v>
      </c>
      <c r="E4658" s="2" t="str">
        <f>IFERROR(__xludf.DUMMYFUNCTION("""COMPUTED_VALUE"""),"Battery, iPhone 13 Pro Max")</f>
        <v>Battery, iPhone 13 Pro Max</v>
      </c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</row>
    <row r="4659">
      <c r="A4659" s="10" t="str">
        <f t="shared" si="1"/>
        <v>May</v>
      </c>
      <c r="B4659" s="11">
        <f>IFERROR(__xludf.DUMMYFUNCTION("""COMPUTED_VALUE"""),46166.0)</f>
        <v>46166</v>
      </c>
      <c r="C4659" s="2" t="str">
        <f>IFERROR(__xludf.DUMMYFUNCTION("""COMPUTED_VALUE"""),"MOBILECARE - NEWPOINT MALL")</f>
        <v>MOBILECARE - NEWPOINT MALL</v>
      </c>
      <c r="D4659" s="2" t="str">
        <f>IFERROR(__xludf.DUMMYFUNCTION("""COMPUTED_VALUE"""),"661-36915")</f>
        <v>661-36915</v>
      </c>
      <c r="E4659" s="2" t="str">
        <f>IFERROR(__xludf.DUMMYFUNCTION("""COMPUTED_VALUE"""),"Display, iPhone 15 Pro Max")</f>
        <v>Display, iPhone 15 Pro Max</v>
      </c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</row>
    <row r="4660">
      <c r="A4660" s="10" t="str">
        <f t="shared" si="1"/>
        <v>April</v>
      </c>
      <c r="B4660" s="11">
        <f>IFERROR(__xludf.DUMMYFUNCTION("""COMPUTED_VALUE"""),46134.0)</f>
        <v>46134</v>
      </c>
      <c r="C4660" s="2" t="str">
        <f>IFERROR(__xludf.DUMMYFUNCTION("""COMPUTED_VALUE"""),"MOBILECARE - NEWPOINT MALL")</f>
        <v>MOBILECARE - NEWPOINT MALL</v>
      </c>
      <c r="D4660" s="2" t="str">
        <f>IFERROR(__xludf.DUMMYFUNCTION("""COMPUTED_VALUE"""),"661-30366")</f>
        <v>661-30366</v>
      </c>
      <c r="E4660" s="2" t="str">
        <f>IFERROR(__xludf.DUMMYFUNCTION("""COMPUTED_VALUE"""),"Display, iPhone 14")</f>
        <v>Display, iPhone 14</v>
      </c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</row>
    <row r="4661">
      <c r="A4661" s="10" t="str">
        <f t="shared" si="1"/>
        <v>April</v>
      </c>
      <c r="B4661" s="11">
        <f>IFERROR(__xludf.DUMMYFUNCTION("""COMPUTED_VALUE"""),46125.0)</f>
        <v>46125</v>
      </c>
      <c r="C4661" s="2" t="str">
        <f>IFERROR(__xludf.DUMMYFUNCTION("""COMPUTED_VALUE"""),"MOBILECARE - NEWPOINT MALL")</f>
        <v>MOBILECARE - NEWPOINT MALL</v>
      </c>
      <c r="D4661" s="2" t="str">
        <f>IFERROR(__xludf.DUMMYFUNCTION("""COMPUTED_VALUE"""),"661-22374")</f>
        <v>661-22374</v>
      </c>
      <c r="E4661" s="2" t="str">
        <f>IFERROR(__xludf.DUMMYFUNCTION("""COMPUTED_VALUE"""),"Battery, iPhone 13 mini")</f>
        <v>Battery, iPhone 13 mini</v>
      </c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</row>
    <row r="4662">
      <c r="A4662" s="10" t="str">
        <f t="shared" si="1"/>
        <v>April</v>
      </c>
      <c r="B4662" s="11">
        <f>IFERROR(__xludf.DUMMYFUNCTION("""COMPUTED_VALUE"""),46121.0)</f>
        <v>46121</v>
      </c>
      <c r="C4662" s="2" t="str">
        <f>IFERROR(__xludf.DUMMYFUNCTION("""COMPUTED_VALUE"""),"MOBILECARE - NEWPOINT MALL")</f>
        <v>MOBILECARE - NEWPOINT MALL</v>
      </c>
      <c r="D4662" s="2" t="str">
        <f>IFERROR(__xludf.DUMMYFUNCTION("""COMPUTED_VALUE"""),"661-21988")</f>
        <v>661-21988</v>
      </c>
      <c r="E4662" s="2" t="str">
        <f>IFERROR(__xludf.DUMMYFUNCTION("""COMPUTED_VALUE"""),"Display, iPhone 13")</f>
        <v>Display, iPhone 13</v>
      </c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</row>
    <row r="4663">
      <c r="A4663" s="10" t="str">
        <f t="shared" si="1"/>
        <v>March</v>
      </c>
      <c r="B4663" s="11">
        <f>IFERROR(__xludf.DUMMYFUNCTION("""COMPUTED_VALUE"""),46107.0)</f>
        <v>46107</v>
      </c>
      <c r="C4663" s="2" t="str">
        <f>IFERROR(__xludf.DUMMYFUNCTION("""COMPUTED_VALUE"""),"MOBILECARE - NEWPOINT MALL")</f>
        <v>MOBILECARE - NEWPOINT MALL</v>
      </c>
      <c r="D4663" s="2" t="str">
        <f>IFERROR(__xludf.DUMMYFUNCTION("""COMPUTED_VALUE"""),"661-21991")</f>
        <v>661-21991</v>
      </c>
      <c r="E4663" s="2" t="str">
        <f>IFERROR(__xludf.DUMMYFUNCTION("""COMPUTED_VALUE"""),"Battery, iPhone 13")</f>
        <v>Battery, iPhone 13</v>
      </c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</row>
    <row r="4664">
      <c r="A4664" s="10" t="str">
        <f t="shared" si="1"/>
        <v>March</v>
      </c>
      <c r="B4664" s="11">
        <f>IFERROR(__xludf.DUMMYFUNCTION("""COMPUTED_VALUE"""),46085.0)</f>
        <v>46085</v>
      </c>
      <c r="C4664" s="2" t="str">
        <f>IFERROR(__xludf.DUMMYFUNCTION("""COMPUTED_VALUE"""),"MOBILECARE - NEWPOINT MALL")</f>
        <v>MOBILECARE - NEWPOINT MALL</v>
      </c>
      <c r="D4664" s="2" t="str">
        <f>IFERROR(__xludf.DUMMYFUNCTION("""COMPUTED_VALUE"""),"661-15741")</f>
        <v>661-15741</v>
      </c>
      <c r="E4664" s="2" t="str">
        <f>IFERROR(__xludf.DUMMYFUNCTION("""COMPUTED_VALUE"""),"Battery, iPhone SE 2nd gen")</f>
        <v>Battery, iPhone SE 2nd gen</v>
      </c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</row>
    <row r="4665">
      <c r="A4665" s="10" t="str">
        <f t="shared" si="1"/>
        <v>March</v>
      </c>
      <c r="B4665" s="11">
        <f>IFERROR(__xludf.DUMMYFUNCTION("""COMPUTED_VALUE"""),46092.0)</f>
        <v>46092</v>
      </c>
      <c r="C4665" s="2" t="str">
        <f>IFERROR(__xludf.DUMMYFUNCTION("""COMPUTED_VALUE"""),"MOBILECARE - NEWPOINT MALL")</f>
        <v>MOBILECARE - NEWPOINT MALL</v>
      </c>
      <c r="D4665" s="2" t="str">
        <f>IFERROR(__xludf.DUMMYFUNCTION("""COMPUTED_VALUE"""),"PP661-22987")</f>
        <v>PP661-22987</v>
      </c>
      <c r="E4665" s="2" t="str">
        <f>IFERROR(__xludf.DUMMYFUNCTION("""COMPUTED_VALUE"""),"Pink, 256 GB, iPhone 13, ROW, CI/AR, Philippines")</f>
        <v>Pink, 256 GB, iPhone 13, ROW, CI/AR, Philippines</v>
      </c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</row>
    <row r="4666">
      <c r="A4666" s="10" t="str">
        <f t="shared" si="1"/>
        <v>February</v>
      </c>
      <c r="B4666" s="11">
        <f>IFERROR(__xludf.DUMMYFUNCTION("""COMPUTED_VALUE"""),46078.0)</f>
        <v>46078</v>
      </c>
      <c r="C4666" s="2" t="str">
        <f>IFERROR(__xludf.DUMMYFUNCTION("""COMPUTED_VALUE"""),"MOBILECARE - NEWPOINT MALL")</f>
        <v>MOBILECARE - NEWPOINT MALL</v>
      </c>
      <c r="D4666" s="2" t="str">
        <f>IFERROR(__xludf.DUMMYFUNCTION("""COMPUTED_VALUE"""),"661-13574")</f>
        <v>661-13574</v>
      </c>
      <c r="E4666" s="2" t="str">
        <f>IFERROR(__xludf.DUMMYFUNCTION("""COMPUTED_VALUE"""),"Battery, iPhone 11")</f>
        <v>Battery, iPhone 11</v>
      </c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</row>
    <row r="4667">
      <c r="A4667" s="10" t="str">
        <f t="shared" si="1"/>
        <v>February</v>
      </c>
      <c r="B4667" s="11">
        <f>IFERROR(__xludf.DUMMYFUNCTION("""COMPUTED_VALUE"""),46063.0)</f>
        <v>46063</v>
      </c>
      <c r="C4667" s="2" t="str">
        <f>IFERROR(__xludf.DUMMYFUNCTION("""COMPUTED_VALUE"""),"MOBILECARE - NEWPOINT MALL")</f>
        <v>MOBILECARE - NEWPOINT MALL</v>
      </c>
      <c r="D4667" s="2" t="str">
        <f>IFERROR(__xludf.DUMMYFUNCTION("""COMPUTED_VALUE"""),"661-44798")</f>
        <v>661-44798</v>
      </c>
      <c r="E4667" s="2" t="str">
        <f>IFERROR(__xludf.DUMMYFUNCTION("""COMPUTED_VALUE"""),"TrueDepth Camera, iPhone 16")</f>
        <v>TrueDepth Camera, iPhone 16</v>
      </c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</row>
    <row r="4668">
      <c r="A4668" s="10" t="str">
        <f t="shared" si="1"/>
        <v>February</v>
      </c>
      <c r="B4668" s="11">
        <f>IFERROR(__xludf.DUMMYFUNCTION("""COMPUTED_VALUE"""),46064.0)</f>
        <v>46064</v>
      </c>
      <c r="C4668" s="2" t="str">
        <f>IFERROR(__xludf.DUMMYFUNCTION("""COMPUTED_VALUE"""),"MOBILECARE - NEWPOINT MALL")</f>
        <v>MOBILECARE - NEWPOINT MALL</v>
      </c>
      <c r="D4668" s="2" t="str">
        <f>IFERROR(__xludf.DUMMYFUNCTION("""COMPUTED_VALUE"""),"PP661-28868")</f>
        <v>PP661-28868</v>
      </c>
      <c r="E4668" s="2" t="str">
        <f>IFERROR(__xludf.DUMMYFUNCTION("""COMPUTED_VALUE"""),"iPhone 14, Midnight, 128GB, Logic Board Assy Mid System, ROW")</f>
        <v>iPhone 14, Midnight, 128GB, Logic Board Assy Mid System, ROW</v>
      </c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</row>
    <row r="4669">
      <c r="A4669" s="10" t="str">
        <f t="shared" si="1"/>
        <v>June</v>
      </c>
      <c r="B4669" s="11">
        <f>IFERROR(__xludf.DUMMYFUNCTION("""COMPUTED_VALUE"""),46192.0)</f>
        <v>46192</v>
      </c>
      <c r="C4669" s="2" t="str">
        <f>IFERROR(__xludf.DUMMYFUNCTION("""COMPUTED_VALUE"""),"MOBILECARE - NEWPOINT MALL")</f>
        <v>MOBILECARE - NEWPOINT MALL</v>
      </c>
      <c r="D4669" s="2" t="str">
        <f>IFERROR(__xludf.DUMMYFUNCTION("""COMPUTED_VALUE"""),"661-44797")</f>
        <v>661-44797</v>
      </c>
      <c r="E4669" s="2" t="str">
        <f>IFERROR(__xludf.DUMMYFUNCTION("""COMPUTED_VALUE"""),"Display, iPhone 16")</f>
        <v>Display, iPhone 16</v>
      </c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</row>
    <row r="4670">
      <c r="A4670" s="10" t="str">
        <f t="shared" si="1"/>
        <v>May</v>
      </c>
      <c r="B4670" s="11">
        <f>IFERROR(__xludf.DUMMYFUNCTION("""COMPUTED_VALUE"""),46172.0)</f>
        <v>46172</v>
      </c>
      <c r="C4670" s="2" t="str">
        <f>IFERROR(__xludf.DUMMYFUNCTION("""COMPUTED_VALUE"""),"MOBILECARE - NEWPOINT MALL")</f>
        <v>MOBILECARE - NEWPOINT MALL</v>
      </c>
      <c r="D4670" s="2" t="str">
        <f>IFERROR(__xludf.DUMMYFUNCTION("""COMPUTED_VALUE"""),"661-56050")</f>
        <v>661-56050</v>
      </c>
      <c r="E4670" s="2" t="str">
        <f>IFERROR(__xludf.DUMMYFUNCTION("""COMPUTED_VALUE"""),"Display, iPhone 17 Pro Max")</f>
        <v>Display, iPhone 17 Pro Max</v>
      </c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</row>
    <row r="4671">
      <c r="A4671" s="10" t="str">
        <f t="shared" si="1"/>
        <v>April</v>
      </c>
      <c r="B4671" s="11">
        <f>IFERROR(__xludf.DUMMYFUNCTION("""COMPUTED_VALUE"""),46136.0)</f>
        <v>46136</v>
      </c>
      <c r="C4671" s="2" t="str">
        <f>IFERROR(__xludf.DUMMYFUNCTION("""COMPUTED_VALUE"""),"MOBILECARE - NEWPOINT MALL")</f>
        <v>MOBILECARE - NEWPOINT MALL</v>
      </c>
      <c r="D4671" s="2" t="str">
        <f>IFERROR(__xludf.DUMMYFUNCTION("""COMPUTED_VALUE"""),"Z661-56015")</f>
        <v>Z661-56015</v>
      </c>
      <c r="E4671" s="2" t="str">
        <f>IFERROR(__xludf.DUMMYFUNCTION("""COMPUTED_VALUE"""),"Logic Board, 256GB, iPhone 17, ROW")</f>
        <v>Logic Board, 256GB, iPhone 17, ROW</v>
      </c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</row>
    <row r="4672">
      <c r="A4672" s="10" t="str">
        <f t="shared" si="1"/>
        <v>April</v>
      </c>
      <c r="B4672" s="11">
        <f>IFERROR(__xludf.DUMMYFUNCTION("""COMPUTED_VALUE"""),46124.0)</f>
        <v>46124</v>
      </c>
      <c r="C4672" s="2" t="str">
        <f>IFERROR(__xludf.DUMMYFUNCTION("""COMPUTED_VALUE"""),"MOBILECARE - NEWPOINT MALL")</f>
        <v>MOBILECARE - NEWPOINT MALL</v>
      </c>
      <c r="D4672" s="2" t="str">
        <f>IFERROR(__xludf.DUMMYFUNCTION("""COMPUTED_VALUE"""),"661-56127")</f>
        <v>661-56127</v>
      </c>
      <c r="E4672" s="2" t="str">
        <f>IFERROR(__xludf.DUMMYFUNCTION("""COMPUTED_VALUE"""),"Camera, iPhone 17 Pro")</f>
        <v>Camera, iPhone 17 Pro</v>
      </c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</row>
    <row r="4673">
      <c r="A4673" s="10" t="str">
        <f t="shared" si="1"/>
        <v>April</v>
      </c>
      <c r="B4673" s="11">
        <f>IFERROR(__xludf.DUMMYFUNCTION("""COMPUTED_VALUE"""),46124.0)</f>
        <v>46124</v>
      </c>
      <c r="C4673" s="2" t="str">
        <f>IFERROR(__xludf.DUMMYFUNCTION("""COMPUTED_VALUE"""),"MOBILECARE - NEWPOINT MALL")</f>
        <v>MOBILECARE - NEWPOINT MALL</v>
      </c>
      <c r="D4673" s="2" t="str">
        <f>IFERROR(__xludf.DUMMYFUNCTION("""COMPUTED_VALUE"""),"661-56126")</f>
        <v>661-56126</v>
      </c>
      <c r="E4673" s="2" t="str">
        <f>IFERROR(__xludf.DUMMYFUNCTION("""COMPUTED_VALUE"""),"Front Camera, iPhone 17 Pro")</f>
        <v>Front Camera, iPhone 17 Pro</v>
      </c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</row>
    <row r="4674">
      <c r="A4674" s="10" t="str">
        <f t="shared" si="1"/>
        <v>March</v>
      </c>
      <c r="B4674" s="11">
        <f>IFERROR(__xludf.DUMMYFUNCTION("""COMPUTED_VALUE"""),46088.0)</f>
        <v>46088</v>
      </c>
      <c r="C4674" s="2" t="str">
        <f>IFERROR(__xludf.DUMMYFUNCTION("""COMPUTED_VALUE"""),"MOBILECARE - NEWPOINT MALL")</f>
        <v>MOBILECARE - NEWPOINT MALL</v>
      </c>
      <c r="D4674" s="2" t="str">
        <f>IFERROR(__xludf.DUMMYFUNCTION("""COMPUTED_VALUE"""),"661-21996")</f>
        <v>661-21996</v>
      </c>
      <c r="E4674" s="2" t="str">
        <f>IFERROR(__xludf.DUMMYFUNCTION("""COMPUTED_VALUE"""),"Battery, iPhone 13 Pro")</f>
        <v>Battery, iPhone 13 Pro</v>
      </c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</row>
    <row r="4675">
      <c r="A4675" s="10" t="str">
        <f t="shared" si="1"/>
        <v>March</v>
      </c>
      <c r="B4675" s="11">
        <f>IFERROR(__xludf.DUMMYFUNCTION("""COMPUTED_VALUE"""),46098.0)</f>
        <v>46098</v>
      </c>
      <c r="C4675" s="2" t="str">
        <f>IFERROR(__xludf.DUMMYFUNCTION("""COMPUTED_VALUE"""),"MOBILECARE - NEWPOINT MALL")</f>
        <v>MOBILECARE - NEWPOINT MALL</v>
      </c>
      <c r="D4675" s="2" t="str">
        <f>IFERROR(__xludf.DUMMYFUNCTION("""COMPUTED_VALUE"""),"PP661-23455")</f>
        <v>PP661-23455</v>
      </c>
      <c r="E4675" s="2" t="str">
        <f>IFERROR(__xludf.DUMMYFUNCTION("""COMPUTED_VALUE"""),"iPhone 13, Starlight, 128GB, Logic Board Assy Rear System, ROW")</f>
        <v>iPhone 13, Starlight, 128GB, Logic Board Assy Rear System, ROW</v>
      </c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</row>
    <row r="4676">
      <c r="A4676" s="10" t="str">
        <f t="shared" si="1"/>
        <v>March</v>
      </c>
      <c r="B4676" s="11">
        <f>IFERROR(__xludf.DUMMYFUNCTION("""COMPUTED_VALUE"""),46092.0)</f>
        <v>46092</v>
      </c>
      <c r="C4676" s="2" t="str">
        <f>IFERROR(__xludf.DUMMYFUNCTION("""COMPUTED_VALUE"""),"MOBILECARE - NEWPOINT MALL")</f>
        <v>MOBILECARE - NEWPOINT MALL</v>
      </c>
      <c r="D4676" s="2" t="str">
        <f>IFERROR(__xludf.DUMMYFUNCTION("""COMPUTED_VALUE"""),"PP661-23455")</f>
        <v>PP661-23455</v>
      </c>
      <c r="E4676" s="2" t="str">
        <f>IFERROR(__xludf.DUMMYFUNCTION("""COMPUTED_VALUE"""),"iPhone 13, Starlight, 128GB, Logic Board Assy Rear System, ROW")</f>
        <v>iPhone 13, Starlight, 128GB, Logic Board Assy Rear System, ROW</v>
      </c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</row>
    <row r="4677">
      <c r="A4677" s="10" t="str">
        <f t="shared" si="1"/>
        <v>March</v>
      </c>
      <c r="B4677" s="11">
        <f>IFERROR(__xludf.DUMMYFUNCTION("""COMPUTED_VALUE"""),46083.0)</f>
        <v>46083</v>
      </c>
      <c r="C4677" s="2" t="str">
        <f>IFERROR(__xludf.DUMMYFUNCTION("""COMPUTED_VALUE"""),"MOBILECARE - NEWPOINT MALL")</f>
        <v>MOBILECARE - NEWPOINT MALL</v>
      </c>
      <c r="D4677" s="2" t="str">
        <f>IFERROR(__xludf.DUMMYFUNCTION("""COMPUTED_VALUE"""),"661-44955")</f>
        <v>661-44955</v>
      </c>
      <c r="E4677" s="2" t="str">
        <f>IFERROR(__xludf.DUMMYFUNCTION("""COMPUTED_VALUE"""),"Display, iPhone 16 Pro Max")</f>
        <v>Display, iPhone 16 Pro Max</v>
      </c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</row>
    <row r="4678">
      <c r="A4678" s="10" t="str">
        <f t="shared" si="1"/>
        <v>March</v>
      </c>
      <c r="B4678" s="11">
        <f>IFERROR(__xludf.DUMMYFUNCTION("""COMPUTED_VALUE"""),46090.0)</f>
        <v>46090</v>
      </c>
      <c r="C4678" s="2" t="str">
        <f>IFERROR(__xludf.DUMMYFUNCTION("""COMPUTED_VALUE"""),"MOBILECARE - NEWPOINT MALL")</f>
        <v>MOBILECARE - NEWPOINT MALL</v>
      </c>
      <c r="D4678" s="2" t="str">
        <f>IFERROR(__xludf.DUMMYFUNCTION("""COMPUTED_VALUE"""),"PP661-23454")</f>
        <v>PP661-23454</v>
      </c>
      <c r="E4678" s="2" t="str">
        <f>IFERROR(__xludf.DUMMYFUNCTION("""COMPUTED_VALUE"""),"iPhone 13, Midnight, 128GB, Logic Board Assy Rear System, ROW")</f>
        <v>iPhone 13, Midnight, 128GB, Logic Board Assy Rear System, ROW</v>
      </c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</row>
    <row r="4679">
      <c r="A4679" s="10" t="str">
        <f t="shared" si="1"/>
        <v>February</v>
      </c>
      <c r="B4679" s="11">
        <f>IFERROR(__xludf.DUMMYFUNCTION("""COMPUTED_VALUE"""),46060.0)</f>
        <v>46060</v>
      </c>
      <c r="C4679" s="2" t="str">
        <f>IFERROR(__xludf.DUMMYFUNCTION("""COMPUTED_VALUE"""),"MOBILECARE - NEWPOINT MALL")</f>
        <v>MOBILECARE - NEWPOINT MALL</v>
      </c>
      <c r="D4679" s="2" t="str">
        <f>IFERROR(__xludf.DUMMYFUNCTION("""COMPUTED_VALUE"""),"661-18428")</f>
        <v>661-18428</v>
      </c>
      <c r="E4679" s="2" t="str">
        <f>IFERROR(__xludf.DUMMYFUNCTION("""COMPUTED_VALUE"""),"Battery, iPhone 12 Pro Max")</f>
        <v>Battery, iPhone 12 Pro Max</v>
      </c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</row>
    <row r="4680">
      <c r="A4680" s="10" t="str">
        <f t="shared" si="1"/>
        <v>February</v>
      </c>
      <c r="B4680" s="11">
        <f>IFERROR(__xludf.DUMMYFUNCTION("""COMPUTED_VALUE"""),46057.0)</f>
        <v>46057</v>
      </c>
      <c r="C4680" s="2" t="str">
        <f>IFERROR(__xludf.DUMMYFUNCTION("""COMPUTED_VALUE"""),"MOBILECARE - NEWPOINT MALL")</f>
        <v>MOBILECARE - NEWPOINT MALL</v>
      </c>
      <c r="D4680" s="2" t="str">
        <f>IFERROR(__xludf.DUMMYFUNCTION("""COMPUTED_VALUE"""),"661-30397")</f>
        <v>661-30397</v>
      </c>
      <c r="E4680" s="2" t="str">
        <f>IFERROR(__xludf.DUMMYFUNCTION("""COMPUTED_VALUE"""),"Battery, iPhone 14 Pro Max")</f>
        <v>Battery, iPhone 14 Pro Max</v>
      </c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</row>
    <row r="4681">
      <c r="A4681" s="10" t="str">
        <f t="shared" si="1"/>
        <v>February</v>
      </c>
      <c r="B4681" s="11">
        <f>IFERROR(__xludf.DUMMYFUNCTION("""COMPUTED_VALUE"""),46064.0)</f>
        <v>46064</v>
      </c>
      <c r="C4681" s="2" t="str">
        <f>IFERROR(__xludf.DUMMYFUNCTION("""COMPUTED_VALUE"""),"MOBILECARE - NEWPOINT MALL")</f>
        <v>MOBILECARE - NEWPOINT MALL</v>
      </c>
      <c r="D4681" s="2" t="str">
        <f>IFERROR(__xludf.DUMMYFUNCTION("""COMPUTED_VALUE"""),"661-30397")</f>
        <v>661-30397</v>
      </c>
      <c r="E4681" s="2" t="str">
        <f>IFERROR(__xludf.DUMMYFUNCTION("""COMPUTED_VALUE"""),"Battery, iPhone 14 Pro Max")</f>
        <v>Battery, iPhone 14 Pro Max</v>
      </c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</row>
    <row r="4682">
      <c r="A4682" s="10" t="str">
        <f t="shared" si="1"/>
        <v>February</v>
      </c>
      <c r="B4682" s="11">
        <f>IFERROR(__xludf.DUMMYFUNCTION("""COMPUTED_VALUE"""),46060.0)</f>
        <v>46060</v>
      </c>
      <c r="C4682" s="2" t="str">
        <f>IFERROR(__xludf.DUMMYFUNCTION("""COMPUTED_VALUE"""),"MOBILECARE - NEWPOINT MALL")</f>
        <v>MOBILECARE - NEWPOINT MALL</v>
      </c>
      <c r="D4682" s="2" t="str">
        <f>IFERROR(__xludf.DUMMYFUNCTION("""COMPUTED_VALUE"""),"661-44797")</f>
        <v>661-44797</v>
      </c>
      <c r="E4682" s="2" t="str">
        <f>IFERROR(__xludf.DUMMYFUNCTION("""COMPUTED_VALUE"""),"Display, iPhone 16")</f>
        <v>Display, iPhone 16</v>
      </c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</row>
    <row r="4683">
      <c r="A4683" s="10" t="str">
        <f t="shared" si="1"/>
        <v>January</v>
      </c>
      <c r="B4683" s="11">
        <f>IFERROR(__xludf.DUMMYFUNCTION("""COMPUTED_VALUE"""),46051.0)</f>
        <v>46051</v>
      </c>
      <c r="C4683" s="2" t="str">
        <f>IFERROR(__xludf.DUMMYFUNCTION("""COMPUTED_VALUE"""),"MOBILECARE - NEWPOINT MALL")</f>
        <v>MOBILECARE - NEWPOINT MALL</v>
      </c>
      <c r="D4683" s="2" t="str">
        <f>IFERROR(__xludf.DUMMYFUNCTION("""COMPUTED_VALUE"""),"661-21991")</f>
        <v>661-21991</v>
      </c>
      <c r="E4683" s="2" t="str">
        <f>IFERROR(__xludf.DUMMYFUNCTION("""COMPUTED_VALUE"""),"Battery, iPhone 13")</f>
        <v>Battery, iPhone 13</v>
      </c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</row>
    <row r="4684">
      <c r="A4684" s="10" t="str">
        <f t="shared" si="1"/>
        <v>February</v>
      </c>
      <c r="B4684" s="11">
        <f>IFERROR(__xludf.DUMMYFUNCTION("""COMPUTED_VALUE"""),46069.0)</f>
        <v>46069</v>
      </c>
      <c r="C4684" s="2" t="str">
        <f>IFERROR(__xludf.DUMMYFUNCTION("""COMPUTED_VALUE"""),"MOBILECARE - NEWPOINT MALL")</f>
        <v>MOBILECARE - NEWPOINT MALL</v>
      </c>
      <c r="D4684" s="2" t="str">
        <f>IFERROR(__xludf.DUMMYFUNCTION("""COMPUTED_VALUE"""),"PP661-23455")</f>
        <v>PP661-23455</v>
      </c>
      <c r="E4684" s="2" t="str">
        <f>IFERROR(__xludf.DUMMYFUNCTION("""COMPUTED_VALUE"""),"iPhone 13, Starlight, 128GB, Logic Board Assy Rear System, ROW")</f>
        <v>iPhone 13, Starlight, 128GB, Logic Board Assy Rear System, ROW</v>
      </c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</row>
    <row r="4685">
      <c r="A4685" s="10" t="str">
        <f t="shared" si="1"/>
        <v>January</v>
      </c>
      <c r="B4685" s="11">
        <f>IFERROR(__xludf.DUMMYFUNCTION("""COMPUTED_VALUE"""),46045.0)</f>
        <v>46045</v>
      </c>
      <c r="C4685" s="2" t="str">
        <f>IFERROR(__xludf.DUMMYFUNCTION("""COMPUTED_VALUE"""),"MOBILECARE - NEWPOINT MALL")</f>
        <v>MOBILECARE - NEWPOINT MALL</v>
      </c>
      <c r="D4685" s="2" t="str">
        <f>IFERROR(__xludf.DUMMYFUNCTION("""COMPUTED_VALUE"""),"661-21988")</f>
        <v>661-21988</v>
      </c>
      <c r="E4685" s="2" t="str">
        <f>IFERROR(__xludf.DUMMYFUNCTION("""COMPUTED_VALUE"""),"Display, iPhone 13")</f>
        <v>Display, iPhone 13</v>
      </c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</row>
    <row r="4686">
      <c r="A4686" s="10" t="str">
        <f t="shared" si="1"/>
        <v>June</v>
      </c>
      <c r="B4686" s="11">
        <f>IFERROR(__xludf.DUMMYFUNCTION("""COMPUTED_VALUE"""),46185.0)</f>
        <v>46185</v>
      </c>
      <c r="C4686" s="2" t="str">
        <f>IFERROR(__xludf.DUMMYFUNCTION("""COMPUTED_VALUE"""),"MOBILECARE - NEWPOINT MALL")</f>
        <v>MOBILECARE - NEWPOINT MALL</v>
      </c>
      <c r="D4686" s="2" t="str">
        <f>IFERROR(__xludf.DUMMYFUNCTION("""COMPUTED_VALUE"""),"923-13580")</f>
        <v>923-13580</v>
      </c>
      <c r="E4686" s="2" t="str">
        <f>IFERROR(__xludf.DUMMYFUNCTION("""COMPUTED_VALUE"""),"Speaker, pSIM, iPhone 17 Pro Max")</f>
        <v>Speaker, pSIM, iPhone 17 Pro Max</v>
      </c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</row>
    <row r="4687">
      <c r="A4687" s="10" t="str">
        <f t="shared" si="1"/>
        <v>May</v>
      </c>
      <c r="B4687" s="11">
        <f>IFERROR(__xludf.DUMMYFUNCTION("""COMPUTED_VALUE"""),46157.0)</f>
        <v>46157</v>
      </c>
      <c r="C4687" s="2" t="str">
        <f>IFERROR(__xludf.DUMMYFUNCTION("""COMPUTED_VALUE"""),"MOBILECARE - NEWPOINT MALL")</f>
        <v>MOBILECARE - NEWPOINT MALL</v>
      </c>
      <c r="D4687" s="2" t="str">
        <f>IFERROR(__xludf.DUMMYFUNCTION("""COMPUTED_VALUE"""),"661-22294")</f>
        <v>661-22294</v>
      </c>
      <c r="E4687" s="2" t="str">
        <f>IFERROR(__xludf.DUMMYFUNCTION("""COMPUTED_VALUE"""),"Battery, iPhone 13 Pro Max")</f>
        <v>Battery, iPhone 13 Pro Max</v>
      </c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</row>
    <row r="4688">
      <c r="A4688" s="10" t="str">
        <f t="shared" si="1"/>
        <v>April</v>
      </c>
      <c r="B4688" s="11">
        <f>IFERROR(__xludf.DUMMYFUNCTION("""COMPUTED_VALUE"""),46131.0)</f>
        <v>46131</v>
      </c>
      <c r="C4688" s="2" t="str">
        <f>IFERROR(__xludf.DUMMYFUNCTION("""COMPUTED_VALUE"""),"MOBILECARE - NEWPOINT MALL")</f>
        <v>MOBILECARE - NEWPOINT MALL</v>
      </c>
      <c r="D4688" s="2" t="str">
        <f>IFERROR(__xludf.DUMMYFUNCTION("""COMPUTED_VALUE"""),"661-21991")</f>
        <v>661-21991</v>
      </c>
      <c r="E4688" s="2" t="str">
        <f>IFERROR(__xludf.DUMMYFUNCTION("""COMPUTED_VALUE"""),"Battery, iPhone 13")</f>
        <v>Battery, iPhone 13</v>
      </c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</row>
    <row r="4689">
      <c r="A4689" s="10" t="str">
        <f t="shared" si="1"/>
        <v>March</v>
      </c>
      <c r="B4689" s="11">
        <f>IFERROR(__xludf.DUMMYFUNCTION("""COMPUTED_VALUE"""),46109.0)</f>
        <v>46109</v>
      </c>
      <c r="C4689" s="2" t="str">
        <f>IFERROR(__xludf.DUMMYFUNCTION("""COMPUTED_VALUE"""),"MOBILECARE - NEWPOINT MALL")</f>
        <v>MOBILECARE - NEWPOINT MALL</v>
      </c>
      <c r="D4689" s="2" t="str">
        <f>IFERROR(__xludf.DUMMYFUNCTION("""COMPUTED_VALUE"""),"661-18428")</f>
        <v>661-18428</v>
      </c>
      <c r="E4689" s="2" t="str">
        <f>IFERROR(__xludf.DUMMYFUNCTION("""COMPUTED_VALUE"""),"Battery, iPhone 12 Pro Max")</f>
        <v>Battery, iPhone 12 Pro Max</v>
      </c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</row>
    <row r="4690">
      <c r="A4690" s="10" t="str">
        <f t="shared" si="1"/>
        <v>April</v>
      </c>
      <c r="B4690" s="11">
        <f>IFERROR(__xludf.DUMMYFUNCTION("""COMPUTED_VALUE"""),46117.0)</f>
        <v>46117</v>
      </c>
      <c r="C4690" s="2" t="str">
        <f>IFERROR(__xludf.DUMMYFUNCTION("""COMPUTED_VALUE"""),"MOBILECARE - NEWPOINT MALL")</f>
        <v>MOBILECARE - NEWPOINT MALL</v>
      </c>
      <c r="D4690" s="2" t="str">
        <f>IFERROR(__xludf.DUMMYFUNCTION("""COMPUTED_VALUE"""),"PP661-23454")</f>
        <v>PP661-23454</v>
      </c>
      <c r="E4690" s="2" t="str">
        <f>IFERROR(__xludf.DUMMYFUNCTION("""COMPUTED_VALUE"""),"iPhone 13, Midnight, 128GB, Logic Board Assy Rear System, ROW")</f>
        <v>iPhone 13, Midnight, 128GB, Logic Board Assy Rear System, ROW</v>
      </c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</row>
    <row r="4691">
      <c r="A4691" s="10" t="str">
        <f t="shared" si="1"/>
        <v>March</v>
      </c>
      <c r="B4691" s="11">
        <f>IFERROR(__xludf.DUMMYFUNCTION("""COMPUTED_VALUE"""),46093.0)</f>
        <v>46093</v>
      </c>
      <c r="C4691" s="2" t="str">
        <f>IFERROR(__xludf.DUMMYFUNCTION("""COMPUTED_VALUE"""),"MOBILECARE - NEWPOINT MALL")</f>
        <v>MOBILECARE - NEWPOINT MALL</v>
      </c>
      <c r="D4691" s="2" t="str">
        <f>IFERROR(__xludf.DUMMYFUNCTION("""COMPUTED_VALUE"""),"661-22374")</f>
        <v>661-22374</v>
      </c>
      <c r="E4691" s="2" t="str">
        <f>IFERROR(__xludf.DUMMYFUNCTION("""COMPUTED_VALUE"""),"Battery, iPhone 13 mini")</f>
        <v>Battery, iPhone 13 mini</v>
      </c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</row>
    <row r="4692">
      <c r="A4692" s="10" t="str">
        <f t="shared" si="1"/>
        <v>April</v>
      </c>
      <c r="B4692" s="11">
        <f>IFERROR(__xludf.DUMMYFUNCTION("""COMPUTED_VALUE"""),46116.0)</f>
        <v>46116</v>
      </c>
      <c r="C4692" s="2" t="str">
        <f>IFERROR(__xludf.DUMMYFUNCTION("""COMPUTED_VALUE"""),"MOBILECARE - NEWPOINT MALL")</f>
        <v>MOBILECARE - NEWPOINT MALL</v>
      </c>
      <c r="D4692" s="2" t="str">
        <f>IFERROR(__xludf.DUMMYFUNCTION("""COMPUTED_VALUE"""),"PP661-23455")</f>
        <v>PP661-23455</v>
      </c>
      <c r="E4692" s="2" t="str">
        <f>IFERROR(__xludf.DUMMYFUNCTION("""COMPUTED_VALUE"""),"iPhone 13, Starlight, 128GB, Logic Board Assy Rear System, ROW")</f>
        <v>iPhone 13, Starlight, 128GB, Logic Board Assy Rear System, ROW</v>
      </c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</row>
    <row r="4693">
      <c r="A4693" s="10" t="str">
        <f t="shared" si="1"/>
        <v>March</v>
      </c>
      <c r="B4693" s="11">
        <f>IFERROR(__xludf.DUMMYFUNCTION("""COMPUTED_VALUE"""),46094.0)</f>
        <v>46094</v>
      </c>
      <c r="C4693" s="2" t="str">
        <f>IFERROR(__xludf.DUMMYFUNCTION("""COMPUTED_VALUE"""),"MOBILECARE - NEWPOINT MALL")</f>
        <v>MOBILECARE - NEWPOINT MALL</v>
      </c>
      <c r="D4693" s="2" t="str">
        <f>IFERROR(__xludf.DUMMYFUNCTION("""COMPUTED_VALUE"""),"661-42726")</f>
        <v>661-42726</v>
      </c>
      <c r="E4693" s="2" t="str">
        <f>IFERROR(__xludf.DUMMYFUNCTION("""COMPUTED_VALUE"""),"Display, iPhone 16 Pro")</f>
        <v>Display, iPhone 16 Pro</v>
      </c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</row>
    <row r="4694">
      <c r="A4694" s="10" t="str">
        <f t="shared" si="1"/>
        <v>March</v>
      </c>
      <c r="B4694" s="11">
        <f>IFERROR(__xludf.DUMMYFUNCTION("""COMPUTED_VALUE"""),46087.0)</f>
        <v>46087</v>
      </c>
      <c r="C4694" s="2" t="str">
        <f>IFERROR(__xludf.DUMMYFUNCTION("""COMPUTED_VALUE"""),"MOBILECARE - NEWPOINT MALL")</f>
        <v>MOBILECARE - NEWPOINT MALL</v>
      </c>
      <c r="D4694" s="2" t="str">
        <f>IFERROR(__xludf.DUMMYFUNCTION("""COMPUTED_VALUE"""),"661-42726")</f>
        <v>661-42726</v>
      </c>
      <c r="E4694" s="2" t="str">
        <f>IFERROR(__xludf.DUMMYFUNCTION("""COMPUTED_VALUE"""),"Display, iPhone 16 Pro")</f>
        <v>Display, iPhone 16 Pro</v>
      </c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</row>
    <row r="4695">
      <c r="A4695" s="10" t="str">
        <f t="shared" si="1"/>
        <v>March</v>
      </c>
      <c r="B4695" s="11">
        <f>IFERROR(__xludf.DUMMYFUNCTION("""COMPUTED_VALUE"""),46091.0)</f>
        <v>46091</v>
      </c>
      <c r="C4695" s="2" t="str">
        <f>IFERROR(__xludf.DUMMYFUNCTION("""COMPUTED_VALUE"""),"MOBILECARE - NEWPOINT MALL")</f>
        <v>MOBILECARE - NEWPOINT MALL</v>
      </c>
      <c r="D4695" s="2" t="str">
        <f>IFERROR(__xludf.DUMMYFUNCTION("""COMPUTED_VALUE"""),"Z661-55956")</f>
        <v>Z661-55956</v>
      </c>
      <c r="E4695" s="2" t="str">
        <f>IFERROR(__xludf.DUMMYFUNCTION("""COMPUTED_VALUE"""),"Logic Board, 256GB, iPhone 17 Pro Max, ROW")</f>
        <v>Logic Board, 256GB, iPhone 17 Pro Max, ROW</v>
      </c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</row>
    <row r="4696">
      <c r="A4696" s="10" t="str">
        <f t="shared" si="1"/>
        <v>February</v>
      </c>
      <c r="B4696" s="11">
        <f>IFERROR(__xludf.DUMMYFUNCTION("""COMPUTED_VALUE"""),46081.0)</f>
        <v>46081</v>
      </c>
      <c r="C4696" s="2" t="str">
        <f>IFERROR(__xludf.DUMMYFUNCTION("""COMPUTED_VALUE"""),"MOBILECARE - NEWPOINT MALL")</f>
        <v>MOBILECARE - NEWPOINT MALL</v>
      </c>
      <c r="D4696" s="2" t="str">
        <f>IFERROR(__xludf.DUMMYFUNCTION("""COMPUTED_VALUE"""),"TA661-45328")</f>
        <v>TA661-45328</v>
      </c>
      <c r="E4696" s="2" t="str">
        <f>IFERROR(__xludf.DUMMYFUNCTION("""COMPUTED_VALUE"""),"512GB, Natural Titanium, ROW, iPhone 16 Pro Max, Logic Board Assy Mid Sy")</f>
        <v>512GB, Natural Titanium, ROW, iPhone 16 Pro Max, Logic Board Assy Mid Sy</v>
      </c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</row>
    <row r="4697">
      <c r="A4697" s="10" t="str">
        <f t="shared" si="1"/>
        <v>February</v>
      </c>
      <c r="B4697" s="11">
        <f>IFERROR(__xludf.DUMMYFUNCTION("""COMPUTED_VALUE"""),46070.0)</f>
        <v>46070</v>
      </c>
      <c r="C4697" s="2" t="str">
        <f>IFERROR(__xludf.DUMMYFUNCTION("""COMPUTED_VALUE"""),"MOBILECARE - NEWPOINT MALL")</f>
        <v>MOBILECARE - NEWPOINT MALL</v>
      </c>
      <c r="D4697" s="2" t="str">
        <f>IFERROR(__xludf.DUMMYFUNCTION("""COMPUTED_VALUE"""),"PP661-23460")</f>
        <v>PP661-23460</v>
      </c>
      <c r="E4697" s="2" t="str">
        <f>IFERROR(__xludf.DUMMYFUNCTION("""COMPUTED_VALUE"""),"iPhone 13, Starlight, 256GB, Logic Board Assy Rear System, ROW")</f>
        <v>iPhone 13, Starlight, 256GB, Logic Board Assy Rear System, ROW</v>
      </c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</row>
    <row r="4698">
      <c r="A4698" s="10" t="str">
        <f t="shared" si="1"/>
        <v>February</v>
      </c>
      <c r="B4698" s="11">
        <f>IFERROR(__xludf.DUMMYFUNCTION("""COMPUTED_VALUE"""),46064.0)</f>
        <v>46064</v>
      </c>
      <c r="C4698" s="2" t="str">
        <f>IFERROR(__xludf.DUMMYFUNCTION("""COMPUTED_VALUE"""),"MOBILECARE - NEWPOINT MALL")</f>
        <v>MOBILECARE - NEWPOINT MALL</v>
      </c>
      <c r="D4698" s="2" t="str">
        <f>IFERROR(__xludf.DUMMYFUNCTION("""COMPUTED_VALUE"""),"TA661-36696")</f>
        <v>TA661-36696</v>
      </c>
      <c r="E4698" s="2" t="str">
        <f>IFERROR(__xludf.DUMMYFUNCTION("""COMPUTED_VALUE"""),"iPhone 15, Black, 256GB, Logic Board Assy Mid System, ROW")</f>
        <v>iPhone 15, Black, 256GB, Logic Board Assy Mid System, ROW</v>
      </c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</row>
    <row r="4699">
      <c r="A4699" s="10" t="str">
        <f t="shared" si="1"/>
        <v>February</v>
      </c>
      <c r="B4699" s="11">
        <f>IFERROR(__xludf.DUMMYFUNCTION("""COMPUTED_VALUE"""),46054.0)</f>
        <v>46054</v>
      </c>
      <c r="C4699" s="2" t="str">
        <f>IFERROR(__xludf.DUMMYFUNCTION("""COMPUTED_VALUE"""),"MOBILECARE - NEWPOINT MALL")</f>
        <v>MOBILECARE - NEWPOINT MALL</v>
      </c>
      <c r="D4699" s="2" t="str">
        <f>IFERROR(__xludf.DUMMYFUNCTION("""COMPUTED_VALUE"""),"661-22309")</f>
        <v>661-22309</v>
      </c>
      <c r="E4699" s="2" t="str">
        <f>IFERROR(__xludf.DUMMYFUNCTION("""COMPUTED_VALUE"""),"Display, iPhone 13 Pro Max")</f>
        <v>Display, iPhone 13 Pro Max</v>
      </c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</row>
    <row r="4700">
      <c r="A4700" s="10" t="str">
        <f t="shared" si="1"/>
        <v>June</v>
      </c>
      <c r="B4700" s="11">
        <f>IFERROR(__xludf.DUMMYFUNCTION("""COMPUTED_VALUE"""),46174.0)</f>
        <v>46174</v>
      </c>
      <c r="C4700" s="2" t="str">
        <f>IFERROR(__xludf.DUMMYFUNCTION("""COMPUTED_VALUE"""),"MOBILECARE - NEWPOINT MALL")</f>
        <v>MOBILECARE - NEWPOINT MALL</v>
      </c>
      <c r="D4700" s="2" t="str">
        <f>IFERROR(__xludf.DUMMYFUNCTION("""COMPUTED_VALUE"""),"661-56052")</f>
        <v>661-56052</v>
      </c>
      <c r="E4700" s="2" t="str">
        <f>IFERROR(__xludf.DUMMYFUNCTION("""COMPUTED_VALUE"""),"Camera, iPhone 17 Pro Max")</f>
        <v>Camera, iPhone 17 Pro Max</v>
      </c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</row>
    <row r="4701">
      <c r="A4701" s="10" t="str">
        <f t="shared" si="1"/>
        <v>June</v>
      </c>
      <c r="B4701" s="11">
        <f>IFERROR(__xludf.DUMMYFUNCTION("""COMPUTED_VALUE"""),46174.0)</f>
        <v>46174</v>
      </c>
      <c r="C4701" s="2" t="str">
        <f>IFERROR(__xludf.DUMMYFUNCTION("""COMPUTED_VALUE"""),"MOBILECARE - NEWPOINT MALL")</f>
        <v>MOBILECARE - NEWPOINT MALL</v>
      </c>
      <c r="D4701" s="2" t="str">
        <f>IFERROR(__xludf.DUMMYFUNCTION("""COMPUTED_VALUE"""),"661-56051")</f>
        <v>661-56051</v>
      </c>
      <c r="E4701" s="2" t="str">
        <f>IFERROR(__xludf.DUMMYFUNCTION("""COMPUTED_VALUE"""),"Front Camera, iPhone 17 Pro Max")</f>
        <v>Front Camera, iPhone 17 Pro Max</v>
      </c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</row>
    <row r="4702">
      <c r="A4702" s="10" t="str">
        <f t="shared" si="1"/>
        <v>May</v>
      </c>
      <c r="B4702" s="11">
        <f>IFERROR(__xludf.DUMMYFUNCTION("""COMPUTED_VALUE"""),46171.0)</f>
        <v>46171</v>
      </c>
      <c r="C4702" s="2" t="str">
        <f>IFERROR(__xludf.DUMMYFUNCTION("""COMPUTED_VALUE"""),"MOBILECARE - NEWPOINT MALL")</f>
        <v>MOBILECARE - NEWPOINT MALL</v>
      </c>
      <c r="D4702" s="2" t="str">
        <f>IFERROR(__xludf.DUMMYFUNCTION("""COMPUTED_VALUE"""),"661-21991")</f>
        <v>661-21991</v>
      </c>
      <c r="E4702" s="2" t="str">
        <f>IFERROR(__xludf.DUMMYFUNCTION("""COMPUTED_VALUE"""),"Battery, iPhone 13")</f>
        <v>Battery, iPhone 13</v>
      </c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</row>
    <row r="4703">
      <c r="A4703" s="10" t="str">
        <f t="shared" si="1"/>
        <v>June</v>
      </c>
      <c r="B4703" s="11">
        <f>IFERROR(__xludf.DUMMYFUNCTION("""COMPUTED_VALUE"""),46190.0)</f>
        <v>46190</v>
      </c>
      <c r="C4703" s="2" t="str">
        <f>IFERROR(__xludf.DUMMYFUNCTION("""COMPUTED_VALUE"""),"MOBILECARE - NEWPOINT MALL")</f>
        <v>MOBILECARE - NEWPOINT MALL</v>
      </c>
      <c r="D4703" s="2" t="str">
        <f>IFERROR(__xludf.DUMMYFUNCTION("""COMPUTED_VALUE"""),"TA661-36291")</f>
        <v>TA661-36291</v>
      </c>
      <c r="E4703" s="2" t="str">
        <f>IFERROR(__xludf.DUMMYFUNCTION("""COMPUTED_VALUE"""),"Black, iPhone 15, 256GB, ROW, CI/AR, Taiwan")</f>
        <v>Black, iPhone 15, 256GB, ROW, CI/AR, Taiwan</v>
      </c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</row>
    <row r="4704">
      <c r="A4704" s="10" t="str">
        <f t="shared" si="1"/>
        <v>May</v>
      </c>
      <c r="B4704" s="11">
        <f>IFERROR(__xludf.DUMMYFUNCTION("""COMPUTED_VALUE"""),46167.0)</f>
        <v>46167</v>
      </c>
      <c r="C4704" s="2" t="str">
        <f>IFERROR(__xludf.DUMMYFUNCTION("""COMPUTED_VALUE"""),"MOBILECARE - NEWPOINT MALL")</f>
        <v>MOBILECARE - NEWPOINT MALL</v>
      </c>
      <c r="D4704" s="2" t="str">
        <f>IFERROR(__xludf.DUMMYFUNCTION("""COMPUTED_VALUE"""),"661-44797")</f>
        <v>661-44797</v>
      </c>
      <c r="E4704" s="2" t="str">
        <f>IFERROR(__xludf.DUMMYFUNCTION("""COMPUTED_VALUE"""),"Display, iPhone 16")</f>
        <v>Display, iPhone 16</v>
      </c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</row>
    <row r="4705">
      <c r="A4705" s="10" t="str">
        <f t="shared" si="1"/>
        <v>May</v>
      </c>
      <c r="B4705" s="11">
        <f>IFERROR(__xludf.DUMMYFUNCTION("""COMPUTED_VALUE"""),46144.0)</f>
        <v>46144</v>
      </c>
      <c r="C4705" s="2" t="str">
        <f>IFERROR(__xludf.DUMMYFUNCTION("""COMPUTED_VALUE"""),"MOBILECARE - NEWPOINT MALL")</f>
        <v>MOBILECARE - NEWPOINT MALL</v>
      </c>
      <c r="D4705" s="2" t="str">
        <f>IFERROR(__xludf.DUMMYFUNCTION("""COMPUTED_VALUE"""),"661-36918")</f>
        <v>661-36918</v>
      </c>
      <c r="E4705" s="2" t="str">
        <f>IFERROR(__xludf.DUMMYFUNCTION("""COMPUTED_VALUE"""),"Battery, iPhone 15 Pro Max")</f>
        <v>Battery, iPhone 15 Pro Max</v>
      </c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</row>
    <row r="4706">
      <c r="A4706" s="10" t="str">
        <f t="shared" si="1"/>
        <v>April</v>
      </c>
      <c r="B4706" s="11">
        <f>IFERROR(__xludf.DUMMYFUNCTION("""COMPUTED_VALUE"""),46132.0)</f>
        <v>46132</v>
      </c>
      <c r="C4706" s="2" t="str">
        <f>IFERROR(__xludf.DUMMYFUNCTION("""COMPUTED_VALUE"""),"MOBILECARE - NEWPOINT MALL")</f>
        <v>MOBILECARE - NEWPOINT MALL</v>
      </c>
      <c r="D4706" s="2" t="str">
        <f>IFERROR(__xludf.DUMMYFUNCTION("""COMPUTED_VALUE"""),"661-13574")</f>
        <v>661-13574</v>
      </c>
      <c r="E4706" s="2" t="str">
        <f>IFERROR(__xludf.DUMMYFUNCTION("""COMPUTED_VALUE"""),"Battery, iPhone 11")</f>
        <v>Battery, iPhone 11</v>
      </c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</row>
    <row r="4707">
      <c r="A4707" s="10" t="str">
        <f t="shared" si="1"/>
        <v>April</v>
      </c>
      <c r="B4707" s="11">
        <f>IFERROR(__xludf.DUMMYFUNCTION("""COMPUTED_VALUE"""),46129.0)</f>
        <v>46129</v>
      </c>
      <c r="C4707" s="2" t="str">
        <f>IFERROR(__xludf.DUMMYFUNCTION("""COMPUTED_VALUE"""),"MOBILECARE - NEWPOINT MALL")</f>
        <v>MOBILECARE - NEWPOINT MALL</v>
      </c>
      <c r="D4707" s="2" t="str">
        <f>IFERROR(__xludf.DUMMYFUNCTION("""COMPUTED_VALUE"""),"661-22309")</f>
        <v>661-22309</v>
      </c>
      <c r="E4707" s="2" t="str">
        <f>IFERROR(__xludf.DUMMYFUNCTION("""COMPUTED_VALUE"""),"Display, iPhone 13 Pro Max")</f>
        <v>Display, iPhone 13 Pro Max</v>
      </c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</row>
    <row r="4708">
      <c r="A4708" s="10" t="str">
        <f t="shared" si="1"/>
        <v>April</v>
      </c>
      <c r="B4708" s="11">
        <f>IFERROR(__xludf.DUMMYFUNCTION("""COMPUTED_VALUE"""),46121.0)</f>
        <v>46121</v>
      </c>
      <c r="C4708" s="2" t="str">
        <f>IFERROR(__xludf.DUMMYFUNCTION("""COMPUTED_VALUE"""),"MOBILECARE - NEWPOINT MALL")</f>
        <v>MOBILECARE - NEWPOINT MALL</v>
      </c>
      <c r="D4708" s="2" t="str">
        <f>IFERROR(__xludf.DUMMYFUNCTION("""COMPUTED_VALUE"""),"Z661-55956")</f>
        <v>Z661-55956</v>
      </c>
      <c r="E4708" s="2" t="str">
        <f>IFERROR(__xludf.DUMMYFUNCTION("""COMPUTED_VALUE"""),"Logic Board, 256GB, iPhone 17 Pro Max, ROW")</f>
        <v>Logic Board, 256GB, iPhone 17 Pro Max, ROW</v>
      </c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</row>
    <row r="4709">
      <c r="A4709" s="10" t="str">
        <f t="shared" si="1"/>
        <v>March</v>
      </c>
      <c r="B4709" s="11">
        <f>IFERROR(__xludf.DUMMYFUNCTION("""COMPUTED_VALUE"""),46099.0)</f>
        <v>46099</v>
      </c>
      <c r="C4709" s="2" t="str">
        <f>IFERROR(__xludf.DUMMYFUNCTION("""COMPUTED_VALUE"""),"MOBILECARE - NEWPOINT MALL")</f>
        <v>MOBILECARE - NEWPOINT MALL</v>
      </c>
      <c r="D4709" s="2" t="str">
        <f>IFERROR(__xludf.DUMMYFUNCTION("""COMPUTED_VALUE"""),"661-21991")</f>
        <v>661-21991</v>
      </c>
      <c r="E4709" s="2" t="str">
        <f>IFERROR(__xludf.DUMMYFUNCTION("""COMPUTED_VALUE"""),"Battery, iPhone 13")</f>
        <v>Battery, iPhone 13</v>
      </c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</row>
    <row r="4710">
      <c r="A4710" s="10" t="str">
        <f t="shared" si="1"/>
        <v>February</v>
      </c>
      <c r="B4710" s="11">
        <f>IFERROR(__xludf.DUMMYFUNCTION("""COMPUTED_VALUE"""),46076.0)</f>
        <v>46076</v>
      </c>
      <c r="C4710" s="2" t="str">
        <f>IFERROR(__xludf.DUMMYFUNCTION("""COMPUTED_VALUE"""),"MOBILECARE - NEWPOINT MALL")</f>
        <v>MOBILECARE - NEWPOINT MALL</v>
      </c>
      <c r="D4710" s="2" t="str">
        <f>IFERROR(__xludf.DUMMYFUNCTION("""COMPUTED_VALUE"""),"661-21988")</f>
        <v>661-21988</v>
      </c>
      <c r="E4710" s="2" t="str">
        <f>IFERROR(__xludf.DUMMYFUNCTION("""COMPUTED_VALUE"""),"Display, iPhone 13")</f>
        <v>Display, iPhone 13</v>
      </c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</row>
    <row r="4711">
      <c r="A4711" s="10" t="str">
        <f t="shared" si="1"/>
        <v>February</v>
      </c>
      <c r="B4711" s="11">
        <f>IFERROR(__xludf.DUMMYFUNCTION("""COMPUTED_VALUE"""),46073.0)</f>
        <v>46073</v>
      </c>
      <c r="C4711" s="2" t="str">
        <f>IFERROR(__xludf.DUMMYFUNCTION("""COMPUTED_VALUE"""),"MOBILECARE - NEWPOINT MALL")</f>
        <v>MOBILECARE - NEWPOINT MALL</v>
      </c>
      <c r="D4711" s="2" t="str">
        <f>IFERROR(__xludf.DUMMYFUNCTION("""COMPUTED_VALUE"""),"661-21991")</f>
        <v>661-21991</v>
      </c>
      <c r="E4711" s="2" t="str">
        <f>IFERROR(__xludf.DUMMYFUNCTION("""COMPUTED_VALUE"""),"Battery, iPhone 13")</f>
        <v>Battery, iPhone 13</v>
      </c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</row>
    <row r="4712">
      <c r="A4712" s="10" t="str">
        <f t="shared" si="1"/>
        <v>February</v>
      </c>
      <c r="B4712" s="11">
        <f>IFERROR(__xludf.DUMMYFUNCTION("""COMPUTED_VALUE"""),46066.0)</f>
        <v>46066</v>
      </c>
      <c r="C4712" s="2" t="str">
        <f>IFERROR(__xludf.DUMMYFUNCTION("""COMPUTED_VALUE"""),"MOBILECARE - NEWPOINT MALL")</f>
        <v>MOBILECARE - NEWPOINT MALL</v>
      </c>
      <c r="D4712" s="2" t="str">
        <f>IFERROR(__xludf.DUMMYFUNCTION("""COMPUTED_VALUE"""),"661-21991")</f>
        <v>661-21991</v>
      </c>
      <c r="E4712" s="2" t="str">
        <f>IFERROR(__xludf.DUMMYFUNCTION("""COMPUTED_VALUE"""),"Battery, iPhone 13")</f>
        <v>Battery, iPhone 13</v>
      </c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</row>
    <row r="4713">
      <c r="A4713" s="10" t="str">
        <f t="shared" si="1"/>
        <v>February</v>
      </c>
      <c r="B4713" s="11">
        <f>IFERROR(__xludf.DUMMYFUNCTION("""COMPUTED_VALUE"""),46075.0)</f>
        <v>46075</v>
      </c>
      <c r="C4713" s="2" t="str">
        <f>IFERROR(__xludf.DUMMYFUNCTION("""COMPUTED_VALUE"""),"MOBILECARE - NEWPOINT MALL")</f>
        <v>MOBILECARE - NEWPOINT MALL</v>
      </c>
      <c r="D4713" s="2" t="str">
        <f>IFERROR(__xludf.DUMMYFUNCTION("""COMPUTED_VALUE"""),"TA661-36696")</f>
        <v>TA661-36696</v>
      </c>
      <c r="E4713" s="2" t="str">
        <f>IFERROR(__xludf.DUMMYFUNCTION("""COMPUTED_VALUE"""),"iPhone 15, Black, 256GB, Logic Board Assy Mid System, ROW")</f>
        <v>iPhone 15, Black, 256GB, Logic Board Assy Mid System, ROW</v>
      </c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</row>
    <row r="4714">
      <c r="A4714" s="10" t="str">
        <f t="shared" si="1"/>
        <v>February</v>
      </c>
      <c r="B4714" s="11">
        <f>IFERROR(__xludf.DUMMYFUNCTION("""COMPUTED_VALUE"""),46065.0)</f>
        <v>46065</v>
      </c>
      <c r="C4714" s="2" t="str">
        <f>IFERROR(__xludf.DUMMYFUNCTION("""COMPUTED_VALUE"""),"MOBILECARE - NEWPOINT MALL")</f>
        <v>MOBILECARE - NEWPOINT MALL</v>
      </c>
      <c r="D4714" s="2" t="str">
        <f>IFERROR(__xludf.DUMMYFUNCTION("""COMPUTED_VALUE"""),"TA661-55279")</f>
        <v>TA661-55279</v>
      </c>
      <c r="E4714" s="2" t="str">
        <f>IFERROR(__xludf.DUMMYFUNCTION("""COMPUTED_VALUE"""),"Black, 256GB, iPhone 17, ROW, Taiwan, CI/AR")</f>
        <v>Black, 256GB, iPhone 17, ROW, Taiwan, CI/AR</v>
      </c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</row>
    <row r="4715">
      <c r="A4715" s="10" t="str">
        <f t="shared" si="1"/>
        <v>January</v>
      </c>
      <c r="B4715" s="11">
        <f>IFERROR(__xludf.DUMMYFUNCTION("""COMPUTED_VALUE"""),46033.0)</f>
        <v>46033</v>
      </c>
      <c r="C4715" s="2" t="str">
        <f>IFERROR(__xludf.DUMMYFUNCTION("""COMPUTED_VALUE"""),"MOBILECARE - NEWPOINT MALL")</f>
        <v>MOBILECARE - NEWPOINT MALL</v>
      </c>
      <c r="D4715" s="2" t="str">
        <f>IFERROR(__xludf.DUMMYFUNCTION("""COMPUTED_VALUE"""),"661-18428")</f>
        <v>661-18428</v>
      </c>
      <c r="E4715" s="2" t="str">
        <f>IFERROR(__xludf.DUMMYFUNCTION("""COMPUTED_VALUE"""),"Battery, iPhone 12 Pro Max")</f>
        <v>Battery, iPhone 12 Pro Max</v>
      </c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</row>
    <row r="4716">
      <c r="A4716" s="10" t="str">
        <f t="shared" si="1"/>
        <v>May</v>
      </c>
      <c r="B4716" s="11">
        <f>IFERROR(__xludf.DUMMYFUNCTION("""COMPUTED_VALUE"""),46157.0)</f>
        <v>46157</v>
      </c>
      <c r="C4716" s="2" t="str">
        <f>IFERROR(__xludf.DUMMYFUNCTION("""COMPUTED_VALUE"""),"MOBILECARE - NEWPOINT MALL")</f>
        <v>MOBILECARE - NEWPOINT MALL</v>
      </c>
      <c r="D4716" s="2" t="str">
        <f>IFERROR(__xludf.DUMMYFUNCTION("""COMPUTED_VALUE"""),"661-30371")</f>
        <v>661-30371</v>
      </c>
      <c r="E4716" s="2" t="str">
        <f>IFERROR(__xludf.DUMMYFUNCTION("""COMPUTED_VALUE"""),"True Depth Camera, iPhone 14")</f>
        <v>True Depth Camera, iPhone 14</v>
      </c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</row>
    <row r="4717">
      <c r="A4717" s="10" t="str">
        <f t="shared" si="1"/>
        <v>June</v>
      </c>
      <c r="B4717" s="11">
        <f>IFERROR(__xludf.DUMMYFUNCTION("""COMPUTED_VALUE"""),46182.0)</f>
        <v>46182</v>
      </c>
      <c r="C4717" s="2" t="str">
        <f>IFERROR(__xludf.DUMMYFUNCTION("""COMPUTED_VALUE"""),"MOBILECARE - NEWPOINT MALL")</f>
        <v>MOBILECARE - NEWPOINT MALL</v>
      </c>
      <c r="D4717" s="2" t="str">
        <f>IFERROR(__xludf.DUMMYFUNCTION("""COMPUTED_VALUE"""),"TA661-45324")</f>
        <v>TA661-45324</v>
      </c>
      <c r="E4717" s="2" t="str">
        <f>IFERROR(__xludf.DUMMYFUNCTION("""COMPUTED_VALUE"""),"256GB, Natural Titanium, ROW, iPhone 16 Pro Max, Logic Board Assy Mid Sy")</f>
        <v>256GB, Natural Titanium, ROW, iPhone 16 Pro Max, Logic Board Assy Mid Sy</v>
      </c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</row>
    <row r="4718">
      <c r="A4718" s="10" t="str">
        <f t="shared" si="1"/>
        <v>June</v>
      </c>
      <c r="B4718" s="11">
        <f>IFERROR(__xludf.DUMMYFUNCTION("""COMPUTED_VALUE"""),46178.0)</f>
        <v>46178</v>
      </c>
      <c r="C4718" s="2" t="str">
        <f>IFERROR(__xludf.DUMMYFUNCTION("""COMPUTED_VALUE"""),"MOBILECARE - NEWPOINT MALL")</f>
        <v>MOBILECARE - NEWPOINT MALL</v>
      </c>
      <c r="D4718" s="2" t="str">
        <f>IFERROR(__xludf.DUMMYFUNCTION("""COMPUTED_VALUE"""),"TA661-45321")</f>
        <v>TA661-45321</v>
      </c>
      <c r="E4718" s="2" t="str">
        <f>IFERROR(__xludf.DUMMYFUNCTION("""COMPUTED_VALUE"""),"256GB, Black Titanium, ROW, iPhone 16 Pro Max, Logic Board Assy Mid Syst")</f>
        <v>256GB, Black Titanium, ROW, iPhone 16 Pro Max, Logic Board Assy Mid Syst</v>
      </c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</row>
    <row r="4719">
      <c r="A4719" s="10" t="str">
        <f t="shared" si="1"/>
        <v>June</v>
      </c>
      <c r="B4719" s="11">
        <f>IFERROR(__xludf.DUMMYFUNCTION("""COMPUTED_VALUE"""),46181.0)</f>
        <v>46181</v>
      </c>
      <c r="C4719" s="2" t="str">
        <f>IFERROR(__xludf.DUMMYFUNCTION("""COMPUTED_VALUE"""),"MOBILECARE - NEWPOINT MALL")</f>
        <v>MOBILECARE - NEWPOINT MALL</v>
      </c>
      <c r="D4719" s="2" t="str">
        <f>IFERROR(__xludf.DUMMYFUNCTION("""COMPUTED_VALUE"""),"TA661-45263")</f>
        <v>TA661-45263</v>
      </c>
      <c r="E4719" s="2" t="str">
        <f>IFERROR(__xludf.DUMMYFUNCTION("""COMPUTED_VALUE"""),"256GB, Desert Titanium, ROW, iPhone 16 Pro Max, CI/AR")</f>
        <v>256GB, Desert Titanium, ROW, iPhone 16 Pro Max, CI/AR</v>
      </c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</row>
    <row r="4720">
      <c r="A4720" s="10" t="str">
        <f t="shared" si="1"/>
        <v>April</v>
      </c>
      <c r="B4720" s="11">
        <f>IFERROR(__xludf.DUMMYFUNCTION("""COMPUTED_VALUE"""),46141.0)</f>
        <v>46141</v>
      </c>
      <c r="C4720" s="2" t="str">
        <f>IFERROR(__xludf.DUMMYFUNCTION("""COMPUTED_VALUE"""),"MOBILECARE - NEWPOINT MALL")</f>
        <v>MOBILECARE - NEWPOINT MALL</v>
      </c>
      <c r="D4720" s="2" t="str">
        <f>IFERROR(__xludf.DUMMYFUNCTION("""COMPUTED_VALUE"""),"661-22294")</f>
        <v>661-22294</v>
      </c>
      <c r="E4720" s="2" t="str">
        <f>IFERROR(__xludf.DUMMYFUNCTION("""COMPUTED_VALUE"""),"Battery, iPhone 13 Pro Max")</f>
        <v>Battery, iPhone 13 Pro Max</v>
      </c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</row>
    <row r="4721">
      <c r="A4721" s="10" t="str">
        <f t="shared" si="1"/>
        <v>April</v>
      </c>
      <c r="B4721" s="11">
        <f>IFERROR(__xludf.DUMMYFUNCTION("""COMPUTED_VALUE"""),46113.0)</f>
        <v>46113</v>
      </c>
      <c r="C4721" s="2" t="str">
        <f>IFERROR(__xludf.DUMMYFUNCTION("""COMPUTED_VALUE"""),"MOBILECARE - NEWPOINT MALL")</f>
        <v>MOBILECARE - NEWPOINT MALL</v>
      </c>
      <c r="D4721" s="2" t="str">
        <f>IFERROR(__xludf.DUMMYFUNCTION("""COMPUTED_VALUE"""),"923-10802")</f>
        <v>923-10802</v>
      </c>
      <c r="E4721" s="2" t="str">
        <f>IFERROR(__xludf.DUMMYFUNCTION("""COMPUTED_VALUE"""),"Bottom Speaker, iPhone 16 Plus")</f>
        <v>Bottom Speaker, iPhone 16 Plus</v>
      </c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</row>
    <row r="4722">
      <c r="A4722" s="10" t="str">
        <f t="shared" si="1"/>
        <v>April</v>
      </c>
      <c r="B4722" s="11">
        <f>IFERROR(__xludf.DUMMYFUNCTION("""COMPUTED_VALUE"""),46113.0)</f>
        <v>46113</v>
      </c>
      <c r="C4722" s="2" t="str">
        <f>IFERROR(__xludf.DUMMYFUNCTION("""COMPUTED_VALUE"""),"MOBILECARE - NEWPOINT MALL")</f>
        <v>MOBILECARE - NEWPOINT MALL</v>
      </c>
      <c r="D4722" s="2" t="str">
        <f>IFERROR(__xludf.DUMMYFUNCTION("""COMPUTED_VALUE"""),"923-10996")</f>
        <v>923-10996</v>
      </c>
      <c r="E4722" s="2" t="str">
        <f>IFERROR(__xludf.DUMMYFUNCTION("""COMPUTED_VALUE"""),"Top Speaker, iPhone 16 Plus, non MMwave")</f>
        <v>Top Speaker, iPhone 16 Plus, non MMwave</v>
      </c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</row>
    <row r="4723">
      <c r="A4723" s="10" t="str">
        <f t="shared" si="1"/>
        <v>April</v>
      </c>
      <c r="B4723" s="11">
        <f>IFERROR(__xludf.DUMMYFUNCTION("""COMPUTED_VALUE"""),46139.0)</f>
        <v>46139</v>
      </c>
      <c r="C4723" s="2" t="str">
        <f>IFERROR(__xludf.DUMMYFUNCTION("""COMPUTED_VALUE"""),"MOBILECARE - NEWPOINT MALL")</f>
        <v>MOBILECARE - NEWPOINT MALL</v>
      </c>
      <c r="D4723" s="2" t="str">
        <f>IFERROR(__xludf.DUMMYFUNCTION("""COMPUTED_VALUE"""),"TA661-44053")</f>
        <v>TA661-44053</v>
      </c>
      <c r="E4723" s="2" t="str">
        <f>IFERROR(__xludf.DUMMYFUNCTION("""COMPUTED_VALUE"""),"128GB, Ultramarine, ROW, iPhone 16 Plus, CI/AR")</f>
        <v>128GB, Ultramarine, ROW, iPhone 16 Plus, CI/AR</v>
      </c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</row>
    <row r="4724">
      <c r="A4724" s="10" t="str">
        <f t="shared" si="1"/>
        <v>April</v>
      </c>
      <c r="B4724" s="11">
        <f>IFERROR(__xludf.DUMMYFUNCTION("""COMPUTED_VALUE"""),46135.0)</f>
        <v>46135</v>
      </c>
      <c r="C4724" s="2" t="str">
        <f>IFERROR(__xludf.DUMMYFUNCTION("""COMPUTED_VALUE"""),"MOBILECARE - NEWPOINT MALL")</f>
        <v>MOBILECARE - NEWPOINT MALL</v>
      </c>
      <c r="D4724" s="2" t="str">
        <f>IFERROR(__xludf.DUMMYFUNCTION("""COMPUTED_VALUE"""),"Z661-55956")</f>
        <v>Z661-55956</v>
      </c>
      <c r="E4724" s="2" t="str">
        <f>IFERROR(__xludf.DUMMYFUNCTION("""COMPUTED_VALUE"""),"Logic Board, 256GB, iPhone 17 Pro Max, ROW")</f>
        <v>Logic Board, 256GB, iPhone 17 Pro Max, ROW</v>
      </c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</row>
    <row r="4725">
      <c r="A4725" s="10" t="str">
        <f t="shared" si="1"/>
        <v>February</v>
      </c>
      <c r="B4725" s="11">
        <f>IFERROR(__xludf.DUMMYFUNCTION("""COMPUTED_VALUE"""),46078.0)</f>
        <v>46078</v>
      </c>
      <c r="C4725" s="2" t="str">
        <f>IFERROR(__xludf.DUMMYFUNCTION("""COMPUTED_VALUE"""),"MOBILECARE - NEWPOINT MALL")</f>
        <v>MOBILECARE - NEWPOINT MALL</v>
      </c>
      <c r="D4725" s="2" t="str">
        <f>IFERROR(__xludf.DUMMYFUNCTION("""COMPUTED_VALUE"""),"661-21996")</f>
        <v>661-21996</v>
      </c>
      <c r="E4725" s="2" t="str">
        <f>IFERROR(__xludf.DUMMYFUNCTION("""COMPUTED_VALUE"""),"Battery, iPhone 13 Pro")</f>
        <v>Battery, iPhone 13 Pro</v>
      </c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</row>
    <row r="4726">
      <c r="A4726" s="10" t="str">
        <f t="shared" si="1"/>
        <v>February</v>
      </c>
      <c r="B4726" s="11">
        <f>IFERROR(__xludf.DUMMYFUNCTION("""COMPUTED_VALUE"""),46080.0)</f>
        <v>46080</v>
      </c>
      <c r="C4726" s="2" t="str">
        <f>IFERROR(__xludf.DUMMYFUNCTION("""COMPUTED_VALUE"""),"MOBILECARE - NEWPOINT MALL")</f>
        <v>MOBILECARE - NEWPOINT MALL</v>
      </c>
      <c r="D4726" s="2" t="str">
        <f>IFERROR(__xludf.DUMMYFUNCTION("""COMPUTED_VALUE"""),"661-30382")</f>
        <v>661-30382</v>
      </c>
      <c r="E4726" s="2" t="str">
        <f>IFERROR(__xludf.DUMMYFUNCTION("""COMPUTED_VALUE"""),"Battery, iPhone 14 Pro")</f>
        <v>Battery, iPhone 14 Pro</v>
      </c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</row>
    <row r="4727">
      <c r="A4727" s="10" t="str">
        <f t="shared" si="1"/>
        <v>March</v>
      </c>
      <c r="B4727" s="11">
        <f>IFERROR(__xludf.DUMMYFUNCTION("""COMPUTED_VALUE"""),46084.0)</f>
        <v>46084</v>
      </c>
      <c r="C4727" s="2" t="str">
        <f>IFERROR(__xludf.DUMMYFUNCTION("""COMPUTED_VALUE"""),"MOBILECARE - NEWPOINT MALL")</f>
        <v>MOBILECARE - NEWPOINT MALL</v>
      </c>
      <c r="D4727" s="2" t="str">
        <f>IFERROR(__xludf.DUMMYFUNCTION("""COMPUTED_VALUE"""),"TA661-43607")</f>
        <v>TA661-43607</v>
      </c>
      <c r="E4727" s="2" t="str">
        <f>IFERROR(__xludf.DUMMYFUNCTION("""COMPUTED_VALUE"""),"128GB, Pink, ROW, iPhone 16, Logic Board Assy Mid System")</f>
        <v>128GB, Pink, ROW, iPhone 16, Logic Board Assy Mid System</v>
      </c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</row>
    <row r="4728">
      <c r="A4728" s="10" t="str">
        <f t="shared" si="1"/>
        <v>January</v>
      </c>
      <c r="B4728" s="11">
        <f>IFERROR(__xludf.DUMMYFUNCTION("""COMPUTED_VALUE"""),46051.0)</f>
        <v>46051</v>
      </c>
      <c r="C4728" s="2" t="str">
        <f>IFERROR(__xludf.DUMMYFUNCTION("""COMPUTED_VALUE"""),"MOBILECARE - NEWPOINT MALL")</f>
        <v>MOBILECARE - NEWPOINT MALL</v>
      </c>
      <c r="D4728" s="2" t="str">
        <f>IFERROR(__xludf.DUMMYFUNCTION("""COMPUTED_VALUE"""),"661-21991")</f>
        <v>661-21991</v>
      </c>
      <c r="E4728" s="2" t="str">
        <f>IFERROR(__xludf.DUMMYFUNCTION("""COMPUTED_VALUE"""),"Battery, iPhone 13")</f>
        <v>Battery, iPhone 13</v>
      </c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</row>
    <row r="4729">
      <c r="A4729" s="10" t="str">
        <f t="shared" si="1"/>
        <v>January</v>
      </c>
      <c r="B4729" s="11">
        <f>IFERROR(__xludf.DUMMYFUNCTION("""COMPUTED_VALUE"""),46041.0)</f>
        <v>46041</v>
      </c>
      <c r="C4729" s="2" t="str">
        <f>IFERROR(__xludf.DUMMYFUNCTION("""COMPUTED_VALUE"""),"MOBILECARE - NEWPOINT MALL")</f>
        <v>MOBILECARE - NEWPOINT MALL</v>
      </c>
      <c r="D4729" s="2" t="str">
        <f>IFERROR(__xludf.DUMMYFUNCTION("""COMPUTED_VALUE"""),"661-22294")</f>
        <v>661-22294</v>
      </c>
      <c r="E4729" s="2" t="str">
        <f>IFERROR(__xludf.DUMMYFUNCTION("""COMPUTED_VALUE"""),"Battery, iPhone 13 Pro Max")</f>
        <v>Battery, iPhone 13 Pro Max</v>
      </c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</row>
    <row r="4730">
      <c r="A4730" s="10" t="str">
        <f t="shared" si="1"/>
        <v>June</v>
      </c>
      <c r="B4730" s="11">
        <f>IFERROR(__xludf.DUMMYFUNCTION("""COMPUTED_VALUE"""),46180.0)</f>
        <v>46180</v>
      </c>
      <c r="C4730" s="2" t="str">
        <f>IFERROR(__xludf.DUMMYFUNCTION("""COMPUTED_VALUE"""),"MOBILECARE - NEWPOINT MALL")</f>
        <v>MOBILECARE - NEWPOINT MALL</v>
      </c>
      <c r="D4730" s="2" t="str">
        <f>IFERROR(__xludf.DUMMYFUNCTION("""COMPUTED_VALUE"""),"661-22309")</f>
        <v>661-22309</v>
      </c>
      <c r="E4730" s="2" t="str">
        <f>IFERROR(__xludf.DUMMYFUNCTION("""COMPUTED_VALUE"""),"Display, iPhone 13 Pro Max")</f>
        <v>Display, iPhone 13 Pro Max</v>
      </c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</row>
    <row r="4731">
      <c r="A4731" s="10" t="str">
        <f t="shared" si="1"/>
        <v>June</v>
      </c>
      <c r="B4731" s="11">
        <f>IFERROR(__xludf.DUMMYFUNCTION("""COMPUTED_VALUE"""),46180.0)</f>
        <v>46180</v>
      </c>
      <c r="C4731" s="2" t="str">
        <f>IFERROR(__xludf.DUMMYFUNCTION("""COMPUTED_VALUE"""),"MOBILECARE - NEWPOINT MALL")</f>
        <v>MOBILECARE - NEWPOINT MALL</v>
      </c>
      <c r="D4731" s="2" t="str">
        <f>IFERROR(__xludf.DUMMYFUNCTION("""COMPUTED_VALUE"""),"661-22294")</f>
        <v>661-22294</v>
      </c>
      <c r="E4731" s="2" t="str">
        <f>IFERROR(__xludf.DUMMYFUNCTION("""COMPUTED_VALUE"""),"Battery, iPhone 13 Pro Max")</f>
        <v>Battery, iPhone 13 Pro Max</v>
      </c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</row>
    <row r="4732">
      <c r="A4732" s="10" t="str">
        <f t="shared" si="1"/>
        <v>June</v>
      </c>
      <c r="B4732" s="11">
        <f>IFERROR(__xludf.DUMMYFUNCTION("""COMPUTED_VALUE"""),46189.0)</f>
        <v>46189</v>
      </c>
      <c r="C4732" s="2" t="str">
        <f>IFERROR(__xludf.DUMMYFUNCTION("""COMPUTED_VALUE"""),"MOBILECARE - NEWPOINT MALL")</f>
        <v>MOBILECARE - NEWPOINT MALL</v>
      </c>
      <c r="D4732" s="2" t="str">
        <f>IFERROR(__xludf.DUMMYFUNCTION("""COMPUTED_VALUE"""),"Z661-55956")</f>
        <v>Z661-55956</v>
      </c>
      <c r="E4732" s="2" t="str">
        <f>IFERROR(__xludf.DUMMYFUNCTION("""COMPUTED_VALUE"""),"Logic Board, 256GB, iPhone 17 Pro Max, ROW")</f>
        <v>Logic Board, 256GB, iPhone 17 Pro Max, ROW</v>
      </c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</row>
    <row r="4733">
      <c r="A4733" s="10" t="str">
        <f t="shared" si="1"/>
        <v>May</v>
      </c>
      <c r="B4733" s="11">
        <f>IFERROR(__xludf.DUMMYFUNCTION("""COMPUTED_VALUE"""),46168.0)</f>
        <v>46168</v>
      </c>
      <c r="C4733" s="2" t="str">
        <f>IFERROR(__xludf.DUMMYFUNCTION("""COMPUTED_VALUE"""),"MOBILECARE - NEWPOINT MALL")</f>
        <v>MOBILECARE - NEWPOINT MALL</v>
      </c>
      <c r="D4733" s="2" t="str">
        <f>IFERROR(__xludf.DUMMYFUNCTION("""COMPUTED_VALUE"""),"661-21991")</f>
        <v>661-21991</v>
      </c>
      <c r="E4733" s="2" t="str">
        <f>IFERROR(__xludf.DUMMYFUNCTION("""COMPUTED_VALUE"""),"Battery, iPhone 13")</f>
        <v>Battery, iPhone 13</v>
      </c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</row>
    <row r="4734">
      <c r="A4734" s="10" t="str">
        <f t="shared" si="1"/>
        <v>June</v>
      </c>
      <c r="B4734" s="11">
        <f>IFERROR(__xludf.DUMMYFUNCTION("""COMPUTED_VALUE"""),46188.0)</f>
        <v>46188</v>
      </c>
      <c r="C4734" s="2" t="str">
        <f>IFERROR(__xludf.DUMMYFUNCTION("""COMPUTED_VALUE"""),"MOBILECARE - NEWPOINT MALL")</f>
        <v>MOBILECARE - NEWPOINT MALL</v>
      </c>
      <c r="D4734" s="2" t="str">
        <f>IFERROR(__xludf.DUMMYFUNCTION("""COMPUTED_VALUE"""),"TA661-45234")</f>
        <v>TA661-45234</v>
      </c>
      <c r="E4734" s="2" t="str">
        <f>IFERROR(__xludf.DUMMYFUNCTION("""COMPUTED_VALUE"""),"128GB, Ultramarine, ROW, iPhone 16 Plus, Logic Board Assy Mid System")</f>
        <v>128GB, Ultramarine, ROW, iPhone 16 Plus, Logic Board Assy Mid System</v>
      </c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</row>
    <row r="4735">
      <c r="A4735" s="10" t="str">
        <f t="shared" si="1"/>
        <v>April</v>
      </c>
      <c r="B4735" s="11">
        <f>IFERROR(__xludf.DUMMYFUNCTION("""COMPUTED_VALUE"""),46138.0)</f>
        <v>46138</v>
      </c>
      <c r="C4735" s="2" t="str">
        <f>IFERROR(__xludf.DUMMYFUNCTION("""COMPUTED_VALUE"""),"MOBILECARE - NEWPOINT MALL")</f>
        <v>MOBILECARE - NEWPOINT MALL</v>
      </c>
      <c r="D4735" s="2" t="str">
        <f>IFERROR(__xludf.DUMMYFUNCTION("""COMPUTED_VALUE"""),"661-56050")</f>
        <v>661-56050</v>
      </c>
      <c r="E4735" s="2" t="str">
        <f>IFERROR(__xludf.DUMMYFUNCTION("""COMPUTED_VALUE"""),"Display, iPhone 17 Pro Max")</f>
        <v>Display, iPhone 17 Pro Max</v>
      </c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</row>
    <row r="4736">
      <c r="A4736" s="10" t="str">
        <f t="shared" si="1"/>
        <v>April</v>
      </c>
      <c r="B4736" s="11">
        <f>IFERROR(__xludf.DUMMYFUNCTION("""COMPUTED_VALUE"""),46138.0)</f>
        <v>46138</v>
      </c>
      <c r="C4736" s="2" t="str">
        <f>IFERROR(__xludf.DUMMYFUNCTION("""COMPUTED_VALUE"""),"MOBILECARE - NEWPOINT MALL")</f>
        <v>MOBILECARE - NEWPOINT MALL</v>
      </c>
      <c r="D4736" s="2" t="str">
        <f>IFERROR(__xludf.DUMMYFUNCTION("""COMPUTED_VALUE"""),"661-17920")</f>
        <v>661-17920</v>
      </c>
      <c r="E4736" s="2" t="str">
        <f>IFERROR(__xludf.DUMMYFUNCTION("""COMPUTED_VALUE"""),"Battery, iPhone 12 and 12 Pro")</f>
        <v>Battery, iPhone 12 and 12 Pro</v>
      </c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</row>
    <row r="4737">
      <c r="A4737" s="10" t="str">
        <f t="shared" si="1"/>
        <v>May</v>
      </c>
      <c r="B4737" s="11">
        <f>IFERROR(__xludf.DUMMYFUNCTION("""COMPUTED_VALUE"""),46155.0)</f>
        <v>46155</v>
      </c>
      <c r="C4737" s="2" t="str">
        <f>IFERROR(__xludf.DUMMYFUNCTION("""COMPUTED_VALUE"""),"MOBILECARE - NEWPOINT MALL")</f>
        <v>MOBILECARE - NEWPOINT MALL</v>
      </c>
      <c r="D4737" s="2" t="str">
        <f>IFERROR(__xludf.DUMMYFUNCTION("""COMPUTED_VALUE"""),"PP661-22985")</f>
        <v>PP661-22985</v>
      </c>
      <c r="E4737" s="2" t="str">
        <f>IFERROR(__xludf.DUMMYFUNCTION("""COMPUTED_VALUE"""),"Midnight, 256 GB, iPhone 13, ROW, CI/AR, Philippines")</f>
        <v>Midnight, 256 GB, iPhone 13, ROW, CI/AR, Philippines</v>
      </c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</row>
    <row r="4738">
      <c r="A4738" s="10" t="str">
        <f t="shared" si="1"/>
        <v>March</v>
      </c>
      <c r="B4738" s="11">
        <f>IFERROR(__xludf.DUMMYFUNCTION("""COMPUTED_VALUE"""),46100.0)</f>
        <v>46100</v>
      </c>
      <c r="C4738" s="2" t="str">
        <f>IFERROR(__xludf.DUMMYFUNCTION("""COMPUTED_VALUE"""),"MOBILECARE - NEWPOINT MALL")</f>
        <v>MOBILECARE - NEWPOINT MALL</v>
      </c>
      <c r="D4738" s="2" t="str">
        <f>IFERROR(__xludf.DUMMYFUNCTION("""COMPUTED_VALUE"""),"661-42844")</f>
        <v>661-42844</v>
      </c>
      <c r="E4738" s="2" t="str">
        <f>IFERROR(__xludf.DUMMYFUNCTION("""COMPUTED_VALUE"""),"TrueDepth Camera, iPhone 16 Plus")</f>
        <v>TrueDepth Camera, iPhone 16 Plus</v>
      </c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</row>
    <row r="4739">
      <c r="A4739" s="10" t="str">
        <f t="shared" si="1"/>
        <v>March</v>
      </c>
      <c r="B4739" s="11">
        <f>IFERROR(__xludf.DUMMYFUNCTION("""COMPUTED_VALUE"""),46096.0)</f>
        <v>46096</v>
      </c>
      <c r="C4739" s="2" t="str">
        <f>IFERROR(__xludf.DUMMYFUNCTION("""COMPUTED_VALUE"""),"MOBILECARE - NEWPOINT MALL")</f>
        <v>MOBILECARE - NEWPOINT MALL</v>
      </c>
      <c r="D4739" s="2" t="str">
        <f>IFERROR(__xludf.DUMMYFUNCTION("""COMPUTED_VALUE"""),"923-08128")</f>
        <v>923-08128</v>
      </c>
      <c r="E4739" s="2" t="str">
        <f>IFERROR(__xludf.DUMMYFUNCTION("""COMPUTED_VALUE"""),"Top Speaker, iPhone 14 Pro")</f>
        <v>Top Speaker, iPhone 14 Pro</v>
      </c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</row>
    <row r="4740">
      <c r="A4740" s="10" t="str">
        <f t="shared" si="1"/>
        <v>March</v>
      </c>
      <c r="B4740" s="11">
        <f>IFERROR(__xludf.DUMMYFUNCTION("""COMPUTED_VALUE"""),46096.0)</f>
        <v>46096</v>
      </c>
      <c r="C4740" s="2" t="str">
        <f>IFERROR(__xludf.DUMMYFUNCTION("""COMPUTED_VALUE"""),"MOBILECARE - NEWPOINT MALL")</f>
        <v>MOBILECARE - NEWPOINT MALL</v>
      </c>
      <c r="D4740" s="2" t="str">
        <f>IFERROR(__xludf.DUMMYFUNCTION("""COMPUTED_VALUE"""),"661-30382")</f>
        <v>661-30382</v>
      </c>
      <c r="E4740" s="2" t="str">
        <f>IFERROR(__xludf.DUMMYFUNCTION("""COMPUTED_VALUE"""),"Battery, iPhone 14 Pro")</f>
        <v>Battery, iPhone 14 Pro</v>
      </c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</row>
    <row r="4741">
      <c r="A4741" s="10" t="str">
        <f t="shared" si="1"/>
        <v>April</v>
      </c>
      <c r="B4741" s="11">
        <f>IFERROR(__xludf.DUMMYFUNCTION("""COMPUTED_VALUE"""),46117.0)</f>
        <v>46117</v>
      </c>
      <c r="C4741" s="2" t="str">
        <f>IFERROR(__xludf.DUMMYFUNCTION("""COMPUTED_VALUE"""),"MOBILECARE - NEWPOINT MALL")</f>
        <v>MOBILECARE - NEWPOINT MALL</v>
      </c>
      <c r="D4741" s="2" t="str">
        <f>IFERROR(__xludf.DUMMYFUNCTION("""COMPUTED_VALUE"""),"PP661-28219")</f>
        <v>PP661-28219</v>
      </c>
      <c r="E4741" s="2" t="str">
        <f>IFERROR(__xludf.DUMMYFUNCTION("""COMPUTED_VALUE"""),"Gold, iPhone 14 Pro, 512GB, ROW, CI/AR, Philippines")</f>
        <v>Gold, iPhone 14 Pro, 512GB, ROW, CI/AR, Philippines</v>
      </c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</row>
    <row r="4742">
      <c r="A4742" s="10" t="str">
        <f t="shared" si="1"/>
        <v>March</v>
      </c>
      <c r="B4742" s="11">
        <f>IFERROR(__xludf.DUMMYFUNCTION("""COMPUTED_VALUE"""),46109.0)</f>
        <v>46109</v>
      </c>
      <c r="C4742" s="2" t="str">
        <f>IFERROR(__xludf.DUMMYFUNCTION("""COMPUTED_VALUE"""),"MOBILECARE - NEWPOINT MALL")</f>
        <v>MOBILECARE - NEWPOINT MALL</v>
      </c>
      <c r="D4742" s="2" t="str">
        <f>IFERROR(__xludf.DUMMYFUNCTION("""COMPUTED_VALUE"""),"PP661-23455")</f>
        <v>PP661-23455</v>
      </c>
      <c r="E4742" s="2" t="str">
        <f>IFERROR(__xludf.DUMMYFUNCTION("""COMPUTED_VALUE"""),"iPhone 13, Starlight, 128GB, Logic Board Assy Rear System, ROW")</f>
        <v>iPhone 13, Starlight, 128GB, Logic Board Assy Rear System, ROW</v>
      </c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</row>
    <row r="4743">
      <c r="A4743" s="10" t="str">
        <f t="shared" si="1"/>
        <v>March</v>
      </c>
      <c r="B4743" s="11">
        <f>IFERROR(__xludf.DUMMYFUNCTION("""COMPUTED_VALUE"""),46088.0)</f>
        <v>46088</v>
      </c>
      <c r="C4743" s="2" t="str">
        <f>IFERROR(__xludf.DUMMYFUNCTION("""COMPUTED_VALUE"""),"MOBILECARE - NEWPOINT MALL")</f>
        <v>MOBILECARE - NEWPOINT MALL</v>
      </c>
      <c r="D4743" s="2" t="str">
        <f>IFERROR(__xludf.DUMMYFUNCTION("""COMPUTED_VALUE"""),"661-56051")</f>
        <v>661-56051</v>
      </c>
      <c r="E4743" s="2" t="str">
        <f>IFERROR(__xludf.DUMMYFUNCTION("""COMPUTED_VALUE"""),"Front Camera, iPhone 17 Pro Max")</f>
        <v>Front Camera, iPhone 17 Pro Max</v>
      </c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</row>
    <row r="4744">
      <c r="A4744" s="10" t="str">
        <f t="shared" si="1"/>
        <v>March</v>
      </c>
      <c r="B4744" s="11">
        <f>IFERROR(__xludf.DUMMYFUNCTION("""COMPUTED_VALUE"""),46085.0)</f>
        <v>46085</v>
      </c>
      <c r="C4744" s="2" t="str">
        <f>IFERROR(__xludf.DUMMYFUNCTION("""COMPUTED_VALUE"""),"MOBILECARE - NEWPOINT MALL")</f>
        <v>MOBILECARE - NEWPOINT MALL</v>
      </c>
      <c r="D4744" s="2" t="str">
        <f>IFERROR(__xludf.DUMMYFUNCTION("""COMPUTED_VALUE"""),"661-30382")</f>
        <v>661-30382</v>
      </c>
      <c r="E4744" s="2" t="str">
        <f>IFERROR(__xludf.DUMMYFUNCTION("""COMPUTED_VALUE"""),"Battery, iPhone 14 Pro")</f>
        <v>Battery, iPhone 14 Pro</v>
      </c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</row>
    <row r="4745">
      <c r="A4745" s="10" t="str">
        <f t="shared" si="1"/>
        <v>March</v>
      </c>
      <c r="B4745" s="11">
        <f>IFERROR(__xludf.DUMMYFUNCTION("""COMPUTED_VALUE"""),46092.0)</f>
        <v>46092</v>
      </c>
      <c r="C4745" s="2" t="str">
        <f>IFERROR(__xludf.DUMMYFUNCTION("""COMPUTED_VALUE"""),"MOBILECARE - NEWPOINT MALL")</f>
        <v>MOBILECARE - NEWPOINT MALL</v>
      </c>
      <c r="D4745" s="2" t="str">
        <f>IFERROR(__xludf.DUMMYFUNCTION("""COMPUTED_VALUE"""),"TA661-36896")</f>
        <v>TA661-36896</v>
      </c>
      <c r="E4745" s="2" t="str">
        <f>IFERROR(__xludf.DUMMYFUNCTION("""COMPUTED_VALUE"""),"Natural, iPhone 15 Pro Max, 256GB, ROW, CI/AR, Taiwan")</f>
        <v>Natural, iPhone 15 Pro Max, 256GB, ROW, CI/AR, Taiwan</v>
      </c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</row>
    <row r="4746">
      <c r="A4746" s="10" t="str">
        <f t="shared" si="1"/>
        <v>March</v>
      </c>
      <c r="B4746" s="11">
        <f>IFERROR(__xludf.DUMMYFUNCTION("""COMPUTED_VALUE"""),46086.0)</f>
        <v>46086</v>
      </c>
      <c r="C4746" s="2" t="str">
        <f>IFERROR(__xludf.DUMMYFUNCTION("""COMPUTED_VALUE"""),"MOBILECARE - NEWPOINT MALL")</f>
        <v>MOBILECARE - NEWPOINT MALL</v>
      </c>
      <c r="D4746" s="2" t="str">
        <f>IFERROR(__xludf.DUMMYFUNCTION("""COMPUTED_VALUE"""),"661-21991")</f>
        <v>661-21991</v>
      </c>
      <c r="E4746" s="2" t="str">
        <f>IFERROR(__xludf.DUMMYFUNCTION("""COMPUTED_VALUE"""),"Battery, iPhone 13")</f>
        <v>Battery, iPhone 13</v>
      </c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</row>
    <row r="4747">
      <c r="A4747" s="10" t="str">
        <f t="shared" si="1"/>
        <v>February</v>
      </c>
      <c r="B4747" s="11">
        <f>IFERROR(__xludf.DUMMYFUNCTION("""COMPUTED_VALUE"""),46074.0)</f>
        <v>46074</v>
      </c>
      <c r="C4747" s="2" t="str">
        <f>IFERROR(__xludf.DUMMYFUNCTION("""COMPUTED_VALUE"""),"MOBILECARE - NEWPOINT MALL")</f>
        <v>MOBILECARE - NEWPOINT MALL</v>
      </c>
      <c r="D4747" s="2" t="str">
        <f>IFERROR(__xludf.DUMMYFUNCTION("""COMPUTED_VALUE"""),"661-32232")</f>
        <v>661-32232</v>
      </c>
      <c r="E4747" s="2" t="str">
        <f>IFERROR(__xludf.DUMMYFUNCTION("""COMPUTED_VALUE"""),"Rear Camera, iPhone 13/mini, MICN")</f>
        <v>Rear Camera, iPhone 13/mini, MICN</v>
      </c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</row>
    <row r="4748">
      <c r="A4748" s="10" t="str">
        <f t="shared" si="1"/>
        <v>February</v>
      </c>
      <c r="B4748" s="11">
        <f>IFERROR(__xludf.DUMMYFUNCTION("""COMPUTED_VALUE"""),46074.0)</f>
        <v>46074</v>
      </c>
      <c r="C4748" s="2" t="str">
        <f>IFERROR(__xludf.DUMMYFUNCTION("""COMPUTED_VALUE"""),"MOBILECARE - NEWPOINT MALL")</f>
        <v>MOBILECARE - NEWPOINT MALL</v>
      </c>
      <c r="D4748" s="2" t="str">
        <f>IFERROR(__xludf.DUMMYFUNCTION("""COMPUTED_VALUE"""),"TA661-43611")</f>
        <v>TA661-43611</v>
      </c>
      <c r="E4748" s="2" t="str">
        <f>IFERROR(__xludf.DUMMYFUNCTION("""COMPUTED_VALUE"""),"256GB, White, ROW, iPhone 16, Logic Board Assy Mid System")</f>
        <v>256GB, White, ROW, iPhone 16, Logic Board Assy Mid System</v>
      </c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</row>
    <row r="4749">
      <c r="A4749" s="10" t="str">
        <f t="shared" si="1"/>
        <v>February</v>
      </c>
      <c r="B4749" s="11">
        <f>IFERROR(__xludf.DUMMYFUNCTION("""COMPUTED_VALUE"""),46075.0)</f>
        <v>46075</v>
      </c>
      <c r="C4749" s="2" t="str">
        <f>IFERROR(__xludf.DUMMYFUNCTION("""COMPUTED_VALUE"""),"MOBILECARE - NEWPOINT MALL")</f>
        <v>MOBILECARE - NEWPOINT MALL</v>
      </c>
      <c r="D4749" s="2" t="str">
        <f>IFERROR(__xludf.DUMMYFUNCTION("""COMPUTED_VALUE"""),"TA661-49965")</f>
        <v>TA661-49965</v>
      </c>
      <c r="E4749" s="2" t="str">
        <f>IFERROR(__xludf.DUMMYFUNCTION("""COMPUTED_VALUE"""),"White, 128GB, Logic Board Assy Mid System, iPhone 16e, ROW")</f>
        <v>White, 128GB, Logic Board Assy Mid System, iPhone 16e, ROW</v>
      </c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</row>
    <row r="4750">
      <c r="A4750" s="10" t="str">
        <f t="shared" si="1"/>
        <v>February</v>
      </c>
      <c r="B4750" s="11">
        <f>IFERROR(__xludf.DUMMYFUNCTION("""COMPUTED_VALUE"""),46054.0)</f>
        <v>46054</v>
      </c>
      <c r="C4750" s="2" t="str">
        <f>IFERROR(__xludf.DUMMYFUNCTION("""COMPUTED_VALUE"""),"MOBILECARE - NEWPOINT MALL")</f>
        <v>MOBILECARE - NEWPOINT MALL</v>
      </c>
      <c r="D4750" s="2" t="str">
        <f>IFERROR(__xludf.DUMMYFUNCTION("""COMPUTED_VALUE"""),"661-17920")</f>
        <v>661-17920</v>
      </c>
      <c r="E4750" s="2" t="str">
        <f>IFERROR(__xludf.DUMMYFUNCTION("""COMPUTED_VALUE"""),"Battery, iPhone 12 and 12 Pro")</f>
        <v>Battery, iPhone 12 and 12 Pro</v>
      </c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</row>
    <row r="4751">
      <c r="A4751" s="10" t="str">
        <f t="shared" si="1"/>
        <v>February</v>
      </c>
      <c r="B4751" s="11">
        <f>IFERROR(__xludf.DUMMYFUNCTION("""COMPUTED_VALUE"""),46059.0)</f>
        <v>46059</v>
      </c>
      <c r="C4751" s="2" t="str">
        <f>IFERROR(__xludf.DUMMYFUNCTION("""COMPUTED_VALUE"""),"MOBILECARE - NEWPOINT MALL")</f>
        <v>MOBILECARE - NEWPOINT MALL</v>
      </c>
      <c r="D4751" s="2" t="str">
        <f>IFERROR(__xludf.DUMMYFUNCTION("""COMPUTED_VALUE"""),"661-21991")</f>
        <v>661-21991</v>
      </c>
      <c r="E4751" s="2" t="str">
        <f>IFERROR(__xludf.DUMMYFUNCTION("""COMPUTED_VALUE"""),"Battery, iPhone 13")</f>
        <v>Battery, iPhone 13</v>
      </c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</row>
    <row r="4752">
      <c r="A4752" s="10" t="str">
        <f t="shared" si="1"/>
        <v>February</v>
      </c>
      <c r="B4752" s="11">
        <f>IFERROR(__xludf.DUMMYFUNCTION("""COMPUTED_VALUE"""),46077.0)</f>
        <v>46077</v>
      </c>
      <c r="C4752" s="2" t="str">
        <f>IFERROR(__xludf.DUMMYFUNCTION("""COMPUTED_VALUE"""),"MOBILECARE - NEWPOINT MALL")</f>
        <v>MOBILECARE - NEWPOINT MALL</v>
      </c>
      <c r="D4752" s="2" t="str">
        <f>IFERROR(__xludf.DUMMYFUNCTION("""COMPUTED_VALUE"""),"PP661-23454")</f>
        <v>PP661-23454</v>
      </c>
      <c r="E4752" s="2" t="str">
        <f>IFERROR(__xludf.DUMMYFUNCTION("""COMPUTED_VALUE"""),"iPhone 13, Midnight, 128GB, Logic Board Assy Rear System, ROW")</f>
        <v>iPhone 13, Midnight, 128GB, Logic Board Assy Rear System, ROW</v>
      </c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</row>
    <row r="4753">
      <c r="A4753" s="10" t="str">
        <f t="shared" si="1"/>
        <v>February</v>
      </c>
      <c r="B4753" s="11">
        <f>IFERROR(__xludf.DUMMYFUNCTION("""COMPUTED_VALUE"""),46058.0)</f>
        <v>46058</v>
      </c>
      <c r="C4753" s="2" t="str">
        <f>IFERROR(__xludf.DUMMYFUNCTION("""COMPUTED_VALUE"""),"MOBILECARE - NEWPOINT MALL")</f>
        <v>MOBILECARE - NEWPOINT MALL</v>
      </c>
      <c r="D4753" s="2" t="str">
        <f>IFERROR(__xludf.DUMMYFUNCTION("""COMPUTED_VALUE"""),"661-21988")</f>
        <v>661-21988</v>
      </c>
      <c r="E4753" s="2" t="str">
        <f>IFERROR(__xludf.DUMMYFUNCTION("""COMPUTED_VALUE"""),"Display, iPhone 13")</f>
        <v>Display, iPhone 13</v>
      </c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</row>
    <row r="4754">
      <c r="A4754" s="10" t="str">
        <f t="shared" si="1"/>
        <v>February</v>
      </c>
      <c r="B4754" s="11">
        <f>IFERROR(__xludf.DUMMYFUNCTION("""COMPUTED_VALUE"""),46067.0)</f>
        <v>46067</v>
      </c>
      <c r="C4754" s="2" t="str">
        <f>IFERROR(__xludf.DUMMYFUNCTION("""COMPUTED_VALUE"""),"MOBILECARE - NEWPOINT MALL")</f>
        <v>MOBILECARE - NEWPOINT MALL</v>
      </c>
      <c r="D4754" s="2" t="str">
        <f>IFERROR(__xludf.DUMMYFUNCTION("""COMPUTED_VALUE"""),"PP661-23454")</f>
        <v>PP661-23454</v>
      </c>
      <c r="E4754" s="2" t="str">
        <f>IFERROR(__xludf.DUMMYFUNCTION("""COMPUTED_VALUE"""),"iPhone 13, Midnight, 128GB, Logic Board Assy Rear System, ROW")</f>
        <v>iPhone 13, Midnight, 128GB, Logic Board Assy Rear System, ROW</v>
      </c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</row>
    <row r="4755">
      <c r="A4755" s="10" t="str">
        <f t="shared" si="1"/>
        <v>June</v>
      </c>
      <c r="B4755" s="11">
        <f>IFERROR(__xludf.DUMMYFUNCTION("""COMPUTED_VALUE"""),46175.0)</f>
        <v>46175</v>
      </c>
      <c r="C4755" s="2" t="str">
        <f>IFERROR(__xludf.DUMMYFUNCTION("""COMPUTED_VALUE"""),"MOBILECARE - NEWPOINT MALL")</f>
        <v>MOBILECARE - NEWPOINT MALL</v>
      </c>
      <c r="D4755" s="2" t="str">
        <f>IFERROR(__xludf.DUMMYFUNCTION("""COMPUTED_VALUE"""),"661-21991")</f>
        <v>661-21991</v>
      </c>
      <c r="E4755" s="2" t="str">
        <f>IFERROR(__xludf.DUMMYFUNCTION("""COMPUTED_VALUE"""),"Battery, iPhone 13")</f>
        <v>Battery, iPhone 13</v>
      </c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</row>
    <row r="4756">
      <c r="A4756" s="10" t="str">
        <f t="shared" si="1"/>
        <v>June</v>
      </c>
      <c r="B4756" s="11">
        <f>IFERROR(__xludf.DUMMYFUNCTION("""COMPUTED_VALUE"""),46187.0)</f>
        <v>46187</v>
      </c>
      <c r="C4756" s="2" t="str">
        <f>IFERROR(__xludf.DUMMYFUNCTION("""COMPUTED_VALUE"""),"MOBILECARE - NEWPOINT MALL")</f>
        <v>MOBILECARE - NEWPOINT MALL</v>
      </c>
      <c r="D4756" s="2" t="str">
        <f>IFERROR(__xludf.DUMMYFUNCTION("""COMPUTED_VALUE"""),"PP661-23454")</f>
        <v>PP661-23454</v>
      </c>
      <c r="E4756" s="2" t="str">
        <f>IFERROR(__xludf.DUMMYFUNCTION("""COMPUTED_VALUE"""),"iPhone 13, Midnight, 128GB, Logic Board Assy Rear System, ROW")</f>
        <v>iPhone 13, Midnight, 128GB, Logic Board Assy Rear System, ROW</v>
      </c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</row>
    <row r="4757">
      <c r="A4757" s="10" t="str">
        <f t="shared" si="1"/>
        <v>June</v>
      </c>
      <c r="B4757" s="11">
        <f>IFERROR(__xludf.DUMMYFUNCTION("""COMPUTED_VALUE"""),46186.0)</f>
        <v>46186</v>
      </c>
      <c r="C4757" s="2" t="str">
        <f>IFERROR(__xludf.DUMMYFUNCTION("""COMPUTED_VALUE"""),"MOBILECARE - NEWPOINT MALL")</f>
        <v>MOBILECARE - NEWPOINT MALL</v>
      </c>
      <c r="D4757" s="2" t="str">
        <f>IFERROR(__xludf.DUMMYFUNCTION("""COMPUTED_VALUE"""),"PP661-28868")</f>
        <v>PP661-28868</v>
      </c>
      <c r="E4757" s="2" t="str">
        <f>IFERROR(__xludf.DUMMYFUNCTION("""COMPUTED_VALUE"""),"iPhone 14, Midnight, 128GB, Logic Board Assy Mid System, ROW")</f>
        <v>iPhone 14, Midnight, 128GB, Logic Board Assy Mid System, ROW</v>
      </c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</row>
    <row r="4758">
      <c r="A4758" s="10" t="str">
        <f t="shared" si="1"/>
        <v>April</v>
      </c>
      <c r="B4758" s="11">
        <f>IFERROR(__xludf.DUMMYFUNCTION("""COMPUTED_VALUE"""),46123.0)</f>
        <v>46123</v>
      </c>
      <c r="C4758" s="2" t="str">
        <f>IFERROR(__xludf.DUMMYFUNCTION("""COMPUTED_VALUE"""),"MOBILECARE - NEWPOINT MALL")</f>
        <v>MOBILECARE - NEWPOINT MALL</v>
      </c>
      <c r="D4758" s="2" t="str">
        <f>IFERROR(__xludf.DUMMYFUNCTION("""COMPUTED_VALUE"""),"661-44956")</f>
        <v>661-44956</v>
      </c>
      <c r="E4758" s="2" t="str">
        <f>IFERROR(__xludf.DUMMYFUNCTION("""COMPUTED_VALUE"""),"TrueDepth Camera, iPhone 16 Pro Max")</f>
        <v>TrueDepth Camera, iPhone 16 Pro Max</v>
      </c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</row>
    <row r="4759">
      <c r="A4759" s="10" t="str">
        <f t="shared" si="1"/>
        <v>March</v>
      </c>
      <c r="B4759" s="11">
        <f>IFERROR(__xludf.DUMMYFUNCTION("""COMPUTED_VALUE"""),46108.0)</f>
        <v>46108</v>
      </c>
      <c r="C4759" s="2" t="str">
        <f>IFERROR(__xludf.DUMMYFUNCTION("""COMPUTED_VALUE"""),"MOBILECARE - NEWPOINT MALL")</f>
        <v>MOBILECARE - NEWPOINT MALL</v>
      </c>
      <c r="D4759" s="2" t="str">
        <f>IFERROR(__xludf.DUMMYFUNCTION("""COMPUTED_VALUE"""),"661-56050")</f>
        <v>661-56050</v>
      </c>
      <c r="E4759" s="2" t="str">
        <f>IFERROR(__xludf.DUMMYFUNCTION("""COMPUTED_VALUE"""),"Display, iPhone 17 Pro Max")</f>
        <v>Display, iPhone 17 Pro Max</v>
      </c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</row>
    <row r="4760">
      <c r="A4760" s="10" t="str">
        <f t="shared" si="1"/>
        <v>March</v>
      </c>
      <c r="B4760" s="11">
        <f>IFERROR(__xludf.DUMMYFUNCTION("""COMPUTED_VALUE"""),46110.0)</f>
        <v>46110</v>
      </c>
      <c r="C4760" s="2" t="str">
        <f>IFERROR(__xludf.DUMMYFUNCTION("""COMPUTED_VALUE"""),"MOBILECARE - NEWPOINT MALL")</f>
        <v>MOBILECARE - NEWPOINT MALL</v>
      </c>
      <c r="D4760" s="2" t="str">
        <f>IFERROR(__xludf.DUMMYFUNCTION("""COMPUTED_VALUE"""),"661-21991")</f>
        <v>661-21991</v>
      </c>
      <c r="E4760" s="2" t="str">
        <f>IFERROR(__xludf.DUMMYFUNCTION("""COMPUTED_VALUE"""),"Battery, iPhone 13")</f>
        <v>Battery, iPhone 13</v>
      </c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</row>
    <row r="4761">
      <c r="A4761" s="10" t="str">
        <f t="shared" si="1"/>
        <v>March</v>
      </c>
      <c r="B4761" s="11">
        <f>IFERROR(__xludf.DUMMYFUNCTION("""COMPUTED_VALUE"""),46101.0)</f>
        <v>46101</v>
      </c>
      <c r="C4761" s="2" t="str">
        <f>IFERROR(__xludf.DUMMYFUNCTION("""COMPUTED_VALUE"""),"MOBILECARE - NEWPOINT MALL")</f>
        <v>MOBILECARE - NEWPOINT MALL</v>
      </c>
      <c r="D4761" s="2" t="str">
        <f>IFERROR(__xludf.DUMMYFUNCTION("""COMPUTED_VALUE"""),"661-42726")</f>
        <v>661-42726</v>
      </c>
      <c r="E4761" s="2" t="str">
        <f>IFERROR(__xludf.DUMMYFUNCTION("""COMPUTED_VALUE"""),"Display, iPhone 16 Pro")</f>
        <v>Display, iPhone 16 Pro</v>
      </c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</row>
    <row r="4762">
      <c r="A4762" s="10" t="str">
        <f t="shared" si="1"/>
        <v>March</v>
      </c>
      <c r="B4762" s="11">
        <f>IFERROR(__xludf.DUMMYFUNCTION("""COMPUTED_VALUE"""),46101.0)</f>
        <v>46101</v>
      </c>
      <c r="C4762" s="2" t="str">
        <f>IFERROR(__xludf.DUMMYFUNCTION("""COMPUTED_VALUE"""),"MOBILECARE - NEWPOINT MALL")</f>
        <v>MOBILECARE - NEWPOINT MALL</v>
      </c>
      <c r="D4762" s="2" t="str">
        <f>IFERROR(__xludf.DUMMYFUNCTION("""COMPUTED_VALUE"""),"661-30382")</f>
        <v>661-30382</v>
      </c>
      <c r="E4762" s="2" t="str">
        <f>IFERROR(__xludf.DUMMYFUNCTION("""COMPUTED_VALUE"""),"Battery, iPhone 14 Pro")</f>
        <v>Battery, iPhone 14 Pro</v>
      </c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</row>
    <row r="4763">
      <c r="A4763" s="10" t="str">
        <f t="shared" si="1"/>
        <v>March</v>
      </c>
      <c r="B4763" s="11">
        <f>IFERROR(__xludf.DUMMYFUNCTION("""COMPUTED_VALUE"""),46083.0)</f>
        <v>46083</v>
      </c>
      <c r="C4763" s="2" t="str">
        <f>IFERROR(__xludf.DUMMYFUNCTION("""COMPUTED_VALUE"""),"MOBILECARE - NEWPOINT MALL")</f>
        <v>MOBILECARE - NEWPOINT MALL</v>
      </c>
      <c r="D4763" s="2" t="str">
        <f>IFERROR(__xludf.DUMMYFUNCTION("""COMPUTED_VALUE"""),"661-35694")</f>
        <v>661-35694</v>
      </c>
      <c r="E4763" s="2" t="str">
        <f>IFERROR(__xludf.DUMMYFUNCTION("""COMPUTED_VALUE"""),"Battery, iPhone 15 Pro")</f>
        <v>Battery, iPhone 15 Pro</v>
      </c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</row>
    <row r="4764">
      <c r="A4764" s="10" t="str">
        <f t="shared" si="1"/>
        <v>March</v>
      </c>
      <c r="B4764" s="11">
        <f>IFERROR(__xludf.DUMMYFUNCTION("""COMPUTED_VALUE"""),46092.0)</f>
        <v>46092</v>
      </c>
      <c r="C4764" s="2" t="str">
        <f>IFERROR(__xludf.DUMMYFUNCTION("""COMPUTED_VALUE"""),"MOBILECARE - NEWPOINT MALL")</f>
        <v>MOBILECARE - NEWPOINT MALL</v>
      </c>
      <c r="D4764" s="2" t="str">
        <f>IFERROR(__xludf.DUMMYFUNCTION("""COMPUTED_VALUE"""),"PP661-23454")</f>
        <v>PP661-23454</v>
      </c>
      <c r="E4764" s="2" t="str">
        <f>IFERROR(__xludf.DUMMYFUNCTION("""COMPUTED_VALUE"""),"iPhone 13, Midnight, 128GB, Logic Board Assy Rear System, ROW")</f>
        <v>iPhone 13, Midnight, 128GB, Logic Board Assy Rear System, ROW</v>
      </c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</row>
    <row r="4765">
      <c r="A4765" s="10" t="str">
        <f t="shared" si="1"/>
        <v>February</v>
      </c>
      <c r="B4765" s="11">
        <f>IFERROR(__xludf.DUMMYFUNCTION("""COMPUTED_VALUE"""),46074.0)</f>
        <v>46074</v>
      </c>
      <c r="C4765" s="2" t="str">
        <f>IFERROR(__xludf.DUMMYFUNCTION("""COMPUTED_VALUE"""),"MOBILECARE - NEWPOINT MALL")</f>
        <v>MOBILECARE - NEWPOINT MALL</v>
      </c>
      <c r="D4765" s="2" t="str">
        <f>IFERROR(__xludf.DUMMYFUNCTION("""COMPUTED_VALUE"""),"TA661-45232")</f>
        <v>TA661-45232</v>
      </c>
      <c r="E4765" s="2" t="str">
        <f>IFERROR(__xludf.DUMMYFUNCTION("""COMPUTED_VALUE"""),"128GB, White, ROW, iPhone 16 Plus, Logic Board Assy Mid System")</f>
        <v>128GB, White, ROW, iPhone 16 Plus, Logic Board Assy Mid System</v>
      </c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</row>
    <row r="4766">
      <c r="A4766" s="10" t="str">
        <f t="shared" si="1"/>
        <v>January</v>
      </c>
      <c r="B4766" s="11">
        <f>IFERROR(__xludf.DUMMYFUNCTION("""COMPUTED_VALUE"""),46035.0)</f>
        <v>46035</v>
      </c>
      <c r="C4766" s="2" t="str">
        <f>IFERROR(__xludf.DUMMYFUNCTION("""COMPUTED_VALUE"""),"MOBILECARE - NEWPOINT MALL")</f>
        <v>MOBILECARE - NEWPOINT MALL</v>
      </c>
      <c r="D4766" s="2" t="str">
        <f>IFERROR(__xludf.DUMMYFUNCTION("""COMPUTED_VALUE"""),"661-13574")</f>
        <v>661-13574</v>
      </c>
      <c r="E4766" s="2" t="str">
        <f>IFERROR(__xludf.DUMMYFUNCTION("""COMPUTED_VALUE"""),"Battery, iPhone 11")</f>
        <v>Battery, iPhone 11</v>
      </c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</row>
    <row r="4767">
      <c r="A4767" s="10" t="str">
        <f t="shared" si="1"/>
        <v>June</v>
      </c>
      <c r="B4767" s="11">
        <f>IFERROR(__xludf.DUMMYFUNCTION("""COMPUTED_VALUE"""),46179.0)</f>
        <v>46179</v>
      </c>
      <c r="C4767" s="2" t="str">
        <f>IFERROR(__xludf.DUMMYFUNCTION("""COMPUTED_VALUE"""),"MOBILECARE - NEWPOINT MALL")</f>
        <v>MOBILECARE - NEWPOINT MALL</v>
      </c>
      <c r="D4767" s="2" t="str">
        <f>IFERROR(__xludf.DUMMYFUNCTION("""COMPUTED_VALUE"""),"661-22294")</f>
        <v>661-22294</v>
      </c>
      <c r="E4767" s="2" t="str">
        <f>IFERROR(__xludf.DUMMYFUNCTION("""COMPUTED_VALUE"""),"Battery, iPhone 13 Pro Max")</f>
        <v>Battery, iPhone 13 Pro Max</v>
      </c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</row>
    <row r="4768">
      <c r="A4768" s="10" t="str">
        <f t="shared" si="1"/>
        <v>May</v>
      </c>
      <c r="B4768" s="11">
        <f>IFERROR(__xludf.DUMMYFUNCTION("""COMPUTED_VALUE"""),46172.0)</f>
        <v>46172</v>
      </c>
      <c r="C4768" s="2" t="str">
        <f>IFERROR(__xludf.DUMMYFUNCTION("""COMPUTED_VALUE"""),"MOBILECARE - NEWPOINT MALL")</f>
        <v>MOBILECARE - NEWPOINT MALL</v>
      </c>
      <c r="D4768" s="2" t="str">
        <f>IFERROR(__xludf.DUMMYFUNCTION("""COMPUTED_VALUE"""),"661-56065")</f>
        <v>661-56065</v>
      </c>
      <c r="E4768" s="2" t="str">
        <f>IFERROR(__xludf.DUMMYFUNCTION("""COMPUTED_VALUE"""),"Display, iPhone 17")</f>
        <v>Display, iPhone 17</v>
      </c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</row>
    <row r="4769">
      <c r="A4769" s="10" t="str">
        <f t="shared" si="1"/>
        <v>May</v>
      </c>
      <c r="B4769" s="11">
        <f>IFERROR(__xludf.DUMMYFUNCTION("""COMPUTED_VALUE"""),46164.0)</f>
        <v>46164</v>
      </c>
      <c r="C4769" s="2" t="str">
        <f>IFERROR(__xludf.DUMMYFUNCTION("""COMPUTED_VALUE"""),"MOBILECARE - NEWPOINT MALL")</f>
        <v>MOBILECARE - NEWPOINT MALL</v>
      </c>
      <c r="D4769" s="2" t="str">
        <f>IFERROR(__xludf.DUMMYFUNCTION("""COMPUTED_VALUE"""),"661-21988")</f>
        <v>661-21988</v>
      </c>
      <c r="E4769" s="2" t="str">
        <f>IFERROR(__xludf.DUMMYFUNCTION("""COMPUTED_VALUE"""),"Display, iPhone 13")</f>
        <v>Display, iPhone 13</v>
      </c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</row>
    <row r="4770">
      <c r="A4770" s="10" t="str">
        <f t="shared" si="1"/>
        <v>June</v>
      </c>
      <c r="B4770" s="11">
        <f>IFERROR(__xludf.DUMMYFUNCTION("""COMPUTED_VALUE"""),46178.0)</f>
        <v>46178</v>
      </c>
      <c r="C4770" s="2" t="str">
        <f>IFERROR(__xludf.DUMMYFUNCTION("""COMPUTED_VALUE"""),"MOBILECARE - NEWPOINT MALL")</f>
        <v>MOBILECARE - NEWPOINT MALL</v>
      </c>
      <c r="D4770" s="2" t="str">
        <f>IFERROR(__xludf.DUMMYFUNCTION("""COMPUTED_VALUE"""),"TA661-55208")</f>
        <v>TA661-55208</v>
      </c>
      <c r="E4770" s="2" t="str">
        <f>IFERROR(__xludf.DUMMYFUNCTION("""COMPUTED_VALUE"""),"Deep Blue, 256GB, iPhone 17 Pro Max, ROW, CI/AR, Taiwan")</f>
        <v>Deep Blue, 256GB, iPhone 17 Pro Max, ROW, CI/AR, Taiwan</v>
      </c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</row>
    <row r="4771">
      <c r="A4771" s="10" t="str">
        <f t="shared" si="1"/>
        <v>April</v>
      </c>
      <c r="B4771" s="11">
        <f>IFERROR(__xludf.DUMMYFUNCTION("""COMPUTED_VALUE"""),46139.0)</f>
        <v>46139</v>
      </c>
      <c r="C4771" s="2" t="str">
        <f>IFERROR(__xludf.DUMMYFUNCTION("""COMPUTED_VALUE"""),"MOBILECARE - NEWPOINT MALL")</f>
        <v>MOBILECARE - NEWPOINT MALL</v>
      </c>
      <c r="D4771" s="2" t="str">
        <f>IFERROR(__xludf.DUMMYFUNCTION("""COMPUTED_VALUE"""),"661-44955")</f>
        <v>661-44955</v>
      </c>
      <c r="E4771" s="2" t="str">
        <f>IFERROR(__xludf.DUMMYFUNCTION("""COMPUTED_VALUE"""),"Display, iPhone 16 Pro Max")</f>
        <v>Display, iPhone 16 Pro Max</v>
      </c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</row>
    <row r="4772">
      <c r="A4772" s="10" t="str">
        <f t="shared" si="1"/>
        <v>May</v>
      </c>
      <c r="B4772" s="11">
        <f>IFERROR(__xludf.DUMMYFUNCTION("""COMPUTED_VALUE"""),46145.0)</f>
        <v>46145</v>
      </c>
      <c r="C4772" s="2" t="str">
        <f>IFERROR(__xludf.DUMMYFUNCTION("""COMPUTED_VALUE"""),"MOBILECARE - NEWPOINT MALL")</f>
        <v>MOBILECARE - NEWPOINT MALL</v>
      </c>
      <c r="D4772" s="2" t="str">
        <f>IFERROR(__xludf.DUMMYFUNCTION("""COMPUTED_VALUE"""),"PP661-23455")</f>
        <v>PP661-23455</v>
      </c>
      <c r="E4772" s="2" t="str">
        <f>IFERROR(__xludf.DUMMYFUNCTION("""COMPUTED_VALUE"""),"iPhone 13, Starlight, 128GB, Logic Board Assy Rear System, ROW")</f>
        <v>iPhone 13, Starlight, 128GB, Logic Board Assy Rear System, ROW</v>
      </c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</row>
    <row r="4773">
      <c r="A4773" s="10" t="str">
        <f t="shared" si="1"/>
        <v>April</v>
      </c>
      <c r="B4773" s="11">
        <f>IFERROR(__xludf.DUMMYFUNCTION("""COMPUTED_VALUE"""),46126.0)</f>
        <v>46126</v>
      </c>
      <c r="C4773" s="2" t="str">
        <f>IFERROR(__xludf.DUMMYFUNCTION("""COMPUTED_VALUE"""),"MOBILECARE - NEWPOINT MALL")</f>
        <v>MOBILECARE - NEWPOINT MALL</v>
      </c>
      <c r="D4773" s="2" t="str">
        <f>IFERROR(__xludf.DUMMYFUNCTION("""COMPUTED_VALUE"""),"661-44955")</f>
        <v>661-44955</v>
      </c>
      <c r="E4773" s="2" t="str">
        <f>IFERROR(__xludf.DUMMYFUNCTION("""COMPUTED_VALUE"""),"Display, iPhone 16 Pro Max")</f>
        <v>Display, iPhone 16 Pro Max</v>
      </c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</row>
    <row r="4774">
      <c r="A4774" s="10" t="str">
        <f t="shared" si="1"/>
        <v>April</v>
      </c>
      <c r="B4774" s="11">
        <f>IFERROR(__xludf.DUMMYFUNCTION("""COMPUTED_VALUE"""),46126.0)</f>
        <v>46126</v>
      </c>
      <c r="C4774" s="2" t="str">
        <f>IFERROR(__xludf.DUMMYFUNCTION("""COMPUTED_VALUE"""),"MOBILECARE - NEWPOINT MALL")</f>
        <v>MOBILECARE - NEWPOINT MALL</v>
      </c>
      <c r="D4774" s="2" t="str">
        <f>IFERROR(__xludf.DUMMYFUNCTION("""COMPUTED_VALUE"""),"661-44956")</f>
        <v>661-44956</v>
      </c>
      <c r="E4774" s="2" t="str">
        <f>IFERROR(__xludf.DUMMYFUNCTION("""COMPUTED_VALUE"""),"TrueDepth Camera, iPhone 16 Pro Max")</f>
        <v>TrueDepth Camera, iPhone 16 Pro Max</v>
      </c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</row>
    <row r="4775">
      <c r="A4775" s="10" t="str">
        <f t="shared" si="1"/>
        <v>March</v>
      </c>
      <c r="B4775" s="11">
        <f>IFERROR(__xludf.DUMMYFUNCTION("""COMPUTED_VALUE"""),46100.0)</f>
        <v>46100</v>
      </c>
      <c r="C4775" s="2" t="str">
        <f>IFERROR(__xludf.DUMMYFUNCTION("""COMPUTED_VALUE"""),"MOBILECARE - NEWPOINT MALL")</f>
        <v>MOBILECARE - NEWPOINT MALL</v>
      </c>
      <c r="D4775" s="2" t="str">
        <f>IFERROR(__xludf.DUMMYFUNCTION("""COMPUTED_VALUE"""),"661-44956")</f>
        <v>661-44956</v>
      </c>
      <c r="E4775" s="2" t="str">
        <f>IFERROR(__xludf.DUMMYFUNCTION("""COMPUTED_VALUE"""),"TrueDepth Camera, iPhone 16 Pro Max")</f>
        <v>TrueDepth Camera, iPhone 16 Pro Max</v>
      </c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</row>
    <row r="4776">
      <c r="A4776" s="10" t="str">
        <f t="shared" si="1"/>
        <v>February</v>
      </c>
      <c r="B4776" s="11">
        <f>IFERROR(__xludf.DUMMYFUNCTION("""COMPUTED_VALUE"""),46081.0)</f>
        <v>46081</v>
      </c>
      <c r="C4776" s="2" t="str">
        <f>IFERROR(__xludf.DUMMYFUNCTION("""COMPUTED_VALUE"""),"MOBILECARE - NEWPOINT MALL")</f>
        <v>MOBILECARE - NEWPOINT MALL</v>
      </c>
      <c r="D4776" s="2" t="str">
        <f>IFERROR(__xludf.DUMMYFUNCTION("""COMPUTED_VALUE"""),"661-30370")</f>
        <v>661-30370</v>
      </c>
      <c r="E4776" s="2" t="str">
        <f>IFERROR(__xludf.DUMMYFUNCTION("""COMPUTED_VALUE"""),"Camera, iPhone 14")</f>
        <v>Camera, iPhone 14</v>
      </c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</row>
    <row r="4777">
      <c r="A4777" s="10" t="str">
        <f t="shared" si="1"/>
        <v>February</v>
      </c>
      <c r="B4777" s="11">
        <f>IFERROR(__xludf.DUMMYFUNCTION("""COMPUTED_VALUE"""),46081.0)</f>
        <v>46081</v>
      </c>
      <c r="C4777" s="2" t="str">
        <f>IFERROR(__xludf.DUMMYFUNCTION("""COMPUTED_VALUE"""),"MOBILECARE - NEWPOINT MALL")</f>
        <v>MOBILECARE - NEWPOINT MALL</v>
      </c>
      <c r="D4777" s="2" t="str">
        <f>IFERROR(__xludf.DUMMYFUNCTION("""COMPUTED_VALUE"""),"661-30371")</f>
        <v>661-30371</v>
      </c>
      <c r="E4777" s="2" t="str">
        <f>IFERROR(__xludf.DUMMYFUNCTION("""COMPUTED_VALUE"""),"True Depth Camera, iPhone 14")</f>
        <v>True Depth Camera, iPhone 14</v>
      </c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</row>
    <row r="4778">
      <c r="A4778" s="10" t="str">
        <f t="shared" si="1"/>
        <v>March</v>
      </c>
      <c r="B4778" s="11">
        <f>IFERROR(__xludf.DUMMYFUNCTION("""COMPUTED_VALUE"""),46103.0)</f>
        <v>46103</v>
      </c>
      <c r="C4778" s="2" t="str">
        <f>IFERROR(__xludf.DUMMYFUNCTION("""COMPUTED_VALUE"""),"MOBILECARE - NEWPOINT MALL")</f>
        <v>MOBILECARE - NEWPOINT MALL</v>
      </c>
      <c r="D4778" s="2" t="str">
        <f>IFERROR(__xludf.DUMMYFUNCTION("""COMPUTED_VALUE"""),"PP661-28614")</f>
        <v>PP661-28614</v>
      </c>
      <c r="E4778" s="2" t="str">
        <f>IFERROR(__xludf.DUMMYFUNCTION("""COMPUTED_VALUE"""),"Starlight, iPhone 14, 128GB, ROW, CI/AR, Philippines")</f>
        <v>Starlight, iPhone 14, 128GB, ROW, CI/AR, Philippines</v>
      </c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</row>
    <row r="4779">
      <c r="A4779" s="10" t="str">
        <f t="shared" si="1"/>
        <v>February</v>
      </c>
      <c r="B4779" s="11">
        <f>IFERROR(__xludf.DUMMYFUNCTION("""COMPUTED_VALUE"""),46074.0)</f>
        <v>46074</v>
      </c>
      <c r="C4779" s="2" t="str">
        <f>IFERROR(__xludf.DUMMYFUNCTION("""COMPUTED_VALUE"""),"MOBILECARE - NEWPOINT MALL")</f>
        <v>MOBILECARE - NEWPOINT MALL</v>
      </c>
      <c r="D4779" s="2" t="str">
        <f>IFERROR(__xludf.DUMMYFUNCTION("""COMPUTED_VALUE"""),"661-56050")</f>
        <v>661-56050</v>
      </c>
      <c r="E4779" s="2" t="str">
        <f>IFERROR(__xludf.DUMMYFUNCTION("""COMPUTED_VALUE"""),"Display, iPhone 17 Pro Max")</f>
        <v>Display, iPhone 17 Pro Max</v>
      </c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</row>
    <row r="4780">
      <c r="A4780" s="10" t="str">
        <f t="shared" si="1"/>
        <v>February</v>
      </c>
      <c r="B4780" s="11">
        <f>IFERROR(__xludf.DUMMYFUNCTION("""COMPUTED_VALUE"""),46071.0)</f>
        <v>46071</v>
      </c>
      <c r="C4780" s="2" t="str">
        <f>IFERROR(__xludf.DUMMYFUNCTION("""COMPUTED_VALUE"""),"MOBILECARE - NEWPOINT MALL")</f>
        <v>MOBILECARE - NEWPOINT MALL</v>
      </c>
      <c r="D4780" s="2" t="str">
        <f>IFERROR(__xludf.DUMMYFUNCTION("""COMPUTED_VALUE"""),"661-30371")</f>
        <v>661-30371</v>
      </c>
      <c r="E4780" s="2" t="str">
        <f>IFERROR(__xludf.DUMMYFUNCTION("""COMPUTED_VALUE"""),"True Depth Camera, iPhone 14")</f>
        <v>True Depth Camera, iPhone 14</v>
      </c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</row>
    <row r="4781">
      <c r="A4781" s="10" t="str">
        <f t="shared" si="1"/>
        <v>February</v>
      </c>
      <c r="B4781" s="11">
        <f>IFERROR(__xludf.DUMMYFUNCTION("""COMPUTED_VALUE"""),46062.0)</f>
        <v>46062</v>
      </c>
      <c r="C4781" s="2" t="str">
        <f>IFERROR(__xludf.DUMMYFUNCTION("""COMPUTED_VALUE"""),"MOBILECARE - NEWPOINT MALL")</f>
        <v>MOBILECARE - NEWPOINT MALL</v>
      </c>
      <c r="D4781" s="2" t="str">
        <f>IFERROR(__xludf.DUMMYFUNCTION("""COMPUTED_VALUE"""),"661-30366")</f>
        <v>661-30366</v>
      </c>
      <c r="E4781" s="2" t="str">
        <f>IFERROR(__xludf.DUMMYFUNCTION("""COMPUTED_VALUE"""),"Display, iPhone 14")</f>
        <v>Display, iPhone 14</v>
      </c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</row>
    <row r="4782">
      <c r="A4782" s="10" t="str">
        <f t="shared" si="1"/>
        <v>February</v>
      </c>
      <c r="B4782" s="11">
        <f>IFERROR(__xludf.DUMMYFUNCTION("""COMPUTED_VALUE"""),46064.0)</f>
        <v>46064</v>
      </c>
      <c r="C4782" s="2" t="str">
        <f>IFERROR(__xludf.DUMMYFUNCTION("""COMPUTED_VALUE"""),"MOBILECARE - NEWPOINT MALL")</f>
        <v>MOBILECARE - NEWPOINT MALL</v>
      </c>
      <c r="D4782" s="2" t="str">
        <f>IFERROR(__xludf.DUMMYFUNCTION("""COMPUTED_VALUE"""),"661-22309")</f>
        <v>661-22309</v>
      </c>
      <c r="E4782" s="2" t="str">
        <f>IFERROR(__xludf.DUMMYFUNCTION("""COMPUTED_VALUE"""),"Display, iPhone 13 Pro Max")</f>
        <v>Display, iPhone 13 Pro Max</v>
      </c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</row>
    <row r="4783">
      <c r="A4783" s="10" t="str">
        <f t="shared" si="1"/>
        <v>February</v>
      </c>
      <c r="B4783" s="11">
        <f>IFERROR(__xludf.DUMMYFUNCTION("""COMPUTED_VALUE"""),46062.0)</f>
        <v>46062</v>
      </c>
      <c r="C4783" s="2" t="str">
        <f>IFERROR(__xludf.DUMMYFUNCTION("""COMPUTED_VALUE"""),"MOBILECARE - NEWPOINT MALL")</f>
        <v>MOBILECARE - NEWPOINT MALL</v>
      </c>
      <c r="D4783" s="2" t="str">
        <f>IFERROR(__xludf.DUMMYFUNCTION("""COMPUTED_VALUE"""),"661-22309")</f>
        <v>661-22309</v>
      </c>
      <c r="E4783" s="2" t="str">
        <f>IFERROR(__xludf.DUMMYFUNCTION("""COMPUTED_VALUE"""),"Display, iPhone 13 Pro Max")</f>
        <v>Display, iPhone 13 Pro Max</v>
      </c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</row>
    <row r="4784">
      <c r="A4784" s="10" t="str">
        <f t="shared" si="1"/>
        <v>January</v>
      </c>
      <c r="B4784" s="11">
        <f>IFERROR(__xludf.DUMMYFUNCTION("""COMPUTED_VALUE"""),46034.0)</f>
        <v>46034</v>
      </c>
      <c r="C4784" s="2" t="str">
        <f>IFERROR(__xludf.DUMMYFUNCTION("""COMPUTED_VALUE"""),"MOBILECARE - NEWPOINT MALL")</f>
        <v>MOBILECARE - NEWPOINT MALL</v>
      </c>
      <c r="D4784" s="2" t="str">
        <f>IFERROR(__xludf.DUMMYFUNCTION("""COMPUTED_VALUE"""),"661-21991")</f>
        <v>661-21991</v>
      </c>
      <c r="E4784" s="2" t="str">
        <f>IFERROR(__xludf.DUMMYFUNCTION("""COMPUTED_VALUE"""),"Battery, iPhone 13")</f>
        <v>Battery, iPhone 13</v>
      </c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</row>
    <row r="4785">
      <c r="A4785" s="10" t="str">
        <f t="shared" si="1"/>
        <v>June</v>
      </c>
      <c r="B4785" s="11">
        <f>IFERROR(__xludf.DUMMYFUNCTION("""COMPUTED_VALUE"""),46186.0)</f>
        <v>46186</v>
      </c>
      <c r="C4785" s="2" t="str">
        <f>IFERROR(__xludf.DUMMYFUNCTION("""COMPUTED_VALUE"""),"MOBILECARE - NEWPOINT MALL")</f>
        <v>MOBILECARE - NEWPOINT MALL</v>
      </c>
      <c r="D4785" s="2" t="str">
        <f>IFERROR(__xludf.DUMMYFUNCTION("""COMPUTED_VALUE"""),"661-36706")</f>
        <v>661-36706</v>
      </c>
      <c r="E4785" s="2" t="str">
        <f>IFERROR(__xludf.DUMMYFUNCTION("""COMPUTED_VALUE"""),"Display, iPhone 15")</f>
        <v>Display, iPhone 15</v>
      </c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</row>
    <row r="4786">
      <c r="A4786" s="10" t="str">
        <f t="shared" si="1"/>
        <v>June</v>
      </c>
      <c r="B4786" s="11">
        <f>IFERROR(__xludf.DUMMYFUNCTION("""COMPUTED_VALUE"""),46188.0)</f>
        <v>46188</v>
      </c>
      <c r="C4786" s="2" t="str">
        <f>IFERROR(__xludf.DUMMYFUNCTION("""COMPUTED_VALUE"""),"MOBILECARE - NEWPOINT MALL")</f>
        <v>MOBILECARE - NEWPOINT MALL</v>
      </c>
      <c r="D4786" s="2" t="str">
        <f>IFERROR(__xludf.DUMMYFUNCTION("""COMPUTED_VALUE"""),"TA661-45331")</f>
        <v>TA661-45331</v>
      </c>
      <c r="E4786" s="2" t="str">
        <f>IFERROR(__xludf.DUMMYFUNCTION("""COMPUTED_VALUE"""),"1TB, Desert Titanium, ROW, iPhone 16 Pro Max, Logic Board Assy Mid Syste")</f>
        <v>1TB, Desert Titanium, ROW, iPhone 16 Pro Max, Logic Board Assy Mid Syste</v>
      </c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</row>
    <row r="4787">
      <c r="A4787" s="10" t="str">
        <f t="shared" si="1"/>
        <v>May</v>
      </c>
      <c r="B4787" s="11">
        <f>IFERROR(__xludf.DUMMYFUNCTION("""COMPUTED_VALUE"""),46150.0)</f>
        <v>46150</v>
      </c>
      <c r="C4787" s="2" t="str">
        <f>IFERROR(__xludf.DUMMYFUNCTION("""COMPUTED_VALUE"""),"MOBILECARE - NEWPOINT MALL")</f>
        <v>MOBILECARE - NEWPOINT MALL</v>
      </c>
      <c r="D4787" s="2" t="str">
        <f>IFERROR(__xludf.DUMMYFUNCTION("""COMPUTED_VALUE"""),"661-17920")</f>
        <v>661-17920</v>
      </c>
      <c r="E4787" s="2" t="str">
        <f>IFERROR(__xludf.DUMMYFUNCTION("""COMPUTED_VALUE"""),"Battery, iPhone 12 and 12 Pro")</f>
        <v>Battery, iPhone 12 and 12 Pro</v>
      </c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</row>
    <row r="4788">
      <c r="A4788" s="10" t="str">
        <f t="shared" si="1"/>
        <v>June</v>
      </c>
      <c r="B4788" s="11">
        <f>IFERROR(__xludf.DUMMYFUNCTION("""COMPUTED_VALUE"""),46182.0)</f>
        <v>46182</v>
      </c>
      <c r="C4788" s="2" t="str">
        <f>IFERROR(__xludf.DUMMYFUNCTION("""COMPUTED_VALUE"""),"MOBILECARE - NEWPOINT MALL")</f>
        <v>MOBILECARE - NEWPOINT MALL</v>
      </c>
      <c r="D4788" s="2" t="str">
        <f>IFERROR(__xludf.DUMMYFUNCTION("""COMPUTED_VALUE"""),"TA661-45238")</f>
        <v>TA661-45238</v>
      </c>
      <c r="E4788" s="2" t="str">
        <f>IFERROR(__xludf.DUMMYFUNCTION("""COMPUTED_VALUE"""),"256GB, Pink, ROW, iPhone 16 Plus, Logic Board Assy Mid System")</f>
        <v>256GB, Pink, ROW, iPhone 16 Plus, Logic Board Assy Mid System</v>
      </c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</row>
    <row r="4789">
      <c r="A4789" s="10" t="str">
        <f t="shared" si="1"/>
        <v>June</v>
      </c>
      <c r="B4789" s="11">
        <f>IFERROR(__xludf.DUMMYFUNCTION("""COMPUTED_VALUE"""),46180.0)</f>
        <v>46180</v>
      </c>
      <c r="C4789" s="2" t="str">
        <f>IFERROR(__xludf.DUMMYFUNCTION("""COMPUTED_VALUE"""),"MOBILECARE - NEWPOINT MALL")</f>
        <v>MOBILECARE - NEWPOINT MALL</v>
      </c>
      <c r="D4789" s="2" t="str">
        <f>IFERROR(__xludf.DUMMYFUNCTION("""COMPUTED_VALUE"""),"TA661-43609")</f>
        <v>TA661-43609</v>
      </c>
      <c r="E4789" s="2" t="str">
        <f>IFERROR(__xludf.DUMMYFUNCTION("""COMPUTED_VALUE"""),"128GB, Teal, ROW, iPhone 16, Logic Board Assy Mid System")</f>
        <v>128GB, Teal, ROW, iPhone 16, Logic Board Assy Mid System</v>
      </c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</row>
    <row r="4790">
      <c r="A4790" s="10" t="str">
        <f t="shared" si="1"/>
        <v>April</v>
      </c>
      <c r="B4790" s="11">
        <f>IFERROR(__xludf.DUMMYFUNCTION("""COMPUTED_VALUE"""),46139.0)</f>
        <v>46139</v>
      </c>
      <c r="C4790" s="2" t="str">
        <f>IFERROR(__xludf.DUMMYFUNCTION("""COMPUTED_VALUE"""),"MOBILECARE - NEWPOINT MALL")</f>
        <v>MOBILECARE - NEWPOINT MALL</v>
      </c>
      <c r="D4790" s="2" t="str">
        <f>IFERROR(__xludf.DUMMYFUNCTION("""COMPUTED_VALUE"""),"661-21996")</f>
        <v>661-21996</v>
      </c>
      <c r="E4790" s="2" t="str">
        <f>IFERROR(__xludf.DUMMYFUNCTION("""COMPUTED_VALUE"""),"Battery, iPhone 13 Pro")</f>
        <v>Battery, iPhone 13 Pro</v>
      </c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</row>
    <row r="4791">
      <c r="A4791" s="10" t="str">
        <f t="shared" si="1"/>
        <v>May</v>
      </c>
      <c r="B4791" s="11">
        <f>IFERROR(__xludf.DUMMYFUNCTION("""COMPUTED_VALUE"""),46148.0)</f>
        <v>46148</v>
      </c>
      <c r="C4791" s="2" t="str">
        <f>IFERROR(__xludf.DUMMYFUNCTION("""COMPUTED_VALUE"""),"MOBILECARE - NEWPOINT MALL")</f>
        <v>MOBILECARE - NEWPOINT MALL</v>
      </c>
      <c r="D4791" s="2" t="str">
        <f>IFERROR(__xludf.DUMMYFUNCTION("""COMPUTED_VALUE"""),"661-56064")</f>
        <v>661-56064</v>
      </c>
      <c r="E4791" s="2" t="str">
        <f>IFERROR(__xludf.DUMMYFUNCTION("""COMPUTED_VALUE"""),"Battery, iPhone 17")</f>
        <v>Battery, iPhone 17</v>
      </c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</row>
    <row r="4792">
      <c r="A4792" s="10" t="str">
        <f t="shared" si="1"/>
        <v>April</v>
      </c>
      <c r="B4792" s="11">
        <f>IFERROR(__xludf.DUMMYFUNCTION("""COMPUTED_VALUE"""),46138.0)</f>
        <v>46138</v>
      </c>
      <c r="C4792" s="2" t="str">
        <f>IFERROR(__xludf.DUMMYFUNCTION("""COMPUTED_VALUE"""),"MOBILECARE - NEWPOINT MALL")</f>
        <v>MOBILECARE - NEWPOINT MALL</v>
      </c>
      <c r="D4792" s="2" t="str">
        <f>IFERROR(__xludf.DUMMYFUNCTION("""COMPUTED_VALUE"""),"661-44955")</f>
        <v>661-44955</v>
      </c>
      <c r="E4792" s="2" t="str">
        <f>IFERROR(__xludf.DUMMYFUNCTION("""COMPUTED_VALUE"""),"Display, iPhone 16 Pro Max")</f>
        <v>Display, iPhone 16 Pro Max</v>
      </c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</row>
    <row r="4793">
      <c r="A4793" s="10" t="str">
        <f t="shared" si="1"/>
        <v>April</v>
      </c>
      <c r="B4793" s="11">
        <f>IFERROR(__xludf.DUMMYFUNCTION("""COMPUTED_VALUE"""),46138.0)</f>
        <v>46138</v>
      </c>
      <c r="C4793" s="2" t="str">
        <f>IFERROR(__xludf.DUMMYFUNCTION("""COMPUTED_VALUE"""),"MOBILECARE - NEWPOINT MALL")</f>
        <v>MOBILECARE - NEWPOINT MALL</v>
      </c>
      <c r="D4793" s="2" t="str">
        <f>IFERROR(__xludf.DUMMYFUNCTION("""COMPUTED_VALUE"""),"661-44955")</f>
        <v>661-44955</v>
      </c>
      <c r="E4793" s="2" t="str">
        <f>IFERROR(__xludf.DUMMYFUNCTION("""COMPUTED_VALUE"""),"Display, iPhone 16 Pro Max")</f>
        <v>Display, iPhone 16 Pro Max</v>
      </c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</row>
    <row r="4794">
      <c r="A4794" s="10" t="str">
        <f t="shared" si="1"/>
        <v>April</v>
      </c>
      <c r="B4794" s="11">
        <f>IFERROR(__xludf.DUMMYFUNCTION("""COMPUTED_VALUE"""),46126.0)</f>
        <v>46126</v>
      </c>
      <c r="C4794" s="2" t="str">
        <f>IFERROR(__xludf.DUMMYFUNCTION("""COMPUTED_VALUE"""),"MOBILECARE - NEWPOINT MALL")</f>
        <v>MOBILECARE - NEWPOINT MALL</v>
      </c>
      <c r="D4794" s="2" t="str">
        <f>IFERROR(__xludf.DUMMYFUNCTION("""COMPUTED_VALUE"""),"TA661-55098")</f>
        <v>TA661-55098</v>
      </c>
      <c r="E4794" s="2" t="str">
        <f>IFERROR(__xludf.DUMMYFUNCTION("""COMPUTED_VALUE"""),"Space Black, 256GB, iPhone Air, ROW, Taiwan, CI/AR")</f>
        <v>Space Black, 256GB, iPhone Air, ROW, Taiwan, CI/AR</v>
      </c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</row>
    <row r="4795">
      <c r="A4795" s="10" t="str">
        <f t="shared" si="1"/>
        <v>March</v>
      </c>
      <c r="B4795" s="11">
        <f>IFERROR(__xludf.DUMMYFUNCTION("""COMPUTED_VALUE"""),46108.0)</f>
        <v>46108</v>
      </c>
      <c r="C4795" s="2" t="str">
        <f>IFERROR(__xludf.DUMMYFUNCTION("""COMPUTED_VALUE"""),"MOBILECARE - NEWPOINT MALL")</f>
        <v>MOBILECARE - NEWPOINT MALL</v>
      </c>
      <c r="D4795" s="2" t="str">
        <f>IFERROR(__xludf.DUMMYFUNCTION("""COMPUTED_VALUE"""),"661-22309")</f>
        <v>661-22309</v>
      </c>
      <c r="E4795" s="2" t="str">
        <f>IFERROR(__xludf.DUMMYFUNCTION("""COMPUTED_VALUE"""),"Display, iPhone 13 Pro Max")</f>
        <v>Display, iPhone 13 Pro Max</v>
      </c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</row>
    <row r="4796">
      <c r="A4796" s="10" t="str">
        <f t="shared" si="1"/>
        <v>February</v>
      </c>
      <c r="B4796" s="11">
        <f>IFERROR(__xludf.DUMMYFUNCTION("""COMPUTED_VALUE"""),46056.0)</f>
        <v>46056</v>
      </c>
      <c r="C4796" s="2" t="str">
        <f>IFERROR(__xludf.DUMMYFUNCTION("""COMPUTED_VALUE"""),"MOBILECARE - NEWPOINT MALL")</f>
        <v>MOBILECARE - NEWPOINT MALL</v>
      </c>
      <c r="D4796" s="2" t="str">
        <f>IFERROR(__xludf.DUMMYFUNCTION("""COMPUTED_VALUE"""),"661-21991")</f>
        <v>661-21991</v>
      </c>
      <c r="E4796" s="2" t="str">
        <f>IFERROR(__xludf.DUMMYFUNCTION("""COMPUTED_VALUE"""),"Battery, iPhone 13")</f>
        <v>Battery, iPhone 13</v>
      </c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</row>
    <row r="4797">
      <c r="A4797" s="10" t="str">
        <f t="shared" si="1"/>
        <v>February</v>
      </c>
      <c r="B4797" s="11">
        <f>IFERROR(__xludf.DUMMYFUNCTION("""COMPUTED_VALUE"""),46061.0)</f>
        <v>46061</v>
      </c>
      <c r="C4797" s="2" t="str">
        <f>IFERROR(__xludf.DUMMYFUNCTION("""COMPUTED_VALUE"""),"MOBILECARE - NEWPOINT MALL")</f>
        <v>MOBILECARE - NEWPOINT MALL</v>
      </c>
      <c r="D4797" s="2" t="str">
        <f>IFERROR(__xludf.DUMMYFUNCTION("""COMPUTED_VALUE"""),"PP661-23455")</f>
        <v>PP661-23455</v>
      </c>
      <c r="E4797" s="2" t="str">
        <f>IFERROR(__xludf.DUMMYFUNCTION("""COMPUTED_VALUE"""),"iPhone 13, Starlight, 128GB, Logic Board Assy Rear System, ROW")</f>
        <v>iPhone 13, Starlight, 128GB, Logic Board Assy Rear System, ROW</v>
      </c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</row>
    <row r="4798">
      <c r="A4798" s="10" t="str">
        <f t="shared" si="1"/>
        <v>January</v>
      </c>
      <c r="B4798" s="11">
        <f>IFERROR(__xludf.DUMMYFUNCTION("""COMPUTED_VALUE"""),46042.0)</f>
        <v>46042</v>
      </c>
      <c r="C4798" s="2" t="str">
        <f>IFERROR(__xludf.DUMMYFUNCTION("""COMPUTED_VALUE"""),"MOBILECARE - NEWPOINT MALL")</f>
        <v>MOBILECARE - NEWPOINT MALL</v>
      </c>
      <c r="D4798" s="2" t="str">
        <f>IFERROR(__xludf.DUMMYFUNCTION("""COMPUTED_VALUE"""),"661-21993")</f>
        <v>661-21993</v>
      </c>
      <c r="E4798" s="2" t="str">
        <f>IFERROR(__xludf.DUMMYFUNCTION("""COMPUTED_VALUE"""),"Display, iPhone 13 Pro")</f>
        <v>Display, iPhone 13 Pro</v>
      </c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</row>
    <row r="4799">
      <c r="A4799" s="10" t="str">
        <f t="shared" si="1"/>
        <v>June</v>
      </c>
      <c r="B4799" s="11">
        <f>IFERROR(__xludf.DUMMYFUNCTION("""COMPUTED_VALUE"""),46192.0)</f>
        <v>46192</v>
      </c>
      <c r="C4799" s="2" t="str">
        <f>IFERROR(__xludf.DUMMYFUNCTION("""COMPUTED_VALUE"""),"MOBILECARE - NEWPOINT MALL")</f>
        <v>MOBILECARE - NEWPOINT MALL</v>
      </c>
      <c r="D4799" s="2" t="str">
        <f>IFERROR(__xludf.DUMMYFUNCTION("""COMPUTED_VALUE"""),"TA661-43609")</f>
        <v>TA661-43609</v>
      </c>
      <c r="E4799" s="2" t="str">
        <f>IFERROR(__xludf.DUMMYFUNCTION("""COMPUTED_VALUE"""),"128GB, Teal, ROW, iPhone 16, Logic Board Assy Mid System")</f>
        <v>128GB, Teal, ROW, iPhone 16, Logic Board Assy Mid System</v>
      </c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</row>
    <row r="4800">
      <c r="A4800" s="10" t="str">
        <f t="shared" si="1"/>
        <v>June</v>
      </c>
      <c r="B4800" s="11">
        <f>IFERROR(__xludf.DUMMYFUNCTION("""COMPUTED_VALUE"""),46174.0)</f>
        <v>46174</v>
      </c>
      <c r="C4800" s="2" t="str">
        <f>IFERROR(__xludf.DUMMYFUNCTION("""COMPUTED_VALUE"""),"MOBILECARE - NEWPOINT MALL")</f>
        <v>MOBILECARE - NEWPOINT MALL</v>
      </c>
      <c r="D4800" s="2" t="str">
        <f>IFERROR(__xludf.DUMMYFUNCTION("""COMPUTED_VALUE"""),"661-56050")</f>
        <v>661-56050</v>
      </c>
      <c r="E4800" s="2" t="str">
        <f>IFERROR(__xludf.DUMMYFUNCTION("""COMPUTED_VALUE"""),"Display, iPhone 17 Pro Max")</f>
        <v>Display, iPhone 17 Pro Max</v>
      </c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</row>
    <row r="4801">
      <c r="A4801" s="10" t="str">
        <f t="shared" si="1"/>
        <v>May</v>
      </c>
      <c r="B4801" s="11">
        <f>IFERROR(__xludf.DUMMYFUNCTION("""COMPUTED_VALUE"""),46153.0)</f>
        <v>46153</v>
      </c>
      <c r="C4801" s="2" t="str">
        <f>IFERROR(__xludf.DUMMYFUNCTION("""COMPUTED_VALUE"""),"MOBILECARE - NEWPOINT MALL")</f>
        <v>MOBILECARE - NEWPOINT MALL</v>
      </c>
      <c r="D4801" s="2" t="str">
        <f>IFERROR(__xludf.DUMMYFUNCTION("""COMPUTED_VALUE"""),"661-21991")</f>
        <v>661-21991</v>
      </c>
      <c r="E4801" s="2" t="str">
        <f>IFERROR(__xludf.DUMMYFUNCTION("""COMPUTED_VALUE"""),"Battery, iPhone 13")</f>
        <v>Battery, iPhone 13</v>
      </c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</row>
    <row r="4802">
      <c r="A4802" s="10" t="str">
        <f t="shared" si="1"/>
        <v>June</v>
      </c>
      <c r="B4802" s="11">
        <f>IFERROR(__xludf.DUMMYFUNCTION("""COMPUTED_VALUE"""),46180.0)</f>
        <v>46180</v>
      </c>
      <c r="C4802" s="2" t="str">
        <f>IFERROR(__xludf.DUMMYFUNCTION("""COMPUTED_VALUE"""),"MOBILECARE - NEWPOINT MALL")</f>
        <v>MOBILECARE - NEWPOINT MALL</v>
      </c>
      <c r="D4802" s="2" t="str">
        <f>IFERROR(__xludf.DUMMYFUNCTION("""COMPUTED_VALUE"""),"TA661-55282")</f>
        <v>TA661-55282</v>
      </c>
      <c r="E4802" s="2" t="str">
        <f>IFERROR(__xludf.DUMMYFUNCTION("""COMPUTED_VALUE"""),"Lavender, 256GB, iPhone 17, ROW, Taiwan, CI/AR")</f>
        <v>Lavender, 256GB, iPhone 17, ROW, Taiwan, CI/AR</v>
      </c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</row>
    <row r="4803">
      <c r="A4803" s="10" t="str">
        <f t="shared" si="1"/>
        <v>April</v>
      </c>
      <c r="B4803" s="11">
        <f>IFERROR(__xludf.DUMMYFUNCTION("""COMPUTED_VALUE"""),46136.0)</f>
        <v>46136</v>
      </c>
      <c r="C4803" s="2" t="str">
        <f>IFERROR(__xludf.DUMMYFUNCTION("""COMPUTED_VALUE"""),"MOBILECARE - NEWPOINT MALL")</f>
        <v>MOBILECARE - NEWPOINT MALL</v>
      </c>
      <c r="D4803" s="2" t="str">
        <f>IFERROR(__xludf.DUMMYFUNCTION("""COMPUTED_VALUE"""),"TA661-36692")</f>
        <v>TA661-36692</v>
      </c>
      <c r="E4803" s="2" t="str">
        <f>IFERROR(__xludf.DUMMYFUNCTION("""COMPUTED_VALUE"""),"iPhone 15, Pink, 128GB, Logic Board Assy Mid System, ROW")</f>
        <v>iPhone 15, Pink, 128GB, Logic Board Assy Mid System, ROW</v>
      </c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</row>
    <row r="4804">
      <c r="A4804" s="10" t="str">
        <f t="shared" si="1"/>
        <v>March</v>
      </c>
      <c r="B4804" s="11">
        <f>IFERROR(__xludf.DUMMYFUNCTION("""COMPUTED_VALUE"""),46092.0)</f>
        <v>46092</v>
      </c>
      <c r="C4804" s="2" t="str">
        <f>IFERROR(__xludf.DUMMYFUNCTION("""COMPUTED_VALUE"""),"MOBILECARE - NEWPOINT MALL")</f>
        <v>MOBILECARE - NEWPOINT MALL</v>
      </c>
      <c r="D4804" s="2" t="str">
        <f>IFERROR(__xludf.DUMMYFUNCTION("""COMPUTED_VALUE"""),"661-30397")</f>
        <v>661-30397</v>
      </c>
      <c r="E4804" s="2" t="str">
        <f>IFERROR(__xludf.DUMMYFUNCTION("""COMPUTED_VALUE"""),"Battery, iPhone 14 Pro Max")</f>
        <v>Battery, iPhone 14 Pro Max</v>
      </c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</row>
    <row r="4805">
      <c r="A4805" s="10" t="str">
        <f t="shared" si="1"/>
        <v>March</v>
      </c>
      <c r="B4805" s="11">
        <f>IFERROR(__xludf.DUMMYFUNCTION("""COMPUTED_VALUE"""),46088.0)</f>
        <v>46088</v>
      </c>
      <c r="C4805" s="2" t="str">
        <f>IFERROR(__xludf.DUMMYFUNCTION("""COMPUTED_VALUE"""),"MOBILECARE - NEWPOINT MALL")</f>
        <v>MOBILECARE - NEWPOINT MALL</v>
      </c>
      <c r="D4805" s="2" t="str">
        <f>IFERROR(__xludf.DUMMYFUNCTION("""COMPUTED_VALUE"""),"PP661-28871")</f>
        <v>PP661-28871</v>
      </c>
      <c r="E4805" s="2" t="str">
        <f>IFERROR(__xludf.DUMMYFUNCTION("""COMPUTED_VALUE"""),"iPhone 14, Blue, 128GB, Logic Board Assy Mid System, ROW")</f>
        <v>iPhone 14, Blue, 128GB, Logic Board Assy Mid System, ROW</v>
      </c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</row>
    <row r="4806">
      <c r="A4806" s="10" t="str">
        <f t="shared" si="1"/>
        <v>March</v>
      </c>
      <c r="B4806" s="11">
        <f>IFERROR(__xludf.DUMMYFUNCTION("""COMPUTED_VALUE"""),46083.0)</f>
        <v>46083</v>
      </c>
      <c r="C4806" s="2" t="str">
        <f>IFERROR(__xludf.DUMMYFUNCTION("""COMPUTED_VALUE"""),"MOBILECARE - NEWPOINT MALL")</f>
        <v>MOBILECARE - NEWPOINT MALL</v>
      </c>
      <c r="D4806" s="2" t="str">
        <f>IFERROR(__xludf.DUMMYFUNCTION("""COMPUTED_VALUE"""),"Z661-55943")</f>
        <v>Z661-55943</v>
      </c>
      <c r="E4806" s="2" t="str">
        <f>IFERROR(__xludf.DUMMYFUNCTION("""COMPUTED_VALUE"""),"Logic Board, 512GB, A3523, ROW, iPhone 17 Pro")</f>
        <v>Logic Board, 512GB, A3523, ROW, iPhone 17 Pro</v>
      </c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</row>
    <row r="4807">
      <c r="A4807" s="10" t="str">
        <f t="shared" si="1"/>
        <v>February</v>
      </c>
      <c r="B4807" s="11">
        <f>IFERROR(__xludf.DUMMYFUNCTION("""COMPUTED_VALUE"""),46062.0)</f>
        <v>46062</v>
      </c>
      <c r="C4807" s="2" t="str">
        <f>IFERROR(__xludf.DUMMYFUNCTION("""COMPUTED_VALUE"""),"MOBILECARE - NEWPOINT MALL")</f>
        <v>MOBILECARE - NEWPOINT MALL</v>
      </c>
      <c r="D4807" s="2" t="str">
        <f>IFERROR(__xludf.DUMMYFUNCTION("""COMPUTED_VALUE"""),"661-42726")</f>
        <v>661-42726</v>
      </c>
      <c r="E4807" s="2" t="str">
        <f>IFERROR(__xludf.DUMMYFUNCTION("""COMPUTED_VALUE"""),"Display, iPhone 16 Pro")</f>
        <v>Display, iPhone 16 Pro</v>
      </c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</row>
    <row r="4808">
      <c r="A4808" s="10" t="str">
        <f t="shared" si="1"/>
        <v>February</v>
      </c>
      <c r="B4808" s="11">
        <f>IFERROR(__xludf.DUMMYFUNCTION("""COMPUTED_VALUE"""),46058.0)</f>
        <v>46058</v>
      </c>
      <c r="C4808" s="2" t="str">
        <f>IFERROR(__xludf.DUMMYFUNCTION("""COMPUTED_VALUE"""),"MOBILECARE - NEWPOINT MALL")</f>
        <v>MOBILECARE - NEWPOINT MALL</v>
      </c>
      <c r="D4808" s="2" t="str">
        <f>IFERROR(__xludf.DUMMYFUNCTION("""COMPUTED_VALUE"""),"PP661-23455")</f>
        <v>PP661-23455</v>
      </c>
      <c r="E4808" s="2" t="str">
        <f>IFERROR(__xludf.DUMMYFUNCTION("""COMPUTED_VALUE"""),"iPhone 13, Starlight, 128GB, Logic Board Assy Rear System, ROW")</f>
        <v>iPhone 13, Starlight, 128GB, Logic Board Assy Rear System, ROW</v>
      </c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</row>
    <row r="4809">
      <c r="A4809" s="10" t="str">
        <f t="shared" si="1"/>
        <v>May</v>
      </c>
      <c r="B4809" s="11">
        <f>IFERROR(__xludf.DUMMYFUNCTION("""COMPUTED_VALUE"""),46144.0)</f>
        <v>46144</v>
      </c>
      <c r="C4809" s="2" t="str">
        <f>IFERROR(__xludf.DUMMYFUNCTION("""COMPUTED_VALUE"""),"MOBILECARE - NEWPOINT MALL")</f>
        <v>MOBILECARE - NEWPOINT MALL</v>
      </c>
      <c r="D4809" s="2" t="str">
        <f>IFERROR(__xludf.DUMMYFUNCTION("""COMPUTED_VALUE"""),"661-13574")</f>
        <v>661-13574</v>
      </c>
      <c r="E4809" s="2" t="str">
        <f>IFERROR(__xludf.DUMMYFUNCTION("""COMPUTED_VALUE"""),"Battery, iPhone 11")</f>
        <v>Battery, iPhone 11</v>
      </c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</row>
    <row r="4810">
      <c r="A4810" s="10" t="str">
        <f t="shared" si="1"/>
        <v>April</v>
      </c>
      <c r="B4810" s="11">
        <f>IFERROR(__xludf.DUMMYFUNCTION("""COMPUTED_VALUE"""),46138.0)</f>
        <v>46138</v>
      </c>
      <c r="C4810" s="2" t="str">
        <f>IFERROR(__xludf.DUMMYFUNCTION("""COMPUTED_VALUE"""),"MOBILECARE - NEWPOINT MALL")</f>
        <v>MOBILECARE - NEWPOINT MALL</v>
      </c>
      <c r="D4810" s="2" t="str">
        <f>IFERROR(__xludf.DUMMYFUNCTION("""COMPUTED_VALUE"""),"661-30373")</f>
        <v>661-30373</v>
      </c>
      <c r="E4810" s="2" t="str">
        <f>IFERROR(__xludf.DUMMYFUNCTION("""COMPUTED_VALUE"""),"Battery, iPhone 14")</f>
        <v>Battery, iPhone 14</v>
      </c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</row>
    <row r="4811">
      <c r="A4811" s="10" t="str">
        <f t="shared" si="1"/>
        <v>April</v>
      </c>
      <c r="B4811" s="11">
        <f>IFERROR(__xludf.DUMMYFUNCTION("""COMPUTED_VALUE"""),46134.0)</f>
        <v>46134</v>
      </c>
      <c r="C4811" s="2" t="str">
        <f>IFERROR(__xludf.DUMMYFUNCTION("""COMPUTED_VALUE"""),"MOBILECARE - NEWPOINT MALL")</f>
        <v>MOBILECARE - NEWPOINT MALL</v>
      </c>
      <c r="D4811" s="2" t="str">
        <f>IFERROR(__xludf.DUMMYFUNCTION("""COMPUTED_VALUE"""),"661-30366")</f>
        <v>661-30366</v>
      </c>
      <c r="E4811" s="2" t="str">
        <f>IFERROR(__xludf.DUMMYFUNCTION("""COMPUTED_VALUE"""),"Display, iPhone 14")</f>
        <v>Display, iPhone 14</v>
      </c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</row>
    <row r="4812">
      <c r="A4812" s="10" t="str">
        <f t="shared" si="1"/>
        <v>May</v>
      </c>
      <c r="B4812" s="11">
        <f>IFERROR(__xludf.DUMMYFUNCTION("""COMPUTED_VALUE"""),46147.0)</f>
        <v>46147</v>
      </c>
      <c r="C4812" s="2" t="str">
        <f>IFERROR(__xludf.DUMMYFUNCTION("""COMPUTED_VALUE"""),"MOBILECARE - NEWPOINT MALL")</f>
        <v>MOBILECARE - NEWPOINT MALL</v>
      </c>
      <c r="D4812" s="2" t="str">
        <f>IFERROR(__xludf.DUMMYFUNCTION("""COMPUTED_VALUE"""),"PP661-22981")</f>
        <v>PP661-22981</v>
      </c>
      <c r="E4812" s="2" t="str">
        <f>IFERROR(__xludf.DUMMYFUNCTION("""COMPUTED_VALUE"""),"Starlight, 128 GB, iPhone 13, ROW, CI/AR, Philippines")</f>
        <v>Starlight, 128 GB, iPhone 13, ROW, CI/AR, Philippines</v>
      </c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</row>
    <row r="4813">
      <c r="A4813" s="10" t="str">
        <f t="shared" si="1"/>
        <v>April</v>
      </c>
      <c r="B4813" s="11">
        <f>IFERROR(__xludf.DUMMYFUNCTION("""COMPUTED_VALUE"""),46137.0)</f>
        <v>46137</v>
      </c>
      <c r="C4813" s="2" t="str">
        <f>IFERROR(__xludf.DUMMYFUNCTION("""COMPUTED_VALUE"""),"MOBILECARE - NEWPOINT MALL")</f>
        <v>MOBILECARE - NEWPOINT MALL</v>
      </c>
      <c r="D4813" s="2" t="str">
        <f>IFERROR(__xludf.DUMMYFUNCTION("""COMPUTED_VALUE"""),"PP661-22985")</f>
        <v>PP661-22985</v>
      </c>
      <c r="E4813" s="2" t="str">
        <f>IFERROR(__xludf.DUMMYFUNCTION("""COMPUTED_VALUE"""),"Midnight, 256 GB, iPhone 13, ROW, CI/AR, Philippines")</f>
        <v>Midnight, 256 GB, iPhone 13, ROW, CI/AR, Philippines</v>
      </c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</row>
    <row r="4814">
      <c r="A4814" s="10" t="str">
        <f t="shared" si="1"/>
        <v>March</v>
      </c>
      <c r="B4814" s="11">
        <f>IFERROR(__xludf.DUMMYFUNCTION("""COMPUTED_VALUE"""),46086.0)</f>
        <v>46086</v>
      </c>
      <c r="C4814" s="2" t="str">
        <f>IFERROR(__xludf.DUMMYFUNCTION("""COMPUTED_VALUE"""),"MOBILECARE - NEWPOINT MALL")</f>
        <v>MOBILECARE - NEWPOINT MALL</v>
      </c>
      <c r="D4814" s="2" t="str">
        <f>IFERROR(__xludf.DUMMYFUNCTION("""COMPUTED_VALUE"""),"661-21991")</f>
        <v>661-21991</v>
      </c>
      <c r="E4814" s="2" t="str">
        <f>IFERROR(__xludf.DUMMYFUNCTION("""COMPUTED_VALUE"""),"Battery, iPhone 13")</f>
        <v>Battery, iPhone 13</v>
      </c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</row>
    <row r="4815">
      <c r="A4815" s="10" t="str">
        <f t="shared" si="1"/>
        <v>February</v>
      </c>
      <c r="B4815" s="11">
        <f>IFERROR(__xludf.DUMMYFUNCTION("""COMPUTED_VALUE"""),46076.0)</f>
        <v>46076</v>
      </c>
      <c r="C4815" s="2" t="str">
        <f>IFERROR(__xludf.DUMMYFUNCTION("""COMPUTED_VALUE"""),"MOBILECARE - NEWPOINT MALL")</f>
        <v>MOBILECARE - NEWPOINT MALL</v>
      </c>
      <c r="D4815" s="2" t="str">
        <f>IFERROR(__xludf.DUMMYFUNCTION("""COMPUTED_VALUE"""),"661-21988")</f>
        <v>661-21988</v>
      </c>
      <c r="E4815" s="2" t="str">
        <f>IFERROR(__xludf.DUMMYFUNCTION("""COMPUTED_VALUE"""),"Display, iPhone 13")</f>
        <v>Display, iPhone 13</v>
      </c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</row>
    <row r="4816">
      <c r="A4816" s="10" t="str">
        <f t="shared" si="1"/>
        <v>February</v>
      </c>
      <c r="B4816" s="11">
        <f>IFERROR(__xludf.DUMMYFUNCTION("""COMPUTED_VALUE"""),46077.0)</f>
        <v>46077</v>
      </c>
      <c r="C4816" s="2" t="str">
        <f>IFERROR(__xludf.DUMMYFUNCTION("""COMPUTED_VALUE"""),"MOBILECARE - NEWPOINT MALL")</f>
        <v>MOBILECARE - NEWPOINT MALL</v>
      </c>
      <c r="D4816" s="2" t="str">
        <f>IFERROR(__xludf.DUMMYFUNCTION("""COMPUTED_VALUE"""),"661-44955")</f>
        <v>661-44955</v>
      </c>
      <c r="E4816" s="2" t="str">
        <f>IFERROR(__xludf.DUMMYFUNCTION("""COMPUTED_VALUE"""),"Display, iPhone 16 Pro Max")</f>
        <v>Display, iPhone 16 Pro Max</v>
      </c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</row>
    <row r="4817">
      <c r="A4817" s="10" t="str">
        <f t="shared" si="1"/>
        <v>June</v>
      </c>
      <c r="B4817" s="11">
        <f>IFERROR(__xludf.DUMMYFUNCTION("""COMPUTED_VALUE"""),46192.0)</f>
        <v>46192</v>
      </c>
      <c r="C4817" s="2" t="str">
        <f>IFERROR(__xludf.DUMMYFUNCTION("""COMPUTED_VALUE"""),"MOBILECARE - NEWPOINT MALL")</f>
        <v>MOBILECARE - NEWPOINT MALL</v>
      </c>
      <c r="D4817" s="2" t="str">
        <f>IFERROR(__xludf.DUMMYFUNCTION("""COMPUTED_VALUE"""),"TA661-45243")</f>
        <v>TA661-45243</v>
      </c>
      <c r="E4817" s="2" t="str">
        <f>IFERROR(__xludf.DUMMYFUNCTION("""COMPUTED_VALUE"""),"512GB, Pink, ROW, iPhone 16 Plus, Logic Board Assy Mid System")</f>
        <v>512GB, Pink, ROW, iPhone 16 Plus, Logic Board Assy Mid System</v>
      </c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</row>
    <row r="4818">
      <c r="A4818" s="10" t="str">
        <f t="shared" si="1"/>
        <v>May</v>
      </c>
      <c r="B4818" s="11">
        <f>IFERROR(__xludf.DUMMYFUNCTION("""COMPUTED_VALUE"""),46167.0)</f>
        <v>46167</v>
      </c>
      <c r="C4818" s="2" t="str">
        <f>IFERROR(__xludf.DUMMYFUNCTION("""COMPUTED_VALUE"""),"MOBILECARE - NEWPOINT MALL")</f>
        <v>MOBILECARE - NEWPOINT MALL</v>
      </c>
      <c r="D4818" s="2" t="str">
        <f>IFERROR(__xludf.DUMMYFUNCTION("""COMPUTED_VALUE"""),"661-30397")</f>
        <v>661-30397</v>
      </c>
      <c r="E4818" s="2" t="str">
        <f>IFERROR(__xludf.DUMMYFUNCTION("""COMPUTED_VALUE"""),"Battery, iPhone 14 Pro Max")</f>
        <v>Battery, iPhone 14 Pro Max</v>
      </c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</row>
    <row r="4819">
      <c r="A4819" s="10" t="str">
        <f t="shared" si="1"/>
        <v>May</v>
      </c>
      <c r="B4819" s="11">
        <f>IFERROR(__xludf.DUMMYFUNCTION("""COMPUTED_VALUE"""),46155.0)</f>
        <v>46155</v>
      </c>
      <c r="C4819" s="2" t="str">
        <f>IFERROR(__xludf.DUMMYFUNCTION("""COMPUTED_VALUE"""),"MOBILECARE - NEWPOINT MALL")</f>
        <v>MOBILECARE - NEWPOINT MALL</v>
      </c>
      <c r="D4819" s="2" t="str">
        <f>IFERROR(__xludf.DUMMYFUNCTION("""COMPUTED_VALUE"""),"661-30382")</f>
        <v>661-30382</v>
      </c>
      <c r="E4819" s="2" t="str">
        <f>IFERROR(__xludf.DUMMYFUNCTION("""COMPUTED_VALUE"""),"Battery, iPhone 14 Pro")</f>
        <v>Battery, iPhone 14 Pro</v>
      </c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</row>
    <row r="4820">
      <c r="A4820" s="10" t="str">
        <f t="shared" si="1"/>
        <v>May</v>
      </c>
      <c r="B4820" s="11">
        <f>IFERROR(__xludf.DUMMYFUNCTION("""COMPUTED_VALUE"""),46151.0)</f>
        <v>46151</v>
      </c>
      <c r="C4820" s="2" t="str">
        <f>IFERROR(__xludf.DUMMYFUNCTION("""COMPUTED_VALUE"""),"MOBILECARE - NEWPOINT MALL")</f>
        <v>MOBILECARE - NEWPOINT MALL</v>
      </c>
      <c r="D4820" s="2" t="str">
        <f>IFERROR(__xludf.DUMMYFUNCTION("""COMPUTED_VALUE"""),"661-21991")</f>
        <v>661-21991</v>
      </c>
      <c r="E4820" s="2" t="str">
        <f>IFERROR(__xludf.DUMMYFUNCTION("""COMPUTED_VALUE"""),"Battery, iPhone 13")</f>
        <v>Battery, iPhone 13</v>
      </c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</row>
    <row r="4821">
      <c r="A4821" s="10" t="str">
        <f t="shared" si="1"/>
        <v>June</v>
      </c>
      <c r="B4821" s="11">
        <f>IFERROR(__xludf.DUMMYFUNCTION("""COMPUTED_VALUE"""),46184.0)</f>
        <v>46184</v>
      </c>
      <c r="C4821" s="2" t="str">
        <f>IFERROR(__xludf.DUMMYFUNCTION("""COMPUTED_VALUE"""),"MOBILECARE - NEWPOINT MALL")</f>
        <v>MOBILECARE - NEWPOINT MALL</v>
      </c>
      <c r="D4821" s="2" t="str">
        <f>IFERROR(__xludf.DUMMYFUNCTION("""COMPUTED_VALUE"""),"TA661-36287")</f>
        <v>TA661-36287</v>
      </c>
      <c r="E4821" s="2" t="str">
        <f>IFERROR(__xludf.DUMMYFUNCTION("""COMPUTED_VALUE"""),"Pink, iPhone 15, 128GB, ROW, CI/AR, Taiwan")</f>
        <v>Pink, iPhone 15, 128GB, ROW, CI/AR, Taiwan</v>
      </c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</row>
    <row r="4822">
      <c r="A4822" s="10" t="str">
        <f t="shared" si="1"/>
        <v>April</v>
      </c>
      <c r="B4822" s="11">
        <f>IFERROR(__xludf.DUMMYFUNCTION("""COMPUTED_VALUE"""),46125.0)</f>
        <v>46125</v>
      </c>
      <c r="C4822" s="2" t="str">
        <f>IFERROR(__xludf.DUMMYFUNCTION("""COMPUTED_VALUE"""),"MOBILECARE - NEWPOINT MALL")</f>
        <v>MOBILECARE - NEWPOINT MALL</v>
      </c>
      <c r="D4822" s="2" t="str">
        <f>IFERROR(__xludf.DUMMYFUNCTION("""COMPUTED_VALUE"""),"661-17920")</f>
        <v>661-17920</v>
      </c>
      <c r="E4822" s="2" t="str">
        <f>IFERROR(__xludf.DUMMYFUNCTION("""COMPUTED_VALUE"""),"Battery, iPhone 12 and 12 Pro")</f>
        <v>Battery, iPhone 12 and 12 Pro</v>
      </c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</row>
    <row r="4823">
      <c r="A4823" s="10" t="str">
        <f t="shared" si="1"/>
        <v>March</v>
      </c>
      <c r="B4823" s="11">
        <f>IFERROR(__xludf.DUMMYFUNCTION("""COMPUTED_VALUE"""),46107.0)</f>
        <v>46107</v>
      </c>
      <c r="C4823" s="2" t="str">
        <f>IFERROR(__xludf.DUMMYFUNCTION("""COMPUTED_VALUE"""),"MOBILECARE - NEWPOINT MALL")</f>
        <v>MOBILECARE - NEWPOINT MALL</v>
      </c>
      <c r="D4823" s="2" t="str">
        <f>IFERROR(__xludf.DUMMYFUNCTION("""COMPUTED_VALUE"""),"661-56125")</f>
        <v>661-56125</v>
      </c>
      <c r="E4823" s="2" t="str">
        <f>IFERROR(__xludf.DUMMYFUNCTION("""COMPUTED_VALUE"""),"Display, iPhone 17 Pro")</f>
        <v>Display, iPhone 17 Pro</v>
      </c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</row>
    <row r="4824">
      <c r="A4824" s="10" t="str">
        <f t="shared" si="1"/>
        <v>April</v>
      </c>
      <c r="B4824" s="11">
        <f>IFERROR(__xludf.DUMMYFUNCTION("""COMPUTED_VALUE"""),46124.0)</f>
        <v>46124</v>
      </c>
      <c r="C4824" s="2" t="str">
        <f>IFERROR(__xludf.DUMMYFUNCTION("""COMPUTED_VALUE"""),"MOBILECARE - NEWPOINT MALL")</f>
        <v>MOBILECARE - NEWPOINT MALL</v>
      </c>
      <c r="D4824" s="2" t="str">
        <f>IFERROR(__xludf.DUMMYFUNCTION("""COMPUTED_VALUE"""),"PP661-23455")</f>
        <v>PP661-23455</v>
      </c>
      <c r="E4824" s="2" t="str">
        <f>IFERROR(__xludf.DUMMYFUNCTION("""COMPUTED_VALUE"""),"iPhone 13, Starlight, 128GB, Logic Board Assy Rear System, ROW")</f>
        <v>iPhone 13, Starlight, 128GB, Logic Board Assy Rear System, ROW</v>
      </c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</row>
    <row r="4825">
      <c r="A4825" s="10" t="str">
        <f t="shared" si="1"/>
        <v>March</v>
      </c>
      <c r="B4825" s="11">
        <f>IFERROR(__xludf.DUMMYFUNCTION("""COMPUTED_VALUE"""),46098.0)</f>
        <v>46098</v>
      </c>
      <c r="C4825" s="2" t="str">
        <f>IFERROR(__xludf.DUMMYFUNCTION("""COMPUTED_VALUE"""),"MOBILECARE - NEWPOINT MALL")</f>
        <v>MOBILECARE - NEWPOINT MALL</v>
      </c>
      <c r="D4825" s="2" t="str">
        <f>IFERROR(__xludf.DUMMYFUNCTION("""COMPUTED_VALUE"""),"PP661-28868")</f>
        <v>PP661-28868</v>
      </c>
      <c r="E4825" s="2" t="str">
        <f>IFERROR(__xludf.DUMMYFUNCTION("""COMPUTED_VALUE"""),"iPhone 14, Midnight, 128GB, Logic Board Assy Mid System, ROW")</f>
        <v>iPhone 14, Midnight, 128GB, Logic Board Assy Mid System, ROW</v>
      </c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</row>
    <row r="4826">
      <c r="A4826" s="10" t="str">
        <f t="shared" si="1"/>
        <v>March</v>
      </c>
      <c r="B4826" s="11">
        <f>IFERROR(__xludf.DUMMYFUNCTION("""COMPUTED_VALUE"""),46083.0)</f>
        <v>46083</v>
      </c>
      <c r="C4826" s="2" t="str">
        <f>IFERROR(__xludf.DUMMYFUNCTION("""COMPUTED_VALUE"""),"MOBILECARE - NEWPOINT MALL")</f>
        <v>MOBILECARE - NEWPOINT MALL</v>
      </c>
      <c r="D4826" s="2" t="str">
        <f>IFERROR(__xludf.DUMMYFUNCTION("""COMPUTED_VALUE"""),"661-44798")</f>
        <v>661-44798</v>
      </c>
      <c r="E4826" s="2" t="str">
        <f>IFERROR(__xludf.DUMMYFUNCTION("""COMPUTED_VALUE"""),"TrueDepth Camera, iPhone 16")</f>
        <v>TrueDepth Camera, iPhone 16</v>
      </c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</row>
    <row r="4827">
      <c r="A4827" s="10" t="str">
        <f t="shared" si="1"/>
        <v>February</v>
      </c>
      <c r="B4827" s="11">
        <f>IFERROR(__xludf.DUMMYFUNCTION("""COMPUTED_VALUE"""),46076.0)</f>
        <v>46076</v>
      </c>
      <c r="C4827" s="2" t="str">
        <f>IFERROR(__xludf.DUMMYFUNCTION("""COMPUTED_VALUE"""),"MOBILECARE - NEWPOINT MALL")</f>
        <v>MOBILECARE - NEWPOINT MALL</v>
      </c>
      <c r="D4827" s="2" t="str">
        <f>IFERROR(__xludf.DUMMYFUNCTION("""COMPUTED_VALUE"""),"661-23878")</f>
        <v>661-23878</v>
      </c>
      <c r="E4827" s="2" t="str">
        <f>IFERROR(__xludf.DUMMYFUNCTION("""COMPUTED_VALUE"""),"TrueDepth Camera, iPhone 13")</f>
        <v>TrueDepth Camera, iPhone 13</v>
      </c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</row>
    <row r="4828">
      <c r="A4828" s="10" t="str">
        <f t="shared" si="1"/>
        <v>February</v>
      </c>
      <c r="B4828" s="11">
        <f>IFERROR(__xludf.DUMMYFUNCTION("""COMPUTED_VALUE"""),46076.0)</f>
        <v>46076</v>
      </c>
      <c r="C4828" s="2" t="str">
        <f>IFERROR(__xludf.DUMMYFUNCTION("""COMPUTED_VALUE"""),"MOBILECARE - NEWPOINT MALL")</f>
        <v>MOBILECARE - NEWPOINT MALL</v>
      </c>
      <c r="D4828" s="2" t="str">
        <f>IFERROR(__xludf.DUMMYFUNCTION("""COMPUTED_VALUE"""),"661-32232")</f>
        <v>661-32232</v>
      </c>
      <c r="E4828" s="2" t="str">
        <f>IFERROR(__xludf.DUMMYFUNCTION("""COMPUTED_VALUE"""),"Rear Camera, iPhone 13/mini, MICN")</f>
        <v>Rear Camera, iPhone 13/mini, MICN</v>
      </c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</row>
    <row r="4829">
      <c r="A4829" s="10" t="str">
        <f t="shared" si="1"/>
        <v>February</v>
      </c>
      <c r="B4829" s="11">
        <f>IFERROR(__xludf.DUMMYFUNCTION("""COMPUTED_VALUE"""),46058.0)</f>
        <v>46058</v>
      </c>
      <c r="C4829" s="2" t="str">
        <f>IFERROR(__xludf.DUMMYFUNCTION("""COMPUTED_VALUE"""),"MOBILECARE - NEWPOINT MALL")</f>
        <v>MOBILECARE - NEWPOINT MALL</v>
      </c>
      <c r="D4829" s="2" t="str">
        <f>IFERROR(__xludf.DUMMYFUNCTION("""COMPUTED_VALUE"""),"661-18428")</f>
        <v>661-18428</v>
      </c>
      <c r="E4829" s="2" t="str">
        <f>IFERROR(__xludf.DUMMYFUNCTION("""COMPUTED_VALUE"""),"Battery, iPhone 12 Pro Max")</f>
        <v>Battery, iPhone 12 Pro Max</v>
      </c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</row>
    <row r="4830">
      <c r="A4830" s="10" t="str">
        <f t="shared" si="1"/>
        <v>February</v>
      </c>
      <c r="B4830" s="11">
        <f>IFERROR(__xludf.DUMMYFUNCTION("""COMPUTED_VALUE"""),46062.0)</f>
        <v>46062</v>
      </c>
      <c r="C4830" s="2" t="str">
        <f>IFERROR(__xludf.DUMMYFUNCTION("""COMPUTED_VALUE"""),"MOBILECARE - NEWPOINT MALL")</f>
        <v>MOBILECARE - NEWPOINT MALL</v>
      </c>
      <c r="D4830" s="2" t="str">
        <f>IFERROR(__xludf.DUMMYFUNCTION("""COMPUTED_VALUE"""),"661-22309")</f>
        <v>661-22309</v>
      </c>
      <c r="E4830" s="2" t="str">
        <f>IFERROR(__xludf.DUMMYFUNCTION("""COMPUTED_VALUE"""),"Display, iPhone 13 Pro Max")</f>
        <v>Display, iPhone 13 Pro Max</v>
      </c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</row>
    <row r="4831">
      <c r="A4831" s="10" t="str">
        <f t="shared" si="1"/>
        <v>February</v>
      </c>
      <c r="B4831" s="11">
        <f>IFERROR(__xludf.DUMMYFUNCTION("""COMPUTED_VALUE"""),46072.0)</f>
        <v>46072</v>
      </c>
      <c r="C4831" s="2" t="str">
        <f>IFERROR(__xludf.DUMMYFUNCTION("""COMPUTED_VALUE"""),"MOBILECARE - NEWPOINT MALL")</f>
        <v>MOBILECARE - NEWPOINT MALL</v>
      </c>
      <c r="D4831" s="2" t="str">
        <f>IFERROR(__xludf.DUMMYFUNCTION("""COMPUTED_VALUE"""),"TA661-44995")</f>
        <v>TA661-44995</v>
      </c>
      <c r="E4831" s="2" t="str">
        <f>IFERROR(__xludf.DUMMYFUNCTION("""COMPUTED_VALUE"""),"128GB, Black Titanium, ROW, iPhone 16 Pro, Logic Board Assy Mid System")</f>
        <v>128GB, Black Titanium, ROW, iPhone 16 Pro, Logic Board Assy Mid System</v>
      </c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</row>
    <row r="4832">
      <c r="A4832" s="10" t="str">
        <f t="shared" si="1"/>
        <v>February</v>
      </c>
      <c r="B4832" s="11">
        <f>IFERROR(__xludf.DUMMYFUNCTION("""COMPUTED_VALUE"""),46056.0)</f>
        <v>46056</v>
      </c>
      <c r="C4832" s="2" t="str">
        <f>IFERROR(__xludf.DUMMYFUNCTION("""COMPUTED_VALUE"""),"MOBILECARE - NEWPOINT MALL")</f>
        <v>MOBILECARE - NEWPOINT MALL</v>
      </c>
      <c r="D4832" s="2" t="str">
        <f>IFERROR(__xludf.DUMMYFUNCTION("""COMPUTED_VALUE"""),"661-30382")</f>
        <v>661-30382</v>
      </c>
      <c r="E4832" s="2" t="str">
        <f>IFERROR(__xludf.DUMMYFUNCTION("""COMPUTED_VALUE"""),"Battery, iPhone 14 Pro")</f>
        <v>Battery, iPhone 14 Pro</v>
      </c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</row>
    <row r="4833">
      <c r="A4833" s="10" t="str">
        <f t="shared" si="1"/>
        <v>February</v>
      </c>
      <c r="B4833" s="11">
        <f>IFERROR(__xludf.DUMMYFUNCTION("""COMPUTED_VALUE"""),46065.0)</f>
        <v>46065</v>
      </c>
      <c r="C4833" s="2" t="str">
        <f>IFERROR(__xludf.DUMMYFUNCTION("""COMPUTED_VALUE"""),"MOBILECARE - NEWPOINT MALL")</f>
        <v>MOBILECARE - NEWPOINT MALL</v>
      </c>
      <c r="D4833" s="2" t="str">
        <f>IFERROR(__xludf.DUMMYFUNCTION("""COMPUTED_VALUE"""),"TA661-36694")</f>
        <v>TA661-36694</v>
      </c>
      <c r="E4833" s="2" t="str">
        <f>IFERROR(__xludf.DUMMYFUNCTION("""COMPUTED_VALUE"""),"iPhone 15, Blue, 128GB, Logic Board Assy Mid System, ROW")</f>
        <v>iPhone 15, Blue, 128GB, Logic Board Assy Mid System, ROW</v>
      </c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</row>
    <row r="4834">
      <c r="A4834" s="10" t="str">
        <f t="shared" si="1"/>
        <v>February</v>
      </c>
      <c r="B4834" s="11">
        <f>IFERROR(__xludf.DUMMYFUNCTION("""COMPUTED_VALUE"""),46056.0)</f>
        <v>46056</v>
      </c>
      <c r="C4834" s="2" t="str">
        <f>IFERROR(__xludf.DUMMYFUNCTION("""COMPUTED_VALUE"""),"MOBILECARE - NEWPOINT MALL")</f>
        <v>MOBILECARE - NEWPOINT MALL</v>
      </c>
      <c r="D4834" s="2" t="str">
        <f>IFERROR(__xludf.DUMMYFUNCTION("""COMPUTED_VALUE"""),"PP661-28613")</f>
        <v>PP661-28613</v>
      </c>
      <c r="E4834" s="2" t="str">
        <f>IFERROR(__xludf.DUMMYFUNCTION("""COMPUTED_VALUE"""),"Midnight, iPhone 14, 128GB, ROW, CI/AR, Philippines")</f>
        <v>Midnight, iPhone 14, 128GB, ROW, CI/AR, Philippines</v>
      </c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</row>
    <row r="4835">
      <c r="A4835" s="10" t="str">
        <f t="shared" si="1"/>
        <v>January</v>
      </c>
      <c r="B4835" s="11">
        <f>IFERROR(__xludf.DUMMYFUNCTION("""COMPUTED_VALUE"""),46040.0)</f>
        <v>46040</v>
      </c>
      <c r="C4835" s="2" t="str">
        <f>IFERROR(__xludf.DUMMYFUNCTION("""COMPUTED_VALUE"""),"MOBILECARE - NEWPOINT MALL")</f>
        <v>MOBILECARE - NEWPOINT MALL</v>
      </c>
      <c r="D4835" s="2" t="str">
        <f>IFERROR(__xludf.DUMMYFUNCTION("""COMPUTED_VALUE"""),"661-42726")</f>
        <v>661-42726</v>
      </c>
      <c r="E4835" s="2" t="str">
        <f>IFERROR(__xludf.DUMMYFUNCTION("""COMPUTED_VALUE"""),"Display, iPhone 16 Pro")</f>
        <v>Display, iPhone 16 Pro</v>
      </c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</row>
    <row r="4836">
      <c r="A4836" s="10" t="str">
        <f t="shared" si="1"/>
        <v>June</v>
      </c>
      <c r="B4836" s="11">
        <f>IFERROR(__xludf.DUMMYFUNCTION("""COMPUTED_VALUE"""),46191.0)</f>
        <v>46191</v>
      </c>
      <c r="C4836" s="2" t="str">
        <f>IFERROR(__xludf.DUMMYFUNCTION("""COMPUTED_VALUE"""),"MOBILECARE - NEWPOINT MALL")</f>
        <v>MOBILECARE - NEWPOINT MALL</v>
      </c>
      <c r="D4836" s="2" t="str">
        <f>IFERROR(__xludf.DUMMYFUNCTION("""COMPUTED_VALUE"""),"661-55240")</f>
        <v>661-55240</v>
      </c>
      <c r="E4836" s="2" t="str">
        <f>IFERROR(__xludf.DUMMYFUNCTION("""COMPUTED_VALUE"""),"Display, iPhone Air")</f>
        <v>Display, iPhone Air</v>
      </c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</row>
    <row r="4837">
      <c r="A4837" s="10" t="str">
        <f t="shared" si="1"/>
        <v>June</v>
      </c>
      <c r="B4837" s="11">
        <f>IFERROR(__xludf.DUMMYFUNCTION("""COMPUTED_VALUE"""),46187.0)</f>
        <v>46187</v>
      </c>
      <c r="C4837" s="2" t="str">
        <f>IFERROR(__xludf.DUMMYFUNCTION("""COMPUTED_VALUE"""),"MOBILECARE - NEWPOINT MALL")</f>
        <v>MOBILECARE - NEWPOINT MALL</v>
      </c>
      <c r="D4837" s="2" t="str">
        <f>IFERROR(__xludf.DUMMYFUNCTION("""COMPUTED_VALUE"""),"661-22294")</f>
        <v>661-22294</v>
      </c>
      <c r="E4837" s="2" t="str">
        <f>IFERROR(__xludf.DUMMYFUNCTION("""COMPUTED_VALUE"""),"Battery, iPhone 13 Pro Max")</f>
        <v>Battery, iPhone 13 Pro Max</v>
      </c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</row>
    <row r="4838">
      <c r="A4838" s="10" t="str">
        <f t="shared" si="1"/>
        <v>June</v>
      </c>
      <c r="B4838" s="11">
        <f>IFERROR(__xludf.DUMMYFUNCTION("""COMPUTED_VALUE"""),46183.0)</f>
        <v>46183</v>
      </c>
      <c r="C4838" s="2" t="str">
        <f>IFERROR(__xludf.DUMMYFUNCTION("""COMPUTED_VALUE"""),"MOBILECARE - NEWPOINT MALL")</f>
        <v>MOBILECARE - NEWPOINT MALL</v>
      </c>
      <c r="D4838" s="2" t="str">
        <f>IFERROR(__xludf.DUMMYFUNCTION("""COMPUTED_VALUE"""),"PP661-18120")</f>
        <v>PP661-18120</v>
      </c>
      <c r="E4838" s="2" t="str">
        <f>IFERROR(__xludf.DUMMYFUNCTION("""COMPUTED_VALUE"""),"Blue, 128GB, iPhone 12 mini, ROW, Philippines, CI/AR")</f>
        <v>Blue, 128GB, iPhone 12 mini, ROW, Philippines, CI/AR</v>
      </c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</row>
    <row r="4839">
      <c r="A4839" s="10" t="str">
        <f t="shared" si="1"/>
        <v>April</v>
      </c>
      <c r="B4839" s="11">
        <f>IFERROR(__xludf.DUMMYFUNCTION("""COMPUTED_VALUE"""),46142.0)</f>
        <v>46142</v>
      </c>
      <c r="C4839" s="2" t="str">
        <f>IFERROR(__xludf.DUMMYFUNCTION("""COMPUTED_VALUE"""),"MOBILECARE - NEWPOINT MALL")</f>
        <v>MOBILECARE - NEWPOINT MALL</v>
      </c>
      <c r="D4839" s="2" t="str">
        <f>IFERROR(__xludf.DUMMYFUNCTION("""COMPUTED_VALUE"""),"661-21991")</f>
        <v>661-21991</v>
      </c>
      <c r="E4839" s="2" t="str">
        <f>IFERROR(__xludf.DUMMYFUNCTION("""COMPUTED_VALUE"""),"Battery, iPhone 13")</f>
        <v>Battery, iPhone 13</v>
      </c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</row>
    <row r="4840">
      <c r="A4840" s="10" t="str">
        <f t="shared" si="1"/>
        <v>April</v>
      </c>
      <c r="B4840" s="11">
        <f>IFERROR(__xludf.DUMMYFUNCTION("""COMPUTED_VALUE"""),46135.0)</f>
        <v>46135</v>
      </c>
      <c r="C4840" s="2" t="str">
        <f>IFERROR(__xludf.DUMMYFUNCTION("""COMPUTED_VALUE"""),"MOBILECARE - NEWPOINT MALL")</f>
        <v>MOBILECARE - NEWPOINT MALL</v>
      </c>
      <c r="D4840" s="2" t="str">
        <f>IFERROR(__xludf.DUMMYFUNCTION("""COMPUTED_VALUE"""),"661-21988")</f>
        <v>661-21988</v>
      </c>
      <c r="E4840" s="2" t="str">
        <f>IFERROR(__xludf.DUMMYFUNCTION("""COMPUTED_VALUE"""),"Display, iPhone 13")</f>
        <v>Display, iPhone 13</v>
      </c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</row>
    <row r="4841">
      <c r="A4841" s="10" t="str">
        <f t="shared" si="1"/>
        <v>April</v>
      </c>
      <c r="B4841" s="11">
        <f>IFERROR(__xludf.DUMMYFUNCTION("""COMPUTED_VALUE"""),46140.0)</f>
        <v>46140</v>
      </c>
      <c r="C4841" s="2" t="str">
        <f>IFERROR(__xludf.DUMMYFUNCTION("""COMPUTED_VALUE"""),"MOBILECARE - NEWPOINT MALL")</f>
        <v>MOBILECARE - NEWPOINT MALL</v>
      </c>
      <c r="D4841" s="2" t="str">
        <f>IFERROR(__xludf.DUMMYFUNCTION("""COMPUTED_VALUE"""),"TA661-36691")</f>
        <v>TA661-36691</v>
      </c>
      <c r="E4841" s="2" t="str">
        <f>IFERROR(__xludf.DUMMYFUNCTION("""COMPUTED_VALUE"""),"iPhone 15, Black, 128GB, Logic Board Assy Mid System, ROW")</f>
        <v>iPhone 15, Black, 128GB, Logic Board Assy Mid System, ROW</v>
      </c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</row>
    <row r="4842">
      <c r="A4842" s="10" t="str">
        <f t="shared" si="1"/>
        <v>April</v>
      </c>
      <c r="B4842" s="11">
        <f>IFERROR(__xludf.DUMMYFUNCTION("""COMPUTED_VALUE"""),46113.0)</f>
        <v>46113</v>
      </c>
      <c r="C4842" s="2" t="str">
        <f>IFERROR(__xludf.DUMMYFUNCTION("""COMPUTED_VALUE"""),"MOBILECARE - NEWPOINT MALL")</f>
        <v>MOBILECARE - NEWPOINT MALL</v>
      </c>
      <c r="D4842" s="2" t="str">
        <f>IFERROR(__xludf.DUMMYFUNCTION("""COMPUTED_VALUE"""),"923-11058")</f>
        <v>923-11058</v>
      </c>
      <c r="E4842" s="2" t="str">
        <f>IFERROR(__xludf.DUMMYFUNCTION("""COMPUTED_VALUE"""),"Bottom Speaker, iPhone 16")</f>
        <v>Bottom Speaker, iPhone 16</v>
      </c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</row>
    <row r="4843">
      <c r="A4843" s="10" t="str">
        <f t="shared" si="1"/>
        <v>April</v>
      </c>
      <c r="B4843" s="11">
        <f>IFERROR(__xludf.DUMMYFUNCTION("""COMPUTED_VALUE"""),46137.0)</f>
        <v>46137</v>
      </c>
      <c r="C4843" s="2" t="str">
        <f>IFERROR(__xludf.DUMMYFUNCTION("""COMPUTED_VALUE"""),"MOBILECARE - NEWPOINT MALL")</f>
        <v>MOBILECARE - NEWPOINT MALL</v>
      </c>
      <c r="D4843" s="2" t="str">
        <f>IFERROR(__xludf.DUMMYFUNCTION("""COMPUTED_VALUE"""),"TA661-43498")</f>
        <v>TA661-43498</v>
      </c>
      <c r="E4843" s="2" t="str">
        <f>IFERROR(__xludf.DUMMYFUNCTION("""COMPUTED_VALUE"""),"128GB, Black, ROW, iPhone 16, CI/AR")</f>
        <v>128GB, Black, ROW, iPhone 16, CI/AR</v>
      </c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</row>
    <row r="4844">
      <c r="A4844" s="10" t="str">
        <f t="shared" si="1"/>
        <v>March</v>
      </c>
      <c r="B4844" s="11">
        <f>IFERROR(__xludf.DUMMYFUNCTION("""COMPUTED_VALUE"""),46094.0)</f>
        <v>46094</v>
      </c>
      <c r="C4844" s="2" t="str">
        <f>IFERROR(__xludf.DUMMYFUNCTION("""COMPUTED_VALUE"""),"MOBILECARE - NEWPOINT MALL")</f>
        <v>MOBILECARE - NEWPOINT MALL</v>
      </c>
      <c r="D4844" s="2" t="str">
        <f>IFERROR(__xludf.DUMMYFUNCTION("""COMPUTED_VALUE"""),"661-30397")</f>
        <v>661-30397</v>
      </c>
      <c r="E4844" s="2" t="str">
        <f>IFERROR(__xludf.DUMMYFUNCTION("""COMPUTED_VALUE"""),"Battery, iPhone 14 Pro Max")</f>
        <v>Battery, iPhone 14 Pro Max</v>
      </c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</row>
    <row r="4845">
      <c r="A4845" s="10" t="str">
        <f t="shared" si="1"/>
        <v>March</v>
      </c>
      <c r="B4845" s="11">
        <f>IFERROR(__xludf.DUMMYFUNCTION("""COMPUTED_VALUE"""),46082.0)</f>
        <v>46082</v>
      </c>
      <c r="C4845" s="2" t="str">
        <f>IFERROR(__xludf.DUMMYFUNCTION("""COMPUTED_VALUE"""),"MOBILECARE - NEWPOINT MALL")</f>
        <v>MOBILECARE - NEWPOINT MALL</v>
      </c>
      <c r="D4845" s="2" t="str">
        <f>IFERROR(__xludf.DUMMYFUNCTION("""COMPUTED_VALUE"""),"661-56125")</f>
        <v>661-56125</v>
      </c>
      <c r="E4845" s="2" t="str">
        <f>IFERROR(__xludf.DUMMYFUNCTION("""COMPUTED_VALUE"""),"Display, iPhone 17 Pro")</f>
        <v>Display, iPhone 17 Pro</v>
      </c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</row>
    <row r="4846">
      <c r="A4846" s="10" t="str">
        <f t="shared" si="1"/>
        <v>March</v>
      </c>
      <c r="B4846" s="11">
        <f>IFERROR(__xludf.DUMMYFUNCTION("""COMPUTED_VALUE"""),46090.0)</f>
        <v>46090</v>
      </c>
      <c r="C4846" s="2" t="str">
        <f>IFERROR(__xludf.DUMMYFUNCTION("""COMPUTED_VALUE"""),"MOBILECARE - NEWPOINT MALL")</f>
        <v>MOBILECARE - NEWPOINT MALL</v>
      </c>
      <c r="D4846" s="2" t="str">
        <f>IFERROR(__xludf.DUMMYFUNCTION("""COMPUTED_VALUE"""),"PP661-22983")</f>
        <v>PP661-22983</v>
      </c>
      <c r="E4846" s="2" t="str">
        <f>IFERROR(__xludf.DUMMYFUNCTION("""COMPUTED_VALUE"""),"Red, 128 GB, iPhone 13, ROW, CI/AR, Philippines")</f>
        <v>Red, 128 GB, iPhone 13, ROW, CI/AR, Philippines</v>
      </c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</row>
    <row r="4847">
      <c r="A4847" s="10" t="str">
        <f t="shared" si="1"/>
        <v>January</v>
      </c>
      <c r="B4847" s="11">
        <f>IFERROR(__xludf.DUMMYFUNCTION("""COMPUTED_VALUE"""),46049.0)</f>
        <v>46049</v>
      </c>
      <c r="C4847" s="2" t="str">
        <f>IFERROR(__xludf.DUMMYFUNCTION("""COMPUTED_VALUE"""),"MOBILECARE - NEWPOINT MALL")</f>
        <v>MOBILECARE - NEWPOINT MALL</v>
      </c>
      <c r="D4847" s="2" t="str">
        <f>IFERROR(__xludf.DUMMYFUNCTION("""COMPUTED_VALUE"""),"TA661-55149")</f>
        <v>TA661-55149</v>
      </c>
      <c r="E4847" s="2" t="str">
        <f>IFERROR(__xludf.DUMMYFUNCTION("""COMPUTED_VALUE"""),"Silver, 256GB, iPhone 17 Pro, ROW, CI/AR, Taiwan")</f>
        <v>Silver, 256GB, iPhone 17 Pro, ROW, CI/AR, Taiwan</v>
      </c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</row>
    <row r="4848">
      <c r="A4848" s="10" t="str">
        <f t="shared" si="1"/>
        <v>June</v>
      </c>
      <c r="B4848" s="11">
        <f>IFERROR(__xludf.DUMMYFUNCTION("""COMPUTED_VALUE"""),46178.0)</f>
        <v>46178</v>
      </c>
      <c r="C4848" s="2" t="str">
        <f>IFERROR(__xludf.DUMMYFUNCTION("""COMPUTED_VALUE"""),"MOBILECARE - NEWPOINT MALL")</f>
        <v>MOBILECARE - NEWPOINT MALL</v>
      </c>
      <c r="D4848" s="2" t="str">
        <f>IFERROR(__xludf.DUMMYFUNCTION("""COMPUTED_VALUE"""),"661-21991")</f>
        <v>661-21991</v>
      </c>
      <c r="E4848" s="2" t="str">
        <f>IFERROR(__xludf.DUMMYFUNCTION("""COMPUTED_VALUE"""),"Battery, iPhone 13")</f>
        <v>Battery, iPhone 13</v>
      </c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</row>
    <row r="4849">
      <c r="A4849" s="10" t="str">
        <f t="shared" si="1"/>
        <v>May</v>
      </c>
      <c r="B4849" s="11">
        <f>IFERROR(__xludf.DUMMYFUNCTION("""COMPUTED_VALUE"""),46165.0)</f>
        <v>46165</v>
      </c>
      <c r="C4849" s="2" t="str">
        <f>IFERROR(__xludf.DUMMYFUNCTION("""COMPUTED_VALUE"""),"MOBILECARE - NEWPOINT MALL")</f>
        <v>MOBILECARE - NEWPOINT MALL</v>
      </c>
      <c r="D4849" s="2" t="str">
        <f>IFERROR(__xludf.DUMMYFUNCTION("""COMPUTED_VALUE"""),"661-21991")</f>
        <v>661-21991</v>
      </c>
      <c r="E4849" s="2" t="str">
        <f>IFERROR(__xludf.DUMMYFUNCTION("""COMPUTED_VALUE"""),"Battery, iPhone 13")</f>
        <v>Battery, iPhone 13</v>
      </c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</row>
    <row r="4850">
      <c r="A4850" s="10" t="str">
        <f t="shared" si="1"/>
        <v>June</v>
      </c>
      <c r="B4850" s="11">
        <f>IFERROR(__xludf.DUMMYFUNCTION("""COMPUTED_VALUE"""),46178.0)</f>
        <v>46178</v>
      </c>
      <c r="C4850" s="2" t="str">
        <f>IFERROR(__xludf.DUMMYFUNCTION("""COMPUTED_VALUE"""),"MOBILECARE - NEWPOINT MALL")</f>
        <v>MOBILECARE - NEWPOINT MALL</v>
      </c>
      <c r="D4850" s="2" t="str">
        <f>IFERROR(__xludf.DUMMYFUNCTION("""COMPUTED_VALUE"""),"661-56125")</f>
        <v>661-56125</v>
      </c>
      <c r="E4850" s="2" t="str">
        <f>IFERROR(__xludf.DUMMYFUNCTION("""COMPUTED_VALUE"""),"Display, iPhone 17 Pro")</f>
        <v>Display, iPhone 17 Pro</v>
      </c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</row>
    <row r="4851">
      <c r="A4851" s="10" t="str">
        <f t="shared" si="1"/>
        <v>May</v>
      </c>
      <c r="B4851" s="11">
        <f>IFERROR(__xludf.DUMMYFUNCTION("""COMPUTED_VALUE"""),46158.0)</f>
        <v>46158</v>
      </c>
      <c r="C4851" s="2" t="str">
        <f>IFERROR(__xludf.DUMMYFUNCTION("""COMPUTED_VALUE"""),"MOBILECARE - NEWPOINT MALL")</f>
        <v>MOBILECARE - NEWPOINT MALL</v>
      </c>
      <c r="D4851" s="2" t="str">
        <f>IFERROR(__xludf.DUMMYFUNCTION("""COMPUTED_VALUE"""),"661-21991")</f>
        <v>661-21991</v>
      </c>
      <c r="E4851" s="2" t="str">
        <f>IFERROR(__xludf.DUMMYFUNCTION("""COMPUTED_VALUE"""),"Battery, iPhone 13")</f>
        <v>Battery, iPhone 13</v>
      </c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</row>
    <row r="4852">
      <c r="A4852" s="10" t="str">
        <f t="shared" si="1"/>
        <v>June</v>
      </c>
      <c r="B4852" s="11">
        <f>IFERROR(__xludf.DUMMYFUNCTION("""COMPUTED_VALUE"""),46188.0)</f>
        <v>46188</v>
      </c>
      <c r="C4852" s="2" t="str">
        <f>IFERROR(__xludf.DUMMYFUNCTION("""COMPUTED_VALUE"""),"MOBILECARE - NEWPOINT MALL")</f>
        <v>MOBILECARE - NEWPOINT MALL</v>
      </c>
      <c r="D4852" s="2" t="str">
        <f>IFERROR(__xludf.DUMMYFUNCTION("""COMPUTED_VALUE"""),"TA661-36694")</f>
        <v>TA661-36694</v>
      </c>
      <c r="E4852" s="2" t="str">
        <f>IFERROR(__xludf.DUMMYFUNCTION("""COMPUTED_VALUE"""),"iPhone 15, Blue, 128GB, Logic Board Assy Mid System, ROW")</f>
        <v>iPhone 15, Blue, 128GB, Logic Board Assy Mid System, ROW</v>
      </c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</row>
    <row r="4853">
      <c r="A4853" s="10" t="str">
        <f t="shared" si="1"/>
        <v>June</v>
      </c>
      <c r="B4853" s="11">
        <f>IFERROR(__xludf.DUMMYFUNCTION("""COMPUTED_VALUE"""),46184.0)</f>
        <v>46184</v>
      </c>
      <c r="C4853" s="2" t="str">
        <f>IFERROR(__xludf.DUMMYFUNCTION("""COMPUTED_VALUE"""),"MOBILECARE - NEWPOINT MALL")</f>
        <v>MOBILECARE - NEWPOINT MALL</v>
      </c>
      <c r="D4853" s="2" t="str">
        <f>IFERROR(__xludf.DUMMYFUNCTION("""COMPUTED_VALUE"""),"Z661-55846")</f>
        <v>Z661-55846</v>
      </c>
      <c r="E4853" s="2" t="str">
        <f>IFERROR(__xludf.DUMMYFUNCTION("""COMPUTED_VALUE"""),"Logic Board, 256GB, iPhone Air, ROW")</f>
        <v>Logic Board, 256GB, iPhone Air, ROW</v>
      </c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</row>
    <row r="4854">
      <c r="A4854" s="10" t="str">
        <f t="shared" si="1"/>
        <v>June</v>
      </c>
      <c r="B4854" s="11">
        <f>IFERROR(__xludf.DUMMYFUNCTION("""COMPUTED_VALUE"""),46184.0)</f>
        <v>46184</v>
      </c>
      <c r="C4854" s="2" t="str">
        <f>IFERROR(__xludf.DUMMYFUNCTION("""COMPUTED_VALUE"""),"MOBILECARE - NEWPOINT MALL")</f>
        <v>MOBILECARE - NEWPOINT MALL</v>
      </c>
      <c r="D4854" s="2" t="str">
        <f>IFERROR(__xludf.DUMMYFUNCTION("""COMPUTED_VALUE"""),"661-55240")</f>
        <v>661-55240</v>
      </c>
      <c r="E4854" s="2" t="str">
        <f>IFERROR(__xludf.DUMMYFUNCTION("""COMPUTED_VALUE"""),"Display, iPhone Air")</f>
        <v>Display, iPhone Air</v>
      </c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</row>
    <row r="4855">
      <c r="A4855" s="10" t="str">
        <f t="shared" si="1"/>
        <v>April</v>
      </c>
      <c r="B4855" s="11">
        <f>IFERROR(__xludf.DUMMYFUNCTION("""COMPUTED_VALUE"""),46125.0)</f>
        <v>46125</v>
      </c>
      <c r="C4855" s="2" t="str">
        <f>IFERROR(__xludf.DUMMYFUNCTION("""COMPUTED_VALUE"""),"MOBILECARE - NEWPOINT MALL")</f>
        <v>MOBILECARE - NEWPOINT MALL</v>
      </c>
      <c r="D4855" s="2" t="str">
        <f>IFERROR(__xludf.DUMMYFUNCTION("""COMPUTED_VALUE"""),"661-21991")</f>
        <v>661-21991</v>
      </c>
      <c r="E4855" s="2" t="str">
        <f>IFERROR(__xludf.DUMMYFUNCTION("""COMPUTED_VALUE"""),"Battery, iPhone 13")</f>
        <v>Battery, iPhone 13</v>
      </c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</row>
    <row r="4856">
      <c r="A4856" s="10" t="str">
        <f t="shared" si="1"/>
        <v>April</v>
      </c>
      <c r="B4856" s="11">
        <f>IFERROR(__xludf.DUMMYFUNCTION("""COMPUTED_VALUE"""),46120.0)</f>
        <v>46120</v>
      </c>
      <c r="C4856" s="2" t="str">
        <f>IFERROR(__xludf.DUMMYFUNCTION("""COMPUTED_VALUE"""),"MOBILECARE - NEWPOINT MALL")</f>
        <v>MOBILECARE - NEWPOINT MALL</v>
      </c>
      <c r="D4856" s="2" t="str">
        <f>IFERROR(__xludf.DUMMYFUNCTION("""COMPUTED_VALUE"""),"661-44955")</f>
        <v>661-44955</v>
      </c>
      <c r="E4856" s="2" t="str">
        <f>IFERROR(__xludf.DUMMYFUNCTION("""COMPUTED_VALUE"""),"Display, iPhone 16 Pro Max")</f>
        <v>Display, iPhone 16 Pro Max</v>
      </c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</row>
    <row r="4857">
      <c r="A4857" s="10" t="str">
        <f t="shared" si="1"/>
        <v>April</v>
      </c>
      <c r="B4857" s="11">
        <f>IFERROR(__xludf.DUMMYFUNCTION("""COMPUTED_VALUE"""),46137.0)</f>
        <v>46137</v>
      </c>
      <c r="C4857" s="2" t="str">
        <f>IFERROR(__xludf.DUMMYFUNCTION("""COMPUTED_VALUE"""),"MOBILECARE - NEWPOINT MALL")</f>
        <v>MOBILECARE - NEWPOINT MALL</v>
      </c>
      <c r="D4857" s="2" t="str">
        <f>IFERROR(__xludf.DUMMYFUNCTION("""COMPUTED_VALUE"""),"TA661-45263")</f>
        <v>TA661-45263</v>
      </c>
      <c r="E4857" s="2" t="str">
        <f>IFERROR(__xludf.DUMMYFUNCTION("""COMPUTED_VALUE"""),"256GB, Desert Titanium, ROW, iPhone 16 Pro Max, CI/AR")</f>
        <v>256GB, Desert Titanium, ROW, iPhone 16 Pro Max, CI/AR</v>
      </c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</row>
    <row r="4858">
      <c r="A4858" s="10" t="str">
        <f t="shared" si="1"/>
        <v>March</v>
      </c>
      <c r="B4858" s="11">
        <f>IFERROR(__xludf.DUMMYFUNCTION("""COMPUTED_VALUE"""),46100.0)</f>
        <v>46100</v>
      </c>
      <c r="C4858" s="2" t="str">
        <f>IFERROR(__xludf.DUMMYFUNCTION("""COMPUTED_VALUE"""),"MOBILECARE - NEWPOINT MALL")</f>
        <v>MOBILECARE - NEWPOINT MALL</v>
      </c>
      <c r="D4858" s="2" t="str">
        <f>IFERROR(__xludf.DUMMYFUNCTION("""COMPUTED_VALUE"""),"661-44955")</f>
        <v>661-44955</v>
      </c>
      <c r="E4858" s="2" t="str">
        <f>IFERROR(__xludf.DUMMYFUNCTION("""COMPUTED_VALUE"""),"Display, iPhone 16 Pro Max")</f>
        <v>Display, iPhone 16 Pro Max</v>
      </c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</row>
    <row r="4859">
      <c r="A4859" s="10" t="str">
        <f t="shared" si="1"/>
        <v>March</v>
      </c>
      <c r="B4859" s="11">
        <f>IFERROR(__xludf.DUMMYFUNCTION("""COMPUTED_VALUE"""),46082.0)</f>
        <v>46082</v>
      </c>
      <c r="C4859" s="2" t="str">
        <f>IFERROR(__xludf.DUMMYFUNCTION("""COMPUTED_VALUE"""),"MOBILECARE - NEWPOINT MALL")</f>
        <v>MOBILECARE - NEWPOINT MALL</v>
      </c>
      <c r="D4859" s="2" t="str">
        <f>IFERROR(__xludf.DUMMYFUNCTION("""COMPUTED_VALUE"""),"661-13574")</f>
        <v>661-13574</v>
      </c>
      <c r="E4859" s="2" t="str">
        <f>IFERROR(__xludf.DUMMYFUNCTION("""COMPUTED_VALUE"""),"Battery, iPhone 11")</f>
        <v>Battery, iPhone 11</v>
      </c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</row>
    <row r="4860">
      <c r="A4860" s="10" t="str">
        <f t="shared" si="1"/>
        <v>February</v>
      </c>
      <c r="B4860" s="11">
        <f>IFERROR(__xludf.DUMMYFUNCTION("""COMPUTED_VALUE"""),46081.0)</f>
        <v>46081</v>
      </c>
      <c r="C4860" s="2" t="str">
        <f>IFERROR(__xludf.DUMMYFUNCTION("""COMPUTED_VALUE"""),"MOBILECARE - NEWPOINT MALL")</f>
        <v>MOBILECARE - NEWPOINT MALL</v>
      </c>
      <c r="D4860" s="2" t="str">
        <f>IFERROR(__xludf.DUMMYFUNCTION("""COMPUTED_VALUE"""),"661-56051")</f>
        <v>661-56051</v>
      </c>
      <c r="E4860" s="2" t="str">
        <f>IFERROR(__xludf.DUMMYFUNCTION("""COMPUTED_VALUE"""),"Front Camera, iPhone 17 Pro Max")</f>
        <v>Front Camera, iPhone 17 Pro Max</v>
      </c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</row>
    <row r="4861">
      <c r="A4861" s="10" t="str">
        <f t="shared" si="1"/>
        <v>February</v>
      </c>
      <c r="B4861" s="11">
        <f>IFERROR(__xludf.DUMMYFUNCTION("""COMPUTED_VALUE"""),46081.0)</f>
        <v>46081</v>
      </c>
      <c r="C4861" s="2" t="str">
        <f>IFERROR(__xludf.DUMMYFUNCTION("""COMPUTED_VALUE"""),"MOBILECARE - NEWPOINT MALL")</f>
        <v>MOBILECARE - NEWPOINT MALL</v>
      </c>
      <c r="D4861" s="2" t="str">
        <f>IFERROR(__xludf.DUMMYFUNCTION("""COMPUTED_VALUE"""),"661-56052")</f>
        <v>661-56052</v>
      </c>
      <c r="E4861" s="2" t="str">
        <f>IFERROR(__xludf.DUMMYFUNCTION("""COMPUTED_VALUE"""),"Camera, iPhone 17 Pro Max")</f>
        <v>Camera, iPhone 17 Pro Max</v>
      </c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</row>
    <row r="4862">
      <c r="A4862" s="10" t="str">
        <f t="shared" si="1"/>
        <v>March</v>
      </c>
      <c r="B4862" s="11">
        <f>IFERROR(__xludf.DUMMYFUNCTION("""COMPUTED_VALUE"""),46098.0)</f>
        <v>46098</v>
      </c>
      <c r="C4862" s="2" t="str">
        <f>IFERROR(__xludf.DUMMYFUNCTION("""COMPUTED_VALUE"""),"MOBILECARE - NEWPOINT MALL")</f>
        <v>MOBILECARE - NEWPOINT MALL</v>
      </c>
      <c r="D4862" s="2" t="str">
        <f>IFERROR(__xludf.DUMMYFUNCTION("""COMPUTED_VALUE"""),"TA661-55207")</f>
        <v>TA661-55207</v>
      </c>
      <c r="E4862" s="2" t="str">
        <f>IFERROR(__xludf.DUMMYFUNCTION("""COMPUTED_VALUE"""),"Cosmic Orange, 256GB, iPhone 17 Pro Max, ROW, CI/AR, Taiwan")</f>
        <v>Cosmic Orange, 256GB, iPhone 17 Pro Max, ROW, CI/AR, Taiwan</v>
      </c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</row>
    <row r="4863">
      <c r="A4863" s="10" t="str">
        <f t="shared" si="1"/>
        <v>March</v>
      </c>
      <c r="B4863" s="11">
        <f>IFERROR(__xludf.DUMMYFUNCTION("""COMPUTED_VALUE"""),46093.0)</f>
        <v>46093</v>
      </c>
      <c r="C4863" s="2" t="str">
        <f>IFERROR(__xludf.DUMMYFUNCTION("""COMPUTED_VALUE"""),"MOBILECARE - NEWPOINT MALL")</f>
        <v>MOBILECARE - NEWPOINT MALL</v>
      </c>
      <c r="D4863" s="2" t="str">
        <f>IFERROR(__xludf.DUMMYFUNCTION("""COMPUTED_VALUE"""),"TA661-43606")</f>
        <v>TA661-43606</v>
      </c>
      <c r="E4863" s="2" t="str">
        <f>IFERROR(__xludf.DUMMYFUNCTION("""COMPUTED_VALUE"""),"128GB, White, ROW, iPhone 16, Logic Board Assy Mid System")</f>
        <v>128GB, White, ROW, iPhone 16, Logic Board Assy Mid System</v>
      </c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</row>
    <row r="4864">
      <c r="A4864" s="10" t="str">
        <f t="shared" si="1"/>
        <v>February</v>
      </c>
      <c r="B4864" s="11">
        <f>IFERROR(__xludf.DUMMYFUNCTION("""COMPUTED_VALUE"""),46076.0)</f>
        <v>46076</v>
      </c>
      <c r="C4864" s="2" t="str">
        <f>IFERROR(__xludf.DUMMYFUNCTION("""COMPUTED_VALUE"""),"MOBILECARE - NEWPOINT MALL")</f>
        <v>MOBILECARE - NEWPOINT MALL</v>
      </c>
      <c r="D4864" s="2" t="str">
        <f>IFERROR(__xludf.DUMMYFUNCTION("""COMPUTED_VALUE"""),"661-44956")</f>
        <v>661-44956</v>
      </c>
      <c r="E4864" s="2" t="str">
        <f>IFERROR(__xludf.DUMMYFUNCTION("""COMPUTED_VALUE"""),"TrueDepth Camera, iPhone 16 Pro Max")</f>
        <v>TrueDepth Camera, iPhone 16 Pro Max</v>
      </c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</row>
    <row r="4865">
      <c r="A4865" s="10" t="str">
        <f t="shared" si="1"/>
        <v>February</v>
      </c>
      <c r="B4865" s="11">
        <f>IFERROR(__xludf.DUMMYFUNCTION("""COMPUTED_VALUE"""),46076.0)</f>
        <v>46076</v>
      </c>
      <c r="C4865" s="2" t="str">
        <f>IFERROR(__xludf.DUMMYFUNCTION("""COMPUTED_VALUE"""),"MOBILECARE - NEWPOINT MALL")</f>
        <v>MOBILECARE - NEWPOINT MALL</v>
      </c>
      <c r="D4865" s="2" t="str">
        <f>IFERROR(__xludf.DUMMYFUNCTION("""COMPUTED_VALUE"""),"661-44957")</f>
        <v>661-44957</v>
      </c>
      <c r="E4865" s="2" t="str">
        <f>IFERROR(__xludf.DUMMYFUNCTION("""COMPUTED_VALUE"""),"Camera, iPhone 16 Pro Max")</f>
        <v>Camera, iPhone 16 Pro Max</v>
      </c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</row>
    <row r="4866">
      <c r="A4866" s="10" t="str">
        <f t="shared" si="1"/>
        <v>February</v>
      </c>
      <c r="B4866" s="11">
        <f>IFERROR(__xludf.DUMMYFUNCTION("""COMPUTED_VALUE"""),46076.0)</f>
        <v>46076</v>
      </c>
      <c r="C4866" s="2" t="str">
        <f>IFERROR(__xludf.DUMMYFUNCTION("""COMPUTED_VALUE"""),"MOBILECARE - NEWPOINT MALL")</f>
        <v>MOBILECARE - NEWPOINT MALL</v>
      </c>
      <c r="D4866" s="2" t="str">
        <f>IFERROR(__xludf.DUMMYFUNCTION("""COMPUTED_VALUE"""),"661-44961")</f>
        <v>661-44961</v>
      </c>
      <c r="E4866" s="2" t="str">
        <f>IFERROR(__xludf.DUMMYFUNCTION("""COMPUTED_VALUE"""),"Natural Titanium, Back Glass, iPhone 16 Pro Max")</f>
        <v>Natural Titanium, Back Glass, iPhone 16 Pro Max</v>
      </c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</row>
    <row r="4867">
      <c r="A4867" s="10" t="str">
        <f t="shared" si="1"/>
        <v>February</v>
      </c>
      <c r="B4867" s="11">
        <f>IFERROR(__xludf.DUMMYFUNCTION("""COMPUTED_VALUE"""),46058.0)</f>
        <v>46058</v>
      </c>
      <c r="C4867" s="2" t="str">
        <f>IFERROR(__xludf.DUMMYFUNCTION("""COMPUTED_VALUE"""),"MOBILECARE - NEWPOINT MALL")</f>
        <v>MOBILECARE - NEWPOINT MALL</v>
      </c>
      <c r="D4867" s="2" t="str">
        <f>IFERROR(__xludf.DUMMYFUNCTION("""COMPUTED_VALUE"""),"661-22294")</f>
        <v>661-22294</v>
      </c>
      <c r="E4867" s="2" t="str">
        <f>IFERROR(__xludf.DUMMYFUNCTION("""COMPUTED_VALUE"""),"Battery, iPhone 13 Pro Max")</f>
        <v>Battery, iPhone 13 Pro Max</v>
      </c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</row>
    <row r="4868">
      <c r="A4868" s="10" t="str">
        <f t="shared" si="1"/>
        <v>February</v>
      </c>
      <c r="B4868" s="11">
        <f>IFERROR(__xludf.DUMMYFUNCTION("""COMPUTED_VALUE"""),46081.0)</f>
        <v>46081</v>
      </c>
      <c r="C4868" s="2" t="str">
        <f>IFERROR(__xludf.DUMMYFUNCTION("""COMPUTED_VALUE"""),"MOBILECARE - NEWPOINT MALL")</f>
        <v>MOBILECARE - NEWPOINT MALL</v>
      </c>
      <c r="D4868" s="2" t="str">
        <f>IFERROR(__xludf.DUMMYFUNCTION("""COMPUTED_VALUE"""),"TA661-45321")</f>
        <v>TA661-45321</v>
      </c>
      <c r="E4868" s="2" t="str">
        <f>IFERROR(__xludf.DUMMYFUNCTION("""COMPUTED_VALUE"""),"256GB, Black Titanium, ROW, iPhone 16 Pro Max, Logic Board Assy Mid Syst")</f>
        <v>256GB, Black Titanium, ROW, iPhone 16 Pro Max, Logic Board Assy Mid Syst</v>
      </c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</row>
    <row r="4869">
      <c r="A4869" s="10" t="str">
        <f t="shared" si="1"/>
        <v>January</v>
      </c>
      <c r="B4869" s="11">
        <f>IFERROR(__xludf.DUMMYFUNCTION("""COMPUTED_VALUE"""),46053.0)</f>
        <v>46053</v>
      </c>
      <c r="C4869" s="2" t="str">
        <f>IFERROR(__xludf.DUMMYFUNCTION("""COMPUTED_VALUE"""),"MOBILECARE - NEWPOINT MALL")</f>
        <v>MOBILECARE - NEWPOINT MALL</v>
      </c>
      <c r="D4869" s="2" t="str">
        <f>IFERROR(__xludf.DUMMYFUNCTION("""COMPUTED_VALUE"""),"661-13574")</f>
        <v>661-13574</v>
      </c>
      <c r="E4869" s="2" t="str">
        <f>IFERROR(__xludf.DUMMYFUNCTION("""COMPUTED_VALUE"""),"Battery, iPhone 11")</f>
        <v>Battery, iPhone 11</v>
      </c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</row>
    <row r="4870">
      <c r="A4870" s="10" t="str">
        <f t="shared" si="1"/>
        <v>January</v>
      </c>
      <c r="B4870" s="11">
        <f>IFERROR(__xludf.DUMMYFUNCTION("""COMPUTED_VALUE"""),46047.0)</f>
        <v>46047</v>
      </c>
      <c r="C4870" s="2" t="str">
        <f>IFERROR(__xludf.DUMMYFUNCTION("""COMPUTED_VALUE"""),"MOBILECARE - NEWPOINT MALL")</f>
        <v>MOBILECARE - NEWPOINT MALL</v>
      </c>
      <c r="D4870" s="2" t="str">
        <f>IFERROR(__xludf.DUMMYFUNCTION("""COMPUTED_VALUE"""),"661-21996")</f>
        <v>661-21996</v>
      </c>
      <c r="E4870" s="2" t="str">
        <f>IFERROR(__xludf.DUMMYFUNCTION("""COMPUTED_VALUE"""),"Battery, iPhone 13 Pro")</f>
        <v>Battery, iPhone 13 Pro</v>
      </c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</row>
    <row r="4871">
      <c r="A4871" s="10" t="str">
        <f t="shared" si="1"/>
        <v>January</v>
      </c>
      <c r="B4871" s="11">
        <f>IFERROR(__xludf.DUMMYFUNCTION("""COMPUTED_VALUE"""),46044.0)</f>
        <v>46044</v>
      </c>
      <c r="C4871" s="2" t="str">
        <f>IFERROR(__xludf.DUMMYFUNCTION("""COMPUTED_VALUE"""),"MOBILECARE - NEWPOINT MALL")</f>
        <v>MOBILECARE - NEWPOINT MALL</v>
      </c>
      <c r="D4871" s="2" t="str">
        <f>IFERROR(__xludf.DUMMYFUNCTION("""COMPUTED_VALUE"""),"661-42843")</f>
        <v>661-42843</v>
      </c>
      <c r="E4871" s="2" t="str">
        <f>IFERROR(__xludf.DUMMYFUNCTION("""COMPUTED_VALUE"""),"Display, iPhone 16 Plus")</f>
        <v>Display, iPhone 16 Plus</v>
      </c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</row>
    <row r="4872">
      <c r="A4872" s="10" t="str">
        <f t="shared" si="1"/>
        <v>June</v>
      </c>
      <c r="B4872" s="11">
        <f>IFERROR(__xludf.DUMMYFUNCTION("""COMPUTED_VALUE"""),46181.0)</f>
        <v>46181</v>
      </c>
      <c r="C4872" s="2" t="str">
        <f>IFERROR(__xludf.DUMMYFUNCTION("""COMPUTED_VALUE"""),"MOBILECARE - NEWPOINT MALL")</f>
        <v>MOBILECARE - NEWPOINT MALL</v>
      </c>
      <c r="D4872" s="2" t="str">
        <f>IFERROR(__xludf.DUMMYFUNCTION("""COMPUTED_VALUE"""),"661-21991")</f>
        <v>661-21991</v>
      </c>
      <c r="E4872" s="2" t="str">
        <f>IFERROR(__xludf.DUMMYFUNCTION("""COMPUTED_VALUE"""),"Battery, iPhone 13")</f>
        <v>Battery, iPhone 13</v>
      </c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</row>
    <row r="4873">
      <c r="A4873" s="10" t="str">
        <f t="shared" si="1"/>
        <v>June</v>
      </c>
      <c r="B4873" s="11">
        <f>IFERROR(__xludf.DUMMYFUNCTION("""COMPUTED_VALUE"""),46191.0)</f>
        <v>46191</v>
      </c>
      <c r="C4873" s="2" t="str">
        <f>IFERROR(__xludf.DUMMYFUNCTION("""COMPUTED_VALUE"""),"MOBILECARE - NEWPOINT MALL")</f>
        <v>MOBILECARE - NEWPOINT MALL</v>
      </c>
      <c r="D4873" s="2" t="str">
        <f>IFERROR(__xludf.DUMMYFUNCTION("""COMPUTED_VALUE"""),"Z661-56015")</f>
        <v>Z661-56015</v>
      </c>
      <c r="E4873" s="2" t="str">
        <f>IFERROR(__xludf.DUMMYFUNCTION("""COMPUTED_VALUE"""),"Logic Board, 256GB, iPhone 17, ROW")</f>
        <v>Logic Board, 256GB, iPhone 17, ROW</v>
      </c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</row>
    <row r="4874">
      <c r="A4874" s="10" t="str">
        <f t="shared" si="1"/>
        <v>May</v>
      </c>
      <c r="B4874" s="11">
        <f>IFERROR(__xludf.DUMMYFUNCTION("""COMPUTED_VALUE"""),46160.0)</f>
        <v>46160</v>
      </c>
      <c r="C4874" s="2" t="str">
        <f>IFERROR(__xludf.DUMMYFUNCTION("""COMPUTED_VALUE"""),"MOBILECARE - NEWPOINT MALL")</f>
        <v>MOBILECARE - NEWPOINT MALL</v>
      </c>
      <c r="D4874" s="2" t="str">
        <f>IFERROR(__xludf.DUMMYFUNCTION("""COMPUTED_VALUE"""),"661-17920")</f>
        <v>661-17920</v>
      </c>
      <c r="E4874" s="2" t="str">
        <f>IFERROR(__xludf.DUMMYFUNCTION("""COMPUTED_VALUE"""),"Battery, iPhone 12 and 12 Pro")</f>
        <v>Battery, iPhone 12 and 12 Pro</v>
      </c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</row>
    <row r="4875">
      <c r="A4875" s="10" t="str">
        <f t="shared" si="1"/>
        <v>May</v>
      </c>
      <c r="B4875" s="11">
        <f>IFERROR(__xludf.DUMMYFUNCTION("""COMPUTED_VALUE"""),46158.0)</f>
        <v>46158</v>
      </c>
      <c r="C4875" s="2" t="str">
        <f>IFERROR(__xludf.DUMMYFUNCTION("""COMPUTED_VALUE"""),"MOBILECARE - NEWPOINT MALL")</f>
        <v>MOBILECARE - NEWPOINT MALL</v>
      </c>
      <c r="D4875" s="2" t="str">
        <f>IFERROR(__xludf.DUMMYFUNCTION("""COMPUTED_VALUE"""),"661-42843")</f>
        <v>661-42843</v>
      </c>
      <c r="E4875" s="2" t="str">
        <f>IFERROR(__xludf.DUMMYFUNCTION("""COMPUTED_VALUE"""),"Display, iPhone 16 Plus")</f>
        <v>Display, iPhone 16 Plus</v>
      </c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</row>
    <row r="4876">
      <c r="A4876" s="10" t="str">
        <f t="shared" si="1"/>
        <v>April</v>
      </c>
      <c r="B4876" s="11">
        <f>IFERROR(__xludf.DUMMYFUNCTION("""COMPUTED_VALUE"""),46129.0)</f>
        <v>46129</v>
      </c>
      <c r="C4876" s="2" t="str">
        <f>IFERROR(__xludf.DUMMYFUNCTION("""COMPUTED_VALUE"""),"MOBILECARE - NEWPOINT MALL")</f>
        <v>MOBILECARE - NEWPOINT MALL</v>
      </c>
      <c r="D4876" s="2" t="str">
        <f>IFERROR(__xludf.DUMMYFUNCTION("""COMPUTED_VALUE"""),"661-56050")</f>
        <v>661-56050</v>
      </c>
      <c r="E4876" s="2" t="str">
        <f>IFERROR(__xludf.DUMMYFUNCTION("""COMPUTED_VALUE"""),"Display, iPhone 17 Pro Max")</f>
        <v>Display, iPhone 17 Pro Max</v>
      </c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</row>
    <row r="4877">
      <c r="A4877" s="10" t="str">
        <f t="shared" si="1"/>
        <v>April</v>
      </c>
      <c r="B4877" s="11">
        <f>IFERROR(__xludf.DUMMYFUNCTION("""COMPUTED_VALUE"""),46129.0)</f>
        <v>46129</v>
      </c>
      <c r="C4877" s="2" t="str">
        <f>IFERROR(__xludf.DUMMYFUNCTION("""COMPUTED_VALUE"""),"MOBILECARE - NEWPOINT MALL")</f>
        <v>MOBILECARE - NEWPOINT MALL</v>
      </c>
      <c r="D4877" s="2" t="str">
        <f>IFERROR(__xludf.DUMMYFUNCTION("""COMPUTED_VALUE"""),"661-30397")</f>
        <v>661-30397</v>
      </c>
      <c r="E4877" s="2" t="str">
        <f>IFERROR(__xludf.DUMMYFUNCTION("""COMPUTED_VALUE"""),"Battery, iPhone 14 Pro Max")</f>
        <v>Battery, iPhone 14 Pro Max</v>
      </c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</row>
    <row r="4878">
      <c r="A4878" s="10" t="str">
        <f t="shared" si="1"/>
        <v>April</v>
      </c>
      <c r="B4878" s="11">
        <f>IFERROR(__xludf.DUMMYFUNCTION("""COMPUTED_VALUE"""),46127.0)</f>
        <v>46127</v>
      </c>
      <c r="C4878" s="2" t="str">
        <f>IFERROR(__xludf.DUMMYFUNCTION("""COMPUTED_VALUE"""),"MOBILECARE - NEWPOINT MALL")</f>
        <v>MOBILECARE - NEWPOINT MALL</v>
      </c>
      <c r="D4878" s="2" t="str">
        <f>IFERROR(__xludf.DUMMYFUNCTION("""COMPUTED_VALUE"""),"923-11061")</f>
        <v>923-11061</v>
      </c>
      <c r="E4878" s="2" t="str">
        <f>IFERROR(__xludf.DUMMYFUNCTION("""COMPUTED_VALUE"""),"Main Microphone, iPhone 16")</f>
        <v>Main Microphone, iPhone 16</v>
      </c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</row>
    <row r="4879">
      <c r="A4879" s="10" t="str">
        <f t="shared" si="1"/>
        <v>May</v>
      </c>
      <c r="B4879" s="11">
        <f>IFERROR(__xludf.DUMMYFUNCTION("""COMPUTED_VALUE"""),46144.0)</f>
        <v>46144</v>
      </c>
      <c r="C4879" s="2" t="str">
        <f>IFERROR(__xludf.DUMMYFUNCTION("""COMPUTED_VALUE"""),"MOBILECARE - NEWPOINT MALL")</f>
        <v>MOBILECARE - NEWPOINT MALL</v>
      </c>
      <c r="D4879" s="2" t="str">
        <f>IFERROR(__xludf.DUMMYFUNCTION("""COMPUTED_VALUE"""),"TA661-43503")</f>
        <v>TA661-43503</v>
      </c>
      <c r="E4879" s="2" t="str">
        <f>IFERROR(__xludf.DUMMYFUNCTION("""COMPUTED_VALUE"""),"256GB, Black, ROW, iPhone 16, CI/AR")</f>
        <v>256GB, Black, ROW, iPhone 16, CI/AR</v>
      </c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</row>
    <row r="4880">
      <c r="A4880" s="10" t="str">
        <f t="shared" si="1"/>
        <v>March</v>
      </c>
      <c r="B4880" s="11">
        <f>IFERROR(__xludf.DUMMYFUNCTION("""COMPUTED_VALUE"""),46105.0)</f>
        <v>46105</v>
      </c>
      <c r="C4880" s="2" t="str">
        <f>IFERROR(__xludf.DUMMYFUNCTION("""COMPUTED_VALUE"""),"MOBILECARE - NEWPOINT MALL")</f>
        <v>MOBILECARE - NEWPOINT MALL</v>
      </c>
      <c r="D4880" s="2" t="str">
        <f>IFERROR(__xludf.DUMMYFUNCTION("""COMPUTED_VALUE"""),"661-22374")</f>
        <v>661-22374</v>
      </c>
      <c r="E4880" s="2" t="str">
        <f>IFERROR(__xludf.DUMMYFUNCTION("""COMPUTED_VALUE"""),"Battery, iPhone 13 mini")</f>
        <v>Battery, iPhone 13 mini</v>
      </c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</row>
    <row r="4881">
      <c r="A4881" s="10" t="str">
        <f t="shared" si="1"/>
        <v>March</v>
      </c>
      <c r="B4881" s="11">
        <f>IFERROR(__xludf.DUMMYFUNCTION("""COMPUTED_VALUE"""),46087.0)</f>
        <v>46087</v>
      </c>
      <c r="C4881" s="2" t="str">
        <f>IFERROR(__xludf.DUMMYFUNCTION("""COMPUTED_VALUE"""),"MOBILECARE - NEWPOINT MALL")</f>
        <v>MOBILECARE - NEWPOINT MALL</v>
      </c>
      <c r="D4881" s="2" t="str">
        <f>IFERROR(__xludf.DUMMYFUNCTION("""COMPUTED_VALUE"""),"Z661-55956")</f>
        <v>Z661-55956</v>
      </c>
      <c r="E4881" s="2" t="str">
        <f>IFERROR(__xludf.DUMMYFUNCTION("""COMPUTED_VALUE"""),"Logic Board, 256GB, iPhone 17 Pro Max, ROW")</f>
        <v>Logic Board, 256GB, iPhone 17 Pro Max, ROW</v>
      </c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</row>
    <row r="4882">
      <c r="A4882" s="10" t="str">
        <f t="shared" si="1"/>
        <v>March</v>
      </c>
      <c r="B4882" s="11">
        <f>IFERROR(__xludf.DUMMYFUNCTION("""COMPUTED_VALUE"""),46086.0)</f>
        <v>46086</v>
      </c>
      <c r="C4882" s="2" t="str">
        <f>IFERROR(__xludf.DUMMYFUNCTION("""COMPUTED_VALUE"""),"MOBILECARE - NEWPOINT MALL")</f>
        <v>MOBILECARE - NEWPOINT MALL</v>
      </c>
      <c r="D4882" s="2" t="str">
        <f>IFERROR(__xludf.DUMMYFUNCTION("""COMPUTED_VALUE"""),"PP661-23455")</f>
        <v>PP661-23455</v>
      </c>
      <c r="E4882" s="2" t="str">
        <f>IFERROR(__xludf.DUMMYFUNCTION("""COMPUTED_VALUE"""),"iPhone 13, Starlight, 128GB, Logic Board Assy Rear System, ROW")</f>
        <v>iPhone 13, Starlight, 128GB, Logic Board Assy Rear System, ROW</v>
      </c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</row>
    <row r="4883">
      <c r="A4883" s="10" t="str">
        <f t="shared" si="1"/>
        <v>March</v>
      </c>
      <c r="B4883" s="11">
        <f>IFERROR(__xludf.DUMMYFUNCTION("""COMPUTED_VALUE"""),46087.0)</f>
        <v>46087</v>
      </c>
      <c r="C4883" s="2" t="str">
        <f>IFERROR(__xludf.DUMMYFUNCTION("""COMPUTED_VALUE"""),"MOBILECARE - NEWPOINT MALL")</f>
        <v>MOBILECARE - NEWPOINT MALL</v>
      </c>
      <c r="D4883" s="2" t="str">
        <f>IFERROR(__xludf.DUMMYFUNCTION("""COMPUTED_VALUE"""),"TA661-55208")</f>
        <v>TA661-55208</v>
      </c>
      <c r="E4883" s="2" t="str">
        <f>IFERROR(__xludf.DUMMYFUNCTION("""COMPUTED_VALUE"""),"Deep Blue, 256GB, iPhone 17 Pro Max, ROW, CI/AR, Taiwan")</f>
        <v>Deep Blue, 256GB, iPhone 17 Pro Max, ROW, CI/AR, Taiwan</v>
      </c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</row>
    <row r="4884">
      <c r="A4884" s="10" t="str">
        <f t="shared" si="1"/>
        <v>February</v>
      </c>
      <c r="B4884" s="11">
        <f>IFERROR(__xludf.DUMMYFUNCTION("""COMPUTED_VALUE"""),46062.0)</f>
        <v>46062</v>
      </c>
      <c r="C4884" s="2" t="str">
        <f>IFERROR(__xludf.DUMMYFUNCTION("""COMPUTED_VALUE"""),"MOBILECARE - NEWPOINT MALL")</f>
        <v>MOBILECARE - NEWPOINT MALL</v>
      </c>
      <c r="D4884" s="2" t="str">
        <f>IFERROR(__xludf.DUMMYFUNCTION("""COMPUTED_VALUE"""),"661-21991")</f>
        <v>661-21991</v>
      </c>
      <c r="E4884" s="2" t="str">
        <f>IFERROR(__xludf.DUMMYFUNCTION("""COMPUTED_VALUE"""),"Battery, iPhone 13")</f>
        <v>Battery, iPhone 13</v>
      </c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</row>
    <row r="4885">
      <c r="A4885" s="10" t="str">
        <f t="shared" si="1"/>
        <v>February</v>
      </c>
      <c r="B4885" s="11">
        <f>IFERROR(__xludf.DUMMYFUNCTION("""COMPUTED_VALUE"""),46064.0)</f>
        <v>46064</v>
      </c>
      <c r="C4885" s="2" t="str">
        <f>IFERROR(__xludf.DUMMYFUNCTION("""COMPUTED_VALUE"""),"MOBILECARE - NEWPOINT MALL")</f>
        <v>MOBILECARE - NEWPOINT MALL</v>
      </c>
      <c r="D4885" s="2" t="str">
        <f>IFERROR(__xludf.DUMMYFUNCTION("""COMPUTED_VALUE"""),"661-23878")</f>
        <v>661-23878</v>
      </c>
      <c r="E4885" s="2" t="str">
        <f>IFERROR(__xludf.DUMMYFUNCTION("""COMPUTED_VALUE"""),"TrueDepth Camera, iPhone 13")</f>
        <v>TrueDepth Camera, iPhone 13</v>
      </c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</row>
    <row r="4886">
      <c r="A4886" s="10" t="str">
        <f t="shared" si="1"/>
        <v>February</v>
      </c>
      <c r="B4886" s="11">
        <f>IFERROR(__xludf.DUMMYFUNCTION("""COMPUTED_VALUE"""),46062.0)</f>
        <v>46062</v>
      </c>
      <c r="C4886" s="2" t="str">
        <f>IFERROR(__xludf.DUMMYFUNCTION("""COMPUTED_VALUE"""),"MOBILECARE - NEWPOINT MALL")</f>
        <v>MOBILECARE - NEWPOINT MALL</v>
      </c>
      <c r="D4886" s="2" t="str">
        <f>IFERROR(__xludf.DUMMYFUNCTION("""COMPUTED_VALUE"""),"661-42726")</f>
        <v>661-42726</v>
      </c>
      <c r="E4886" s="2" t="str">
        <f>IFERROR(__xludf.DUMMYFUNCTION("""COMPUTED_VALUE"""),"Display, iPhone 16 Pro")</f>
        <v>Display, iPhone 16 Pro</v>
      </c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</row>
    <row r="4887">
      <c r="A4887" s="10" t="str">
        <f t="shared" si="1"/>
        <v>February</v>
      </c>
      <c r="B4887" s="11">
        <f>IFERROR(__xludf.DUMMYFUNCTION("""COMPUTED_VALUE"""),46057.0)</f>
        <v>46057</v>
      </c>
      <c r="C4887" s="2" t="str">
        <f>IFERROR(__xludf.DUMMYFUNCTION("""COMPUTED_VALUE"""),"MOBILECARE - NEWPOINT MALL")</f>
        <v>MOBILECARE - NEWPOINT MALL</v>
      </c>
      <c r="D4887" s="2" t="str">
        <f>IFERROR(__xludf.DUMMYFUNCTION("""COMPUTED_VALUE"""),"661-56050")</f>
        <v>661-56050</v>
      </c>
      <c r="E4887" s="2" t="str">
        <f>IFERROR(__xludf.DUMMYFUNCTION("""COMPUTED_VALUE"""),"Display, iPhone 17 Pro Max")</f>
        <v>Display, iPhone 17 Pro Max</v>
      </c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</row>
    <row r="4888">
      <c r="A4888" s="10" t="str">
        <f t="shared" si="1"/>
        <v>February</v>
      </c>
      <c r="B4888" s="11">
        <f>IFERROR(__xludf.DUMMYFUNCTION("""COMPUTED_VALUE"""),46073.0)</f>
        <v>46073</v>
      </c>
      <c r="C4888" s="2" t="str">
        <f>IFERROR(__xludf.DUMMYFUNCTION("""COMPUTED_VALUE"""),"MOBILECARE - NEWPOINT MALL")</f>
        <v>MOBILECARE - NEWPOINT MALL</v>
      </c>
      <c r="D4888" s="2" t="str">
        <f>IFERROR(__xludf.DUMMYFUNCTION("""COMPUTED_VALUE"""),"TA661-35495")</f>
        <v>TA661-35495</v>
      </c>
      <c r="E4888" s="2" t="str">
        <f>IFERROR(__xludf.DUMMYFUNCTION("""COMPUTED_VALUE"""),"Black, iPhone 15 Plus, 256GB, ROW, CI/AR, Taiwan")</f>
        <v>Black, iPhone 15 Plus, 256GB, ROW, CI/AR, Taiwan</v>
      </c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</row>
    <row r="4889">
      <c r="A4889" s="10" t="str">
        <f t="shared" si="1"/>
        <v>January</v>
      </c>
      <c r="B4889" s="11">
        <f>IFERROR(__xludf.DUMMYFUNCTION("""COMPUTED_VALUE"""),46052.0)</f>
        <v>46052</v>
      </c>
      <c r="C4889" s="2" t="str">
        <f>IFERROR(__xludf.DUMMYFUNCTION("""COMPUTED_VALUE"""),"MOBILECARE - NEWPOINT MALL")</f>
        <v>MOBILECARE - NEWPOINT MALL</v>
      </c>
      <c r="D4889" s="2" t="str">
        <f>IFERROR(__xludf.DUMMYFUNCTION("""COMPUTED_VALUE"""),"661-21991")</f>
        <v>661-21991</v>
      </c>
      <c r="E4889" s="2" t="str">
        <f>IFERROR(__xludf.DUMMYFUNCTION("""COMPUTED_VALUE"""),"Battery, iPhone 13")</f>
        <v>Battery, iPhone 13</v>
      </c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</row>
    <row r="4890">
      <c r="A4890" s="10" t="str">
        <f t="shared" si="1"/>
        <v>June</v>
      </c>
      <c r="B4890" s="11">
        <f>IFERROR(__xludf.DUMMYFUNCTION("""COMPUTED_VALUE"""),46183.0)</f>
        <v>46183</v>
      </c>
      <c r="C4890" s="2" t="str">
        <f>IFERROR(__xludf.DUMMYFUNCTION("""COMPUTED_VALUE"""),"MOBILECARE - SM MARIKINA")</f>
        <v>MOBILECARE - SM MARIKINA</v>
      </c>
      <c r="D4890" s="2" t="str">
        <f>IFERROR(__xludf.DUMMYFUNCTION("""COMPUTED_VALUE"""),"661-36915")</f>
        <v>661-36915</v>
      </c>
      <c r="E4890" s="2" t="str">
        <f>IFERROR(__xludf.DUMMYFUNCTION("""COMPUTED_VALUE"""),"Display, iPhone 15 Pro Max")</f>
        <v>Display, iPhone 15 Pro Max</v>
      </c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</row>
    <row r="4891">
      <c r="A4891" s="10" t="str">
        <f t="shared" si="1"/>
        <v>May</v>
      </c>
      <c r="B4891" s="11">
        <f>IFERROR(__xludf.DUMMYFUNCTION("""COMPUTED_VALUE"""),46163.0)</f>
        <v>46163</v>
      </c>
      <c r="C4891" s="2" t="str">
        <f>IFERROR(__xludf.DUMMYFUNCTION("""COMPUTED_VALUE"""),"MOBILECARE - SM MARIKINA")</f>
        <v>MOBILECARE - SM MARIKINA</v>
      </c>
      <c r="D4891" s="2" t="str">
        <f>IFERROR(__xludf.DUMMYFUNCTION("""COMPUTED_VALUE"""),"661-21991")</f>
        <v>661-21991</v>
      </c>
      <c r="E4891" s="2" t="str">
        <f>IFERROR(__xludf.DUMMYFUNCTION("""COMPUTED_VALUE"""),"Battery, iPhone 13")</f>
        <v>Battery, iPhone 13</v>
      </c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</row>
    <row r="4892">
      <c r="A4892" s="10" t="str">
        <f t="shared" si="1"/>
        <v>May</v>
      </c>
      <c r="B4892" s="11">
        <f>IFERROR(__xludf.DUMMYFUNCTION("""COMPUTED_VALUE"""),46150.0)</f>
        <v>46150</v>
      </c>
      <c r="C4892" s="2" t="str">
        <f>IFERROR(__xludf.DUMMYFUNCTION("""COMPUTED_VALUE"""),"MOBILECARE - SM MARIKINA")</f>
        <v>MOBILECARE - SM MARIKINA</v>
      </c>
      <c r="D4892" s="2" t="str">
        <f>IFERROR(__xludf.DUMMYFUNCTION("""COMPUTED_VALUE"""),"661-21991")</f>
        <v>661-21991</v>
      </c>
      <c r="E4892" s="2" t="str">
        <f>IFERROR(__xludf.DUMMYFUNCTION("""COMPUTED_VALUE"""),"Battery, iPhone 13")</f>
        <v>Battery, iPhone 13</v>
      </c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</row>
    <row r="4893">
      <c r="A4893" s="10" t="str">
        <f t="shared" si="1"/>
        <v>May</v>
      </c>
      <c r="B4893" s="11">
        <f>IFERROR(__xludf.DUMMYFUNCTION("""COMPUTED_VALUE"""),46144.0)</f>
        <v>46144</v>
      </c>
      <c r="C4893" s="2" t="str">
        <f>IFERROR(__xludf.DUMMYFUNCTION("""COMPUTED_VALUE"""),"MOBILECARE - SM MARIKINA")</f>
        <v>MOBILECARE - SM MARIKINA</v>
      </c>
      <c r="D4893" s="2" t="str">
        <f>IFERROR(__xludf.DUMMYFUNCTION("""COMPUTED_VALUE"""),"661-21996")</f>
        <v>661-21996</v>
      </c>
      <c r="E4893" s="2" t="str">
        <f>IFERROR(__xludf.DUMMYFUNCTION("""COMPUTED_VALUE"""),"Battery, iPhone 13 Pro")</f>
        <v>Battery, iPhone 13 Pro</v>
      </c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</row>
    <row r="4894">
      <c r="A4894" s="10" t="str">
        <f t="shared" si="1"/>
        <v>February</v>
      </c>
      <c r="B4894" s="11">
        <f>IFERROR(__xludf.DUMMYFUNCTION("""COMPUTED_VALUE"""),46081.0)</f>
        <v>46081</v>
      </c>
      <c r="C4894" s="2" t="str">
        <f>IFERROR(__xludf.DUMMYFUNCTION("""COMPUTED_VALUE"""),"MOBILECARE - SM MARIKINA")</f>
        <v>MOBILECARE - SM MARIKINA</v>
      </c>
      <c r="D4894" s="2" t="str">
        <f>IFERROR(__xludf.DUMMYFUNCTION("""COMPUTED_VALUE"""),"661-22294")</f>
        <v>661-22294</v>
      </c>
      <c r="E4894" s="2" t="str">
        <f>IFERROR(__xludf.DUMMYFUNCTION("""COMPUTED_VALUE"""),"Battery, iPhone 13 Pro Max")</f>
        <v>Battery, iPhone 13 Pro Max</v>
      </c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</row>
    <row r="4895">
      <c r="A4895" s="10" t="str">
        <f t="shared" si="1"/>
        <v>February</v>
      </c>
      <c r="B4895" s="11">
        <f>IFERROR(__xludf.DUMMYFUNCTION("""COMPUTED_VALUE"""),46060.0)</f>
        <v>46060</v>
      </c>
      <c r="C4895" s="2" t="str">
        <f>IFERROR(__xludf.DUMMYFUNCTION("""COMPUTED_VALUE"""),"MOBILECARE - SM MARIKINA")</f>
        <v>MOBILECARE - SM MARIKINA</v>
      </c>
      <c r="D4895" s="2" t="str">
        <f>IFERROR(__xludf.DUMMYFUNCTION("""COMPUTED_VALUE"""),"661-30393")</f>
        <v>661-30393</v>
      </c>
      <c r="E4895" s="2" t="str">
        <f>IFERROR(__xludf.DUMMYFUNCTION("""COMPUTED_VALUE"""),"Camera, iPhone 14 Plus")</f>
        <v>Camera, iPhone 14 Plus</v>
      </c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</row>
    <row r="4896">
      <c r="A4896" s="10" t="str">
        <f t="shared" si="1"/>
        <v>January</v>
      </c>
      <c r="B4896" s="11">
        <f>IFERROR(__xludf.DUMMYFUNCTION("""COMPUTED_VALUE"""),46053.0)</f>
        <v>46053</v>
      </c>
      <c r="C4896" s="2" t="str">
        <f>IFERROR(__xludf.DUMMYFUNCTION("""COMPUTED_VALUE"""),"MOBILECARE - SM MARIKINA")</f>
        <v>MOBILECARE - SM MARIKINA</v>
      </c>
      <c r="D4896" s="2" t="str">
        <f>IFERROR(__xludf.DUMMYFUNCTION("""COMPUTED_VALUE"""),"661-36706")</f>
        <v>661-36706</v>
      </c>
      <c r="E4896" s="2" t="str">
        <f>IFERROR(__xludf.DUMMYFUNCTION("""COMPUTED_VALUE"""),"Display, iPhone 15")</f>
        <v>Display, iPhone 15</v>
      </c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</row>
    <row r="4897">
      <c r="A4897" s="10" t="str">
        <f t="shared" si="1"/>
        <v>June</v>
      </c>
      <c r="B4897" s="11">
        <f>IFERROR(__xludf.DUMMYFUNCTION("""COMPUTED_VALUE"""),46185.0)</f>
        <v>46185</v>
      </c>
      <c r="C4897" s="2" t="str">
        <f>IFERROR(__xludf.DUMMYFUNCTION("""COMPUTED_VALUE"""),"MOBILECARE - SM MARIKINA")</f>
        <v>MOBILECARE - SM MARIKINA</v>
      </c>
      <c r="D4897" s="2" t="str">
        <f>IFERROR(__xludf.DUMMYFUNCTION("""COMPUTED_VALUE"""),"661-36706")</f>
        <v>661-36706</v>
      </c>
      <c r="E4897" s="2" t="str">
        <f>IFERROR(__xludf.DUMMYFUNCTION("""COMPUTED_VALUE"""),"Display, iPhone 15")</f>
        <v>Display, iPhone 15</v>
      </c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</row>
    <row r="4898">
      <c r="A4898" s="10" t="str">
        <f t="shared" si="1"/>
        <v>June</v>
      </c>
      <c r="B4898" s="11">
        <f>IFERROR(__xludf.DUMMYFUNCTION("""COMPUTED_VALUE"""),46193.0)</f>
        <v>46193</v>
      </c>
      <c r="C4898" s="2" t="str">
        <f>IFERROR(__xludf.DUMMYFUNCTION("""COMPUTED_VALUE"""),"MOBILECARE - SM MARIKINA")</f>
        <v>MOBILECARE - SM MARIKINA</v>
      </c>
      <c r="D4898" s="2" t="str">
        <f>IFERROR(__xludf.DUMMYFUNCTION("""COMPUTED_VALUE"""),"661-56125")</f>
        <v>661-56125</v>
      </c>
      <c r="E4898" s="2" t="str">
        <f>IFERROR(__xludf.DUMMYFUNCTION("""COMPUTED_VALUE"""),"Display, iPhone 17 Pro")</f>
        <v>Display, iPhone 17 Pro</v>
      </c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</row>
    <row r="4899">
      <c r="A4899" s="10" t="str">
        <f t="shared" si="1"/>
        <v>June</v>
      </c>
      <c r="B4899" s="11">
        <f>IFERROR(__xludf.DUMMYFUNCTION("""COMPUTED_VALUE"""),46193.0)</f>
        <v>46193</v>
      </c>
      <c r="C4899" s="2" t="str">
        <f>IFERROR(__xludf.DUMMYFUNCTION("""COMPUTED_VALUE"""),"MOBILECARE - SM MARIKINA")</f>
        <v>MOBILECARE - SM MARIKINA</v>
      </c>
      <c r="D4899" s="2" t="str">
        <f>IFERROR(__xludf.DUMMYFUNCTION("""COMPUTED_VALUE"""),"661-56126")</f>
        <v>661-56126</v>
      </c>
      <c r="E4899" s="2" t="str">
        <f>IFERROR(__xludf.DUMMYFUNCTION("""COMPUTED_VALUE"""),"Front Camera, iPhone 17 Pro")</f>
        <v>Front Camera, iPhone 17 Pro</v>
      </c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</row>
    <row r="4900">
      <c r="A4900" s="10" t="str">
        <f t="shared" si="1"/>
        <v>May</v>
      </c>
      <c r="B4900" s="11">
        <f>IFERROR(__xludf.DUMMYFUNCTION("""COMPUTED_VALUE"""),46168.0)</f>
        <v>46168</v>
      </c>
      <c r="C4900" s="2" t="str">
        <f>IFERROR(__xludf.DUMMYFUNCTION("""COMPUTED_VALUE"""),"MOBILECARE - SM MARIKINA")</f>
        <v>MOBILECARE - SM MARIKINA</v>
      </c>
      <c r="D4900" s="2" t="str">
        <f>IFERROR(__xludf.DUMMYFUNCTION("""COMPUTED_VALUE"""),"661-30393")</f>
        <v>661-30393</v>
      </c>
      <c r="E4900" s="2" t="str">
        <f>IFERROR(__xludf.DUMMYFUNCTION("""COMPUTED_VALUE"""),"Camera, iPhone 14 Plus")</f>
        <v>Camera, iPhone 14 Plus</v>
      </c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</row>
    <row r="4901">
      <c r="A4901" s="10" t="str">
        <f t="shared" si="1"/>
        <v>April</v>
      </c>
      <c r="B4901" s="11">
        <f>IFERROR(__xludf.DUMMYFUNCTION("""COMPUTED_VALUE"""),46141.0)</f>
        <v>46141</v>
      </c>
      <c r="C4901" s="2" t="str">
        <f>IFERROR(__xludf.DUMMYFUNCTION("""COMPUTED_VALUE"""),"MOBILECARE - SM MARIKINA")</f>
        <v>MOBILECARE - SM MARIKINA</v>
      </c>
      <c r="D4901" s="2" t="str">
        <f>IFERROR(__xludf.DUMMYFUNCTION("""COMPUTED_VALUE"""),"661-44955")</f>
        <v>661-44955</v>
      </c>
      <c r="E4901" s="2" t="str">
        <f>IFERROR(__xludf.DUMMYFUNCTION("""COMPUTED_VALUE"""),"Display, iPhone 16 Pro Max")</f>
        <v>Display, iPhone 16 Pro Max</v>
      </c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</row>
    <row r="4902">
      <c r="A4902" s="10" t="str">
        <f t="shared" si="1"/>
        <v>April</v>
      </c>
      <c r="B4902" s="11">
        <f>IFERROR(__xludf.DUMMYFUNCTION("""COMPUTED_VALUE"""),46141.0)</f>
        <v>46141</v>
      </c>
      <c r="C4902" s="2" t="str">
        <f>IFERROR(__xludf.DUMMYFUNCTION("""COMPUTED_VALUE"""),"MOBILECARE - SM MARIKINA")</f>
        <v>MOBILECARE - SM MARIKINA</v>
      </c>
      <c r="D4902" s="2" t="str">
        <f>IFERROR(__xludf.DUMMYFUNCTION("""COMPUTED_VALUE"""),"661-21991")</f>
        <v>661-21991</v>
      </c>
      <c r="E4902" s="2" t="str">
        <f>IFERROR(__xludf.DUMMYFUNCTION("""COMPUTED_VALUE"""),"Battery, iPhone 13")</f>
        <v>Battery, iPhone 13</v>
      </c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</row>
    <row r="4903">
      <c r="A4903" s="10" t="str">
        <f t="shared" si="1"/>
        <v>February</v>
      </c>
      <c r="B4903" s="11">
        <f>IFERROR(__xludf.DUMMYFUNCTION("""COMPUTED_VALUE"""),46078.0)</f>
        <v>46078</v>
      </c>
      <c r="C4903" s="2" t="str">
        <f>IFERROR(__xludf.DUMMYFUNCTION("""COMPUTED_VALUE"""),"MOBILECARE - SM MARIKINA")</f>
        <v>MOBILECARE - SM MARIKINA</v>
      </c>
      <c r="D4903" s="2" t="str">
        <f>IFERROR(__xludf.DUMMYFUNCTION("""COMPUTED_VALUE"""),"661-13574")</f>
        <v>661-13574</v>
      </c>
      <c r="E4903" s="2" t="str">
        <f>IFERROR(__xludf.DUMMYFUNCTION("""COMPUTED_VALUE"""),"Battery, iPhone 11")</f>
        <v>Battery, iPhone 11</v>
      </c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</row>
    <row r="4904">
      <c r="A4904" s="10" t="str">
        <f t="shared" si="1"/>
        <v>April</v>
      </c>
      <c r="B4904" s="11">
        <f>IFERROR(__xludf.DUMMYFUNCTION("""COMPUTED_VALUE"""),46130.0)</f>
        <v>46130</v>
      </c>
      <c r="C4904" s="2" t="str">
        <f>IFERROR(__xludf.DUMMYFUNCTION("""COMPUTED_VALUE"""),"MOBILECARE - SM MARIKINA")</f>
        <v>MOBILECARE - SM MARIKINA</v>
      </c>
      <c r="D4904" s="2" t="str">
        <f>IFERROR(__xludf.DUMMYFUNCTION("""COMPUTED_VALUE"""),"661-13574")</f>
        <v>661-13574</v>
      </c>
      <c r="E4904" s="2" t="str">
        <f>IFERROR(__xludf.DUMMYFUNCTION("""COMPUTED_VALUE"""),"Battery, iPhone 11")</f>
        <v>Battery, iPhone 11</v>
      </c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</row>
    <row r="4905">
      <c r="A4905" s="10" t="str">
        <f t="shared" si="1"/>
        <v>March</v>
      </c>
      <c r="B4905" s="11">
        <f>IFERROR(__xludf.DUMMYFUNCTION("""COMPUTED_VALUE"""),46093.0)</f>
        <v>46093</v>
      </c>
      <c r="C4905" s="2" t="str">
        <f>IFERROR(__xludf.DUMMYFUNCTION("""COMPUTED_VALUE"""),"MOBILECARE - SM MARIKINA")</f>
        <v>MOBILECARE - SM MARIKINA</v>
      </c>
      <c r="D4905" s="2" t="str">
        <f>IFERROR(__xludf.DUMMYFUNCTION("""COMPUTED_VALUE"""),"661-22294")</f>
        <v>661-22294</v>
      </c>
      <c r="E4905" s="2" t="str">
        <f>IFERROR(__xludf.DUMMYFUNCTION("""COMPUTED_VALUE"""),"Battery, iPhone 13 Pro Max")</f>
        <v>Battery, iPhone 13 Pro Max</v>
      </c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</row>
    <row r="4906">
      <c r="A4906" s="10" t="str">
        <f t="shared" si="1"/>
        <v>February</v>
      </c>
      <c r="B4906" s="11">
        <f>IFERROR(__xludf.DUMMYFUNCTION("""COMPUTED_VALUE"""),46057.0)</f>
        <v>46057</v>
      </c>
      <c r="C4906" s="2" t="str">
        <f>IFERROR(__xludf.DUMMYFUNCTION("""COMPUTED_VALUE"""),"MOBILECARE - SM MARIKINA")</f>
        <v>MOBILECARE - SM MARIKINA</v>
      </c>
      <c r="D4906" s="2" t="str">
        <f>IFERROR(__xludf.DUMMYFUNCTION("""COMPUTED_VALUE"""),"661-44956")</f>
        <v>661-44956</v>
      </c>
      <c r="E4906" s="2" t="str">
        <f>IFERROR(__xludf.DUMMYFUNCTION("""COMPUTED_VALUE"""),"TrueDepth Camera, iPhone 16 Pro Max")</f>
        <v>TrueDepth Camera, iPhone 16 Pro Max</v>
      </c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</row>
    <row r="4907">
      <c r="A4907" s="10" t="str">
        <f t="shared" si="1"/>
        <v>April</v>
      </c>
      <c r="B4907" s="11">
        <f>IFERROR(__xludf.DUMMYFUNCTION("""COMPUTED_VALUE"""),46139.0)</f>
        <v>46139</v>
      </c>
      <c r="C4907" s="2" t="str">
        <f>IFERROR(__xludf.DUMMYFUNCTION("""COMPUTED_VALUE"""),"MOBILECARE - SM MARIKINA")</f>
        <v>MOBILECARE - SM MARIKINA</v>
      </c>
      <c r="D4907" s="2" t="str">
        <f>IFERROR(__xludf.DUMMYFUNCTION("""COMPUTED_VALUE"""),"661-22294")</f>
        <v>661-22294</v>
      </c>
      <c r="E4907" s="2" t="str">
        <f>IFERROR(__xludf.DUMMYFUNCTION("""COMPUTED_VALUE"""),"Battery, iPhone 13 Pro Max")</f>
        <v>Battery, iPhone 13 Pro Max</v>
      </c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</row>
    <row r="4908">
      <c r="A4908" s="10" t="str">
        <f t="shared" si="1"/>
        <v>April</v>
      </c>
      <c r="B4908" s="11">
        <f>IFERROR(__xludf.DUMMYFUNCTION("""COMPUTED_VALUE"""),46139.0)</f>
        <v>46139</v>
      </c>
      <c r="C4908" s="2" t="str">
        <f>IFERROR(__xludf.DUMMYFUNCTION("""COMPUTED_VALUE"""),"MOBILECARE - SM MARIKINA")</f>
        <v>MOBILECARE - SM MARIKINA</v>
      </c>
      <c r="D4908" s="2" t="str">
        <f>IFERROR(__xludf.DUMMYFUNCTION("""COMPUTED_VALUE"""),"661-22309")</f>
        <v>661-22309</v>
      </c>
      <c r="E4908" s="2" t="str">
        <f>IFERROR(__xludf.DUMMYFUNCTION("""COMPUTED_VALUE"""),"Display, iPhone 13 Pro Max")</f>
        <v>Display, iPhone 13 Pro Max</v>
      </c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</row>
    <row r="4909">
      <c r="A4909" s="10" t="str">
        <f t="shared" si="1"/>
        <v>April</v>
      </c>
      <c r="B4909" s="11">
        <f>IFERROR(__xludf.DUMMYFUNCTION("""COMPUTED_VALUE"""),46121.0)</f>
        <v>46121</v>
      </c>
      <c r="C4909" s="2" t="str">
        <f>IFERROR(__xludf.DUMMYFUNCTION("""COMPUTED_VALUE"""),"MOBILECARE - SM MARIKINA")</f>
        <v>MOBILECARE - SM MARIKINA</v>
      </c>
      <c r="D4909" s="2" t="str">
        <f>IFERROR(__xludf.DUMMYFUNCTION("""COMPUTED_VALUE"""),"661-44955")</f>
        <v>661-44955</v>
      </c>
      <c r="E4909" s="2" t="str">
        <f>IFERROR(__xludf.DUMMYFUNCTION("""COMPUTED_VALUE"""),"Display, iPhone 16 Pro Max")</f>
        <v>Display, iPhone 16 Pro Max</v>
      </c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</row>
    <row r="4910">
      <c r="A4910" s="10" t="str">
        <f t="shared" si="1"/>
        <v>March</v>
      </c>
      <c r="B4910" s="11">
        <f>IFERROR(__xludf.DUMMYFUNCTION("""COMPUTED_VALUE"""),46109.0)</f>
        <v>46109</v>
      </c>
      <c r="C4910" s="2" t="str">
        <f>IFERROR(__xludf.DUMMYFUNCTION("""COMPUTED_VALUE"""),"MOBILECARE - SM MARIKINA")</f>
        <v>MOBILECARE - SM MARIKINA</v>
      </c>
      <c r="D4910" s="2" t="str">
        <f>IFERROR(__xludf.DUMMYFUNCTION("""COMPUTED_VALUE"""),"TA661-55208")</f>
        <v>TA661-55208</v>
      </c>
      <c r="E4910" s="2" t="str">
        <f>IFERROR(__xludf.DUMMYFUNCTION("""COMPUTED_VALUE"""),"Deep Blue, 256GB, iPhone 17 Pro Max, ROW, CI/AR, Taiwan")</f>
        <v>Deep Blue, 256GB, iPhone 17 Pro Max, ROW, CI/AR, Taiwan</v>
      </c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</row>
    <row r="4911">
      <c r="A4911" s="10" t="str">
        <f t="shared" si="1"/>
        <v>February</v>
      </c>
      <c r="B4911" s="11">
        <f>IFERROR(__xludf.DUMMYFUNCTION("""COMPUTED_VALUE"""),46081.0)</f>
        <v>46081</v>
      </c>
      <c r="C4911" s="2" t="str">
        <f>IFERROR(__xludf.DUMMYFUNCTION("""COMPUTED_VALUE"""),"MOBILECARE - SM MARIKINA")</f>
        <v>MOBILECARE - SM MARIKINA</v>
      </c>
      <c r="D4911" s="2" t="str">
        <f>IFERROR(__xludf.DUMMYFUNCTION("""COMPUTED_VALUE"""),"661-22309")</f>
        <v>661-22309</v>
      </c>
      <c r="E4911" s="2" t="str">
        <f>IFERROR(__xludf.DUMMYFUNCTION("""COMPUTED_VALUE"""),"Display, iPhone 13 Pro Max")</f>
        <v>Display, iPhone 13 Pro Max</v>
      </c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</row>
    <row r="4912">
      <c r="A4912" s="10" t="str">
        <f t="shared" si="1"/>
        <v>February</v>
      </c>
      <c r="B4912" s="11">
        <f>IFERROR(__xludf.DUMMYFUNCTION("""COMPUTED_VALUE"""),46078.0)</f>
        <v>46078</v>
      </c>
      <c r="C4912" s="2" t="str">
        <f>IFERROR(__xludf.DUMMYFUNCTION("""COMPUTED_VALUE"""),"MOBILECARE - SM MARIKINA")</f>
        <v>MOBILECARE - SM MARIKINA</v>
      </c>
      <c r="D4912" s="2" t="str">
        <f>IFERROR(__xludf.DUMMYFUNCTION("""COMPUTED_VALUE"""),"661-21993")</f>
        <v>661-21993</v>
      </c>
      <c r="E4912" s="2" t="str">
        <f>IFERROR(__xludf.DUMMYFUNCTION("""COMPUTED_VALUE"""),"Display, iPhone 13 Pro")</f>
        <v>Display, iPhone 13 Pro</v>
      </c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</row>
    <row r="4913">
      <c r="A4913" s="10" t="str">
        <f t="shared" si="1"/>
        <v>March</v>
      </c>
      <c r="B4913" s="11">
        <f>IFERROR(__xludf.DUMMYFUNCTION("""COMPUTED_VALUE"""),46082.0)</f>
        <v>46082</v>
      </c>
      <c r="C4913" s="2" t="str">
        <f>IFERROR(__xludf.DUMMYFUNCTION("""COMPUTED_VALUE"""),"MOBILECARE - SM MARIKINA")</f>
        <v>MOBILECARE - SM MARIKINA</v>
      </c>
      <c r="D4913" s="2" t="str">
        <f>IFERROR(__xludf.DUMMYFUNCTION("""COMPUTED_VALUE"""),"661-44799")</f>
        <v>661-44799</v>
      </c>
      <c r="E4913" s="2" t="str">
        <f>IFERROR(__xludf.DUMMYFUNCTION("""COMPUTED_VALUE"""),"Camera, iPhone 16")</f>
        <v>Camera, iPhone 16</v>
      </c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</row>
    <row r="4914">
      <c r="A4914" s="10" t="str">
        <f t="shared" si="1"/>
        <v>January</v>
      </c>
      <c r="B4914" s="11">
        <f>IFERROR(__xludf.DUMMYFUNCTION("""COMPUTED_VALUE"""),46053.0)</f>
        <v>46053</v>
      </c>
      <c r="C4914" s="2" t="str">
        <f>IFERROR(__xludf.DUMMYFUNCTION("""COMPUTED_VALUE"""),"MOBILECARE - SM MARIKINA")</f>
        <v>MOBILECARE - SM MARIKINA</v>
      </c>
      <c r="D4914" s="2" t="str">
        <f>IFERROR(__xludf.DUMMYFUNCTION("""COMPUTED_VALUE"""),"PP661-22980")</f>
        <v>PP661-22980</v>
      </c>
      <c r="E4914" s="2" t="str">
        <f>IFERROR(__xludf.DUMMYFUNCTION("""COMPUTED_VALUE"""),"Midnight, 128 GB, iPhone 13, ROW, CI/AR, Philippines")</f>
        <v>Midnight, 128 GB, iPhone 13, ROW, CI/AR, Philippines</v>
      </c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</row>
    <row r="4915">
      <c r="A4915" s="10" t="str">
        <f t="shared" si="1"/>
        <v>May</v>
      </c>
      <c r="B4915" s="11">
        <f>IFERROR(__xludf.DUMMYFUNCTION("""COMPUTED_VALUE"""),46151.0)</f>
        <v>46151</v>
      </c>
      <c r="C4915" s="2" t="str">
        <f>IFERROR(__xludf.DUMMYFUNCTION("""COMPUTED_VALUE"""),"MOBILECARE - SM MARIKINA")</f>
        <v>MOBILECARE - SM MARIKINA</v>
      </c>
      <c r="D4915" s="2" t="str">
        <f>IFERROR(__xludf.DUMMYFUNCTION("""COMPUTED_VALUE"""),"661-30397")</f>
        <v>661-30397</v>
      </c>
      <c r="E4915" s="2" t="str">
        <f>IFERROR(__xludf.DUMMYFUNCTION("""COMPUTED_VALUE"""),"Battery, iPhone 14 Pro Max")</f>
        <v>Battery, iPhone 14 Pro Max</v>
      </c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</row>
    <row r="4916">
      <c r="A4916" s="10" t="str">
        <f t="shared" si="1"/>
        <v>May</v>
      </c>
      <c r="B4916" s="11">
        <f>IFERROR(__xludf.DUMMYFUNCTION("""COMPUTED_VALUE"""),46150.0)</f>
        <v>46150</v>
      </c>
      <c r="C4916" s="2" t="str">
        <f>IFERROR(__xludf.DUMMYFUNCTION("""COMPUTED_VALUE"""),"MOBILECARE - SM MARIKINA")</f>
        <v>MOBILECARE - SM MARIKINA</v>
      </c>
      <c r="D4916" s="2" t="str">
        <f>IFERROR(__xludf.DUMMYFUNCTION("""COMPUTED_VALUE"""),"661-36918")</f>
        <v>661-36918</v>
      </c>
      <c r="E4916" s="2" t="str">
        <f>IFERROR(__xludf.DUMMYFUNCTION("""COMPUTED_VALUE"""),"Battery, iPhone 15 Pro Max")</f>
        <v>Battery, iPhone 15 Pro Max</v>
      </c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</row>
    <row r="4917">
      <c r="A4917" s="10" t="str">
        <f t="shared" si="1"/>
        <v>May</v>
      </c>
      <c r="B4917" s="11">
        <f>IFERROR(__xludf.DUMMYFUNCTION("""COMPUTED_VALUE"""),46150.0)</f>
        <v>46150</v>
      </c>
      <c r="C4917" s="2" t="str">
        <f>IFERROR(__xludf.DUMMYFUNCTION("""COMPUTED_VALUE"""),"MOBILECARE - SM MARIKINA")</f>
        <v>MOBILECARE - SM MARIKINA</v>
      </c>
      <c r="D4917" s="2" t="str">
        <f>IFERROR(__xludf.DUMMYFUNCTION("""COMPUTED_VALUE"""),"661-36915")</f>
        <v>661-36915</v>
      </c>
      <c r="E4917" s="2" t="str">
        <f>IFERROR(__xludf.DUMMYFUNCTION("""COMPUTED_VALUE"""),"Display, iPhone 15 Pro Max")</f>
        <v>Display, iPhone 15 Pro Max</v>
      </c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</row>
    <row r="4918">
      <c r="A4918" s="10" t="str">
        <f t="shared" si="1"/>
        <v>March</v>
      </c>
      <c r="B4918" s="11">
        <f>IFERROR(__xludf.DUMMYFUNCTION("""COMPUTED_VALUE"""),46098.0)</f>
        <v>46098</v>
      </c>
      <c r="C4918" s="2" t="str">
        <f>IFERROR(__xludf.DUMMYFUNCTION("""COMPUTED_VALUE"""),"MOBILECARE - SM MARIKINA")</f>
        <v>MOBILECARE - SM MARIKINA</v>
      </c>
      <c r="D4918" s="2" t="str">
        <f>IFERROR(__xludf.DUMMYFUNCTION("""COMPUTED_VALUE"""),"661-21991")</f>
        <v>661-21991</v>
      </c>
      <c r="E4918" s="2" t="str">
        <f>IFERROR(__xludf.DUMMYFUNCTION("""COMPUTED_VALUE"""),"Battery, iPhone 13")</f>
        <v>Battery, iPhone 13</v>
      </c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</row>
    <row r="4919">
      <c r="A4919" s="10" t="str">
        <f t="shared" si="1"/>
        <v>March</v>
      </c>
      <c r="B4919" s="11">
        <f>IFERROR(__xludf.DUMMYFUNCTION("""COMPUTED_VALUE"""),46084.0)</f>
        <v>46084</v>
      </c>
      <c r="C4919" s="2" t="str">
        <f>IFERROR(__xludf.DUMMYFUNCTION("""COMPUTED_VALUE"""),"MOBILECARE - SM MARIKINA")</f>
        <v>MOBILECARE - SM MARIKINA</v>
      </c>
      <c r="D4919" s="2" t="str">
        <f>IFERROR(__xludf.DUMMYFUNCTION("""COMPUTED_VALUE"""),"661-21996")</f>
        <v>661-21996</v>
      </c>
      <c r="E4919" s="2" t="str">
        <f>IFERROR(__xludf.DUMMYFUNCTION("""COMPUTED_VALUE"""),"Battery, iPhone 13 Pro")</f>
        <v>Battery, iPhone 13 Pro</v>
      </c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</row>
    <row r="4920">
      <c r="A4920" s="10" t="str">
        <f t="shared" si="1"/>
        <v>February</v>
      </c>
      <c r="B4920" s="11">
        <f>IFERROR(__xludf.DUMMYFUNCTION("""COMPUTED_VALUE"""),46065.0)</f>
        <v>46065</v>
      </c>
      <c r="C4920" s="2" t="str">
        <f>IFERROR(__xludf.DUMMYFUNCTION("""COMPUTED_VALUE"""),"MOBILECARE - SM MARIKINA")</f>
        <v>MOBILECARE - SM MARIKINA</v>
      </c>
      <c r="D4920" s="2" t="str">
        <f>IFERROR(__xludf.DUMMYFUNCTION("""COMPUTED_VALUE"""),"661-21993")</f>
        <v>661-21993</v>
      </c>
      <c r="E4920" s="2" t="str">
        <f>IFERROR(__xludf.DUMMYFUNCTION("""COMPUTED_VALUE"""),"Display, iPhone 13 Pro")</f>
        <v>Display, iPhone 13 Pro</v>
      </c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</row>
    <row r="4921">
      <c r="A4921" s="10" t="str">
        <f t="shared" si="1"/>
        <v>May</v>
      </c>
      <c r="B4921" s="11">
        <f>IFERROR(__xludf.DUMMYFUNCTION("""COMPUTED_VALUE"""),46162.0)</f>
        <v>46162</v>
      </c>
      <c r="C4921" s="2" t="str">
        <f>IFERROR(__xludf.DUMMYFUNCTION("""COMPUTED_VALUE"""),"MOBILECARE - SM MARIKINA")</f>
        <v>MOBILECARE - SM MARIKINA</v>
      </c>
      <c r="D4921" s="2" t="str">
        <f>IFERROR(__xludf.DUMMYFUNCTION("""COMPUTED_VALUE"""),"661-22309")</f>
        <v>661-22309</v>
      </c>
      <c r="E4921" s="2" t="str">
        <f>IFERROR(__xludf.DUMMYFUNCTION("""COMPUTED_VALUE"""),"Display, iPhone 13 Pro Max")</f>
        <v>Display, iPhone 13 Pro Max</v>
      </c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</row>
    <row r="4922">
      <c r="A4922" s="10" t="str">
        <f t="shared" si="1"/>
        <v>April</v>
      </c>
      <c r="B4922" s="11">
        <f>IFERROR(__xludf.DUMMYFUNCTION("""COMPUTED_VALUE"""),46141.0)</f>
        <v>46141</v>
      </c>
      <c r="C4922" s="2" t="str">
        <f>IFERROR(__xludf.DUMMYFUNCTION("""COMPUTED_VALUE"""),"MOBILECARE - SM MARIKINA")</f>
        <v>MOBILECARE - SM MARIKINA</v>
      </c>
      <c r="D4922" s="2" t="str">
        <f>IFERROR(__xludf.DUMMYFUNCTION("""COMPUTED_VALUE"""),"661-18428")</f>
        <v>661-18428</v>
      </c>
      <c r="E4922" s="2" t="str">
        <f>IFERROR(__xludf.DUMMYFUNCTION("""COMPUTED_VALUE"""),"Battery, iPhone 12 Pro Max")</f>
        <v>Battery, iPhone 12 Pro Max</v>
      </c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</row>
    <row r="4923">
      <c r="A4923" s="10" t="str">
        <f t="shared" si="1"/>
        <v>May</v>
      </c>
      <c r="B4923" s="11">
        <f>IFERROR(__xludf.DUMMYFUNCTION("""COMPUTED_VALUE"""),46145.0)</f>
        <v>46145</v>
      </c>
      <c r="C4923" s="2" t="str">
        <f>IFERROR(__xludf.DUMMYFUNCTION("""COMPUTED_VALUE"""),"MOBILECARE - SM MARIKINA")</f>
        <v>MOBILECARE - SM MARIKINA</v>
      </c>
      <c r="D4923" s="2" t="str">
        <f>IFERROR(__xludf.DUMMYFUNCTION("""COMPUTED_VALUE"""),"661-21991")</f>
        <v>661-21991</v>
      </c>
      <c r="E4923" s="2" t="str">
        <f>IFERROR(__xludf.DUMMYFUNCTION("""COMPUTED_VALUE"""),"Battery, iPhone 13")</f>
        <v>Battery, iPhone 13</v>
      </c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</row>
    <row r="4924">
      <c r="A4924" s="10" t="str">
        <f t="shared" si="1"/>
        <v>April</v>
      </c>
      <c r="B4924" s="11">
        <f>IFERROR(__xludf.DUMMYFUNCTION("""COMPUTED_VALUE"""),46138.0)</f>
        <v>46138</v>
      </c>
      <c r="C4924" s="2" t="str">
        <f>IFERROR(__xludf.DUMMYFUNCTION("""COMPUTED_VALUE"""),"MOBILECARE - SM MARIKINA")</f>
        <v>MOBILECARE - SM MARIKINA</v>
      </c>
      <c r="D4924" s="2" t="str">
        <f>IFERROR(__xludf.DUMMYFUNCTION("""COMPUTED_VALUE"""),"661-56050")</f>
        <v>661-56050</v>
      </c>
      <c r="E4924" s="2" t="str">
        <f>IFERROR(__xludf.DUMMYFUNCTION("""COMPUTED_VALUE"""),"Display, iPhone 17 Pro Max")</f>
        <v>Display, iPhone 17 Pro Max</v>
      </c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</row>
    <row r="4925">
      <c r="A4925" s="10" t="str">
        <f t="shared" si="1"/>
        <v>April</v>
      </c>
      <c r="B4925" s="11">
        <f>IFERROR(__xludf.DUMMYFUNCTION("""COMPUTED_VALUE"""),46128.0)</f>
        <v>46128</v>
      </c>
      <c r="C4925" s="2" t="str">
        <f>IFERROR(__xludf.DUMMYFUNCTION("""COMPUTED_VALUE"""),"MOBILECARE - SM MARIKINA")</f>
        <v>MOBILECARE - SM MARIKINA</v>
      </c>
      <c r="D4925" s="2" t="str">
        <f>IFERROR(__xludf.DUMMYFUNCTION("""COMPUTED_VALUE"""),"661-30373")</f>
        <v>661-30373</v>
      </c>
      <c r="E4925" s="2" t="str">
        <f>IFERROR(__xludf.DUMMYFUNCTION("""COMPUTED_VALUE"""),"Battery, iPhone 14")</f>
        <v>Battery, iPhone 14</v>
      </c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</row>
    <row r="4926">
      <c r="A4926" s="10" t="str">
        <f t="shared" si="1"/>
        <v>April</v>
      </c>
      <c r="B4926" s="11">
        <f>IFERROR(__xludf.DUMMYFUNCTION("""COMPUTED_VALUE"""),46118.0)</f>
        <v>46118</v>
      </c>
      <c r="C4926" s="2" t="str">
        <f>IFERROR(__xludf.DUMMYFUNCTION("""COMPUTED_VALUE"""),"MOBILECARE - SM MARIKINA")</f>
        <v>MOBILECARE - SM MARIKINA</v>
      </c>
      <c r="D4926" s="2" t="str">
        <f>IFERROR(__xludf.DUMMYFUNCTION("""COMPUTED_VALUE"""),"661-21991")</f>
        <v>661-21991</v>
      </c>
      <c r="E4926" s="2" t="str">
        <f>IFERROR(__xludf.DUMMYFUNCTION("""COMPUTED_VALUE"""),"Battery, iPhone 13")</f>
        <v>Battery, iPhone 13</v>
      </c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</row>
    <row r="4927">
      <c r="A4927" s="10" t="str">
        <f t="shared" si="1"/>
        <v>May</v>
      </c>
      <c r="B4927" s="11">
        <f>IFERROR(__xludf.DUMMYFUNCTION("""COMPUTED_VALUE"""),46172.0)</f>
        <v>46172</v>
      </c>
      <c r="C4927" s="2" t="str">
        <f>IFERROR(__xludf.DUMMYFUNCTION("""COMPUTED_VALUE"""),"MOBILECARE - SM MARIKINA")</f>
        <v>MOBILECARE - SM MARIKINA</v>
      </c>
      <c r="D4927" s="2" t="str">
        <f>IFERROR(__xludf.DUMMYFUNCTION("""COMPUTED_VALUE"""),"661-22294")</f>
        <v>661-22294</v>
      </c>
      <c r="E4927" s="2" t="str">
        <f>IFERROR(__xludf.DUMMYFUNCTION("""COMPUTED_VALUE"""),"Battery, iPhone 13 Pro Max")</f>
        <v>Battery, iPhone 13 Pro Max</v>
      </c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</row>
    <row r="4928">
      <c r="A4928" s="10" t="str">
        <f t="shared" si="1"/>
        <v>April</v>
      </c>
      <c r="B4928" s="11">
        <f>IFERROR(__xludf.DUMMYFUNCTION("""COMPUTED_VALUE"""),46137.0)</f>
        <v>46137</v>
      </c>
      <c r="C4928" s="2" t="str">
        <f>IFERROR(__xludf.DUMMYFUNCTION("""COMPUTED_VALUE"""),"MOBILECARE - SM MARIKINA")</f>
        <v>MOBILECARE - SM MARIKINA</v>
      </c>
      <c r="D4928" s="2" t="str">
        <f>IFERROR(__xludf.DUMMYFUNCTION("""COMPUTED_VALUE"""),"661-23878")</f>
        <v>661-23878</v>
      </c>
      <c r="E4928" s="2" t="str">
        <f>IFERROR(__xludf.DUMMYFUNCTION("""COMPUTED_VALUE"""),"TrueDepth Camera, iPhone 13")</f>
        <v>TrueDepth Camera, iPhone 13</v>
      </c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</row>
    <row r="4929">
      <c r="A4929" s="10" t="str">
        <f t="shared" si="1"/>
        <v>April</v>
      </c>
      <c r="B4929" s="11">
        <f>IFERROR(__xludf.DUMMYFUNCTION("""COMPUTED_VALUE"""),46113.0)</f>
        <v>46113</v>
      </c>
      <c r="C4929" s="2" t="str">
        <f>IFERROR(__xludf.DUMMYFUNCTION("""COMPUTED_VALUE"""),"MOBILECARE - SM MARIKINA")</f>
        <v>MOBILECARE - SM MARIKINA</v>
      </c>
      <c r="D4929" s="2" t="str">
        <f>IFERROR(__xludf.DUMMYFUNCTION("""COMPUTED_VALUE"""),"661-23878")</f>
        <v>661-23878</v>
      </c>
      <c r="E4929" s="2" t="str">
        <f>IFERROR(__xludf.DUMMYFUNCTION("""COMPUTED_VALUE"""),"TrueDepth Camera, iPhone 13")</f>
        <v>TrueDepth Camera, iPhone 13</v>
      </c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</row>
    <row r="4930">
      <c r="A4930" s="10" t="str">
        <f t="shared" si="1"/>
        <v>March</v>
      </c>
      <c r="B4930" s="11">
        <f>IFERROR(__xludf.DUMMYFUNCTION("""COMPUTED_VALUE"""),46108.0)</f>
        <v>46108</v>
      </c>
      <c r="C4930" s="2" t="str">
        <f>IFERROR(__xludf.DUMMYFUNCTION("""COMPUTED_VALUE"""),"MOBILECARE - SM MARIKINA")</f>
        <v>MOBILECARE - SM MARIKINA</v>
      </c>
      <c r="D4930" s="2" t="str">
        <f>IFERROR(__xludf.DUMMYFUNCTION("""COMPUTED_VALUE"""),"661-44954")</f>
        <v>661-44954</v>
      </c>
      <c r="E4930" s="2" t="str">
        <f>IFERROR(__xludf.DUMMYFUNCTION("""COMPUTED_VALUE"""),"Battery, iPhone 16 Pro Max")</f>
        <v>Battery, iPhone 16 Pro Max</v>
      </c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</row>
    <row r="4931">
      <c r="A4931" s="10" t="str">
        <f t="shared" si="1"/>
        <v>February</v>
      </c>
      <c r="B4931" s="11">
        <f>IFERROR(__xludf.DUMMYFUNCTION("""COMPUTED_VALUE"""),46081.0)</f>
        <v>46081</v>
      </c>
      <c r="C4931" s="2" t="str">
        <f>IFERROR(__xludf.DUMMYFUNCTION("""COMPUTED_VALUE"""),"MOBILECARE - SM MARIKINA")</f>
        <v>MOBILECARE - SM MARIKINA</v>
      </c>
      <c r="D4931" s="2" t="str">
        <f>IFERROR(__xludf.DUMMYFUNCTION("""COMPUTED_VALUE"""),"661-13574")</f>
        <v>661-13574</v>
      </c>
      <c r="E4931" s="2" t="str">
        <f>IFERROR(__xludf.DUMMYFUNCTION("""COMPUTED_VALUE"""),"Battery, iPhone 11")</f>
        <v>Battery, iPhone 11</v>
      </c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</row>
    <row r="4932">
      <c r="A4932" s="10" t="str">
        <f t="shared" si="1"/>
        <v>March</v>
      </c>
      <c r="B4932" s="11">
        <f>IFERROR(__xludf.DUMMYFUNCTION("""COMPUTED_VALUE"""),46083.0)</f>
        <v>46083</v>
      </c>
      <c r="C4932" s="2" t="str">
        <f>IFERROR(__xludf.DUMMYFUNCTION("""COMPUTED_VALUE"""),"MOBILECARE - SM MARIKINA")</f>
        <v>MOBILECARE - SM MARIKINA</v>
      </c>
      <c r="D4932" s="2" t="str">
        <f>IFERROR(__xludf.DUMMYFUNCTION("""COMPUTED_VALUE"""),"661-30399")</f>
        <v>661-30399</v>
      </c>
      <c r="E4932" s="2" t="str">
        <f>IFERROR(__xludf.DUMMYFUNCTION("""COMPUTED_VALUE"""),"True Depth Camera, iPhone 14 Pro Max")</f>
        <v>True Depth Camera, iPhone 14 Pro Max</v>
      </c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</row>
    <row r="4933">
      <c r="A4933" s="10" t="str">
        <f t="shared" si="1"/>
        <v>March</v>
      </c>
      <c r="B4933" s="11">
        <f>IFERROR(__xludf.DUMMYFUNCTION("""COMPUTED_VALUE"""),46083.0)</f>
        <v>46083</v>
      </c>
      <c r="C4933" s="2" t="str">
        <f>IFERROR(__xludf.DUMMYFUNCTION("""COMPUTED_VALUE"""),"MOBILECARE - SM MARIKINA")</f>
        <v>MOBILECARE - SM MARIKINA</v>
      </c>
      <c r="D4933" s="2" t="str">
        <f>IFERROR(__xludf.DUMMYFUNCTION("""COMPUTED_VALUE"""),"661-30398")</f>
        <v>661-30398</v>
      </c>
      <c r="E4933" s="2" t="str">
        <f>IFERROR(__xludf.DUMMYFUNCTION("""COMPUTED_VALUE"""),"Camera, iPhone 14 Pro Max")</f>
        <v>Camera, iPhone 14 Pro Max</v>
      </c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</row>
    <row r="4934">
      <c r="A4934" s="10" t="str">
        <f t="shared" si="1"/>
        <v>March</v>
      </c>
      <c r="B4934" s="11">
        <f>IFERROR(__xludf.DUMMYFUNCTION("""COMPUTED_VALUE"""),46083.0)</f>
        <v>46083</v>
      </c>
      <c r="C4934" s="2" t="str">
        <f>IFERROR(__xludf.DUMMYFUNCTION("""COMPUTED_VALUE"""),"MOBILECARE - SM MARIKINA")</f>
        <v>MOBILECARE - SM MARIKINA</v>
      </c>
      <c r="D4934" s="2" t="str">
        <f>IFERROR(__xludf.DUMMYFUNCTION("""COMPUTED_VALUE"""),"PP661-30082")</f>
        <v>PP661-30082</v>
      </c>
      <c r="E4934" s="2" t="str">
        <f>IFERROR(__xludf.DUMMYFUNCTION("""COMPUTED_VALUE"""),"Space Black, iPhone 14 Pro Max, 256GB, ROW, CI/AR, Philippines")</f>
        <v>Space Black, iPhone 14 Pro Max, 256GB, ROW, CI/AR, Philippines</v>
      </c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</row>
    <row r="4935">
      <c r="A4935" s="10" t="str">
        <f t="shared" si="1"/>
        <v>January</v>
      </c>
      <c r="B4935" s="11">
        <f>IFERROR(__xludf.DUMMYFUNCTION("""COMPUTED_VALUE"""),46037.0)</f>
        <v>46037</v>
      </c>
      <c r="C4935" s="2" t="str">
        <f>IFERROR(__xludf.DUMMYFUNCTION("""COMPUTED_VALUE"""),"MOBILECARE - SM MARIKINA")</f>
        <v>MOBILECARE - SM MARIKINA</v>
      </c>
      <c r="D4935" s="2" t="str">
        <f>IFERROR(__xludf.DUMMYFUNCTION("""COMPUTED_VALUE"""),"661-22294")</f>
        <v>661-22294</v>
      </c>
      <c r="E4935" s="2" t="str">
        <f>IFERROR(__xludf.DUMMYFUNCTION("""COMPUTED_VALUE"""),"Battery, iPhone 13 Pro Max")</f>
        <v>Battery, iPhone 13 Pro Max</v>
      </c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</row>
    <row r="4936">
      <c r="A4936" s="10" t="str">
        <f t="shared" si="1"/>
        <v>June</v>
      </c>
      <c r="B4936" s="11">
        <f>IFERROR(__xludf.DUMMYFUNCTION("""COMPUTED_VALUE"""),46186.0)</f>
        <v>46186</v>
      </c>
      <c r="C4936" s="2" t="str">
        <f>IFERROR(__xludf.DUMMYFUNCTION("""COMPUTED_VALUE"""),"MOBILECARE - SM MARIKINA")</f>
        <v>MOBILECARE - SM MARIKINA</v>
      </c>
      <c r="D4936" s="2" t="str">
        <f>IFERROR(__xludf.DUMMYFUNCTION("""COMPUTED_VALUE"""),"661-56067")</f>
        <v>661-56067</v>
      </c>
      <c r="E4936" s="2" t="str">
        <f>IFERROR(__xludf.DUMMYFUNCTION("""COMPUTED_VALUE"""),"Camera, iPhone 17")</f>
        <v>Camera, iPhone 17</v>
      </c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</row>
    <row r="4937">
      <c r="A4937" s="10" t="str">
        <f t="shared" si="1"/>
        <v>June</v>
      </c>
      <c r="B4937" s="11">
        <f>IFERROR(__xludf.DUMMYFUNCTION("""COMPUTED_VALUE"""),46187.0)</f>
        <v>46187</v>
      </c>
      <c r="C4937" s="2" t="str">
        <f>IFERROR(__xludf.DUMMYFUNCTION("""COMPUTED_VALUE"""),"MOBILECARE - SM MARIKINA")</f>
        <v>MOBILECARE - SM MARIKINA</v>
      </c>
      <c r="D4937" s="2" t="str">
        <f>IFERROR(__xludf.DUMMYFUNCTION("""COMPUTED_VALUE"""),"661-30366")</f>
        <v>661-30366</v>
      </c>
      <c r="E4937" s="2" t="str">
        <f>IFERROR(__xludf.DUMMYFUNCTION("""COMPUTED_VALUE"""),"Display, iPhone 14")</f>
        <v>Display, iPhone 14</v>
      </c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</row>
    <row r="4938">
      <c r="A4938" s="10" t="str">
        <f t="shared" si="1"/>
        <v>April</v>
      </c>
      <c r="B4938" s="11">
        <f>IFERROR(__xludf.DUMMYFUNCTION("""COMPUTED_VALUE"""),46116.0)</f>
        <v>46116</v>
      </c>
      <c r="C4938" s="2" t="str">
        <f>IFERROR(__xludf.DUMMYFUNCTION("""COMPUTED_VALUE"""),"MOBILECARE - SM MARIKINA")</f>
        <v>MOBILECARE - SM MARIKINA</v>
      </c>
      <c r="D4938" s="2" t="str">
        <f>IFERROR(__xludf.DUMMYFUNCTION("""COMPUTED_VALUE"""),"661-15741")</f>
        <v>661-15741</v>
      </c>
      <c r="E4938" s="2" t="str">
        <f>IFERROR(__xludf.DUMMYFUNCTION("""COMPUTED_VALUE"""),"Battery, iPhone SE 2nd gen")</f>
        <v>Battery, iPhone SE 2nd gen</v>
      </c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</row>
    <row r="4939">
      <c r="A4939" s="10" t="str">
        <f t="shared" si="1"/>
        <v>March</v>
      </c>
      <c r="B4939" s="11">
        <f>IFERROR(__xludf.DUMMYFUNCTION("""COMPUTED_VALUE"""),46107.0)</f>
        <v>46107</v>
      </c>
      <c r="C4939" s="2" t="str">
        <f>IFERROR(__xludf.DUMMYFUNCTION("""COMPUTED_VALUE"""),"MOBILECARE - SM MARIKINA")</f>
        <v>MOBILECARE - SM MARIKINA</v>
      </c>
      <c r="D4939" s="2" t="str">
        <f>IFERROR(__xludf.DUMMYFUNCTION("""COMPUTED_VALUE"""),"661-22294")</f>
        <v>661-22294</v>
      </c>
      <c r="E4939" s="2" t="str">
        <f>IFERROR(__xludf.DUMMYFUNCTION("""COMPUTED_VALUE"""),"Battery, iPhone 13 Pro Max")</f>
        <v>Battery, iPhone 13 Pro Max</v>
      </c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</row>
    <row r="4940">
      <c r="A4940" s="10" t="str">
        <f t="shared" si="1"/>
        <v>February</v>
      </c>
      <c r="B4940" s="11">
        <f>IFERROR(__xludf.DUMMYFUNCTION("""COMPUTED_VALUE"""),46074.0)</f>
        <v>46074</v>
      </c>
      <c r="C4940" s="2" t="str">
        <f>IFERROR(__xludf.DUMMYFUNCTION("""COMPUTED_VALUE"""),"MOBILECARE - SM MARIKINA")</f>
        <v>MOBILECARE - SM MARIKINA</v>
      </c>
      <c r="D4940" s="2" t="str">
        <f>IFERROR(__xludf.DUMMYFUNCTION("""COMPUTED_VALUE"""),"661-56050")</f>
        <v>661-56050</v>
      </c>
      <c r="E4940" s="2" t="str">
        <f>IFERROR(__xludf.DUMMYFUNCTION("""COMPUTED_VALUE"""),"Display, iPhone 17 Pro Max")</f>
        <v>Display, iPhone 17 Pro Max</v>
      </c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</row>
    <row r="4941">
      <c r="A4941" s="10" t="str">
        <f t="shared" si="1"/>
        <v>February</v>
      </c>
      <c r="B4941" s="11">
        <f>IFERROR(__xludf.DUMMYFUNCTION("""COMPUTED_VALUE"""),46080.0)</f>
        <v>46080</v>
      </c>
      <c r="C4941" s="2" t="str">
        <f>IFERROR(__xludf.DUMMYFUNCTION("""COMPUTED_VALUE"""),"MOBILECARE - SM MARIKINA")</f>
        <v>MOBILECARE - SM MARIKINA</v>
      </c>
      <c r="D4941" s="2" t="str">
        <f>IFERROR(__xludf.DUMMYFUNCTION("""COMPUTED_VALUE"""),"661-13574")</f>
        <v>661-13574</v>
      </c>
      <c r="E4941" s="2" t="str">
        <f>IFERROR(__xludf.DUMMYFUNCTION("""COMPUTED_VALUE"""),"Battery, iPhone 11")</f>
        <v>Battery, iPhone 11</v>
      </c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</row>
    <row r="4942">
      <c r="A4942" s="10" t="str">
        <f t="shared" si="1"/>
        <v>February</v>
      </c>
      <c r="B4942" s="11">
        <f>IFERROR(__xludf.DUMMYFUNCTION("""COMPUTED_VALUE"""),46068.0)</f>
        <v>46068</v>
      </c>
      <c r="C4942" s="2" t="str">
        <f>IFERROR(__xludf.DUMMYFUNCTION("""COMPUTED_VALUE"""),"MOBILECARE - SM MARIKINA")</f>
        <v>MOBILECARE - SM MARIKINA</v>
      </c>
      <c r="D4942" s="2" t="str">
        <f>IFERROR(__xludf.DUMMYFUNCTION("""COMPUTED_VALUE"""),"661-13574")</f>
        <v>661-13574</v>
      </c>
      <c r="E4942" s="2" t="str">
        <f>IFERROR(__xludf.DUMMYFUNCTION("""COMPUTED_VALUE"""),"Battery, iPhone 11")</f>
        <v>Battery, iPhone 11</v>
      </c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</row>
    <row r="4943">
      <c r="A4943" s="10" t="str">
        <f t="shared" si="1"/>
        <v>June</v>
      </c>
      <c r="B4943" s="11">
        <f>IFERROR(__xludf.DUMMYFUNCTION("""COMPUTED_VALUE"""),46189.0)</f>
        <v>46189</v>
      </c>
      <c r="C4943" s="2" t="str">
        <f>IFERROR(__xludf.DUMMYFUNCTION("""COMPUTED_VALUE"""),"MOBILECARE - SM MARIKINA")</f>
        <v>MOBILECARE - SM MARIKINA</v>
      </c>
      <c r="D4943" s="2" t="str">
        <f>IFERROR(__xludf.DUMMYFUNCTION("""COMPUTED_VALUE"""),"661-56067")</f>
        <v>661-56067</v>
      </c>
      <c r="E4943" s="2" t="str">
        <f>IFERROR(__xludf.DUMMYFUNCTION("""COMPUTED_VALUE"""),"Camera, iPhone 17")</f>
        <v>Camera, iPhone 17</v>
      </c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</row>
    <row r="4944">
      <c r="A4944" s="10" t="str">
        <f t="shared" si="1"/>
        <v>March</v>
      </c>
      <c r="B4944" s="11">
        <f>IFERROR(__xludf.DUMMYFUNCTION("""COMPUTED_VALUE"""),46099.0)</f>
        <v>46099</v>
      </c>
      <c r="C4944" s="2" t="str">
        <f>IFERROR(__xludf.DUMMYFUNCTION("""COMPUTED_VALUE"""),"MOBILECARE - SM MARIKINA")</f>
        <v>MOBILECARE - SM MARIKINA</v>
      </c>
      <c r="D4944" s="2" t="str">
        <f>IFERROR(__xludf.DUMMYFUNCTION("""COMPUTED_VALUE"""),"661-21988")</f>
        <v>661-21988</v>
      </c>
      <c r="E4944" s="2" t="str">
        <f>IFERROR(__xludf.DUMMYFUNCTION("""COMPUTED_VALUE"""),"Display, iPhone 13")</f>
        <v>Display, iPhone 13</v>
      </c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</row>
    <row r="4945">
      <c r="A4945" s="10" t="str">
        <f t="shared" si="1"/>
        <v>March</v>
      </c>
      <c r="B4945" s="11">
        <f>IFERROR(__xludf.DUMMYFUNCTION("""COMPUTED_VALUE"""),46096.0)</f>
        <v>46096</v>
      </c>
      <c r="C4945" s="2" t="str">
        <f>IFERROR(__xludf.DUMMYFUNCTION("""COMPUTED_VALUE"""),"MOBILECARE - SM MARIKINA")</f>
        <v>MOBILECARE - SM MARIKINA</v>
      </c>
      <c r="D4945" s="2" t="str">
        <f>IFERROR(__xludf.DUMMYFUNCTION("""COMPUTED_VALUE"""),"661-17920")</f>
        <v>661-17920</v>
      </c>
      <c r="E4945" s="2" t="str">
        <f>IFERROR(__xludf.DUMMYFUNCTION("""COMPUTED_VALUE"""),"Battery, iPhone 12 and 12 Pro")</f>
        <v>Battery, iPhone 12 and 12 Pro</v>
      </c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</row>
    <row r="4946">
      <c r="A4946" s="10" t="str">
        <f t="shared" si="1"/>
        <v>March</v>
      </c>
      <c r="B4946" s="11">
        <f>IFERROR(__xludf.DUMMYFUNCTION("""COMPUTED_VALUE"""),46085.0)</f>
        <v>46085</v>
      </c>
      <c r="C4946" s="2" t="str">
        <f>IFERROR(__xludf.DUMMYFUNCTION("""COMPUTED_VALUE"""),"MOBILECARE - SM MARIKINA")</f>
        <v>MOBILECARE - SM MARIKINA</v>
      </c>
      <c r="D4946" s="2" t="str">
        <f>IFERROR(__xludf.DUMMYFUNCTION("""COMPUTED_VALUE"""),"661-29370")</f>
        <v>661-29370</v>
      </c>
      <c r="E4946" s="2" t="str">
        <f>IFERROR(__xludf.DUMMYFUNCTION("""COMPUTED_VALUE"""),"Display, iPhone 14 Pro")</f>
        <v>Display, iPhone 14 Pro</v>
      </c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</row>
    <row r="4947">
      <c r="A4947" s="10" t="str">
        <f t="shared" si="1"/>
        <v>February</v>
      </c>
      <c r="B4947" s="11">
        <f>IFERROR(__xludf.DUMMYFUNCTION("""COMPUTED_VALUE"""),46064.0)</f>
        <v>46064</v>
      </c>
      <c r="C4947" s="2" t="str">
        <f>IFERROR(__xludf.DUMMYFUNCTION("""COMPUTED_VALUE"""),"MOBILECARE - SM MARIKINA")</f>
        <v>MOBILECARE - SM MARIKINA</v>
      </c>
      <c r="D4947" s="2" t="str">
        <f>IFERROR(__xludf.DUMMYFUNCTION("""COMPUTED_VALUE"""),"661-56050")</f>
        <v>661-56050</v>
      </c>
      <c r="E4947" s="2" t="str">
        <f>IFERROR(__xludf.DUMMYFUNCTION("""COMPUTED_VALUE"""),"Display, iPhone 17 Pro Max")</f>
        <v>Display, iPhone 17 Pro Max</v>
      </c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</row>
    <row r="4948">
      <c r="A4948" s="10" t="str">
        <f t="shared" si="1"/>
        <v>June</v>
      </c>
      <c r="B4948" s="11">
        <f>IFERROR(__xludf.DUMMYFUNCTION("""COMPUTED_VALUE"""),46191.0)</f>
        <v>46191</v>
      </c>
      <c r="C4948" s="2" t="str">
        <f>IFERROR(__xludf.DUMMYFUNCTION("""COMPUTED_VALUE"""),"MOBILECARE - SM MARIKINA")</f>
        <v>MOBILECARE - SM MARIKINA</v>
      </c>
      <c r="D4948" s="2" t="str">
        <f>IFERROR(__xludf.DUMMYFUNCTION("""COMPUTED_VALUE"""),"661-18428")</f>
        <v>661-18428</v>
      </c>
      <c r="E4948" s="2" t="str">
        <f>IFERROR(__xludf.DUMMYFUNCTION("""COMPUTED_VALUE"""),"Battery, iPhone 12 Pro Max")</f>
        <v>Battery, iPhone 12 Pro Max</v>
      </c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</row>
    <row r="4949">
      <c r="A4949" s="10" t="str">
        <f t="shared" si="1"/>
        <v>April</v>
      </c>
      <c r="B4949" s="11">
        <f>IFERROR(__xludf.DUMMYFUNCTION("""COMPUTED_VALUE"""),46129.0)</f>
        <v>46129</v>
      </c>
      <c r="C4949" s="2" t="str">
        <f>IFERROR(__xludf.DUMMYFUNCTION("""COMPUTED_VALUE"""),"MOBILECARE - SM MARIKINA")</f>
        <v>MOBILECARE - SM MARIKINA</v>
      </c>
      <c r="D4949" s="2" t="str">
        <f>IFERROR(__xludf.DUMMYFUNCTION("""COMPUTED_VALUE"""),"661-30397")</f>
        <v>661-30397</v>
      </c>
      <c r="E4949" s="2" t="str">
        <f>IFERROR(__xludf.DUMMYFUNCTION("""COMPUTED_VALUE"""),"Battery, iPhone 14 Pro Max")</f>
        <v>Battery, iPhone 14 Pro Max</v>
      </c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</row>
    <row r="4950">
      <c r="A4950" s="10" t="str">
        <f t="shared" si="1"/>
        <v>April</v>
      </c>
      <c r="B4950" s="11">
        <f>IFERROR(__xludf.DUMMYFUNCTION("""COMPUTED_VALUE"""),46129.0)</f>
        <v>46129</v>
      </c>
      <c r="C4950" s="2" t="str">
        <f>IFERROR(__xludf.DUMMYFUNCTION("""COMPUTED_VALUE"""),"MOBILECARE - SM MARIKINA")</f>
        <v>MOBILECARE - SM MARIKINA</v>
      </c>
      <c r="D4950" s="2" t="str">
        <f>IFERROR(__xludf.DUMMYFUNCTION("""COMPUTED_VALUE"""),"661-30401")</f>
        <v>661-30401</v>
      </c>
      <c r="E4950" s="2" t="str">
        <f>IFERROR(__xludf.DUMMYFUNCTION("""COMPUTED_VALUE"""),"Display, iPhone 14 Pro Max")</f>
        <v>Display, iPhone 14 Pro Max</v>
      </c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</row>
    <row r="4951">
      <c r="A4951" s="10" t="str">
        <f t="shared" si="1"/>
        <v>March</v>
      </c>
      <c r="B4951" s="11">
        <f>IFERROR(__xludf.DUMMYFUNCTION("""COMPUTED_VALUE"""),46094.0)</f>
        <v>46094</v>
      </c>
      <c r="C4951" s="2" t="str">
        <f>IFERROR(__xludf.DUMMYFUNCTION("""COMPUTED_VALUE"""),"MOBILECARE - SM MARIKINA")</f>
        <v>MOBILECARE - SM MARIKINA</v>
      </c>
      <c r="D4951" s="2" t="str">
        <f>IFERROR(__xludf.DUMMYFUNCTION("""COMPUTED_VALUE"""),"661-56050")</f>
        <v>661-56050</v>
      </c>
      <c r="E4951" s="2" t="str">
        <f>IFERROR(__xludf.DUMMYFUNCTION("""COMPUTED_VALUE"""),"Display, iPhone 17 Pro Max")</f>
        <v>Display, iPhone 17 Pro Max</v>
      </c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</row>
    <row r="4952">
      <c r="A4952" s="10" t="str">
        <f t="shared" si="1"/>
        <v>March</v>
      </c>
      <c r="B4952" s="11">
        <f>IFERROR(__xludf.DUMMYFUNCTION("""COMPUTED_VALUE"""),46090.0)</f>
        <v>46090</v>
      </c>
      <c r="C4952" s="2" t="str">
        <f>IFERROR(__xludf.DUMMYFUNCTION("""COMPUTED_VALUE"""),"MOBILECARE - SM MARIKINA")</f>
        <v>MOBILECARE - SM MARIKINA</v>
      </c>
      <c r="D4952" s="2" t="str">
        <f>IFERROR(__xludf.DUMMYFUNCTION("""COMPUTED_VALUE"""),"661-22294")</f>
        <v>661-22294</v>
      </c>
      <c r="E4952" s="2" t="str">
        <f>IFERROR(__xludf.DUMMYFUNCTION("""COMPUTED_VALUE"""),"Battery, iPhone 13 Pro Max")</f>
        <v>Battery, iPhone 13 Pro Max</v>
      </c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</row>
    <row r="4953">
      <c r="A4953" s="10" t="str">
        <f t="shared" si="1"/>
        <v>February</v>
      </c>
      <c r="B4953" s="11">
        <f>IFERROR(__xludf.DUMMYFUNCTION("""COMPUTED_VALUE"""),46070.0)</f>
        <v>46070</v>
      </c>
      <c r="C4953" s="2" t="str">
        <f>IFERROR(__xludf.DUMMYFUNCTION("""COMPUTED_VALUE"""),"MOBILECARE - SM MARIKINA")</f>
        <v>MOBILECARE - SM MARIKINA</v>
      </c>
      <c r="D4953" s="2" t="str">
        <f>IFERROR(__xludf.DUMMYFUNCTION("""COMPUTED_VALUE"""),"661-21991")</f>
        <v>661-21991</v>
      </c>
      <c r="E4953" s="2" t="str">
        <f>IFERROR(__xludf.DUMMYFUNCTION("""COMPUTED_VALUE"""),"Battery, iPhone 13")</f>
        <v>Battery, iPhone 13</v>
      </c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</row>
    <row r="4954">
      <c r="A4954" s="10" t="str">
        <f t="shared" si="1"/>
        <v>June</v>
      </c>
      <c r="B4954" s="11">
        <f>IFERROR(__xludf.DUMMYFUNCTION("""COMPUTED_VALUE"""),46184.0)</f>
        <v>46184</v>
      </c>
      <c r="C4954" s="2" t="str">
        <f>IFERROR(__xludf.DUMMYFUNCTION("""COMPUTED_VALUE"""),"MOBILECARE - SM MARIKINA")</f>
        <v>MOBILECARE - SM MARIKINA</v>
      </c>
      <c r="D4954" s="2" t="str">
        <f>IFERROR(__xludf.DUMMYFUNCTION("""COMPUTED_VALUE"""),"661-56050")</f>
        <v>661-56050</v>
      </c>
      <c r="E4954" s="2" t="str">
        <f>IFERROR(__xludf.DUMMYFUNCTION("""COMPUTED_VALUE"""),"Display, iPhone 17 Pro Max")</f>
        <v>Display, iPhone 17 Pro Max</v>
      </c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</row>
    <row r="4955">
      <c r="A4955" s="10" t="str">
        <f t="shared" si="1"/>
        <v>May</v>
      </c>
      <c r="B4955" s="11">
        <f>IFERROR(__xludf.DUMMYFUNCTION("""COMPUTED_VALUE"""),46167.0)</f>
        <v>46167</v>
      </c>
      <c r="C4955" s="2" t="str">
        <f>IFERROR(__xludf.DUMMYFUNCTION("""COMPUTED_VALUE"""),"MOBILECARE - SM MARIKINA")</f>
        <v>MOBILECARE - SM MARIKINA</v>
      </c>
      <c r="D4955" s="2" t="str">
        <f>IFERROR(__xludf.DUMMYFUNCTION("""COMPUTED_VALUE"""),"661-18428")</f>
        <v>661-18428</v>
      </c>
      <c r="E4955" s="2" t="str">
        <f>IFERROR(__xludf.DUMMYFUNCTION("""COMPUTED_VALUE"""),"Battery, iPhone 12 Pro Max")</f>
        <v>Battery, iPhone 12 Pro Max</v>
      </c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</row>
    <row r="4956">
      <c r="A4956" s="10" t="str">
        <f t="shared" si="1"/>
        <v>April</v>
      </c>
      <c r="B4956" s="11">
        <f>IFERROR(__xludf.DUMMYFUNCTION("""COMPUTED_VALUE"""),46127.0)</f>
        <v>46127</v>
      </c>
      <c r="C4956" s="2" t="str">
        <f>IFERROR(__xludf.DUMMYFUNCTION("""COMPUTED_VALUE"""),"MOBILECARE - SM MARIKINA")</f>
        <v>MOBILECARE - SM MARIKINA</v>
      </c>
      <c r="D4956" s="2" t="str">
        <f>IFERROR(__xludf.DUMMYFUNCTION("""COMPUTED_VALUE"""),"661-21991")</f>
        <v>661-21991</v>
      </c>
      <c r="E4956" s="2" t="str">
        <f>IFERROR(__xludf.DUMMYFUNCTION("""COMPUTED_VALUE"""),"Battery, iPhone 13")</f>
        <v>Battery, iPhone 13</v>
      </c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</row>
    <row r="4957">
      <c r="A4957" s="10" t="str">
        <f t="shared" si="1"/>
        <v>March</v>
      </c>
      <c r="B4957" s="11">
        <f>IFERROR(__xludf.DUMMYFUNCTION("""COMPUTED_VALUE"""),46102.0)</f>
        <v>46102</v>
      </c>
      <c r="C4957" s="2" t="str">
        <f>IFERROR(__xludf.DUMMYFUNCTION("""COMPUTED_VALUE"""),"MOBILECARE - SM MARIKINA")</f>
        <v>MOBILECARE - SM MARIKINA</v>
      </c>
      <c r="D4957" s="2" t="str">
        <f>IFERROR(__xludf.DUMMYFUNCTION("""COMPUTED_VALUE"""),"661-17920")</f>
        <v>661-17920</v>
      </c>
      <c r="E4957" s="2" t="str">
        <f>IFERROR(__xludf.DUMMYFUNCTION("""COMPUTED_VALUE"""),"Battery, iPhone 12 and 12 Pro")</f>
        <v>Battery, iPhone 12 and 12 Pro</v>
      </c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</row>
    <row r="4958">
      <c r="A4958" s="10" t="str">
        <f t="shared" si="1"/>
        <v>February</v>
      </c>
      <c r="B4958" s="11">
        <f>IFERROR(__xludf.DUMMYFUNCTION("""COMPUTED_VALUE"""),46071.0)</f>
        <v>46071</v>
      </c>
      <c r="C4958" s="2" t="str">
        <f>IFERROR(__xludf.DUMMYFUNCTION("""COMPUTED_VALUE"""),"MOBILECARE - SM MARIKINA")</f>
        <v>MOBILECARE - SM MARIKINA</v>
      </c>
      <c r="D4958" s="2" t="str">
        <f>IFERROR(__xludf.DUMMYFUNCTION("""COMPUTED_VALUE"""),"TA661-55209")</f>
        <v>TA661-55209</v>
      </c>
      <c r="E4958" s="2" t="str">
        <f>IFERROR(__xludf.DUMMYFUNCTION("""COMPUTED_VALUE"""),"Silver, 512GB, iPhone 17 Pro Max, ROW, CI/AR, Taiwan")</f>
        <v>Silver, 512GB, iPhone 17 Pro Max, ROW, CI/AR, Taiwan</v>
      </c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</row>
    <row r="4959">
      <c r="A4959" s="10" t="str">
        <f t="shared" si="1"/>
        <v>May</v>
      </c>
      <c r="B4959" s="11">
        <f>IFERROR(__xludf.DUMMYFUNCTION("""COMPUTED_VALUE"""),46162.0)</f>
        <v>46162</v>
      </c>
      <c r="C4959" s="2" t="str">
        <f>IFERROR(__xludf.DUMMYFUNCTION("""COMPUTED_VALUE"""),"MOBILECARE - SM MARIKINA")</f>
        <v>MOBILECARE - SM MARIKINA</v>
      </c>
      <c r="D4959" s="2" t="str">
        <f>IFERROR(__xludf.DUMMYFUNCTION("""COMPUTED_VALUE"""),"661-30373")</f>
        <v>661-30373</v>
      </c>
      <c r="E4959" s="2" t="str">
        <f>IFERROR(__xludf.DUMMYFUNCTION("""COMPUTED_VALUE"""),"Battery, iPhone 14")</f>
        <v>Battery, iPhone 14</v>
      </c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</row>
    <row r="4960">
      <c r="A4960" s="10" t="str">
        <f t="shared" si="1"/>
        <v>May</v>
      </c>
      <c r="B4960" s="11">
        <f>IFERROR(__xludf.DUMMYFUNCTION("""COMPUTED_VALUE"""),46151.0)</f>
        <v>46151</v>
      </c>
      <c r="C4960" s="2" t="str">
        <f>IFERROR(__xludf.DUMMYFUNCTION("""COMPUTED_VALUE"""),"MOBILECARE - SM MARIKINA")</f>
        <v>MOBILECARE - SM MARIKINA</v>
      </c>
      <c r="D4960" s="2" t="str">
        <f>IFERROR(__xludf.DUMMYFUNCTION("""COMPUTED_VALUE"""),"923-13581")</f>
        <v>923-13581</v>
      </c>
      <c r="E4960" s="2" t="str">
        <f>IFERROR(__xludf.DUMMYFUNCTION("""COMPUTED_VALUE"""),"Top Speaker, iPhone 17 Pro Max")</f>
        <v>Top Speaker, iPhone 17 Pro Max</v>
      </c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</row>
    <row r="4961">
      <c r="A4961" s="10" t="str">
        <f t="shared" si="1"/>
        <v>April</v>
      </c>
      <c r="B4961" s="11">
        <f>IFERROR(__xludf.DUMMYFUNCTION("""COMPUTED_VALUE"""),46122.0)</f>
        <v>46122</v>
      </c>
      <c r="C4961" s="2" t="str">
        <f>IFERROR(__xludf.DUMMYFUNCTION("""COMPUTED_VALUE"""),"MOBILECARE - SM MARIKINA")</f>
        <v>MOBILECARE - SM MARIKINA</v>
      </c>
      <c r="D4961" s="2" t="str">
        <f>IFERROR(__xludf.DUMMYFUNCTION("""COMPUTED_VALUE"""),"661-30373")</f>
        <v>661-30373</v>
      </c>
      <c r="E4961" s="2" t="str">
        <f>IFERROR(__xludf.DUMMYFUNCTION("""COMPUTED_VALUE"""),"Battery, iPhone 14")</f>
        <v>Battery, iPhone 14</v>
      </c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</row>
    <row r="4962">
      <c r="A4962" s="10" t="str">
        <f t="shared" si="1"/>
        <v>March</v>
      </c>
      <c r="B4962" s="11">
        <f>IFERROR(__xludf.DUMMYFUNCTION("""COMPUTED_VALUE"""),46106.0)</f>
        <v>46106</v>
      </c>
      <c r="C4962" s="2" t="str">
        <f>IFERROR(__xludf.DUMMYFUNCTION("""COMPUTED_VALUE"""),"MOBILECARE - SM MARIKINA")</f>
        <v>MOBILECARE - SM MARIKINA</v>
      </c>
      <c r="D4962" s="2" t="str">
        <f>IFERROR(__xludf.DUMMYFUNCTION("""COMPUTED_VALUE"""),"661-56052")</f>
        <v>661-56052</v>
      </c>
      <c r="E4962" s="2" t="str">
        <f>IFERROR(__xludf.DUMMYFUNCTION("""COMPUTED_VALUE"""),"Camera, iPhone 17 Pro Max")</f>
        <v>Camera, iPhone 17 Pro Max</v>
      </c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</row>
    <row r="4963">
      <c r="A4963" s="10" t="str">
        <f t="shared" si="1"/>
        <v>March</v>
      </c>
      <c r="B4963" s="11">
        <f>IFERROR(__xludf.DUMMYFUNCTION("""COMPUTED_VALUE"""),46087.0)</f>
        <v>46087</v>
      </c>
      <c r="C4963" s="2" t="str">
        <f>IFERROR(__xludf.DUMMYFUNCTION("""COMPUTED_VALUE"""),"MOBILECARE - SM MARIKINA")</f>
        <v>MOBILECARE - SM MARIKINA</v>
      </c>
      <c r="D4963" s="2" t="str">
        <f>IFERROR(__xludf.DUMMYFUNCTION("""COMPUTED_VALUE"""),"661-21991")</f>
        <v>661-21991</v>
      </c>
      <c r="E4963" s="2" t="str">
        <f>IFERROR(__xludf.DUMMYFUNCTION("""COMPUTED_VALUE"""),"Battery, iPhone 13")</f>
        <v>Battery, iPhone 13</v>
      </c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</row>
    <row r="4964">
      <c r="A4964" s="10" t="str">
        <f t="shared" si="1"/>
        <v>February</v>
      </c>
      <c r="B4964" s="11">
        <f>IFERROR(__xludf.DUMMYFUNCTION("""COMPUTED_VALUE"""),46071.0)</f>
        <v>46071</v>
      </c>
      <c r="C4964" s="2" t="str">
        <f>IFERROR(__xludf.DUMMYFUNCTION("""COMPUTED_VALUE"""),"MOBILECARE - SM MARIKINA")</f>
        <v>MOBILECARE - SM MARIKINA</v>
      </c>
      <c r="D4964" s="2" t="str">
        <f>IFERROR(__xludf.DUMMYFUNCTION("""COMPUTED_VALUE"""),"661-18428")</f>
        <v>661-18428</v>
      </c>
      <c r="E4964" s="2" t="str">
        <f>IFERROR(__xludf.DUMMYFUNCTION("""COMPUTED_VALUE"""),"Battery, iPhone 12 Pro Max")</f>
        <v>Battery, iPhone 12 Pro Max</v>
      </c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</row>
    <row r="4965">
      <c r="A4965" s="10" t="str">
        <f t="shared" si="1"/>
        <v>March</v>
      </c>
      <c r="B4965" s="11">
        <f>IFERROR(__xludf.DUMMYFUNCTION("""COMPUTED_VALUE"""),46084.0)</f>
        <v>46084</v>
      </c>
      <c r="C4965" s="2" t="str">
        <f>IFERROR(__xludf.DUMMYFUNCTION("""COMPUTED_VALUE"""),"MOBILECARE - SM MARIKINA")</f>
        <v>MOBILECARE - SM MARIKINA</v>
      </c>
      <c r="D4965" s="2" t="str">
        <f>IFERROR(__xludf.DUMMYFUNCTION("""COMPUTED_VALUE"""),"PP661-22980")</f>
        <v>PP661-22980</v>
      </c>
      <c r="E4965" s="2" t="str">
        <f>IFERROR(__xludf.DUMMYFUNCTION("""COMPUTED_VALUE"""),"Midnight, 128 GB, iPhone 13, ROW, CI/AR, Philippines")</f>
        <v>Midnight, 128 GB, iPhone 13, ROW, CI/AR, Philippines</v>
      </c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</row>
    <row r="4966">
      <c r="A4966" s="10" t="str">
        <f t="shared" si="1"/>
        <v>February</v>
      </c>
      <c r="B4966" s="11">
        <f>IFERROR(__xludf.DUMMYFUNCTION("""COMPUTED_VALUE"""),46071.0)</f>
        <v>46071</v>
      </c>
      <c r="C4966" s="2" t="str">
        <f>IFERROR(__xludf.DUMMYFUNCTION("""COMPUTED_VALUE"""),"MOBILECARE - SM MARIKINA")</f>
        <v>MOBILECARE - SM MARIKINA</v>
      </c>
      <c r="D4966" s="2" t="str">
        <f>IFERROR(__xludf.DUMMYFUNCTION("""COMPUTED_VALUE"""),"TA661-45265")</f>
        <v>TA661-45265</v>
      </c>
      <c r="E4966" s="2" t="str">
        <f>IFERROR(__xludf.DUMMYFUNCTION("""COMPUTED_VALUE"""),"512GB, Black Titanium, ROW, iPhone 16 Pro Max, CI/AR")</f>
        <v>512GB, Black Titanium, ROW, iPhone 16 Pro Max, CI/AR</v>
      </c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</row>
    <row r="4967">
      <c r="A4967" s="10" t="str">
        <f t="shared" si="1"/>
        <v>April</v>
      </c>
      <c r="B4967" s="11">
        <f>IFERROR(__xludf.DUMMYFUNCTION("""COMPUTED_VALUE"""),46141.0)</f>
        <v>46141</v>
      </c>
      <c r="C4967" s="2" t="str">
        <f>IFERROR(__xludf.DUMMYFUNCTION("""COMPUTED_VALUE"""),"MOBILECARE - SM MARIKINA")</f>
        <v>MOBILECARE - SM MARIKINA</v>
      </c>
      <c r="D4967" s="2" t="str">
        <f>IFERROR(__xludf.DUMMYFUNCTION("""COMPUTED_VALUE"""),"661-21993")</f>
        <v>661-21993</v>
      </c>
      <c r="E4967" s="2" t="str">
        <f>IFERROR(__xludf.DUMMYFUNCTION("""COMPUTED_VALUE"""),"Display, iPhone 13 Pro")</f>
        <v>Display, iPhone 13 Pro</v>
      </c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</row>
    <row r="4968">
      <c r="A4968" s="10" t="str">
        <f t="shared" si="1"/>
        <v>April</v>
      </c>
      <c r="B4968" s="11">
        <f>IFERROR(__xludf.DUMMYFUNCTION("""COMPUTED_VALUE"""),46140.0)</f>
        <v>46140</v>
      </c>
      <c r="C4968" s="2" t="str">
        <f>IFERROR(__xludf.DUMMYFUNCTION("""COMPUTED_VALUE"""),"MOBILECARE - SM MARIKINA")</f>
        <v>MOBILECARE - SM MARIKINA</v>
      </c>
      <c r="D4968" s="2" t="str">
        <f>IFERROR(__xludf.DUMMYFUNCTION("""COMPUTED_VALUE"""),"661-22309")</f>
        <v>661-22309</v>
      </c>
      <c r="E4968" s="2" t="str">
        <f>IFERROR(__xludf.DUMMYFUNCTION("""COMPUTED_VALUE"""),"Display, iPhone 13 Pro Max")</f>
        <v>Display, iPhone 13 Pro Max</v>
      </c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</row>
    <row r="4969">
      <c r="A4969" s="10" t="str">
        <f t="shared" si="1"/>
        <v>April</v>
      </c>
      <c r="B4969" s="11">
        <f>IFERROR(__xludf.DUMMYFUNCTION("""COMPUTED_VALUE"""),46134.0)</f>
        <v>46134</v>
      </c>
      <c r="C4969" s="2" t="str">
        <f>IFERROR(__xludf.DUMMYFUNCTION("""COMPUTED_VALUE"""),"MOBILECARE - SM MARIKINA")</f>
        <v>MOBILECARE - SM MARIKINA</v>
      </c>
      <c r="D4969" s="2" t="str">
        <f>IFERROR(__xludf.DUMMYFUNCTION("""COMPUTED_VALUE"""),"661-21996")</f>
        <v>661-21996</v>
      </c>
      <c r="E4969" s="2" t="str">
        <f>IFERROR(__xludf.DUMMYFUNCTION("""COMPUTED_VALUE"""),"Battery, iPhone 13 Pro")</f>
        <v>Battery, iPhone 13 Pro</v>
      </c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</row>
    <row r="4970">
      <c r="A4970" s="10" t="str">
        <f t="shared" si="1"/>
        <v>April</v>
      </c>
      <c r="B4970" s="11">
        <f>IFERROR(__xludf.DUMMYFUNCTION("""COMPUTED_VALUE"""),46118.0)</f>
        <v>46118</v>
      </c>
      <c r="C4970" s="2" t="str">
        <f>IFERROR(__xludf.DUMMYFUNCTION("""COMPUTED_VALUE"""),"MOBILECARE - SM MARIKINA")</f>
        <v>MOBILECARE - SM MARIKINA</v>
      </c>
      <c r="D4970" s="2" t="str">
        <f>IFERROR(__xludf.DUMMYFUNCTION("""COMPUTED_VALUE"""),"661-30382")</f>
        <v>661-30382</v>
      </c>
      <c r="E4970" s="2" t="str">
        <f>IFERROR(__xludf.DUMMYFUNCTION("""COMPUTED_VALUE"""),"Battery, iPhone 14 Pro")</f>
        <v>Battery, iPhone 14 Pro</v>
      </c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</row>
    <row r="4971">
      <c r="A4971" s="10" t="str">
        <f t="shared" si="1"/>
        <v>March</v>
      </c>
      <c r="B4971" s="11">
        <f>IFERROR(__xludf.DUMMYFUNCTION("""COMPUTED_VALUE"""),46089.0)</f>
        <v>46089</v>
      </c>
      <c r="C4971" s="2" t="str">
        <f>IFERROR(__xludf.DUMMYFUNCTION("""COMPUTED_VALUE"""),"MOBILECARE - SM MARIKINA")</f>
        <v>MOBILECARE - SM MARIKINA</v>
      </c>
      <c r="D4971" s="2" t="str">
        <f>IFERROR(__xludf.DUMMYFUNCTION("""COMPUTED_VALUE"""),"661-18428")</f>
        <v>661-18428</v>
      </c>
      <c r="E4971" s="2" t="str">
        <f>IFERROR(__xludf.DUMMYFUNCTION("""COMPUTED_VALUE"""),"Battery, iPhone 12 Pro Max")</f>
        <v>Battery, iPhone 12 Pro Max</v>
      </c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</row>
    <row r="4972">
      <c r="A4972" s="10" t="str">
        <f t="shared" si="1"/>
        <v>January</v>
      </c>
      <c r="B4972" s="11">
        <f>IFERROR(__xludf.DUMMYFUNCTION("""COMPUTED_VALUE"""),46049.0)</f>
        <v>46049</v>
      </c>
      <c r="C4972" s="2" t="str">
        <f>IFERROR(__xludf.DUMMYFUNCTION("""COMPUTED_VALUE"""),"MOBILECARE - SM MARIKINA")</f>
        <v>MOBILECARE - SM MARIKINA</v>
      </c>
      <c r="D4972" s="2" t="str">
        <f>IFERROR(__xludf.DUMMYFUNCTION("""COMPUTED_VALUE"""),"661-56125")</f>
        <v>661-56125</v>
      </c>
      <c r="E4972" s="2" t="str">
        <f>IFERROR(__xludf.DUMMYFUNCTION("""COMPUTED_VALUE"""),"Display, iPhone 17 Pro")</f>
        <v>Display, iPhone 17 Pro</v>
      </c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</row>
    <row r="4973">
      <c r="A4973" s="10" t="str">
        <f t="shared" si="1"/>
        <v>June</v>
      </c>
      <c r="B4973" s="11">
        <f>IFERROR(__xludf.DUMMYFUNCTION("""COMPUTED_VALUE"""),46177.0)</f>
        <v>46177</v>
      </c>
      <c r="C4973" s="2" t="str">
        <f>IFERROR(__xludf.DUMMYFUNCTION("""COMPUTED_VALUE"""),"MOBILECARE - SM MARIKINA")</f>
        <v>MOBILECARE - SM MARIKINA</v>
      </c>
      <c r="D4973" s="2" t="str">
        <f>IFERROR(__xludf.DUMMYFUNCTION("""COMPUTED_VALUE"""),"661-21991")</f>
        <v>661-21991</v>
      </c>
      <c r="E4973" s="2" t="str">
        <f>IFERROR(__xludf.DUMMYFUNCTION("""COMPUTED_VALUE"""),"Battery, iPhone 13")</f>
        <v>Battery, iPhone 13</v>
      </c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</row>
    <row r="4974">
      <c r="A4974" s="10" t="str">
        <f t="shared" si="1"/>
        <v>April</v>
      </c>
      <c r="B4974" s="11">
        <f>IFERROR(__xludf.DUMMYFUNCTION("""COMPUTED_VALUE"""),46137.0)</f>
        <v>46137</v>
      </c>
      <c r="C4974" s="2" t="str">
        <f>IFERROR(__xludf.DUMMYFUNCTION("""COMPUTED_VALUE"""),"MOBILECARE - SM MARIKINA")</f>
        <v>MOBILECARE - SM MARIKINA</v>
      </c>
      <c r="D4974" s="2" t="str">
        <f>IFERROR(__xludf.DUMMYFUNCTION("""COMPUTED_VALUE"""),"661-21991")</f>
        <v>661-21991</v>
      </c>
      <c r="E4974" s="2" t="str">
        <f>IFERROR(__xludf.DUMMYFUNCTION("""COMPUTED_VALUE"""),"Battery, iPhone 13")</f>
        <v>Battery, iPhone 13</v>
      </c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</row>
    <row r="4975">
      <c r="A4975" s="10" t="str">
        <f t="shared" si="1"/>
        <v>March</v>
      </c>
      <c r="B4975" s="11">
        <f>IFERROR(__xludf.DUMMYFUNCTION("""COMPUTED_VALUE"""),46108.0)</f>
        <v>46108</v>
      </c>
      <c r="C4975" s="2" t="str">
        <f>IFERROR(__xludf.DUMMYFUNCTION("""COMPUTED_VALUE"""),"MOBILECARE - SM MARIKINA")</f>
        <v>MOBILECARE - SM MARIKINA</v>
      </c>
      <c r="D4975" s="2" t="str">
        <f>IFERROR(__xludf.DUMMYFUNCTION("""COMPUTED_VALUE"""),"661-56052")</f>
        <v>661-56052</v>
      </c>
      <c r="E4975" s="2" t="str">
        <f>IFERROR(__xludf.DUMMYFUNCTION("""COMPUTED_VALUE"""),"Camera, iPhone 17 Pro Max")</f>
        <v>Camera, iPhone 17 Pro Max</v>
      </c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</row>
    <row r="4976">
      <c r="A4976" s="10" t="str">
        <f t="shared" si="1"/>
        <v>March</v>
      </c>
      <c r="B4976" s="11">
        <f>IFERROR(__xludf.DUMMYFUNCTION("""COMPUTED_VALUE"""),46101.0)</f>
        <v>46101</v>
      </c>
      <c r="C4976" s="2" t="str">
        <f>IFERROR(__xludf.DUMMYFUNCTION("""COMPUTED_VALUE"""),"MOBILECARE - SM MARIKINA")</f>
        <v>MOBILECARE - SM MARIKINA</v>
      </c>
      <c r="D4976" s="2" t="str">
        <f>IFERROR(__xludf.DUMMYFUNCTION("""COMPUTED_VALUE"""),"661-21991")</f>
        <v>661-21991</v>
      </c>
      <c r="E4976" s="2" t="str">
        <f>IFERROR(__xludf.DUMMYFUNCTION("""COMPUTED_VALUE"""),"Battery, iPhone 13")</f>
        <v>Battery, iPhone 13</v>
      </c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</row>
    <row r="4977">
      <c r="A4977" s="10" t="str">
        <f t="shared" si="1"/>
        <v>February</v>
      </c>
      <c r="B4977" s="11">
        <f>IFERROR(__xludf.DUMMYFUNCTION("""COMPUTED_VALUE"""),46065.0)</f>
        <v>46065</v>
      </c>
      <c r="C4977" s="2" t="str">
        <f>IFERROR(__xludf.DUMMYFUNCTION("""COMPUTED_VALUE"""),"MOBILECARE - SM MARIKINA")</f>
        <v>MOBILECARE - SM MARIKINA</v>
      </c>
      <c r="D4977" s="2" t="str">
        <f>IFERROR(__xludf.DUMMYFUNCTION("""COMPUTED_VALUE"""),"661-22309")</f>
        <v>661-22309</v>
      </c>
      <c r="E4977" s="2" t="str">
        <f>IFERROR(__xludf.DUMMYFUNCTION("""COMPUTED_VALUE"""),"Display, iPhone 13 Pro Max")</f>
        <v>Display, iPhone 13 Pro Max</v>
      </c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</row>
    <row r="4978">
      <c r="A4978" s="10" t="str">
        <f t="shared" si="1"/>
        <v>January</v>
      </c>
      <c r="B4978" s="11">
        <f>IFERROR(__xludf.DUMMYFUNCTION("""COMPUTED_VALUE"""),46051.0)</f>
        <v>46051</v>
      </c>
      <c r="C4978" s="2" t="str">
        <f>IFERROR(__xludf.DUMMYFUNCTION("""COMPUTED_VALUE"""),"MOBILECARE - SM MARIKINA")</f>
        <v>MOBILECARE - SM MARIKINA</v>
      </c>
      <c r="D4978" s="2" t="str">
        <f>IFERROR(__xludf.DUMMYFUNCTION("""COMPUTED_VALUE"""),"661-21988")</f>
        <v>661-21988</v>
      </c>
      <c r="E4978" s="2" t="str">
        <f>IFERROR(__xludf.DUMMYFUNCTION("""COMPUTED_VALUE"""),"Display, iPhone 13")</f>
        <v>Display, iPhone 13</v>
      </c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</row>
    <row r="4979">
      <c r="A4979" s="10" t="str">
        <f t="shared" si="1"/>
        <v>January</v>
      </c>
      <c r="B4979" s="11">
        <f>IFERROR(__xludf.DUMMYFUNCTION("""COMPUTED_VALUE"""),46050.0)</f>
        <v>46050</v>
      </c>
      <c r="C4979" s="2" t="str">
        <f>IFERROR(__xludf.DUMMYFUNCTION("""COMPUTED_VALUE"""),"MOBILECARE - SM MARIKINA")</f>
        <v>MOBILECARE - SM MARIKINA</v>
      </c>
      <c r="D4979" s="2" t="str">
        <f>IFERROR(__xludf.DUMMYFUNCTION("""COMPUTED_VALUE"""),"661-30382")</f>
        <v>661-30382</v>
      </c>
      <c r="E4979" s="2" t="str">
        <f>IFERROR(__xludf.DUMMYFUNCTION("""COMPUTED_VALUE"""),"Battery, iPhone 14 Pro")</f>
        <v>Battery, iPhone 14 Pro</v>
      </c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</row>
    <row r="4980">
      <c r="A4980" s="10" t="str">
        <f t="shared" si="1"/>
        <v>June</v>
      </c>
      <c r="B4980" s="11">
        <f>IFERROR(__xludf.DUMMYFUNCTION("""COMPUTED_VALUE"""),46184.0)</f>
        <v>46184</v>
      </c>
      <c r="C4980" s="2" t="str">
        <f>IFERROR(__xludf.DUMMYFUNCTION("""COMPUTED_VALUE"""),"MOBILECARE - SM MARIKINA")</f>
        <v>MOBILECARE - SM MARIKINA</v>
      </c>
      <c r="D4980" s="2" t="str">
        <f>IFERROR(__xludf.DUMMYFUNCTION("""COMPUTED_VALUE"""),"661-56067")</f>
        <v>661-56067</v>
      </c>
      <c r="E4980" s="2" t="str">
        <f>IFERROR(__xludf.DUMMYFUNCTION("""COMPUTED_VALUE"""),"Camera, iPhone 17")</f>
        <v>Camera, iPhone 17</v>
      </c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</row>
    <row r="4981">
      <c r="A4981" s="10" t="str">
        <f t="shared" si="1"/>
        <v>June</v>
      </c>
      <c r="B4981" s="11">
        <f>IFERROR(__xludf.DUMMYFUNCTION("""COMPUTED_VALUE"""),46179.0)</f>
        <v>46179</v>
      </c>
      <c r="C4981" s="2" t="str">
        <f>IFERROR(__xludf.DUMMYFUNCTION("""COMPUTED_VALUE"""),"MOBILECARE - SM MARIKINA")</f>
        <v>MOBILECARE - SM MARIKINA</v>
      </c>
      <c r="D4981" s="2" t="str">
        <f>IFERROR(__xludf.DUMMYFUNCTION("""COMPUTED_VALUE"""),"661-21991")</f>
        <v>661-21991</v>
      </c>
      <c r="E4981" s="2" t="str">
        <f>IFERROR(__xludf.DUMMYFUNCTION("""COMPUTED_VALUE"""),"Battery, iPhone 13")</f>
        <v>Battery, iPhone 13</v>
      </c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</row>
    <row r="4982">
      <c r="A4982" s="10" t="str">
        <f t="shared" si="1"/>
        <v>May</v>
      </c>
      <c r="B4982" s="11">
        <f>IFERROR(__xludf.DUMMYFUNCTION("""COMPUTED_VALUE"""),46162.0)</f>
        <v>46162</v>
      </c>
      <c r="C4982" s="2" t="str">
        <f>IFERROR(__xludf.DUMMYFUNCTION("""COMPUTED_VALUE"""),"MOBILECARE - SM MARIKINA")</f>
        <v>MOBILECARE - SM MARIKINA</v>
      </c>
      <c r="D4982" s="2" t="str">
        <f>IFERROR(__xludf.DUMMYFUNCTION("""COMPUTED_VALUE"""),"661-22309")</f>
        <v>661-22309</v>
      </c>
      <c r="E4982" s="2" t="str">
        <f>IFERROR(__xludf.DUMMYFUNCTION("""COMPUTED_VALUE"""),"Display, iPhone 13 Pro Max")</f>
        <v>Display, iPhone 13 Pro Max</v>
      </c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</row>
    <row r="4983">
      <c r="A4983" s="10" t="str">
        <f t="shared" si="1"/>
        <v>April</v>
      </c>
      <c r="B4983" s="11">
        <f>IFERROR(__xludf.DUMMYFUNCTION("""COMPUTED_VALUE"""),46141.0)</f>
        <v>46141</v>
      </c>
      <c r="C4983" s="2" t="str">
        <f>IFERROR(__xludf.DUMMYFUNCTION("""COMPUTED_VALUE"""),"MOBILECARE - SM MARIKINA")</f>
        <v>MOBILECARE - SM MARIKINA</v>
      </c>
      <c r="D4983" s="2" t="str">
        <f>IFERROR(__xludf.DUMMYFUNCTION("""COMPUTED_VALUE"""),"661-21991")</f>
        <v>661-21991</v>
      </c>
      <c r="E4983" s="2" t="str">
        <f>IFERROR(__xludf.DUMMYFUNCTION("""COMPUTED_VALUE"""),"Battery, iPhone 13")</f>
        <v>Battery, iPhone 13</v>
      </c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</row>
    <row r="4984">
      <c r="A4984" s="10" t="str">
        <f t="shared" si="1"/>
        <v>May</v>
      </c>
      <c r="B4984" s="11">
        <f>IFERROR(__xludf.DUMMYFUNCTION("""COMPUTED_VALUE"""),46145.0)</f>
        <v>46145</v>
      </c>
      <c r="C4984" s="2" t="str">
        <f>IFERROR(__xludf.DUMMYFUNCTION("""COMPUTED_VALUE"""),"MOBILECARE - SM MARIKINA")</f>
        <v>MOBILECARE - SM MARIKINA</v>
      </c>
      <c r="D4984" s="2" t="str">
        <f>IFERROR(__xludf.DUMMYFUNCTION("""COMPUTED_VALUE"""),"661-21991")</f>
        <v>661-21991</v>
      </c>
      <c r="E4984" s="2" t="str">
        <f>IFERROR(__xludf.DUMMYFUNCTION("""COMPUTED_VALUE"""),"Battery, iPhone 13")</f>
        <v>Battery, iPhone 13</v>
      </c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</row>
    <row r="4985">
      <c r="A4985" s="10" t="str">
        <f t="shared" si="1"/>
        <v>April</v>
      </c>
      <c r="B4985" s="11">
        <f>IFERROR(__xludf.DUMMYFUNCTION("""COMPUTED_VALUE"""),46121.0)</f>
        <v>46121</v>
      </c>
      <c r="C4985" s="2" t="str">
        <f>IFERROR(__xludf.DUMMYFUNCTION("""COMPUTED_VALUE"""),"MOBILECARE - SM MARIKINA")</f>
        <v>MOBILECARE - SM MARIKINA</v>
      </c>
      <c r="D4985" s="2" t="str">
        <f>IFERROR(__xludf.DUMMYFUNCTION("""COMPUTED_VALUE"""),"661-22309")</f>
        <v>661-22309</v>
      </c>
      <c r="E4985" s="2" t="str">
        <f>IFERROR(__xludf.DUMMYFUNCTION("""COMPUTED_VALUE"""),"Display, iPhone 13 Pro Max")</f>
        <v>Display, iPhone 13 Pro Max</v>
      </c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</row>
    <row r="4986">
      <c r="A4986" s="10" t="str">
        <f t="shared" si="1"/>
        <v>February</v>
      </c>
      <c r="B4986" s="11">
        <f>IFERROR(__xludf.DUMMYFUNCTION("""COMPUTED_VALUE"""),46079.0)</f>
        <v>46079</v>
      </c>
      <c r="C4986" s="2" t="str">
        <f>IFERROR(__xludf.DUMMYFUNCTION("""COMPUTED_VALUE"""),"MOBILECARE - SM MARIKINA")</f>
        <v>MOBILECARE - SM MARIKINA</v>
      </c>
      <c r="D4986" s="2" t="str">
        <f>IFERROR(__xludf.DUMMYFUNCTION("""COMPUTED_VALUE"""),"661-44955")</f>
        <v>661-44955</v>
      </c>
      <c r="E4986" s="2" t="str">
        <f>IFERROR(__xludf.DUMMYFUNCTION("""COMPUTED_VALUE"""),"Display, iPhone 16 Pro Max")</f>
        <v>Display, iPhone 16 Pro Max</v>
      </c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</row>
    <row r="4987">
      <c r="A4987" s="10" t="str">
        <f t="shared" si="1"/>
        <v>June</v>
      </c>
      <c r="B4987" s="11">
        <f>IFERROR(__xludf.DUMMYFUNCTION("""COMPUTED_VALUE"""),46177.0)</f>
        <v>46177</v>
      </c>
      <c r="C4987" s="2" t="str">
        <f>IFERROR(__xludf.DUMMYFUNCTION("""COMPUTED_VALUE"""),"MOBILECARE - SM MARIKINA")</f>
        <v>MOBILECARE - SM MARIKINA</v>
      </c>
      <c r="D4987" s="2" t="str">
        <f>IFERROR(__xludf.DUMMYFUNCTION("""COMPUTED_VALUE"""),"661-22294")</f>
        <v>661-22294</v>
      </c>
      <c r="E4987" s="2" t="str">
        <f>IFERROR(__xludf.DUMMYFUNCTION("""COMPUTED_VALUE"""),"Battery, iPhone 13 Pro Max")</f>
        <v>Battery, iPhone 13 Pro Max</v>
      </c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</row>
    <row r="4988">
      <c r="A4988" s="10" t="str">
        <f t="shared" si="1"/>
        <v>May</v>
      </c>
      <c r="B4988" s="11">
        <f>IFERROR(__xludf.DUMMYFUNCTION("""COMPUTED_VALUE"""),46156.0)</f>
        <v>46156</v>
      </c>
      <c r="C4988" s="2" t="str">
        <f>IFERROR(__xludf.DUMMYFUNCTION("""COMPUTED_VALUE"""),"MOBILECARE - SM MARIKINA")</f>
        <v>MOBILECARE - SM MARIKINA</v>
      </c>
      <c r="D4988" s="2" t="str">
        <f>IFERROR(__xludf.DUMMYFUNCTION("""COMPUTED_VALUE"""),"661-22294")</f>
        <v>661-22294</v>
      </c>
      <c r="E4988" s="2" t="str">
        <f>IFERROR(__xludf.DUMMYFUNCTION("""COMPUTED_VALUE"""),"Battery, iPhone 13 Pro Max")</f>
        <v>Battery, iPhone 13 Pro Max</v>
      </c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</row>
    <row r="4989">
      <c r="A4989" s="10" t="str">
        <f t="shared" si="1"/>
        <v>April</v>
      </c>
      <c r="B4989" s="11">
        <f>IFERROR(__xludf.DUMMYFUNCTION("""COMPUTED_VALUE"""),46136.0)</f>
        <v>46136</v>
      </c>
      <c r="C4989" s="2" t="str">
        <f>IFERROR(__xludf.DUMMYFUNCTION("""COMPUTED_VALUE"""),"MOBILECARE - SM MARIKINA")</f>
        <v>MOBILECARE - SM MARIKINA</v>
      </c>
      <c r="D4989" s="2" t="str">
        <f>IFERROR(__xludf.DUMMYFUNCTION("""COMPUTED_VALUE"""),"661-21991")</f>
        <v>661-21991</v>
      </c>
      <c r="E4989" s="2" t="str">
        <f>IFERROR(__xludf.DUMMYFUNCTION("""COMPUTED_VALUE"""),"Battery, iPhone 13")</f>
        <v>Battery, iPhone 13</v>
      </c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</row>
    <row r="4990">
      <c r="A4990" s="10" t="str">
        <f t="shared" si="1"/>
        <v>April</v>
      </c>
      <c r="B4990" s="11">
        <f>IFERROR(__xludf.DUMMYFUNCTION("""COMPUTED_VALUE"""),46113.0)</f>
        <v>46113</v>
      </c>
      <c r="C4990" s="2" t="str">
        <f>IFERROR(__xludf.DUMMYFUNCTION("""COMPUTED_VALUE"""),"MOBILECARE - SM MARIKINA")</f>
        <v>MOBILECARE - SM MARIKINA</v>
      </c>
      <c r="D4990" s="2" t="str">
        <f>IFERROR(__xludf.DUMMYFUNCTION("""COMPUTED_VALUE"""),"923-09579")</f>
        <v>923-09579</v>
      </c>
      <c r="E4990" s="2" t="str">
        <f>IFERROR(__xludf.DUMMYFUNCTION("""COMPUTED_VALUE"""),"Top Speaker, iPhone 15")</f>
        <v>Top Speaker, iPhone 15</v>
      </c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</row>
    <row r="4991">
      <c r="A4991" s="10" t="str">
        <f t="shared" si="1"/>
        <v>March</v>
      </c>
      <c r="B4991" s="11">
        <f>IFERROR(__xludf.DUMMYFUNCTION("""COMPUTED_VALUE"""),46095.0)</f>
        <v>46095</v>
      </c>
      <c r="C4991" s="2" t="str">
        <f>IFERROR(__xludf.DUMMYFUNCTION("""COMPUTED_VALUE"""),"MOBILECARE - SM MARIKINA")</f>
        <v>MOBILECARE - SM MARIKINA</v>
      </c>
      <c r="D4991" s="2" t="str">
        <f>IFERROR(__xludf.DUMMYFUNCTION("""COMPUTED_VALUE"""),"661-22374")</f>
        <v>661-22374</v>
      </c>
      <c r="E4991" s="2" t="str">
        <f>IFERROR(__xludf.DUMMYFUNCTION("""COMPUTED_VALUE"""),"Battery, iPhone 13 mini")</f>
        <v>Battery, iPhone 13 mini</v>
      </c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</row>
    <row r="4992">
      <c r="A4992" s="10" t="str">
        <f t="shared" si="1"/>
        <v>March</v>
      </c>
      <c r="B4992" s="11">
        <f>IFERROR(__xludf.DUMMYFUNCTION("""COMPUTED_VALUE"""),46095.0)</f>
        <v>46095</v>
      </c>
      <c r="C4992" s="2" t="str">
        <f>IFERROR(__xludf.DUMMYFUNCTION("""COMPUTED_VALUE"""),"MOBILECARE - SM MARIKINA")</f>
        <v>MOBILECARE - SM MARIKINA</v>
      </c>
      <c r="D4992" s="2" t="str">
        <f>IFERROR(__xludf.DUMMYFUNCTION("""COMPUTED_VALUE"""),"661-17939")</f>
        <v>661-17939</v>
      </c>
      <c r="E4992" s="2" t="str">
        <f>IFERROR(__xludf.DUMMYFUNCTION("""COMPUTED_VALUE"""),"Battery, iPhone 12 mini")</f>
        <v>Battery, iPhone 12 mini</v>
      </c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</row>
    <row r="4993">
      <c r="A4993" s="10" t="str">
        <f t="shared" si="1"/>
        <v>February</v>
      </c>
      <c r="B4993" s="11">
        <f>IFERROR(__xludf.DUMMYFUNCTION("""COMPUTED_VALUE"""),46079.0)</f>
        <v>46079</v>
      </c>
      <c r="C4993" s="2" t="str">
        <f>IFERROR(__xludf.DUMMYFUNCTION("""COMPUTED_VALUE"""),"MOBILECARE - SM MARIKINA")</f>
        <v>MOBILECARE - SM MARIKINA</v>
      </c>
      <c r="D4993" s="2" t="str">
        <f>IFERROR(__xludf.DUMMYFUNCTION("""COMPUTED_VALUE"""),"661-56127")</f>
        <v>661-56127</v>
      </c>
      <c r="E4993" s="2" t="str">
        <f>IFERROR(__xludf.DUMMYFUNCTION("""COMPUTED_VALUE"""),"Camera, iPhone 17 Pro")</f>
        <v>Camera, iPhone 17 Pro</v>
      </c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</row>
    <row r="4994">
      <c r="A4994" s="10" t="str">
        <f t="shared" si="1"/>
        <v>June</v>
      </c>
      <c r="B4994" s="11">
        <f>IFERROR(__xludf.DUMMYFUNCTION("""COMPUTED_VALUE"""),46177.0)</f>
        <v>46177</v>
      </c>
      <c r="C4994" s="2" t="str">
        <f>IFERROR(__xludf.DUMMYFUNCTION("""COMPUTED_VALUE"""),"MOBILECARE - SM MARIKINA")</f>
        <v>MOBILECARE - SM MARIKINA</v>
      </c>
      <c r="D4994" s="2" t="str">
        <f>IFERROR(__xludf.DUMMYFUNCTION("""COMPUTED_VALUE"""),"661-30397")</f>
        <v>661-30397</v>
      </c>
      <c r="E4994" s="2" t="str">
        <f>IFERROR(__xludf.DUMMYFUNCTION("""COMPUTED_VALUE"""),"Battery, iPhone 14 Pro Max")</f>
        <v>Battery, iPhone 14 Pro Max</v>
      </c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</row>
    <row r="4995">
      <c r="A4995" s="10" t="str">
        <f t="shared" si="1"/>
        <v>June</v>
      </c>
      <c r="B4995" s="11">
        <f>IFERROR(__xludf.DUMMYFUNCTION("""COMPUTED_VALUE"""),46177.0)</f>
        <v>46177</v>
      </c>
      <c r="C4995" s="2" t="str">
        <f>IFERROR(__xludf.DUMMYFUNCTION("""COMPUTED_VALUE"""),"MOBILECARE - SM MARIKINA")</f>
        <v>MOBILECARE - SM MARIKINA</v>
      </c>
      <c r="D4995" s="2" t="str">
        <f>IFERROR(__xludf.DUMMYFUNCTION("""COMPUTED_VALUE"""),"661-30401")</f>
        <v>661-30401</v>
      </c>
      <c r="E4995" s="2" t="str">
        <f>IFERROR(__xludf.DUMMYFUNCTION("""COMPUTED_VALUE"""),"Display, iPhone 14 Pro Max")</f>
        <v>Display, iPhone 14 Pro Max</v>
      </c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</row>
    <row r="4996">
      <c r="A4996" s="10" t="str">
        <f t="shared" si="1"/>
        <v>May</v>
      </c>
      <c r="B4996" s="11">
        <f>IFERROR(__xludf.DUMMYFUNCTION("""COMPUTED_VALUE"""),46168.0)</f>
        <v>46168</v>
      </c>
      <c r="C4996" s="2" t="str">
        <f>IFERROR(__xludf.DUMMYFUNCTION("""COMPUTED_VALUE"""),"MOBILECARE - SM MARIKINA")</f>
        <v>MOBILECARE - SM MARIKINA</v>
      </c>
      <c r="D4996" s="2" t="str">
        <f>IFERROR(__xludf.DUMMYFUNCTION("""COMPUTED_VALUE"""),"661-30393")</f>
        <v>661-30393</v>
      </c>
      <c r="E4996" s="2" t="str">
        <f>IFERROR(__xludf.DUMMYFUNCTION("""COMPUTED_VALUE"""),"Camera, iPhone 14 Plus")</f>
        <v>Camera, iPhone 14 Plus</v>
      </c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</row>
    <row r="4997">
      <c r="A4997" s="10" t="str">
        <f t="shared" si="1"/>
        <v>May</v>
      </c>
      <c r="B4997" s="11">
        <f>IFERROR(__xludf.DUMMYFUNCTION("""COMPUTED_VALUE"""),46143.0)</f>
        <v>46143</v>
      </c>
      <c r="C4997" s="2" t="str">
        <f>IFERROR(__xludf.DUMMYFUNCTION("""COMPUTED_VALUE"""),"MOBILECARE - SM MARIKINA")</f>
        <v>MOBILECARE - SM MARIKINA</v>
      </c>
      <c r="D4997" s="2" t="str">
        <f>IFERROR(__xludf.DUMMYFUNCTION("""COMPUTED_VALUE"""),"661-30397")</f>
        <v>661-30397</v>
      </c>
      <c r="E4997" s="2" t="str">
        <f>IFERROR(__xludf.DUMMYFUNCTION("""COMPUTED_VALUE"""),"Battery, iPhone 14 Pro Max")</f>
        <v>Battery, iPhone 14 Pro Max</v>
      </c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</row>
    <row r="4998">
      <c r="A4998" s="10" t="str">
        <f t="shared" si="1"/>
        <v>May</v>
      </c>
      <c r="B4998" s="11">
        <f>IFERROR(__xludf.DUMMYFUNCTION("""COMPUTED_VALUE"""),46143.0)</f>
        <v>46143</v>
      </c>
      <c r="C4998" s="2" t="str">
        <f>IFERROR(__xludf.DUMMYFUNCTION("""COMPUTED_VALUE"""),"MOBILECARE - SM MARIKINA")</f>
        <v>MOBILECARE - SM MARIKINA</v>
      </c>
      <c r="D4998" s="2" t="str">
        <f>IFERROR(__xludf.DUMMYFUNCTION("""COMPUTED_VALUE"""),"661-30401")</f>
        <v>661-30401</v>
      </c>
      <c r="E4998" s="2" t="str">
        <f>IFERROR(__xludf.DUMMYFUNCTION("""COMPUTED_VALUE"""),"Display, iPhone 14 Pro Max")</f>
        <v>Display, iPhone 14 Pro Max</v>
      </c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</row>
    <row r="4999">
      <c r="A4999" s="10" t="str">
        <f t="shared" si="1"/>
        <v>April</v>
      </c>
      <c r="B4999" s="11">
        <f>IFERROR(__xludf.DUMMYFUNCTION("""COMPUTED_VALUE"""),46122.0)</f>
        <v>46122</v>
      </c>
      <c r="C4999" s="2" t="str">
        <f>IFERROR(__xludf.DUMMYFUNCTION("""COMPUTED_VALUE"""),"MOBILECARE - SM MARIKINA")</f>
        <v>MOBILECARE - SM MARIKINA</v>
      </c>
      <c r="D4999" s="2" t="str">
        <f>IFERROR(__xludf.DUMMYFUNCTION("""COMPUTED_VALUE"""),"661-35885")</f>
        <v>661-35885</v>
      </c>
      <c r="E4999" s="2" t="str">
        <f>IFERROR(__xludf.DUMMYFUNCTION("""COMPUTED_VALUE"""),"Battery, iPhone 15")</f>
        <v>Battery, iPhone 15</v>
      </c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</row>
    <row r="5000">
      <c r="A5000" s="10" t="str">
        <f t="shared" si="1"/>
        <v>March</v>
      </c>
      <c r="B5000" s="11">
        <f>IFERROR(__xludf.DUMMYFUNCTION("""COMPUTED_VALUE"""),46110.0)</f>
        <v>46110</v>
      </c>
      <c r="C5000" s="2" t="str">
        <f>IFERROR(__xludf.DUMMYFUNCTION("""COMPUTED_VALUE"""),"MOBILECARE - SM MARIKINA")</f>
        <v>MOBILECARE - SM MARIKINA</v>
      </c>
      <c r="D5000" s="2" t="str">
        <f>IFERROR(__xludf.DUMMYFUNCTION("""COMPUTED_VALUE"""),"661-21991")</f>
        <v>661-21991</v>
      </c>
      <c r="E5000" s="2" t="str">
        <f>IFERROR(__xludf.DUMMYFUNCTION("""COMPUTED_VALUE"""),"Battery, iPhone 13")</f>
        <v>Battery, iPhone 13</v>
      </c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</row>
    <row r="5001">
      <c r="A5001" s="10" t="str">
        <f t="shared" si="1"/>
        <v>February</v>
      </c>
      <c r="B5001" s="11">
        <f>IFERROR(__xludf.DUMMYFUNCTION("""COMPUTED_VALUE"""),46081.0)</f>
        <v>46081</v>
      </c>
      <c r="C5001" s="2" t="str">
        <f>IFERROR(__xludf.DUMMYFUNCTION("""COMPUTED_VALUE"""),"MOBILECARE - SM MARIKINA")</f>
        <v>MOBILECARE - SM MARIKINA</v>
      </c>
      <c r="D5001" s="2" t="str">
        <f>IFERROR(__xludf.DUMMYFUNCTION("""COMPUTED_VALUE"""),"661-22294")</f>
        <v>661-22294</v>
      </c>
      <c r="E5001" s="2" t="str">
        <f>IFERROR(__xludf.DUMMYFUNCTION("""COMPUTED_VALUE"""),"Battery, iPhone 13 Pro Max")</f>
        <v>Battery, iPhone 13 Pro Max</v>
      </c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</row>
    <row r="5002">
      <c r="A5002" s="10" t="str">
        <f t="shared" si="1"/>
        <v>February</v>
      </c>
      <c r="B5002" s="11">
        <f>IFERROR(__xludf.DUMMYFUNCTION("""COMPUTED_VALUE"""),46075.0)</f>
        <v>46075</v>
      </c>
      <c r="C5002" s="2" t="str">
        <f>IFERROR(__xludf.DUMMYFUNCTION("""COMPUTED_VALUE"""),"MOBILECARE - SM MARIKINA")</f>
        <v>MOBILECARE - SM MARIKINA</v>
      </c>
      <c r="D5002" s="2" t="str">
        <f>IFERROR(__xludf.DUMMYFUNCTION("""COMPUTED_VALUE"""),"661-30373")</f>
        <v>661-30373</v>
      </c>
      <c r="E5002" s="2" t="str">
        <f>IFERROR(__xludf.DUMMYFUNCTION("""COMPUTED_VALUE"""),"Battery, iPhone 14")</f>
        <v>Battery, iPhone 14</v>
      </c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</row>
    <row r="5003">
      <c r="A5003" s="10" t="str">
        <f t="shared" si="1"/>
        <v>March</v>
      </c>
      <c r="B5003" s="11">
        <f>IFERROR(__xludf.DUMMYFUNCTION("""COMPUTED_VALUE"""),46086.0)</f>
        <v>46086</v>
      </c>
      <c r="C5003" s="2" t="str">
        <f>IFERROR(__xludf.DUMMYFUNCTION("""COMPUTED_VALUE"""),"MOBILECARE - SM MARIKINA")</f>
        <v>MOBILECARE - SM MARIKINA</v>
      </c>
      <c r="D5003" s="2" t="str">
        <f>IFERROR(__xludf.DUMMYFUNCTION("""COMPUTED_VALUE"""),"661-21991")</f>
        <v>661-21991</v>
      </c>
      <c r="E5003" s="2" t="str">
        <f>IFERROR(__xludf.DUMMYFUNCTION("""COMPUTED_VALUE"""),"Battery, iPhone 13")</f>
        <v>Battery, iPhone 13</v>
      </c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</row>
    <row r="5004">
      <c r="A5004" s="10" t="str">
        <f t="shared" si="1"/>
        <v>January</v>
      </c>
      <c r="B5004" s="11">
        <f>IFERROR(__xludf.DUMMYFUNCTION("""COMPUTED_VALUE"""),46048.0)</f>
        <v>46048</v>
      </c>
      <c r="C5004" s="2" t="str">
        <f>IFERROR(__xludf.DUMMYFUNCTION("""COMPUTED_VALUE"""),"MOBILECARE - SM MARIKINA")</f>
        <v>MOBILECARE - SM MARIKINA</v>
      </c>
      <c r="D5004" s="2" t="str">
        <f>IFERROR(__xludf.DUMMYFUNCTION("""COMPUTED_VALUE"""),"661-21991")</f>
        <v>661-21991</v>
      </c>
      <c r="E5004" s="2" t="str">
        <f>IFERROR(__xludf.DUMMYFUNCTION("""COMPUTED_VALUE"""),"Battery, iPhone 13")</f>
        <v>Battery, iPhone 13</v>
      </c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</row>
    <row r="5005">
      <c r="A5005" s="10" t="str">
        <f t="shared" si="1"/>
        <v>January</v>
      </c>
      <c r="B5005" s="11">
        <f>IFERROR(__xludf.DUMMYFUNCTION("""COMPUTED_VALUE"""),46046.0)</f>
        <v>46046</v>
      </c>
      <c r="C5005" s="2" t="str">
        <f>IFERROR(__xludf.DUMMYFUNCTION("""COMPUTED_VALUE"""),"MOBILECARE - SM MARIKINA")</f>
        <v>MOBILECARE - SM MARIKINA</v>
      </c>
      <c r="D5005" s="2" t="str">
        <f>IFERROR(__xludf.DUMMYFUNCTION("""COMPUTED_VALUE"""),"661-56065")</f>
        <v>661-56065</v>
      </c>
      <c r="E5005" s="2" t="str">
        <f>IFERROR(__xludf.DUMMYFUNCTION("""COMPUTED_VALUE"""),"Display, iPhone 17")</f>
        <v>Display, iPhone 17</v>
      </c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</row>
    <row r="5006">
      <c r="A5006" s="10" t="str">
        <f t="shared" si="1"/>
        <v>May</v>
      </c>
      <c r="B5006" s="11">
        <f>IFERROR(__xludf.DUMMYFUNCTION("""COMPUTED_VALUE"""),46163.0)</f>
        <v>46163</v>
      </c>
      <c r="C5006" s="2" t="str">
        <f>IFERROR(__xludf.DUMMYFUNCTION("""COMPUTED_VALUE"""),"MOBILECARE - SM MARIKINA")</f>
        <v>MOBILECARE - SM MARIKINA</v>
      </c>
      <c r="D5006" s="2" t="str">
        <f>IFERROR(__xludf.DUMMYFUNCTION("""COMPUTED_VALUE"""),"661-44796")</f>
        <v>661-44796</v>
      </c>
      <c r="E5006" s="2" t="str">
        <f>IFERROR(__xludf.DUMMYFUNCTION("""COMPUTED_VALUE"""),"Battery, iPhone 16")</f>
        <v>Battery, iPhone 16</v>
      </c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</row>
    <row r="5007">
      <c r="A5007" s="10" t="str">
        <f t="shared" si="1"/>
        <v>June</v>
      </c>
      <c r="B5007" s="11">
        <f>IFERROR(__xludf.DUMMYFUNCTION("""COMPUTED_VALUE"""),46176.0)</f>
        <v>46176</v>
      </c>
      <c r="C5007" s="2" t="str">
        <f>IFERROR(__xludf.DUMMYFUNCTION("""COMPUTED_VALUE"""),"MOBILECARE - SM MARIKINA")</f>
        <v>MOBILECARE - SM MARIKINA</v>
      </c>
      <c r="D5007" s="2" t="str">
        <f>IFERROR(__xludf.DUMMYFUNCTION("""COMPUTED_VALUE"""),"TA661-55154")</f>
        <v>TA661-55154</v>
      </c>
      <c r="E5007" s="2" t="str">
        <f>IFERROR(__xludf.DUMMYFUNCTION("""COMPUTED_VALUE"""),"Deep Blue, 512GB, iPhone 17 Pro, ROW, CI/AR, Taiwan")</f>
        <v>Deep Blue, 512GB, iPhone 17 Pro, ROW, CI/AR, Taiwan</v>
      </c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</row>
    <row r="5008">
      <c r="A5008" s="10" t="str">
        <f t="shared" si="1"/>
        <v>April</v>
      </c>
      <c r="B5008" s="11">
        <f>IFERROR(__xludf.DUMMYFUNCTION("""COMPUTED_VALUE"""),46113.0)</f>
        <v>46113</v>
      </c>
      <c r="C5008" s="2" t="str">
        <f>IFERROR(__xludf.DUMMYFUNCTION("""COMPUTED_VALUE"""),"MOBILECARE - SM MARIKINA")</f>
        <v>MOBILECARE - SM MARIKINA</v>
      </c>
      <c r="D5008" s="2" t="str">
        <f>IFERROR(__xludf.DUMMYFUNCTION("""COMPUTED_VALUE"""),"661-21993")</f>
        <v>661-21993</v>
      </c>
      <c r="E5008" s="2" t="str">
        <f>IFERROR(__xludf.DUMMYFUNCTION("""COMPUTED_VALUE"""),"Display, iPhone 13 Pro")</f>
        <v>Display, iPhone 13 Pro</v>
      </c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</row>
    <row r="5009">
      <c r="A5009" s="10" t="str">
        <f t="shared" si="1"/>
        <v>April</v>
      </c>
      <c r="B5009" s="11">
        <f>IFERROR(__xludf.DUMMYFUNCTION("""COMPUTED_VALUE"""),46136.0)</f>
        <v>46136</v>
      </c>
      <c r="C5009" s="2" t="str">
        <f>IFERROR(__xludf.DUMMYFUNCTION("""COMPUTED_VALUE"""),"MOBILECARE - SM MARIKINA")</f>
        <v>MOBILECARE - SM MARIKINA</v>
      </c>
      <c r="D5009" s="2" t="str">
        <f>IFERROR(__xludf.DUMMYFUNCTION("""COMPUTED_VALUE"""),"661-35694")</f>
        <v>661-35694</v>
      </c>
      <c r="E5009" s="2" t="str">
        <f>IFERROR(__xludf.DUMMYFUNCTION("""COMPUTED_VALUE"""),"Battery, iPhone 15 Pro")</f>
        <v>Battery, iPhone 15 Pro</v>
      </c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</row>
    <row r="5010">
      <c r="A5010" s="10" t="str">
        <f t="shared" si="1"/>
        <v>March</v>
      </c>
      <c r="B5010" s="11">
        <f>IFERROR(__xludf.DUMMYFUNCTION("""COMPUTED_VALUE"""),46083.0)</f>
        <v>46083</v>
      </c>
      <c r="C5010" s="2" t="str">
        <f>IFERROR(__xludf.DUMMYFUNCTION("""COMPUTED_VALUE"""),"MOBILECARE - SM MARIKINA")</f>
        <v>MOBILECARE - SM MARIKINA</v>
      </c>
      <c r="D5010" s="2" t="str">
        <f>IFERROR(__xludf.DUMMYFUNCTION("""COMPUTED_VALUE"""),"661-36918")</f>
        <v>661-36918</v>
      </c>
      <c r="E5010" s="2" t="str">
        <f>IFERROR(__xludf.DUMMYFUNCTION("""COMPUTED_VALUE"""),"Battery, iPhone 15 Pro Max")</f>
        <v>Battery, iPhone 15 Pro Max</v>
      </c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</row>
    <row r="5011">
      <c r="A5011" s="10" t="str">
        <f t="shared" si="1"/>
        <v>February</v>
      </c>
      <c r="B5011" s="11">
        <f>IFERROR(__xludf.DUMMYFUNCTION("""COMPUTED_VALUE"""),46069.0)</f>
        <v>46069</v>
      </c>
      <c r="C5011" s="2" t="str">
        <f>IFERROR(__xludf.DUMMYFUNCTION("""COMPUTED_VALUE"""),"MOBILECARE - SM MARIKINA")</f>
        <v>MOBILECARE - SM MARIKINA</v>
      </c>
      <c r="D5011" s="2" t="str">
        <f>IFERROR(__xludf.DUMMYFUNCTION("""COMPUTED_VALUE"""),"661-21988")</f>
        <v>661-21988</v>
      </c>
      <c r="E5011" s="2" t="str">
        <f>IFERROR(__xludf.DUMMYFUNCTION("""COMPUTED_VALUE"""),"Display, iPhone 13")</f>
        <v>Display, iPhone 13</v>
      </c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</row>
    <row r="5012">
      <c r="A5012" s="10" t="str">
        <f t="shared" si="1"/>
        <v>February</v>
      </c>
      <c r="B5012" s="11">
        <f>IFERROR(__xludf.DUMMYFUNCTION("""COMPUTED_VALUE"""),46071.0)</f>
        <v>46071</v>
      </c>
      <c r="C5012" s="2" t="str">
        <f>IFERROR(__xludf.DUMMYFUNCTION("""COMPUTED_VALUE"""),"MOBILECARE - SM MARIKINA")</f>
        <v>MOBILECARE - SM MARIKINA</v>
      </c>
      <c r="D5012" s="2" t="str">
        <f>IFERROR(__xludf.DUMMYFUNCTION("""COMPUTED_VALUE"""),"PP661-22984")</f>
        <v>PP661-22984</v>
      </c>
      <c r="E5012" s="2" t="str">
        <f>IFERROR(__xludf.DUMMYFUNCTION("""COMPUTED_VALUE"""),"Blue, 128 GB, iPhone 13, ROW, CI/AR, Philippines")</f>
        <v>Blue, 128 GB, iPhone 13, ROW, CI/AR, Philippines</v>
      </c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</row>
    <row r="5013">
      <c r="A5013" s="10" t="str">
        <f t="shared" si="1"/>
        <v>February</v>
      </c>
      <c r="B5013" s="11">
        <f>IFERROR(__xludf.DUMMYFUNCTION("""COMPUTED_VALUE"""),46060.0)</f>
        <v>46060</v>
      </c>
      <c r="C5013" s="2" t="str">
        <f>IFERROR(__xludf.DUMMYFUNCTION("""COMPUTED_VALUE"""),"MOBILECARE - SM MARIKINA")</f>
        <v>MOBILECARE - SM MARIKINA</v>
      </c>
      <c r="D5013" s="2" t="str">
        <f>IFERROR(__xludf.DUMMYFUNCTION("""COMPUTED_VALUE"""),"PP661-22986")</f>
        <v>PP661-22986</v>
      </c>
      <c r="E5013" s="2" t="str">
        <f>IFERROR(__xludf.DUMMYFUNCTION("""COMPUTED_VALUE"""),"Starlight, 256 GB, iPhone 13, ROW, CI/AR, Philippines")</f>
        <v>Starlight, 256 GB, iPhone 13, ROW, CI/AR, Philippines</v>
      </c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</row>
    <row r="5014">
      <c r="A5014" s="10" t="str">
        <f t="shared" si="1"/>
        <v>January</v>
      </c>
      <c r="B5014" s="11">
        <f>IFERROR(__xludf.DUMMYFUNCTION("""COMPUTED_VALUE"""),46045.0)</f>
        <v>46045</v>
      </c>
      <c r="C5014" s="2" t="str">
        <f>IFERROR(__xludf.DUMMYFUNCTION("""COMPUTED_VALUE"""),"MOBILECARE - SM MARIKINA")</f>
        <v>MOBILECARE - SM MARIKINA</v>
      </c>
      <c r="D5014" s="2" t="str">
        <f>IFERROR(__xludf.DUMMYFUNCTION("""COMPUTED_VALUE"""),"923-10996")</f>
        <v>923-10996</v>
      </c>
      <c r="E5014" s="2" t="str">
        <f>IFERROR(__xludf.DUMMYFUNCTION("""COMPUTED_VALUE"""),"Top Speaker, iPhone 16 Plus, non MMwave")</f>
        <v>Top Speaker, iPhone 16 Plus, non MMwave</v>
      </c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</row>
    <row r="5015">
      <c r="A5015" s="10" t="str">
        <f t="shared" si="1"/>
        <v>January</v>
      </c>
      <c r="B5015" s="11">
        <f>IFERROR(__xludf.DUMMYFUNCTION("""COMPUTED_VALUE"""),46045.0)</f>
        <v>46045</v>
      </c>
      <c r="C5015" s="2" t="str">
        <f>IFERROR(__xludf.DUMMYFUNCTION("""COMPUTED_VALUE"""),"MOBILECARE - SM MARIKINA")</f>
        <v>MOBILECARE - SM MARIKINA</v>
      </c>
      <c r="D5015" s="2" t="str">
        <f>IFERROR(__xludf.DUMMYFUNCTION("""COMPUTED_VALUE"""),"661-30393")</f>
        <v>661-30393</v>
      </c>
      <c r="E5015" s="2" t="str">
        <f>IFERROR(__xludf.DUMMYFUNCTION("""COMPUTED_VALUE"""),"Camera, iPhone 14 Plus")</f>
        <v>Camera, iPhone 14 Plus</v>
      </c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</row>
    <row r="5016">
      <c r="A5016" s="10" t="str">
        <f t="shared" si="1"/>
        <v>January</v>
      </c>
      <c r="B5016" s="11">
        <f>IFERROR(__xludf.DUMMYFUNCTION("""COMPUTED_VALUE"""),46043.0)</f>
        <v>46043</v>
      </c>
      <c r="C5016" s="2" t="str">
        <f>IFERROR(__xludf.DUMMYFUNCTION("""COMPUTED_VALUE"""),"MOBILECARE - SM MARIKINA")</f>
        <v>MOBILECARE - SM MARIKINA</v>
      </c>
      <c r="D5016" s="2" t="str">
        <f>IFERROR(__xludf.DUMMYFUNCTION("""COMPUTED_VALUE"""),"661-21993")</f>
        <v>661-21993</v>
      </c>
      <c r="E5016" s="2" t="str">
        <f>IFERROR(__xludf.DUMMYFUNCTION("""COMPUTED_VALUE"""),"Display, iPhone 13 Pro")</f>
        <v>Display, iPhone 13 Pro</v>
      </c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</row>
    <row r="5017">
      <c r="A5017" s="10" t="str">
        <f t="shared" si="1"/>
        <v>June</v>
      </c>
      <c r="B5017" s="11">
        <f>IFERROR(__xludf.DUMMYFUNCTION("""COMPUTED_VALUE"""),46193.0)</f>
        <v>46193</v>
      </c>
      <c r="C5017" s="2" t="str">
        <f>IFERROR(__xludf.DUMMYFUNCTION("""COMPUTED_VALUE"""),"MOBILECARE - SM MARIKINA")</f>
        <v>MOBILECARE - SM MARIKINA</v>
      </c>
      <c r="D5017" s="2" t="str">
        <f>IFERROR(__xludf.DUMMYFUNCTION("""COMPUTED_VALUE"""),"661-21991")</f>
        <v>661-21991</v>
      </c>
      <c r="E5017" s="2" t="str">
        <f>IFERROR(__xludf.DUMMYFUNCTION("""COMPUTED_VALUE"""),"Battery, iPhone 13")</f>
        <v>Battery, iPhone 13</v>
      </c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</row>
    <row r="5018">
      <c r="A5018" s="10" t="str">
        <f t="shared" si="1"/>
        <v>May</v>
      </c>
      <c r="B5018" s="11">
        <f>IFERROR(__xludf.DUMMYFUNCTION("""COMPUTED_VALUE"""),46150.0)</f>
        <v>46150</v>
      </c>
      <c r="C5018" s="2" t="str">
        <f>IFERROR(__xludf.DUMMYFUNCTION("""COMPUTED_VALUE"""),"MOBILECARE - SM MARIKINA")</f>
        <v>MOBILECARE - SM MARIKINA</v>
      </c>
      <c r="D5018" s="2" t="str">
        <f>IFERROR(__xludf.DUMMYFUNCTION("""COMPUTED_VALUE"""),"661-30393")</f>
        <v>661-30393</v>
      </c>
      <c r="E5018" s="2" t="str">
        <f>IFERROR(__xludf.DUMMYFUNCTION("""COMPUTED_VALUE"""),"Camera, iPhone 14 Plus")</f>
        <v>Camera, iPhone 14 Plus</v>
      </c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</row>
    <row r="5019">
      <c r="A5019" s="10" t="str">
        <f t="shared" si="1"/>
        <v>April</v>
      </c>
      <c r="B5019" s="11">
        <f>IFERROR(__xludf.DUMMYFUNCTION("""COMPUTED_VALUE"""),46142.0)</f>
        <v>46142</v>
      </c>
      <c r="C5019" s="2" t="str">
        <f>IFERROR(__xludf.DUMMYFUNCTION("""COMPUTED_VALUE"""),"MOBILECARE - SM MARIKINA")</f>
        <v>MOBILECARE - SM MARIKINA</v>
      </c>
      <c r="D5019" s="2" t="str">
        <f>IFERROR(__xludf.DUMMYFUNCTION("""COMPUTED_VALUE"""),"661-21991")</f>
        <v>661-21991</v>
      </c>
      <c r="E5019" s="2" t="str">
        <f>IFERROR(__xludf.DUMMYFUNCTION("""COMPUTED_VALUE"""),"Battery, iPhone 13")</f>
        <v>Battery, iPhone 13</v>
      </c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</row>
    <row r="5020">
      <c r="A5020" s="10" t="str">
        <f t="shared" si="1"/>
        <v>May</v>
      </c>
      <c r="B5020" s="11">
        <f>IFERROR(__xludf.DUMMYFUNCTION("""COMPUTED_VALUE"""),46149.0)</f>
        <v>46149</v>
      </c>
      <c r="C5020" s="2" t="str">
        <f>IFERROR(__xludf.DUMMYFUNCTION("""COMPUTED_VALUE"""),"MOBILECARE - SM MARIKINA")</f>
        <v>MOBILECARE - SM MARIKINA</v>
      </c>
      <c r="D5020" s="2" t="str">
        <f>IFERROR(__xludf.DUMMYFUNCTION("""COMPUTED_VALUE"""),"661-21991")</f>
        <v>661-21991</v>
      </c>
      <c r="E5020" s="2" t="str">
        <f>IFERROR(__xludf.DUMMYFUNCTION("""COMPUTED_VALUE"""),"Battery, iPhone 13")</f>
        <v>Battery, iPhone 13</v>
      </c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</row>
    <row r="5021">
      <c r="A5021" s="10" t="str">
        <f t="shared" si="1"/>
        <v>April</v>
      </c>
      <c r="B5021" s="11">
        <f>IFERROR(__xludf.DUMMYFUNCTION("""COMPUTED_VALUE"""),46132.0)</f>
        <v>46132</v>
      </c>
      <c r="C5021" s="2" t="str">
        <f>IFERROR(__xludf.DUMMYFUNCTION("""COMPUTED_VALUE"""),"MOBILECARE - SM MARIKINA")</f>
        <v>MOBILECARE - SM MARIKINA</v>
      </c>
      <c r="D5021" s="2" t="str">
        <f>IFERROR(__xludf.DUMMYFUNCTION("""COMPUTED_VALUE"""),"661-22309")</f>
        <v>661-22309</v>
      </c>
      <c r="E5021" s="2" t="str">
        <f>IFERROR(__xludf.DUMMYFUNCTION("""COMPUTED_VALUE"""),"Display, iPhone 13 Pro Max")</f>
        <v>Display, iPhone 13 Pro Max</v>
      </c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</row>
    <row r="5022">
      <c r="A5022" s="10" t="str">
        <f t="shared" si="1"/>
        <v>March</v>
      </c>
      <c r="B5022" s="11">
        <f>IFERROR(__xludf.DUMMYFUNCTION("""COMPUTED_VALUE"""),46109.0)</f>
        <v>46109</v>
      </c>
      <c r="C5022" s="2" t="str">
        <f>IFERROR(__xludf.DUMMYFUNCTION("""COMPUTED_VALUE"""),"MOBILECARE - SM MARIKINA")</f>
        <v>MOBILECARE - SM MARIKINA</v>
      </c>
      <c r="D5022" s="2" t="str">
        <f>IFERROR(__xludf.DUMMYFUNCTION("""COMPUTED_VALUE"""),"661-56066")</f>
        <v>661-56066</v>
      </c>
      <c r="E5022" s="2" t="str">
        <f>IFERROR(__xludf.DUMMYFUNCTION("""COMPUTED_VALUE"""),"Front Camera, iPhone 17")</f>
        <v>Front Camera, iPhone 17</v>
      </c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</row>
    <row r="5023">
      <c r="A5023" s="10" t="str">
        <f t="shared" si="1"/>
        <v>March</v>
      </c>
      <c r="B5023" s="11">
        <f>IFERROR(__xludf.DUMMYFUNCTION("""COMPUTED_VALUE"""),46086.0)</f>
        <v>46086</v>
      </c>
      <c r="C5023" s="2" t="str">
        <f>IFERROR(__xludf.DUMMYFUNCTION("""COMPUTED_VALUE"""),"MOBILECARE - SM MARIKINA")</f>
        <v>MOBILECARE - SM MARIKINA</v>
      </c>
      <c r="D5023" s="2" t="str">
        <f>IFERROR(__xludf.DUMMYFUNCTION("""COMPUTED_VALUE"""),"661-30370")</f>
        <v>661-30370</v>
      </c>
      <c r="E5023" s="2" t="str">
        <f>IFERROR(__xludf.DUMMYFUNCTION("""COMPUTED_VALUE"""),"Camera, iPhone 14")</f>
        <v>Camera, iPhone 14</v>
      </c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</row>
    <row r="5024">
      <c r="A5024" s="10" t="str">
        <f t="shared" si="1"/>
        <v>February</v>
      </c>
      <c r="B5024" s="11">
        <f>IFERROR(__xludf.DUMMYFUNCTION("""COMPUTED_VALUE"""),46069.0)</f>
        <v>46069</v>
      </c>
      <c r="C5024" s="2" t="str">
        <f>IFERROR(__xludf.DUMMYFUNCTION("""COMPUTED_VALUE"""),"MOBILECARE - SM MARIKINA")</f>
        <v>MOBILECARE - SM MARIKINA</v>
      </c>
      <c r="D5024" s="2" t="str">
        <f>IFERROR(__xludf.DUMMYFUNCTION("""COMPUTED_VALUE"""),"661-30397")</f>
        <v>661-30397</v>
      </c>
      <c r="E5024" s="2" t="str">
        <f>IFERROR(__xludf.DUMMYFUNCTION("""COMPUTED_VALUE"""),"Battery, iPhone 14 Pro Max")</f>
        <v>Battery, iPhone 14 Pro Max</v>
      </c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</row>
    <row r="5025">
      <c r="A5025" s="10" t="str">
        <f t="shared" si="1"/>
        <v>February</v>
      </c>
      <c r="B5025" s="11">
        <f>IFERROR(__xludf.DUMMYFUNCTION("""COMPUTED_VALUE"""),46057.0)</f>
        <v>46057</v>
      </c>
      <c r="C5025" s="2" t="str">
        <f>IFERROR(__xludf.DUMMYFUNCTION("""COMPUTED_VALUE"""),"MOBILECARE - SM MARIKINA")</f>
        <v>MOBILECARE - SM MARIKINA</v>
      </c>
      <c r="D5025" s="2" t="str">
        <f>IFERROR(__xludf.DUMMYFUNCTION("""COMPUTED_VALUE"""),"661-21988")</f>
        <v>661-21988</v>
      </c>
      <c r="E5025" s="2" t="str">
        <f>IFERROR(__xludf.DUMMYFUNCTION("""COMPUTED_VALUE"""),"Display, iPhone 13")</f>
        <v>Display, iPhone 13</v>
      </c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</row>
    <row r="5026">
      <c r="A5026" s="10" t="str">
        <f t="shared" si="1"/>
        <v>January</v>
      </c>
      <c r="B5026" s="11">
        <f>IFERROR(__xludf.DUMMYFUNCTION("""COMPUTED_VALUE"""),46045.0)</f>
        <v>46045</v>
      </c>
      <c r="C5026" s="2" t="str">
        <f>IFERROR(__xludf.DUMMYFUNCTION("""COMPUTED_VALUE"""),"MOBILECARE - SM MARIKINA")</f>
        <v>MOBILECARE - SM MARIKINA</v>
      </c>
      <c r="D5026" s="2" t="str">
        <f>IFERROR(__xludf.DUMMYFUNCTION("""COMPUTED_VALUE"""),"661-21991")</f>
        <v>661-21991</v>
      </c>
      <c r="E5026" s="2" t="str">
        <f>IFERROR(__xludf.DUMMYFUNCTION("""COMPUTED_VALUE"""),"Battery, iPhone 13")</f>
        <v>Battery, iPhone 13</v>
      </c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</row>
    <row r="5027">
      <c r="A5027" s="10" t="str">
        <f t="shared" si="1"/>
        <v>June</v>
      </c>
      <c r="B5027" s="11">
        <f>IFERROR(__xludf.DUMMYFUNCTION("""COMPUTED_VALUE"""),46191.0)</f>
        <v>46191</v>
      </c>
      <c r="C5027" s="2" t="str">
        <f>IFERROR(__xludf.DUMMYFUNCTION("""COMPUTED_VALUE"""),"MOBILECARE - SM MARIKINA")</f>
        <v>MOBILECARE - SM MARIKINA</v>
      </c>
      <c r="D5027" s="2" t="str">
        <f>IFERROR(__xludf.DUMMYFUNCTION("""COMPUTED_VALUE"""),"661-22309")</f>
        <v>661-22309</v>
      </c>
      <c r="E5027" s="2" t="str">
        <f>IFERROR(__xludf.DUMMYFUNCTION("""COMPUTED_VALUE"""),"Display, iPhone 13 Pro Max")</f>
        <v>Display, iPhone 13 Pro Max</v>
      </c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</row>
    <row r="5028">
      <c r="A5028" s="10" t="str">
        <f t="shared" si="1"/>
        <v>May</v>
      </c>
      <c r="B5028" s="11">
        <f>IFERROR(__xludf.DUMMYFUNCTION("""COMPUTED_VALUE"""),46165.0)</f>
        <v>46165</v>
      </c>
      <c r="C5028" s="2" t="str">
        <f>IFERROR(__xludf.DUMMYFUNCTION("""COMPUTED_VALUE"""),"MOBILECARE - SM MARIKINA")</f>
        <v>MOBILECARE - SM MARIKINA</v>
      </c>
      <c r="D5028" s="2" t="str">
        <f>IFERROR(__xludf.DUMMYFUNCTION("""COMPUTED_VALUE"""),"661-44956")</f>
        <v>661-44956</v>
      </c>
      <c r="E5028" s="2" t="str">
        <f>IFERROR(__xludf.DUMMYFUNCTION("""COMPUTED_VALUE"""),"TrueDepth Camera, iPhone 16 Pro Max")</f>
        <v>TrueDepth Camera, iPhone 16 Pro Max</v>
      </c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</row>
    <row r="5029">
      <c r="A5029" s="10" t="str">
        <f t="shared" si="1"/>
        <v>April</v>
      </c>
      <c r="B5029" s="11">
        <f>IFERROR(__xludf.DUMMYFUNCTION("""COMPUTED_VALUE"""),46141.0)</f>
        <v>46141</v>
      </c>
      <c r="C5029" s="2" t="str">
        <f>IFERROR(__xludf.DUMMYFUNCTION("""COMPUTED_VALUE"""),"MOBILECARE - SM MARIKINA")</f>
        <v>MOBILECARE - SM MARIKINA</v>
      </c>
      <c r="D5029" s="2" t="str">
        <f>IFERROR(__xludf.DUMMYFUNCTION("""COMPUTED_VALUE"""),"661-22309")</f>
        <v>661-22309</v>
      </c>
      <c r="E5029" s="2" t="str">
        <f>IFERROR(__xludf.DUMMYFUNCTION("""COMPUTED_VALUE"""),"Display, iPhone 13 Pro Max")</f>
        <v>Display, iPhone 13 Pro Max</v>
      </c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</row>
    <row r="5030">
      <c r="A5030" s="10" t="str">
        <f t="shared" si="1"/>
        <v>April</v>
      </c>
      <c r="B5030" s="11">
        <f>IFERROR(__xludf.DUMMYFUNCTION("""COMPUTED_VALUE"""),46137.0)</f>
        <v>46137</v>
      </c>
      <c r="C5030" s="2" t="str">
        <f>IFERROR(__xludf.DUMMYFUNCTION("""COMPUTED_VALUE"""),"MOBILECARE - SM MARIKINA")</f>
        <v>MOBILECARE - SM MARIKINA</v>
      </c>
      <c r="D5030" s="2" t="str">
        <f>IFERROR(__xludf.DUMMYFUNCTION("""COMPUTED_VALUE"""),"661-18428")</f>
        <v>661-18428</v>
      </c>
      <c r="E5030" s="2" t="str">
        <f>IFERROR(__xludf.DUMMYFUNCTION("""COMPUTED_VALUE"""),"Battery, iPhone 12 Pro Max")</f>
        <v>Battery, iPhone 12 Pro Max</v>
      </c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</row>
    <row r="5031">
      <c r="A5031" s="10" t="str">
        <f t="shared" si="1"/>
        <v>April</v>
      </c>
      <c r="B5031" s="11">
        <f>IFERROR(__xludf.DUMMYFUNCTION("""COMPUTED_VALUE"""),46135.0)</f>
        <v>46135</v>
      </c>
      <c r="C5031" s="2" t="str">
        <f>IFERROR(__xludf.DUMMYFUNCTION("""COMPUTED_VALUE"""),"MOBILECARE - SM MARIKINA")</f>
        <v>MOBILECARE - SM MARIKINA</v>
      </c>
      <c r="D5031" s="2" t="str">
        <f>IFERROR(__xludf.DUMMYFUNCTION("""COMPUTED_VALUE"""),"661-30366")</f>
        <v>661-30366</v>
      </c>
      <c r="E5031" s="2" t="str">
        <f>IFERROR(__xludf.DUMMYFUNCTION("""COMPUTED_VALUE"""),"Display, iPhone 14")</f>
        <v>Display, iPhone 14</v>
      </c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</row>
    <row r="5032">
      <c r="A5032" s="10" t="str">
        <f t="shared" si="1"/>
        <v>April</v>
      </c>
      <c r="B5032" s="11">
        <f>IFERROR(__xludf.DUMMYFUNCTION("""COMPUTED_VALUE"""),46135.0)</f>
        <v>46135</v>
      </c>
      <c r="C5032" s="2" t="str">
        <f>IFERROR(__xludf.DUMMYFUNCTION("""COMPUTED_VALUE"""),"MOBILECARE - SM MARIKINA")</f>
        <v>MOBILECARE - SM MARIKINA</v>
      </c>
      <c r="D5032" s="2" t="str">
        <f>IFERROR(__xludf.DUMMYFUNCTION("""COMPUTED_VALUE"""),"923-08211")</f>
        <v>923-08211</v>
      </c>
      <c r="E5032" s="2" t="str">
        <f>IFERROR(__xludf.DUMMYFUNCTION("""COMPUTED_VALUE"""),"Top Speaker, iPhone 14")</f>
        <v>Top Speaker, iPhone 14</v>
      </c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</row>
    <row r="5033">
      <c r="A5033" s="10" t="str">
        <f t="shared" si="1"/>
        <v>February</v>
      </c>
      <c r="B5033" s="11">
        <f>IFERROR(__xludf.DUMMYFUNCTION("""COMPUTED_VALUE"""),46078.0)</f>
        <v>46078</v>
      </c>
      <c r="C5033" s="2" t="str">
        <f>IFERROR(__xludf.DUMMYFUNCTION("""COMPUTED_VALUE"""),"MOBILECARE - SM MARIKINA")</f>
        <v>MOBILECARE - SM MARIKINA</v>
      </c>
      <c r="D5033" s="2" t="str">
        <f>IFERROR(__xludf.DUMMYFUNCTION("""COMPUTED_VALUE"""),"661-22309")</f>
        <v>661-22309</v>
      </c>
      <c r="E5033" s="2" t="str">
        <f>IFERROR(__xludf.DUMMYFUNCTION("""COMPUTED_VALUE"""),"Display, iPhone 13 Pro Max")</f>
        <v>Display, iPhone 13 Pro Max</v>
      </c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</row>
    <row r="5034">
      <c r="A5034" s="10" t="str">
        <f t="shared" si="1"/>
        <v>February</v>
      </c>
      <c r="B5034" s="11">
        <f>IFERROR(__xludf.DUMMYFUNCTION("""COMPUTED_VALUE"""),46069.0)</f>
        <v>46069</v>
      </c>
      <c r="C5034" s="2" t="str">
        <f>IFERROR(__xludf.DUMMYFUNCTION("""COMPUTED_VALUE"""),"MOBILECARE - SM MARIKINA")</f>
        <v>MOBILECARE - SM MARIKINA</v>
      </c>
      <c r="D5034" s="2" t="str">
        <f>IFERROR(__xludf.DUMMYFUNCTION("""COMPUTED_VALUE"""),"661-21991")</f>
        <v>661-21991</v>
      </c>
      <c r="E5034" s="2" t="str">
        <f>IFERROR(__xludf.DUMMYFUNCTION("""COMPUTED_VALUE"""),"Battery, iPhone 13")</f>
        <v>Battery, iPhone 13</v>
      </c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</row>
    <row r="5035">
      <c r="A5035" s="10" t="str">
        <f t="shared" si="1"/>
        <v>January</v>
      </c>
      <c r="B5035" s="11">
        <f>IFERROR(__xludf.DUMMYFUNCTION("""COMPUTED_VALUE"""),46053.0)</f>
        <v>46053</v>
      </c>
      <c r="C5035" s="2" t="str">
        <f>IFERROR(__xludf.DUMMYFUNCTION("""COMPUTED_VALUE"""),"MOBILECARE - SM MARIKINA")</f>
        <v>MOBILECARE - SM MARIKINA</v>
      </c>
      <c r="D5035" s="2" t="str">
        <f>IFERROR(__xludf.DUMMYFUNCTION("""COMPUTED_VALUE"""),"661-56050")</f>
        <v>661-56050</v>
      </c>
      <c r="E5035" s="2" t="str">
        <f>IFERROR(__xludf.DUMMYFUNCTION("""COMPUTED_VALUE"""),"Display, iPhone 17 Pro Max")</f>
        <v>Display, iPhone 17 Pro Max</v>
      </c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</row>
    <row r="5036">
      <c r="A5036" s="10" t="str">
        <f t="shared" si="1"/>
        <v>January</v>
      </c>
      <c r="B5036" s="11">
        <f>IFERROR(__xludf.DUMMYFUNCTION("""COMPUTED_VALUE"""),46044.0)</f>
        <v>46044</v>
      </c>
      <c r="C5036" s="2" t="str">
        <f>IFERROR(__xludf.DUMMYFUNCTION("""COMPUTED_VALUE"""),"MOBILECARE - SM MARIKINA")</f>
        <v>MOBILECARE - SM MARIKINA</v>
      </c>
      <c r="D5036" s="2" t="str">
        <f>IFERROR(__xludf.DUMMYFUNCTION("""COMPUTED_VALUE"""),"661-22309")</f>
        <v>661-22309</v>
      </c>
      <c r="E5036" s="2" t="str">
        <f>IFERROR(__xludf.DUMMYFUNCTION("""COMPUTED_VALUE"""),"Display, iPhone 13 Pro Max")</f>
        <v>Display, iPhone 13 Pro Max</v>
      </c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</row>
    <row r="5037">
      <c r="A5037" s="10" t="str">
        <f t="shared" si="1"/>
        <v>May</v>
      </c>
      <c r="B5037" s="11">
        <f>IFERROR(__xludf.DUMMYFUNCTION("""COMPUTED_VALUE"""),46163.0)</f>
        <v>46163</v>
      </c>
      <c r="C5037" s="2" t="str">
        <f>IFERROR(__xludf.DUMMYFUNCTION("""COMPUTED_VALUE"""),"MOBILECARE - SM MARIKINA")</f>
        <v>MOBILECARE - SM MARIKINA</v>
      </c>
      <c r="D5037" s="2" t="str">
        <f>IFERROR(__xludf.DUMMYFUNCTION("""COMPUTED_VALUE"""),"661-42726")</f>
        <v>661-42726</v>
      </c>
      <c r="E5037" s="2" t="str">
        <f>IFERROR(__xludf.DUMMYFUNCTION("""COMPUTED_VALUE"""),"Display, iPhone 16 Pro")</f>
        <v>Display, iPhone 16 Pro</v>
      </c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</row>
    <row r="5038">
      <c r="A5038" s="10" t="str">
        <f t="shared" si="1"/>
        <v>April</v>
      </c>
      <c r="B5038" s="11">
        <f>IFERROR(__xludf.DUMMYFUNCTION("""COMPUTED_VALUE"""),46139.0)</f>
        <v>46139</v>
      </c>
      <c r="C5038" s="2" t="str">
        <f>IFERROR(__xludf.DUMMYFUNCTION("""COMPUTED_VALUE"""),"MOBILECARE - SM MARIKINA")</f>
        <v>MOBILECARE - SM MARIKINA</v>
      </c>
      <c r="D5038" s="2" t="str">
        <f>IFERROR(__xludf.DUMMYFUNCTION("""COMPUTED_VALUE"""),"661-22294")</f>
        <v>661-22294</v>
      </c>
      <c r="E5038" s="2" t="str">
        <f>IFERROR(__xludf.DUMMYFUNCTION("""COMPUTED_VALUE"""),"Battery, iPhone 13 Pro Max")</f>
        <v>Battery, iPhone 13 Pro Max</v>
      </c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</row>
    <row r="5039">
      <c r="A5039" s="10" t="str">
        <f t="shared" si="1"/>
        <v>April</v>
      </c>
      <c r="B5039" s="11">
        <f>IFERROR(__xludf.DUMMYFUNCTION("""COMPUTED_VALUE"""),46132.0)</f>
        <v>46132</v>
      </c>
      <c r="C5039" s="2" t="str">
        <f>IFERROR(__xludf.DUMMYFUNCTION("""COMPUTED_VALUE"""),"MOBILECARE - SM MARIKINA")</f>
        <v>MOBILECARE - SM MARIKINA</v>
      </c>
      <c r="D5039" s="2" t="str">
        <f>IFERROR(__xludf.DUMMYFUNCTION("""COMPUTED_VALUE"""),"661-18428")</f>
        <v>661-18428</v>
      </c>
      <c r="E5039" s="2" t="str">
        <f>IFERROR(__xludf.DUMMYFUNCTION("""COMPUTED_VALUE"""),"Battery, iPhone 12 Pro Max")</f>
        <v>Battery, iPhone 12 Pro Max</v>
      </c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</row>
    <row r="5040">
      <c r="A5040" s="10" t="str">
        <f t="shared" si="1"/>
        <v>April</v>
      </c>
      <c r="B5040" s="11">
        <f>IFERROR(__xludf.DUMMYFUNCTION("""COMPUTED_VALUE"""),46121.0)</f>
        <v>46121</v>
      </c>
      <c r="C5040" s="2" t="str">
        <f>IFERROR(__xludf.DUMMYFUNCTION("""COMPUTED_VALUE"""),"MOBILECARE - SM MARIKINA")</f>
        <v>MOBILECARE - SM MARIKINA</v>
      </c>
      <c r="D5040" s="2" t="str">
        <f>IFERROR(__xludf.DUMMYFUNCTION("""COMPUTED_VALUE"""),"661-44956")</f>
        <v>661-44956</v>
      </c>
      <c r="E5040" s="2" t="str">
        <f>IFERROR(__xludf.DUMMYFUNCTION("""COMPUTED_VALUE"""),"TrueDepth Camera, iPhone 16 Pro Max")</f>
        <v>TrueDepth Camera, iPhone 16 Pro Max</v>
      </c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</row>
    <row r="5041">
      <c r="A5041" s="10" t="str">
        <f t="shared" si="1"/>
        <v>March</v>
      </c>
      <c r="B5041" s="11">
        <f>IFERROR(__xludf.DUMMYFUNCTION("""COMPUTED_VALUE"""),46106.0)</f>
        <v>46106</v>
      </c>
      <c r="C5041" s="2" t="str">
        <f>IFERROR(__xludf.DUMMYFUNCTION("""COMPUTED_VALUE"""),"MOBILECARE - SM MARIKINA")</f>
        <v>MOBILECARE - SM MARIKINA</v>
      </c>
      <c r="D5041" s="2" t="str">
        <f>IFERROR(__xludf.DUMMYFUNCTION("""COMPUTED_VALUE"""),"661-21991")</f>
        <v>661-21991</v>
      </c>
      <c r="E5041" s="2" t="str">
        <f>IFERROR(__xludf.DUMMYFUNCTION("""COMPUTED_VALUE"""),"Battery, iPhone 13")</f>
        <v>Battery, iPhone 13</v>
      </c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</row>
    <row r="5042">
      <c r="A5042" s="10" t="str">
        <f t="shared" si="1"/>
        <v>March</v>
      </c>
      <c r="B5042" s="11">
        <f>IFERROR(__xludf.DUMMYFUNCTION("""COMPUTED_VALUE"""),46106.0)</f>
        <v>46106</v>
      </c>
      <c r="C5042" s="2" t="str">
        <f>IFERROR(__xludf.DUMMYFUNCTION("""COMPUTED_VALUE"""),"MOBILECARE - SM MARIKINA")</f>
        <v>MOBILECARE - SM MARIKINA</v>
      </c>
      <c r="D5042" s="2" t="str">
        <f>IFERROR(__xludf.DUMMYFUNCTION("""COMPUTED_VALUE"""),"PP661-22981")</f>
        <v>PP661-22981</v>
      </c>
      <c r="E5042" s="2" t="str">
        <f>IFERROR(__xludf.DUMMYFUNCTION("""COMPUTED_VALUE"""),"Starlight, 128 GB, iPhone 13, ROW, CI/AR, Philippines")</f>
        <v>Starlight, 128 GB, iPhone 13, ROW, CI/AR, Philippines</v>
      </c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</row>
    <row r="5043">
      <c r="A5043" s="10" t="str">
        <f t="shared" si="1"/>
        <v>March</v>
      </c>
      <c r="B5043" s="11">
        <f>IFERROR(__xludf.DUMMYFUNCTION("""COMPUTED_VALUE"""),46107.0)</f>
        <v>46107</v>
      </c>
      <c r="C5043" s="2" t="str">
        <f>IFERROR(__xludf.DUMMYFUNCTION("""COMPUTED_VALUE"""),"MOBILECARE - SM MARIKINA")</f>
        <v>MOBILECARE - SM MARIKINA</v>
      </c>
      <c r="D5043" s="2" t="str">
        <f>IFERROR(__xludf.DUMMYFUNCTION("""COMPUTED_VALUE"""),"661-13574")</f>
        <v>661-13574</v>
      </c>
      <c r="E5043" s="2" t="str">
        <f>IFERROR(__xludf.DUMMYFUNCTION("""COMPUTED_VALUE"""),"Battery, iPhone 11")</f>
        <v>Battery, iPhone 11</v>
      </c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</row>
    <row r="5044">
      <c r="A5044" s="10" t="str">
        <f t="shared" si="1"/>
        <v>February</v>
      </c>
      <c r="B5044" s="11">
        <f>IFERROR(__xludf.DUMMYFUNCTION("""COMPUTED_VALUE"""),46081.0)</f>
        <v>46081</v>
      </c>
      <c r="C5044" s="2" t="str">
        <f>IFERROR(__xludf.DUMMYFUNCTION("""COMPUTED_VALUE"""),"MOBILECARE - SM MARIKINA")</f>
        <v>MOBILECARE - SM MARIKINA</v>
      </c>
      <c r="D5044" s="2" t="str">
        <f>IFERROR(__xludf.DUMMYFUNCTION("""COMPUTED_VALUE"""),"661-30397")</f>
        <v>661-30397</v>
      </c>
      <c r="E5044" s="2" t="str">
        <f>IFERROR(__xludf.DUMMYFUNCTION("""COMPUTED_VALUE"""),"Battery, iPhone 14 Pro Max")</f>
        <v>Battery, iPhone 14 Pro Max</v>
      </c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</row>
    <row r="5045">
      <c r="A5045" s="10" t="str">
        <f t="shared" si="1"/>
        <v>February</v>
      </c>
      <c r="B5045" s="11">
        <f>IFERROR(__xludf.DUMMYFUNCTION("""COMPUTED_VALUE"""),46081.0)</f>
        <v>46081</v>
      </c>
      <c r="C5045" s="2" t="str">
        <f>IFERROR(__xludf.DUMMYFUNCTION("""COMPUTED_VALUE"""),"MOBILECARE - SM MARIKINA")</f>
        <v>MOBILECARE - SM MARIKINA</v>
      </c>
      <c r="D5045" s="2" t="str">
        <f>IFERROR(__xludf.DUMMYFUNCTION("""COMPUTED_VALUE"""),"661-30401")</f>
        <v>661-30401</v>
      </c>
      <c r="E5045" s="2" t="str">
        <f>IFERROR(__xludf.DUMMYFUNCTION("""COMPUTED_VALUE"""),"Display, iPhone 14 Pro Max")</f>
        <v>Display, iPhone 14 Pro Max</v>
      </c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</row>
    <row r="5046">
      <c r="A5046" s="10" t="str">
        <f t="shared" si="1"/>
        <v>February</v>
      </c>
      <c r="B5046" s="11">
        <f>IFERROR(__xludf.DUMMYFUNCTION("""COMPUTED_VALUE"""),46075.0)</f>
        <v>46075</v>
      </c>
      <c r="C5046" s="2" t="str">
        <f>IFERROR(__xludf.DUMMYFUNCTION("""COMPUTED_VALUE"""),"MOBILECARE - SM MARIKINA")</f>
        <v>MOBILECARE - SM MARIKINA</v>
      </c>
      <c r="D5046" s="2" t="str">
        <f>IFERROR(__xludf.DUMMYFUNCTION("""COMPUTED_VALUE"""),"PP661-22984")</f>
        <v>PP661-22984</v>
      </c>
      <c r="E5046" s="2" t="str">
        <f>IFERROR(__xludf.DUMMYFUNCTION("""COMPUTED_VALUE"""),"Blue, 128 GB, iPhone 13, ROW, CI/AR, Philippines")</f>
        <v>Blue, 128 GB, iPhone 13, ROW, CI/AR, Philippines</v>
      </c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</row>
    <row r="5047">
      <c r="A5047" s="10" t="str">
        <f t="shared" si="1"/>
        <v>February</v>
      </c>
      <c r="B5047" s="11">
        <f>IFERROR(__xludf.DUMMYFUNCTION("""COMPUTED_VALUE"""),46062.0)</f>
        <v>46062</v>
      </c>
      <c r="C5047" s="2" t="str">
        <f>IFERROR(__xludf.DUMMYFUNCTION("""COMPUTED_VALUE"""),"MOBILECARE - SM MARIKINA")</f>
        <v>MOBILECARE - SM MARIKINA</v>
      </c>
      <c r="D5047" s="2" t="str">
        <f>IFERROR(__xludf.DUMMYFUNCTION("""COMPUTED_VALUE"""),"661-22309")</f>
        <v>661-22309</v>
      </c>
      <c r="E5047" s="2" t="str">
        <f>IFERROR(__xludf.DUMMYFUNCTION("""COMPUTED_VALUE"""),"Display, iPhone 13 Pro Max")</f>
        <v>Display, iPhone 13 Pro Max</v>
      </c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</row>
    <row r="5048">
      <c r="A5048" s="10" t="str">
        <f t="shared" si="1"/>
        <v>January</v>
      </c>
      <c r="B5048" s="11">
        <f>IFERROR(__xludf.DUMMYFUNCTION("""COMPUTED_VALUE"""),46047.0)</f>
        <v>46047</v>
      </c>
      <c r="C5048" s="2" t="str">
        <f>IFERROR(__xludf.DUMMYFUNCTION("""COMPUTED_VALUE"""),"MOBILECARE - SM MARIKINA")</f>
        <v>MOBILECARE - SM MARIKINA</v>
      </c>
      <c r="D5048" s="2" t="str">
        <f>IFERROR(__xludf.DUMMYFUNCTION("""COMPUTED_VALUE"""),"661-22309")</f>
        <v>661-22309</v>
      </c>
      <c r="E5048" s="2" t="str">
        <f>IFERROR(__xludf.DUMMYFUNCTION("""COMPUTED_VALUE"""),"Display, iPhone 13 Pro Max")</f>
        <v>Display, iPhone 13 Pro Max</v>
      </c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</row>
    <row r="5049">
      <c r="A5049" s="10" t="str">
        <f t="shared" si="1"/>
        <v>June</v>
      </c>
      <c r="B5049" s="11">
        <f>IFERROR(__xludf.DUMMYFUNCTION("""COMPUTED_VALUE"""),46177.0)</f>
        <v>46177</v>
      </c>
      <c r="C5049" s="2" t="str">
        <f>IFERROR(__xludf.DUMMYFUNCTION("""COMPUTED_VALUE"""),"MOBILECARE - SM MARIKINA")</f>
        <v>MOBILECARE - SM MARIKINA</v>
      </c>
      <c r="D5049" s="2" t="str">
        <f>IFERROR(__xludf.DUMMYFUNCTION("""COMPUTED_VALUE"""),"661-21991")</f>
        <v>661-21991</v>
      </c>
      <c r="E5049" s="2" t="str">
        <f>IFERROR(__xludf.DUMMYFUNCTION("""COMPUTED_VALUE"""),"Battery, iPhone 13")</f>
        <v>Battery, iPhone 13</v>
      </c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</row>
    <row r="5050">
      <c r="A5050" s="10" t="str">
        <f t="shared" si="1"/>
        <v>May</v>
      </c>
      <c r="B5050" s="11">
        <f>IFERROR(__xludf.DUMMYFUNCTION("""COMPUTED_VALUE"""),46157.0)</f>
        <v>46157</v>
      </c>
      <c r="C5050" s="2" t="str">
        <f>IFERROR(__xludf.DUMMYFUNCTION("""COMPUTED_VALUE"""),"MOBILECARE - SM MARIKINA")</f>
        <v>MOBILECARE - SM MARIKINA</v>
      </c>
      <c r="D5050" s="2" t="str">
        <f>IFERROR(__xludf.DUMMYFUNCTION("""COMPUTED_VALUE"""),"661-13574")</f>
        <v>661-13574</v>
      </c>
      <c r="E5050" s="2" t="str">
        <f>IFERROR(__xludf.DUMMYFUNCTION("""COMPUTED_VALUE"""),"Battery, iPhone 11")</f>
        <v>Battery, iPhone 11</v>
      </c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</row>
    <row r="5051">
      <c r="A5051" s="10" t="str">
        <f t="shared" si="1"/>
        <v>June</v>
      </c>
      <c r="B5051" s="11">
        <f>IFERROR(__xludf.DUMMYFUNCTION("""COMPUTED_VALUE"""),46190.0)</f>
        <v>46190</v>
      </c>
      <c r="C5051" s="2" t="str">
        <f>IFERROR(__xludf.DUMMYFUNCTION("""COMPUTED_VALUE"""),"MOBILECARE - SM MARIKINA")</f>
        <v>MOBILECARE - SM MARIKINA</v>
      </c>
      <c r="D5051" s="2" t="str">
        <f>IFERROR(__xludf.DUMMYFUNCTION("""COMPUTED_VALUE"""),"TA661-55149")</f>
        <v>TA661-55149</v>
      </c>
      <c r="E5051" s="2" t="str">
        <f>IFERROR(__xludf.DUMMYFUNCTION("""COMPUTED_VALUE"""),"Silver, 256GB, iPhone 17 Pro, ROW, CI/AR, Taiwan")</f>
        <v>Silver, 256GB, iPhone 17 Pro, ROW, CI/AR, Taiwan</v>
      </c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</row>
    <row r="5052">
      <c r="A5052" s="10" t="str">
        <f t="shared" si="1"/>
        <v>April</v>
      </c>
      <c r="B5052" s="11">
        <f>IFERROR(__xludf.DUMMYFUNCTION("""COMPUTED_VALUE"""),46140.0)</f>
        <v>46140</v>
      </c>
      <c r="C5052" s="2" t="str">
        <f>IFERROR(__xludf.DUMMYFUNCTION("""COMPUTED_VALUE"""),"MOBILECARE - SM MARIKINA")</f>
        <v>MOBILECARE - SM MARIKINA</v>
      </c>
      <c r="D5052" s="2" t="str">
        <f>IFERROR(__xludf.DUMMYFUNCTION("""COMPUTED_VALUE"""),"661-44797")</f>
        <v>661-44797</v>
      </c>
      <c r="E5052" s="2" t="str">
        <f>IFERROR(__xludf.DUMMYFUNCTION("""COMPUTED_VALUE"""),"Display, iPhone 16")</f>
        <v>Display, iPhone 16</v>
      </c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</row>
    <row r="5053">
      <c r="A5053" s="10" t="str">
        <f t="shared" si="1"/>
        <v>March</v>
      </c>
      <c r="B5053" s="11">
        <f>IFERROR(__xludf.DUMMYFUNCTION("""COMPUTED_VALUE"""),46106.0)</f>
        <v>46106</v>
      </c>
      <c r="C5053" s="2" t="str">
        <f>IFERROR(__xludf.DUMMYFUNCTION("""COMPUTED_VALUE"""),"MOBILECARE - SM MARIKINA")</f>
        <v>MOBILECARE - SM MARIKINA</v>
      </c>
      <c r="D5053" s="2" t="str">
        <f>IFERROR(__xludf.DUMMYFUNCTION("""COMPUTED_VALUE"""),"661-56065")</f>
        <v>661-56065</v>
      </c>
      <c r="E5053" s="2" t="str">
        <f>IFERROR(__xludf.DUMMYFUNCTION("""COMPUTED_VALUE"""),"Display, iPhone 17")</f>
        <v>Display, iPhone 17</v>
      </c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</row>
    <row r="5054">
      <c r="A5054" s="10" t="str">
        <f t="shared" si="1"/>
        <v>March</v>
      </c>
      <c r="B5054" s="11">
        <f>IFERROR(__xludf.DUMMYFUNCTION("""COMPUTED_VALUE"""),46104.0)</f>
        <v>46104</v>
      </c>
      <c r="C5054" s="2" t="str">
        <f>IFERROR(__xludf.DUMMYFUNCTION("""COMPUTED_VALUE"""),"MOBILECARE - SM MARIKINA")</f>
        <v>MOBILECARE - SM MARIKINA</v>
      </c>
      <c r="D5054" s="2" t="str">
        <f>IFERROR(__xludf.DUMMYFUNCTION("""COMPUTED_VALUE"""),"661-30382")</f>
        <v>661-30382</v>
      </c>
      <c r="E5054" s="2" t="str">
        <f>IFERROR(__xludf.DUMMYFUNCTION("""COMPUTED_VALUE"""),"Battery, iPhone 14 Pro")</f>
        <v>Battery, iPhone 14 Pro</v>
      </c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</row>
    <row r="5055">
      <c r="A5055" s="10" t="str">
        <f t="shared" si="1"/>
        <v>March</v>
      </c>
      <c r="B5055" s="11">
        <f>IFERROR(__xludf.DUMMYFUNCTION("""COMPUTED_VALUE"""),46087.0)</f>
        <v>46087</v>
      </c>
      <c r="C5055" s="2" t="str">
        <f>IFERROR(__xludf.DUMMYFUNCTION("""COMPUTED_VALUE"""),"MOBILECARE - SM MARIKINA")</f>
        <v>MOBILECARE - SM MARIKINA</v>
      </c>
      <c r="D5055" s="2" t="str">
        <f>IFERROR(__xludf.DUMMYFUNCTION("""COMPUTED_VALUE"""),"661-22309")</f>
        <v>661-22309</v>
      </c>
      <c r="E5055" s="2" t="str">
        <f>IFERROR(__xludf.DUMMYFUNCTION("""COMPUTED_VALUE"""),"Display, iPhone 13 Pro Max")</f>
        <v>Display, iPhone 13 Pro Max</v>
      </c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</row>
    <row r="5056">
      <c r="A5056" s="10" t="str">
        <f t="shared" si="1"/>
        <v>February</v>
      </c>
      <c r="B5056" s="11">
        <f>IFERROR(__xludf.DUMMYFUNCTION("""COMPUTED_VALUE"""),46065.0)</f>
        <v>46065</v>
      </c>
      <c r="C5056" s="2" t="str">
        <f>IFERROR(__xludf.DUMMYFUNCTION("""COMPUTED_VALUE"""),"MOBILECARE - SM MARIKINA")</f>
        <v>MOBILECARE - SM MARIKINA</v>
      </c>
      <c r="D5056" s="2" t="str">
        <f>IFERROR(__xludf.DUMMYFUNCTION("""COMPUTED_VALUE"""),"661-22309")</f>
        <v>661-22309</v>
      </c>
      <c r="E5056" s="2" t="str">
        <f>IFERROR(__xludf.DUMMYFUNCTION("""COMPUTED_VALUE"""),"Display, iPhone 13 Pro Max")</f>
        <v>Display, iPhone 13 Pro Max</v>
      </c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</row>
    <row r="5057">
      <c r="A5057" s="10" t="str">
        <f t="shared" si="1"/>
        <v>June</v>
      </c>
      <c r="B5057" s="11">
        <f>IFERROR(__xludf.DUMMYFUNCTION("""COMPUTED_VALUE"""),46186.0)</f>
        <v>46186</v>
      </c>
      <c r="C5057" s="2" t="str">
        <f>IFERROR(__xludf.DUMMYFUNCTION("""COMPUTED_VALUE"""),"MOBILECARE - SM MARIKINA")</f>
        <v>MOBILECARE - SM MARIKINA</v>
      </c>
      <c r="D5057" s="2" t="str">
        <f>IFERROR(__xludf.DUMMYFUNCTION("""COMPUTED_VALUE"""),"661-17920")</f>
        <v>661-17920</v>
      </c>
      <c r="E5057" s="2" t="str">
        <f>IFERROR(__xludf.DUMMYFUNCTION("""COMPUTED_VALUE"""),"Battery, iPhone 12 and 12 Pro")</f>
        <v>Battery, iPhone 12 and 12 Pro</v>
      </c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</row>
    <row r="5058">
      <c r="A5058" s="10" t="str">
        <f t="shared" si="1"/>
        <v>June</v>
      </c>
      <c r="B5058" s="11">
        <f>IFERROR(__xludf.DUMMYFUNCTION("""COMPUTED_VALUE"""),46175.0)</f>
        <v>46175</v>
      </c>
      <c r="C5058" s="2" t="str">
        <f>IFERROR(__xludf.DUMMYFUNCTION("""COMPUTED_VALUE"""),"MOBILECARE - SM MARIKINA")</f>
        <v>MOBILECARE - SM MARIKINA</v>
      </c>
      <c r="D5058" s="2" t="str">
        <f>IFERROR(__xludf.DUMMYFUNCTION("""COMPUTED_VALUE"""),"661-22309")</f>
        <v>661-22309</v>
      </c>
      <c r="E5058" s="2" t="str">
        <f>IFERROR(__xludf.DUMMYFUNCTION("""COMPUTED_VALUE"""),"Display, iPhone 13 Pro Max")</f>
        <v>Display, iPhone 13 Pro Max</v>
      </c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</row>
    <row r="5059">
      <c r="A5059" s="10" t="str">
        <f t="shared" si="1"/>
        <v>May</v>
      </c>
      <c r="B5059" s="11">
        <f>IFERROR(__xludf.DUMMYFUNCTION("""COMPUTED_VALUE"""),46151.0)</f>
        <v>46151</v>
      </c>
      <c r="C5059" s="2" t="str">
        <f>IFERROR(__xludf.DUMMYFUNCTION("""COMPUTED_VALUE"""),"MOBILECARE - SM MARIKINA")</f>
        <v>MOBILECARE - SM MARIKINA</v>
      </c>
      <c r="D5059" s="2" t="str">
        <f>IFERROR(__xludf.DUMMYFUNCTION("""COMPUTED_VALUE"""),"661-21988")</f>
        <v>661-21988</v>
      </c>
      <c r="E5059" s="2" t="str">
        <f>IFERROR(__xludf.DUMMYFUNCTION("""COMPUTED_VALUE"""),"Display, iPhone 13")</f>
        <v>Display, iPhone 13</v>
      </c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</row>
    <row r="5060">
      <c r="A5060" s="10" t="str">
        <f t="shared" si="1"/>
        <v>June</v>
      </c>
      <c r="B5060" s="11">
        <f>IFERROR(__xludf.DUMMYFUNCTION("""COMPUTED_VALUE"""),46180.0)</f>
        <v>46180</v>
      </c>
      <c r="C5060" s="2" t="str">
        <f>IFERROR(__xludf.DUMMYFUNCTION("""COMPUTED_VALUE"""),"MOBILECARE - SM MARIKINA")</f>
        <v>MOBILECARE - SM MARIKINA</v>
      </c>
      <c r="D5060" s="2" t="str">
        <f>IFERROR(__xludf.DUMMYFUNCTION("""COMPUTED_VALUE"""),"TA661-36896")</f>
        <v>TA661-36896</v>
      </c>
      <c r="E5060" s="2" t="str">
        <f>IFERROR(__xludf.DUMMYFUNCTION("""COMPUTED_VALUE"""),"Natural, iPhone 15 Pro Max, 256GB, ROW, CI/AR, Taiwan")</f>
        <v>Natural, iPhone 15 Pro Max, 256GB, ROW, CI/AR, Taiwan</v>
      </c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</row>
    <row r="5061">
      <c r="A5061" s="10" t="str">
        <f t="shared" si="1"/>
        <v>May</v>
      </c>
      <c r="B5061" s="11">
        <f>IFERROR(__xludf.DUMMYFUNCTION("""COMPUTED_VALUE"""),46158.0)</f>
        <v>46158</v>
      </c>
      <c r="C5061" s="2" t="str">
        <f>IFERROR(__xludf.DUMMYFUNCTION("""COMPUTED_VALUE"""),"MOBILECARE - SM MARIKINA")</f>
        <v>MOBILECARE - SM MARIKINA</v>
      </c>
      <c r="D5061" s="2" t="str">
        <f>IFERROR(__xludf.DUMMYFUNCTION("""COMPUTED_VALUE"""),"661-42728")</f>
        <v>661-42728</v>
      </c>
      <c r="E5061" s="2" t="str">
        <f>IFERROR(__xludf.DUMMYFUNCTION("""COMPUTED_VALUE"""),"Camera, iPhone 16 Pro")</f>
        <v>Camera, iPhone 16 Pro</v>
      </c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</row>
    <row r="5062">
      <c r="A5062" s="10" t="str">
        <f t="shared" si="1"/>
        <v>May</v>
      </c>
      <c r="B5062" s="11">
        <f>IFERROR(__xludf.DUMMYFUNCTION("""COMPUTED_VALUE"""),46158.0)</f>
        <v>46158</v>
      </c>
      <c r="C5062" s="2" t="str">
        <f>IFERROR(__xludf.DUMMYFUNCTION("""COMPUTED_VALUE"""),"MOBILECARE - SM MARIKINA")</f>
        <v>MOBILECARE - SM MARIKINA</v>
      </c>
      <c r="D5062" s="2" t="str">
        <f>IFERROR(__xludf.DUMMYFUNCTION("""COMPUTED_VALUE"""),"661-42727")</f>
        <v>661-42727</v>
      </c>
      <c r="E5062" s="2" t="str">
        <f>IFERROR(__xludf.DUMMYFUNCTION("""COMPUTED_VALUE"""),"TrueDepth Camera, iPhone 16 Pro")</f>
        <v>TrueDepth Camera, iPhone 16 Pro</v>
      </c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</row>
    <row r="5063">
      <c r="A5063" s="10" t="str">
        <f t="shared" si="1"/>
        <v>May</v>
      </c>
      <c r="B5063" s="11">
        <f>IFERROR(__xludf.DUMMYFUNCTION("""COMPUTED_VALUE"""),46149.0)</f>
        <v>46149</v>
      </c>
      <c r="C5063" s="2" t="str">
        <f>IFERROR(__xludf.DUMMYFUNCTION("""COMPUTED_VALUE"""),"MOBILECARE - SM MARIKINA")</f>
        <v>MOBILECARE - SM MARIKINA</v>
      </c>
      <c r="D5063" s="2" t="str">
        <f>IFERROR(__xludf.DUMMYFUNCTION("""COMPUTED_VALUE"""),"661-44957")</f>
        <v>661-44957</v>
      </c>
      <c r="E5063" s="2" t="str">
        <f>IFERROR(__xludf.DUMMYFUNCTION("""COMPUTED_VALUE"""),"Camera, iPhone 16 Pro Max")</f>
        <v>Camera, iPhone 16 Pro Max</v>
      </c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</row>
    <row r="5064">
      <c r="A5064" s="10" t="str">
        <f t="shared" si="1"/>
        <v>May</v>
      </c>
      <c r="B5064" s="11">
        <f>IFERROR(__xludf.DUMMYFUNCTION("""COMPUTED_VALUE"""),46151.0)</f>
        <v>46151</v>
      </c>
      <c r="C5064" s="2" t="str">
        <f>IFERROR(__xludf.DUMMYFUNCTION("""COMPUTED_VALUE"""),"MOBILECARE - SM MARIKINA")</f>
        <v>MOBILECARE - SM MARIKINA</v>
      </c>
      <c r="D5064" s="2" t="str">
        <f>IFERROR(__xludf.DUMMYFUNCTION("""COMPUTED_VALUE"""),"661-44797")</f>
        <v>661-44797</v>
      </c>
      <c r="E5064" s="2" t="str">
        <f>IFERROR(__xludf.DUMMYFUNCTION("""COMPUTED_VALUE"""),"Display, iPhone 16")</f>
        <v>Display, iPhone 16</v>
      </c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</row>
    <row r="5065">
      <c r="A5065" s="10" t="str">
        <f t="shared" si="1"/>
        <v>April</v>
      </c>
      <c r="B5065" s="11">
        <f>IFERROR(__xludf.DUMMYFUNCTION("""COMPUTED_VALUE"""),46124.0)</f>
        <v>46124</v>
      </c>
      <c r="C5065" s="2" t="str">
        <f>IFERROR(__xludf.DUMMYFUNCTION("""COMPUTED_VALUE"""),"MOBILECARE - SM MARIKINA")</f>
        <v>MOBILECARE - SM MARIKINA</v>
      </c>
      <c r="D5065" s="2" t="str">
        <f>IFERROR(__xludf.DUMMYFUNCTION("""COMPUTED_VALUE"""),"661-22374")</f>
        <v>661-22374</v>
      </c>
      <c r="E5065" s="2" t="str">
        <f>IFERROR(__xludf.DUMMYFUNCTION("""COMPUTED_VALUE"""),"Battery, iPhone 13 mini")</f>
        <v>Battery, iPhone 13 mini</v>
      </c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</row>
    <row r="5066">
      <c r="A5066" s="10" t="str">
        <f t="shared" si="1"/>
        <v>March</v>
      </c>
      <c r="B5066" s="11">
        <f>IFERROR(__xludf.DUMMYFUNCTION("""COMPUTED_VALUE"""),46083.0)</f>
        <v>46083</v>
      </c>
      <c r="C5066" s="2" t="str">
        <f>IFERROR(__xludf.DUMMYFUNCTION("""COMPUTED_VALUE"""),"MOBILECARE - SM MARIKINA")</f>
        <v>MOBILECARE - SM MARIKINA</v>
      </c>
      <c r="D5066" s="2" t="str">
        <f>IFERROR(__xludf.DUMMYFUNCTION("""COMPUTED_VALUE"""),"661-30382")</f>
        <v>661-30382</v>
      </c>
      <c r="E5066" s="2" t="str">
        <f>IFERROR(__xludf.DUMMYFUNCTION("""COMPUTED_VALUE"""),"Battery, iPhone 14 Pro")</f>
        <v>Battery, iPhone 14 Pro</v>
      </c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</row>
    <row r="5067">
      <c r="A5067" s="10" t="str">
        <f t="shared" si="1"/>
        <v>February</v>
      </c>
      <c r="B5067" s="11">
        <f>IFERROR(__xludf.DUMMYFUNCTION("""COMPUTED_VALUE"""),46070.0)</f>
        <v>46070</v>
      </c>
      <c r="C5067" s="2" t="str">
        <f>IFERROR(__xludf.DUMMYFUNCTION("""COMPUTED_VALUE"""),"MOBILECARE - SM MARIKINA")</f>
        <v>MOBILECARE - SM MARIKINA</v>
      </c>
      <c r="D5067" s="2" t="str">
        <f>IFERROR(__xludf.DUMMYFUNCTION("""COMPUTED_VALUE"""),"661-21996")</f>
        <v>661-21996</v>
      </c>
      <c r="E5067" s="2" t="str">
        <f>IFERROR(__xludf.DUMMYFUNCTION("""COMPUTED_VALUE"""),"Battery, iPhone 13 Pro")</f>
        <v>Battery, iPhone 13 Pro</v>
      </c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</row>
    <row r="5068">
      <c r="A5068" s="10" t="str">
        <f t="shared" si="1"/>
        <v>February</v>
      </c>
      <c r="B5068" s="11">
        <f>IFERROR(__xludf.DUMMYFUNCTION("""COMPUTED_VALUE"""),46064.0)</f>
        <v>46064</v>
      </c>
      <c r="C5068" s="2" t="str">
        <f>IFERROR(__xludf.DUMMYFUNCTION("""COMPUTED_VALUE"""),"MOBILECARE - SM MARIKINA")</f>
        <v>MOBILECARE - SM MARIKINA</v>
      </c>
      <c r="D5068" s="2" t="str">
        <f>IFERROR(__xludf.DUMMYFUNCTION("""COMPUTED_VALUE"""),"661-21991")</f>
        <v>661-21991</v>
      </c>
      <c r="E5068" s="2" t="str">
        <f>IFERROR(__xludf.DUMMYFUNCTION("""COMPUTED_VALUE"""),"Battery, iPhone 13")</f>
        <v>Battery, iPhone 13</v>
      </c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</row>
    <row r="5069">
      <c r="A5069" s="10" t="str">
        <f t="shared" si="1"/>
        <v>January</v>
      </c>
      <c r="B5069" s="11">
        <f>IFERROR(__xludf.DUMMYFUNCTION("""COMPUTED_VALUE"""),46045.0)</f>
        <v>46045</v>
      </c>
      <c r="C5069" s="2" t="str">
        <f>IFERROR(__xludf.DUMMYFUNCTION("""COMPUTED_VALUE"""),"MOBILECARE - SM MARIKINA")</f>
        <v>MOBILECARE - SM MARIKINA</v>
      </c>
      <c r="D5069" s="2" t="str">
        <f>IFERROR(__xludf.DUMMYFUNCTION("""COMPUTED_VALUE"""),"661-30373")</f>
        <v>661-30373</v>
      </c>
      <c r="E5069" s="2" t="str">
        <f>IFERROR(__xludf.DUMMYFUNCTION("""COMPUTED_VALUE"""),"Battery, iPhone 14")</f>
        <v>Battery, iPhone 14</v>
      </c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</row>
    <row r="5070">
      <c r="A5070" s="10" t="str">
        <f t="shared" si="1"/>
        <v>June</v>
      </c>
      <c r="B5070" s="11">
        <f>IFERROR(__xludf.DUMMYFUNCTION("""COMPUTED_VALUE"""),46190.0)</f>
        <v>46190</v>
      </c>
      <c r="C5070" s="2" t="str">
        <f>IFERROR(__xludf.DUMMYFUNCTION("""COMPUTED_VALUE"""),"MOBILECARE - SM MARIKINA")</f>
        <v>MOBILECARE - SM MARIKINA</v>
      </c>
      <c r="D5070" s="2" t="str">
        <f>IFERROR(__xludf.DUMMYFUNCTION("""COMPUTED_VALUE"""),"661-35694")</f>
        <v>661-35694</v>
      </c>
      <c r="E5070" s="2" t="str">
        <f>IFERROR(__xludf.DUMMYFUNCTION("""COMPUTED_VALUE"""),"Battery, iPhone 15 Pro")</f>
        <v>Battery, iPhone 15 Pro</v>
      </c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</row>
    <row r="5071">
      <c r="A5071" s="10" t="str">
        <f t="shared" si="1"/>
        <v>May</v>
      </c>
      <c r="B5071" s="11">
        <f>IFERROR(__xludf.DUMMYFUNCTION("""COMPUTED_VALUE"""),46162.0)</f>
        <v>46162</v>
      </c>
      <c r="C5071" s="2" t="str">
        <f>IFERROR(__xludf.DUMMYFUNCTION("""COMPUTED_VALUE"""),"MOBILECARE - SM MARIKINA")</f>
        <v>MOBILECARE - SM MARIKINA</v>
      </c>
      <c r="D5071" s="2" t="str">
        <f>IFERROR(__xludf.DUMMYFUNCTION("""COMPUTED_VALUE"""),"661-13574")</f>
        <v>661-13574</v>
      </c>
      <c r="E5071" s="2" t="str">
        <f>IFERROR(__xludf.DUMMYFUNCTION("""COMPUTED_VALUE"""),"Battery, iPhone 11")</f>
        <v>Battery, iPhone 11</v>
      </c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</row>
    <row r="5072">
      <c r="A5072" s="10" t="str">
        <f t="shared" si="1"/>
        <v>April</v>
      </c>
      <c r="B5072" s="11">
        <f>IFERROR(__xludf.DUMMYFUNCTION("""COMPUTED_VALUE"""),46137.0)</f>
        <v>46137</v>
      </c>
      <c r="C5072" s="2" t="str">
        <f>IFERROR(__xludf.DUMMYFUNCTION("""COMPUTED_VALUE"""),"MOBILECARE - SM MARIKINA")</f>
        <v>MOBILECARE - SM MARIKINA</v>
      </c>
      <c r="D5072" s="2" t="str">
        <f>IFERROR(__xludf.DUMMYFUNCTION("""COMPUTED_VALUE"""),"661-21991")</f>
        <v>661-21991</v>
      </c>
      <c r="E5072" s="2" t="str">
        <f>IFERROR(__xludf.DUMMYFUNCTION("""COMPUTED_VALUE"""),"Battery, iPhone 13")</f>
        <v>Battery, iPhone 13</v>
      </c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</row>
    <row r="5073">
      <c r="A5073" s="10" t="str">
        <f t="shared" si="1"/>
        <v>March</v>
      </c>
      <c r="B5073" s="11">
        <f>IFERROR(__xludf.DUMMYFUNCTION("""COMPUTED_VALUE"""),46105.0)</f>
        <v>46105</v>
      </c>
      <c r="C5073" s="2" t="str">
        <f>IFERROR(__xludf.DUMMYFUNCTION("""COMPUTED_VALUE"""),"MOBILECARE - SM MARIKINA")</f>
        <v>MOBILECARE - SM MARIKINA</v>
      </c>
      <c r="D5073" s="2" t="str">
        <f>IFERROR(__xludf.DUMMYFUNCTION("""COMPUTED_VALUE"""),"661-56052")</f>
        <v>661-56052</v>
      </c>
      <c r="E5073" s="2" t="str">
        <f>IFERROR(__xludf.DUMMYFUNCTION("""COMPUTED_VALUE"""),"Camera, iPhone 17 Pro Max")</f>
        <v>Camera, iPhone 17 Pro Max</v>
      </c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</row>
    <row r="5074">
      <c r="A5074" s="10" t="str">
        <f t="shared" si="1"/>
        <v>February</v>
      </c>
      <c r="B5074" s="11">
        <f>IFERROR(__xludf.DUMMYFUNCTION("""COMPUTED_VALUE"""),46069.0)</f>
        <v>46069</v>
      </c>
      <c r="C5074" s="2" t="str">
        <f>IFERROR(__xludf.DUMMYFUNCTION("""COMPUTED_VALUE"""),"MOBILECARE - SM MARIKINA")</f>
        <v>MOBILECARE - SM MARIKINA</v>
      </c>
      <c r="D5074" s="2" t="str">
        <f>IFERROR(__xludf.DUMMYFUNCTION("""COMPUTED_VALUE"""),"661-21991")</f>
        <v>661-21991</v>
      </c>
      <c r="E5074" s="2" t="str">
        <f>IFERROR(__xludf.DUMMYFUNCTION("""COMPUTED_VALUE"""),"Battery, iPhone 13")</f>
        <v>Battery, iPhone 13</v>
      </c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</row>
    <row r="5075">
      <c r="A5075" s="10" t="str">
        <f t="shared" si="1"/>
        <v>May</v>
      </c>
      <c r="B5075" s="11">
        <f>IFERROR(__xludf.DUMMYFUNCTION("""COMPUTED_VALUE"""),46151.0)</f>
        <v>46151</v>
      </c>
      <c r="C5075" s="2" t="str">
        <f>IFERROR(__xludf.DUMMYFUNCTION("""COMPUTED_VALUE"""),"MOBILECARE - SM MARIKINA")</f>
        <v>MOBILECARE - SM MARIKINA</v>
      </c>
      <c r="D5075" s="2" t="str">
        <f>IFERROR(__xludf.DUMMYFUNCTION("""COMPUTED_VALUE"""),"661-21996")</f>
        <v>661-21996</v>
      </c>
      <c r="E5075" s="2" t="str">
        <f>IFERROR(__xludf.DUMMYFUNCTION("""COMPUTED_VALUE"""),"Battery, iPhone 13 Pro")</f>
        <v>Battery, iPhone 13 Pro</v>
      </c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</row>
    <row r="5076">
      <c r="A5076" s="10" t="str">
        <f t="shared" si="1"/>
        <v>May</v>
      </c>
      <c r="B5076" s="11">
        <f>IFERROR(__xludf.DUMMYFUNCTION("""COMPUTED_VALUE"""),46154.0)</f>
        <v>46154</v>
      </c>
      <c r="C5076" s="2" t="str">
        <f>IFERROR(__xludf.DUMMYFUNCTION("""COMPUTED_VALUE"""),"MOBILECARE - SM MARIKINA")</f>
        <v>MOBILECARE - SM MARIKINA</v>
      </c>
      <c r="D5076" s="2" t="str">
        <f>IFERROR(__xludf.DUMMYFUNCTION("""COMPUTED_VALUE"""),"661-30366")</f>
        <v>661-30366</v>
      </c>
      <c r="E5076" s="2" t="str">
        <f>IFERROR(__xludf.DUMMYFUNCTION("""COMPUTED_VALUE"""),"Display, iPhone 14")</f>
        <v>Display, iPhone 14</v>
      </c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</row>
    <row r="5077">
      <c r="A5077" s="10" t="str">
        <f t="shared" si="1"/>
        <v>April</v>
      </c>
      <c r="B5077" s="11">
        <f>IFERROR(__xludf.DUMMYFUNCTION("""COMPUTED_VALUE"""),46139.0)</f>
        <v>46139</v>
      </c>
      <c r="C5077" s="2" t="str">
        <f>IFERROR(__xludf.DUMMYFUNCTION("""COMPUTED_VALUE"""),"MOBILECARE - SM MARIKINA")</f>
        <v>MOBILECARE - SM MARIKINA</v>
      </c>
      <c r="D5077" s="2" t="str">
        <f>IFERROR(__xludf.DUMMYFUNCTION("""COMPUTED_VALUE"""),"661-21991")</f>
        <v>661-21991</v>
      </c>
      <c r="E5077" s="2" t="str">
        <f>IFERROR(__xludf.DUMMYFUNCTION("""COMPUTED_VALUE"""),"Battery, iPhone 13")</f>
        <v>Battery, iPhone 13</v>
      </c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</row>
    <row r="5078">
      <c r="A5078" s="10" t="str">
        <f t="shared" si="1"/>
        <v>April</v>
      </c>
      <c r="B5078" s="11">
        <f>IFERROR(__xludf.DUMMYFUNCTION("""COMPUTED_VALUE"""),46124.0)</f>
        <v>46124</v>
      </c>
      <c r="C5078" s="2" t="str">
        <f>IFERROR(__xludf.DUMMYFUNCTION("""COMPUTED_VALUE"""),"MOBILECARE - SM MARIKINA")</f>
        <v>MOBILECARE - SM MARIKINA</v>
      </c>
      <c r="D5078" s="2" t="str">
        <f>IFERROR(__xludf.DUMMYFUNCTION("""COMPUTED_VALUE"""),"661-56050")</f>
        <v>661-56050</v>
      </c>
      <c r="E5078" s="2" t="str">
        <f>IFERROR(__xludf.DUMMYFUNCTION("""COMPUTED_VALUE"""),"Display, iPhone 17 Pro Max")</f>
        <v>Display, iPhone 17 Pro Max</v>
      </c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</row>
    <row r="5079">
      <c r="A5079" s="10" t="str">
        <f t="shared" si="1"/>
        <v>March</v>
      </c>
      <c r="B5079" s="11">
        <f>IFERROR(__xludf.DUMMYFUNCTION("""COMPUTED_VALUE"""),46108.0)</f>
        <v>46108</v>
      </c>
      <c r="C5079" s="2" t="str">
        <f>IFERROR(__xludf.DUMMYFUNCTION("""COMPUTED_VALUE"""),"MOBILECARE - SM MARIKINA")</f>
        <v>MOBILECARE - SM MARIKINA</v>
      </c>
      <c r="D5079" s="2" t="str">
        <f>IFERROR(__xludf.DUMMYFUNCTION("""COMPUTED_VALUE"""),"661-17920")</f>
        <v>661-17920</v>
      </c>
      <c r="E5079" s="2" t="str">
        <f>IFERROR(__xludf.DUMMYFUNCTION("""COMPUTED_VALUE"""),"Battery, iPhone 12 and 12 Pro")</f>
        <v>Battery, iPhone 12 and 12 Pro</v>
      </c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</row>
    <row r="5080">
      <c r="A5080" s="10" t="str">
        <f t="shared" si="1"/>
        <v>March</v>
      </c>
      <c r="B5080" s="11">
        <f>IFERROR(__xludf.DUMMYFUNCTION("""COMPUTED_VALUE"""),46082.0)</f>
        <v>46082</v>
      </c>
      <c r="C5080" s="2" t="str">
        <f>IFERROR(__xludf.DUMMYFUNCTION("""COMPUTED_VALUE"""),"MOBILECARE - SM MARIKINA")</f>
        <v>MOBILECARE - SM MARIKINA</v>
      </c>
      <c r="D5080" s="2" t="str">
        <f>IFERROR(__xludf.DUMMYFUNCTION("""COMPUTED_VALUE"""),"661-18428")</f>
        <v>661-18428</v>
      </c>
      <c r="E5080" s="2" t="str">
        <f>IFERROR(__xludf.DUMMYFUNCTION("""COMPUTED_VALUE"""),"Battery, iPhone 12 Pro Max")</f>
        <v>Battery, iPhone 12 Pro Max</v>
      </c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</row>
    <row r="5081">
      <c r="A5081" s="10" t="str">
        <f t="shared" si="1"/>
        <v>February</v>
      </c>
      <c r="B5081" s="11">
        <f>IFERROR(__xludf.DUMMYFUNCTION("""COMPUTED_VALUE"""),46063.0)</f>
        <v>46063</v>
      </c>
      <c r="C5081" s="2" t="str">
        <f>IFERROR(__xludf.DUMMYFUNCTION("""COMPUTED_VALUE"""),"MOBILECARE - SM MARIKINA")</f>
        <v>MOBILECARE - SM MARIKINA</v>
      </c>
      <c r="D5081" s="2" t="str">
        <f>IFERROR(__xludf.DUMMYFUNCTION("""COMPUTED_VALUE"""),"661-21991")</f>
        <v>661-21991</v>
      </c>
      <c r="E5081" s="2" t="str">
        <f>IFERROR(__xludf.DUMMYFUNCTION("""COMPUTED_VALUE"""),"Battery, iPhone 13")</f>
        <v>Battery, iPhone 13</v>
      </c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</row>
    <row r="5082">
      <c r="A5082" s="10" t="str">
        <f t="shared" si="1"/>
        <v>June</v>
      </c>
      <c r="B5082" s="11">
        <f>IFERROR(__xludf.DUMMYFUNCTION("""COMPUTED_VALUE"""),46183.0)</f>
        <v>46183</v>
      </c>
      <c r="C5082" s="2" t="str">
        <f>IFERROR(__xludf.DUMMYFUNCTION("""COMPUTED_VALUE"""),"MOBILECARE - SM MARIKINA")</f>
        <v>MOBILECARE - SM MARIKINA</v>
      </c>
      <c r="D5082" s="2" t="str">
        <f>IFERROR(__xludf.DUMMYFUNCTION("""COMPUTED_VALUE"""),"661-22309")</f>
        <v>661-22309</v>
      </c>
      <c r="E5082" s="2" t="str">
        <f>IFERROR(__xludf.DUMMYFUNCTION("""COMPUTED_VALUE"""),"Display, iPhone 13 Pro Max")</f>
        <v>Display, iPhone 13 Pro Max</v>
      </c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</row>
    <row r="5083">
      <c r="A5083" s="10" t="str">
        <f t="shared" si="1"/>
        <v>June</v>
      </c>
      <c r="B5083" s="11">
        <f>IFERROR(__xludf.DUMMYFUNCTION("""COMPUTED_VALUE"""),46193.0)</f>
        <v>46193</v>
      </c>
      <c r="C5083" s="2" t="str">
        <f>IFERROR(__xludf.DUMMYFUNCTION("""COMPUTED_VALUE"""),"MOBILECARE - SM MARIKINA")</f>
        <v>MOBILECARE - SM MARIKINA</v>
      </c>
      <c r="D5083" s="2" t="str">
        <f>IFERROR(__xludf.DUMMYFUNCTION("""COMPUTED_VALUE"""),"661-21988")</f>
        <v>661-21988</v>
      </c>
      <c r="E5083" s="2" t="str">
        <f>IFERROR(__xludf.DUMMYFUNCTION("""COMPUTED_VALUE"""),"Display, iPhone 13")</f>
        <v>Display, iPhone 13</v>
      </c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</row>
    <row r="5084">
      <c r="A5084" s="10" t="str">
        <f t="shared" si="1"/>
        <v>May</v>
      </c>
      <c r="B5084" s="11">
        <f>IFERROR(__xludf.DUMMYFUNCTION("""COMPUTED_VALUE"""),46163.0)</f>
        <v>46163</v>
      </c>
      <c r="C5084" s="2" t="str">
        <f>IFERROR(__xludf.DUMMYFUNCTION("""COMPUTED_VALUE"""),"MOBILECARE - SM MARIKINA")</f>
        <v>MOBILECARE - SM MARIKINA</v>
      </c>
      <c r="D5084" s="2" t="str">
        <f>IFERROR(__xludf.DUMMYFUNCTION("""COMPUTED_VALUE"""),"661-36918")</f>
        <v>661-36918</v>
      </c>
      <c r="E5084" s="2" t="str">
        <f>IFERROR(__xludf.DUMMYFUNCTION("""COMPUTED_VALUE"""),"Battery, iPhone 15 Pro Max")</f>
        <v>Battery, iPhone 15 Pro Max</v>
      </c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</row>
    <row r="5085">
      <c r="A5085" s="10" t="str">
        <f t="shared" si="1"/>
        <v>February</v>
      </c>
      <c r="B5085" s="11">
        <f>IFERROR(__xludf.DUMMYFUNCTION("""COMPUTED_VALUE"""),46070.0)</f>
        <v>46070</v>
      </c>
      <c r="C5085" s="2" t="str">
        <f>IFERROR(__xludf.DUMMYFUNCTION("""COMPUTED_VALUE"""),"MOBILECARE - SM MARIKINA")</f>
        <v>MOBILECARE - SM MARIKINA</v>
      </c>
      <c r="D5085" s="2" t="str">
        <f>IFERROR(__xludf.DUMMYFUNCTION("""COMPUTED_VALUE"""),"661-21991")</f>
        <v>661-21991</v>
      </c>
      <c r="E5085" s="2" t="str">
        <f>IFERROR(__xludf.DUMMYFUNCTION("""COMPUTED_VALUE"""),"Battery, iPhone 13")</f>
        <v>Battery, iPhone 13</v>
      </c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</row>
    <row r="5086">
      <c r="A5086" s="10" t="str">
        <f t="shared" si="1"/>
        <v>March</v>
      </c>
      <c r="B5086" s="11">
        <f>IFERROR(__xludf.DUMMYFUNCTION("""COMPUTED_VALUE"""),46111.0)</f>
        <v>46111</v>
      </c>
      <c r="C5086" s="2" t="str">
        <f>IFERROR(__xludf.DUMMYFUNCTION("""COMPUTED_VALUE"""),"MOBILECARE - SM MARIKINA")</f>
        <v>MOBILECARE - SM MARIKINA</v>
      </c>
      <c r="D5086" s="2" t="str">
        <f>IFERROR(__xludf.DUMMYFUNCTION("""COMPUTED_VALUE"""),"661-21988")</f>
        <v>661-21988</v>
      </c>
      <c r="E5086" s="2" t="str">
        <f>IFERROR(__xludf.DUMMYFUNCTION("""COMPUTED_VALUE"""),"Display, iPhone 13")</f>
        <v>Display, iPhone 13</v>
      </c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</row>
    <row r="5087">
      <c r="A5087" s="10" t="str">
        <f t="shared" si="1"/>
        <v>March</v>
      </c>
      <c r="B5087" s="11">
        <f>IFERROR(__xludf.DUMMYFUNCTION("""COMPUTED_VALUE"""),46093.0)</f>
        <v>46093</v>
      </c>
      <c r="C5087" s="2" t="str">
        <f>IFERROR(__xludf.DUMMYFUNCTION("""COMPUTED_VALUE"""),"MOBILECARE - SM MARIKINA")</f>
        <v>MOBILECARE - SM MARIKINA</v>
      </c>
      <c r="D5087" s="2" t="str">
        <f>IFERROR(__xludf.DUMMYFUNCTION("""COMPUTED_VALUE"""),"661-23878")</f>
        <v>661-23878</v>
      </c>
      <c r="E5087" s="2" t="str">
        <f>IFERROR(__xludf.DUMMYFUNCTION("""COMPUTED_VALUE"""),"TrueDepth Camera, iPhone 13")</f>
        <v>TrueDepth Camera, iPhone 13</v>
      </c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</row>
    <row r="5088">
      <c r="A5088" s="10" t="str">
        <f t="shared" si="1"/>
        <v>March</v>
      </c>
      <c r="B5088" s="11">
        <f>IFERROR(__xludf.DUMMYFUNCTION("""COMPUTED_VALUE"""),46092.0)</f>
        <v>46092</v>
      </c>
      <c r="C5088" s="2" t="str">
        <f>IFERROR(__xludf.DUMMYFUNCTION("""COMPUTED_VALUE"""),"MOBILECARE - SM MARIKINA")</f>
        <v>MOBILECARE - SM MARIKINA</v>
      </c>
      <c r="D5088" s="2" t="str">
        <f>IFERROR(__xludf.DUMMYFUNCTION("""COMPUTED_VALUE"""),"661-30397")</f>
        <v>661-30397</v>
      </c>
      <c r="E5088" s="2" t="str">
        <f>IFERROR(__xludf.DUMMYFUNCTION("""COMPUTED_VALUE"""),"Battery, iPhone 14 Pro Max")</f>
        <v>Battery, iPhone 14 Pro Max</v>
      </c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</row>
    <row r="5089">
      <c r="A5089" s="10" t="str">
        <f t="shared" si="1"/>
        <v>March</v>
      </c>
      <c r="B5089" s="11">
        <f>IFERROR(__xludf.DUMMYFUNCTION("""COMPUTED_VALUE"""),46090.0)</f>
        <v>46090</v>
      </c>
      <c r="C5089" s="2" t="str">
        <f>IFERROR(__xludf.DUMMYFUNCTION("""COMPUTED_VALUE"""),"MOBILECARE - SM MARIKINA")</f>
        <v>MOBILECARE - SM MARIKINA</v>
      </c>
      <c r="D5089" s="2" t="str">
        <f>IFERROR(__xludf.DUMMYFUNCTION("""COMPUTED_VALUE"""),"661-44956")</f>
        <v>661-44956</v>
      </c>
      <c r="E5089" s="2" t="str">
        <f>IFERROR(__xludf.DUMMYFUNCTION("""COMPUTED_VALUE"""),"TrueDepth Camera, iPhone 16 Pro Max")</f>
        <v>TrueDepth Camera, iPhone 16 Pro Max</v>
      </c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</row>
    <row r="5090">
      <c r="A5090" s="10" t="str">
        <f t="shared" si="1"/>
        <v>February</v>
      </c>
      <c r="B5090" s="11">
        <f>IFERROR(__xludf.DUMMYFUNCTION("""COMPUTED_VALUE"""),46070.0)</f>
        <v>46070</v>
      </c>
      <c r="C5090" s="2" t="str">
        <f>IFERROR(__xludf.DUMMYFUNCTION("""COMPUTED_VALUE"""),"MOBILECARE - SM MARIKINA")</f>
        <v>MOBILECARE - SM MARIKINA</v>
      </c>
      <c r="D5090" s="2" t="str">
        <f>IFERROR(__xludf.DUMMYFUNCTION("""COMPUTED_VALUE"""),"661-15741")</f>
        <v>661-15741</v>
      </c>
      <c r="E5090" s="2" t="str">
        <f>IFERROR(__xludf.DUMMYFUNCTION("""COMPUTED_VALUE"""),"Battery, iPhone SE 2nd gen")</f>
        <v>Battery, iPhone SE 2nd gen</v>
      </c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</row>
    <row r="5091">
      <c r="A5091" s="10" t="str">
        <f t="shared" si="1"/>
        <v>June</v>
      </c>
      <c r="B5091" s="11">
        <f>IFERROR(__xludf.DUMMYFUNCTION("""COMPUTED_VALUE"""),46185.0)</f>
        <v>46185</v>
      </c>
      <c r="C5091" s="2" t="str">
        <f>IFERROR(__xludf.DUMMYFUNCTION("""COMPUTED_VALUE"""),"MOBILECARE - SM MARIKINA")</f>
        <v>MOBILECARE - SM MARIKINA</v>
      </c>
      <c r="D5091" s="2" t="str">
        <f>IFERROR(__xludf.DUMMYFUNCTION("""COMPUTED_VALUE"""),"661-21991")</f>
        <v>661-21991</v>
      </c>
      <c r="E5091" s="2" t="str">
        <f>IFERROR(__xludf.DUMMYFUNCTION("""COMPUTED_VALUE"""),"Battery, iPhone 13")</f>
        <v>Battery, iPhone 13</v>
      </c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</row>
    <row r="5092">
      <c r="A5092" s="10" t="str">
        <f t="shared" si="1"/>
        <v>June</v>
      </c>
      <c r="B5092" s="11">
        <f>IFERROR(__xludf.DUMMYFUNCTION("""COMPUTED_VALUE"""),46187.0)</f>
        <v>46187</v>
      </c>
      <c r="C5092" s="2" t="str">
        <f>IFERROR(__xludf.DUMMYFUNCTION("""COMPUTED_VALUE"""),"MOBILECARE - SM MARIKINA")</f>
        <v>MOBILECARE - SM MARIKINA</v>
      </c>
      <c r="D5092" s="2" t="str">
        <f>IFERROR(__xludf.DUMMYFUNCTION("""COMPUTED_VALUE"""),"661-21991")</f>
        <v>661-21991</v>
      </c>
      <c r="E5092" s="2" t="str">
        <f>IFERROR(__xludf.DUMMYFUNCTION("""COMPUTED_VALUE"""),"Battery, iPhone 13")</f>
        <v>Battery, iPhone 13</v>
      </c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</row>
    <row r="5093">
      <c r="A5093" s="10" t="str">
        <f t="shared" si="1"/>
        <v>April</v>
      </c>
      <c r="B5093" s="11">
        <f>IFERROR(__xludf.DUMMYFUNCTION("""COMPUTED_VALUE"""),46136.0)</f>
        <v>46136</v>
      </c>
      <c r="C5093" s="2" t="str">
        <f>IFERROR(__xludf.DUMMYFUNCTION("""COMPUTED_VALUE"""),"MOBILECARE - SM MARIKINA")</f>
        <v>MOBILECARE - SM MARIKINA</v>
      </c>
      <c r="D5093" s="2" t="str">
        <f>IFERROR(__xludf.DUMMYFUNCTION("""COMPUTED_VALUE"""),"661-21991")</f>
        <v>661-21991</v>
      </c>
      <c r="E5093" s="2" t="str">
        <f>IFERROR(__xludf.DUMMYFUNCTION("""COMPUTED_VALUE"""),"Battery, iPhone 13")</f>
        <v>Battery, iPhone 13</v>
      </c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</row>
    <row r="5094">
      <c r="A5094" s="10" t="str">
        <f t="shared" si="1"/>
        <v>April</v>
      </c>
      <c r="B5094" s="11">
        <f>IFERROR(__xludf.DUMMYFUNCTION("""COMPUTED_VALUE"""),46135.0)</f>
        <v>46135</v>
      </c>
      <c r="C5094" s="2" t="str">
        <f>IFERROR(__xludf.DUMMYFUNCTION("""COMPUTED_VALUE"""),"MOBILECARE - SM MARIKINA")</f>
        <v>MOBILECARE - SM MARIKINA</v>
      </c>
      <c r="D5094" s="2" t="str">
        <f>IFERROR(__xludf.DUMMYFUNCTION("""COMPUTED_VALUE"""),"661-56050")</f>
        <v>661-56050</v>
      </c>
      <c r="E5094" s="2" t="str">
        <f>IFERROR(__xludf.DUMMYFUNCTION("""COMPUTED_VALUE"""),"Display, iPhone 17 Pro Max")</f>
        <v>Display, iPhone 17 Pro Max</v>
      </c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</row>
    <row r="5095">
      <c r="A5095" s="10" t="str">
        <f t="shared" si="1"/>
        <v>March</v>
      </c>
      <c r="B5095" s="11">
        <f>IFERROR(__xludf.DUMMYFUNCTION("""COMPUTED_VALUE"""),46102.0)</f>
        <v>46102</v>
      </c>
      <c r="C5095" s="2" t="str">
        <f>IFERROR(__xludf.DUMMYFUNCTION("""COMPUTED_VALUE"""),"MOBILECARE - SM MARIKINA")</f>
        <v>MOBILECARE - SM MARIKINA</v>
      </c>
      <c r="D5095" s="2" t="str">
        <f>IFERROR(__xludf.DUMMYFUNCTION("""COMPUTED_VALUE"""),"661-22309")</f>
        <v>661-22309</v>
      </c>
      <c r="E5095" s="2" t="str">
        <f>IFERROR(__xludf.DUMMYFUNCTION("""COMPUTED_VALUE"""),"Display, iPhone 13 Pro Max")</f>
        <v>Display, iPhone 13 Pro Max</v>
      </c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</row>
    <row r="5096">
      <c r="A5096" s="10" t="str">
        <f t="shared" si="1"/>
        <v>March</v>
      </c>
      <c r="B5096" s="11">
        <f>IFERROR(__xludf.DUMMYFUNCTION("""COMPUTED_VALUE"""),46091.0)</f>
        <v>46091</v>
      </c>
      <c r="C5096" s="2" t="str">
        <f>IFERROR(__xludf.DUMMYFUNCTION("""COMPUTED_VALUE"""),"MOBILECARE - SM MARIKINA")</f>
        <v>MOBILECARE - SM MARIKINA</v>
      </c>
      <c r="D5096" s="2" t="str">
        <f>IFERROR(__xludf.DUMMYFUNCTION("""COMPUTED_VALUE"""),"661-21988")</f>
        <v>661-21988</v>
      </c>
      <c r="E5096" s="2" t="str">
        <f>IFERROR(__xludf.DUMMYFUNCTION("""COMPUTED_VALUE"""),"Display, iPhone 13")</f>
        <v>Display, iPhone 13</v>
      </c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</row>
    <row r="5097">
      <c r="A5097" s="10" t="str">
        <f t="shared" si="1"/>
        <v>March</v>
      </c>
      <c r="B5097" s="11">
        <f>IFERROR(__xludf.DUMMYFUNCTION("""COMPUTED_VALUE"""),46086.0)</f>
        <v>46086</v>
      </c>
      <c r="C5097" s="2" t="str">
        <f>IFERROR(__xludf.DUMMYFUNCTION("""COMPUTED_VALUE"""),"MOBILECARE - SM MARIKINA")</f>
        <v>MOBILECARE - SM MARIKINA</v>
      </c>
      <c r="D5097" s="2" t="str">
        <f>IFERROR(__xludf.DUMMYFUNCTION("""COMPUTED_VALUE"""),"661-42844")</f>
        <v>661-42844</v>
      </c>
      <c r="E5097" s="2" t="str">
        <f>IFERROR(__xludf.DUMMYFUNCTION("""COMPUTED_VALUE"""),"TrueDepth Camera, iPhone 16 Plus")</f>
        <v>TrueDepth Camera, iPhone 16 Plus</v>
      </c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</row>
    <row r="5098">
      <c r="A5098" s="10" t="str">
        <f t="shared" si="1"/>
        <v>March</v>
      </c>
      <c r="B5098" s="11">
        <f>IFERROR(__xludf.DUMMYFUNCTION("""COMPUTED_VALUE"""),46086.0)</f>
        <v>46086</v>
      </c>
      <c r="C5098" s="2" t="str">
        <f>IFERROR(__xludf.DUMMYFUNCTION("""COMPUTED_VALUE"""),"MOBILECARE - SM MARIKINA")</f>
        <v>MOBILECARE - SM MARIKINA</v>
      </c>
      <c r="D5098" s="2" t="str">
        <f>IFERROR(__xludf.DUMMYFUNCTION("""COMPUTED_VALUE"""),"661-30366")</f>
        <v>661-30366</v>
      </c>
      <c r="E5098" s="2" t="str">
        <f>IFERROR(__xludf.DUMMYFUNCTION("""COMPUTED_VALUE"""),"Display, iPhone 14")</f>
        <v>Display, iPhone 14</v>
      </c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</row>
    <row r="5099">
      <c r="A5099" s="10" t="str">
        <f t="shared" si="1"/>
        <v>March</v>
      </c>
      <c r="B5099" s="11">
        <f>IFERROR(__xludf.DUMMYFUNCTION("""COMPUTED_VALUE"""),46082.0)</f>
        <v>46082</v>
      </c>
      <c r="C5099" s="2" t="str">
        <f>IFERROR(__xludf.DUMMYFUNCTION("""COMPUTED_VALUE"""),"MOBILECARE - SM MARIKINA")</f>
        <v>MOBILECARE - SM MARIKINA</v>
      </c>
      <c r="D5099" s="2" t="str">
        <f>IFERROR(__xludf.DUMMYFUNCTION("""COMPUTED_VALUE"""),"661-21988")</f>
        <v>661-21988</v>
      </c>
      <c r="E5099" s="2" t="str">
        <f>IFERROR(__xludf.DUMMYFUNCTION("""COMPUTED_VALUE"""),"Display, iPhone 13")</f>
        <v>Display, iPhone 13</v>
      </c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</row>
    <row r="5100">
      <c r="A5100" s="10" t="str">
        <f t="shared" si="1"/>
        <v>February</v>
      </c>
      <c r="B5100" s="11">
        <f>IFERROR(__xludf.DUMMYFUNCTION("""COMPUTED_VALUE"""),46065.0)</f>
        <v>46065</v>
      </c>
      <c r="C5100" s="2" t="str">
        <f>IFERROR(__xludf.DUMMYFUNCTION("""COMPUTED_VALUE"""),"MOBILECARE - SM MARIKINA")</f>
        <v>MOBILECARE - SM MARIKINA</v>
      </c>
      <c r="D5100" s="2" t="str">
        <f>IFERROR(__xludf.DUMMYFUNCTION("""COMPUTED_VALUE"""),"661-44955")</f>
        <v>661-44955</v>
      </c>
      <c r="E5100" s="2" t="str">
        <f>IFERROR(__xludf.DUMMYFUNCTION("""COMPUTED_VALUE"""),"Display, iPhone 16 Pro Max")</f>
        <v>Display, iPhone 16 Pro Max</v>
      </c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</row>
    <row r="5101">
      <c r="A5101" s="10" t="str">
        <f t="shared" si="1"/>
        <v>June</v>
      </c>
      <c r="B5101" s="11">
        <f>IFERROR(__xludf.DUMMYFUNCTION("""COMPUTED_VALUE"""),46191.0)</f>
        <v>46191</v>
      </c>
      <c r="C5101" s="2" t="str">
        <f>IFERROR(__xludf.DUMMYFUNCTION("""COMPUTED_VALUE"""),"MOBILECARE - SM MARIKINA")</f>
        <v>MOBILECARE - SM MARIKINA</v>
      </c>
      <c r="D5101" s="2" t="str">
        <f>IFERROR(__xludf.DUMMYFUNCTION("""COMPUTED_VALUE"""),"661-42844")</f>
        <v>661-42844</v>
      </c>
      <c r="E5101" s="2" t="str">
        <f>IFERROR(__xludf.DUMMYFUNCTION("""COMPUTED_VALUE"""),"TrueDepth Camera, iPhone 16 Plus")</f>
        <v>TrueDepth Camera, iPhone 16 Plus</v>
      </c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</row>
    <row r="5102">
      <c r="A5102" s="10" t="str">
        <f t="shared" si="1"/>
        <v>May</v>
      </c>
      <c r="B5102" s="11">
        <f>IFERROR(__xludf.DUMMYFUNCTION("""COMPUTED_VALUE"""),46148.0)</f>
        <v>46148</v>
      </c>
      <c r="C5102" s="2" t="str">
        <f>IFERROR(__xludf.DUMMYFUNCTION("""COMPUTED_VALUE"""),"MOBILECARE - SM MARIKINA")</f>
        <v>MOBILECARE - SM MARIKINA</v>
      </c>
      <c r="D5102" s="2" t="str">
        <f>IFERROR(__xludf.DUMMYFUNCTION("""COMPUTED_VALUE"""),"661-36706")</f>
        <v>661-36706</v>
      </c>
      <c r="E5102" s="2" t="str">
        <f>IFERROR(__xludf.DUMMYFUNCTION("""COMPUTED_VALUE"""),"Display, iPhone 15")</f>
        <v>Display, iPhone 15</v>
      </c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</row>
    <row r="5103">
      <c r="A5103" s="10" t="str">
        <f t="shared" si="1"/>
        <v>April</v>
      </c>
      <c r="B5103" s="11">
        <f>IFERROR(__xludf.DUMMYFUNCTION("""COMPUTED_VALUE"""),46126.0)</f>
        <v>46126</v>
      </c>
      <c r="C5103" s="2" t="str">
        <f>IFERROR(__xludf.DUMMYFUNCTION("""COMPUTED_VALUE"""),"MOBILECARE - SM MARIKINA")</f>
        <v>MOBILECARE - SM MARIKINA</v>
      </c>
      <c r="D5103" s="2" t="str">
        <f>IFERROR(__xludf.DUMMYFUNCTION("""COMPUTED_VALUE"""),"661-49425")</f>
        <v>661-49425</v>
      </c>
      <c r="E5103" s="2" t="str">
        <f>IFERROR(__xludf.DUMMYFUNCTION("""COMPUTED_VALUE"""),"Camera, iPhone 16e/iPhone 17e")</f>
        <v>Camera, iPhone 16e/iPhone 17e</v>
      </c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</row>
    <row r="5104">
      <c r="A5104" s="10" t="str">
        <f t="shared" si="1"/>
        <v>April</v>
      </c>
      <c r="B5104" s="11">
        <f>IFERROR(__xludf.DUMMYFUNCTION("""COMPUTED_VALUE"""),46113.0)</f>
        <v>46113</v>
      </c>
      <c r="C5104" s="2" t="str">
        <f>IFERROR(__xludf.DUMMYFUNCTION("""COMPUTED_VALUE"""),"MOBILECARE - SM MARIKINA")</f>
        <v>MOBILECARE - SM MARIKINA</v>
      </c>
      <c r="D5104" s="2" t="str">
        <f>IFERROR(__xludf.DUMMYFUNCTION("""COMPUTED_VALUE"""),"661-21991")</f>
        <v>661-21991</v>
      </c>
      <c r="E5104" s="2" t="str">
        <f>IFERROR(__xludf.DUMMYFUNCTION("""COMPUTED_VALUE"""),"Battery, iPhone 13")</f>
        <v>Battery, iPhone 13</v>
      </c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</row>
    <row r="5105">
      <c r="A5105" s="10" t="str">
        <f t="shared" si="1"/>
        <v>March</v>
      </c>
      <c r="B5105" s="11">
        <f>IFERROR(__xludf.DUMMYFUNCTION("""COMPUTED_VALUE"""),46087.0)</f>
        <v>46087</v>
      </c>
      <c r="C5105" s="2" t="str">
        <f>IFERROR(__xludf.DUMMYFUNCTION("""COMPUTED_VALUE"""),"MOBILECARE - SM MARIKINA")</f>
        <v>MOBILECARE - SM MARIKINA</v>
      </c>
      <c r="D5105" s="2" t="str">
        <f>IFERROR(__xludf.DUMMYFUNCTION("""COMPUTED_VALUE"""),"661-22309")</f>
        <v>661-22309</v>
      </c>
      <c r="E5105" s="2" t="str">
        <f>IFERROR(__xludf.DUMMYFUNCTION("""COMPUTED_VALUE"""),"Display, iPhone 13 Pro Max")</f>
        <v>Display, iPhone 13 Pro Max</v>
      </c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</row>
    <row r="5106">
      <c r="A5106" s="10" t="str">
        <f t="shared" si="1"/>
        <v>March</v>
      </c>
      <c r="B5106" s="11">
        <f>IFERROR(__xludf.DUMMYFUNCTION("""COMPUTED_VALUE"""),46094.0)</f>
        <v>46094</v>
      </c>
      <c r="C5106" s="2" t="str">
        <f>IFERROR(__xludf.DUMMYFUNCTION("""COMPUTED_VALUE"""),"MOBILECARE - SM MARIKINA")</f>
        <v>MOBILECARE - SM MARIKINA</v>
      </c>
      <c r="D5106" s="2" t="str">
        <f>IFERROR(__xludf.DUMMYFUNCTION("""COMPUTED_VALUE"""),"661-13574")</f>
        <v>661-13574</v>
      </c>
      <c r="E5106" s="2" t="str">
        <f>IFERROR(__xludf.DUMMYFUNCTION("""COMPUTED_VALUE"""),"Battery, iPhone 11")</f>
        <v>Battery, iPhone 11</v>
      </c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</row>
    <row r="5107">
      <c r="A5107" s="10" t="str">
        <f t="shared" si="1"/>
        <v>January</v>
      </c>
      <c r="B5107" s="11">
        <f>IFERROR(__xludf.DUMMYFUNCTION("""COMPUTED_VALUE"""),46050.0)</f>
        <v>46050</v>
      </c>
      <c r="C5107" s="2" t="str">
        <f>IFERROR(__xludf.DUMMYFUNCTION("""COMPUTED_VALUE"""),"MOBILECARE - SM MARIKINA")</f>
        <v>MOBILECARE - SM MARIKINA</v>
      </c>
      <c r="D5107" s="2" t="str">
        <f>IFERROR(__xludf.DUMMYFUNCTION("""COMPUTED_VALUE"""),"661-21991")</f>
        <v>661-21991</v>
      </c>
      <c r="E5107" s="2" t="str">
        <f>IFERROR(__xludf.DUMMYFUNCTION("""COMPUTED_VALUE"""),"Battery, iPhone 13")</f>
        <v>Battery, iPhone 13</v>
      </c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</row>
    <row r="5108">
      <c r="A5108" s="10" t="str">
        <f t="shared" si="1"/>
        <v>January</v>
      </c>
      <c r="B5108" s="11">
        <f>IFERROR(__xludf.DUMMYFUNCTION("""COMPUTED_VALUE"""),46052.0)</f>
        <v>46052</v>
      </c>
      <c r="C5108" s="2" t="str">
        <f>IFERROR(__xludf.DUMMYFUNCTION("""COMPUTED_VALUE"""),"MOBILECARE - SM MARIKINA")</f>
        <v>MOBILECARE - SM MARIKINA</v>
      </c>
      <c r="D5108" s="2" t="str">
        <f>IFERROR(__xludf.DUMMYFUNCTION("""COMPUTED_VALUE"""),"661-30382")</f>
        <v>661-30382</v>
      </c>
      <c r="E5108" s="2" t="str">
        <f>IFERROR(__xludf.DUMMYFUNCTION("""COMPUTED_VALUE"""),"Battery, iPhone 14 Pro")</f>
        <v>Battery, iPhone 14 Pro</v>
      </c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</row>
    <row r="5109">
      <c r="A5109" s="10" t="str">
        <f t="shared" si="1"/>
        <v>June</v>
      </c>
      <c r="B5109" s="11">
        <f>IFERROR(__xludf.DUMMYFUNCTION("""COMPUTED_VALUE"""),46191.0)</f>
        <v>46191</v>
      </c>
      <c r="C5109" s="2" t="str">
        <f>IFERROR(__xludf.DUMMYFUNCTION("""COMPUTED_VALUE"""),"MOBILECARE - SM MARIKINA")</f>
        <v>MOBILECARE - SM MARIKINA</v>
      </c>
      <c r="D5109" s="2" t="str">
        <f>IFERROR(__xludf.DUMMYFUNCTION("""COMPUTED_VALUE"""),"661-21991")</f>
        <v>661-21991</v>
      </c>
      <c r="E5109" s="2" t="str">
        <f>IFERROR(__xludf.DUMMYFUNCTION("""COMPUTED_VALUE"""),"Battery, iPhone 13")</f>
        <v>Battery, iPhone 13</v>
      </c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</row>
    <row r="5110">
      <c r="A5110" s="10" t="str">
        <f t="shared" si="1"/>
        <v>May</v>
      </c>
      <c r="B5110" s="11">
        <f>IFERROR(__xludf.DUMMYFUNCTION("""COMPUTED_VALUE"""),46157.0)</f>
        <v>46157</v>
      </c>
      <c r="C5110" s="2" t="str">
        <f>IFERROR(__xludf.DUMMYFUNCTION("""COMPUTED_VALUE"""),"MOBILECARE - SM MARIKINA")</f>
        <v>MOBILECARE - SM MARIKINA</v>
      </c>
      <c r="D5110" s="2" t="str">
        <f>IFERROR(__xludf.DUMMYFUNCTION("""COMPUTED_VALUE"""),"661-18428")</f>
        <v>661-18428</v>
      </c>
      <c r="E5110" s="2" t="str">
        <f>IFERROR(__xludf.DUMMYFUNCTION("""COMPUTED_VALUE"""),"Battery, iPhone 12 Pro Max")</f>
        <v>Battery, iPhone 12 Pro Max</v>
      </c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</row>
    <row r="5111">
      <c r="A5111" s="10" t="str">
        <f t="shared" si="1"/>
        <v>May</v>
      </c>
      <c r="B5111" s="11">
        <f>IFERROR(__xludf.DUMMYFUNCTION("""COMPUTED_VALUE"""),46159.0)</f>
        <v>46159</v>
      </c>
      <c r="C5111" s="2" t="str">
        <f>IFERROR(__xludf.DUMMYFUNCTION("""COMPUTED_VALUE"""),"MOBILECARE - SM MARIKINA")</f>
        <v>MOBILECARE - SM MARIKINA</v>
      </c>
      <c r="D5111" s="2" t="str">
        <f>IFERROR(__xludf.DUMMYFUNCTION("""COMPUTED_VALUE"""),"661-21991")</f>
        <v>661-21991</v>
      </c>
      <c r="E5111" s="2" t="str">
        <f>IFERROR(__xludf.DUMMYFUNCTION("""COMPUTED_VALUE"""),"Battery, iPhone 13")</f>
        <v>Battery, iPhone 13</v>
      </c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</row>
    <row r="5112">
      <c r="A5112" s="10" t="str">
        <f t="shared" si="1"/>
        <v>May</v>
      </c>
      <c r="B5112" s="11">
        <f>IFERROR(__xludf.DUMMYFUNCTION("""COMPUTED_VALUE"""),46150.0)</f>
        <v>46150</v>
      </c>
      <c r="C5112" s="2" t="str">
        <f>IFERROR(__xludf.DUMMYFUNCTION("""COMPUTED_VALUE"""),"MOBILECARE - SM MARIKINA")</f>
        <v>MOBILECARE - SM MARIKINA</v>
      </c>
      <c r="D5112" s="2" t="str">
        <f>IFERROR(__xludf.DUMMYFUNCTION("""COMPUTED_VALUE"""),"661-36918")</f>
        <v>661-36918</v>
      </c>
      <c r="E5112" s="2" t="str">
        <f>IFERROR(__xludf.DUMMYFUNCTION("""COMPUTED_VALUE"""),"Battery, iPhone 15 Pro Max")</f>
        <v>Battery, iPhone 15 Pro Max</v>
      </c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</row>
    <row r="5113">
      <c r="A5113" s="10" t="str">
        <f t="shared" si="1"/>
        <v>April</v>
      </c>
      <c r="B5113" s="11">
        <f>IFERROR(__xludf.DUMMYFUNCTION("""COMPUTED_VALUE"""),46124.0)</f>
        <v>46124</v>
      </c>
      <c r="C5113" s="2" t="str">
        <f>IFERROR(__xludf.DUMMYFUNCTION("""COMPUTED_VALUE"""),"MOBILECARE - SM MARIKINA")</f>
        <v>MOBILECARE - SM MARIKINA</v>
      </c>
      <c r="D5113" s="2" t="str">
        <f>IFERROR(__xludf.DUMMYFUNCTION("""COMPUTED_VALUE"""),"661-21991")</f>
        <v>661-21991</v>
      </c>
      <c r="E5113" s="2" t="str">
        <f>IFERROR(__xludf.DUMMYFUNCTION("""COMPUTED_VALUE"""),"Battery, iPhone 13")</f>
        <v>Battery, iPhone 13</v>
      </c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</row>
    <row r="5114">
      <c r="A5114" s="10" t="str">
        <f t="shared" si="1"/>
        <v>April</v>
      </c>
      <c r="B5114" s="11">
        <f>IFERROR(__xludf.DUMMYFUNCTION("""COMPUTED_VALUE"""),46126.0)</f>
        <v>46126</v>
      </c>
      <c r="C5114" s="2" t="str">
        <f>IFERROR(__xludf.DUMMYFUNCTION("""COMPUTED_VALUE"""),"MOBILECARE - SM MARIKINA")</f>
        <v>MOBILECARE - SM MARIKINA</v>
      </c>
      <c r="D5114" s="2" t="str">
        <f>IFERROR(__xludf.DUMMYFUNCTION("""COMPUTED_VALUE"""),"661-44955")</f>
        <v>661-44955</v>
      </c>
      <c r="E5114" s="2" t="str">
        <f>IFERROR(__xludf.DUMMYFUNCTION("""COMPUTED_VALUE"""),"Display, iPhone 16 Pro Max")</f>
        <v>Display, iPhone 16 Pro Max</v>
      </c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</row>
    <row r="5115">
      <c r="A5115" s="10" t="str">
        <f t="shared" si="1"/>
        <v>June</v>
      </c>
      <c r="B5115" s="11">
        <f>IFERROR(__xludf.DUMMYFUNCTION("""COMPUTED_VALUE"""),46191.0)</f>
        <v>46191</v>
      </c>
      <c r="C5115" s="2" t="str">
        <f>IFERROR(__xludf.DUMMYFUNCTION("""COMPUTED_VALUE"""),"MOBILECARE - LA UNION")</f>
        <v>MOBILECARE - LA UNION</v>
      </c>
      <c r="D5115" s="2" t="str">
        <f>IFERROR(__xludf.DUMMYFUNCTION("""COMPUTED_VALUE"""),"Z661-55957")</f>
        <v>Z661-55957</v>
      </c>
      <c r="E5115" s="2" t="str">
        <f>IFERROR(__xludf.DUMMYFUNCTION("""COMPUTED_VALUE"""),"Logic Board, 512GB, iPhone 17 Pro Max, ROW")</f>
        <v>Logic Board, 512GB, iPhone 17 Pro Max, ROW</v>
      </c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</row>
    <row r="5116">
      <c r="A5116" s="10" t="str">
        <f t="shared" si="1"/>
        <v>June</v>
      </c>
      <c r="B5116" s="11">
        <f>IFERROR(__xludf.DUMMYFUNCTION("""COMPUTED_VALUE"""),46180.0)</f>
        <v>46180</v>
      </c>
      <c r="C5116" s="2" t="str">
        <f>IFERROR(__xludf.DUMMYFUNCTION("""COMPUTED_VALUE"""),"MOBILECARE - LA UNION")</f>
        <v>MOBILECARE - LA UNION</v>
      </c>
      <c r="D5116" s="2" t="str">
        <f>IFERROR(__xludf.DUMMYFUNCTION("""COMPUTED_VALUE"""),"TA661-44997")</f>
        <v>TA661-44997</v>
      </c>
      <c r="E5116" s="2" t="str">
        <f>IFERROR(__xludf.DUMMYFUNCTION("""COMPUTED_VALUE"""),"128GB, Desert Titanium, ROW, iPhone 16 Pro, Logic Board Assy Mid System")</f>
        <v>128GB, Desert Titanium, ROW, iPhone 16 Pro, Logic Board Assy Mid System</v>
      </c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</row>
    <row r="5117">
      <c r="A5117" s="10" t="str">
        <f t="shared" si="1"/>
        <v>April</v>
      </c>
      <c r="B5117" s="11">
        <f>IFERROR(__xludf.DUMMYFUNCTION("""COMPUTED_VALUE"""),46142.0)</f>
        <v>46142</v>
      </c>
      <c r="C5117" s="2" t="str">
        <f>IFERROR(__xludf.DUMMYFUNCTION("""COMPUTED_VALUE"""),"MOBILECARE - LA UNION")</f>
        <v>MOBILECARE - LA UNION</v>
      </c>
      <c r="D5117" s="2" t="str">
        <f>IFERROR(__xludf.DUMMYFUNCTION("""COMPUTED_VALUE"""),"661-36918")</f>
        <v>661-36918</v>
      </c>
      <c r="E5117" s="2" t="str">
        <f>IFERROR(__xludf.DUMMYFUNCTION("""COMPUTED_VALUE"""),"Battery, iPhone 15 Pro Max")</f>
        <v>Battery, iPhone 15 Pro Max</v>
      </c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</row>
    <row r="5118">
      <c r="A5118" s="10" t="str">
        <f t="shared" si="1"/>
        <v>April</v>
      </c>
      <c r="B5118" s="11">
        <f>IFERROR(__xludf.DUMMYFUNCTION("""COMPUTED_VALUE"""),46136.0)</f>
        <v>46136</v>
      </c>
      <c r="C5118" s="2" t="str">
        <f>IFERROR(__xludf.DUMMYFUNCTION("""COMPUTED_VALUE"""),"MOBILECARE - LA UNION")</f>
        <v>MOBILECARE - LA UNION</v>
      </c>
      <c r="D5118" s="2" t="str">
        <f>IFERROR(__xludf.DUMMYFUNCTION("""COMPUTED_VALUE"""),"661-56050")</f>
        <v>661-56050</v>
      </c>
      <c r="E5118" s="2" t="str">
        <f>IFERROR(__xludf.DUMMYFUNCTION("""COMPUTED_VALUE"""),"Display, iPhone 17 Pro Max")</f>
        <v>Display, iPhone 17 Pro Max</v>
      </c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</row>
    <row r="5119">
      <c r="A5119" s="10" t="str">
        <f t="shared" si="1"/>
        <v>April</v>
      </c>
      <c r="B5119" s="11">
        <f>IFERROR(__xludf.DUMMYFUNCTION("""COMPUTED_VALUE"""),46127.0)</f>
        <v>46127</v>
      </c>
      <c r="C5119" s="2" t="str">
        <f>IFERROR(__xludf.DUMMYFUNCTION("""COMPUTED_VALUE"""),"MOBILECARE - LA UNION")</f>
        <v>MOBILECARE - LA UNION</v>
      </c>
      <c r="D5119" s="2" t="str">
        <f>IFERROR(__xludf.DUMMYFUNCTION("""COMPUTED_VALUE"""),"TA661-43499")</f>
        <v>TA661-43499</v>
      </c>
      <c r="E5119" s="2" t="str">
        <f>IFERROR(__xludf.DUMMYFUNCTION("""COMPUTED_VALUE"""),"128GB, White, ROW, iPhone 16, CI/AR")</f>
        <v>128GB, White, ROW, iPhone 16, CI/AR</v>
      </c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</row>
    <row r="5120">
      <c r="A5120" s="10" t="str">
        <f t="shared" si="1"/>
        <v>June</v>
      </c>
      <c r="B5120" s="11">
        <f>IFERROR(__xludf.DUMMYFUNCTION("""COMPUTED_VALUE"""),46180.0)</f>
        <v>46180</v>
      </c>
      <c r="C5120" s="2" t="str">
        <f>IFERROR(__xludf.DUMMYFUNCTION("""COMPUTED_VALUE"""),"MOBILECARE - LA UNION")</f>
        <v>MOBILECARE - LA UNION</v>
      </c>
      <c r="D5120" s="2" t="str">
        <f>IFERROR(__xludf.DUMMYFUNCTION("""COMPUTED_VALUE"""),"661-21991")</f>
        <v>661-21991</v>
      </c>
      <c r="E5120" s="2" t="str">
        <f>IFERROR(__xludf.DUMMYFUNCTION("""COMPUTED_VALUE"""),"Battery, iPhone 13")</f>
        <v>Battery, iPhone 13</v>
      </c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</row>
    <row r="5121">
      <c r="A5121" s="10" t="str">
        <f t="shared" si="1"/>
        <v>May</v>
      </c>
      <c r="B5121" s="11">
        <f>IFERROR(__xludf.DUMMYFUNCTION("""COMPUTED_VALUE"""),46148.0)</f>
        <v>46148</v>
      </c>
      <c r="C5121" s="2" t="str">
        <f>IFERROR(__xludf.DUMMYFUNCTION("""COMPUTED_VALUE"""),"MOBILECARE - LA UNION")</f>
        <v>MOBILECARE - LA UNION</v>
      </c>
      <c r="D5121" s="2" t="str">
        <f>IFERROR(__xludf.DUMMYFUNCTION("""COMPUTED_VALUE"""),"661-56066")</f>
        <v>661-56066</v>
      </c>
      <c r="E5121" s="2" t="str">
        <f>IFERROR(__xludf.DUMMYFUNCTION("""COMPUTED_VALUE"""),"Front Camera, iPhone 17")</f>
        <v>Front Camera, iPhone 17</v>
      </c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</row>
    <row r="5122">
      <c r="A5122" s="10" t="str">
        <f t="shared" si="1"/>
        <v>April</v>
      </c>
      <c r="B5122" s="11">
        <f>IFERROR(__xludf.DUMMYFUNCTION("""COMPUTED_VALUE"""),46138.0)</f>
        <v>46138</v>
      </c>
      <c r="C5122" s="2" t="str">
        <f>IFERROR(__xludf.DUMMYFUNCTION("""COMPUTED_VALUE"""),"MOBILECARE - LA UNION")</f>
        <v>MOBILECARE - LA UNION</v>
      </c>
      <c r="D5122" s="2" t="str">
        <f>IFERROR(__xludf.DUMMYFUNCTION("""COMPUTED_VALUE"""),"TA661-44995")</f>
        <v>TA661-44995</v>
      </c>
      <c r="E5122" s="2" t="str">
        <f>IFERROR(__xludf.DUMMYFUNCTION("""COMPUTED_VALUE"""),"128GB, Black Titanium, ROW, iPhone 16 Pro, Logic Board Assy Mid System")</f>
        <v>128GB, Black Titanium, ROW, iPhone 16 Pro, Logic Board Assy Mid System</v>
      </c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</row>
    <row r="5123">
      <c r="A5123" s="10" t="str">
        <f t="shared" si="1"/>
        <v>March</v>
      </c>
      <c r="B5123" s="11">
        <f>IFERROR(__xludf.DUMMYFUNCTION("""COMPUTED_VALUE"""),46110.0)</f>
        <v>46110</v>
      </c>
      <c r="C5123" s="2" t="str">
        <f>IFERROR(__xludf.DUMMYFUNCTION("""COMPUTED_VALUE"""),"MOBILECARE - LA UNION")</f>
        <v>MOBILECARE - LA UNION</v>
      </c>
      <c r="D5123" s="2" t="str">
        <f>IFERROR(__xludf.DUMMYFUNCTION("""COMPUTED_VALUE"""),"661-21991")</f>
        <v>661-21991</v>
      </c>
      <c r="E5123" s="2" t="str">
        <f>IFERROR(__xludf.DUMMYFUNCTION("""COMPUTED_VALUE"""),"Battery, iPhone 13")</f>
        <v>Battery, iPhone 13</v>
      </c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</row>
    <row r="5124">
      <c r="A5124" s="10" t="str">
        <f t="shared" si="1"/>
        <v>March</v>
      </c>
      <c r="B5124" s="11">
        <f>IFERROR(__xludf.DUMMYFUNCTION("""COMPUTED_VALUE"""),46105.0)</f>
        <v>46105</v>
      </c>
      <c r="C5124" s="2" t="str">
        <f>IFERROR(__xludf.DUMMYFUNCTION("""COMPUTED_VALUE"""),"MOBILECARE - LA UNION")</f>
        <v>MOBILECARE - LA UNION</v>
      </c>
      <c r="D5124" s="2" t="str">
        <f>IFERROR(__xludf.DUMMYFUNCTION("""COMPUTED_VALUE"""),"PP661-23455")</f>
        <v>PP661-23455</v>
      </c>
      <c r="E5124" s="2" t="str">
        <f>IFERROR(__xludf.DUMMYFUNCTION("""COMPUTED_VALUE"""),"iPhone 13, Starlight, 128GB, Logic Board Assy Rear System, ROW")</f>
        <v>iPhone 13, Starlight, 128GB, Logic Board Assy Rear System, ROW</v>
      </c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</row>
    <row r="5125">
      <c r="A5125" s="10" t="str">
        <f t="shared" si="1"/>
        <v>May</v>
      </c>
      <c r="B5125" s="11">
        <f>IFERROR(__xludf.DUMMYFUNCTION("""COMPUTED_VALUE"""),46155.0)</f>
        <v>46155</v>
      </c>
      <c r="C5125" s="2" t="str">
        <f>IFERROR(__xludf.DUMMYFUNCTION("""COMPUTED_VALUE"""),"MOBILECARE - LA UNION")</f>
        <v>MOBILECARE - LA UNION</v>
      </c>
      <c r="D5125" s="2" t="str">
        <f>IFERROR(__xludf.DUMMYFUNCTION("""COMPUTED_VALUE"""),"PP661-23455")</f>
        <v>PP661-23455</v>
      </c>
      <c r="E5125" s="2" t="str">
        <f>IFERROR(__xludf.DUMMYFUNCTION("""COMPUTED_VALUE"""),"iPhone 13, Starlight, 128GB, Logic Board Assy Rear System, ROW")</f>
        <v>iPhone 13, Starlight, 128GB, Logic Board Assy Rear System, ROW</v>
      </c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</row>
    <row r="5126">
      <c r="A5126" s="10" t="str">
        <f t="shared" si="1"/>
        <v>February</v>
      </c>
      <c r="B5126" s="11">
        <f>IFERROR(__xludf.DUMMYFUNCTION("""COMPUTED_VALUE"""),46055.0)</f>
        <v>46055</v>
      </c>
      <c r="C5126" s="2" t="str">
        <f>IFERROR(__xludf.DUMMYFUNCTION("""COMPUTED_VALUE"""),"MOBILECARE - LA UNION")</f>
        <v>MOBILECARE - LA UNION</v>
      </c>
      <c r="D5126" s="2" t="str">
        <f>IFERROR(__xludf.DUMMYFUNCTION("""COMPUTED_VALUE"""),"661-36706")</f>
        <v>661-36706</v>
      </c>
      <c r="E5126" s="2" t="str">
        <f>IFERROR(__xludf.DUMMYFUNCTION("""COMPUTED_VALUE"""),"Display, iPhone 15")</f>
        <v>Display, iPhone 15</v>
      </c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</row>
    <row r="5127">
      <c r="A5127" s="10" t="str">
        <f t="shared" si="1"/>
        <v>June</v>
      </c>
      <c r="B5127" s="11">
        <f>IFERROR(__xludf.DUMMYFUNCTION("""COMPUTED_VALUE"""),46179.0)</f>
        <v>46179</v>
      </c>
      <c r="C5127" s="2" t="str">
        <f>IFERROR(__xludf.DUMMYFUNCTION("""COMPUTED_VALUE"""),"MOBILECARE - LA UNION")</f>
        <v>MOBILECARE - LA UNION</v>
      </c>
      <c r="D5127" s="2" t="str">
        <f>IFERROR(__xludf.DUMMYFUNCTION("""COMPUTED_VALUE"""),"661-21991")</f>
        <v>661-21991</v>
      </c>
      <c r="E5127" s="2" t="str">
        <f>IFERROR(__xludf.DUMMYFUNCTION("""COMPUTED_VALUE"""),"Battery, iPhone 13")</f>
        <v>Battery, iPhone 13</v>
      </c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</row>
    <row r="5128">
      <c r="A5128" s="10" t="str">
        <f t="shared" si="1"/>
        <v>April</v>
      </c>
      <c r="B5128" s="11">
        <f>IFERROR(__xludf.DUMMYFUNCTION("""COMPUTED_VALUE"""),46130.0)</f>
        <v>46130</v>
      </c>
      <c r="C5128" s="2" t="str">
        <f>IFERROR(__xludf.DUMMYFUNCTION("""COMPUTED_VALUE"""),"MOBILECARE - LA UNION")</f>
        <v>MOBILECARE - LA UNION</v>
      </c>
      <c r="D5128" s="2" t="str">
        <f>IFERROR(__xludf.DUMMYFUNCTION("""COMPUTED_VALUE"""),"Z661-55942")</f>
        <v>Z661-55942</v>
      </c>
      <c r="E5128" s="2" t="str">
        <f>IFERROR(__xludf.DUMMYFUNCTION("""COMPUTED_VALUE"""),"Logic Board, 256GB, A3523, ROW, iPhone 17 Pro")</f>
        <v>Logic Board, 256GB, A3523, ROW, iPhone 17 Pro</v>
      </c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</row>
    <row r="5129">
      <c r="A5129" s="10" t="str">
        <f t="shared" si="1"/>
        <v>April</v>
      </c>
      <c r="B5129" s="11">
        <f>IFERROR(__xludf.DUMMYFUNCTION("""COMPUTED_VALUE"""),46142.0)</f>
        <v>46142</v>
      </c>
      <c r="C5129" s="2" t="str">
        <f>IFERROR(__xludf.DUMMYFUNCTION("""COMPUTED_VALUE"""),"MOBILECARE - LA UNION")</f>
        <v>MOBILECARE - LA UNION</v>
      </c>
      <c r="D5129" s="2" t="str">
        <f>IFERROR(__xludf.DUMMYFUNCTION("""COMPUTED_VALUE"""),"PP661-22981")</f>
        <v>PP661-22981</v>
      </c>
      <c r="E5129" s="2" t="str">
        <f>IFERROR(__xludf.DUMMYFUNCTION("""COMPUTED_VALUE"""),"Starlight, 128 GB, iPhone 13, ROW, CI/AR, Philippines")</f>
        <v>Starlight, 128 GB, iPhone 13, ROW, CI/AR, Philippines</v>
      </c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</row>
    <row r="5130">
      <c r="A5130" s="10" t="str">
        <f t="shared" si="1"/>
        <v>April</v>
      </c>
      <c r="B5130" s="11">
        <f>IFERROR(__xludf.DUMMYFUNCTION("""COMPUTED_VALUE"""),46142.0)</f>
        <v>46142</v>
      </c>
      <c r="C5130" s="2" t="str">
        <f>IFERROR(__xludf.DUMMYFUNCTION("""COMPUTED_VALUE"""),"MOBILECARE - LA UNION")</f>
        <v>MOBILECARE - LA UNION</v>
      </c>
      <c r="D5130" s="2" t="str">
        <f>IFERROR(__xludf.DUMMYFUNCTION("""COMPUTED_VALUE"""),"PP661-22981")</f>
        <v>PP661-22981</v>
      </c>
      <c r="E5130" s="2" t="str">
        <f>IFERROR(__xludf.DUMMYFUNCTION("""COMPUTED_VALUE"""),"Starlight, 128 GB, iPhone 13, ROW, CI/AR, Philippines")</f>
        <v>Starlight, 128 GB, iPhone 13, ROW, CI/AR, Philippines</v>
      </c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</row>
    <row r="5131">
      <c r="A5131" s="10" t="str">
        <f t="shared" si="1"/>
        <v>April</v>
      </c>
      <c r="B5131" s="11">
        <f>IFERROR(__xludf.DUMMYFUNCTION("""COMPUTED_VALUE"""),46142.0)</f>
        <v>46142</v>
      </c>
      <c r="C5131" s="2" t="str">
        <f>IFERROR(__xludf.DUMMYFUNCTION("""COMPUTED_VALUE"""),"MOBILECARE - LA UNION")</f>
        <v>MOBILECARE - LA UNION</v>
      </c>
      <c r="D5131" s="2" t="str">
        <f>IFERROR(__xludf.DUMMYFUNCTION("""COMPUTED_VALUE"""),"PP661-22981")</f>
        <v>PP661-22981</v>
      </c>
      <c r="E5131" s="2" t="str">
        <f>IFERROR(__xludf.DUMMYFUNCTION("""COMPUTED_VALUE"""),"Starlight, 128 GB, iPhone 13, ROW, CI/AR, Philippines")</f>
        <v>Starlight, 128 GB, iPhone 13, ROW, CI/AR, Philippines</v>
      </c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</row>
    <row r="5132">
      <c r="A5132" s="10" t="str">
        <f t="shared" si="1"/>
        <v>February</v>
      </c>
      <c r="B5132" s="11">
        <f>IFERROR(__xludf.DUMMYFUNCTION("""COMPUTED_VALUE"""),46059.0)</f>
        <v>46059</v>
      </c>
      <c r="C5132" s="2" t="str">
        <f>IFERROR(__xludf.DUMMYFUNCTION("""COMPUTED_VALUE"""),"MOBILECARE - LA UNION")</f>
        <v>MOBILECARE - LA UNION</v>
      </c>
      <c r="D5132" s="2" t="str">
        <f>IFERROR(__xludf.DUMMYFUNCTION("""COMPUTED_VALUE"""),"661-22374")</f>
        <v>661-22374</v>
      </c>
      <c r="E5132" s="2" t="str">
        <f>IFERROR(__xludf.DUMMYFUNCTION("""COMPUTED_VALUE"""),"Battery, iPhone 13 mini")</f>
        <v>Battery, iPhone 13 mini</v>
      </c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</row>
    <row r="5133">
      <c r="A5133" s="10" t="str">
        <f t="shared" si="1"/>
        <v>May</v>
      </c>
      <c r="B5133" s="11">
        <f>IFERROR(__xludf.DUMMYFUNCTION("""COMPUTED_VALUE"""),46149.0)</f>
        <v>46149</v>
      </c>
      <c r="C5133" s="2" t="str">
        <f>IFERROR(__xludf.DUMMYFUNCTION("""COMPUTED_VALUE"""),"MOBILECARE - LA UNION")</f>
        <v>MOBILECARE - LA UNION</v>
      </c>
      <c r="D5133" s="2" t="str">
        <f>IFERROR(__xludf.DUMMYFUNCTION("""COMPUTED_VALUE"""),"661-21988")</f>
        <v>661-21988</v>
      </c>
      <c r="E5133" s="2" t="str">
        <f>IFERROR(__xludf.DUMMYFUNCTION("""COMPUTED_VALUE"""),"Display, iPhone 13")</f>
        <v>Display, iPhone 13</v>
      </c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</row>
    <row r="5134">
      <c r="A5134" s="10" t="str">
        <f t="shared" si="1"/>
        <v>March</v>
      </c>
      <c r="B5134" s="11">
        <f>IFERROR(__xludf.DUMMYFUNCTION("""COMPUTED_VALUE"""),46095.0)</f>
        <v>46095</v>
      </c>
      <c r="C5134" s="2" t="str">
        <f>IFERROR(__xludf.DUMMYFUNCTION("""COMPUTED_VALUE"""),"MOBILECARE - LA UNION")</f>
        <v>MOBILECARE - LA UNION</v>
      </c>
      <c r="D5134" s="2" t="str">
        <f>IFERROR(__xludf.DUMMYFUNCTION("""COMPUTED_VALUE"""),"661-21991")</f>
        <v>661-21991</v>
      </c>
      <c r="E5134" s="2" t="str">
        <f>IFERROR(__xludf.DUMMYFUNCTION("""COMPUTED_VALUE"""),"Battery, iPhone 13")</f>
        <v>Battery, iPhone 13</v>
      </c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</row>
    <row r="5135">
      <c r="A5135" s="10" t="str">
        <f t="shared" si="1"/>
        <v>March</v>
      </c>
      <c r="B5135" s="11">
        <f>IFERROR(__xludf.DUMMYFUNCTION("""COMPUTED_VALUE"""),46101.0)</f>
        <v>46101</v>
      </c>
      <c r="C5135" s="2" t="str">
        <f>IFERROR(__xludf.DUMMYFUNCTION("""COMPUTED_VALUE"""),"MOBILECARE - LA UNION")</f>
        <v>MOBILECARE - LA UNION</v>
      </c>
      <c r="D5135" s="2" t="str">
        <f>IFERROR(__xludf.DUMMYFUNCTION("""COMPUTED_VALUE"""),"661-21991")</f>
        <v>661-21991</v>
      </c>
      <c r="E5135" s="2" t="str">
        <f>IFERROR(__xludf.DUMMYFUNCTION("""COMPUTED_VALUE"""),"Battery, iPhone 13")</f>
        <v>Battery, iPhone 13</v>
      </c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</row>
    <row r="5136">
      <c r="A5136" s="10" t="str">
        <f t="shared" si="1"/>
        <v>February</v>
      </c>
      <c r="B5136" s="11">
        <f>IFERROR(__xludf.DUMMYFUNCTION("""COMPUTED_VALUE"""),46065.0)</f>
        <v>46065</v>
      </c>
      <c r="C5136" s="2" t="str">
        <f>IFERROR(__xludf.DUMMYFUNCTION("""COMPUTED_VALUE"""),"MOBILECARE - LA UNION")</f>
        <v>MOBILECARE - LA UNION</v>
      </c>
      <c r="D5136" s="2" t="str">
        <f>IFERROR(__xludf.DUMMYFUNCTION("""COMPUTED_VALUE"""),"661-30393")</f>
        <v>661-30393</v>
      </c>
      <c r="E5136" s="2" t="str">
        <f>IFERROR(__xludf.DUMMYFUNCTION("""COMPUTED_VALUE"""),"Camera, iPhone 14 Plus")</f>
        <v>Camera, iPhone 14 Plus</v>
      </c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</row>
    <row r="5137">
      <c r="A5137" s="10" t="str">
        <f t="shared" si="1"/>
        <v>February</v>
      </c>
      <c r="B5137" s="11">
        <f>IFERROR(__xludf.DUMMYFUNCTION("""COMPUTED_VALUE"""),46065.0)</f>
        <v>46065</v>
      </c>
      <c r="C5137" s="2" t="str">
        <f>IFERROR(__xludf.DUMMYFUNCTION("""COMPUTED_VALUE"""),"MOBILECARE - LA UNION")</f>
        <v>MOBILECARE - LA UNION</v>
      </c>
      <c r="D5137" s="2" t="str">
        <f>IFERROR(__xludf.DUMMYFUNCTION("""COMPUTED_VALUE"""),"661-30384")</f>
        <v>661-30384</v>
      </c>
      <c r="E5137" s="2" t="str">
        <f>IFERROR(__xludf.DUMMYFUNCTION("""COMPUTED_VALUE"""),"Starlight, Back Glass, iPhone 14 Plus")</f>
        <v>Starlight, Back Glass, iPhone 14 Plus</v>
      </c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</row>
    <row r="5138">
      <c r="A5138" s="10" t="str">
        <f t="shared" si="1"/>
        <v>February</v>
      </c>
      <c r="B5138" s="11">
        <f>IFERROR(__xludf.DUMMYFUNCTION("""COMPUTED_VALUE"""),46071.0)</f>
        <v>46071</v>
      </c>
      <c r="C5138" s="2" t="str">
        <f>IFERROR(__xludf.DUMMYFUNCTION("""COMPUTED_VALUE"""),"MOBILECARE - LA UNION")</f>
        <v>MOBILECARE - LA UNION</v>
      </c>
      <c r="D5138" s="2" t="str">
        <f>IFERROR(__xludf.DUMMYFUNCTION("""COMPUTED_VALUE"""),"PP661-23455")</f>
        <v>PP661-23455</v>
      </c>
      <c r="E5138" s="2" t="str">
        <f>IFERROR(__xludf.DUMMYFUNCTION("""COMPUTED_VALUE"""),"iPhone 13, Starlight, 128GB, Logic Board Assy Rear System, ROW")</f>
        <v>iPhone 13, Starlight, 128GB, Logic Board Assy Rear System, ROW</v>
      </c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</row>
    <row r="5139">
      <c r="A5139" s="10" t="str">
        <f t="shared" si="1"/>
        <v>February</v>
      </c>
      <c r="B5139" s="11">
        <f>IFERROR(__xludf.DUMMYFUNCTION("""COMPUTED_VALUE"""),46054.0)</f>
        <v>46054</v>
      </c>
      <c r="C5139" s="2" t="str">
        <f>IFERROR(__xludf.DUMMYFUNCTION("""COMPUTED_VALUE"""),"MOBILECARE - LA UNION")</f>
        <v>MOBILECARE - LA UNION</v>
      </c>
      <c r="D5139" s="2" t="str">
        <f>IFERROR(__xludf.DUMMYFUNCTION("""COMPUTED_VALUE"""),"661-21996")</f>
        <v>661-21996</v>
      </c>
      <c r="E5139" s="2" t="str">
        <f>IFERROR(__xludf.DUMMYFUNCTION("""COMPUTED_VALUE"""),"Battery, iPhone 13 Pro")</f>
        <v>Battery, iPhone 13 Pro</v>
      </c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</row>
    <row r="5140">
      <c r="A5140" s="10" t="str">
        <f t="shared" si="1"/>
        <v>May</v>
      </c>
      <c r="B5140" s="11">
        <f>IFERROR(__xludf.DUMMYFUNCTION("""COMPUTED_VALUE"""),46145.0)</f>
        <v>46145</v>
      </c>
      <c r="C5140" s="2" t="str">
        <f>IFERROR(__xludf.DUMMYFUNCTION("""COMPUTED_VALUE"""),"MOBILECARE - LA UNION")</f>
        <v>MOBILECARE - LA UNION</v>
      </c>
      <c r="D5140" s="2" t="str">
        <f>IFERROR(__xludf.DUMMYFUNCTION("""COMPUTED_VALUE"""),"TA661-43606")</f>
        <v>TA661-43606</v>
      </c>
      <c r="E5140" s="2" t="str">
        <f>IFERROR(__xludf.DUMMYFUNCTION("""COMPUTED_VALUE"""),"128GB, White, ROW, iPhone 16, Logic Board Assy Mid System")</f>
        <v>128GB, White, ROW, iPhone 16, Logic Board Assy Mid System</v>
      </c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</row>
    <row r="5141">
      <c r="A5141" s="10" t="str">
        <f t="shared" si="1"/>
        <v>March</v>
      </c>
      <c r="B5141" s="11">
        <f>IFERROR(__xludf.DUMMYFUNCTION("""COMPUTED_VALUE"""),46110.0)</f>
        <v>46110</v>
      </c>
      <c r="C5141" s="2" t="str">
        <f>IFERROR(__xludf.DUMMYFUNCTION("""COMPUTED_VALUE"""),"MOBILECARE - LA UNION")</f>
        <v>MOBILECARE - LA UNION</v>
      </c>
      <c r="D5141" s="2" t="str">
        <f>IFERROR(__xludf.DUMMYFUNCTION("""COMPUTED_VALUE"""),"PP661-23454")</f>
        <v>PP661-23454</v>
      </c>
      <c r="E5141" s="2" t="str">
        <f>IFERROR(__xludf.DUMMYFUNCTION("""COMPUTED_VALUE"""),"iPhone 13, Midnight, 128GB, Logic Board Assy Rear System, ROW")</f>
        <v>iPhone 13, Midnight, 128GB, Logic Board Assy Rear System, ROW</v>
      </c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</row>
    <row r="5142">
      <c r="A5142" s="10" t="str">
        <f t="shared" si="1"/>
        <v>February</v>
      </c>
      <c r="B5142" s="11">
        <f>IFERROR(__xludf.DUMMYFUNCTION("""COMPUTED_VALUE"""),46054.0)</f>
        <v>46054</v>
      </c>
      <c r="C5142" s="2" t="str">
        <f>IFERROR(__xludf.DUMMYFUNCTION("""COMPUTED_VALUE"""),"MOBILECARE - LA UNION")</f>
        <v>MOBILECARE - LA UNION</v>
      </c>
      <c r="D5142" s="2" t="str">
        <f>IFERROR(__xludf.DUMMYFUNCTION("""COMPUTED_VALUE"""),"661-44798")</f>
        <v>661-44798</v>
      </c>
      <c r="E5142" s="2" t="str">
        <f>IFERROR(__xludf.DUMMYFUNCTION("""COMPUTED_VALUE"""),"TrueDepth Camera, iPhone 16")</f>
        <v>TrueDepth Camera, iPhone 16</v>
      </c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</row>
    <row r="5143">
      <c r="A5143" s="10" t="str">
        <f t="shared" si="1"/>
        <v>January</v>
      </c>
      <c r="B5143" s="11">
        <f>IFERROR(__xludf.DUMMYFUNCTION("""COMPUTED_VALUE"""),46048.0)</f>
        <v>46048</v>
      </c>
      <c r="C5143" s="2" t="str">
        <f>IFERROR(__xludf.DUMMYFUNCTION("""COMPUTED_VALUE"""),"MOBILECARE - LA UNION")</f>
        <v>MOBILECARE - LA UNION</v>
      </c>
      <c r="D5143" s="2" t="str">
        <f>IFERROR(__xludf.DUMMYFUNCTION("""COMPUTED_VALUE"""),"661-42727")</f>
        <v>661-42727</v>
      </c>
      <c r="E5143" s="2" t="str">
        <f>IFERROR(__xludf.DUMMYFUNCTION("""COMPUTED_VALUE"""),"TrueDepth Camera, iPhone 16 Pro")</f>
        <v>TrueDepth Camera, iPhone 16 Pro</v>
      </c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</row>
    <row r="5144">
      <c r="A5144" s="10" t="str">
        <f t="shared" si="1"/>
        <v>June</v>
      </c>
      <c r="B5144" s="11">
        <f>IFERROR(__xludf.DUMMYFUNCTION("""COMPUTED_VALUE"""),46188.0)</f>
        <v>46188</v>
      </c>
      <c r="C5144" s="2" t="str">
        <f>IFERROR(__xludf.DUMMYFUNCTION("""COMPUTED_VALUE"""),"MOBILECARE - LA UNION")</f>
        <v>MOBILECARE - LA UNION</v>
      </c>
      <c r="D5144" s="2" t="str">
        <f>IFERROR(__xludf.DUMMYFUNCTION("""COMPUTED_VALUE"""),"Z661-55943")</f>
        <v>Z661-55943</v>
      </c>
      <c r="E5144" s="2" t="str">
        <f>IFERROR(__xludf.DUMMYFUNCTION("""COMPUTED_VALUE"""),"Logic Board, 512GB, A3523, ROW, iPhone 17 Pro")</f>
        <v>Logic Board, 512GB, A3523, ROW, iPhone 17 Pro</v>
      </c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</row>
    <row r="5145">
      <c r="A5145" s="10" t="str">
        <f t="shared" si="1"/>
        <v>June</v>
      </c>
      <c r="B5145" s="11">
        <f>IFERROR(__xludf.DUMMYFUNCTION("""COMPUTED_VALUE"""),46187.0)</f>
        <v>46187</v>
      </c>
      <c r="C5145" s="2" t="str">
        <f>IFERROR(__xludf.DUMMYFUNCTION("""COMPUTED_VALUE"""),"MOBILECARE - LA UNION")</f>
        <v>MOBILECARE - LA UNION</v>
      </c>
      <c r="D5145" s="2" t="str">
        <f>IFERROR(__xludf.DUMMYFUNCTION("""COMPUTED_VALUE"""),"Z661-55848")</f>
        <v>Z661-55848</v>
      </c>
      <c r="E5145" s="2" t="str">
        <f>IFERROR(__xludf.DUMMYFUNCTION("""COMPUTED_VALUE"""),"Logic Board, 1TB, iPhone Air, ROW")</f>
        <v>Logic Board, 1TB, iPhone Air, ROW</v>
      </c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</row>
    <row r="5146">
      <c r="A5146" s="10" t="str">
        <f t="shared" si="1"/>
        <v>May</v>
      </c>
      <c r="B5146" s="11">
        <f>IFERROR(__xludf.DUMMYFUNCTION("""COMPUTED_VALUE"""),46154.0)</f>
        <v>46154</v>
      </c>
      <c r="C5146" s="2" t="str">
        <f>IFERROR(__xludf.DUMMYFUNCTION("""COMPUTED_VALUE"""),"MOBILECARE - LA UNION")</f>
        <v>MOBILECARE - LA UNION</v>
      </c>
      <c r="D5146" s="2" t="str">
        <f>IFERROR(__xludf.DUMMYFUNCTION("""COMPUTED_VALUE"""),"661-42844")</f>
        <v>661-42844</v>
      </c>
      <c r="E5146" s="2" t="str">
        <f>IFERROR(__xludf.DUMMYFUNCTION("""COMPUTED_VALUE"""),"TrueDepth Camera, iPhone 16 Plus")</f>
        <v>TrueDepth Camera, iPhone 16 Plus</v>
      </c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</row>
    <row r="5147">
      <c r="A5147" s="10" t="str">
        <f t="shared" si="1"/>
        <v>May</v>
      </c>
      <c r="B5147" s="11">
        <f>IFERROR(__xludf.DUMMYFUNCTION("""COMPUTED_VALUE"""),46153.0)</f>
        <v>46153</v>
      </c>
      <c r="C5147" s="2" t="str">
        <f>IFERROR(__xludf.DUMMYFUNCTION("""COMPUTED_VALUE"""),"MOBILECARE - LA UNION")</f>
        <v>MOBILECARE - LA UNION</v>
      </c>
      <c r="D5147" s="2" t="str">
        <f>IFERROR(__xludf.DUMMYFUNCTION("""COMPUTED_VALUE"""),"661-42728")</f>
        <v>661-42728</v>
      </c>
      <c r="E5147" s="2" t="str">
        <f>IFERROR(__xludf.DUMMYFUNCTION("""COMPUTED_VALUE"""),"Camera, iPhone 16 Pro")</f>
        <v>Camera, iPhone 16 Pro</v>
      </c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</row>
    <row r="5148">
      <c r="A5148" s="10" t="str">
        <f t="shared" si="1"/>
        <v>April</v>
      </c>
      <c r="B5148" s="11">
        <f>IFERROR(__xludf.DUMMYFUNCTION("""COMPUTED_VALUE"""),46120.0)</f>
        <v>46120</v>
      </c>
      <c r="C5148" s="2" t="str">
        <f>IFERROR(__xludf.DUMMYFUNCTION("""COMPUTED_VALUE"""),"MOBILECARE - LA UNION")</f>
        <v>MOBILECARE - LA UNION</v>
      </c>
      <c r="D5148" s="2" t="str">
        <f>IFERROR(__xludf.DUMMYFUNCTION("""COMPUTED_VALUE"""),"661-36918")</f>
        <v>661-36918</v>
      </c>
      <c r="E5148" s="2" t="str">
        <f>IFERROR(__xludf.DUMMYFUNCTION("""COMPUTED_VALUE"""),"Battery, iPhone 15 Pro Max")</f>
        <v>Battery, iPhone 15 Pro Max</v>
      </c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</row>
    <row r="5149">
      <c r="A5149" s="10" t="str">
        <f t="shared" si="1"/>
        <v>April</v>
      </c>
      <c r="B5149" s="11">
        <f>IFERROR(__xludf.DUMMYFUNCTION("""COMPUTED_VALUE"""),46135.0)</f>
        <v>46135</v>
      </c>
      <c r="C5149" s="2" t="str">
        <f>IFERROR(__xludf.DUMMYFUNCTION("""COMPUTED_VALUE"""),"MOBILECARE - LA UNION")</f>
        <v>MOBILECARE - LA UNION</v>
      </c>
      <c r="D5149" s="2" t="str">
        <f>IFERROR(__xludf.DUMMYFUNCTION("""COMPUTED_VALUE"""),"PP661-23455")</f>
        <v>PP661-23455</v>
      </c>
      <c r="E5149" s="2" t="str">
        <f>IFERROR(__xludf.DUMMYFUNCTION("""COMPUTED_VALUE"""),"iPhone 13, Starlight, 128GB, Logic Board Assy Rear System, ROW")</f>
        <v>iPhone 13, Starlight, 128GB, Logic Board Assy Rear System, ROW</v>
      </c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</row>
    <row r="5150">
      <c r="A5150" s="10" t="str">
        <f t="shared" si="1"/>
        <v>March</v>
      </c>
      <c r="B5150" s="11">
        <f>IFERROR(__xludf.DUMMYFUNCTION("""COMPUTED_VALUE"""),46104.0)</f>
        <v>46104</v>
      </c>
      <c r="C5150" s="2" t="str">
        <f>IFERROR(__xludf.DUMMYFUNCTION("""COMPUTED_VALUE"""),"MOBILECARE - LA UNION")</f>
        <v>MOBILECARE - LA UNION</v>
      </c>
      <c r="D5150" s="2" t="str">
        <f>IFERROR(__xludf.DUMMYFUNCTION("""COMPUTED_VALUE"""),"661-21988")</f>
        <v>661-21988</v>
      </c>
      <c r="E5150" s="2" t="str">
        <f>IFERROR(__xludf.DUMMYFUNCTION("""COMPUTED_VALUE"""),"Display, iPhone 13")</f>
        <v>Display, iPhone 13</v>
      </c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</row>
    <row r="5151">
      <c r="A5151" s="10" t="str">
        <f t="shared" si="1"/>
        <v>April</v>
      </c>
      <c r="B5151" s="11">
        <f>IFERROR(__xludf.DUMMYFUNCTION("""COMPUTED_VALUE"""),46113.0)</f>
        <v>46113</v>
      </c>
      <c r="C5151" s="2" t="str">
        <f>IFERROR(__xludf.DUMMYFUNCTION("""COMPUTED_VALUE"""),"MOBILECARE - LA UNION")</f>
        <v>MOBILECARE - LA UNION</v>
      </c>
      <c r="D5151" s="2" t="str">
        <f>IFERROR(__xludf.DUMMYFUNCTION("""COMPUTED_VALUE"""),"Z661-55956")</f>
        <v>Z661-55956</v>
      </c>
      <c r="E5151" s="2" t="str">
        <f>IFERROR(__xludf.DUMMYFUNCTION("""COMPUTED_VALUE"""),"Logic Board, 256GB, iPhone 17 Pro Max, ROW")</f>
        <v>Logic Board, 256GB, iPhone 17 Pro Max, ROW</v>
      </c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</row>
    <row r="5152">
      <c r="A5152" s="10" t="str">
        <f t="shared" si="1"/>
        <v>February</v>
      </c>
      <c r="B5152" s="11">
        <f>IFERROR(__xludf.DUMMYFUNCTION("""COMPUTED_VALUE"""),46054.0)</f>
        <v>46054</v>
      </c>
      <c r="C5152" s="2" t="str">
        <f>IFERROR(__xludf.DUMMYFUNCTION("""COMPUTED_VALUE"""),"MOBILECARE - LA UNION")</f>
        <v>MOBILECARE - LA UNION</v>
      </c>
      <c r="D5152" s="2" t="str">
        <f>IFERROR(__xludf.DUMMYFUNCTION("""COMPUTED_VALUE"""),"PP661-23455")</f>
        <v>PP661-23455</v>
      </c>
      <c r="E5152" s="2" t="str">
        <f>IFERROR(__xludf.DUMMYFUNCTION("""COMPUTED_VALUE"""),"iPhone 13, Starlight, 128GB, Logic Board Assy Rear System, ROW")</f>
        <v>iPhone 13, Starlight, 128GB, Logic Board Assy Rear System, ROW</v>
      </c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</row>
    <row r="5153">
      <c r="A5153" s="10" t="str">
        <f t="shared" si="1"/>
        <v>June</v>
      </c>
      <c r="B5153" s="11">
        <f>IFERROR(__xludf.DUMMYFUNCTION("""COMPUTED_VALUE"""),46187.0)</f>
        <v>46187</v>
      </c>
      <c r="C5153" s="2" t="str">
        <f>IFERROR(__xludf.DUMMYFUNCTION("""COMPUTED_VALUE"""),"MOBILECARE - LA UNION")</f>
        <v>MOBILECARE - LA UNION</v>
      </c>
      <c r="D5153" s="2" t="str">
        <f>IFERROR(__xludf.DUMMYFUNCTION("""COMPUTED_VALUE"""),"661-56051")</f>
        <v>661-56051</v>
      </c>
      <c r="E5153" s="2" t="str">
        <f>IFERROR(__xludf.DUMMYFUNCTION("""COMPUTED_VALUE"""),"Front Camera, iPhone 17 Pro Max")</f>
        <v>Front Camera, iPhone 17 Pro Max</v>
      </c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</row>
    <row r="5154">
      <c r="A5154" s="10" t="str">
        <f t="shared" si="1"/>
        <v>February</v>
      </c>
      <c r="B5154" s="11">
        <f>IFERROR(__xludf.DUMMYFUNCTION("""COMPUTED_VALUE"""),46070.0)</f>
        <v>46070</v>
      </c>
      <c r="C5154" s="2" t="str">
        <f>IFERROR(__xludf.DUMMYFUNCTION("""COMPUTED_VALUE"""),"MOBILECARE - LA UNION")</f>
        <v>MOBILECARE - LA UNION</v>
      </c>
      <c r="D5154" s="2" t="str">
        <f>IFERROR(__xludf.DUMMYFUNCTION("""COMPUTED_VALUE"""),"661-56067")</f>
        <v>661-56067</v>
      </c>
      <c r="E5154" s="2" t="str">
        <f>IFERROR(__xludf.DUMMYFUNCTION("""COMPUTED_VALUE"""),"Camera, iPhone 17")</f>
        <v>Camera, iPhone 17</v>
      </c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</row>
    <row r="5155">
      <c r="A5155" s="10" t="str">
        <f t="shared" si="1"/>
        <v>February</v>
      </c>
      <c r="B5155" s="11">
        <f>IFERROR(__xludf.DUMMYFUNCTION("""COMPUTED_VALUE"""),46069.0)</f>
        <v>46069</v>
      </c>
      <c r="C5155" s="2" t="str">
        <f>IFERROR(__xludf.DUMMYFUNCTION("""COMPUTED_VALUE"""),"MOBILECARE - LA UNION")</f>
        <v>MOBILECARE - LA UNION</v>
      </c>
      <c r="D5155" s="2" t="str">
        <f>IFERROR(__xludf.DUMMYFUNCTION("""COMPUTED_VALUE"""),"661-44797")</f>
        <v>661-44797</v>
      </c>
      <c r="E5155" s="2" t="str">
        <f>IFERROR(__xludf.DUMMYFUNCTION("""COMPUTED_VALUE"""),"Display, iPhone 16")</f>
        <v>Display, iPhone 16</v>
      </c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</row>
    <row r="5156">
      <c r="A5156" s="10" t="str">
        <f t="shared" si="1"/>
        <v>May</v>
      </c>
      <c r="B5156" s="11">
        <f>IFERROR(__xludf.DUMMYFUNCTION("""COMPUTED_VALUE"""),46155.0)</f>
        <v>46155</v>
      </c>
      <c r="C5156" s="2" t="str">
        <f>IFERROR(__xludf.DUMMYFUNCTION("""COMPUTED_VALUE"""),"MOBILECARE - LA UNION")</f>
        <v>MOBILECARE - LA UNION</v>
      </c>
      <c r="D5156" s="2" t="str">
        <f>IFERROR(__xludf.DUMMYFUNCTION("""COMPUTED_VALUE"""),"661-21988")</f>
        <v>661-21988</v>
      </c>
      <c r="E5156" s="2" t="str">
        <f>IFERROR(__xludf.DUMMYFUNCTION("""COMPUTED_VALUE"""),"Display, iPhone 13")</f>
        <v>Display, iPhone 13</v>
      </c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</row>
    <row r="5157">
      <c r="A5157" s="10" t="str">
        <f t="shared" si="1"/>
        <v>May</v>
      </c>
      <c r="B5157" s="11">
        <f>IFERROR(__xludf.DUMMYFUNCTION("""COMPUTED_VALUE"""),46156.0)</f>
        <v>46156</v>
      </c>
      <c r="C5157" s="2" t="str">
        <f>IFERROR(__xludf.DUMMYFUNCTION("""COMPUTED_VALUE"""),"MOBILECARE - LA UNION")</f>
        <v>MOBILECARE - LA UNION</v>
      </c>
      <c r="D5157" s="2" t="str">
        <f>IFERROR(__xludf.DUMMYFUNCTION("""COMPUTED_VALUE"""),"TA661-55206")</f>
        <v>TA661-55206</v>
      </c>
      <c r="E5157" s="2" t="str">
        <f>IFERROR(__xludf.DUMMYFUNCTION("""COMPUTED_VALUE"""),"Silver, 256GB, iPhone 17 Pro Max, ROW, CI/AR, Taiwan")</f>
        <v>Silver, 256GB, iPhone 17 Pro Max, ROW, CI/AR, Taiwan</v>
      </c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</row>
    <row r="5158">
      <c r="A5158" s="10" t="str">
        <f t="shared" si="1"/>
        <v>February</v>
      </c>
      <c r="B5158" s="11">
        <f>IFERROR(__xludf.DUMMYFUNCTION("""COMPUTED_VALUE"""),46076.0)</f>
        <v>46076</v>
      </c>
      <c r="C5158" s="2" t="str">
        <f>IFERROR(__xludf.DUMMYFUNCTION("""COMPUTED_VALUE"""),"MOBILECARE - LA UNION")</f>
        <v>MOBILECARE - LA UNION</v>
      </c>
      <c r="D5158" s="2" t="str">
        <f>IFERROR(__xludf.DUMMYFUNCTION("""COMPUTED_VALUE"""),"PP661-23455")</f>
        <v>PP661-23455</v>
      </c>
      <c r="E5158" s="2" t="str">
        <f>IFERROR(__xludf.DUMMYFUNCTION("""COMPUTED_VALUE"""),"iPhone 13, Starlight, 128GB, Logic Board Assy Rear System, ROW")</f>
        <v>iPhone 13, Starlight, 128GB, Logic Board Assy Rear System, ROW</v>
      </c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</row>
    <row r="5159">
      <c r="A5159" s="10" t="str">
        <f t="shared" si="1"/>
        <v>March</v>
      </c>
      <c r="B5159" s="11">
        <f>IFERROR(__xludf.DUMMYFUNCTION("""COMPUTED_VALUE"""),46091.0)</f>
        <v>46091</v>
      </c>
      <c r="C5159" s="2" t="str">
        <f>IFERROR(__xludf.DUMMYFUNCTION("""COMPUTED_VALUE"""),"MOBILECARE - LA UNION")</f>
        <v>MOBILECARE - LA UNION</v>
      </c>
      <c r="D5159" s="2" t="str">
        <f>IFERROR(__xludf.DUMMYFUNCTION("""COMPUTED_VALUE"""),"PP661-23455")</f>
        <v>PP661-23455</v>
      </c>
      <c r="E5159" s="2" t="str">
        <f>IFERROR(__xludf.DUMMYFUNCTION("""COMPUTED_VALUE"""),"iPhone 13, Starlight, 128GB, Logic Board Assy Rear System, ROW")</f>
        <v>iPhone 13, Starlight, 128GB, Logic Board Assy Rear System, ROW</v>
      </c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</row>
    <row r="5160">
      <c r="A5160" s="10" t="str">
        <f t="shared" si="1"/>
        <v>April</v>
      </c>
      <c r="B5160" s="11">
        <f>IFERROR(__xludf.DUMMYFUNCTION("""COMPUTED_VALUE"""),46119.0)</f>
        <v>46119</v>
      </c>
      <c r="C5160" s="2" t="str">
        <f>IFERROR(__xludf.DUMMYFUNCTION("""COMPUTED_VALUE"""),"MOBILECARE - LA UNION")</f>
        <v>MOBILECARE - LA UNION</v>
      </c>
      <c r="D5160" s="2" t="str">
        <f>IFERROR(__xludf.DUMMYFUNCTION("""COMPUTED_VALUE"""),"PP661-23455")</f>
        <v>PP661-23455</v>
      </c>
      <c r="E5160" s="2" t="str">
        <f>IFERROR(__xludf.DUMMYFUNCTION("""COMPUTED_VALUE"""),"iPhone 13, Starlight, 128GB, Logic Board Assy Rear System, ROW")</f>
        <v>iPhone 13, Starlight, 128GB, Logic Board Assy Rear System, ROW</v>
      </c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</row>
    <row r="5161">
      <c r="A5161" s="10" t="str">
        <f t="shared" si="1"/>
        <v>June</v>
      </c>
      <c r="B5161" s="11">
        <f>IFERROR(__xludf.DUMMYFUNCTION("""COMPUTED_VALUE"""),46182.0)</f>
        <v>46182</v>
      </c>
      <c r="C5161" s="2" t="str">
        <f>IFERROR(__xludf.DUMMYFUNCTION("""COMPUTED_VALUE"""),"MOBILECARE - LA UNION")</f>
        <v>MOBILECARE - LA UNION</v>
      </c>
      <c r="D5161" s="2" t="str">
        <f>IFERROR(__xludf.DUMMYFUNCTION("""COMPUTED_VALUE"""),"PP661-22981")</f>
        <v>PP661-22981</v>
      </c>
      <c r="E5161" s="2" t="str">
        <f>IFERROR(__xludf.DUMMYFUNCTION("""COMPUTED_VALUE"""),"Starlight, 128 GB, iPhone 13, ROW, CI/AR, Philippines")</f>
        <v>Starlight, 128 GB, iPhone 13, ROW, CI/AR, Philippines</v>
      </c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</row>
    <row r="5162">
      <c r="A5162" s="10" t="str">
        <f t="shared" si="1"/>
        <v>June</v>
      </c>
      <c r="B5162" s="11">
        <f>IFERROR(__xludf.DUMMYFUNCTION("""COMPUTED_VALUE"""),46180.0)</f>
        <v>46180</v>
      </c>
      <c r="C5162" s="2" t="str">
        <f>IFERROR(__xludf.DUMMYFUNCTION("""COMPUTED_VALUE"""),"MOBILECARE - LA UNION")</f>
        <v>MOBILECARE - LA UNION</v>
      </c>
      <c r="D5162" s="2" t="str">
        <f>IFERROR(__xludf.DUMMYFUNCTION("""COMPUTED_VALUE"""),"TA661-45233")</f>
        <v>TA661-45233</v>
      </c>
      <c r="E5162" s="2" t="str">
        <f>IFERROR(__xludf.DUMMYFUNCTION("""COMPUTED_VALUE"""),"128GB, Pink, ROW, iPhone 16 Plus, Logic Board Assy Mid System")</f>
        <v>128GB, Pink, ROW, iPhone 16 Plus, Logic Board Assy Mid System</v>
      </c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</row>
    <row r="5163">
      <c r="A5163" s="10" t="str">
        <f t="shared" si="1"/>
        <v>March</v>
      </c>
      <c r="B5163" s="11">
        <f>IFERROR(__xludf.DUMMYFUNCTION("""COMPUTED_VALUE"""),46101.0)</f>
        <v>46101</v>
      </c>
      <c r="C5163" s="2" t="str">
        <f>IFERROR(__xludf.DUMMYFUNCTION("""COMPUTED_VALUE"""),"MOBILECARE - LA UNION")</f>
        <v>MOBILECARE - LA UNION</v>
      </c>
      <c r="D5163" s="2" t="str">
        <f>IFERROR(__xludf.DUMMYFUNCTION("""COMPUTED_VALUE"""),"661-17920")</f>
        <v>661-17920</v>
      </c>
      <c r="E5163" s="2" t="str">
        <f>IFERROR(__xludf.DUMMYFUNCTION("""COMPUTED_VALUE"""),"Battery, iPhone 12 and 12 Pro")</f>
        <v>Battery, iPhone 12 and 12 Pro</v>
      </c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</row>
    <row r="5164">
      <c r="A5164" s="10" t="str">
        <f t="shared" si="1"/>
        <v>June</v>
      </c>
      <c r="B5164" s="11">
        <f>IFERROR(__xludf.DUMMYFUNCTION("""COMPUTED_VALUE"""),46181.0)</f>
        <v>46181</v>
      </c>
      <c r="C5164" s="2" t="str">
        <f>IFERROR(__xludf.DUMMYFUNCTION("""COMPUTED_VALUE"""),"MOBILECARE - LA UNION")</f>
        <v>MOBILECARE - LA UNION</v>
      </c>
      <c r="D5164" s="2" t="str">
        <f>IFERROR(__xludf.DUMMYFUNCTION("""COMPUTED_VALUE"""),"661-56125")</f>
        <v>661-56125</v>
      </c>
      <c r="E5164" s="2" t="str">
        <f>IFERROR(__xludf.DUMMYFUNCTION("""COMPUTED_VALUE"""),"Display, iPhone 17 Pro")</f>
        <v>Display, iPhone 17 Pro</v>
      </c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</row>
    <row r="5165">
      <c r="A5165" s="10" t="str">
        <f t="shared" si="1"/>
        <v>May</v>
      </c>
      <c r="B5165" s="11">
        <f>IFERROR(__xludf.DUMMYFUNCTION("""COMPUTED_VALUE"""),46168.0)</f>
        <v>46168</v>
      </c>
      <c r="C5165" s="2" t="str">
        <f>IFERROR(__xludf.DUMMYFUNCTION("""COMPUTED_VALUE"""),"MOBILECARE - LA UNION")</f>
        <v>MOBILECARE - LA UNION</v>
      </c>
      <c r="D5165" s="2" t="str">
        <f>IFERROR(__xludf.DUMMYFUNCTION("""COMPUTED_VALUE"""),"661-30373")</f>
        <v>661-30373</v>
      </c>
      <c r="E5165" s="2" t="str">
        <f>IFERROR(__xludf.DUMMYFUNCTION("""COMPUTED_VALUE"""),"Battery, iPhone 14")</f>
        <v>Battery, iPhone 14</v>
      </c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</row>
    <row r="5166">
      <c r="A5166" s="10" t="str">
        <f t="shared" si="1"/>
        <v>March</v>
      </c>
      <c r="B5166" s="11">
        <f>IFERROR(__xludf.DUMMYFUNCTION("""COMPUTED_VALUE"""),46107.0)</f>
        <v>46107</v>
      </c>
      <c r="C5166" s="2" t="str">
        <f>IFERROR(__xludf.DUMMYFUNCTION("""COMPUTED_VALUE"""),"MOBILECARE - LA UNION")</f>
        <v>MOBILECARE - LA UNION</v>
      </c>
      <c r="D5166" s="2" t="str">
        <f>IFERROR(__xludf.DUMMYFUNCTION("""COMPUTED_VALUE"""),"923-13581")</f>
        <v>923-13581</v>
      </c>
      <c r="E5166" s="2" t="str">
        <f>IFERROR(__xludf.DUMMYFUNCTION("""COMPUTED_VALUE"""),"Top Speaker, iPhone 17 Pro Max")</f>
        <v>Top Speaker, iPhone 17 Pro Max</v>
      </c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</row>
    <row r="5167">
      <c r="A5167" s="10" t="str">
        <f t="shared" si="1"/>
        <v>March</v>
      </c>
      <c r="B5167" s="11">
        <f>IFERROR(__xludf.DUMMYFUNCTION("""COMPUTED_VALUE"""),46107.0)</f>
        <v>46107</v>
      </c>
      <c r="C5167" s="2" t="str">
        <f>IFERROR(__xludf.DUMMYFUNCTION("""COMPUTED_VALUE"""),"MOBILECARE - LA UNION")</f>
        <v>MOBILECARE - LA UNION</v>
      </c>
      <c r="D5167" s="2" t="str">
        <f>IFERROR(__xludf.DUMMYFUNCTION("""COMPUTED_VALUE"""),"661-21988")</f>
        <v>661-21988</v>
      </c>
      <c r="E5167" s="2" t="str">
        <f>IFERROR(__xludf.DUMMYFUNCTION("""COMPUTED_VALUE"""),"Display, iPhone 13")</f>
        <v>Display, iPhone 13</v>
      </c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</row>
    <row r="5168">
      <c r="A5168" s="10" t="str">
        <f t="shared" si="1"/>
        <v>March</v>
      </c>
      <c r="B5168" s="11">
        <f>IFERROR(__xludf.DUMMYFUNCTION("""COMPUTED_VALUE"""),46101.0)</f>
        <v>46101</v>
      </c>
      <c r="C5168" s="2" t="str">
        <f>IFERROR(__xludf.DUMMYFUNCTION("""COMPUTED_VALUE"""),"MOBILECARE - LA UNION")</f>
        <v>MOBILECARE - LA UNION</v>
      </c>
      <c r="D5168" s="2" t="str">
        <f>IFERROR(__xludf.DUMMYFUNCTION("""COMPUTED_VALUE"""),"PP661-23455")</f>
        <v>PP661-23455</v>
      </c>
      <c r="E5168" s="2" t="str">
        <f>IFERROR(__xludf.DUMMYFUNCTION("""COMPUTED_VALUE"""),"iPhone 13, Starlight, 128GB, Logic Board Assy Rear System, ROW")</f>
        <v>iPhone 13, Starlight, 128GB, Logic Board Assy Rear System, ROW</v>
      </c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</row>
    <row r="5169">
      <c r="A5169" s="10" t="str">
        <f t="shared" si="1"/>
        <v>February</v>
      </c>
      <c r="B5169" s="11">
        <f>IFERROR(__xludf.DUMMYFUNCTION("""COMPUTED_VALUE"""),46060.0)</f>
        <v>46060</v>
      </c>
      <c r="C5169" s="2" t="str">
        <f>IFERROR(__xludf.DUMMYFUNCTION("""COMPUTED_VALUE"""),"MOBILECARE - LA UNION")</f>
        <v>MOBILECARE - LA UNION</v>
      </c>
      <c r="D5169" s="2" t="str">
        <f>IFERROR(__xludf.DUMMYFUNCTION("""COMPUTED_VALUE"""),"661-42842")</f>
        <v>661-42842</v>
      </c>
      <c r="E5169" s="2" t="str">
        <f>IFERROR(__xludf.DUMMYFUNCTION("""COMPUTED_VALUE"""),"TealBack Glass, iPhone 16 Plus")</f>
        <v>TealBack Glass, iPhone 16 Plus</v>
      </c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</row>
    <row r="5170">
      <c r="A5170" s="10" t="str">
        <f t="shared" si="1"/>
        <v>January</v>
      </c>
      <c r="B5170" s="11">
        <f>IFERROR(__xludf.DUMMYFUNCTION("""COMPUTED_VALUE"""),46044.0)</f>
        <v>46044</v>
      </c>
      <c r="C5170" s="2" t="str">
        <f>IFERROR(__xludf.DUMMYFUNCTION("""COMPUTED_VALUE"""),"MOBILECARE - LA UNION")</f>
        <v>MOBILECARE - LA UNION</v>
      </c>
      <c r="D5170" s="2" t="str">
        <f>IFERROR(__xludf.DUMMYFUNCTION("""COMPUTED_VALUE"""),"661-30393")</f>
        <v>661-30393</v>
      </c>
      <c r="E5170" s="2" t="str">
        <f>IFERROR(__xludf.DUMMYFUNCTION("""COMPUTED_VALUE"""),"Camera, iPhone 14 Plus")</f>
        <v>Camera, iPhone 14 Plus</v>
      </c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</row>
    <row r="5171">
      <c r="A5171" s="10" t="str">
        <f t="shared" si="1"/>
        <v>March</v>
      </c>
      <c r="B5171" s="11">
        <f>IFERROR(__xludf.DUMMYFUNCTION("""COMPUTED_VALUE"""),46108.0)</f>
        <v>46108</v>
      </c>
      <c r="C5171" s="2" t="str">
        <f>IFERROR(__xludf.DUMMYFUNCTION("""COMPUTED_VALUE"""),"MOBILECARE - LA UNION")</f>
        <v>MOBILECARE - LA UNION</v>
      </c>
      <c r="D5171" s="2" t="str">
        <f>IFERROR(__xludf.DUMMYFUNCTION("""COMPUTED_VALUE"""),"661-44797")</f>
        <v>661-44797</v>
      </c>
      <c r="E5171" s="2" t="str">
        <f>IFERROR(__xludf.DUMMYFUNCTION("""COMPUTED_VALUE"""),"Display, iPhone 16")</f>
        <v>Display, iPhone 16</v>
      </c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</row>
    <row r="5172">
      <c r="A5172" s="10" t="str">
        <f t="shared" si="1"/>
        <v>April</v>
      </c>
      <c r="B5172" s="11">
        <f>IFERROR(__xludf.DUMMYFUNCTION("""COMPUTED_VALUE"""),46115.0)</f>
        <v>46115</v>
      </c>
      <c r="C5172" s="2" t="str">
        <f>IFERROR(__xludf.DUMMYFUNCTION("""COMPUTED_VALUE"""),"MOBILECARE - LA UNION")</f>
        <v>MOBILECARE - LA UNION</v>
      </c>
      <c r="D5172" s="2" t="str">
        <f>IFERROR(__xludf.DUMMYFUNCTION("""COMPUTED_VALUE"""),"TA661-42897")</f>
        <v>TA661-42897</v>
      </c>
      <c r="E5172" s="2" t="str">
        <f>IFERROR(__xludf.DUMMYFUNCTION("""COMPUTED_VALUE"""),"128GB, Black Titanium, ROW, iPhone 16 Pro, CI/AR")</f>
        <v>128GB, Black Titanium, ROW, iPhone 16 Pro, CI/AR</v>
      </c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</row>
    <row r="5173">
      <c r="A5173" s="10" t="str">
        <f t="shared" si="1"/>
        <v>February</v>
      </c>
      <c r="B5173" s="11">
        <f>IFERROR(__xludf.DUMMYFUNCTION("""COMPUTED_VALUE"""),46054.0)</f>
        <v>46054</v>
      </c>
      <c r="C5173" s="2" t="str">
        <f>IFERROR(__xludf.DUMMYFUNCTION("""COMPUTED_VALUE"""),"MOBILECARE - LA UNION")</f>
        <v>MOBILECARE - LA UNION</v>
      </c>
      <c r="D5173" s="2" t="str">
        <f>IFERROR(__xludf.DUMMYFUNCTION("""COMPUTED_VALUE"""),"923-11081")</f>
        <v>923-11081</v>
      </c>
      <c r="E5173" s="2" t="str">
        <f>IFERROR(__xludf.DUMMYFUNCTION("""COMPUTED_VALUE"""),"Bottom Speaker, iPhone 16 Pro Max")</f>
        <v>Bottom Speaker, iPhone 16 Pro Max</v>
      </c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</row>
    <row r="5174">
      <c r="A5174" s="10" t="str">
        <f t="shared" si="1"/>
        <v>February</v>
      </c>
      <c r="B5174" s="11">
        <f>IFERROR(__xludf.DUMMYFUNCTION("""COMPUTED_VALUE"""),46061.0)</f>
        <v>46061</v>
      </c>
      <c r="C5174" s="2" t="str">
        <f>IFERROR(__xludf.DUMMYFUNCTION("""COMPUTED_VALUE"""),"MOBILECARE - LA UNION")</f>
        <v>MOBILECARE - LA UNION</v>
      </c>
      <c r="D5174" s="2" t="str">
        <f>IFERROR(__xludf.DUMMYFUNCTION("""COMPUTED_VALUE"""),"PP661-23454")</f>
        <v>PP661-23454</v>
      </c>
      <c r="E5174" s="2" t="str">
        <f>IFERROR(__xludf.DUMMYFUNCTION("""COMPUTED_VALUE"""),"iPhone 13, Midnight, 128GB, Logic Board Assy Rear System, ROW")</f>
        <v>iPhone 13, Midnight, 128GB, Logic Board Assy Rear System, ROW</v>
      </c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</row>
    <row r="5175">
      <c r="A5175" s="10" t="str">
        <f t="shared" si="1"/>
        <v>June</v>
      </c>
      <c r="B5175" s="11">
        <f>IFERROR(__xludf.DUMMYFUNCTION("""COMPUTED_VALUE"""),46180.0)</f>
        <v>46180</v>
      </c>
      <c r="C5175" s="2" t="str">
        <f>IFERROR(__xludf.DUMMYFUNCTION("""COMPUTED_VALUE"""),"MOBILECARE - LA UNION")</f>
        <v>MOBILECARE - LA UNION</v>
      </c>
      <c r="D5175" s="2" t="str">
        <f>IFERROR(__xludf.DUMMYFUNCTION("""COMPUTED_VALUE"""),"661-21991")</f>
        <v>661-21991</v>
      </c>
      <c r="E5175" s="2" t="str">
        <f>IFERROR(__xludf.DUMMYFUNCTION("""COMPUTED_VALUE"""),"Battery, iPhone 13")</f>
        <v>Battery, iPhone 13</v>
      </c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</row>
    <row r="5176">
      <c r="A5176" s="10" t="str">
        <f t="shared" si="1"/>
        <v>April</v>
      </c>
      <c r="B5176" s="11">
        <f>IFERROR(__xludf.DUMMYFUNCTION("""COMPUTED_VALUE"""),46142.0)</f>
        <v>46142</v>
      </c>
      <c r="C5176" s="2" t="str">
        <f>IFERROR(__xludf.DUMMYFUNCTION("""COMPUTED_VALUE"""),"MOBILECARE - LA UNION")</f>
        <v>MOBILECARE - LA UNION</v>
      </c>
      <c r="D5176" s="2" t="str">
        <f>IFERROR(__xludf.DUMMYFUNCTION("""COMPUTED_VALUE"""),"661-35828")</f>
        <v>661-35828</v>
      </c>
      <c r="E5176" s="2" t="str">
        <f>IFERROR(__xludf.DUMMYFUNCTION("""COMPUTED_VALUE"""),"Camera, iPhone 15")</f>
        <v>Camera, iPhone 15</v>
      </c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</row>
    <row r="5177">
      <c r="A5177" s="10" t="str">
        <f t="shared" si="1"/>
        <v>May</v>
      </c>
      <c r="B5177" s="11">
        <f>IFERROR(__xludf.DUMMYFUNCTION("""COMPUTED_VALUE"""),46145.0)</f>
        <v>46145</v>
      </c>
      <c r="C5177" s="2" t="str">
        <f>IFERROR(__xludf.DUMMYFUNCTION("""COMPUTED_VALUE"""),"MOBILECARE - LA UNION")</f>
        <v>MOBILECARE - LA UNION</v>
      </c>
      <c r="D5177" s="2" t="str">
        <f>IFERROR(__xludf.DUMMYFUNCTION("""COMPUTED_VALUE"""),"661-21991")</f>
        <v>661-21991</v>
      </c>
      <c r="E5177" s="2" t="str">
        <f>IFERROR(__xludf.DUMMYFUNCTION("""COMPUTED_VALUE"""),"Battery, iPhone 13")</f>
        <v>Battery, iPhone 13</v>
      </c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</row>
    <row r="5178">
      <c r="A5178" s="10" t="str">
        <f t="shared" si="1"/>
        <v>February</v>
      </c>
      <c r="B5178" s="11">
        <f>IFERROR(__xludf.DUMMYFUNCTION("""COMPUTED_VALUE"""),46057.0)</f>
        <v>46057</v>
      </c>
      <c r="C5178" s="2" t="str">
        <f>IFERROR(__xludf.DUMMYFUNCTION("""COMPUTED_VALUE"""),"MOBILECARE - LA UNION")</f>
        <v>MOBILECARE - LA UNION</v>
      </c>
      <c r="D5178" s="2" t="str">
        <f>IFERROR(__xludf.DUMMYFUNCTION("""COMPUTED_VALUE"""),"PP661-23455")</f>
        <v>PP661-23455</v>
      </c>
      <c r="E5178" s="2" t="str">
        <f>IFERROR(__xludf.DUMMYFUNCTION("""COMPUTED_VALUE"""),"iPhone 13, Starlight, 128GB, Logic Board Assy Rear System, ROW")</f>
        <v>iPhone 13, Starlight, 128GB, Logic Board Assy Rear System, ROW</v>
      </c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</row>
    <row r="5179">
      <c r="A5179" s="10" t="str">
        <f t="shared" si="1"/>
        <v>May</v>
      </c>
      <c r="B5179" s="11">
        <f>IFERROR(__xludf.DUMMYFUNCTION("""COMPUTED_VALUE"""),46145.0)</f>
        <v>46145</v>
      </c>
      <c r="C5179" s="2" t="str">
        <f>IFERROR(__xludf.DUMMYFUNCTION("""COMPUTED_VALUE"""),"MOBILECARE - LA UNION")</f>
        <v>MOBILECARE - LA UNION</v>
      </c>
      <c r="D5179" s="2" t="str">
        <f>IFERROR(__xludf.DUMMYFUNCTION("""COMPUTED_VALUE"""),"TA661-44997")</f>
        <v>TA661-44997</v>
      </c>
      <c r="E5179" s="2" t="str">
        <f>IFERROR(__xludf.DUMMYFUNCTION("""COMPUTED_VALUE"""),"128GB, Desert Titanium, ROW, iPhone 16 Pro, Logic Board Assy Mid System")</f>
        <v>128GB, Desert Titanium, ROW, iPhone 16 Pro, Logic Board Assy Mid System</v>
      </c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</row>
    <row r="5180">
      <c r="A5180" s="10" t="str">
        <f t="shared" si="1"/>
        <v>April</v>
      </c>
      <c r="B5180" s="11">
        <f>IFERROR(__xludf.DUMMYFUNCTION("""COMPUTED_VALUE"""),46128.0)</f>
        <v>46128</v>
      </c>
      <c r="C5180" s="2" t="str">
        <f>IFERROR(__xludf.DUMMYFUNCTION("""COMPUTED_VALUE"""),"MOBILECARE - LA UNION")</f>
        <v>MOBILECARE - LA UNION</v>
      </c>
      <c r="D5180" s="2" t="str">
        <f>IFERROR(__xludf.DUMMYFUNCTION("""COMPUTED_VALUE"""),"661-56050")</f>
        <v>661-56050</v>
      </c>
      <c r="E5180" s="2" t="str">
        <f>IFERROR(__xludf.DUMMYFUNCTION("""COMPUTED_VALUE"""),"Display, iPhone 17 Pro Max")</f>
        <v>Display, iPhone 17 Pro Max</v>
      </c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</row>
    <row r="5181">
      <c r="A5181" s="10" t="str">
        <f t="shared" si="1"/>
        <v>March</v>
      </c>
      <c r="B5181" s="11">
        <f>IFERROR(__xludf.DUMMYFUNCTION("""COMPUTED_VALUE"""),46092.0)</f>
        <v>46092</v>
      </c>
      <c r="C5181" s="2" t="str">
        <f>IFERROR(__xludf.DUMMYFUNCTION("""COMPUTED_VALUE"""),"MOBILECARE - LA UNION")</f>
        <v>MOBILECARE - LA UNION</v>
      </c>
      <c r="D5181" s="2" t="str">
        <f>IFERROR(__xludf.DUMMYFUNCTION("""COMPUTED_VALUE"""),"Z661-55956")</f>
        <v>Z661-55956</v>
      </c>
      <c r="E5181" s="2" t="str">
        <f>IFERROR(__xludf.DUMMYFUNCTION("""COMPUTED_VALUE"""),"Logic Board, 256GB, iPhone 17 Pro Max, ROW")</f>
        <v>Logic Board, 256GB, iPhone 17 Pro Max, ROW</v>
      </c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</row>
    <row r="5182">
      <c r="A5182" s="10" t="str">
        <f t="shared" si="1"/>
        <v>March</v>
      </c>
      <c r="B5182" s="11">
        <f>IFERROR(__xludf.DUMMYFUNCTION("""COMPUTED_VALUE"""),46094.0)</f>
        <v>46094</v>
      </c>
      <c r="C5182" s="2" t="str">
        <f>IFERROR(__xludf.DUMMYFUNCTION("""COMPUTED_VALUE"""),"MOBILECARE - LA UNION")</f>
        <v>MOBILECARE - LA UNION</v>
      </c>
      <c r="D5182" s="2" t="str">
        <f>IFERROR(__xludf.DUMMYFUNCTION("""COMPUTED_VALUE"""),"TA661-55209")</f>
        <v>TA661-55209</v>
      </c>
      <c r="E5182" s="2" t="str">
        <f>IFERROR(__xludf.DUMMYFUNCTION("""COMPUTED_VALUE"""),"Silver, 512GB, iPhone 17 Pro Max, ROW, CI/AR, Taiwan")</f>
        <v>Silver, 512GB, iPhone 17 Pro Max, ROW, CI/AR, Taiwan</v>
      </c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</row>
    <row r="5183">
      <c r="A5183" s="10" t="str">
        <f t="shared" si="1"/>
        <v>May</v>
      </c>
      <c r="B5183" s="11">
        <f>IFERROR(__xludf.DUMMYFUNCTION("""COMPUTED_VALUE"""),46159.0)</f>
        <v>46159</v>
      </c>
      <c r="C5183" s="2" t="str">
        <f>IFERROR(__xludf.DUMMYFUNCTION("""COMPUTED_VALUE"""),"MOBILECARE - LA UNION")</f>
        <v>MOBILECARE - LA UNION</v>
      </c>
      <c r="D5183" s="2" t="str">
        <f>IFERROR(__xludf.DUMMYFUNCTION("""COMPUTED_VALUE"""),"661-21991")</f>
        <v>661-21991</v>
      </c>
      <c r="E5183" s="2" t="str">
        <f>IFERROR(__xludf.DUMMYFUNCTION("""COMPUTED_VALUE"""),"Battery, iPhone 13")</f>
        <v>Battery, iPhone 13</v>
      </c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</row>
    <row r="5184">
      <c r="A5184" s="10" t="str">
        <f t="shared" si="1"/>
        <v>March</v>
      </c>
      <c r="B5184" s="11">
        <f>IFERROR(__xludf.DUMMYFUNCTION("""COMPUTED_VALUE"""),46087.0)</f>
        <v>46087</v>
      </c>
      <c r="C5184" s="2" t="str">
        <f>IFERROR(__xludf.DUMMYFUNCTION("""COMPUTED_VALUE"""),"MOBILECARE - LA UNION")</f>
        <v>MOBILECARE - LA UNION</v>
      </c>
      <c r="D5184" s="2" t="str">
        <f>IFERROR(__xludf.DUMMYFUNCTION("""COMPUTED_VALUE"""),"661-42844")</f>
        <v>661-42844</v>
      </c>
      <c r="E5184" s="2" t="str">
        <f>IFERROR(__xludf.DUMMYFUNCTION("""COMPUTED_VALUE"""),"TrueDepth Camera, iPhone 16 Plus")</f>
        <v>TrueDepth Camera, iPhone 16 Plus</v>
      </c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</row>
    <row r="5185">
      <c r="A5185" s="10" t="str">
        <f t="shared" si="1"/>
        <v>March</v>
      </c>
      <c r="B5185" s="11">
        <f>IFERROR(__xludf.DUMMYFUNCTION("""COMPUTED_VALUE"""),46095.0)</f>
        <v>46095</v>
      </c>
      <c r="C5185" s="2" t="str">
        <f>IFERROR(__xludf.DUMMYFUNCTION("""COMPUTED_VALUE"""),"MOBILECARE - LA UNION")</f>
        <v>MOBILECARE - LA UNION</v>
      </c>
      <c r="D5185" s="2" t="str">
        <f>IFERROR(__xludf.DUMMYFUNCTION("""COMPUTED_VALUE"""),"661-21991")</f>
        <v>661-21991</v>
      </c>
      <c r="E5185" s="2" t="str">
        <f>IFERROR(__xludf.DUMMYFUNCTION("""COMPUTED_VALUE"""),"Battery, iPhone 13")</f>
        <v>Battery, iPhone 13</v>
      </c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</row>
    <row r="5186">
      <c r="A5186" s="10" t="str">
        <f t="shared" si="1"/>
        <v>March</v>
      </c>
      <c r="B5186" s="11">
        <f>IFERROR(__xludf.DUMMYFUNCTION("""COMPUTED_VALUE"""),46084.0)</f>
        <v>46084</v>
      </c>
      <c r="C5186" s="2" t="str">
        <f>IFERROR(__xludf.DUMMYFUNCTION("""COMPUTED_VALUE"""),"MOBILECARE - LA UNION")</f>
        <v>MOBILECARE - LA UNION</v>
      </c>
      <c r="D5186" s="2" t="str">
        <f>IFERROR(__xludf.DUMMYFUNCTION("""COMPUTED_VALUE"""),"661-56124")</f>
        <v>661-56124</v>
      </c>
      <c r="E5186" s="2" t="str">
        <f>IFERROR(__xludf.DUMMYFUNCTION("""COMPUTED_VALUE"""),"Deep Blue, Back Glass, iPhone 17 Pro")</f>
        <v>Deep Blue, Back Glass, iPhone 17 Pro</v>
      </c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</row>
    <row r="5187">
      <c r="A5187" s="10" t="str">
        <f t="shared" si="1"/>
        <v>March</v>
      </c>
      <c r="B5187" s="11">
        <f>IFERROR(__xludf.DUMMYFUNCTION("""COMPUTED_VALUE"""),46083.0)</f>
        <v>46083</v>
      </c>
      <c r="C5187" s="2" t="str">
        <f>IFERROR(__xludf.DUMMYFUNCTION("""COMPUTED_VALUE"""),"MOBILECARE - LA UNION")</f>
        <v>MOBILECARE - LA UNION</v>
      </c>
      <c r="D5187" s="2" t="str">
        <f>IFERROR(__xludf.DUMMYFUNCTION("""COMPUTED_VALUE"""),"661-13574")</f>
        <v>661-13574</v>
      </c>
      <c r="E5187" s="2" t="str">
        <f>IFERROR(__xludf.DUMMYFUNCTION("""COMPUTED_VALUE"""),"Battery, iPhone 11")</f>
        <v>Battery, iPhone 11</v>
      </c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</row>
    <row r="5188">
      <c r="A5188" s="10" t="str">
        <f t="shared" si="1"/>
        <v>June</v>
      </c>
      <c r="B5188" s="11">
        <f>IFERROR(__xludf.DUMMYFUNCTION("""COMPUTED_VALUE"""),46181.0)</f>
        <v>46181</v>
      </c>
      <c r="C5188" s="2" t="str">
        <f>IFERROR(__xludf.DUMMYFUNCTION("""COMPUTED_VALUE"""),"MOBILECARE - LA UNION")</f>
        <v>MOBILECARE - LA UNION</v>
      </c>
      <c r="D5188" s="2" t="str">
        <f>IFERROR(__xludf.DUMMYFUNCTION("""COMPUTED_VALUE"""),"PP661-28868")</f>
        <v>PP661-28868</v>
      </c>
      <c r="E5188" s="2" t="str">
        <f>IFERROR(__xludf.DUMMYFUNCTION("""COMPUTED_VALUE"""),"iPhone 14, Midnight, 128GB, Logic Board Assy Mid System, ROW")</f>
        <v>iPhone 14, Midnight, 128GB, Logic Board Assy Mid System, ROW</v>
      </c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</row>
    <row r="5189">
      <c r="A5189" s="10" t="str">
        <f t="shared" si="1"/>
        <v>April</v>
      </c>
      <c r="B5189" s="11">
        <f>IFERROR(__xludf.DUMMYFUNCTION("""COMPUTED_VALUE"""),46121.0)</f>
        <v>46121</v>
      </c>
      <c r="C5189" s="2" t="str">
        <f>IFERROR(__xludf.DUMMYFUNCTION("""COMPUTED_VALUE"""),"MOBILECARE - LA UNION")</f>
        <v>MOBILECARE - LA UNION</v>
      </c>
      <c r="D5189" s="2" t="str">
        <f>IFERROR(__xludf.DUMMYFUNCTION("""COMPUTED_VALUE"""),"661-21991")</f>
        <v>661-21991</v>
      </c>
      <c r="E5189" s="2" t="str">
        <f>IFERROR(__xludf.DUMMYFUNCTION("""COMPUTED_VALUE"""),"Battery, iPhone 13")</f>
        <v>Battery, iPhone 13</v>
      </c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</row>
    <row r="5190">
      <c r="A5190" s="10" t="str">
        <f t="shared" si="1"/>
        <v>March</v>
      </c>
      <c r="B5190" s="11">
        <f>IFERROR(__xludf.DUMMYFUNCTION("""COMPUTED_VALUE"""),46108.0)</f>
        <v>46108</v>
      </c>
      <c r="C5190" s="2" t="str">
        <f>IFERROR(__xludf.DUMMYFUNCTION("""COMPUTED_VALUE"""),"MOBILECARE - LA UNION")</f>
        <v>MOBILECARE - LA UNION</v>
      </c>
      <c r="D5190" s="2" t="str">
        <f>IFERROR(__xludf.DUMMYFUNCTION("""COMPUTED_VALUE"""),"661-22294")</f>
        <v>661-22294</v>
      </c>
      <c r="E5190" s="2" t="str">
        <f>IFERROR(__xludf.DUMMYFUNCTION("""COMPUTED_VALUE"""),"Battery, iPhone 13 Pro Max")</f>
        <v>Battery, iPhone 13 Pro Max</v>
      </c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</row>
    <row r="5191">
      <c r="A5191" s="10" t="str">
        <f t="shared" si="1"/>
        <v>March</v>
      </c>
      <c r="B5191" s="11">
        <f>IFERROR(__xludf.DUMMYFUNCTION("""COMPUTED_VALUE"""),46108.0)</f>
        <v>46108</v>
      </c>
      <c r="C5191" s="2" t="str">
        <f>IFERROR(__xludf.DUMMYFUNCTION("""COMPUTED_VALUE"""),"MOBILECARE - LA UNION")</f>
        <v>MOBILECARE - LA UNION</v>
      </c>
      <c r="D5191" s="2" t="str">
        <f>IFERROR(__xludf.DUMMYFUNCTION("""COMPUTED_VALUE"""),"661-22309")</f>
        <v>661-22309</v>
      </c>
      <c r="E5191" s="2" t="str">
        <f>IFERROR(__xludf.DUMMYFUNCTION("""COMPUTED_VALUE"""),"Display, iPhone 13 Pro Max")</f>
        <v>Display, iPhone 13 Pro Max</v>
      </c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</row>
    <row r="5192">
      <c r="A5192" s="10" t="str">
        <f t="shared" si="1"/>
        <v>March</v>
      </c>
      <c r="B5192" s="11">
        <f>IFERROR(__xludf.DUMMYFUNCTION("""COMPUTED_VALUE"""),46108.0)</f>
        <v>46108</v>
      </c>
      <c r="C5192" s="2" t="str">
        <f>IFERROR(__xludf.DUMMYFUNCTION("""COMPUTED_VALUE"""),"MOBILECARE - LA UNION")</f>
        <v>MOBILECARE - LA UNION</v>
      </c>
      <c r="D5192" s="2" t="str">
        <f>IFERROR(__xludf.DUMMYFUNCTION("""COMPUTED_VALUE"""),"661-22309")</f>
        <v>661-22309</v>
      </c>
      <c r="E5192" s="2" t="str">
        <f>IFERROR(__xludf.DUMMYFUNCTION("""COMPUTED_VALUE"""),"Display, iPhone 13 Pro Max")</f>
        <v>Display, iPhone 13 Pro Max</v>
      </c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</row>
    <row r="5193">
      <c r="A5193" s="10" t="str">
        <f t="shared" si="1"/>
        <v>February</v>
      </c>
      <c r="B5193" s="11">
        <f>IFERROR(__xludf.DUMMYFUNCTION("""COMPUTED_VALUE"""),46062.0)</f>
        <v>46062</v>
      </c>
      <c r="C5193" s="2" t="str">
        <f>IFERROR(__xludf.DUMMYFUNCTION("""COMPUTED_VALUE"""),"MOBILECARE - LA UNION")</f>
        <v>MOBILECARE - LA UNION</v>
      </c>
      <c r="D5193" s="2" t="str">
        <f>IFERROR(__xludf.DUMMYFUNCTION("""COMPUTED_VALUE"""),"661-36918")</f>
        <v>661-36918</v>
      </c>
      <c r="E5193" s="2" t="str">
        <f>IFERROR(__xludf.DUMMYFUNCTION("""COMPUTED_VALUE"""),"Battery, iPhone 15 Pro Max")</f>
        <v>Battery, iPhone 15 Pro Max</v>
      </c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</row>
    <row r="5194">
      <c r="A5194" s="10" t="str">
        <f t="shared" si="1"/>
        <v>May</v>
      </c>
      <c r="B5194" s="11">
        <f>IFERROR(__xludf.DUMMYFUNCTION("""COMPUTED_VALUE"""),46172.0)</f>
        <v>46172</v>
      </c>
      <c r="C5194" s="2" t="str">
        <f>IFERROR(__xludf.DUMMYFUNCTION("""COMPUTED_VALUE"""),"MOBILECARE - LA UNION")</f>
        <v>MOBILECARE - LA UNION</v>
      </c>
      <c r="D5194" s="2" t="str">
        <f>IFERROR(__xludf.DUMMYFUNCTION("""COMPUTED_VALUE"""),"661-56050")</f>
        <v>661-56050</v>
      </c>
      <c r="E5194" s="2" t="str">
        <f>IFERROR(__xludf.DUMMYFUNCTION("""COMPUTED_VALUE"""),"Display, iPhone 17 Pro Max")</f>
        <v>Display, iPhone 17 Pro Max</v>
      </c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</row>
    <row r="5195">
      <c r="A5195" s="10" t="str">
        <f t="shared" si="1"/>
        <v>February</v>
      </c>
      <c r="B5195" s="11">
        <f>IFERROR(__xludf.DUMMYFUNCTION("""COMPUTED_VALUE"""),46061.0)</f>
        <v>46061</v>
      </c>
      <c r="C5195" s="2" t="str">
        <f>IFERROR(__xludf.DUMMYFUNCTION("""COMPUTED_VALUE"""),"MOBILECARE - LA UNION")</f>
        <v>MOBILECARE - LA UNION</v>
      </c>
      <c r="D5195" s="2" t="str">
        <f>IFERROR(__xludf.DUMMYFUNCTION("""COMPUTED_VALUE"""),"TA661-42903")</f>
        <v>TA661-42903</v>
      </c>
      <c r="E5195" s="2" t="str">
        <f>IFERROR(__xludf.DUMMYFUNCTION("""COMPUTED_VALUE"""),"256GB, Desert Titanium, ROW, iPhone 16 Pro, CI/AR")</f>
        <v>256GB, Desert Titanium, ROW, iPhone 16 Pro, CI/AR</v>
      </c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</row>
    <row r="5196">
      <c r="A5196" s="10" t="str">
        <f t="shared" si="1"/>
        <v>January</v>
      </c>
      <c r="B5196" s="11">
        <f>IFERROR(__xludf.DUMMYFUNCTION("""COMPUTED_VALUE"""),46040.0)</f>
        <v>46040</v>
      </c>
      <c r="C5196" s="2" t="str">
        <f>IFERROR(__xludf.DUMMYFUNCTION("""COMPUTED_VALUE"""),"MOBILECARE - LA UNION")</f>
        <v>MOBILECARE - LA UNION</v>
      </c>
      <c r="D5196" s="2" t="str">
        <f>IFERROR(__xludf.DUMMYFUNCTION("""COMPUTED_VALUE"""),"661-36706")</f>
        <v>661-36706</v>
      </c>
      <c r="E5196" s="2" t="str">
        <f>IFERROR(__xludf.DUMMYFUNCTION("""COMPUTED_VALUE"""),"Display, iPhone 15")</f>
        <v>Display, iPhone 15</v>
      </c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</row>
    <row r="5197">
      <c r="A5197" s="10" t="str">
        <f t="shared" si="1"/>
        <v>June</v>
      </c>
      <c r="B5197" s="11">
        <f>IFERROR(__xludf.DUMMYFUNCTION("""COMPUTED_VALUE"""),46190.0)</f>
        <v>46190</v>
      </c>
      <c r="C5197" s="2" t="str">
        <f>IFERROR(__xludf.DUMMYFUNCTION("""COMPUTED_VALUE"""),"MOBILECARE - LA UNION")</f>
        <v>MOBILECARE - LA UNION</v>
      </c>
      <c r="D5197" s="2" t="str">
        <f>IFERROR(__xludf.DUMMYFUNCTION("""COMPUTED_VALUE"""),"661-21991")</f>
        <v>661-21991</v>
      </c>
      <c r="E5197" s="2" t="str">
        <f>IFERROR(__xludf.DUMMYFUNCTION("""COMPUTED_VALUE"""),"Battery, iPhone 13")</f>
        <v>Battery, iPhone 13</v>
      </c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</row>
    <row r="5198">
      <c r="A5198" s="10" t="str">
        <f t="shared" si="1"/>
        <v>June</v>
      </c>
      <c r="B5198" s="11">
        <f>IFERROR(__xludf.DUMMYFUNCTION("""COMPUTED_VALUE"""),46181.0)</f>
        <v>46181</v>
      </c>
      <c r="C5198" s="2" t="str">
        <f>IFERROR(__xludf.DUMMYFUNCTION("""COMPUTED_VALUE"""),"MOBILECARE - LA UNION")</f>
        <v>MOBILECARE - LA UNION</v>
      </c>
      <c r="D5198" s="2" t="str">
        <f>IFERROR(__xludf.DUMMYFUNCTION("""COMPUTED_VALUE"""),"TA661-45322")</f>
        <v>TA661-45322</v>
      </c>
      <c r="E5198" s="2" t="str">
        <f>IFERROR(__xludf.DUMMYFUNCTION("""COMPUTED_VALUE"""),"256GB, White Titanium, ROW, iPhone 16 Pro Max, Logic Board Assy Mid Syst")</f>
        <v>256GB, White Titanium, ROW, iPhone 16 Pro Max, Logic Board Assy Mid Syst</v>
      </c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</row>
    <row r="5199">
      <c r="A5199" s="10" t="str">
        <f t="shared" si="1"/>
        <v>April</v>
      </c>
      <c r="B5199" s="11">
        <f>IFERROR(__xludf.DUMMYFUNCTION("""COMPUTED_VALUE"""),46142.0)</f>
        <v>46142</v>
      </c>
      <c r="C5199" s="2" t="str">
        <f>IFERROR(__xludf.DUMMYFUNCTION("""COMPUTED_VALUE"""),"MOBILECARE - LA UNION")</f>
        <v>MOBILECARE - LA UNION</v>
      </c>
      <c r="D5199" s="2" t="str">
        <f>IFERROR(__xludf.DUMMYFUNCTION("""COMPUTED_VALUE"""),"Z661-56015")</f>
        <v>Z661-56015</v>
      </c>
      <c r="E5199" s="2" t="str">
        <f>IFERROR(__xludf.DUMMYFUNCTION("""COMPUTED_VALUE"""),"Logic Board, 256GB, iPhone 17, ROW")</f>
        <v>Logic Board, 256GB, iPhone 17, ROW</v>
      </c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</row>
    <row r="5200">
      <c r="A5200" s="10" t="str">
        <f t="shared" si="1"/>
        <v>April</v>
      </c>
      <c r="B5200" s="11">
        <f>IFERROR(__xludf.DUMMYFUNCTION("""COMPUTED_VALUE"""),46133.0)</f>
        <v>46133</v>
      </c>
      <c r="C5200" s="2" t="str">
        <f>IFERROR(__xludf.DUMMYFUNCTION("""COMPUTED_VALUE"""),"MOBILECARE - LA UNION")</f>
        <v>MOBILECARE - LA UNION</v>
      </c>
      <c r="D5200" s="2" t="str">
        <f>IFERROR(__xludf.DUMMYFUNCTION("""COMPUTED_VALUE"""),"661-21991")</f>
        <v>661-21991</v>
      </c>
      <c r="E5200" s="2" t="str">
        <f>IFERROR(__xludf.DUMMYFUNCTION("""COMPUTED_VALUE"""),"Battery, iPhone 13")</f>
        <v>Battery, iPhone 13</v>
      </c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</row>
    <row r="5201">
      <c r="A5201" s="10" t="str">
        <f t="shared" si="1"/>
        <v>March</v>
      </c>
      <c r="B5201" s="11">
        <f>IFERROR(__xludf.DUMMYFUNCTION("""COMPUTED_VALUE"""),46096.0)</f>
        <v>46096</v>
      </c>
      <c r="C5201" s="2" t="str">
        <f>IFERROR(__xludf.DUMMYFUNCTION("""COMPUTED_VALUE"""),"MOBILECARE - LA UNION")</f>
        <v>MOBILECARE - LA UNION</v>
      </c>
      <c r="D5201" s="2" t="str">
        <f>IFERROR(__xludf.DUMMYFUNCTION("""COMPUTED_VALUE"""),"661-21991")</f>
        <v>661-21991</v>
      </c>
      <c r="E5201" s="2" t="str">
        <f>IFERROR(__xludf.DUMMYFUNCTION("""COMPUTED_VALUE"""),"Battery, iPhone 13")</f>
        <v>Battery, iPhone 13</v>
      </c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</row>
    <row r="5202">
      <c r="A5202" s="10" t="str">
        <f t="shared" si="1"/>
        <v>May</v>
      </c>
      <c r="B5202" s="11">
        <f>IFERROR(__xludf.DUMMYFUNCTION("""COMPUTED_VALUE"""),46169.0)</f>
        <v>46169</v>
      </c>
      <c r="C5202" s="2" t="str">
        <f>IFERROR(__xludf.DUMMYFUNCTION("""COMPUTED_VALUE"""),"MOBILECARE - LA UNION")</f>
        <v>MOBILECARE - LA UNION</v>
      </c>
      <c r="D5202" s="2" t="str">
        <f>IFERROR(__xludf.DUMMYFUNCTION("""COMPUTED_VALUE"""),"661-44955")</f>
        <v>661-44955</v>
      </c>
      <c r="E5202" s="2" t="str">
        <f>IFERROR(__xludf.DUMMYFUNCTION("""COMPUTED_VALUE"""),"Display, iPhone 16 Pro Max")</f>
        <v>Display, iPhone 16 Pro Max</v>
      </c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</row>
    <row r="5203">
      <c r="A5203" s="10" t="str">
        <f t="shared" si="1"/>
        <v>April</v>
      </c>
      <c r="B5203" s="11">
        <f>IFERROR(__xludf.DUMMYFUNCTION("""COMPUTED_VALUE"""),46130.0)</f>
        <v>46130</v>
      </c>
      <c r="C5203" s="2" t="str">
        <f>IFERROR(__xludf.DUMMYFUNCTION("""COMPUTED_VALUE"""),"MOBILECARE - LA UNION")</f>
        <v>MOBILECARE - LA UNION</v>
      </c>
      <c r="D5203" s="2" t="str">
        <f>IFERROR(__xludf.DUMMYFUNCTION("""COMPUTED_VALUE"""),"TA661-45321")</f>
        <v>TA661-45321</v>
      </c>
      <c r="E5203" s="2" t="str">
        <f>IFERROR(__xludf.DUMMYFUNCTION("""COMPUTED_VALUE"""),"256GB, Black Titanium, ROW, iPhone 16 Pro Max, Logic Board Assy Mid Syst")</f>
        <v>256GB, Black Titanium, ROW, iPhone 16 Pro Max, Logic Board Assy Mid Syst</v>
      </c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</row>
    <row r="5204">
      <c r="A5204" s="10" t="str">
        <f t="shared" si="1"/>
        <v>February</v>
      </c>
      <c r="B5204" s="11">
        <f>IFERROR(__xludf.DUMMYFUNCTION("""COMPUTED_VALUE"""),46069.0)</f>
        <v>46069</v>
      </c>
      <c r="C5204" s="2" t="str">
        <f>IFERROR(__xludf.DUMMYFUNCTION("""COMPUTED_VALUE"""),"MOBILECARE - LA UNION")</f>
        <v>MOBILECARE - LA UNION</v>
      </c>
      <c r="D5204" s="2" t="str">
        <f>IFERROR(__xludf.DUMMYFUNCTION("""COMPUTED_VALUE"""),"661-30394")</f>
        <v>661-30394</v>
      </c>
      <c r="E5204" s="2" t="str">
        <f>IFERROR(__xludf.DUMMYFUNCTION("""COMPUTED_VALUE"""),"Battery, iPhone 14 Plus")</f>
        <v>Battery, iPhone 14 Plus</v>
      </c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</row>
    <row r="5205">
      <c r="A5205" s="10" t="str">
        <f t="shared" si="1"/>
        <v>March</v>
      </c>
      <c r="B5205" s="11">
        <f>IFERROR(__xludf.DUMMYFUNCTION("""COMPUTED_VALUE"""),46096.0)</f>
        <v>46096</v>
      </c>
      <c r="C5205" s="2" t="str">
        <f>IFERROR(__xludf.DUMMYFUNCTION("""COMPUTED_VALUE"""),"MOBILECARE - LA UNION")</f>
        <v>MOBILECARE - LA UNION</v>
      </c>
      <c r="D5205" s="2" t="str">
        <f>IFERROR(__xludf.DUMMYFUNCTION("""COMPUTED_VALUE"""),"661-36918")</f>
        <v>661-36918</v>
      </c>
      <c r="E5205" s="2" t="str">
        <f>IFERROR(__xludf.DUMMYFUNCTION("""COMPUTED_VALUE"""),"Battery, iPhone 15 Pro Max")</f>
        <v>Battery, iPhone 15 Pro Max</v>
      </c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</row>
    <row r="5206">
      <c r="A5206" s="10" t="str">
        <f t="shared" si="1"/>
        <v>March</v>
      </c>
      <c r="B5206" s="11">
        <f>IFERROR(__xludf.DUMMYFUNCTION("""COMPUTED_VALUE"""),46086.0)</f>
        <v>46086</v>
      </c>
      <c r="C5206" s="2" t="str">
        <f>IFERROR(__xludf.DUMMYFUNCTION("""COMPUTED_VALUE"""),"MOBILECARE - LA UNION")</f>
        <v>MOBILECARE - LA UNION</v>
      </c>
      <c r="D5206" s="2" t="str">
        <f>IFERROR(__xludf.DUMMYFUNCTION("""COMPUTED_VALUE"""),"661-56127")</f>
        <v>661-56127</v>
      </c>
      <c r="E5206" s="2" t="str">
        <f>IFERROR(__xludf.DUMMYFUNCTION("""COMPUTED_VALUE"""),"Camera, iPhone 17 Pro")</f>
        <v>Camera, iPhone 17 Pro</v>
      </c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</row>
    <row r="5207">
      <c r="A5207" s="10" t="str">
        <f t="shared" si="1"/>
        <v>February</v>
      </c>
      <c r="B5207" s="11">
        <f>IFERROR(__xludf.DUMMYFUNCTION("""COMPUTED_VALUE"""),46065.0)</f>
        <v>46065</v>
      </c>
      <c r="C5207" s="2" t="str">
        <f>IFERROR(__xludf.DUMMYFUNCTION("""COMPUTED_VALUE"""),"MOBILECARE - LA UNION")</f>
        <v>MOBILECARE - LA UNION</v>
      </c>
      <c r="D5207" s="2" t="str">
        <f>IFERROR(__xludf.DUMMYFUNCTION("""COMPUTED_VALUE"""),"661-44957")</f>
        <v>661-44957</v>
      </c>
      <c r="E5207" s="2" t="str">
        <f>IFERROR(__xludf.DUMMYFUNCTION("""COMPUTED_VALUE"""),"Camera, iPhone 16 Pro Max")</f>
        <v>Camera, iPhone 16 Pro Max</v>
      </c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</row>
    <row r="5208">
      <c r="A5208" s="10" t="str">
        <f t="shared" si="1"/>
        <v>February</v>
      </c>
      <c r="B5208" s="11">
        <f>IFERROR(__xludf.DUMMYFUNCTION("""COMPUTED_VALUE"""),46065.0)</f>
        <v>46065</v>
      </c>
      <c r="C5208" s="2" t="str">
        <f>IFERROR(__xludf.DUMMYFUNCTION("""COMPUTED_VALUE"""),"MOBILECARE - LA UNION")</f>
        <v>MOBILECARE - LA UNION</v>
      </c>
      <c r="D5208" s="2" t="str">
        <f>IFERROR(__xludf.DUMMYFUNCTION("""COMPUTED_VALUE"""),"661-44956")</f>
        <v>661-44956</v>
      </c>
      <c r="E5208" s="2" t="str">
        <f>IFERROR(__xludf.DUMMYFUNCTION("""COMPUTED_VALUE"""),"TrueDepth Camera, iPhone 16 Pro Max")</f>
        <v>TrueDepth Camera, iPhone 16 Pro Max</v>
      </c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</row>
    <row r="5209">
      <c r="A5209" s="10" t="str">
        <f t="shared" si="1"/>
        <v>February</v>
      </c>
      <c r="B5209" s="11">
        <f>IFERROR(__xludf.DUMMYFUNCTION("""COMPUTED_VALUE"""),46077.0)</f>
        <v>46077</v>
      </c>
      <c r="C5209" s="2" t="str">
        <f>IFERROR(__xludf.DUMMYFUNCTION("""COMPUTED_VALUE"""),"MOBILECARE - LA UNION")</f>
        <v>MOBILECARE - LA UNION</v>
      </c>
      <c r="D5209" s="2" t="str">
        <f>IFERROR(__xludf.DUMMYFUNCTION("""COMPUTED_VALUE"""),"PP661-23455")</f>
        <v>PP661-23455</v>
      </c>
      <c r="E5209" s="2" t="str">
        <f>IFERROR(__xludf.DUMMYFUNCTION("""COMPUTED_VALUE"""),"iPhone 13, Starlight, 128GB, Logic Board Assy Rear System, ROW")</f>
        <v>iPhone 13, Starlight, 128GB, Logic Board Assy Rear System, ROW</v>
      </c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</row>
    <row r="5210">
      <c r="A5210" s="10" t="str">
        <f t="shared" si="1"/>
        <v>January</v>
      </c>
      <c r="B5210" s="11">
        <f>IFERROR(__xludf.DUMMYFUNCTION("""COMPUTED_VALUE"""),46048.0)</f>
        <v>46048</v>
      </c>
      <c r="C5210" s="2" t="str">
        <f>IFERROR(__xludf.DUMMYFUNCTION("""COMPUTED_VALUE"""),"MOBILECARE - LA UNION")</f>
        <v>MOBILECARE - LA UNION</v>
      </c>
      <c r="D5210" s="2" t="str">
        <f>IFERROR(__xludf.DUMMYFUNCTION("""COMPUTED_VALUE"""),"661-42727")</f>
        <v>661-42727</v>
      </c>
      <c r="E5210" s="2" t="str">
        <f>IFERROR(__xludf.DUMMYFUNCTION("""COMPUTED_VALUE"""),"TrueDepth Camera, iPhone 16 Pro")</f>
        <v>TrueDepth Camera, iPhone 16 Pro</v>
      </c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</row>
    <row r="5211">
      <c r="A5211" s="10" t="str">
        <f t="shared" si="1"/>
        <v>January</v>
      </c>
      <c r="B5211" s="11">
        <f>IFERROR(__xludf.DUMMYFUNCTION("""COMPUTED_VALUE"""),46048.0)</f>
        <v>46048</v>
      </c>
      <c r="C5211" s="2" t="str">
        <f>IFERROR(__xludf.DUMMYFUNCTION("""COMPUTED_VALUE"""),"MOBILECARE - LA UNION")</f>
        <v>MOBILECARE - LA UNION</v>
      </c>
      <c r="D5211" s="2" t="str">
        <f>IFERROR(__xludf.DUMMYFUNCTION("""COMPUTED_VALUE"""),"661-42727")</f>
        <v>661-42727</v>
      </c>
      <c r="E5211" s="2" t="str">
        <f>IFERROR(__xludf.DUMMYFUNCTION("""COMPUTED_VALUE"""),"TrueDepth Camera, iPhone 16 Pro")</f>
        <v>TrueDepth Camera, iPhone 16 Pro</v>
      </c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</row>
    <row r="5212">
      <c r="A5212" s="10" t="str">
        <f t="shared" si="1"/>
        <v>January</v>
      </c>
      <c r="B5212" s="11">
        <f>IFERROR(__xludf.DUMMYFUNCTION("""COMPUTED_VALUE"""),46049.0)</f>
        <v>46049</v>
      </c>
      <c r="C5212" s="2" t="str">
        <f>IFERROR(__xludf.DUMMYFUNCTION("""COMPUTED_VALUE"""),"MOBILECARE - LA UNION")</f>
        <v>MOBILECARE - LA UNION</v>
      </c>
      <c r="D5212" s="2" t="str">
        <f>IFERROR(__xludf.DUMMYFUNCTION("""COMPUTED_VALUE"""),"661-22309")</f>
        <v>661-22309</v>
      </c>
      <c r="E5212" s="2" t="str">
        <f>IFERROR(__xludf.DUMMYFUNCTION("""COMPUTED_VALUE"""),"Display, iPhone 13 Pro Max")</f>
        <v>Display, iPhone 13 Pro Max</v>
      </c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</row>
    <row r="5213">
      <c r="A5213" s="10" t="str">
        <f t="shared" si="1"/>
        <v>May</v>
      </c>
      <c r="B5213" s="11">
        <f>IFERROR(__xludf.DUMMYFUNCTION("""COMPUTED_VALUE"""),46152.0)</f>
        <v>46152</v>
      </c>
      <c r="C5213" s="2" t="str">
        <f>IFERROR(__xludf.DUMMYFUNCTION("""COMPUTED_VALUE"""),"MOBILECARE - LA UNION")</f>
        <v>MOBILECARE - LA UNION</v>
      </c>
      <c r="D5213" s="2" t="str">
        <f>IFERROR(__xludf.DUMMYFUNCTION("""COMPUTED_VALUE"""),"661-13574")</f>
        <v>661-13574</v>
      </c>
      <c r="E5213" s="2" t="str">
        <f>IFERROR(__xludf.DUMMYFUNCTION("""COMPUTED_VALUE"""),"Battery, iPhone 11")</f>
        <v>Battery, iPhone 11</v>
      </c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</row>
    <row r="5214">
      <c r="A5214" s="10" t="str">
        <f t="shared" si="1"/>
        <v>March</v>
      </c>
      <c r="B5214" s="11">
        <f>IFERROR(__xludf.DUMMYFUNCTION("""COMPUTED_VALUE"""),46105.0)</f>
        <v>46105</v>
      </c>
      <c r="C5214" s="2" t="str">
        <f>IFERROR(__xludf.DUMMYFUNCTION("""COMPUTED_VALUE"""),"MOBILECARE - LA UNION")</f>
        <v>MOBILECARE - LA UNION</v>
      </c>
      <c r="D5214" s="2" t="str">
        <f>IFERROR(__xludf.DUMMYFUNCTION("""COMPUTED_VALUE"""),"TA661-36697")</f>
        <v>TA661-36697</v>
      </c>
      <c r="E5214" s="2" t="str">
        <f>IFERROR(__xludf.DUMMYFUNCTION("""COMPUTED_VALUE"""),"iPhone 15, Pink, 256GB, Logic Board Assy Mid System, ROW")</f>
        <v>iPhone 15, Pink, 256GB, Logic Board Assy Mid System, ROW</v>
      </c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</row>
    <row r="5215">
      <c r="A5215" s="10" t="str">
        <f t="shared" si="1"/>
        <v>March</v>
      </c>
      <c r="B5215" s="11">
        <f>IFERROR(__xludf.DUMMYFUNCTION("""COMPUTED_VALUE"""),46091.0)</f>
        <v>46091</v>
      </c>
      <c r="C5215" s="2" t="str">
        <f>IFERROR(__xludf.DUMMYFUNCTION("""COMPUTED_VALUE"""),"MOBILECARE - LA UNION")</f>
        <v>MOBILECARE - LA UNION</v>
      </c>
      <c r="D5215" s="2" t="str">
        <f>IFERROR(__xludf.DUMMYFUNCTION("""COMPUTED_VALUE"""),"TA661-45263")</f>
        <v>TA661-45263</v>
      </c>
      <c r="E5215" s="2" t="str">
        <f>IFERROR(__xludf.DUMMYFUNCTION("""COMPUTED_VALUE"""),"256GB, Desert Titanium, ROW, iPhone 16 Pro Max, CI/AR")</f>
        <v>256GB, Desert Titanium, ROW, iPhone 16 Pro Max, CI/AR</v>
      </c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</row>
    <row r="5216">
      <c r="A5216" s="10" t="str">
        <f t="shared" si="1"/>
        <v>January</v>
      </c>
      <c r="B5216" s="11">
        <f>IFERROR(__xludf.DUMMYFUNCTION("""COMPUTED_VALUE"""),46038.0)</f>
        <v>46038</v>
      </c>
      <c r="C5216" s="2" t="str">
        <f>IFERROR(__xludf.DUMMYFUNCTION("""COMPUTED_VALUE"""),"MOBILECARE - LA UNION")</f>
        <v>MOBILECARE - LA UNION</v>
      </c>
      <c r="D5216" s="2" t="str">
        <f>IFERROR(__xludf.DUMMYFUNCTION("""COMPUTED_VALUE"""),"661-42726")</f>
        <v>661-42726</v>
      </c>
      <c r="E5216" s="2" t="str">
        <f>IFERROR(__xludf.DUMMYFUNCTION("""COMPUTED_VALUE"""),"Display, iPhone 16 Pro")</f>
        <v>Display, iPhone 16 Pro</v>
      </c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</row>
    <row r="5217">
      <c r="A5217" s="10" t="str">
        <f t="shared" si="1"/>
        <v>June</v>
      </c>
      <c r="B5217" s="11">
        <f>IFERROR(__xludf.DUMMYFUNCTION("""COMPUTED_VALUE"""),46188.0)</f>
        <v>46188</v>
      </c>
      <c r="C5217" s="2" t="str">
        <f>IFERROR(__xludf.DUMMYFUNCTION("""COMPUTED_VALUE"""),"MOBILECARE - LA UNION")</f>
        <v>MOBILECARE - LA UNION</v>
      </c>
      <c r="D5217" s="2" t="str">
        <f>IFERROR(__xludf.DUMMYFUNCTION("""COMPUTED_VALUE"""),"PP661-23455")</f>
        <v>PP661-23455</v>
      </c>
      <c r="E5217" s="2" t="str">
        <f>IFERROR(__xludf.DUMMYFUNCTION("""COMPUTED_VALUE"""),"iPhone 13, Starlight, 128GB, Logic Board Assy Rear System, ROW")</f>
        <v>iPhone 13, Starlight, 128GB, Logic Board Assy Rear System, ROW</v>
      </c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</row>
    <row r="5218">
      <c r="A5218" s="10" t="str">
        <f t="shared" si="1"/>
        <v>June</v>
      </c>
      <c r="B5218" s="11">
        <f>IFERROR(__xludf.DUMMYFUNCTION("""COMPUTED_VALUE"""),46183.0)</f>
        <v>46183</v>
      </c>
      <c r="C5218" s="2" t="str">
        <f>IFERROR(__xludf.DUMMYFUNCTION("""COMPUTED_VALUE"""),"MOBILECARE - LA UNION")</f>
        <v>MOBILECARE - LA UNION</v>
      </c>
      <c r="D5218" s="2" t="str">
        <f>IFERROR(__xludf.DUMMYFUNCTION("""COMPUTED_VALUE"""),"TA661-45326")</f>
        <v>TA661-45326</v>
      </c>
      <c r="E5218" s="2" t="str">
        <f>IFERROR(__xludf.DUMMYFUNCTION("""COMPUTED_VALUE"""),"512GB, White Titanium, ROW, iPhone 16 Pro Max, Logic Board Assy Mid Syst")</f>
        <v>512GB, White Titanium, ROW, iPhone 16 Pro Max, Logic Board Assy Mid Syst</v>
      </c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</row>
    <row r="5219">
      <c r="A5219" s="10" t="str">
        <f t="shared" si="1"/>
        <v>March</v>
      </c>
      <c r="B5219" s="11">
        <f>IFERROR(__xludf.DUMMYFUNCTION("""COMPUTED_VALUE"""),46098.0)</f>
        <v>46098</v>
      </c>
      <c r="C5219" s="2" t="str">
        <f>IFERROR(__xludf.DUMMYFUNCTION("""COMPUTED_VALUE"""),"MOBILECARE - LA UNION")</f>
        <v>MOBILECARE - LA UNION</v>
      </c>
      <c r="D5219" s="2" t="str">
        <f>IFERROR(__xludf.DUMMYFUNCTION("""COMPUTED_VALUE"""),"661-30397")</f>
        <v>661-30397</v>
      </c>
      <c r="E5219" s="2" t="str">
        <f>IFERROR(__xludf.DUMMYFUNCTION("""COMPUTED_VALUE"""),"Battery, iPhone 14 Pro Max")</f>
        <v>Battery, iPhone 14 Pro Max</v>
      </c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</row>
    <row r="5220">
      <c r="A5220" s="10" t="str">
        <f t="shared" si="1"/>
        <v>February</v>
      </c>
      <c r="B5220" s="11">
        <f>IFERROR(__xludf.DUMMYFUNCTION("""COMPUTED_VALUE"""),46081.0)</f>
        <v>46081</v>
      </c>
      <c r="C5220" s="2" t="str">
        <f>IFERROR(__xludf.DUMMYFUNCTION("""COMPUTED_VALUE"""),"MOBILECARE - LA UNION")</f>
        <v>MOBILECARE - LA UNION</v>
      </c>
      <c r="D5220" s="2" t="str">
        <f>IFERROR(__xludf.DUMMYFUNCTION("""COMPUTED_VALUE"""),"661-56052")</f>
        <v>661-56052</v>
      </c>
      <c r="E5220" s="2" t="str">
        <f>IFERROR(__xludf.DUMMYFUNCTION("""COMPUTED_VALUE"""),"Camera, iPhone 17 Pro Max")</f>
        <v>Camera, iPhone 17 Pro Max</v>
      </c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</row>
    <row r="5221">
      <c r="A5221" s="10" t="str">
        <f t="shared" si="1"/>
        <v>March</v>
      </c>
      <c r="B5221" s="11">
        <f>IFERROR(__xludf.DUMMYFUNCTION("""COMPUTED_VALUE"""),46096.0)</f>
        <v>46096</v>
      </c>
      <c r="C5221" s="2" t="str">
        <f>IFERROR(__xludf.DUMMYFUNCTION("""COMPUTED_VALUE"""),"MOBILECARE - LA UNION")</f>
        <v>MOBILECARE - LA UNION</v>
      </c>
      <c r="D5221" s="2" t="str">
        <f>IFERROR(__xludf.DUMMYFUNCTION("""COMPUTED_VALUE"""),"PP661-23455")</f>
        <v>PP661-23455</v>
      </c>
      <c r="E5221" s="2" t="str">
        <f>IFERROR(__xludf.DUMMYFUNCTION("""COMPUTED_VALUE"""),"iPhone 13, Starlight, 128GB, Logic Board Assy Rear System, ROW")</f>
        <v>iPhone 13, Starlight, 128GB, Logic Board Assy Rear System, ROW</v>
      </c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</row>
    <row r="5222">
      <c r="A5222" s="10" t="str">
        <f t="shared" si="1"/>
        <v>February</v>
      </c>
      <c r="B5222" s="11">
        <f>IFERROR(__xludf.DUMMYFUNCTION("""COMPUTED_VALUE"""),46065.0)</f>
        <v>46065</v>
      </c>
      <c r="C5222" s="2" t="str">
        <f>IFERROR(__xludf.DUMMYFUNCTION("""COMPUTED_VALUE"""),"MOBILECARE - LA UNION")</f>
        <v>MOBILECARE - LA UNION</v>
      </c>
      <c r="D5222" s="2" t="str">
        <f>IFERROR(__xludf.DUMMYFUNCTION("""COMPUTED_VALUE"""),"661-21988")</f>
        <v>661-21988</v>
      </c>
      <c r="E5222" s="2" t="str">
        <f>IFERROR(__xludf.DUMMYFUNCTION("""COMPUTED_VALUE"""),"Display, iPhone 13")</f>
        <v>Display, iPhone 13</v>
      </c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</row>
    <row r="5223">
      <c r="A5223" s="10" t="str">
        <f t="shared" si="1"/>
        <v>February</v>
      </c>
      <c r="B5223" s="11">
        <f>IFERROR(__xludf.DUMMYFUNCTION("""COMPUTED_VALUE"""),46069.0)</f>
        <v>46069</v>
      </c>
      <c r="C5223" s="2" t="str">
        <f>IFERROR(__xludf.DUMMYFUNCTION("""COMPUTED_VALUE"""),"MOBILECARE - LA UNION")</f>
        <v>MOBILECARE - LA UNION</v>
      </c>
      <c r="D5223" s="2" t="str">
        <f>IFERROR(__xludf.DUMMYFUNCTION("""COMPUTED_VALUE"""),"PP661-23455")</f>
        <v>PP661-23455</v>
      </c>
      <c r="E5223" s="2" t="str">
        <f>IFERROR(__xludf.DUMMYFUNCTION("""COMPUTED_VALUE"""),"iPhone 13, Starlight, 128GB, Logic Board Assy Rear System, ROW")</f>
        <v>iPhone 13, Starlight, 128GB, Logic Board Assy Rear System, ROW</v>
      </c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</row>
    <row r="5224">
      <c r="A5224" s="10" t="str">
        <f t="shared" si="1"/>
        <v>April</v>
      </c>
      <c r="B5224" s="11">
        <f>IFERROR(__xludf.DUMMYFUNCTION("""COMPUTED_VALUE"""),46138.0)</f>
        <v>46138</v>
      </c>
      <c r="C5224" s="2" t="str">
        <f>IFERROR(__xludf.DUMMYFUNCTION("""COMPUTED_VALUE"""),"MOBILECARE - LA UNION")</f>
        <v>MOBILECARE - LA UNION</v>
      </c>
      <c r="D5224" s="2" t="str">
        <f>IFERROR(__xludf.DUMMYFUNCTION("""COMPUTED_VALUE"""),"661-56052")</f>
        <v>661-56052</v>
      </c>
      <c r="E5224" s="2" t="str">
        <f>IFERROR(__xludf.DUMMYFUNCTION("""COMPUTED_VALUE"""),"Camera, iPhone 17 Pro Max")</f>
        <v>Camera, iPhone 17 Pro Max</v>
      </c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</row>
    <row r="5225">
      <c r="A5225" s="10" t="str">
        <f t="shared" si="1"/>
        <v>March</v>
      </c>
      <c r="B5225" s="11">
        <f>IFERROR(__xludf.DUMMYFUNCTION("""COMPUTED_VALUE"""),46088.0)</f>
        <v>46088</v>
      </c>
      <c r="C5225" s="2" t="str">
        <f>IFERROR(__xludf.DUMMYFUNCTION("""COMPUTED_VALUE"""),"MOBILECARE - LA UNION")</f>
        <v>MOBILECARE - LA UNION</v>
      </c>
      <c r="D5225" s="2" t="str">
        <f>IFERROR(__xludf.DUMMYFUNCTION("""COMPUTED_VALUE"""),"661-36918")</f>
        <v>661-36918</v>
      </c>
      <c r="E5225" s="2" t="str">
        <f>IFERROR(__xludf.DUMMYFUNCTION("""COMPUTED_VALUE"""),"Battery, iPhone 15 Pro Max")</f>
        <v>Battery, iPhone 15 Pro Max</v>
      </c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</row>
    <row r="5226">
      <c r="A5226" s="10" t="str">
        <f t="shared" si="1"/>
        <v>March</v>
      </c>
      <c r="B5226" s="11">
        <f>IFERROR(__xludf.DUMMYFUNCTION("""COMPUTED_VALUE"""),46083.0)</f>
        <v>46083</v>
      </c>
      <c r="C5226" s="2" t="str">
        <f>IFERROR(__xludf.DUMMYFUNCTION("""COMPUTED_VALUE"""),"MOBILECARE - LA UNION")</f>
        <v>MOBILECARE - LA UNION</v>
      </c>
      <c r="D5226" s="2" t="str">
        <f>IFERROR(__xludf.DUMMYFUNCTION("""COMPUTED_VALUE"""),"661-35694")</f>
        <v>661-35694</v>
      </c>
      <c r="E5226" s="2" t="str">
        <f>IFERROR(__xludf.DUMMYFUNCTION("""COMPUTED_VALUE"""),"Battery, iPhone 15 Pro")</f>
        <v>Battery, iPhone 15 Pro</v>
      </c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</row>
    <row r="5227">
      <c r="A5227" s="10" t="str">
        <f t="shared" si="1"/>
        <v>February</v>
      </c>
      <c r="B5227" s="11">
        <f>IFERROR(__xludf.DUMMYFUNCTION("""COMPUTED_VALUE"""),46081.0)</f>
        <v>46081</v>
      </c>
      <c r="C5227" s="2" t="str">
        <f>IFERROR(__xludf.DUMMYFUNCTION("""COMPUTED_VALUE"""),"MOBILECARE - LA UNION")</f>
        <v>MOBILECARE - LA UNION</v>
      </c>
      <c r="D5227" s="2" t="str">
        <f>IFERROR(__xludf.DUMMYFUNCTION("""COMPUTED_VALUE"""),"TA661-45322")</f>
        <v>TA661-45322</v>
      </c>
      <c r="E5227" s="2" t="str">
        <f>IFERROR(__xludf.DUMMYFUNCTION("""COMPUTED_VALUE"""),"256GB, White Titanium, ROW, iPhone 16 Pro Max, Logic Board Assy Mid Syst")</f>
        <v>256GB, White Titanium, ROW, iPhone 16 Pro Max, Logic Board Assy Mid Syst</v>
      </c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</row>
    <row r="5228">
      <c r="A5228" s="10" t="str">
        <f t="shared" si="1"/>
        <v>February</v>
      </c>
      <c r="B5228" s="11">
        <f>IFERROR(__xludf.DUMMYFUNCTION("""COMPUTED_VALUE"""),46055.0)</f>
        <v>46055</v>
      </c>
      <c r="C5228" s="2" t="str">
        <f>IFERROR(__xludf.DUMMYFUNCTION("""COMPUTED_VALUE"""),"MOBILECARE - LA UNION")</f>
        <v>MOBILECARE - LA UNION</v>
      </c>
      <c r="D5228" s="2" t="str">
        <f>IFERROR(__xludf.DUMMYFUNCTION("""COMPUTED_VALUE"""),"TA661-45323")</f>
        <v>TA661-45323</v>
      </c>
      <c r="E5228" s="2" t="str">
        <f>IFERROR(__xludf.DUMMYFUNCTION("""COMPUTED_VALUE"""),"256GB, Desert Titanium, ROW, iPhone 16 Pro Max, Logic Board Assy Mid Sys")</f>
        <v>256GB, Desert Titanium, ROW, iPhone 16 Pro Max, Logic Board Assy Mid Sys</v>
      </c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</row>
    <row r="5229">
      <c r="A5229" s="10" t="str">
        <f t="shared" si="1"/>
        <v>June</v>
      </c>
      <c r="B5229" s="11">
        <f>IFERROR(__xludf.DUMMYFUNCTION("""COMPUTED_VALUE"""),46178.0)</f>
        <v>46178</v>
      </c>
      <c r="C5229" s="2" t="str">
        <f>IFERROR(__xludf.DUMMYFUNCTION("""COMPUTED_VALUE"""),"MOBILECARE - LA UNION")</f>
        <v>MOBILECARE - LA UNION</v>
      </c>
      <c r="D5229" s="2" t="str">
        <f>IFERROR(__xludf.DUMMYFUNCTION("""COMPUTED_VALUE"""),"TA661-55206")</f>
        <v>TA661-55206</v>
      </c>
      <c r="E5229" s="2" t="str">
        <f>IFERROR(__xludf.DUMMYFUNCTION("""COMPUTED_VALUE"""),"Silver, 256GB, iPhone 17 Pro Max, ROW, CI/AR, Taiwan")</f>
        <v>Silver, 256GB, iPhone 17 Pro Max, ROW, CI/AR, Taiwan</v>
      </c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</row>
    <row r="5230">
      <c r="A5230" s="10" t="str">
        <f t="shared" si="1"/>
        <v>February</v>
      </c>
      <c r="B5230" s="11">
        <f>IFERROR(__xludf.DUMMYFUNCTION("""COMPUTED_VALUE"""),46070.0)</f>
        <v>46070</v>
      </c>
      <c r="C5230" s="2" t="str">
        <f>IFERROR(__xludf.DUMMYFUNCTION("""COMPUTED_VALUE"""),"MOBILECARE - LA UNION")</f>
        <v>MOBILECARE - LA UNION</v>
      </c>
      <c r="D5230" s="2" t="str">
        <f>IFERROR(__xludf.DUMMYFUNCTION("""COMPUTED_VALUE"""),"661-13574")</f>
        <v>661-13574</v>
      </c>
      <c r="E5230" s="2" t="str">
        <f>IFERROR(__xludf.DUMMYFUNCTION("""COMPUTED_VALUE"""),"Battery, iPhone 11")</f>
        <v>Battery, iPhone 11</v>
      </c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</row>
    <row r="5231">
      <c r="A5231" s="10" t="str">
        <f t="shared" si="1"/>
        <v>February</v>
      </c>
      <c r="B5231" s="11">
        <f>IFERROR(__xludf.DUMMYFUNCTION("""COMPUTED_VALUE"""),46074.0)</f>
        <v>46074</v>
      </c>
      <c r="C5231" s="2" t="str">
        <f>IFERROR(__xludf.DUMMYFUNCTION("""COMPUTED_VALUE"""),"MOBILECARE - LA UNION")</f>
        <v>MOBILECARE - LA UNION</v>
      </c>
      <c r="D5231" s="2" t="str">
        <f>IFERROR(__xludf.DUMMYFUNCTION("""COMPUTED_VALUE"""),"661-30382")</f>
        <v>661-30382</v>
      </c>
      <c r="E5231" s="2" t="str">
        <f>IFERROR(__xludf.DUMMYFUNCTION("""COMPUTED_VALUE"""),"Battery, iPhone 14 Pro")</f>
        <v>Battery, iPhone 14 Pro</v>
      </c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</row>
    <row r="5232">
      <c r="A5232" s="10" t="str">
        <f t="shared" si="1"/>
        <v>January</v>
      </c>
      <c r="B5232" s="11">
        <f>IFERROR(__xludf.DUMMYFUNCTION("""COMPUTED_VALUE"""),46050.0)</f>
        <v>46050</v>
      </c>
      <c r="C5232" s="2" t="str">
        <f>IFERROR(__xludf.DUMMYFUNCTION("""COMPUTED_VALUE"""),"MOBILECARE - LA UNION")</f>
        <v>MOBILECARE - LA UNION</v>
      </c>
      <c r="D5232" s="2" t="str">
        <f>IFERROR(__xludf.DUMMYFUNCTION("""COMPUTED_VALUE"""),"661-44957")</f>
        <v>661-44957</v>
      </c>
      <c r="E5232" s="2" t="str">
        <f>IFERROR(__xludf.DUMMYFUNCTION("""COMPUTED_VALUE"""),"Camera, iPhone 16 Pro Max")</f>
        <v>Camera, iPhone 16 Pro Max</v>
      </c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</row>
    <row r="5233">
      <c r="A5233" s="10" t="str">
        <f t="shared" si="1"/>
        <v>May</v>
      </c>
      <c r="B5233" s="11">
        <f>IFERROR(__xludf.DUMMYFUNCTION("""COMPUTED_VALUE"""),46165.0)</f>
        <v>46165</v>
      </c>
      <c r="C5233" s="2" t="str">
        <f>IFERROR(__xludf.DUMMYFUNCTION("""COMPUTED_VALUE"""),"MOBILECARE - LA UNION")</f>
        <v>MOBILECARE - LA UNION</v>
      </c>
      <c r="D5233" s="2" t="str">
        <f>IFERROR(__xludf.DUMMYFUNCTION("""COMPUTED_VALUE"""),"661-44797")</f>
        <v>661-44797</v>
      </c>
      <c r="E5233" s="2" t="str">
        <f>IFERROR(__xludf.DUMMYFUNCTION("""COMPUTED_VALUE"""),"Display, iPhone 16")</f>
        <v>Display, iPhone 16</v>
      </c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</row>
    <row r="5234">
      <c r="A5234" s="10" t="str">
        <f t="shared" si="1"/>
        <v>May</v>
      </c>
      <c r="B5234" s="11">
        <f>IFERROR(__xludf.DUMMYFUNCTION("""COMPUTED_VALUE"""),46156.0)</f>
        <v>46156</v>
      </c>
      <c r="C5234" s="2" t="str">
        <f>IFERROR(__xludf.DUMMYFUNCTION("""COMPUTED_VALUE"""),"MOBILECARE - LA UNION")</f>
        <v>MOBILECARE - LA UNION</v>
      </c>
      <c r="D5234" s="2" t="str">
        <f>IFERROR(__xludf.DUMMYFUNCTION("""COMPUTED_VALUE"""),"661-21993")</f>
        <v>661-21993</v>
      </c>
      <c r="E5234" s="2" t="str">
        <f>IFERROR(__xludf.DUMMYFUNCTION("""COMPUTED_VALUE"""),"Display, iPhone 13 Pro")</f>
        <v>Display, iPhone 13 Pro</v>
      </c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</row>
    <row r="5235">
      <c r="A5235" s="10" t="str">
        <f t="shared" si="1"/>
        <v>May</v>
      </c>
      <c r="B5235" s="11">
        <f>IFERROR(__xludf.DUMMYFUNCTION("""COMPUTED_VALUE"""),46156.0)</f>
        <v>46156</v>
      </c>
      <c r="C5235" s="2" t="str">
        <f>IFERROR(__xludf.DUMMYFUNCTION("""COMPUTED_VALUE"""),"MOBILECARE - LA UNION")</f>
        <v>MOBILECARE - LA UNION</v>
      </c>
      <c r="D5235" s="2" t="str">
        <f>IFERROR(__xludf.DUMMYFUNCTION("""COMPUTED_VALUE"""),"661-21996")</f>
        <v>661-21996</v>
      </c>
      <c r="E5235" s="2" t="str">
        <f>IFERROR(__xludf.DUMMYFUNCTION("""COMPUTED_VALUE"""),"Battery, iPhone 13 Pro")</f>
        <v>Battery, iPhone 13 Pro</v>
      </c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</row>
    <row r="5236">
      <c r="A5236" s="10" t="str">
        <f t="shared" si="1"/>
        <v>May</v>
      </c>
      <c r="B5236" s="11">
        <f>IFERROR(__xludf.DUMMYFUNCTION("""COMPUTED_VALUE"""),46156.0)</f>
        <v>46156</v>
      </c>
      <c r="C5236" s="2" t="str">
        <f>IFERROR(__xludf.DUMMYFUNCTION("""COMPUTED_VALUE"""),"MOBILECARE - LA UNION")</f>
        <v>MOBILECARE - LA UNION</v>
      </c>
      <c r="D5236" s="2" t="str">
        <f>IFERROR(__xludf.DUMMYFUNCTION("""COMPUTED_VALUE"""),"661-21993")</f>
        <v>661-21993</v>
      </c>
      <c r="E5236" s="2" t="str">
        <f>IFERROR(__xludf.DUMMYFUNCTION("""COMPUTED_VALUE"""),"Display, iPhone 13 Pro")</f>
        <v>Display, iPhone 13 Pro</v>
      </c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</row>
    <row r="5237">
      <c r="A5237" s="10" t="str">
        <f t="shared" si="1"/>
        <v>June</v>
      </c>
      <c r="B5237" s="11">
        <f>IFERROR(__xludf.DUMMYFUNCTION("""COMPUTED_VALUE"""),46191.0)</f>
        <v>46191</v>
      </c>
      <c r="C5237" s="2" t="str">
        <f>IFERROR(__xludf.DUMMYFUNCTION("""COMPUTED_VALUE"""),"MOBILECARE - LA UNION")</f>
        <v>MOBILECARE - LA UNION</v>
      </c>
      <c r="D5237" s="2" t="str">
        <f>IFERROR(__xludf.DUMMYFUNCTION("""COMPUTED_VALUE"""),"661-35699")</f>
        <v>661-35699</v>
      </c>
      <c r="E5237" s="2" t="str">
        <f>IFERROR(__xludf.DUMMYFUNCTION("""COMPUTED_VALUE"""),"Display, iPhone 15 Pro")</f>
        <v>Display, iPhone 15 Pro</v>
      </c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</row>
    <row r="5238">
      <c r="A5238" s="10" t="str">
        <f t="shared" si="1"/>
        <v>May</v>
      </c>
      <c r="B5238" s="11">
        <f>IFERROR(__xludf.DUMMYFUNCTION("""COMPUTED_VALUE"""),46144.0)</f>
        <v>46144</v>
      </c>
      <c r="C5238" s="2" t="str">
        <f>IFERROR(__xludf.DUMMYFUNCTION("""COMPUTED_VALUE"""),"MOBILECARE - LA UNION")</f>
        <v>MOBILECARE - LA UNION</v>
      </c>
      <c r="D5238" s="2" t="str">
        <f>IFERROR(__xludf.DUMMYFUNCTION("""COMPUTED_VALUE"""),"661-56050")</f>
        <v>661-56050</v>
      </c>
      <c r="E5238" s="2" t="str">
        <f>IFERROR(__xludf.DUMMYFUNCTION("""COMPUTED_VALUE"""),"Display, iPhone 17 Pro Max")</f>
        <v>Display, iPhone 17 Pro Max</v>
      </c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</row>
    <row r="5239">
      <c r="A5239" s="10" t="str">
        <f t="shared" si="1"/>
        <v>February</v>
      </c>
      <c r="B5239" s="11">
        <f>IFERROR(__xludf.DUMMYFUNCTION("""COMPUTED_VALUE"""),46075.0)</f>
        <v>46075</v>
      </c>
      <c r="C5239" s="2" t="str">
        <f>IFERROR(__xludf.DUMMYFUNCTION("""COMPUTED_VALUE"""),"MOBILECARE - LA UNION")</f>
        <v>MOBILECARE - LA UNION</v>
      </c>
      <c r="D5239" s="2" t="str">
        <f>IFERROR(__xludf.DUMMYFUNCTION("""COMPUTED_VALUE"""),"TA661-44995")</f>
        <v>TA661-44995</v>
      </c>
      <c r="E5239" s="2" t="str">
        <f>IFERROR(__xludf.DUMMYFUNCTION("""COMPUTED_VALUE"""),"128GB, Black Titanium, ROW, iPhone 16 Pro, Logic Board Assy Mid System")</f>
        <v>128GB, Black Titanium, ROW, iPhone 16 Pro, Logic Board Assy Mid System</v>
      </c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</row>
    <row r="5240">
      <c r="A5240" s="10" t="str">
        <f t="shared" si="1"/>
        <v>January</v>
      </c>
      <c r="B5240" s="11">
        <f>IFERROR(__xludf.DUMMYFUNCTION("""COMPUTED_VALUE"""),46047.0)</f>
        <v>46047</v>
      </c>
      <c r="C5240" s="2" t="str">
        <f>IFERROR(__xludf.DUMMYFUNCTION("""COMPUTED_VALUE"""),"MOBILECARE - LA UNION")</f>
        <v>MOBILECARE - LA UNION</v>
      </c>
      <c r="D5240" s="2" t="str">
        <f>IFERROR(__xludf.DUMMYFUNCTION("""COMPUTED_VALUE"""),"661-21993")</f>
        <v>661-21993</v>
      </c>
      <c r="E5240" s="2" t="str">
        <f>IFERROR(__xludf.DUMMYFUNCTION("""COMPUTED_VALUE"""),"Display, iPhone 13 Pro")</f>
        <v>Display, iPhone 13 Pro</v>
      </c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</row>
    <row r="5241">
      <c r="A5241" s="10" t="str">
        <f t="shared" si="1"/>
        <v>January</v>
      </c>
      <c r="B5241" s="11">
        <f>IFERROR(__xludf.DUMMYFUNCTION("""COMPUTED_VALUE"""),46047.0)</f>
        <v>46047</v>
      </c>
      <c r="C5241" s="2" t="str">
        <f>IFERROR(__xludf.DUMMYFUNCTION("""COMPUTED_VALUE"""),"MOBILECARE - LA UNION")</f>
        <v>MOBILECARE - LA UNION</v>
      </c>
      <c r="D5241" s="2" t="str">
        <f>IFERROR(__xludf.DUMMYFUNCTION("""COMPUTED_VALUE"""),"661-21996")</f>
        <v>661-21996</v>
      </c>
      <c r="E5241" s="2" t="str">
        <f>IFERROR(__xludf.DUMMYFUNCTION("""COMPUTED_VALUE"""),"Battery, iPhone 13 Pro")</f>
        <v>Battery, iPhone 13 Pro</v>
      </c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</row>
    <row r="5242">
      <c r="A5242" s="10" t="str">
        <f t="shared" si="1"/>
        <v>February</v>
      </c>
      <c r="B5242" s="11">
        <f>IFERROR(__xludf.DUMMYFUNCTION("""COMPUTED_VALUE"""),46057.0)</f>
        <v>46057</v>
      </c>
      <c r="C5242" s="2" t="str">
        <f>IFERROR(__xludf.DUMMYFUNCTION("""COMPUTED_VALUE"""),"MOBILECARE - LA UNION")</f>
        <v>MOBILECARE - LA UNION</v>
      </c>
      <c r="D5242" s="2" t="str">
        <f>IFERROR(__xludf.DUMMYFUNCTION("""COMPUTED_VALUE"""),"PP661-28868")</f>
        <v>PP661-28868</v>
      </c>
      <c r="E5242" s="2" t="str">
        <f>IFERROR(__xludf.DUMMYFUNCTION("""COMPUTED_VALUE"""),"iPhone 14, Midnight, 128GB, Logic Board Assy Mid System, ROW")</f>
        <v>iPhone 14, Midnight, 128GB, Logic Board Assy Mid System, ROW</v>
      </c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</row>
    <row r="5243">
      <c r="A5243" s="10" t="str">
        <f t="shared" si="1"/>
        <v>February</v>
      </c>
      <c r="B5243" s="11">
        <f>IFERROR(__xludf.DUMMYFUNCTION("""COMPUTED_VALUE"""),46060.0)</f>
        <v>46060</v>
      </c>
      <c r="C5243" s="2" t="str">
        <f>IFERROR(__xludf.DUMMYFUNCTION("""COMPUTED_VALUE"""),"MOBILECARE - LA UNION")</f>
        <v>MOBILECARE - LA UNION</v>
      </c>
      <c r="D5243" s="2" t="str">
        <f>IFERROR(__xludf.DUMMYFUNCTION("""COMPUTED_VALUE"""),"PP661-23455")</f>
        <v>PP661-23455</v>
      </c>
      <c r="E5243" s="2" t="str">
        <f>IFERROR(__xludf.DUMMYFUNCTION("""COMPUTED_VALUE"""),"iPhone 13, Starlight, 128GB, Logic Board Assy Rear System, ROW")</f>
        <v>iPhone 13, Starlight, 128GB, Logic Board Assy Rear System, ROW</v>
      </c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</row>
    <row r="5244">
      <c r="A5244" s="10" t="str">
        <f t="shared" si="1"/>
        <v>June</v>
      </c>
      <c r="B5244" s="11">
        <f>IFERROR(__xludf.DUMMYFUNCTION("""COMPUTED_VALUE"""),46190.0)</f>
        <v>46190</v>
      </c>
      <c r="C5244" s="2" t="str">
        <f>IFERROR(__xludf.DUMMYFUNCTION("""COMPUTED_VALUE"""),"MOBILECARE - LA UNION")</f>
        <v>MOBILECARE - LA UNION</v>
      </c>
      <c r="D5244" s="2" t="str">
        <f>IFERROR(__xludf.DUMMYFUNCTION("""COMPUTED_VALUE"""),"661-21993")</f>
        <v>661-21993</v>
      </c>
      <c r="E5244" s="2" t="str">
        <f>IFERROR(__xludf.DUMMYFUNCTION("""COMPUTED_VALUE"""),"Display, iPhone 13 Pro")</f>
        <v>Display, iPhone 13 Pro</v>
      </c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</row>
    <row r="5245">
      <c r="A5245" s="10" t="str">
        <f t="shared" si="1"/>
        <v>June</v>
      </c>
      <c r="B5245" s="11">
        <f>IFERROR(__xludf.DUMMYFUNCTION("""COMPUTED_VALUE"""),46190.0)</f>
        <v>46190</v>
      </c>
      <c r="C5245" s="2" t="str">
        <f>IFERROR(__xludf.DUMMYFUNCTION("""COMPUTED_VALUE"""),"MOBILECARE - LA UNION")</f>
        <v>MOBILECARE - LA UNION</v>
      </c>
      <c r="D5245" s="2" t="str">
        <f>IFERROR(__xludf.DUMMYFUNCTION("""COMPUTED_VALUE"""),"661-21996")</f>
        <v>661-21996</v>
      </c>
      <c r="E5245" s="2" t="str">
        <f>IFERROR(__xludf.DUMMYFUNCTION("""COMPUTED_VALUE"""),"Battery, iPhone 13 Pro")</f>
        <v>Battery, iPhone 13 Pro</v>
      </c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</row>
    <row r="5246">
      <c r="A5246" s="10" t="str">
        <f t="shared" si="1"/>
        <v>June</v>
      </c>
      <c r="B5246" s="11">
        <f>IFERROR(__xludf.DUMMYFUNCTION("""COMPUTED_VALUE"""),46190.0)</f>
        <v>46190</v>
      </c>
      <c r="C5246" s="2" t="str">
        <f>IFERROR(__xludf.DUMMYFUNCTION("""COMPUTED_VALUE"""),"MOBILECARE - LA UNION")</f>
        <v>MOBILECARE - LA UNION</v>
      </c>
      <c r="D5246" s="2" t="str">
        <f>IFERROR(__xludf.DUMMYFUNCTION("""COMPUTED_VALUE"""),"661-21993")</f>
        <v>661-21993</v>
      </c>
      <c r="E5246" s="2" t="str">
        <f>IFERROR(__xludf.DUMMYFUNCTION("""COMPUTED_VALUE"""),"Display, iPhone 13 Pro")</f>
        <v>Display, iPhone 13 Pro</v>
      </c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</row>
    <row r="5247">
      <c r="A5247" s="10" t="str">
        <f t="shared" si="1"/>
        <v>June</v>
      </c>
      <c r="B5247" s="11">
        <f>IFERROR(__xludf.DUMMYFUNCTION("""COMPUTED_VALUE"""),46193.0)</f>
        <v>46193</v>
      </c>
      <c r="C5247" s="2" t="str">
        <f>IFERROR(__xludf.DUMMYFUNCTION("""COMPUTED_VALUE"""),"MOBILECARE - LA UNION")</f>
        <v>MOBILECARE - LA UNION</v>
      </c>
      <c r="D5247" s="2" t="str">
        <f>IFERROR(__xludf.DUMMYFUNCTION("""COMPUTED_VALUE"""),"TA661-45267")</f>
        <v>TA661-45267</v>
      </c>
      <c r="E5247" s="2" t="str">
        <f>IFERROR(__xludf.DUMMYFUNCTION("""COMPUTED_VALUE"""),"512GB, Desert Titanium, ROW, iPhone 16 Pro Max, CI/AR")</f>
        <v>512GB, Desert Titanium, ROW, iPhone 16 Pro Max, CI/AR</v>
      </c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</row>
    <row r="5248">
      <c r="A5248" s="10" t="str">
        <f t="shared" si="1"/>
        <v>May</v>
      </c>
      <c r="B5248" s="11">
        <f>IFERROR(__xludf.DUMMYFUNCTION("""COMPUTED_VALUE"""),46154.0)</f>
        <v>46154</v>
      </c>
      <c r="C5248" s="2" t="str">
        <f>IFERROR(__xludf.DUMMYFUNCTION("""COMPUTED_VALUE"""),"MOBILECARE - LA UNION")</f>
        <v>MOBILECARE - LA UNION</v>
      </c>
      <c r="D5248" s="2" t="str">
        <f>IFERROR(__xludf.DUMMYFUNCTION("""COMPUTED_VALUE"""),"661-56050")</f>
        <v>661-56050</v>
      </c>
      <c r="E5248" s="2" t="str">
        <f>IFERROR(__xludf.DUMMYFUNCTION("""COMPUTED_VALUE"""),"Display, iPhone 17 Pro Max")</f>
        <v>Display, iPhone 17 Pro Max</v>
      </c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</row>
    <row r="5249">
      <c r="A5249" s="10" t="str">
        <f t="shared" si="1"/>
        <v>May</v>
      </c>
      <c r="B5249" s="11">
        <f>IFERROR(__xludf.DUMMYFUNCTION("""COMPUTED_VALUE"""),46157.0)</f>
        <v>46157</v>
      </c>
      <c r="C5249" s="2" t="str">
        <f>IFERROR(__xludf.DUMMYFUNCTION("""COMPUTED_VALUE"""),"MOBILECARE - LA UNION")</f>
        <v>MOBILECARE - LA UNION</v>
      </c>
      <c r="D5249" s="2" t="str">
        <f>IFERROR(__xludf.DUMMYFUNCTION("""COMPUTED_VALUE"""),"661-21991")</f>
        <v>661-21991</v>
      </c>
      <c r="E5249" s="2" t="str">
        <f>IFERROR(__xludf.DUMMYFUNCTION("""COMPUTED_VALUE"""),"Battery, iPhone 13")</f>
        <v>Battery, iPhone 13</v>
      </c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</row>
    <row r="5250">
      <c r="A5250" s="10" t="str">
        <f t="shared" si="1"/>
        <v>April</v>
      </c>
      <c r="B5250" s="11">
        <f>IFERROR(__xludf.DUMMYFUNCTION("""COMPUTED_VALUE"""),46133.0)</f>
        <v>46133</v>
      </c>
      <c r="C5250" s="2" t="str">
        <f>IFERROR(__xludf.DUMMYFUNCTION("""COMPUTED_VALUE"""),"MOBILECARE - LA UNION")</f>
        <v>MOBILECARE - LA UNION</v>
      </c>
      <c r="D5250" s="2" t="str">
        <f>IFERROR(__xludf.DUMMYFUNCTION("""COMPUTED_VALUE"""),"661-21991")</f>
        <v>661-21991</v>
      </c>
      <c r="E5250" s="2" t="str">
        <f>IFERROR(__xludf.DUMMYFUNCTION("""COMPUTED_VALUE"""),"Battery, iPhone 13")</f>
        <v>Battery, iPhone 13</v>
      </c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</row>
    <row r="5251">
      <c r="A5251" s="10" t="str">
        <f t="shared" si="1"/>
        <v>February</v>
      </c>
      <c r="B5251" s="11">
        <f>IFERROR(__xludf.DUMMYFUNCTION("""COMPUTED_VALUE"""),46075.0)</f>
        <v>46075</v>
      </c>
      <c r="C5251" s="2" t="str">
        <f>IFERROR(__xludf.DUMMYFUNCTION("""COMPUTED_VALUE"""),"MOBILECARE - LA UNION")</f>
        <v>MOBILECARE - LA UNION</v>
      </c>
      <c r="D5251" s="2" t="str">
        <f>IFERROR(__xludf.DUMMYFUNCTION("""COMPUTED_VALUE"""),"TA661-36696")</f>
        <v>TA661-36696</v>
      </c>
      <c r="E5251" s="2" t="str">
        <f>IFERROR(__xludf.DUMMYFUNCTION("""COMPUTED_VALUE"""),"iPhone 15, Black, 256GB, Logic Board Assy Mid System, ROW")</f>
        <v>iPhone 15, Black, 256GB, Logic Board Assy Mid System, ROW</v>
      </c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</row>
    <row r="5252">
      <c r="A5252" s="10" t="str">
        <f t="shared" si="1"/>
        <v>June</v>
      </c>
      <c r="B5252" s="11">
        <f>IFERROR(__xludf.DUMMYFUNCTION("""COMPUTED_VALUE"""),46181.0)</f>
        <v>46181</v>
      </c>
      <c r="C5252" s="2" t="str">
        <f>IFERROR(__xludf.DUMMYFUNCTION("""COMPUTED_VALUE"""),"MOBILECARE - LA UNION")</f>
        <v>MOBILECARE - LA UNION</v>
      </c>
      <c r="D5252" s="2" t="str">
        <f>IFERROR(__xludf.DUMMYFUNCTION("""COMPUTED_VALUE"""),"PP661-23454")</f>
        <v>PP661-23454</v>
      </c>
      <c r="E5252" s="2" t="str">
        <f>IFERROR(__xludf.DUMMYFUNCTION("""COMPUTED_VALUE"""),"iPhone 13, Midnight, 128GB, Logic Board Assy Rear System, ROW")</f>
        <v>iPhone 13, Midnight, 128GB, Logic Board Assy Rear System, ROW</v>
      </c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</row>
    <row r="5253">
      <c r="A5253" s="10" t="str">
        <f t="shared" si="1"/>
        <v>May</v>
      </c>
      <c r="B5253" s="11">
        <f>IFERROR(__xludf.DUMMYFUNCTION("""COMPUTED_VALUE"""),46147.0)</f>
        <v>46147</v>
      </c>
      <c r="C5253" s="2" t="str">
        <f>IFERROR(__xludf.DUMMYFUNCTION("""COMPUTED_VALUE"""),"MOBILECARE - LA UNION")</f>
        <v>MOBILECARE - LA UNION</v>
      </c>
      <c r="D5253" s="2" t="str">
        <f>IFERROR(__xludf.DUMMYFUNCTION("""COMPUTED_VALUE"""),"PP661-23455")</f>
        <v>PP661-23455</v>
      </c>
      <c r="E5253" s="2" t="str">
        <f>IFERROR(__xludf.DUMMYFUNCTION("""COMPUTED_VALUE"""),"iPhone 13, Starlight, 128GB, Logic Board Assy Rear System, ROW")</f>
        <v>iPhone 13, Starlight, 128GB, Logic Board Assy Rear System, ROW</v>
      </c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</row>
    <row r="5254">
      <c r="A5254" s="10" t="str">
        <f t="shared" si="1"/>
        <v>April</v>
      </c>
      <c r="B5254" s="11">
        <f>IFERROR(__xludf.DUMMYFUNCTION("""COMPUTED_VALUE"""),46130.0)</f>
        <v>46130</v>
      </c>
      <c r="C5254" s="2" t="str">
        <f>IFERROR(__xludf.DUMMYFUNCTION("""COMPUTED_VALUE"""),"MOBILECARE - LA UNION")</f>
        <v>MOBILECARE - LA UNION</v>
      </c>
      <c r="D5254" s="2" t="str">
        <f>IFERROR(__xludf.DUMMYFUNCTION("""COMPUTED_VALUE"""),"661-56127")</f>
        <v>661-56127</v>
      </c>
      <c r="E5254" s="2" t="str">
        <f>IFERROR(__xludf.DUMMYFUNCTION("""COMPUTED_VALUE"""),"Camera, iPhone 17 Pro")</f>
        <v>Camera, iPhone 17 Pro</v>
      </c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</row>
    <row r="5255">
      <c r="A5255" s="10" t="str">
        <f t="shared" si="1"/>
        <v>February</v>
      </c>
      <c r="B5255" s="11">
        <f>IFERROR(__xludf.DUMMYFUNCTION("""COMPUTED_VALUE"""),46066.0)</f>
        <v>46066</v>
      </c>
      <c r="C5255" s="2" t="str">
        <f>IFERROR(__xludf.DUMMYFUNCTION("""COMPUTED_VALUE"""),"MOBILECARE - LA UNION")</f>
        <v>MOBILECARE - LA UNION</v>
      </c>
      <c r="D5255" s="2" t="str">
        <f>IFERROR(__xludf.DUMMYFUNCTION("""COMPUTED_VALUE"""),"Z661-56015")</f>
        <v>Z661-56015</v>
      </c>
      <c r="E5255" s="2" t="str">
        <f>IFERROR(__xludf.DUMMYFUNCTION("""COMPUTED_VALUE"""),"Logic Board, 256GB, iPhone 17, ROW")</f>
        <v>Logic Board, 256GB, iPhone 17, ROW</v>
      </c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</row>
    <row r="5256">
      <c r="A5256" s="10" t="str">
        <f t="shared" si="1"/>
        <v>February</v>
      </c>
      <c r="B5256" s="11">
        <f>IFERROR(__xludf.DUMMYFUNCTION("""COMPUTED_VALUE"""),46065.0)</f>
        <v>46065</v>
      </c>
      <c r="C5256" s="2" t="str">
        <f>IFERROR(__xludf.DUMMYFUNCTION("""COMPUTED_VALUE"""),"MOBILECARE - LA UNION")</f>
        <v>MOBILECARE - LA UNION</v>
      </c>
      <c r="D5256" s="2" t="str">
        <f>IFERROR(__xludf.DUMMYFUNCTION("""COMPUTED_VALUE"""),"PP661-28868")</f>
        <v>PP661-28868</v>
      </c>
      <c r="E5256" s="2" t="str">
        <f>IFERROR(__xludf.DUMMYFUNCTION("""COMPUTED_VALUE"""),"iPhone 14, Midnight, 128GB, Logic Board Assy Mid System, ROW")</f>
        <v>iPhone 14, Midnight, 128GB, Logic Board Assy Mid System, ROW</v>
      </c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</row>
    <row r="5257">
      <c r="A5257" s="10" t="str">
        <f t="shared" si="1"/>
        <v>May</v>
      </c>
      <c r="B5257" s="11">
        <f>IFERROR(__xludf.DUMMYFUNCTION("""COMPUTED_VALUE"""),46166.0)</f>
        <v>46166</v>
      </c>
      <c r="C5257" s="2" t="str">
        <f>IFERROR(__xludf.DUMMYFUNCTION("""COMPUTED_VALUE"""),"MOBILECARE - LIMA ESTATE")</f>
        <v>MOBILECARE - LIMA ESTATE</v>
      </c>
      <c r="D5257" s="2" t="str">
        <f>IFERROR(__xludf.DUMMYFUNCTION("""COMPUTED_VALUE"""),"661-21991")</f>
        <v>661-21991</v>
      </c>
      <c r="E5257" s="2" t="str">
        <f>IFERROR(__xludf.DUMMYFUNCTION("""COMPUTED_VALUE"""),"Battery, iPhone 13")</f>
        <v>Battery, iPhone 13</v>
      </c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</row>
    <row r="5258">
      <c r="A5258" s="10" t="str">
        <f t="shared" si="1"/>
        <v>May</v>
      </c>
      <c r="B5258" s="11">
        <f>IFERROR(__xludf.DUMMYFUNCTION("""COMPUTED_VALUE"""),46162.0)</f>
        <v>46162</v>
      </c>
      <c r="C5258" s="2" t="str">
        <f>IFERROR(__xludf.DUMMYFUNCTION("""COMPUTED_VALUE"""),"MOBILECARE - LIMA ESTATE")</f>
        <v>MOBILECARE - LIMA ESTATE</v>
      </c>
      <c r="D5258" s="2" t="str">
        <f>IFERROR(__xludf.DUMMYFUNCTION("""COMPUTED_VALUE"""),"661-56065")</f>
        <v>661-56065</v>
      </c>
      <c r="E5258" s="2" t="str">
        <f>IFERROR(__xludf.DUMMYFUNCTION("""COMPUTED_VALUE"""),"Display, iPhone 17")</f>
        <v>Display, iPhone 17</v>
      </c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</row>
    <row r="5259">
      <c r="A5259" s="10" t="str">
        <f t="shared" si="1"/>
        <v>June</v>
      </c>
      <c r="B5259" s="11">
        <f>IFERROR(__xludf.DUMMYFUNCTION("""COMPUTED_VALUE"""),46179.0)</f>
        <v>46179</v>
      </c>
      <c r="C5259" s="2" t="str">
        <f>IFERROR(__xludf.DUMMYFUNCTION("""COMPUTED_VALUE"""),"MOBILECARE - LIMA ESTATE")</f>
        <v>MOBILECARE - LIMA ESTATE</v>
      </c>
      <c r="D5259" s="2" t="str">
        <f>IFERROR(__xludf.DUMMYFUNCTION("""COMPUTED_VALUE"""),"PP661-23454")</f>
        <v>PP661-23454</v>
      </c>
      <c r="E5259" s="2" t="str">
        <f>IFERROR(__xludf.DUMMYFUNCTION("""COMPUTED_VALUE"""),"iPhone 13, Midnight, 128GB, Logic Board Assy Rear System, ROW")</f>
        <v>iPhone 13, Midnight, 128GB, Logic Board Assy Rear System, ROW</v>
      </c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</row>
    <row r="5260">
      <c r="A5260" s="10" t="str">
        <f t="shared" si="1"/>
        <v>May</v>
      </c>
      <c r="B5260" s="11">
        <f>IFERROR(__xludf.DUMMYFUNCTION("""COMPUTED_VALUE"""),46143.0)</f>
        <v>46143</v>
      </c>
      <c r="C5260" s="2" t="str">
        <f>IFERROR(__xludf.DUMMYFUNCTION("""COMPUTED_VALUE"""),"MOBILECARE - LIMA ESTATE")</f>
        <v>MOBILECARE - LIMA ESTATE</v>
      </c>
      <c r="D5260" s="2" t="str">
        <f>IFERROR(__xludf.DUMMYFUNCTION("""COMPUTED_VALUE"""),"661-49431")</f>
        <v>661-49431</v>
      </c>
      <c r="E5260" s="2" t="str">
        <f>IFERROR(__xludf.DUMMYFUNCTION("""COMPUTED_VALUE"""),"Display, iPhone 16e")</f>
        <v>Display, iPhone 16e</v>
      </c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</row>
    <row r="5261">
      <c r="A5261" s="10" t="str">
        <f t="shared" si="1"/>
        <v>February</v>
      </c>
      <c r="B5261" s="11">
        <f>IFERROR(__xludf.DUMMYFUNCTION("""COMPUTED_VALUE"""),46058.0)</f>
        <v>46058</v>
      </c>
      <c r="C5261" s="2" t="str">
        <f>IFERROR(__xludf.DUMMYFUNCTION("""COMPUTED_VALUE"""),"MOBILECARE - LIMA ESTATE")</f>
        <v>MOBILECARE - LIMA ESTATE</v>
      </c>
      <c r="D5261" s="2" t="str">
        <f>IFERROR(__xludf.DUMMYFUNCTION("""COMPUTED_VALUE"""),"661-18428")</f>
        <v>661-18428</v>
      </c>
      <c r="E5261" s="2" t="str">
        <f>IFERROR(__xludf.DUMMYFUNCTION("""COMPUTED_VALUE"""),"Battery, iPhone 12 Pro Max")</f>
        <v>Battery, iPhone 12 Pro Max</v>
      </c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</row>
    <row r="5262">
      <c r="A5262" s="10" t="str">
        <f t="shared" si="1"/>
        <v>February</v>
      </c>
      <c r="B5262" s="11">
        <f>IFERROR(__xludf.DUMMYFUNCTION("""COMPUTED_VALUE"""),46062.0)</f>
        <v>46062</v>
      </c>
      <c r="C5262" s="2" t="str">
        <f>IFERROR(__xludf.DUMMYFUNCTION("""COMPUTED_VALUE"""),"MOBILECARE - LIMA ESTATE")</f>
        <v>MOBILECARE - LIMA ESTATE</v>
      </c>
      <c r="D5262" s="2" t="str">
        <f>IFERROR(__xludf.DUMMYFUNCTION("""COMPUTED_VALUE"""),"TA661-36694")</f>
        <v>TA661-36694</v>
      </c>
      <c r="E5262" s="2" t="str">
        <f>IFERROR(__xludf.DUMMYFUNCTION("""COMPUTED_VALUE"""),"iPhone 15, Blue, 128GB, Logic Board Assy Mid System, ROW")</f>
        <v>iPhone 15, Blue, 128GB, Logic Board Assy Mid System, ROW</v>
      </c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</row>
    <row r="5263">
      <c r="A5263" s="10" t="str">
        <f t="shared" si="1"/>
        <v>February</v>
      </c>
      <c r="B5263" s="11">
        <f>IFERROR(__xludf.DUMMYFUNCTION("""COMPUTED_VALUE"""),46057.0)</f>
        <v>46057</v>
      </c>
      <c r="C5263" s="2" t="str">
        <f>IFERROR(__xludf.DUMMYFUNCTION("""COMPUTED_VALUE"""),"MOBILECARE - LIMA ESTATE")</f>
        <v>MOBILECARE - LIMA ESTATE</v>
      </c>
      <c r="D5263" s="2" t="str">
        <f>IFERROR(__xludf.DUMMYFUNCTION("""COMPUTED_VALUE"""),"TA661-36691")</f>
        <v>TA661-36691</v>
      </c>
      <c r="E5263" s="2" t="str">
        <f>IFERROR(__xludf.DUMMYFUNCTION("""COMPUTED_VALUE"""),"iPhone 15, Black, 128GB, Logic Board Assy Mid System, ROW")</f>
        <v>iPhone 15, Black, 128GB, Logic Board Assy Mid System, ROW</v>
      </c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</row>
    <row r="5264">
      <c r="A5264" s="10" t="str">
        <f t="shared" si="1"/>
        <v>May</v>
      </c>
      <c r="B5264" s="11">
        <f>IFERROR(__xludf.DUMMYFUNCTION("""COMPUTED_VALUE"""),46171.0)</f>
        <v>46171</v>
      </c>
      <c r="C5264" s="2" t="str">
        <f>IFERROR(__xludf.DUMMYFUNCTION("""COMPUTED_VALUE"""),"MOBILECARE - LIMA ESTATE")</f>
        <v>MOBILECARE - LIMA ESTATE</v>
      </c>
      <c r="D5264" s="2" t="str">
        <f>IFERROR(__xludf.DUMMYFUNCTION("""COMPUTED_VALUE"""),"661-21991")</f>
        <v>661-21991</v>
      </c>
      <c r="E5264" s="2" t="str">
        <f>IFERROR(__xludf.DUMMYFUNCTION("""COMPUTED_VALUE"""),"Battery, iPhone 13")</f>
        <v>Battery, iPhone 13</v>
      </c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</row>
    <row r="5265">
      <c r="A5265" s="10" t="str">
        <f t="shared" si="1"/>
        <v>April</v>
      </c>
      <c r="B5265" s="11">
        <f>IFERROR(__xludf.DUMMYFUNCTION("""COMPUTED_VALUE"""),46126.0)</f>
        <v>46126</v>
      </c>
      <c r="C5265" s="2" t="str">
        <f>IFERROR(__xludf.DUMMYFUNCTION("""COMPUTED_VALUE"""),"MOBILECARE - LIMA ESTATE")</f>
        <v>MOBILECARE - LIMA ESTATE</v>
      </c>
      <c r="D5265" s="2" t="str">
        <f>IFERROR(__xludf.DUMMYFUNCTION("""COMPUTED_VALUE"""),"661-42726")</f>
        <v>661-42726</v>
      </c>
      <c r="E5265" s="2" t="str">
        <f>IFERROR(__xludf.DUMMYFUNCTION("""COMPUTED_VALUE"""),"Display, iPhone 16 Pro")</f>
        <v>Display, iPhone 16 Pro</v>
      </c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</row>
    <row r="5266">
      <c r="A5266" s="10" t="str">
        <f t="shared" si="1"/>
        <v>April</v>
      </c>
      <c r="B5266" s="11">
        <f>IFERROR(__xludf.DUMMYFUNCTION("""COMPUTED_VALUE"""),46134.0)</f>
        <v>46134</v>
      </c>
      <c r="C5266" s="2" t="str">
        <f>IFERROR(__xludf.DUMMYFUNCTION("""COMPUTED_VALUE"""),"MOBILECARE - LIMA ESTATE")</f>
        <v>MOBILECARE - LIMA ESTATE</v>
      </c>
      <c r="D5266" s="2" t="str">
        <f>IFERROR(__xludf.DUMMYFUNCTION("""COMPUTED_VALUE"""),"TA661-35493")</f>
        <v>TA661-35493</v>
      </c>
      <c r="E5266" s="2" t="str">
        <f>IFERROR(__xludf.DUMMYFUNCTION("""COMPUTED_VALUE"""),"Blue, iPhone 15 Plus, 128GB, ROW, CI/AR, Taiwan")</f>
        <v>Blue, iPhone 15 Plus, 128GB, ROW, CI/AR, Taiwan</v>
      </c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</row>
    <row r="5267">
      <c r="A5267" s="10" t="str">
        <f t="shared" si="1"/>
        <v>April</v>
      </c>
      <c r="B5267" s="11">
        <f>IFERROR(__xludf.DUMMYFUNCTION("""COMPUTED_VALUE"""),46127.0)</f>
        <v>46127</v>
      </c>
      <c r="C5267" s="2" t="str">
        <f>IFERROR(__xludf.DUMMYFUNCTION("""COMPUTED_VALUE"""),"MOBILECARE - LIMA ESTATE")</f>
        <v>MOBILECARE - LIMA ESTATE</v>
      </c>
      <c r="D5267" s="2" t="str">
        <f>IFERROR(__xludf.DUMMYFUNCTION("""COMPUTED_VALUE"""),"TA661-36294")</f>
        <v>TA661-36294</v>
      </c>
      <c r="E5267" s="2" t="str">
        <f>IFERROR(__xludf.DUMMYFUNCTION("""COMPUTED_VALUE"""),"Blue, iPhone 15, 256GB, ROW, CI/AR, Taiwan")</f>
        <v>Blue, iPhone 15, 256GB, ROW, CI/AR, Taiwan</v>
      </c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</row>
    <row r="5268">
      <c r="A5268" s="10" t="str">
        <f t="shared" si="1"/>
        <v>March</v>
      </c>
      <c r="B5268" s="11">
        <f>IFERROR(__xludf.DUMMYFUNCTION("""COMPUTED_VALUE"""),46110.0)</f>
        <v>46110</v>
      </c>
      <c r="C5268" s="2" t="str">
        <f>IFERROR(__xludf.DUMMYFUNCTION("""COMPUTED_VALUE"""),"MOBILECARE - LIMA ESTATE")</f>
        <v>MOBILECARE - LIMA ESTATE</v>
      </c>
      <c r="D5268" s="2" t="str">
        <f>IFERROR(__xludf.DUMMYFUNCTION("""COMPUTED_VALUE"""),"TA661-44997")</f>
        <v>TA661-44997</v>
      </c>
      <c r="E5268" s="2" t="str">
        <f>IFERROR(__xludf.DUMMYFUNCTION("""COMPUTED_VALUE"""),"128GB, Desert Titanium, ROW, iPhone 16 Pro, Logic Board Assy Mid System")</f>
        <v>128GB, Desert Titanium, ROW, iPhone 16 Pro, Logic Board Assy Mid System</v>
      </c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</row>
    <row r="5269">
      <c r="A5269" s="10" t="str">
        <f t="shared" si="1"/>
        <v>March</v>
      </c>
      <c r="B5269" s="11">
        <f>IFERROR(__xludf.DUMMYFUNCTION("""COMPUTED_VALUE"""),46095.0)</f>
        <v>46095</v>
      </c>
      <c r="C5269" s="2" t="str">
        <f>IFERROR(__xludf.DUMMYFUNCTION("""COMPUTED_VALUE"""),"MOBILECARE - LIMA ESTATE")</f>
        <v>MOBILECARE - LIMA ESTATE</v>
      </c>
      <c r="D5269" s="2" t="str">
        <f>IFERROR(__xludf.DUMMYFUNCTION("""COMPUTED_VALUE"""),"661-56052")</f>
        <v>661-56052</v>
      </c>
      <c r="E5269" s="2" t="str">
        <f>IFERROR(__xludf.DUMMYFUNCTION("""COMPUTED_VALUE"""),"Camera, iPhone 17 Pro Max")</f>
        <v>Camera, iPhone 17 Pro Max</v>
      </c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</row>
    <row r="5270">
      <c r="A5270" s="10" t="str">
        <f t="shared" si="1"/>
        <v>March</v>
      </c>
      <c r="B5270" s="11">
        <f>IFERROR(__xludf.DUMMYFUNCTION("""COMPUTED_VALUE"""),46085.0)</f>
        <v>46085</v>
      </c>
      <c r="C5270" s="2" t="str">
        <f>IFERROR(__xludf.DUMMYFUNCTION("""COMPUTED_VALUE"""),"MOBILECARE - LIMA ESTATE")</f>
        <v>MOBILECARE - LIMA ESTATE</v>
      </c>
      <c r="D5270" s="2" t="str">
        <f>IFERROR(__xludf.DUMMYFUNCTION("""COMPUTED_VALUE"""),"661-42727")</f>
        <v>661-42727</v>
      </c>
      <c r="E5270" s="2" t="str">
        <f>IFERROR(__xludf.DUMMYFUNCTION("""COMPUTED_VALUE"""),"TrueDepth Camera, iPhone 16 Pro")</f>
        <v>TrueDepth Camera, iPhone 16 Pro</v>
      </c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</row>
    <row r="5271">
      <c r="A5271" s="10" t="str">
        <f t="shared" si="1"/>
        <v>March</v>
      </c>
      <c r="B5271" s="11">
        <f>IFERROR(__xludf.DUMMYFUNCTION("""COMPUTED_VALUE"""),46085.0)</f>
        <v>46085</v>
      </c>
      <c r="C5271" s="2" t="str">
        <f>IFERROR(__xludf.DUMMYFUNCTION("""COMPUTED_VALUE"""),"MOBILECARE - LIMA ESTATE")</f>
        <v>MOBILECARE - LIMA ESTATE</v>
      </c>
      <c r="D5271" s="2" t="str">
        <f>IFERROR(__xludf.DUMMYFUNCTION("""COMPUTED_VALUE"""),"661-42728")</f>
        <v>661-42728</v>
      </c>
      <c r="E5271" s="2" t="str">
        <f>IFERROR(__xludf.DUMMYFUNCTION("""COMPUTED_VALUE"""),"Camera, iPhone 16 Pro")</f>
        <v>Camera, iPhone 16 Pro</v>
      </c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</row>
    <row r="5272">
      <c r="A5272" s="10" t="str">
        <f t="shared" si="1"/>
        <v>February</v>
      </c>
      <c r="B5272" s="11">
        <f>IFERROR(__xludf.DUMMYFUNCTION("""COMPUTED_VALUE"""),46063.0)</f>
        <v>46063</v>
      </c>
      <c r="C5272" s="2" t="str">
        <f>IFERROR(__xludf.DUMMYFUNCTION("""COMPUTED_VALUE"""),"MOBILECARE - LIMA ESTATE")</f>
        <v>MOBILECARE - LIMA ESTATE</v>
      </c>
      <c r="D5272" s="2" t="str">
        <f>IFERROR(__xludf.DUMMYFUNCTION("""COMPUTED_VALUE"""),"661-30394")</f>
        <v>661-30394</v>
      </c>
      <c r="E5272" s="2" t="str">
        <f>IFERROR(__xludf.DUMMYFUNCTION("""COMPUTED_VALUE"""),"Battery, iPhone 14 Plus")</f>
        <v>Battery, iPhone 14 Plus</v>
      </c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</row>
    <row r="5273">
      <c r="A5273" s="10" t="str">
        <f t="shared" si="1"/>
        <v>February</v>
      </c>
      <c r="B5273" s="11">
        <f>IFERROR(__xludf.DUMMYFUNCTION("""COMPUTED_VALUE"""),46062.0)</f>
        <v>46062</v>
      </c>
      <c r="C5273" s="2" t="str">
        <f>IFERROR(__xludf.DUMMYFUNCTION("""COMPUTED_VALUE"""),"MOBILECARE - LIMA ESTATE")</f>
        <v>MOBILECARE - LIMA ESTATE</v>
      </c>
      <c r="D5273" s="2" t="str">
        <f>IFERROR(__xludf.DUMMYFUNCTION("""COMPUTED_VALUE"""),"PP661-23455")</f>
        <v>PP661-23455</v>
      </c>
      <c r="E5273" s="2" t="str">
        <f>IFERROR(__xludf.DUMMYFUNCTION("""COMPUTED_VALUE"""),"iPhone 13, Starlight, 128GB, Logic Board Assy Rear System, ROW")</f>
        <v>iPhone 13, Starlight, 128GB, Logic Board Assy Rear System, ROW</v>
      </c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</row>
    <row r="5274">
      <c r="A5274" s="10" t="str">
        <f t="shared" si="1"/>
        <v>January</v>
      </c>
      <c r="B5274" s="11">
        <f>IFERROR(__xludf.DUMMYFUNCTION("""COMPUTED_VALUE"""),46053.0)</f>
        <v>46053</v>
      </c>
      <c r="C5274" s="2" t="str">
        <f>IFERROR(__xludf.DUMMYFUNCTION("""COMPUTED_VALUE"""),"MOBILECARE - LIMA ESTATE")</f>
        <v>MOBILECARE - LIMA ESTATE</v>
      </c>
      <c r="D5274" s="2" t="str">
        <f>IFERROR(__xludf.DUMMYFUNCTION("""COMPUTED_VALUE"""),"661-44798")</f>
        <v>661-44798</v>
      </c>
      <c r="E5274" s="2" t="str">
        <f>IFERROR(__xludf.DUMMYFUNCTION("""COMPUTED_VALUE"""),"TrueDepth Camera, iPhone 16")</f>
        <v>TrueDepth Camera, iPhone 16</v>
      </c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</row>
    <row r="5275">
      <c r="A5275" s="10" t="str">
        <f t="shared" si="1"/>
        <v>June</v>
      </c>
      <c r="B5275" s="11">
        <f>IFERROR(__xludf.DUMMYFUNCTION("""COMPUTED_VALUE"""),46182.0)</f>
        <v>46182</v>
      </c>
      <c r="C5275" s="2" t="str">
        <f>IFERROR(__xludf.DUMMYFUNCTION("""COMPUTED_VALUE"""),"MOBILECARE - LIMA ESTATE")</f>
        <v>MOBILECARE - LIMA ESTATE</v>
      </c>
      <c r="D5275" s="2" t="str">
        <f>IFERROR(__xludf.DUMMYFUNCTION("""COMPUTED_VALUE"""),"661-21996")</f>
        <v>661-21996</v>
      </c>
      <c r="E5275" s="2" t="str">
        <f>IFERROR(__xludf.DUMMYFUNCTION("""COMPUTED_VALUE"""),"Battery, iPhone 13 Pro")</f>
        <v>Battery, iPhone 13 Pro</v>
      </c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</row>
    <row r="5276">
      <c r="A5276" s="10" t="str">
        <f t="shared" si="1"/>
        <v>June</v>
      </c>
      <c r="B5276" s="11">
        <f>IFERROR(__xludf.DUMMYFUNCTION("""COMPUTED_VALUE"""),46175.0)</f>
        <v>46175</v>
      </c>
      <c r="C5276" s="2" t="str">
        <f>IFERROR(__xludf.DUMMYFUNCTION("""COMPUTED_VALUE"""),"MOBILECARE - LIMA ESTATE")</f>
        <v>MOBILECARE - LIMA ESTATE</v>
      </c>
      <c r="D5276" s="2" t="str">
        <f>IFERROR(__xludf.DUMMYFUNCTION("""COMPUTED_VALUE"""),"661-36918")</f>
        <v>661-36918</v>
      </c>
      <c r="E5276" s="2" t="str">
        <f>IFERROR(__xludf.DUMMYFUNCTION("""COMPUTED_VALUE"""),"Battery, iPhone 15 Pro Max")</f>
        <v>Battery, iPhone 15 Pro Max</v>
      </c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</row>
    <row r="5277">
      <c r="A5277" s="10" t="str">
        <f t="shared" si="1"/>
        <v>June</v>
      </c>
      <c r="B5277" s="11">
        <f>IFERROR(__xludf.DUMMYFUNCTION("""COMPUTED_VALUE"""),46184.0)</f>
        <v>46184</v>
      </c>
      <c r="C5277" s="2" t="str">
        <f>IFERROR(__xludf.DUMMYFUNCTION("""COMPUTED_VALUE"""),"MOBILECARE - LIMA ESTATE")</f>
        <v>MOBILECARE - LIMA ESTATE</v>
      </c>
      <c r="D5277" s="2" t="str">
        <f>IFERROR(__xludf.DUMMYFUNCTION("""COMPUTED_VALUE"""),"PP661-23455")</f>
        <v>PP661-23455</v>
      </c>
      <c r="E5277" s="2" t="str">
        <f>IFERROR(__xludf.DUMMYFUNCTION("""COMPUTED_VALUE"""),"iPhone 13, Starlight, 128GB, Logic Board Assy Rear System, ROW")</f>
        <v>iPhone 13, Starlight, 128GB, Logic Board Assy Rear System, ROW</v>
      </c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</row>
    <row r="5278">
      <c r="A5278" s="10" t="str">
        <f t="shared" si="1"/>
        <v>April</v>
      </c>
      <c r="B5278" s="11">
        <f>IFERROR(__xludf.DUMMYFUNCTION("""COMPUTED_VALUE"""),46121.0)</f>
        <v>46121</v>
      </c>
      <c r="C5278" s="2" t="str">
        <f>IFERROR(__xludf.DUMMYFUNCTION("""COMPUTED_VALUE"""),"MOBILECARE - LIMA ESTATE")</f>
        <v>MOBILECARE - LIMA ESTATE</v>
      </c>
      <c r="D5278" s="2" t="str">
        <f>IFERROR(__xludf.DUMMYFUNCTION("""COMPUTED_VALUE"""),"661-22309")</f>
        <v>661-22309</v>
      </c>
      <c r="E5278" s="2" t="str">
        <f>IFERROR(__xludf.DUMMYFUNCTION("""COMPUTED_VALUE"""),"Display, iPhone 13 Pro Max")</f>
        <v>Display, iPhone 13 Pro Max</v>
      </c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</row>
    <row r="5279">
      <c r="A5279" s="10" t="str">
        <f t="shared" si="1"/>
        <v>March</v>
      </c>
      <c r="B5279" s="11">
        <f>IFERROR(__xludf.DUMMYFUNCTION("""COMPUTED_VALUE"""),46111.0)</f>
        <v>46111</v>
      </c>
      <c r="C5279" s="2" t="str">
        <f>IFERROR(__xludf.DUMMYFUNCTION("""COMPUTED_VALUE"""),"MOBILECARE - LIMA ESTATE")</f>
        <v>MOBILECARE - LIMA ESTATE</v>
      </c>
      <c r="D5279" s="2" t="str">
        <f>IFERROR(__xludf.DUMMYFUNCTION("""COMPUTED_VALUE"""),"661-22294")</f>
        <v>661-22294</v>
      </c>
      <c r="E5279" s="2" t="str">
        <f>IFERROR(__xludf.DUMMYFUNCTION("""COMPUTED_VALUE"""),"Battery, iPhone 13 Pro Max")</f>
        <v>Battery, iPhone 13 Pro Max</v>
      </c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</row>
    <row r="5280">
      <c r="A5280" s="10" t="str">
        <f t="shared" si="1"/>
        <v>March</v>
      </c>
      <c r="B5280" s="11">
        <f>IFERROR(__xludf.DUMMYFUNCTION("""COMPUTED_VALUE"""),46106.0)</f>
        <v>46106</v>
      </c>
      <c r="C5280" s="2" t="str">
        <f>IFERROR(__xludf.DUMMYFUNCTION("""COMPUTED_VALUE"""),"MOBILECARE - LIMA ESTATE")</f>
        <v>MOBILECARE - LIMA ESTATE</v>
      </c>
      <c r="D5280" s="2" t="str">
        <f>IFERROR(__xludf.DUMMYFUNCTION("""COMPUTED_VALUE"""),"PP661-23454")</f>
        <v>PP661-23454</v>
      </c>
      <c r="E5280" s="2" t="str">
        <f>IFERROR(__xludf.DUMMYFUNCTION("""COMPUTED_VALUE"""),"iPhone 13, Midnight, 128GB, Logic Board Assy Rear System, ROW")</f>
        <v>iPhone 13, Midnight, 128GB, Logic Board Assy Rear System, ROW</v>
      </c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</row>
    <row r="5281">
      <c r="A5281" s="10" t="str">
        <f t="shared" si="1"/>
        <v>March</v>
      </c>
      <c r="B5281" s="11">
        <f>IFERROR(__xludf.DUMMYFUNCTION("""COMPUTED_VALUE"""),46097.0)</f>
        <v>46097</v>
      </c>
      <c r="C5281" s="2" t="str">
        <f>IFERROR(__xludf.DUMMYFUNCTION("""COMPUTED_VALUE"""),"MOBILECARE - LIMA ESTATE")</f>
        <v>MOBILECARE - LIMA ESTATE</v>
      </c>
      <c r="D5281" s="2" t="str">
        <f>IFERROR(__xludf.DUMMYFUNCTION("""COMPUTED_VALUE"""),"661-21991")</f>
        <v>661-21991</v>
      </c>
      <c r="E5281" s="2" t="str">
        <f>IFERROR(__xludf.DUMMYFUNCTION("""COMPUTED_VALUE"""),"Battery, iPhone 13")</f>
        <v>Battery, iPhone 13</v>
      </c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</row>
    <row r="5282">
      <c r="A5282" s="10" t="str">
        <f t="shared" si="1"/>
        <v>March</v>
      </c>
      <c r="B5282" s="11">
        <f>IFERROR(__xludf.DUMMYFUNCTION("""COMPUTED_VALUE"""),46092.0)</f>
        <v>46092</v>
      </c>
      <c r="C5282" s="2" t="str">
        <f>IFERROR(__xludf.DUMMYFUNCTION("""COMPUTED_VALUE"""),"MOBILECARE - LIMA ESTATE")</f>
        <v>MOBILECARE - LIMA ESTATE</v>
      </c>
      <c r="D5282" s="2" t="str">
        <f>IFERROR(__xludf.DUMMYFUNCTION("""COMPUTED_VALUE"""),"TA661-36694")</f>
        <v>TA661-36694</v>
      </c>
      <c r="E5282" s="2" t="str">
        <f>IFERROR(__xludf.DUMMYFUNCTION("""COMPUTED_VALUE"""),"iPhone 15, Blue, 128GB, Logic Board Assy Mid System, ROW")</f>
        <v>iPhone 15, Blue, 128GB, Logic Board Assy Mid System, ROW</v>
      </c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</row>
    <row r="5283">
      <c r="A5283" s="10" t="str">
        <f t="shared" si="1"/>
        <v>March</v>
      </c>
      <c r="B5283" s="11">
        <f>IFERROR(__xludf.DUMMYFUNCTION("""COMPUTED_VALUE"""),46082.0)</f>
        <v>46082</v>
      </c>
      <c r="C5283" s="2" t="str">
        <f>IFERROR(__xludf.DUMMYFUNCTION("""COMPUTED_VALUE"""),"MOBILECARE - LIMA ESTATE")</f>
        <v>MOBILECARE - LIMA ESTATE</v>
      </c>
      <c r="D5283" s="2" t="str">
        <f>IFERROR(__xludf.DUMMYFUNCTION("""COMPUTED_VALUE"""),"661-56050")</f>
        <v>661-56050</v>
      </c>
      <c r="E5283" s="2" t="str">
        <f>IFERROR(__xludf.DUMMYFUNCTION("""COMPUTED_VALUE"""),"Display, iPhone 17 Pro Max")</f>
        <v>Display, iPhone 17 Pro Max</v>
      </c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</row>
    <row r="5284">
      <c r="A5284" s="10" t="str">
        <f t="shared" si="1"/>
        <v>February</v>
      </c>
      <c r="B5284" s="11">
        <f>IFERROR(__xludf.DUMMYFUNCTION("""COMPUTED_VALUE"""),46080.0)</f>
        <v>46080</v>
      </c>
      <c r="C5284" s="2" t="str">
        <f>IFERROR(__xludf.DUMMYFUNCTION("""COMPUTED_VALUE"""),"MOBILECARE - LIMA ESTATE")</f>
        <v>MOBILECARE - LIMA ESTATE</v>
      </c>
      <c r="D5284" s="2" t="str">
        <f>IFERROR(__xludf.DUMMYFUNCTION("""COMPUTED_VALUE"""),"Z661-55956")</f>
        <v>Z661-55956</v>
      </c>
      <c r="E5284" s="2" t="str">
        <f>IFERROR(__xludf.DUMMYFUNCTION("""COMPUTED_VALUE"""),"Logic Board, 256GB, iPhone 17 Pro Max, ROW")</f>
        <v>Logic Board, 256GB, iPhone 17 Pro Max, ROW</v>
      </c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</row>
    <row r="5285">
      <c r="A5285" s="10" t="str">
        <f t="shared" si="1"/>
        <v>February</v>
      </c>
      <c r="B5285" s="11">
        <f>IFERROR(__xludf.DUMMYFUNCTION("""COMPUTED_VALUE"""),46068.0)</f>
        <v>46068</v>
      </c>
      <c r="C5285" s="2" t="str">
        <f>IFERROR(__xludf.DUMMYFUNCTION("""COMPUTED_VALUE"""),"MOBILECARE - LIMA ESTATE")</f>
        <v>MOBILECARE - LIMA ESTATE</v>
      </c>
      <c r="D5285" s="2" t="str">
        <f>IFERROR(__xludf.DUMMYFUNCTION("""COMPUTED_VALUE"""),"661-21996")</f>
        <v>661-21996</v>
      </c>
      <c r="E5285" s="2" t="str">
        <f>IFERROR(__xludf.DUMMYFUNCTION("""COMPUTED_VALUE"""),"Battery, iPhone 13 Pro")</f>
        <v>Battery, iPhone 13 Pro</v>
      </c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</row>
    <row r="5286">
      <c r="A5286" s="10" t="str">
        <f t="shared" si="1"/>
        <v>February</v>
      </c>
      <c r="B5286" s="11">
        <f>IFERROR(__xludf.DUMMYFUNCTION("""COMPUTED_VALUE"""),46060.0)</f>
        <v>46060</v>
      </c>
      <c r="C5286" s="2" t="str">
        <f>IFERROR(__xludf.DUMMYFUNCTION("""COMPUTED_VALUE"""),"MOBILECARE - LIMA ESTATE")</f>
        <v>MOBILECARE - LIMA ESTATE</v>
      </c>
      <c r="D5286" s="2" t="str">
        <f>IFERROR(__xludf.DUMMYFUNCTION("""COMPUTED_VALUE"""),"661-21991")</f>
        <v>661-21991</v>
      </c>
      <c r="E5286" s="2" t="str">
        <f>IFERROR(__xludf.DUMMYFUNCTION("""COMPUTED_VALUE"""),"Battery, iPhone 13")</f>
        <v>Battery, iPhone 13</v>
      </c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</row>
    <row r="5287">
      <c r="A5287" s="10" t="str">
        <f t="shared" si="1"/>
        <v>January</v>
      </c>
      <c r="B5287" s="11">
        <f>IFERROR(__xludf.DUMMYFUNCTION("""COMPUTED_VALUE"""),46052.0)</f>
        <v>46052</v>
      </c>
      <c r="C5287" s="2" t="str">
        <f>IFERROR(__xludf.DUMMYFUNCTION("""COMPUTED_VALUE"""),"MOBILECARE - LIMA ESTATE")</f>
        <v>MOBILECARE - LIMA ESTATE</v>
      </c>
      <c r="D5287" s="2" t="str">
        <f>IFERROR(__xludf.DUMMYFUNCTION("""COMPUTED_VALUE"""),"661-30366")</f>
        <v>661-30366</v>
      </c>
      <c r="E5287" s="2" t="str">
        <f>IFERROR(__xludf.DUMMYFUNCTION("""COMPUTED_VALUE"""),"Display, iPhone 14")</f>
        <v>Display, iPhone 14</v>
      </c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</row>
    <row r="5288">
      <c r="A5288" s="10" t="str">
        <f t="shared" si="1"/>
        <v>May</v>
      </c>
      <c r="B5288" s="11">
        <f>IFERROR(__xludf.DUMMYFUNCTION("""COMPUTED_VALUE"""),46151.0)</f>
        <v>46151</v>
      </c>
      <c r="C5288" s="2" t="str">
        <f>IFERROR(__xludf.DUMMYFUNCTION("""COMPUTED_VALUE"""),"MOBILECARE - LIMA ESTATE")</f>
        <v>MOBILECARE - LIMA ESTATE</v>
      </c>
      <c r="D5288" s="2" t="str">
        <f>IFERROR(__xludf.DUMMYFUNCTION("""COMPUTED_VALUE"""),"661-22294")</f>
        <v>661-22294</v>
      </c>
      <c r="E5288" s="2" t="str">
        <f>IFERROR(__xludf.DUMMYFUNCTION("""COMPUTED_VALUE"""),"Battery, iPhone 13 Pro Max")</f>
        <v>Battery, iPhone 13 Pro Max</v>
      </c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</row>
    <row r="5289">
      <c r="A5289" s="10" t="str">
        <f t="shared" si="1"/>
        <v>May</v>
      </c>
      <c r="B5289" s="11">
        <f>IFERROR(__xludf.DUMMYFUNCTION("""COMPUTED_VALUE"""),46151.0)</f>
        <v>46151</v>
      </c>
      <c r="C5289" s="2" t="str">
        <f>IFERROR(__xludf.DUMMYFUNCTION("""COMPUTED_VALUE"""),"MOBILECARE - LIMA ESTATE")</f>
        <v>MOBILECARE - LIMA ESTATE</v>
      </c>
      <c r="D5289" s="2" t="str">
        <f>IFERROR(__xludf.DUMMYFUNCTION("""COMPUTED_VALUE"""),"661-22293")</f>
        <v>661-22293</v>
      </c>
      <c r="E5289" s="2" t="str">
        <f>IFERROR(__xludf.DUMMYFUNCTION("""COMPUTED_VALUE"""),"Camera, iPhone 13 Pro and 13 Pro Max")</f>
        <v>Camera, iPhone 13 Pro and 13 Pro Max</v>
      </c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</row>
    <row r="5290">
      <c r="A5290" s="10" t="str">
        <f t="shared" si="1"/>
        <v>April</v>
      </c>
      <c r="B5290" s="11">
        <f>IFERROR(__xludf.DUMMYFUNCTION("""COMPUTED_VALUE"""),46127.0)</f>
        <v>46127</v>
      </c>
      <c r="C5290" s="2" t="str">
        <f>IFERROR(__xludf.DUMMYFUNCTION("""COMPUTED_VALUE"""),"MOBILECARE - LIMA ESTATE")</f>
        <v>MOBILECARE - LIMA ESTATE</v>
      </c>
      <c r="D5290" s="2" t="str">
        <f>IFERROR(__xludf.DUMMYFUNCTION("""COMPUTED_VALUE"""),"661-35694")</f>
        <v>661-35694</v>
      </c>
      <c r="E5290" s="2" t="str">
        <f>IFERROR(__xludf.DUMMYFUNCTION("""COMPUTED_VALUE"""),"Battery, iPhone 15 Pro")</f>
        <v>Battery, iPhone 15 Pro</v>
      </c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</row>
    <row r="5291">
      <c r="A5291" s="10" t="str">
        <f t="shared" si="1"/>
        <v>April</v>
      </c>
      <c r="B5291" s="11">
        <f>IFERROR(__xludf.DUMMYFUNCTION("""COMPUTED_VALUE"""),46119.0)</f>
        <v>46119</v>
      </c>
      <c r="C5291" s="2" t="str">
        <f>IFERROR(__xludf.DUMMYFUNCTION("""COMPUTED_VALUE"""),"MOBILECARE - LIMA ESTATE")</f>
        <v>MOBILECARE - LIMA ESTATE</v>
      </c>
      <c r="D5291" s="2" t="str">
        <f>IFERROR(__xludf.DUMMYFUNCTION("""COMPUTED_VALUE"""),"661-30382")</f>
        <v>661-30382</v>
      </c>
      <c r="E5291" s="2" t="str">
        <f>IFERROR(__xludf.DUMMYFUNCTION("""COMPUTED_VALUE"""),"Battery, iPhone 14 Pro")</f>
        <v>Battery, iPhone 14 Pro</v>
      </c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</row>
    <row r="5292">
      <c r="A5292" s="10" t="str">
        <f t="shared" si="1"/>
        <v>April</v>
      </c>
      <c r="B5292" s="11">
        <f>IFERROR(__xludf.DUMMYFUNCTION("""COMPUTED_VALUE"""),46128.0)</f>
        <v>46128</v>
      </c>
      <c r="C5292" s="2" t="str">
        <f>IFERROR(__xludf.DUMMYFUNCTION("""COMPUTED_VALUE"""),"MOBILECARE - LIMA ESTATE")</f>
        <v>MOBILECARE - LIMA ESTATE</v>
      </c>
      <c r="D5292" s="2" t="str">
        <f>IFERROR(__xludf.DUMMYFUNCTION("""COMPUTED_VALUE"""),"TA661-36691")</f>
        <v>TA661-36691</v>
      </c>
      <c r="E5292" s="2" t="str">
        <f>IFERROR(__xludf.DUMMYFUNCTION("""COMPUTED_VALUE"""),"iPhone 15, Black, 128GB, Logic Board Assy Mid System, ROW")</f>
        <v>iPhone 15, Black, 128GB, Logic Board Assy Mid System, ROW</v>
      </c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</row>
    <row r="5293">
      <c r="A5293" s="10" t="str">
        <f t="shared" si="1"/>
        <v>March</v>
      </c>
      <c r="B5293" s="11">
        <f>IFERROR(__xludf.DUMMYFUNCTION("""COMPUTED_VALUE"""),46106.0)</f>
        <v>46106</v>
      </c>
      <c r="C5293" s="2" t="str">
        <f>IFERROR(__xludf.DUMMYFUNCTION("""COMPUTED_VALUE"""),"MOBILECARE - LIMA ESTATE")</f>
        <v>MOBILECARE - LIMA ESTATE</v>
      </c>
      <c r="D5293" s="2" t="str">
        <f>IFERROR(__xludf.DUMMYFUNCTION("""COMPUTED_VALUE"""),"661-42726")</f>
        <v>661-42726</v>
      </c>
      <c r="E5293" s="2" t="str">
        <f>IFERROR(__xludf.DUMMYFUNCTION("""COMPUTED_VALUE"""),"Display, iPhone 16 Pro")</f>
        <v>Display, iPhone 16 Pro</v>
      </c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</row>
    <row r="5294">
      <c r="A5294" s="10" t="str">
        <f t="shared" si="1"/>
        <v>March</v>
      </c>
      <c r="B5294" s="11">
        <f>IFERROR(__xludf.DUMMYFUNCTION("""COMPUTED_VALUE"""),46091.0)</f>
        <v>46091</v>
      </c>
      <c r="C5294" s="2" t="str">
        <f>IFERROR(__xludf.DUMMYFUNCTION("""COMPUTED_VALUE"""),"MOBILECARE - LIMA ESTATE")</f>
        <v>MOBILECARE - LIMA ESTATE</v>
      </c>
      <c r="D5294" s="2" t="str">
        <f>IFERROR(__xludf.DUMMYFUNCTION("""COMPUTED_VALUE"""),"661-36918")</f>
        <v>661-36918</v>
      </c>
      <c r="E5294" s="2" t="str">
        <f>IFERROR(__xludf.DUMMYFUNCTION("""COMPUTED_VALUE"""),"Battery, iPhone 15 Pro Max")</f>
        <v>Battery, iPhone 15 Pro Max</v>
      </c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</row>
    <row r="5295">
      <c r="A5295" s="10" t="str">
        <f t="shared" si="1"/>
        <v>March</v>
      </c>
      <c r="B5295" s="11">
        <f>IFERROR(__xludf.DUMMYFUNCTION("""COMPUTED_VALUE"""),46105.0)</f>
        <v>46105</v>
      </c>
      <c r="C5295" s="2" t="str">
        <f>IFERROR(__xludf.DUMMYFUNCTION("""COMPUTED_VALUE"""),"MOBILECARE - LIMA ESTATE")</f>
        <v>MOBILECARE - LIMA ESTATE</v>
      </c>
      <c r="D5295" s="2" t="str">
        <f>IFERROR(__xludf.DUMMYFUNCTION("""COMPUTED_VALUE"""),"TA661-45234")</f>
        <v>TA661-45234</v>
      </c>
      <c r="E5295" s="2" t="str">
        <f>IFERROR(__xludf.DUMMYFUNCTION("""COMPUTED_VALUE"""),"128GB, Ultramarine, ROW, iPhone 16 Plus, Logic Board Assy Mid System")</f>
        <v>128GB, Ultramarine, ROW, iPhone 16 Plus, Logic Board Assy Mid System</v>
      </c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</row>
    <row r="5296">
      <c r="A5296" s="10" t="str">
        <f t="shared" si="1"/>
        <v>March</v>
      </c>
      <c r="B5296" s="11">
        <f>IFERROR(__xludf.DUMMYFUNCTION("""COMPUTED_VALUE"""),46100.0)</f>
        <v>46100</v>
      </c>
      <c r="C5296" s="2" t="str">
        <f>IFERROR(__xludf.DUMMYFUNCTION("""COMPUTED_VALUE"""),"MOBILECARE - LIMA ESTATE")</f>
        <v>MOBILECARE - LIMA ESTATE</v>
      </c>
      <c r="D5296" s="2" t="str">
        <f>IFERROR(__xludf.DUMMYFUNCTION("""COMPUTED_VALUE"""),"PP661-23455")</f>
        <v>PP661-23455</v>
      </c>
      <c r="E5296" s="2" t="str">
        <f>IFERROR(__xludf.DUMMYFUNCTION("""COMPUTED_VALUE"""),"iPhone 13, Starlight, 128GB, Logic Board Assy Rear System, ROW")</f>
        <v>iPhone 13, Starlight, 128GB, Logic Board Assy Rear System, ROW</v>
      </c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</row>
    <row r="5297">
      <c r="A5297" s="10" t="str">
        <f t="shared" si="1"/>
        <v>March</v>
      </c>
      <c r="B5297" s="11">
        <f>IFERROR(__xludf.DUMMYFUNCTION("""COMPUTED_VALUE"""),46101.0)</f>
        <v>46101</v>
      </c>
      <c r="C5297" s="2" t="str">
        <f>IFERROR(__xludf.DUMMYFUNCTION("""COMPUTED_VALUE"""),"MOBILECARE - LIMA ESTATE")</f>
        <v>MOBILECARE - LIMA ESTATE</v>
      </c>
      <c r="D5297" s="2" t="str">
        <f>IFERROR(__xludf.DUMMYFUNCTION("""COMPUTED_VALUE"""),"TA661-36697")</f>
        <v>TA661-36697</v>
      </c>
      <c r="E5297" s="2" t="str">
        <f>IFERROR(__xludf.DUMMYFUNCTION("""COMPUTED_VALUE"""),"iPhone 15, Pink, 256GB, Logic Board Assy Mid System, ROW")</f>
        <v>iPhone 15, Pink, 256GB, Logic Board Assy Mid System, ROW</v>
      </c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</row>
    <row r="5298">
      <c r="A5298" s="10" t="str">
        <f t="shared" si="1"/>
        <v>March</v>
      </c>
      <c r="B5298" s="11">
        <f>IFERROR(__xludf.DUMMYFUNCTION("""COMPUTED_VALUE"""),46088.0)</f>
        <v>46088</v>
      </c>
      <c r="C5298" s="2" t="str">
        <f>IFERROR(__xludf.DUMMYFUNCTION("""COMPUTED_VALUE"""),"MOBILECARE - LIMA ESTATE")</f>
        <v>MOBILECARE - LIMA ESTATE</v>
      </c>
      <c r="D5298" s="2" t="str">
        <f>IFERROR(__xludf.DUMMYFUNCTION("""COMPUTED_VALUE"""),"661-21991")</f>
        <v>661-21991</v>
      </c>
      <c r="E5298" s="2" t="str">
        <f>IFERROR(__xludf.DUMMYFUNCTION("""COMPUTED_VALUE"""),"Battery, iPhone 13")</f>
        <v>Battery, iPhone 13</v>
      </c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</row>
    <row r="5299">
      <c r="A5299" s="10" t="str">
        <f t="shared" si="1"/>
        <v>February</v>
      </c>
      <c r="B5299" s="11">
        <f>IFERROR(__xludf.DUMMYFUNCTION("""COMPUTED_VALUE"""),46070.0)</f>
        <v>46070</v>
      </c>
      <c r="C5299" s="2" t="str">
        <f>IFERROR(__xludf.DUMMYFUNCTION("""COMPUTED_VALUE"""),"MOBILECARE - LIMA ESTATE")</f>
        <v>MOBILECARE - LIMA ESTATE</v>
      </c>
      <c r="D5299" s="2" t="str">
        <f>IFERROR(__xludf.DUMMYFUNCTION("""COMPUTED_VALUE"""),"PP661-23454")</f>
        <v>PP661-23454</v>
      </c>
      <c r="E5299" s="2" t="str">
        <f>IFERROR(__xludf.DUMMYFUNCTION("""COMPUTED_VALUE"""),"iPhone 13, Midnight, 128GB, Logic Board Assy Rear System, ROW")</f>
        <v>iPhone 13, Midnight, 128GB, Logic Board Assy Rear System, ROW</v>
      </c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</row>
    <row r="5300">
      <c r="A5300" s="10" t="str">
        <f t="shared" si="1"/>
        <v>February</v>
      </c>
      <c r="B5300" s="11">
        <f>IFERROR(__xludf.DUMMYFUNCTION("""COMPUTED_VALUE"""),46069.0)</f>
        <v>46069</v>
      </c>
      <c r="C5300" s="2" t="str">
        <f>IFERROR(__xludf.DUMMYFUNCTION("""COMPUTED_VALUE"""),"MOBILECARE - LIMA ESTATE")</f>
        <v>MOBILECARE - LIMA ESTATE</v>
      </c>
      <c r="D5300" s="2" t="str">
        <f>IFERROR(__xludf.DUMMYFUNCTION("""COMPUTED_VALUE"""),"661-36915")</f>
        <v>661-36915</v>
      </c>
      <c r="E5300" s="2" t="str">
        <f>IFERROR(__xludf.DUMMYFUNCTION("""COMPUTED_VALUE"""),"Display, iPhone 15 Pro Max")</f>
        <v>Display, iPhone 15 Pro Max</v>
      </c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</row>
    <row r="5301">
      <c r="A5301" s="10" t="str">
        <f t="shared" si="1"/>
        <v>February</v>
      </c>
      <c r="B5301" s="11">
        <f>IFERROR(__xludf.DUMMYFUNCTION("""COMPUTED_VALUE"""),46066.0)</f>
        <v>46066</v>
      </c>
      <c r="C5301" s="2" t="str">
        <f>IFERROR(__xludf.DUMMYFUNCTION("""COMPUTED_VALUE"""),"MOBILECARE - LIMA ESTATE")</f>
        <v>MOBILECARE - LIMA ESTATE</v>
      </c>
      <c r="D5301" s="2" t="str">
        <f>IFERROR(__xludf.DUMMYFUNCTION("""COMPUTED_VALUE"""),"661-21991")</f>
        <v>661-21991</v>
      </c>
      <c r="E5301" s="2" t="str">
        <f>IFERROR(__xludf.DUMMYFUNCTION("""COMPUTED_VALUE"""),"Battery, iPhone 13")</f>
        <v>Battery, iPhone 13</v>
      </c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</row>
    <row r="5302">
      <c r="A5302" s="10" t="str">
        <f t="shared" si="1"/>
        <v>February</v>
      </c>
      <c r="B5302" s="11">
        <f>IFERROR(__xludf.DUMMYFUNCTION("""COMPUTED_VALUE"""),46059.0)</f>
        <v>46059</v>
      </c>
      <c r="C5302" s="2" t="str">
        <f>IFERROR(__xludf.DUMMYFUNCTION("""COMPUTED_VALUE"""),"MOBILECARE - LIMA ESTATE")</f>
        <v>MOBILECARE - LIMA ESTATE</v>
      </c>
      <c r="D5302" s="2" t="str">
        <f>IFERROR(__xludf.DUMMYFUNCTION("""COMPUTED_VALUE"""),"661-21991")</f>
        <v>661-21991</v>
      </c>
      <c r="E5302" s="2" t="str">
        <f>IFERROR(__xludf.DUMMYFUNCTION("""COMPUTED_VALUE"""),"Battery, iPhone 13")</f>
        <v>Battery, iPhone 13</v>
      </c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</row>
    <row r="5303">
      <c r="A5303" s="10" t="str">
        <f t="shared" si="1"/>
        <v>February</v>
      </c>
      <c r="B5303" s="11">
        <f>IFERROR(__xludf.DUMMYFUNCTION("""COMPUTED_VALUE"""),46062.0)</f>
        <v>46062</v>
      </c>
      <c r="C5303" s="2" t="str">
        <f>IFERROR(__xludf.DUMMYFUNCTION("""COMPUTED_VALUE"""),"MOBILECARE - LIMA ESTATE")</f>
        <v>MOBILECARE - LIMA ESTATE</v>
      </c>
      <c r="D5303" s="2" t="str">
        <f>IFERROR(__xludf.DUMMYFUNCTION("""COMPUTED_VALUE"""),"PP661-23454")</f>
        <v>PP661-23454</v>
      </c>
      <c r="E5303" s="2" t="str">
        <f>IFERROR(__xludf.DUMMYFUNCTION("""COMPUTED_VALUE"""),"iPhone 13, Midnight, 128GB, Logic Board Assy Rear System, ROW")</f>
        <v>iPhone 13, Midnight, 128GB, Logic Board Assy Rear System, ROW</v>
      </c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</row>
    <row r="5304">
      <c r="A5304" s="10" t="str">
        <f t="shared" si="1"/>
        <v>February</v>
      </c>
      <c r="B5304" s="11">
        <f>IFERROR(__xludf.DUMMYFUNCTION("""COMPUTED_VALUE"""),46054.0)</f>
        <v>46054</v>
      </c>
      <c r="C5304" s="2" t="str">
        <f>IFERROR(__xludf.DUMMYFUNCTION("""COMPUTED_VALUE"""),"MOBILECARE - LIMA ESTATE")</f>
        <v>MOBILECARE - LIMA ESTATE</v>
      </c>
      <c r="D5304" s="2" t="str">
        <f>IFERROR(__xludf.DUMMYFUNCTION("""COMPUTED_VALUE"""),"661-21988")</f>
        <v>661-21988</v>
      </c>
      <c r="E5304" s="2" t="str">
        <f>IFERROR(__xludf.DUMMYFUNCTION("""COMPUTED_VALUE"""),"Display, iPhone 13")</f>
        <v>Display, iPhone 13</v>
      </c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</row>
    <row r="5305">
      <c r="A5305" s="10" t="str">
        <f t="shared" si="1"/>
        <v>February</v>
      </c>
      <c r="B5305" s="11">
        <f>IFERROR(__xludf.DUMMYFUNCTION("""COMPUTED_VALUE"""),46057.0)</f>
        <v>46057</v>
      </c>
      <c r="C5305" s="2" t="str">
        <f>IFERROR(__xludf.DUMMYFUNCTION("""COMPUTED_VALUE"""),"MOBILECARE - LIMA ESTATE")</f>
        <v>MOBILECARE - LIMA ESTATE</v>
      </c>
      <c r="D5305" s="2" t="str">
        <f>IFERROR(__xludf.DUMMYFUNCTION("""COMPUTED_VALUE"""),"661-23878")</f>
        <v>661-23878</v>
      </c>
      <c r="E5305" s="2" t="str">
        <f>IFERROR(__xludf.DUMMYFUNCTION("""COMPUTED_VALUE"""),"TrueDepth Camera, iPhone 13")</f>
        <v>TrueDepth Camera, iPhone 13</v>
      </c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</row>
    <row r="5306">
      <c r="A5306" s="10" t="str">
        <f t="shared" si="1"/>
        <v>February</v>
      </c>
      <c r="B5306" s="11">
        <f>IFERROR(__xludf.DUMMYFUNCTION("""COMPUTED_VALUE"""),46054.0)</f>
        <v>46054</v>
      </c>
      <c r="C5306" s="2" t="str">
        <f>IFERROR(__xludf.DUMMYFUNCTION("""COMPUTED_VALUE"""),"MOBILECARE - LIMA ESTATE")</f>
        <v>MOBILECARE - LIMA ESTATE</v>
      </c>
      <c r="D5306" s="2" t="str">
        <f>IFERROR(__xludf.DUMMYFUNCTION("""COMPUTED_VALUE"""),"661-21991")</f>
        <v>661-21991</v>
      </c>
      <c r="E5306" s="2" t="str">
        <f>IFERROR(__xludf.DUMMYFUNCTION("""COMPUTED_VALUE"""),"Battery, iPhone 13")</f>
        <v>Battery, iPhone 13</v>
      </c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</row>
    <row r="5307">
      <c r="A5307" s="10" t="str">
        <f t="shared" si="1"/>
        <v>January</v>
      </c>
      <c r="B5307" s="11">
        <f>IFERROR(__xludf.DUMMYFUNCTION("""COMPUTED_VALUE"""),46038.0)</f>
        <v>46038</v>
      </c>
      <c r="C5307" s="2" t="str">
        <f>IFERROR(__xludf.DUMMYFUNCTION("""COMPUTED_VALUE"""),"MOBILECARE - LIMA ESTATE")</f>
        <v>MOBILECARE - LIMA ESTATE</v>
      </c>
      <c r="D5307" s="2" t="str">
        <f>IFERROR(__xludf.DUMMYFUNCTION("""COMPUTED_VALUE"""),"661-30393")</f>
        <v>661-30393</v>
      </c>
      <c r="E5307" s="2" t="str">
        <f>IFERROR(__xludf.DUMMYFUNCTION("""COMPUTED_VALUE"""),"Camera, iPhone 14 Plus")</f>
        <v>Camera, iPhone 14 Plus</v>
      </c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</row>
    <row r="5308">
      <c r="A5308" s="10" t="str">
        <f t="shared" si="1"/>
        <v>June</v>
      </c>
      <c r="B5308" s="11">
        <f>IFERROR(__xludf.DUMMYFUNCTION("""COMPUTED_VALUE"""),46185.0)</f>
        <v>46185</v>
      </c>
      <c r="C5308" s="2" t="str">
        <f>IFERROR(__xludf.DUMMYFUNCTION("""COMPUTED_VALUE"""),"MOBILECARE - LIMA ESTATE")</f>
        <v>MOBILECARE - LIMA ESTATE</v>
      </c>
      <c r="D5308" s="2" t="str">
        <f>IFERROR(__xludf.DUMMYFUNCTION("""COMPUTED_VALUE"""),"661-21991")</f>
        <v>661-21991</v>
      </c>
      <c r="E5308" s="2" t="str">
        <f>IFERROR(__xludf.DUMMYFUNCTION("""COMPUTED_VALUE"""),"Battery, iPhone 13")</f>
        <v>Battery, iPhone 13</v>
      </c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</row>
    <row r="5309">
      <c r="A5309" s="10" t="str">
        <f t="shared" si="1"/>
        <v>June</v>
      </c>
      <c r="B5309" s="11">
        <f>IFERROR(__xludf.DUMMYFUNCTION("""COMPUTED_VALUE"""),46179.0)</f>
        <v>46179</v>
      </c>
      <c r="C5309" s="2" t="str">
        <f>IFERROR(__xludf.DUMMYFUNCTION("""COMPUTED_VALUE"""),"MOBILECARE - LIMA ESTATE")</f>
        <v>MOBILECARE - LIMA ESTATE</v>
      </c>
      <c r="D5309" s="2" t="str">
        <f>IFERROR(__xludf.DUMMYFUNCTION("""COMPUTED_VALUE"""),"ZP923-13785")</f>
        <v>ZP923-13785</v>
      </c>
      <c r="E5309" s="2" t="str">
        <f>IFERROR(__xludf.DUMMYFUNCTION("""COMPUTED_VALUE"""),"Silver, Enclosure, iPhone 17 Pro Max, ROW")</f>
        <v>Silver, Enclosure, iPhone 17 Pro Max, ROW</v>
      </c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</row>
    <row r="5310">
      <c r="A5310" s="10" t="str">
        <f t="shared" si="1"/>
        <v>June</v>
      </c>
      <c r="B5310" s="11">
        <f>IFERROR(__xludf.DUMMYFUNCTION("""COMPUTED_VALUE"""),46175.0)</f>
        <v>46175</v>
      </c>
      <c r="C5310" s="2" t="str">
        <f>IFERROR(__xludf.DUMMYFUNCTION("""COMPUTED_VALUE"""),"MOBILECARE - LIMA ESTATE")</f>
        <v>MOBILECARE - LIMA ESTATE</v>
      </c>
      <c r="D5310" s="2" t="str">
        <f>IFERROR(__xludf.DUMMYFUNCTION("""COMPUTED_VALUE"""),"661-56065")</f>
        <v>661-56065</v>
      </c>
      <c r="E5310" s="2" t="str">
        <f>IFERROR(__xludf.DUMMYFUNCTION("""COMPUTED_VALUE"""),"Display, iPhone 17")</f>
        <v>Display, iPhone 17</v>
      </c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</row>
    <row r="5311">
      <c r="A5311" s="10" t="str">
        <f t="shared" si="1"/>
        <v>May</v>
      </c>
      <c r="B5311" s="11">
        <f>IFERROR(__xludf.DUMMYFUNCTION("""COMPUTED_VALUE"""),46145.0)</f>
        <v>46145</v>
      </c>
      <c r="C5311" s="2" t="str">
        <f>IFERROR(__xludf.DUMMYFUNCTION("""COMPUTED_VALUE"""),"MOBILECARE - LIMA ESTATE")</f>
        <v>MOBILECARE - LIMA ESTATE</v>
      </c>
      <c r="D5311" s="2" t="str">
        <f>IFERROR(__xludf.DUMMYFUNCTION("""COMPUTED_VALUE"""),"661-21991")</f>
        <v>661-21991</v>
      </c>
      <c r="E5311" s="2" t="str">
        <f>IFERROR(__xludf.DUMMYFUNCTION("""COMPUTED_VALUE"""),"Battery, iPhone 13")</f>
        <v>Battery, iPhone 13</v>
      </c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</row>
    <row r="5312">
      <c r="A5312" s="10" t="str">
        <f t="shared" si="1"/>
        <v>June</v>
      </c>
      <c r="B5312" s="11">
        <f>IFERROR(__xludf.DUMMYFUNCTION("""COMPUTED_VALUE"""),46182.0)</f>
        <v>46182</v>
      </c>
      <c r="C5312" s="2" t="str">
        <f>IFERROR(__xludf.DUMMYFUNCTION("""COMPUTED_VALUE"""),"MOBILECARE - LIMA ESTATE")</f>
        <v>MOBILECARE - LIMA ESTATE</v>
      </c>
      <c r="D5312" s="2" t="str">
        <f>IFERROR(__xludf.DUMMYFUNCTION("""COMPUTED_VALUE"""),"PP661-23455")</f>
        <v>PP661-23455</v>
      </c>
      <c r="E5312" s="2" t="str">
        <f>IFERROR(__xludf.DUMMYFUNCTION("""COMPUTED_VALUE"""),"iPhone 13, Starlight, 128GB, Logic Board Assy Rear System, ROW")</f>
        <v>iPhone 13, Starlight, 128GB, Logic Board Assy Rear System, ROW</v>
      </c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</row>
    <row r="5313">
      <c r="A5313" s="10" t="str">
        <f t="shared" si="1"/>
        <v>March</v>
      </c>
      <c r="B5313" s="11">
        <f>IFERROR(__xludf.DUMMYFUNCTION("""COMPUTED_VALUE"""),46112.0)</f>
        <v>46112</v>
      </c>
      <c r="C5313" s="2" t="str">
        <f>IFERROR(__xludf.DUMMYFUNCTION("""COMPUTED_VALUE"""),"MOBILECARE - LIMA ESTATE")</f>
        <v>MOBILECARE - LIMA ESTATE</v>
      </c>
      <c r="D5313" s="2" t="str">
        <f>IFERROR(__xludf.DUMMYFUNCTION("""COMPUTED_VALUE"""),"661-44799")</f>
        <v>661-44799</v>
      </c>
      <c r="E5313" s="2" t="str">
        <f>IFERROR(__xludf.DUMMYFUNCTION("""COMPUTED_VALUE"""),"Camera, iPhone 16")</f>
        <v>Camera, iPhone 16</v>
      </c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</row>
    <row r="5314">
      <c r="A5314" s="10" t="str">
        <f t="shared" si="1"/>
        <v>April</v>
      </c>
      <c r="B5314" s="11">
        <f>IFERROR(__xludf.DUMMYFUNCTION("""COMPUTED_VALUE"""),46120.0)</f>
        <v>46120</v>
      </c>
      <c r="C5314" s="2" t="str">
        <f>IFERROR(__xludf.DUMMYFUNCTION("""COMPUTED_VALUE"""),"MOBILECARE - LIMA ESTATE")</f>
        <v>MOBILECARE - LIMA ESTATE</v>
      </c>
      <c r="D5314" s="2" t="str">
        <f>IFERROR(__xludf.DUMMYFUNCTION("""COMPUTED_VALUE"""),"661-25890")</f>
        <v>661-25890</v>
      </c>
      <c r="E5314" s="2" t="str">
        <f>IFERROR(__xludf.DUMMYFUNCTION("""COMPUTED_VALUE"""),"Battery, iPhone SE 3rd generation")</f>
        <v>Battery, iPhone SE 3rd generation</v>
      </c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</row>
    <row r="5315">
      <c r="A5315" s="10" t="str">
        <f t="shared" si="1"/>
        <v>March</v>
      </c>
      <c r="B5315" s="11">
        <f>IFERROR(__xludf.DUMMYFUNCTION("""COMPUTED_VALUE"""),46082.0)</f>
        <v>46082</v>
      </c>
      <c r="C5315" s="2" t="str">
        <f>IFERROR(__xludf.DUMMYFUNCTION("""COMPUTED_VALUE"""),"MOBILECARE - LIMA ESTATE")</f>
        <v>MOBILECARE - LIMA ESTATE</v>
      </c>
      <c r="D5315" s="2" t="str">
        <f>IFERROR(__xludf.DUMMYFUNCTION("""COMPUTED_VALUE"""),"661-30382")</f>
        <v>661-30382</v>
      </c>
      <c r="E5315" s="2" t="str">
        <f>IFERROR(__xludf.DUMMYFUNCTION("""COMPUTED_VALUE"""),"Battery, iPhone 14 Pro")</f>
        <v>Battery, iPhone 14 Pro</v>
      </c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</row>
    <row r="5316">
      <c r="A5316" s="10" t="str">
        <f t="shared" si="1"/>
        <v>February</v>
      </c>
      <c r="B5316" s="11">
        <f>IFERROR(__xludf.DUMMYFUNCTION("""COMPUTED_VALUE"""),46081.0)</f>
        <v>46081</v>
      </c>
      <c r="C5316" s="2" t="str">
        <f>IFERROR(__xludf.DUMMYFUNCTION("""COMPUTED_VALUE"""),"MOBILECARE - LIMA ESTATE")</f>
        <v>MOBILECARE - LIMA ESTATE</v>
      </c>
      <c r="D5316" s="2" t="str">
        <f>IFERROR(__xludf.DUMMYFUNCTION("""COMPUTED_VALUE"""),"PP661-23454")</f>
        <v>PP661-23454</v>
      </c>
      <c r="E5316" s="2" t="str">
        <f>IFERROR(__xludf.DUMMYFUNCTION("""COMPUTED_VALUE"""),"iPhone 13, Midnight, 128GB, Logic Board Assy Rear System, ROW")</f>
        <v>iPhone 13, Midnight, 128GB, Logic Board Assy Rear System, ROW</v>
      </c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</row>
    <row r="5317">
      <c r="A5317" s="10" t="str">
        <f t="shared" si="1"/>
        <v>February</v>
      </c>
      <c r="B5317" s="11">
        <f>IFERROR(__xludf.DUMMYFUNCTION("""COMPUTED_VALUE"""),46079.0)</f>
        <v>46079</v>
      </c>
      <c r="C5317" s="2" t="str">
        <f>IFERROR(__xludf.DUMMYFUNCTION("""COMPUTED_VALUE"""),"MOBILECARE - LIMA ESTATE")</f>
        <v>MOBILECARE - LIMA ESTATE</v>
      </c>
      <c r="D5317" s="2" t="str">
        <f>IFERROR(__xludf.DUMMYFUNCTION("""COMPUTED_VALUE"""),"Z661-56015")</f>
        <v>Z661-56015</v>
      </c>
      <c r="E5317" s="2" t="str">
        <f>IFERROR(__xludf.DUMMYFUNCTION("""COMPUTED_VALUE"""),"Logic Board, 256GB, iPhone 17, ROW")</f>
        <v>Logic Board, 256GB, iPhone 17, ROW</v>
      </c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</row>
    <row r="5318">
      <c r="A5318" s="10" t="str">
        <f t="shared" si="1"/>
        <v>February</v>
      </c>
      <c r="B5318" s="11">
        <f>IFERROR(__xludf.DUMMYFUNCTION("""COMPUTED_VALUE"""),46061.0)</f>
        <v>46061</v>
      </c>
      <c r="C5318" s="2" t="str">
        <f>IFERROR(__xludf.DUMMYFUNCTION("""COMPUTED_VALUE"""),"MOBILECARE - LIMA ESTATE")</f>
        <v>MOBILECARE - LIMA ESTATE</v>
      </c>
      <c r="D5318" s="2" t="str">
        <f>IFERROR(__xludf.DUMMYFUNCTION("""COMPUTED_VALUE"""),"661-30394")</f>
        <v>661-30394</v>
      </c>
      <c r="E5318" s="2" t="str">
        <f>IFERROR(__xludf.DUMMYFUNCTION("""COMPUTED_VALUE"""),"Battery, iPhone 14 Plus")</f>
        <v>Battery, iPhone 14 Plus</v>
      </c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</row>
    <row r="5319">
      <c r="A5319" s="10" t="str">
        <f t="shared" si="1"/>
        <v>February</v>
      </c>
      <c r="B5319" s="11">
        <f>IFERROR(__xludf.DUMMYFUNCTION("""COMPUTED_VALUE"""),46060.0)</f>
        <v>46060</v>
      </c>
      <c r="C5319" s="2" t="str">
        <f>IFERROR(__xludf.DUMMYFUNCTION("""COMPUTED_VALUE"""),"MOBILECARE - LIMA ESTATE")</f>
        <v>MOBILECARE - LIMA ESTATE</v>
      </c>
      <c r="D5319" s="2" t="str">
        <f>IFERROR(__xludf.DUMMYFUNCTION("""COMPUTED_VALUE"""),"661-13574")</f>
        <v>661-13574</v>
      </c>
      <c r="E5319" s="2" t="str">
        <f>IFERROR(__xludf.DUMMYFUNCTION("""COMPUTED_VALUE"""),"Battery, iPhone 11")</f>
        <v>Battery, iPhone 11</v>
      </c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</row>
    <row r="5320">
      <c r="A5320" s="10" t="str">
        <f t="shared" si="1"/>
        <v>February</v>
      </c>
      <c r="B5320" s="11">
        <f>IFERROR(__xludf.DUMMYFUNCTION("""COMPUTED_VALUE"""),46069.0)</f>
        <v>46069</v>
      </c>
      <c r="C5320" s="2" t="str">
        <f>IFERROR(__xludf.DUMMYFUNCTION("""COMPUTED_VALUE"""),"MOBILECARE - LIMA ESTATE")</f>
        <v>MOBILECARE - LIMA ESTATE</v>
      </c>
      <c r="D5320" s="2" t="str">
        <f>IFERROR(__xludf.DUMMYFUNCTION("""COMPUTED_VALUE"""),"PP661-23454")</f>
        <v>PP661-23454</v>
      </c>
      <c r="E5320" s="2" t="str">
        <f>IFERROR(__xludf.DUMMYFUNCTION("""COMPUTED_VALUE"""),"iPhone 13, Midnight, 128GB, Logic Board Assy Rear System, ROW")</f>
        <v>iPhone 13, Midnight, 128GB, Logic Board Assy Rear System, ROW</v>
      </c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</row>
    <row r="5321">
      <c r="A5321" s="10" t="str">
        <f t="shared" si="1"/>
        <v>February</v>
      </c>
      <c r="B5321" s="11">
        <f>IFERROR(__xludf.DUMMYFUNCTION("""COMPUTED_VALUE"""),46074.0)</f>
        <v>46074</v>
      </c>
      <c r="C5321" s="2" t="str">
        <f>IFERROR(__xludf.DUMMYFUNCTION("""COMPUTED_VALUE"""),"MOBILECARE - LIMA ESTATE")</f>
        <v>MOBILECARE - LIMA ESTATE</v>
      </c>
      <c r="D5321" s="2" t="str">
        <f>IFERROR(__xludf.DUMMYFUNCTION("""COMPUTED_VALUE"""),"TA661-45231")</f>
        <v>TA661-45231</v>
      </c>
      <c r="E5321" s="2" t="str">
        <f>IFERROR(__xludf.DUMMYFUNCTION("""COMPUTED_VALUE"""),"128GB, Black, ROW, iPhone 16 Plus, Logic Board Assy Mid System")</f>
        <v>128GB, Black, ROW, iPhone 16 Plus, Logic Board Assy Mid System</v>
      </c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</row>
    <row r="5322">
      <c r="A5322" s="10" t="str">
        <f t="shared" si="1"/>
        <v>February</v>
      </c>
      <c r="B5322" s="11">
        <f>IFERROR(__xludf.DUMMYFUNCTION("""COMPUTED_VALUE"""),46074.0)</f>
        <v>46074</v>
      </c>
      <c r="C5322" s="2" t="str">
        <f>IFERROR(__xludf.DUMMYFUNCTION("""COMPUTED_VALUE"""),"MOBILECARE - LIMA ESTATE")</f>
        <v>MOBILECARE - LIMA ESTATE</v>
      </c>
      <c r="D5322" s="2" t="str">
        <f>IFERROR(__xludf.DUMMYFUNCTION("""COMPUTED_VALUE"""),"TA661-45231")</f>
        <v>TA661-45231</v>
      </c>
      <c r="E5322" s="2" t="str">
        <f>IFERROR(__xludf.DUMMYFUNCTION("""COMPUTED_VALUE"""),"128GB, Black, ROW, iPhone 16 Plus, Logic Board Assy Mid System")</f>
        <v>128GB, Black, ROW, iPhone 16 Plus, Logic Board Assy Mid System</v>
      </c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</row>
    <row r="5323">
      <c r="A5323" s="10" t="str">
        <f t="shared" si="1"/>
        <v>February</v>
      </c>
      <c r="B5323" s="11">
        <f>IFERROR(__xludf.DUMMYFUNCTION("""COMPUTED_VALUE"""),46062.0)</f>
        <v>46062</v>
      </c>
      <c r="C5323" s="2" t="str">
        <f>IFERROR(__xludf.DUMMYFUNCTION("""COMPUTED_VALUE"""),"MOBILECARE - LIMA ESTATE")</f>
        <v>MOBILECARE - LIMA ESTATE</v>
      </c>
      <c r="D5323" s="2" t="str">
        <f>IFERROR(__xludf.DUMMYFUNCTION("""COMPUTED_VALUE"""),"PP661-22980")</f>
        <v>PP661-22980</v>
      </c>
      <c r="E5323" s="2" t="str">
        <f>IFERROR(__xludf.DUMMYFUNCTION("""COMPUTED_VALUE"""),"Midnight, 128 GB, iPhone 13, ROW, CI/AR, Philippines")</f>
        <v>Midnight, 128 GB, iPhone 13, ROW, CI/AR, Philippines</v>
      </c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</row>
    <row r="5324">
      <c r="A5324" s="10" t="str">
        <f t="shared" si="1"/>
        <v>January</v>
      </c>
      <c r="B5324" s="11">
        <f>IFERROR(__xludf.DUMMYFUNCTION("""COMPUTED_VALUE"""),46046.0)</f>
        <v>46046</v>
      </c>
      <c r="C5324" s="2" t="str">
        <f>IFERROR(__xludf.DUMMYFUNCTION("""COMPUTED_VALUE"""),"MOBILECARE - LIMA ESTATE")</f>
        <v>MOBILECARE - LIMA ESTATE</v>
      </c>
      <c r="D5324" s="2" t="str">
        <f>IFERROR(__xludf.DUMMYFUNCTION("""COMPUTED_VALUE"""),"661-22309")</f>
        <v>661-22309</v>
      </c>
      <c r="E5324" s="2" t="str">
        <f>IFERROR(__xludf.DUMMYFUNCTION("""COMPUTED_VALUE"""),"Display, iPhone 13 Pro Max")</f>
        <v>Display, iPhone 13 Pro Max</v>
      </c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</row>
    <row r="5325">
      <c r="A5325" s="10" t="str">
        <f t="shared" si="1"/>
        <v>January</v>
      </c>
      <c r="B5325" s="11">
        <f>IFERROR(__xludf.DUMMYFUNCTION("""COMPUTED_VALUE"""),46041.0)</f>
        <v>46041</v>
      </c>
      <c r="C5325" s="2" t="str">
        <f>IFERROR(__xludf.DUMMYFUNCTION("""COMPUTED_VALUE"""),"MOBILECARE - LIMA ESTATE")</f>
        <v>MOBILECARE - LIMA ESTATE</v>
      </c>
      <c r="D5325" s="2" t="str">
        <f>IFERROR(__xludf.DUMMYFUNCTION("""COMPUTED_VALUE"""),"661-56125")</f>
        <v>661-56125</v>
      </c>
      <c r="E5325" s="2" t="str">
        <f>IFERROR(__xludf.DUMMYFUNCTION("""COMPUTED_VALUE"""),"Display, iPhone 17 Pro")</f>
        <v>Display, iPhone 17 Pro</v>
      </c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</row>
    <row r="5326">
      <c r="A5326" s="10" t="str">
        <f t="shared" si="1"/>
        <v>January</v>
      </c>
      <c r="B5326" s="11">
        <f>IFERROR(__xludf.DUMMYFUNCTION("""COMPUTED_VALUE"""),46046.0)</f>
        <v>46046</v>
      </c>
      <c r="C5326" s="2" t="str">
        <f>IFERROR(__xludf.DUMMYFUNCTION("""COMPUTED_VALUE"""),"MOBILECARE - LIMA ESTATE")</f>
        <v>MOBILECARE - LIMA ESTATE</v>
      </c>
      <c r="D5326" s="2" t="str">
        <f>IFERROR(__xludf.DUMMYFUNCTION("""COMPUTED_VALUE"""),"661-30373")</f>
        <v>661-30373</v>
      </c>
      <c r="E5326" s="2" t="str">
        <f>IFERROR(__xludf.DUMMYFUNCTION("""COMPUTED_VALUE"""),"Battery, iPhone 14")</f>
        <v>Battery, iPhone 14</v>
      </c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</row>
    <row r="5327">
      <c r="A5327" s="10" t="str">
        <f t="shared" si="1"/>
        <v>January</v>
      </c>
      <c r="B5327" s="11">
        <f>IFERROR(__xludf.DUMMYFUNCTION("""COMPUTED_VALUE"""),46052.0)</f>
        <v>46052</v>
      </c>
      <c r="C5327" s="2" t="str">
        <f>IFERROR(__xludf.DUMMYFUNCTION("""COMPUTED_VALUE"""),"MOBILECARE - LIMA ESTATE")</f>
        <v>MOBILECARE - LIMA ESTATE</v>
      </c>
      <c r="D5327" s="2" t="str">
        <f>IFERROR(__xludf.DUMMYFUNCTION("""COMPUTED_VALUE"""),"661-30382")</f>
        <v>661-30382</v>
      </c>
      <c r="E5327" s="2" t="str">
        <f>IFERROR(__xludf.DUMMYFUNCTION("""COMPUTED_VALUE"""),"Battery, iPhone 14 Pro")</f>
        <v>Battery, iPhone 14 Pro</v>
      </c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</row>
    <row r="5328">
      <c r="A5328" s="10" t="str">
        <f t="shared" si="1"/>
        <v>January</v>
      </c>
      <c r="B5328" s="11">
        <f>IFERROR(__xludf.DUMMYFUNCTION("""COMPUTED_VALUE"""),46044.0)</f>
        <v>46044</v>
      </c>
      <c r="C5328" s="2" t="str">
        <f>IFERROR(__xludf.DUMMYFUNCTION("""COMPUTED_VALUE"""),"MOBILECARE - LIMA ESTATE")</f>
        <v>MOBILECARE - LIMA ESTATE</v>
      </c>
      <c r="D5328" s="2" t="str">
        <f>IFERROR(__xludf.DUMMYFUNCTION("""COMPUTED_VALUE"""),"661-21991")</f>
        <v>661-21991</v>
      </c>
      <c r="E5328" s="2" t="str">
        <f>IFERROR(__xludf.DUMMYFUNCTION("""COMPUTED_VALUE"""),"Battery, iPhone 13")</f>
        <v>Battery, iPhone 13</v>
      </c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</row>
    <row r="5329">
      <c r="A5329" s="10" t="str">
        <f t="shared" si="1"/>
        <v>June</v>
      </c>
      <c r="B5329" s="11">
        <f>IFERROR(__xludf.DUMMYFUNCTION("""COMPUTED_VALUE"""),46175.0)</f>
        <v>46175</v>
      </c>
      <c r="C5329" s="2" t="str">
        <f>IFERROR(__xludf.DUMMYFUNCTION("""COMPUTED_VALUE"""),"MOBILECARE - LIMA ESTATE")</f>
        <v>MOBILECARE - LIMA ESTATE</v>
      </c>
      <c r="D5329" s="2" t="str">
        <f>IFERROR(__xludf.DUMMYFUNCTION("""COMPUTED_VALUE"""),"ZP923-13786")</f>
        <v>ZP923-13786</v>
      </c>
      <c r="E5329" s="2" t="str">
        <f>IFERROR(__xludf.DUMMYFUNCTION("""COMPUTED_VALUE"""),"Cosmic Orange, Enclosure, iPhone 17 Pro Max, ROW")</f>
        <v>Cosmic Orange, Enclosure, iPhone 17 Pro Max, ROW</v>
      </c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</row>
    <row r="5330">
      <c r="A5330" s="10" t="str">
        <f t="shared" si="1"/>
        <v>May</v>
      </c>
      <c r="B5330" s="11">
        <f>IFERROR(__xludf.DUMMYFUNCTION("""COMPUTED_VALUE"""),46145.0)</f>
        <v>46145</v>
      </c>
      <c r="C5330" s="2" t="str">
        <f>IFERROR(__xludf.DUMMYFUNCTION("""COMPUTED_VALUE"""),"MOBILECARE - LIMA ESTATE")</f>
        <v>MOBILECARE - LIMA ESTATE</v>
      </c>
      <c r="D5330" s="2" t="str">
        <f>IFERROR(__xludf.DUMMYFUNCTION("""COMPUTED_VALUE"""),"PP661-23455")</f>
        <v>PP661-23455</v>
      </c>
      <c r="E5330" s="2" t="str">
        <f>IFERROR(__xludf.DUMMYFUNCTION("""COMPUTED_VALUE"""),"iPhone 13, Starlight, 128GB, Logic Board Assy Rear System, ROW")</f>
        <v>iPhone 13, Starlight, 128GB, Logic Board Assy Rear System, ROW</v>
      </c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</row>
    <row r="5331">
      <c r="A5331" s="10" t="str">
        <f t="shared" si="1"/>
        <v>April</v>
      </c>
      <c r="B5331" s="11">
        <f>IFERROR(__xludf.DUMMYFUNCTION("""COMPUTED_VALUE"""),46126.0)</f>
        <v>46126</v>
      </c>
      <c r="C5331" s="2" t="str">
        <f>IFERROR(__xludf.DUMMYFUNCTION("""COMPUTED_VALUE"""),"MOBILECARE - LIMA ESTATE")</f>
        <v>MOBILECARE - LIMA ESTATE</v>
      </c>
      <c r="D5331" s="2" t="str">
        <f>IFERROR(__xludf.DUMMYFUNCTION("""COMPUTED_VALUE"""),"661-42726")</f>
        <v>661-42726</v>
      </c>
      <c r="E5331" s="2" t="str">
        <f>IFERROR(__xludf.DUMMYFUNCTION("""COMPUTED_VALUE"""),"Display, iPhone 16 Pro")</f>
        <v>Display, iPhone 16 Pro</v>
      </c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</row>
    <row r="5332">
      <c r="A5332" s="10" t="str">
        <f t="shared" si="1"/>
        <v>June</v>
      </c>
      <c r="B5332" s="11">
        <f>IFERROR(__xludf.DUMMYFUNCTION("""COMPUTED_VALUE"""),46189.0)</f>
        <v>46189</v>
      </c>
      <c r="C5332" s="2" t="str">
        <f>IFERROR(__xludf.DUMMYFUNCTION("""COMPUTED_VALUE"""),"MOBILECARE - LIMA ESTATE")</f>
        <v>MOBILECARE - LIMA ESTATE</v>
      </c>
      <c r="D5332" s="2" t="str">
        <f>IFERROR(__xludf.DUMMYFUNCTION("""COMPUTED_VALUE"""),"661-35885")</f>
        <v>661-35885</v>
      </c>
      <c r="E5332" s="2" t="str">
        <f>IFERROR(__xludf.DUMMYFUNCTION("""COMPUTED_VALUE"""),"Battery, iPhone 15")</f>
        <v>Battery, iPhone 15</v>
      </c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</row>
    <row r="5333">
      <c r="A5333" s="10" t="str">
        <f t="shared" si="1"/>
        <v>June</v>
      </c>
      <c r="B5333" s="11">
        <f>IFERROR(__xludf.DUMMYFUNCTION("""COMPUTED_VALUE"""),46189.0)</f>
        <v>46189</v>
      </c>
      <c r="C5333" s="2" t="str">
        <f>IFERROR(__xludf.DUMMYFUNCTION("""COMPUTED_VALUE"""),"MOBILECARE - LIMA ESTATE")</f>
        <v>MOBILECARE - LIMA ESTATE</v>
      </c>
      <c r="D5333" s="2" t="str">
        <f>IFERROR(__xludf.DUMMYFUNCTION("""COMPUTED_VALUE"""),"661-35885")</f>
        <v>661-35885</v>
      </c>
      <c r="E5333" s="2" t="str">
        <f>IFERROR(__xludf.DUMMYFUNCTION("""COMPUTED_VALUE"""),"Battery, iPhone 15")</f>
        <v>Battery, iPhone 15</v>
      </c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</row>
    <row r="5334">
      <c r="A5334" s="10" t="str">
        <f t="shared" si="1"/>
        <v>June</v>
      </c>
      <c r="B5334" s="11">
        <f>IFERROR(__xludf.DUMMYFUNCTION("""COMPUTED_VALUE"""),46189.0)</f>
        <v>46189</v>
      </c>
      <c r="C5334" s="2" t="str">
        <f>IFERROR(__xludf.DUMMYFUNCTION("""COMPUTED_VALUE"""),"MOBILECARE - LIMA ESTATE")</f>
        <v>MOBILECARE - LIMA ESTATE</v>
      </c>
      <c r="D5334" s="2" t="str">
        <f>IFERROR(__xludf.DUMMYFUNCTION("""COMPUTED_VALUE"""),"TA661-36286")</f>
        <v>TA661-36286</v>
      </c>
      <c r="E5334" s="2" t="str">
        <f>IFERROR(__xludf.DUMMYFUNCTION("""COMPUTED_VALUE"""),"Black, iPhone 15, 128GB, ROW, CI/AR, Taiwan")</f>
        <v>Black, iPhone 15, 128GB, ROW, CI/AR, Taiwan</v>
      </c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</row>
    <row r="5335">
      <c r="A5335" s="10" t="str">
        <f t="shared" si="1"/>
        <v>April</v>
      </c>
      <c r="B5335" s="11">
        <f>IFERROR(__xludf.DUMMYFUNCTION("""COMPUTED_VALUE"""),46121.0)</f>
        <v>46121</v>
      </c>
      <c r="C5335" s="2" t="str">
        <f>IFERROR(__xludf.DUMMYFUNCTION("""COMPUTED_VALUE"""),"MOBILECARE - LIMA ESTATE")</f>
        <v>MOBILECARE - LIMA ESTATE</v>
      </c>
      <c r="D5335" s="2" t="str">
        <f>IFERROR(__xludf.DUMMYFUNCTION("""COMPUTED_VALUE"""),"TA661-36693")</f>
        <v>TA661-36693</v>
      </c>
      <c r="E5335" s="2" t="str">
        <f>IFERROR(__xludf.DUMMYFUNCTION("""COMPUTED_VALUE"""),"iPhone 15, Yellow, 128GB, Logic Board Assy Mid System, ROW")</f>
        <v>iPhone 15, Yellow, 128GB, Logic Board Assy Mid System, ROW</v>
      </c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</row>
    <row r="5336">
      <c r="A5336" s="10" t="str">
        <f t="shared" si="1"/>
        <v>March</v>
      </c>
      <c r="B5336" s="11">
        <f>IFERROR(__xludf.DUMMYFUNCTION("""COMPUTED_VALUE"""),46100.0)</f>
        <v>46100</v>
      </c>
      <c r="C5336" s="2" t="str">
        <f>IFERROR(__xludf.DUMMYFUNCTION("""COMPUTED_VALUE"""),"MOBILECARE - LIMA ESTATE")</f>
        <v>MOBILECARE - LIMA ESTATE</v>
      </c>
      <c r="D5336" s="2" t="str">
        <f>IFERROR(__xludf.DUMMYFUNCTION("""COMPUTED_VALUE"""),"661-44956")</f>
        <v>661-44956</v>
      </c>
      <c r="E5336" s="2" t="str">
        <f>IFERROR(__xludf.DUMMYFUNCTION("""COMPUTED_VALUE"""),"TrueDepth Camera, iPhone 16 Pro Max")</f>
        <v>TrueDepth Camera, iPhone 16 Pro Max</v>
      </c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</row>
    <row r="5337">
      <c r="A5337" s="10" t="str">
        <f t="shared" si="1"/>
        <v>March</v>
      </c>
      <c r="B5337" s="11">
        <f>IFERROR(__xludf.DUMMYFUNCTION("""COMPUTED_VALUE"""),46096.0)</f>
        <v>46096</v>
      </c>
      <c r="C5337" s="2" t="str">
        <f>IFERROR(__xludf.DUMMYFUNCTION("""COMPUTED_VALUE"""),"MOBILECARE - LIMA ESTATE")</f>
        <v>MOBILECARE - LIMA ESTATE</v>
      </c>
      <c r="D5337" s="2" t="str">
        <f>IFERROR(__xludf.DUMMYFUNCTION("""COMPUTED_VALUE"""),"PP661-23455")</f>
        <v>PP661-23455</v>
      </c>
      <c r="E5337" s="2" t="str">
        <f>IFERROR(__xludf.DUMMYFUNCTION("""COMPUTED_VALUE"""),"iPhone 13, Starlight, 128GB, Logic Board Assy Rear System, ROW")</f>
        <v>iPhone 13, Starlight, 128GB, Logic Board Assy Rear System, ROW</v>
      </c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</row>
    <row r="5338">
      <c r="A5338" s="10" t="str">
        <f t="shared" si="1"/>
        <v>February</v>
      </c>
      <c r="B5338" s="11">
        <f>IFERROR(__xludf.DUMMYFUNCTION("""COMPUTED_VALUE"""),46075.0)</f>
        <v>46075</v>
      </c>
      <c r="C5338" s="2" t="str">
        <f>IFERROR(__xludf.DUMMYFUNCTION("""COMPUTED_VALUE"""),"MOBILECARE - LIMA ESTATE")</f>
        <v>MOBILECARE - LIMA ESTATE</v>
      </c>
      <c r="D5338" s="2" t="str">
        <f>IFERROR(__xludf.DUMMYFUNCTION("""COMPUTED_VALUE"""),"661-21996")</f>
        <v>661-21996</v>
      </c>
      <c r="E5338" s="2" t="str">
        <f>IFERROR(__xludf.DUMMYFUNCTION("""COMPUTED_VALUE"""),"Battery, iPhone 13 Pro")</f>
        <v>Battery, iPhone 13 Pro</v>
      </c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</row>
    <row r="5339">
      <c r="A5339" s="10" t="str">
        <f t="shared" si="1"/>
        <v>February</v>
      </c>
      <c r="B5339" s="11">
        <f>IFERROR(__xludf.DUMMYFUNCTION("""COMPUTED_VALUE"""),46062.0)</f>
        <v>46062</v>
      </c>
      <c r="C5339" s="2" t="str">
        <f>IFERROR(__xludf.DUMMYFUNCTION("""COMPUTED_VALUE"""),"MOBILECARE - LIMA ESTATE")</f>
        <v>MOBILECARE - LIMA ESTATE</v>
      </c>
      <c r="D5339" s="2" t="str">
        <f>IFERROR(__xludf.DUMMYFUNCTION("""COMPUTED_VALUE"""),"661-21991")</f>
        <v>661-21991</v>
      </c>
      <c r="E5339" s="2" t="str">
        <f>IFERROR(__xludf.DUMMYFUNCTION("""COMPUTED_VALUE"""),"Battery, iPhone 13")</f>
        <v>Battery, iPhone 13</v>
      </c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</row>
    <row r="5340">
      <c r="A5340" s="10" t="str">
        <f t="shared" si="1"/>
        <v>January</v>
      </c>
      <c r="B5340" s="11">
        <f>IFERROR(__xludf.DUMMYFUNCTION("""COMPUTED_VALUE"""),46050.0)</f>
        <v>46050</v>
      </c>
      <c r="C5340" s="2" t="str">
        <f>IFERROR(__xludf.DUMMYFUNCTION("""COMPUTED_VALUE"""),"MOBILECARE - LIMA ESTATE")</f>
        <v>MOBILECARE - LIMA ESTATE</v>
      </c>
      <c r="D5340" s="2" t="str">
        <f>IFERROR(__xludf.DUMMYFUNCTION("""COMPUTED_VALUE"""),"661-35828")</f>
        <v>661-35828</v>
      </c>
      <c r="E5340" s="2" t="str">
        <f>IFERROR(__xludf.DUMMYFUNCTION("""COMPUTED_VALUE"""),"Camera, iPhone 15")</f>
        <v>Camera, iPhone 15</v>
      </c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</row>
    <row r="5341">
      <c r="A5341" s="10" t="str">
        <f t="shared" si="1"/>
        <v>January</v>
      </c>
      <c r="B5341" s="11">
        <f>IFERROR(__xludf.DUMMYFUNCTION("""COMPUTED_VALUE"""),46050.0)</f>
        <v>46050</v>
      </c>
      <c r="C5341" s="2" t="str">
        <f>IFERROR(__xludf.DUMMYFUNCTION("""COMPUTED_VALUE"""),"MOBILECARE - LIMA ESTATE")</f>
        <v>MOBILECARE - LIMA ESTATE</v>
      </c>
      <c r="D5341" s="2" t="str">
        <f>IFERROR(__xludf.DUMMYFUNCTION("""COMPUTED_VALUE"""),"661-35828")</f>
        <v>661-35828</v>
      </c>
      <c r="E5341" s="2" t="str">
        <f>IFERROR(__xludf.DUMMYFUNCTION("""COMPUTED_VALUE"""),"Camera, iPhone 15")</f>
        <v>Camera, iPhone 15</v>
      </c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</row>
    <row r="5342">
      <c r="A5342" s="10" t="str">
        <f t="shared" si="1"/>
        <v>May</v>
      </c>
      <c r="B5342" s="11">
        <f>IFERROR(__xludf.DUMMYFUNCTION("""COMPUTED_VALUE"""),46157.0)</f>
        <v>46157</v>
      </c>
      <c r="C5342" s="2" t="str">
        <f>IFERROR(__xludf.DUMMYFUNCTION("""COMPUTED_VALUE"""),"MOBILECARE - LIMA ESTATE")</f>
        <v>MOBILECARE - LIMA ESTATE</v>
      </c>
      <c r="D5342" s="2" t="str">
        <f>IFERROR(__xludf.DUMMYFUNCTION("""COMPUTED_VALUE"""),"661-44799")</f>
        <v>661-44799</v>
      </c>
      <c r="E5342" s="2" t="str">
        <f>IFERROR(__xludf.DUMMYFUNCTION("""COMPUTED_VALUE"""),"Camera, iPhone 16")</f>
        <v>Camera, iPhone 16</v>
      </c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</row>
    <row r="5343">
      <c r="A5343" s="10" t="str">
        <f t="shared" si="1"/>
        <v>April</v>
      </c>
      <c r="B5343" s="11">
        <f>IFERROR(__xludf.DUMMYFUNCTION("""COMPUTED_VALUE"""),46142.0)</f>
        <v>46142</v>
      </c>
      <c r="C5343" s="2" t="str">
        <f>IFERROR(__xludf.DUMMYFUNCTION("""COMPUTED_VALUE"""),"MOBILECARE - LIMA ESTATE")</f>
        <v>MOBILECARE - LIMA ESTATE</v>
      </c>
      <c r="D5343" s="2" t="str">
        <f>IFERROR(__xludf.DUMMYFUNCTION("""COMPUTED_VALUE"""),"661-21988")</f>
        <v>661-21988</v>
      </c>
      <c r="E5343" s="2" t="str">
        <f>IFERROR(__xludf.DUMMYFUNCTION("""COMPUTED_VALUE"""),"Display, iPhone 13")</f>
        <v>Display, iPhone 13</v>
      </c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</row>
    <row r="5344">
      <c r="A5344" s="10" t="str">
        <f t="shared" si="1"/>
        <v>April</v>
      </c>
      <c r="B5344" s="11">
        <f>IFERROR(__xludf.DUMMYFUNCTION("""COMPUTED_VALUE"""),46140.0)</f>
        <v>46140</v>
      </c>
      <c r="C5344" s="2" t="str">
        <f>IFERROR(__xludf.DUMMYFUNCTION("""COMPUTED_VALUE"""),"MOBILECARE - LIMA ESTATE")</f>
        <v>MOBILECARE - LIMA ESTATE</v>
      </c>
      <c r="D5344" s="2" t="str">
        <f>IFERROR(__xludf.DUMMYFUNCTION("""COMPUTED_VALUE"""),"PP661-23455")</f>
        <v>PP661-23455</v>
      </c>
      <c r="E5344" s="2" t="str">
        <f>IFERROR(__xludf.DUMMYFUNCTION("""COMPUTED_VALUE"""),"iPhone 13, Starlight, 128GB, Logic Board Assy Rear System, ROW")</f>
        <v>iPhone 13, Starlight, 128GB, Logic Board Assy Rear System, ROW</v>
      </c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</row>
    <row r="5345">
      <c r="A5345" s="10" t="str">
        <f t="shared" si="1"/>
        <v>March</v>
      </c>
      <c r="B5345" s="11">
        <f>IFERROR(__xludf.DUMMYFUNCTION("""COMPUTED_VALUE"""),46112.0)</f>
        <v>46112</v>
      </c>
      <c r="C5345" s="2" t="str">
        <f>IFERROR(__xludf.DUMMYFUNCTION("""COMPUTED_VALUE"""),"MOBILECARE - LIMA ESTATE")</f>
        <v>MOBILECARE - LIMA ESTATE</v>
      </c>
      <c r="D5345" s="2" t="str">
        <f>IFERROR(__xludf.DUMMYFUNCTION("""COMPUTED_VALUE"""),"661-44797")</f>
        <v>661-44797</v>
      </c>
      <c r="E5345" s="2" t="str">
        <f>IFERROR(__xludf.DUMMYFUNCTION("""COMPUTED_VALUE"""),"Display, iPhone 16")</f>
        <v>Display, iPhone 16</v>
      </c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</row>
    <row r="5346">
      <c r="A5346" s="10" t="str">
        <f t="shared" si="1"/>
        <v>April</v>
      </c>
      <c r="B5346" s="11">
        <f>IFERROR(__xludf.DUMMYFUNCTION("""COMPUTED_VALUE"""),46123.0)</f>
        <v>46123</v>
      </c>
      <c r="C5346" s="2" t="str">
        <f>IFERROR(__xludf.DUMMYFUNCTION("""COMPUTED_VALUE"""),"MOBILECARE - LIMA ESTATE")</f>
        <v>MOBILECARE - LIMA ESTATE</v>
      </c>
      <c r="D5346" s="2" t="str">
        <f>IFERROR(__xludf.DUMMYFUNCTION("""COMPUTED_VALUE"""),"TA661-43605")</f>
        <v>TA661-43605</v>
      </c>
      <c r="E5346" s="2" t="str">
        <f>IFERROR(__xludf.DUMMYFUNCTION("""COMPUTED_VALUE"""),"128GB, Black, ROW, iPhone 16, Logic Board Assy Mid System")</f>
        <v>128GB, Black, ROW, iPhone 16, Logic Board Assy Mid System</v>
      </c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</row>
    <row r="5347">
      <c r="A5347" s="10" t="str">
        <f t="shared" si="1"/>
        <v>April</v>
      </c>
      <c r="B5347" s="11">
        <f>IFERROR(__xludf.DUMMYFUNCTION("""COMPUTED_VALUE"""),46131.0)</f>
        <v>46131</v>
      </c>
      <c r="C5347" s="2" t="str">
        <f>IFERROR(__xludf.DUMMYFUNCTION("""COMPUTED_VALUE"""),"MOBILECARE - LIMA ESTATE")</f>
        <v>MOBILECARE - LIMA ESTATE</v>
      </c>
      <c r="D5347" s="2" t="str">
        <f>IFERROR(__xludf.DUMMYFUNCTION("""COMPUTED_VALUE"""),"Z661-56015")</f>
        <v>Z661-56015</v>
      </c>
      <c r="E5347" s="2" t="str">
        <f>IFERROR(__xludf.DUMMYFUNCTION("""COMPUTED_VALUE"""),"Logic Board, 256GB, iPhone 17, ROW")</f>
        <v>Logic Board, 256GB, iPhone 17, ROW</v>
      </c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</row>
    <row r="5348">
      <c r="A5348" s="10" t="str">
        <f t="shared" si="1"/>
        <v>March</v>
      </c>
      <c r="B5348" s="11">
        <f>IFERROR(__xludf.DUMMYFUNCTION("""COMPUTED_VALUE"""),46096.0)</f>
        <v>46096</v>
      </c>
      <c r="C5348" s="2" t="str">
        <f>IFERROR(__xludf.DUMMYFUNCTION("""COMPUTED_VALUE"""),"MOBILECARE - LIMA ESTATE")</f>
        <v>MOBILECARE - LIMA ESTATE</v>
      </c>
      <c r="D5348" s="2" t="str">
        <f>IFERROR(__xludf.DUMMYFUNCTION("""COMPUTED_VALUE"""),"661-21988")</f>
        <v>661-21988</v>
      </c>
      <c r="E5348" s="2" t="str">
        <f>IFERROR(__xludf.DUMMYFUNCTION("""COMPUTED_VALUE"""),"Display, iPhone 13")</f>
        <v>Display, iPhone 13</v>
      </c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</row>
    <row r="5349">
      <c r="A5349" s="10" t="str">
        <f t="shared" si="1"/>
        <v>March</v>
      </c>
      <c r="B5349" s="11">
        <f>IFERROR(__xludf.DUMMYFUNCTION("""COMPUTED_VALUE"""),46093.0)</f>
        <v>46093</v>
      </c>
      <c r="C5349" s="2" t="str">
        <f>IFERROR(__xludf.DUMMYFUNCTION("""COMPUTED_VALUE"""),"MOBILECARE - LIMA ESTATE")</f>
        <v>MOBILECARE - LIMA ESTATE</v>
      </c>
      <c r="D5349" s="2" t="str">
        <f>IFERROR(__xludf.DUMMYFUNCTION("""COMPUTED_VALUE"""),"661-23878")</f>
        <v>661-23878</v>
      </c>
      <c r="E5349" s="2" t="str">
        <f>IFERROR(__xludf.DUMMYFUNCTION("""COMPUTED_VALUE"""),"TrueDepth Camera, iPhone 13")</f>
        <v>TrueDepth Camera, iPhone 13</v>
      </c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</row>
    <row r="5350">
      <c r="A5350" s="10" t="str">
        <f t="shared" si="1"/>
        <v>March</v>
      </c>
      <c r="B5350" s="11">
        <f>IFERROR(__xludf.DUMMYFUNCTION("""COMPUTED_VALUE"""),46093.0)</f>
        <v>46093</v>
      </c>
      <c r="C5350" s="2" t="str">
        <f>IFERROR(__xludf.DUMMYFUNCTION("""COMPUTED_VALUE"""),"MOBILECARE - LIMA ESTATE")</f>
        <v>MOBILECARE - LIMA ESTATE</v>
      </c>
      <c r="D5350" s="2" t="str">
        <f>IFERROR(__xludf.DUMMYFUNCTION("""COMPUTED_VALUE"""),"661-32232")</f>
        <v>661-32232</v>
      </c>
      <c r="E5350" s="2" t="str">
        <f>IFERROR(__xludf.DUMMYFUNCTION("""COMPUTED_VALUE"""),"Rear Camera, iPhone 13/mini, MICN")</f>
        <v>Rear Camera, iPhone 13/mini, MICN</v>
      </c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</row>
    <row r="5351">
      <c r="A5351" s="10" t="str">
        <f t="shared" si="1"/>
        <v>March</v>
      </c>
      <c r="B5351" s="11">
        <f>IFERROR(__xludf.DUMMYFUNCTION("""COMPUTED_VALUE"""),46088.0)</f>
        <v>46088</v>
      </c>
      <c r="C5351" s="2" t="str">
        <f>IFERROR(__xludf.DUMMYFUNCTION("""COMPUTED_VALUE"""),"MOBILECARE - LIMA ESTATE")</f>
        <v>MOBILECARE - LIMA ESTATE</v>
      </c>
      <c r="D5351" s="2" t="str">
        <f>IFERROR(__xludf.DUMMYFUNCTION("""COMPUTED_VALUE"""),"661-32232")</f>
        <v>661-32232</v>
      </c>
      <c r="E5351" s="2" t="str">
        <f>IFERROR(__xludf.DUMMYFUNCTION("""COMPUTED_VALUE"""),"Rear Camera, iPhone 13/mini, MICN")</f>
        <v>Rear Camera, iPhone 13/mini, MICN</v>
      </c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</row>
    <row r="5352">
      <c r="A5352" s="10" t="str">
        <f t="shared" si="1"/>
        <v>March</v>
      </c>
      <c r="B5352" s="11">
        <f>IFERROR(__xludf.DUMMYFUNCTION("""COMPUTED_VALUE"""),46097.0)</f>
        <v>46097</v>
      </c>
      <c r="C5352" s="2" t="str">
        <f>IFERROR(__xludf.DUMMYFUNCTION("""COMPUTED_VALUE"""),"MOBILECARE - LIMA ESTATE")</f>
        <v>MOBILECARE - LIMA ESTATE</v>
      </c>
      <c r="D5352" s="2" t="str">
        <f>IFERROR(__xludf.DUMMYFUNCTION("""COMPUTED_VALUE"""),"661-22294")</f>
        <v>661-22294</v>
      </c>
      <c r="E5352" s="2" t="str">
        <f>IFERROR(__xludf.DUMMYFUNCTION("""COMPUTED_VALUE"""),"Battery, iPhone 13 Pro Max")</f>
        <v>Battery, iPhone 13 Pro Max</v>
      </c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</row>
    <row r="5353">
      <c r="A5353" s="10" t="str">
        <f t="shared" si="1"/>
        <v>February</v>
      </c>
      <c r="B5353" s="11">
        <f>IFERROR(__xludf.DUMMYFUNCTION("""COMPUTED_VALUE"""),46059.0)</f>
        <v>46059</v>
      </c>
      <c r="C5353" s="2" t="str">
        <f>IFERROR(__xludf.DUMMYFUNCTION("""COMPUTED_VALUE"""),"MOBILECARE - LIMA ESTATE")</f>
        <v>MOBILECARE - LIMA ESTATE</v>
      </c>
      <c r="D5353" s="2" t="str">
        <f>IFERROR(__xludf.DUMMYFUNCTION("""COMPUTED_VALUE"""),"661-21988")</f>
        <v>661-21988</v>
      </c>
      <c r="E5353" s="2" t="str">
        <f>IFERROR(__xludf.DUMMYFUNCTION("""COMPUTED_VALUE"""),"Display, iPhone 13")</f>
        <v>Display, iPhone 13</v>
      </c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</row>
    <row r="5354">
      <c r="A5354" s="10" t="str">
        <f t="shared" si="1"/>
        <v>February</v>
      </c>
      <c r="B5354" s="11">
        <f>IFERROR(__xludf.DUMMYFUNCTION("""COMPUTED_VALUE"""),46060.0)</f>
        <v>46060</v>
      </c>
      <c r="C5354" s="2" t="str">
        <f>IFERROR(__xludf.DUMMYFUNCTION("""COMPUTED_VALUE"""),"MOBILECARE - LIMA ESTATE")</f>
        <v>MOBILECARE - LIMA ESTATE</v>
      </c>
      <c r="D5354" s="2" t="str">
        <f>IFERROR(__xludf.DUMMYFUNCTION("""COMPUTED_VALUE"""),"661-13574")</f>
        <v>661-13574</v>
      </c>
      <c r="E5354" s="2" t="str">
        <f>IFERROR(__xludf.DUMMYFUNCTION("""COMPUTED_VALUE"""),"Battery, iPhone 11")</f>
        <v>Battery, iPhone 11</v>
      </c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</row>
    <row r="5355">
      <c r="A5355" s="10" t="str">
        <f t="shared" si="1"/>
        <v>February</v>
      </c>
      <c r="B5355" s="11">
        <f>IFERROR(__xludf.DUMMYFUNCTION("""COMPUTED_VALUE"""),46063.0)</f>
        <v>46063</v>
      </c>
      <c r="C5355" s="2" t="str">
        <f>IFERROR(__xludf.DUMMYFUNCTION("""COMPUTED_VALUE"""),"MOBILECARE - LIMA ESTATE")</f>
        <v>MOBILECARE - LIMA ESTATE</v>
      </c>
      <c r="D5355" s="2" t="str">
        <f>IFERROR(__xludf.DUMMYFUNCTION("""COMPUTED_VALUE"""),"661-21991")</f>
        <v>661-21991</v>
      </c>
      <c r="E5355" s="2" t="str">
        <f>IFERROR(__xludf.DUMMYFUNCTION("""COMPUTED_VALUE"""),"Battery, iPhone 13")</f>
        <v>Battery, iPhone 13</v>
      </c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</row>
    <row r="5356">
      <c r="A5356" s="10" t="str">
        <f t="shared" si="1"/>
        <v>February</v>
      </c>
      <c r="B5356" s="11">
        <f>IFERROR(__xludf.DUMMYFUNCTION("""COMPUTED_VALUE"""),46060.0)</f>
        <v>46060</v>
      </c>
      <c r="C5356" s="2" t="str">
        <f>IFERROR(__xludf.DUMMYFUNCTION("""COMPUTED_VALUE"""),"MOBILECARE - LIMA ESTATE")</f>
        <v>MOBILECARE - LIMA ESTATE</v>
      </c>
      <c r="D5356" s="2" t="str">
        <f>IFERROR(__xludf.DUMMYFUNCTION("""COMPUTED_VALUE"""),"661-21991")</f>
        <v>661-21991</v>
      </c>
      <c r="E5356" s="2" t="str">
        <f>IFERROR(__xludf.DUMMYFUNCTION("""COMPUTED_VALUE"""),"Battery, iPhone 13")</f>
        <v>Battery, iPhone 13</v>
      </c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</row>
    <row r="5357">
      <c r="A5357" s="10" t="str">
        <f t="shared" si="1"/>
        <v>January</v>
      </c>
      <c r="B5357" s="11">
        <f>IFERROR(__xludf.DUMMYFUNCTION("""COMPUTED_VALUE"""),46040.0)</f>
        <v>46040</v>
      </c>
      <c r="C5357" s="2" t="str">
        <f>IFERROR(__xludf.DUMMYFUNCTION("""COMPUTED_VALUE"""),"MOBILECARE - LIMA ESTATE")</f>
        <v>MOBILECARE - LIMA ESTATE</v>
      </c>
      <c r="D5357" s="2" t="str">
        <f>IFERROR(__xludf.DUMMYFUNCTION("""COMPUTED_VALUE"""),"661-44956")</f>
        <v>661-44956</v>
      </c>
      <c r="E5357" s="2" t="str">
        <f>IFERROR(__xludf.DUMMYFUNCTION("""COMPUTED_VALUE"""),"TrueDepth Camera, iPhone 16 Pro Max")</f>
        <v>TrueDepth Camera, iPhone 16 Pro Max</v>
      </c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</row>
    <row r="5358">
      <c r="A5358" s="10" t="str">
        <f t="shared" si="1"/>
        <v>June</v>
      </c>
      <c r="B5358" s="11">
        <f>IFERROR(__xludf.DUMMYFUNCTION("""COMPUTED_VALUE"""),46190.0)</f>
        <v>46190</v>
      </c>
      <c r="C5358" s="2" t="str">
        <f>IFERROR(__xludf.DUMMYFUNCTION("""COMPUTED_VALUE"""),"MOBILECARE - LIMA ESTATE")</f>
        <v>MOBILECARE - LIMA ESTATE</v>
      </c>
      <c r="D5358" s="2" t="str">
        <f>IFERROR(__xludf.DUMMYFUNCTION("""COMPUTED_VALUE"""),"TA661-55206")</f>
        <v>TA661-55206</v>
      </c>
      <c r="E5358" s="2" t="str">
        <f>IFERROR(__xludf.DUMMYFUNCTION("""COMPUTED_VALUE"""),"Silver, 256GB, iPhone 17 Pro Max, ROW, CI/AR, Taiwan")</f>
        <v>Silver, 256GB, iPhone 17 Pro Max, ROW, CI/AR, Taiwan</v>
      </c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</row>
    <row r="5359">
      <c r="A5359" s="10" t="str">
        <f t="shared" si="1"/>
        <v>June</v>
      </c>
      <c r="B5359" s="11">
        <f>IFERROR(__xludf.DUMMYFUNCTION("""COMPUTED_VALUE"""),46192.0)</f>
        <v>46192</v>
      </c>
      <c r="C5359" s="2" t="str">
        <f>IFERROR(__xludf.DUMMYFUNCTION("""COMPUTED_VALUE"""),"MOBILECARE - LIMA ESTATE")</f>
        <v>MOBILECARE - LIMA ESTATE</v>
      </c>
      <c r="D5359" s="2" t="str">
        <f>IFERROR(__xludf.DUMMYFUNCTION("""COMPUTED_VALUE"""),"TA661-44997")</f>
        <v>TA661-44997</v>
      </c>
      <c r="E5359" s="2" t="str">
        <f>IFERROR(__xludf.DUMMYFUNCTION("""COMPUTED_VALUE"""),"128GB, Desert Titanium, ROW, iPhone 16 Pro, Logic Board Assy Mid System")</f>
        <v>128GB, Desert Titanium, ROW, iPhone 16 Pro, Logic Board Assy Mid System</v>
      </c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</row>
    <row r="5360">
      <c r="A5360" s="10" t="str">
        <f t="shared" si="1"/>
        <v>April</v>
      </c>
      <c r="B5360" s="11">
        <f>IFERROR(__xludf.DUMMYFUNCTION("""COMPUTED_VALUE"""),46131.0)</f>
        <v>46131</v>
      </c>
      <c r="C5360" s="2" t="str">
        <f>IFERROR(__xludf.DUMMYFUNCTION("""COMPUTED_VALUE"""),"MOBILECARE - LIMA ESTATE")</f>
        <v>MOBILECARE - LIMA ESTATE</v>
      </c>
      <c r="D5360" s="2" t="str">
        <f>IFERROR(__xludf.DUMMYFUNCTION("""COMPUTED_VALUE"""),"661-21991")</f>
        <v>661-21991</v>
      </c>
      <c r="E5360" s="2" t="str">
        <f>IFERROR(__xludf.DUMMYFUNCTION("""COMPUTED_VALUE"""),"Battery, iPhone 13")</f>
        <v>Battery, iPhone 13</v>
      </c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</row>
    <row r="5361">
      <c r="A5361" s="10" t="str">
        <f t="shared" si="1"/>
        <v>March</v>
      </c>
      <c r="B5361" s="11">
        <f>IFERROR(__xludf.DUMMYFUNCTION("""COMPUTED_VALUE"""),46108.0)</f>
        <v>46108</v>
      </c>
      <c r="C5361" s="2" t="str">
        <f>IFERROR(__xludf.DUMMYFUNCTION("""COMPUTED_VALUE"""),"MOBILECARE - LIMA ESTATE")</f>
        <v>MOBILECARE - LIMA ESTATE</v>
      </c>
      <c r="D5361" s="2" t="str">
        <f>IFERROR(__xludf.DUMMYFUNCTION("""COMPUTED_VALUE"""),"661-21991")</f>
        <v>661-21991</v>
      </c>
      <c r="E5361" s="2" t="str">
        <f>IFERROR(__xludf.DUMMYFUNCTION("""COMPUTED_VALUE"""),"Battery, iPhone 13")</f>
        <v>Battery, iPhone 13</v>
      </c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</row>
    <row r="5362">
      <c r="A5362" s="10" t="str">
        <f t="shared" si="1"/>
        <v>March</v>
      </c>
      <c r="B5362" s="11">
        <f>IFERROR(__xludf.DUMMYFUNCTION("""COMPUTED_VALUE"""),46098.0)</f>
        <v>46098</v>
      </c>
      <c r="C5362" s="2" t="str">
        <f>IFERROR(__xludf.DUMMYFUNCTION("""COMPUTED_VALUE"""),"MOBILECARE - LIMA ESTATE")</f>
        <v>MOBILECARE - LIMA ESTATE</v>
      </c>
      <c r="D5362" s="2" t="str">
        <f>IFERROR(__xludf.DUMMYFUNCTION("""COMPUTED_VALUE"""),"661-22309")</f>
        <v>661-22309</v>
      </c>
      <c r="E5362" s="2" t="str">
        <f>IFERROR(__xludf.DUMMYFUNCTION("""COMPUTED_VALUE"""),"Display, iPhone 13 Pro Max")</f>
        <v>Display, iPhone 13 Pro Max</v>
      </c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</row>
    <row r="5363">
      <c r="A5363" s="10" t="str">
        <f t="shared" si="1"/>
        <v>February</v>
      </c>
      <c r="B5363" s="11">
        <f>IFERROR(__xludf.DUMMYFUNCTION("""COMPUTED_VALUE"""),46079.0)</f>
        <v>46079</v>
      </c>
      <c r="C5363" s="2" t="str">
        <f>IFERROR(__xludf.DUMMYFUNCTION("""COMPUTED_VALUE"""),"MOBILECARE - LIMA ESTATE")</f>
        <v>MOBILECARE - LIMA ESTATE</v>
      </c>
      <c r="D5363" s="2" t="str">
        <f>IFERROR(__xludf.DUMMYFUNCTION("""COMPUTED_VALUE"""),"661-44960")</f>
        <v>661-44960</v>
      </c>
      <c r="E5363" s="2" t="str">
        <f>IFERROR(__xludf.DUMMYFUNCTION("""COMPUTED_VALUE"""),"Desert Titanium, Back Glass, iPhone 16 Pro Max")</f>
        <v>Desert Titanium, Back Glass, iPhone 16 Pro Max</v>
      </c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</row>
    <row r="5364">
      <c r="A5364" s="10" t="str">
        <f t="shared" si="1"/>
        <v>March</v>
      </c>
      <c r="B5364" s="11">
        <f>IFERROR(__xludf.DUMMYFUNCTION("""COMPUTED_VALUE"""),46088.0)</f>
        <v>46088</v>
      </c>
      <c r="C5364" s="2" t="str">
        <f>IFERROR(__xludf.DUMMYFUNCTION("""COMPUTED_VALUE"""),"MOBILECARE - LIMA ESTATE")</f>
        <v>MOBILECARE - LIMA ESTATE</v>
      </c>
      <c r="D5364" s="2" t="str">
        <f>IFERROR(__xludf.DUMMYFUNCTION("""COMPUTED_VALUE"""),"PP661-23455")</f>
        <v>PP661-23455</v>
      </c>
      <c r="E5364" s="2" t="str">
        <f>IFERROR(__xludf.DUMMYFUNCTION("""COMPUTED_VALUE"""),"iPhone 13, Starlight, 128GB, Logic Board Assy Rear System, ROW")</f>
        <v>iPhone 13, Starlight, 128GB, Logic Board Assy Rear System, ROW</v>
      </c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</row>
    <row r="5365">
      <c r="A5365" s="10" t="str">
        <f t="shared" si="1"/>
        <v>February</v>
      </c>
      <c r="B5365" s="11">
        <f>IFERROR(__xludf.DUMMYFUNCTION("""COMPUTED_VALUE"""),46078.0)</f>
        <v>46078</v>
      </c>
      <c r="C5365" s="2" t="str">
        <f>IFERROR(__xludf.DUMMYFUNCTION("""COMPUTED_VALUE"""),"MOBILECARE - LIMA ESTATE")</f>
        <v>MOBILECARE - LIMA ESTATE</v>
      </c>
      <c r="D5365" s="2" t="str">
        <f>IFERROR(__xludf.DUMMYFUNCTION("""COMPUTED_VALUE"""),"PP661-22981")</f>
        <v>PP661-22981</v>
      </c>
      <c r="E5365" s="2" t="str">
        <f>IFERROR(__xludf.DUMMYFUNCTION("""COMPUTED_VALUE"""),"Starlight, 128 GB, iPhone 13, ROW, CI/AR, Philippines")</f>
        <v>Starlight, 128 GB, iPhone 13, ROW, CI/AR, Philippines</v>
      </c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</row>
    <row r="5366">
      <c r="A5366" s="10" t="str">
        <f t="shared" si="1"/>
        <v>February</v>
      </c>
      <c r="B5366" s="11">
        <f>IFERROR(__xludf.DUMMYFUNCTION("""COMPUTED_VALUE"""),46060.0)</f>
        <v>46060</v>
      </c>
      <c r="C5366" s="2" t="str">
        <f>IFERROR(__xludf.DUMMYFUNCTION("""COMPUTED_VALUE"""),"MOBILECARE - LIMA ESTATE")</f>
        <v>MOBILECARE - LIMA ESTATE</v>
      </c>
      <c r="D5366" s="2" t="str">
        <f>IFERROR(__xludf.DUMMYFUNCTION("""COMPUTED_VALUE"""),"661-21991")</f>
        <v>661-21991</v>
      </c>
      <c r="E5366" s="2" t="str">
        <f>IFERROR(__xludf.DUMMYFUNCTION("""COMPUTED_VALUE"""),"Battery, iPhone 13")</f>
        <v>Battery, iPhone 13</v>
      </c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</row>
    <row r="5367">
      <c r="A5367" s="10" t="str">
        <f t="shared" si="1"/>
        <v>January</v>
      </c>
      <c r="B5367" s="11">
        <f>IFERROR(__xludf.DUMMYFUNCTION("""COMPUTED_VALUE"""),46052.0)</f>
        <v>46052</v>
      </c>
      <c r="C5367" s="2" t="str">
        <f>IFERROR(__xludf.DUMMYFUNCTION("""COMPUTED_VALUE"""),"MOBILECARE - LIMA ESTATE")</f>
        <v>MOBILECARE - LIMA ESTATE</v>
      </c>
      <c r="D5367" s="2" t="str">
        <f>IFERROR(__xludf.DUMMYFUNCTION("""COMPUTED_VALUE"""),"661-56065")</f>
        <v>661-56065</v>
      </c>
      <c r="E5367" s="2" t="str">
        <f>IFERROR(__xludf.DUMMYFUNCTION("""COMPUTED_VALUE"""),"Display, iPhone 17")</f>
        <v>Display, iPhone 17</v>
      </c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</row>
    <row r="5368">
      <c r="A5368" s="10" t="str">
        <f t="shared" si="1"/>
        <v>February</v>
      </c>
      <c r="B5368" s="11">
        <f>IFERROR(__xludf.DUMMYFUNCTION("""COMPUTED_VALUE"""),46062.0)</f>
        <v>46062</v>
      </c>
      <c r="C5368" s="2" t="str">
        <f>IFERROR(__xludf.DUMMYFUNCTION("""COMPUTED_VALUE"""),"MOBILECARE - LIMA ESTATE")</f>
        <v>MOBILECARE - LIMA ESTATE</v>
      </c>
      <c r="D5368" s="2" t="str">
        <f>IFERROR(__xludf.DUMMYFUNCTION("""COMPUTED_VALUE"""),"TA661-36694")</f>
        <v>TA661-36694</v>
      </c>
      <c r="E5368" s="2" t="str">
        <f>IFERROR(__xludf.DUMMYFUNCTION("""COMPUTED_VALUE"""),"iPhone 15, Blue, 128GB, Logic Board Assy Mid System, ROW")</f>
        <v>iPhone 15, Blue, 128GB, Logic Board Assy Mid System, ROW</v>
      </c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</row>
    <row r="5369">
      <c r="A5369" s="10" t="str">
        <f t="shared" si="1"/>
        <v>May</v>
      </c>
      <c r="B5369" s="11">
        <f>IFERROR(__xludf.DUMMYFUNCTION("""COMPUTED_VALUE"""),46161.0)</f>
        <v>46161</v>
      </c>
      <c r="C5369" s="2" t="str">
        <f>IFERROR(__xludf.DUMMYFUNCTION("""COMPUTED_VALUE"""),"MOBILECARE - LIMA ESTATE")</f>
        <v>MOBILECARE - LIMA ESTATE</v>
      </c>
      <c r="D5369" s="2" t="str">
        <f>IFERROR(__xludf.DUMMYFUNCTION("""COMPUTED_VALUE"""),"661-30397")</f>
        <v>661-30397</v>
      </c>
      <c r="E5369" s="2" t="str">
        <f>IFERROR(__xludf.DUMMYFUNCTION("""COMPUTED_VALUE"""),"Battery, iPhone 14 Pro Max")</f>
        <v>Battery, iPhone 14 Pro Max</v>
      </c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</row>
    <row r="5370">
      <c r="A5370" s="10" t="str">
        <f t="shared" si="1"/>
        <v>May</v>
      </c>
      <c r="B5370" s="11">
        <f>IFERROR(__xludf.DUMMYFUNCTION("""COMPUTED_VALUE"""),46161.0)</f>
        <v>46161</v>
      </c>
      <c r="C5370" s="2" t="str">
        <f>IFERROR(__xludf.DUMMYFUNCTION("""COMPUTED_VALUE"""),"MOBILECARE - LIMA ESTATE")</f>
        <v>MOBILECARE - LIMA ESTATE</v>
      </c>
      <c r="D5370" s="2" t="str">
        <f>IFERROR(__xludf.DUMMYFUNCTION("""COMPUTED_VALUE"""),"661-30401")</f>
        <v>661-30401</v>
      </c>
      <c r="E5370" s="2" t="str">
        <f>IFERROR(__xludf.DUMMYFUNCTION("""COMPUTED_VALUE"""),"Display, iPhone 14 Pro Max")</f>
        <v>Display, iPhone 14 Pro Max</v>
      </c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</row>
    <row r="5371">
      <c r="A5371" s="10" t="str">
        <f t="shared" si="1"/>
        <v>May</v>
      </c>
      <c r="B5371" s="11">
        <f>IFERROR(__xludf.DUMMYFUNCTION("""COMPUTED_VALUE"""),46149.0)</f>
        <v>46149</v>
      </c>
      <c r="C5371" s="2" t="str">
        <f>IFERROR(__xludf.DUMMYFUNCTION("""COMPUTED_VALUE"""),"MOBILECARE - LIMA ESTATE")</f>
        <v>MOBILECARE - LIMA ESTATE</v>
      </c>
      <c r="D5371" s="2" t="str">
        <f>IFERROR(__xludf.DUMMYFUNCTION("""COMPUTED_VALUE"""),"661-22374")</f>
        <v>661-22374</v>
      </c>
      <c r="E5371" s="2" t="str">
        <f>IFERROR(__xludf.DUMMYFUNCTION("""COMPUTED_VALUE"""),"Battery, iPhone 13 mini")</f>
        <v>Battery, iPhone 13 mini</v>
      </c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</row>
    <row r="5372">
      <c r="A5372" s="10" t="str">
        <f t="shared" si="1"/>
        <v>May</v>
      </c>
      <c r="B5372" s="11">
        <f>IFERROR(__xludf.DUMMYFUNCTION("""COMPUTED_VALUE"""),46143.0)</f>
        <v>46143</v>
      </c>
      <c r="C5372" s="2" t="str">
        <f>IFERROR(__xludf.DUMMYFUNCTION("""COMPUTED_VALUE"""),"MOBILECARE - LIMA ESTATE")</f>
        <v>MOBILECARE - LIMA ESTATE</v>
      </c>
      <c r="D5372" s="2" t="str">
        <f>IFERROR(__xludf.DUMMYFUNCTION("""COMPUTED_VALUE"""),"Z661-55957")</f>
        <v>Z661-55957</v>
      </c>
      <c r="E5372" s="2" t="str">
        <f>IFERROR(__xludf.DUMMYFUNCTION("""COMPUTED_VALUE"""),"Logic Board, 512GB, iPhone 17 Pro Max, ROW")</f>
        <v>Logic Board, 512GB, iPhone 17 Pro Max, ROW</v>
      </c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</row>
    <row r="5373">
      <c r="A5373" s="10" t="str">
        <f t="shared" si="1"/>
        <v>March</v>
      </c>
      <c r="B5373" s="11">
        <f>IFERROR(__xludf.DUMMYFUNCTION("""COMPUTED_VALUE"""),46106.0)</f>
        <v>46106</v>
      </c>
      <c r="C5373" s="2" t="str">
        <f>IFERROR(__xludf.DUMMYFUNCTION("""COMPUTED_VALUE"""),"MOBILECARE - LIMA ESTATE")</f>
        <v>MOBILECARE - LIMA ESTATE</v>
      </c>
      <c r="D5373" s="2" t="str">
        <f>IFERROR(__xludf.DUMMYFUNCTION("""COMPUTED_VALUE"""),"661-56052")</f>
        <v>661-56052</v>
      </c>
      <c r="E5373" s="2" t="str">
        <f>IFERROR(__xludf.DUMMYFUNCTION("""COMPUTED_VALUE"""),"Camera, iPhone 17 Pro Max")</f>
        <v>Camera, iPhone 17 Pro Max</v>
      </c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</row>
    <row r="5374">
      <c r="A5374" s="10" t="str">
        <f t="shared" si="1"/>
        <v>March</v>
      </c>
      <c r="B5374" s="11">
        <f>IFERROR(__xludf.DUMMYFUNCTION("""COMPUTED_VALUE"""),46091.0)</f>
        <v>46091</v>
      </c>
      <c r="C5374" s="2" t="str">
        <f>IFERROR(__xludf.DUMMYFUNCTION("""COMPUTED_VALUE"""),"MOBILECARE - LIMA ESTATE")</f>
        <v>MOBILECARE - LIMA ESTATE</v>
      </c>
      <c r="D5374" s="2" t="str">
        <f>IFERROR(__xludf.DUMMYFUNCTION("""COMPUTED_VALUE"""),"661-36918")</f>
        <v>661-36918</v>
      </c>
      <c r="E5374" s="2" t="str">
        <f>IFERROR(__xludf.DUMMYFUNCTION("""COMPUTED_VALUE"""),"Battery, iPhone 15 Pro Max")</f>
        <v>Battery, iPhone 15 Pro Max</v>
      </c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</row>
    <row r="5375">
      <c r="A5375" s="10" t="str">
        <f t="shared" si="1"/>
        <v>February</v>
      </c>
      <c r="B5375" s="11">
        <f>IFERROR(__xludf.DUMMYFUNCTION("""COMPUTED_VALUE"""),46065.0)</f>
        <v>46065</v>
      </c>
      <c r="C5375" s="2" t="str">
        <f>IFERROR(__xludf.DUMMYFUNCTION("""COMPUTED_VALUE"""),"MOBILECARE - LIMA ESTATE")</f>
        <v>MOBILECARE - LIMA ESTATE</v>
      </c>
      <c r="D5375" s="2" t="str">
        <f>IFERROR(__xludf.DUMMYFUNCTION("""COMPUTED_VALUE"""),"661-21991")</f>
        <v>661-21991</v>
      </c>
      <c r="E5375" s="2" t="str">
        <f>IFERROR(__xludf.DUMMYFUNCTION("""COMPUTED_VALUE"""),"Battery, iPhone 13")</f>
        <v>Battery, iPhone 13</v>
      </c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</row>
    <row r="5376">
      <c r="A5376" s="10" t="str">
        <f t="shared" si="1"/>
        <v>February</v>
      </c>
      <c r="B5376" s="11">
        <f>IFERROR(__xludf.DUMMYFUNCTION("""COMPUTED_VALUE"""),46065.0)</f>
        <v>46065</v>
      </c>
      <c r="C5376" s="2" t="str">
        <f>IFERROR(__xludf.DUMMYFUNCTION("""COMPUTED_VALUE"""),"MOBILECARE - LIMA ESTATE")</f>
        <v>MOBILECARE - LIMA ESTATE</v>
      </c>
      <c r="D5376" s="2" t="str">
        <f>IFERROR(__xludf.DUMMYFUNCTION("""COMPUTED_VALUE"""),"661-17920")</f>
        <v>661-17920</v>
      </c>
      <c r="E5376" s="2" t="str">
        <f>IFERROR(__xludf.DUMMYFUNCTION("""COMPUTED_VALUE"""),"Battery, iPhone 12 and 12 Pro")</f>
        <v>Battery, iPhone 12 and 12 Pro</v>
      </c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</row>
    <row r="5377">
      <c r="A5377" s="10" t="str">
        <f t="shared" si="1"/>
        <v>January</v>
      </c>
      <c r="B5377" s="11">
        <f>IFERROR(__xludf.DUMMYFUNCTION("""COMPUTED_VALUE"""),46053.0)</f>
        <v>46053</v>
      </c>
      <c r="C5377" s="2" t="str">
        <f>IFERROR(__xludf.DUMMYFUNCTION("""COMPUTED_VALUE"""),"MOBILECARE - LIMA ESTATE")</f>
        <v>MOBILECARE - LIMA ESTATE</v>
      </c>
      <c r="D5377" s="2" t="str">
        <f>IFERROR(__xludf.DUMMYFUNCTION("""COMPUTED_VALUE"""),"661-37216")</f>
        <v>661-37216</v>
      </c>
      <c r="E5377" s="2" t="str">
        <f>IFERROR(__xludf.DUMMYFUNCTION("""COMPUTED_VALUE"""),"Camera , iPhone 15 Plus")</f>
        <v>Camera , iPhone 15 Plus</v>
      </c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</row>
    <row r="5378">
      <c r="A5378" s="10" t="str">
        <f t="shared" si="1"/>
        <v>January</v>
      </c>
      <c r="B5378" s="11">
        <f>IFERROR(__xludf.DUMMYFUNCTION("""COMPUTED_VALUE"""),46048.0)</f>
        <v>46048</v>
      </c>
      <c r="C5378" s="2" t="str">
        <f>IFERROR(__xludf.DUMMYFUNCTION("""COMPUTED_VALUE"""),"MOBILECARE - LIMA ESTATE")</f>
        <v>MOBILECARE - LIMA ESTATE</v>
      </c>
      <c r="D5378" s="2" t="str">
        <f>IFERROR(__xludf.DUMMYFUNCTION("""COMPUTED_VALUE"""),"661-21988")</f>
        <v>661-21988</v>
      </c>
      <c r="E5378" s="2" t="str">
        <f>IFERROR(__xludf.DUMMYFUNCTION("""COMPUTED_VALUE"""),"Display, iPhone 13")</f>
        <v>Display, iPhone 13</v>
      </c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</row>
    <row r="5379">
      <c r="A5379" s="10" t="str">
        <f t="shared" si="1"/>
        <v>February</v>
      </c>
      <c r="B5379" s="11">
        <f>IFERROR(__xludf.DUMMYFUNCTION("""COMPUTED_VALUE"""),46075.0)</f>
        <v>46075</v>
      </c>
      <c r="C5379" s="2" t="str">
        <f>IFERROR(__xludf.DUMMYFUNCTION("""COMPUTED_VALUE"""),"MOBILECARE - LIMA ESTATE")</f>
        <v>MOBILECARE - LIMA ESTATE</v>
      </c>
      <c r="D5379" s="2" t="str">
        <f>IFERROR(__xludf.DUMMYFUNCTION("""COMPUTED_VALUE"""),"PP661-23455")</f>
        <v>PP661-23455</v>
      </c>
      <c r="E5379" s="2" t="str">
        <f>IFERROR(__xludf.DUMMYFUNCTION("""COMPUTED_VALUE"""),"iPhone 13, Starlight, 128GB, Logic Board Assy Rear System, ROW")</f>
        <v>iPhone 13, Starlight, 128GB, Logic Board Assy Rear System, ROW</v>
      </c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</row>
    <row r="5380">
      <c r="A5380" s="10" t="str">
        <f t="shared" si="1"/>
        <v>February</v>
      </c>
      <c r="B5380" s="11">
        <f>IFERROR(__xludf.DUMMYFUNCTION("""COMPUTED_VALUE"""),46075.0)</f>
        <v>46075</v>
      </c>
      <c r="C5380" s="2" t="str">
        <f>IFERROR(__xludf.DUMMYFUNCTION("""COMPUTED_VALUE"""),"MOBILECARE - LIMA ESTATE")</f>
        <v>MOBILECARE - LIMA ESTATE</v>
      </c>
      <c r="D5380" s="2" t="str">
        <f>IFERROR(__xludf.DUMMYFUNCTION("""COMPUTED_VALUE"""),"661-21988")</f>
        <v>661-21988</v>
      </c>
      <c r="E5380" s="2" t="str">
        <f>IFERROR(__xludf.DUMMYFUNCTION("""COMPUTED_VALUE"""),"Display, iPhone 13")</f>
        <v>Display, iPhone 13</v>
      </c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</row>
    <row r="5381">
      <c r="A5381" s="10" t="str">
        <f t="shared" si="1"/>
        <v>January</v>
      </c>
      <c r="B5381" s="11">
        <f>IFERROR(__xludf.DUMMYFUNCTION("""COMPUTED_VALUE"""),46044.0)</f>
        <v>46044</v>
      </c>
      <c r="C5381" s="2" t="str">
        <f>IFERROR(__xludf.DUMMYFUNCTION("""COMPUTED_VALUE"""),"MOBILECARE - LIMA ESTATE")</f>
        <v>MOBILECARE - LIMA ESTATE</v>
      </c>
      <c r="D5381" s="2" t="str">
        <f>IFERROR(__xludf.DUMMYFUNCTION("""COMPUTED_VALUE"""),"661-21996")</f>
        <v>661-21996</v>
      </c>
      <c r="E5381" s="2" t="str">
        <f>IFERROR(__xludf.DUMMYFUNCTION("""COMPUTED_VALUE"""),"Battery, iPhone 13 Pro")</f>
        <v>Battery, iPhone 13 Pro</v>
      </c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</row>
    <row r="5382">
      <c r="A5382" s="10" t="str">
        <f t="shared" si="1"/>
        <v>May</v>
      </c>
      <c r="B5382" s="11">
        <f>IFERROR(__xludf.DUMMYFUNCTION("""COMPUTED_VALUE"""),46158.0)</f>
        <v>46158</v>
      </c>
      <c r="C5382" s="2" t="str">
        <f>IFERROR(__xludf.DUMMYFUNCTION("""COMPUTED_VALUE"""),"MOBILECARE - LIMA ESTATE")</f>
        <v>MOBILECARE - LIMA ESTATE</v>
      </c>
      <c r="D5382" s="2" t="str">
        <f>IFERROR(__xludf.DUMMYFUNCTION("""COMPUTED_VALUE"""),"661-56050")</f>
        <v>661-56050</v>
      </c>
      <c r="E5382" s="2" t="str">
        <f>IFERROR(__xludf.DUMMYFUNCTION("""COMPUTED_VALUE"""),"Display, iPhone 17 Pro Max")</f>
        <v>Display, iPhone 17 Pro Max</v>
      </c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</row>
    <row r="5383">
      <c r="A5383" s="10" t="str">
        <f t="shared" si="1"/>
        <v>June</v>
      </c>
      <c r="B5383" s="11">
        <f>IFERROR(__xludf.DUMMYFUNCTION("""COMPUTED_VALUE"""),46185.0)</f>
        <v>46185</v>
      </c>
      <c r="C5383" s="2" t="str">
        <f>IFERROR(__xludf.DUMMYFUNCTION("""COMPUTED_VALUE"""),"MOBILECARE - LIMA ESTATE")</f>
        <v>MOBILECARE - LIMA ESTATE</v>
      </c>
      <c r="D5383" s="2" t="str">
        <f>IFERROR(__xludf.DUMMYFUNCTION("""COMPUTED_VALUE"""),"TA661-43614")</f>
        <v>TA661-43614</v>
      </c>
      <c r="E5383" s="2" t="str">
        <f>IFERROR(__xludf.DUMMYFUNCTION("""COMPUTED_VALUE"""),"256GB, Teal, ROW, iPhone 16, Logic Board Assy Mid System")</f>
        <v>256GB, Teal, ROW, iPhone 16, Logic Board Assy Mid System</v>
      </c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</row>
    <row r="5384">
      <c r="A5384" s="10" t="str">
        <f t="shared" si="1"/>
        <v>June</v>
      </c>
      <c r="B5384" s="11">
        <f>IFERROR(__xludf.DUMMYFUNCTION("""COMPUTED_VALUE"""),46185.0)</f>
        <v>46185</v>
      </c>
      <c r="C5384" s="2" t="str">
        <f>IFERROR(__xludf.DUMMYFUNCTION("""COMPUTED_VALUE"""),"MOBILECARE - LIMA ESTATE")</f>
        <v>MOBILECARE - LIMA ESTATE</v>
      </c>
      <c r="D5384" s="2" t="str">
        <f>IFERROR(__xludf.DUMMYFUNCTION("""COMPUTED_VALUE"""),"661-44799")</f>
        <v>661-44799</v>
      </c>
      <c r="E5384" s="2" t="str">
        <f>IFERROR(__xludf.DUMMYFUNCTION("""COMPUTED_VALUE"""),"Camera, iPhone 16")</f>
        <v>Camera, iPhone 16</v>
      </c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</row>
    <row r="5385">
      <c r="A5385" s="10" t="str">
        <f t="shared" si="1"/>
        <v>May</v>
      </c>
      <c r="B5385" s="11">
        <f>IFERROR(__xludf.DUMMYFUNCTION("""COMPUTED_VALUE"""),46152.0)</f>
        <v>46152</v>
      </c>
      <c r="C5385" s="2" t="str">
        <f>IFERROR(__xludf.DUMMYFUNCTION("""COMPUTED_VALUE"""),"MOBILECARE - LIMA ESTATE")</f>
        <v>MOBILECARE - LIMA ESTATE</v>
      </c>
      <c r="D5385" s="2" t="str">
        <f>IFERROR(__xludf.DUMMYFUNCTION("""COMPUTED_VALUE"""),"661-56052")</f>
        <v>661-56052</v>
      </c>
      <c r="E5385" s="2" t="str">
        <f>IFERROR(__xludf.DUMMYFUNCTION("""COMPUTED_VALUE"""),"Camera, iPhone 17 Pro Max")</f>
        <v>Camera, iPhone 17 Pro Max</v>
      </c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</row>
    <row r="5386">
      <c r="A5386" s="10" t="str">
        <f t="shared" si="1"/>
        <v>April</v>
      </c>
      <c r="B5386" s="11">
        <f>IFERROR(__xludf.DUMMYFUNCTION("""COMPUTED_VALUE"""),46136.0)</f>
        <v>46136</v>
      </c>
      <c r="C5386" s="2" t="str">
        <f>IFERROR(__xludf.DUMMYFUNCTION("""COMPUTED_VALUE"""),"MOBILECARE - LIMA ESTATE")</f>
        <v>MOBILECARE - LIMA ESTATE</v>
      </c>
      <c r="D5386" s="2" t="str">
        <f>IFERROR(__xludf.DUMMYFUNCTION("""COMPUTED_VALUE"""),"661-21988")</f>
        <v>661-21988</v>
      </c>
      <c r="E5386" s="2" t="str">
        <f>IFERROR(__xludf.DUMMYFUNCTION("""COMPUTED_VALUE"""),"Display, iPhone 13")</f>
        <v>Display, iPhone 13</v>
      </c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</row>
    <row r="5387">
      <c r="A5387" s="10" t="str">
        <f t="shared" si="1"/>
        <v>April</v>
      </c>
      <c r="B5387" s="11">
        <f>IFERROR(__xludf.DUMMYFUNCTION("""COMPUTED_VALUE"""),46141.0)</f>
        <v>46141</v>
      </c>
      <c r="C5387" s="2" t="str">
        <f>IFERROR(__xludf.DUMMYFUNCTION("""COMPUTED_VALUE"""),"MOBILECARE - LIMA ESTATE")</f>
        <v>MOBILECARE - LIMA ESTATE</v>
      </c>
      <c r="D5387" s="2" t="str">
        <f>IFERROR(__xludf.DUMMYFUNCTION("""COMPUTED_VALUE"""),"PP661-28868")</f>
        <v>PP661-28868</v>
      </c>
      <c r="E5387" s="2" t="str">
        <f>IFERROR(__xludf.DUMMYFUNCTION("""COMPUTED_VALUE"""),"iPhone 14, Midnight, 128GB, Logic Board Assy Mid System, ROW")</f>
        <v>iPhone 14, Midnight, 128GB, Logic Board Assy Mid System, ROW</v>
      </c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</row>
    <row r="5388">
      <c r="A5388" s="10" t="str">
        <f t="shared" si="1"/>
        <v>April</v>
      </c>
      <c r="B5388" s="11">
        <f>IFERROR(__xludf.DUMMYFUNCTION("""COMPUTED_VALUE"""),46135.0)</f>
        <v>46135</v>
      </c>
      <c r="C5388" s="2" t="str">
        <f>IFERROR(__xludf.DUMMYFUNCTION("""COMPUTED_VALUE"""),"MOBILECARE - LIMA ESTATE")</f>
        <v>MOBILECARE - LIMA ESTATE</v>
      </c>
      <c r="D5388" s="2" t="str">
        <f>IFERROR(__xludf.DUMMYFUNCTION("""COMPUTED_VALUE"""),"PP661-22984")</f>
        <v>PP661-22984</v>
      </c>
      <c r="E5388" s="2" t="str">
        <f>IFERROR(__xludf.DUMMYFUNCTION("""COMPUTED_VALUE"""),"Blue, 128 GB, iPhone 13, ROW, CI/AR, Philippines")</f>
        <v>Blue, 128 GB, iPhone 13, ROW, CI/AR, Philippines</v>
      </c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</row>
    <row r="5389">
      <c r="A5389" s="10" t="str">
        <f t="shared" si="1"/>
        <v>March</v>
      </c>
      <c r="B5389" s="11">
        <f>IFERROR(__xludf.DUMMYFUNCTION("""COMPUTED_VALUE"""),46108.0)</f>
        <v>46108</v>
      </c>
      <c r="C5389" s="2" t="str">
        <f>IFERROR(__xludf.DUMMYFUNCTION("""COMPUTED_VALUE"""),"MOBILECARE - LIMA ESTATE")</f>
        <v>MOBILECARE - LIMA ESTATE</v>
      </c>
      <c r="D5389" s="2" t="str">
        <f>IFERROR(__xludf.DUMMYFUNCTION("""COMPUTED_VALUE"""),"661-21991")</f>
        <v>661-21991</v>
      </c>
      <c r="E5389" s="2" t="str">
        <f>IFERROR(__xludf.DUMMYFUNCTION("""COMPUTED_VALUE"""),"Battery, iPhone 13")</f>
        <v>Battery, iPhone 13</v>
      </c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</row>
    <row r="5390">
      <c r="A5390" s="10" t="str">
        <f t="shared" si="1"/>
        <v>March</v>
      </c>
      <c r="B5390" s="11">
        <f>IFERROR(__xludf.DUMMYFUNCTION("""COMPUTED_VALUE"""),46105.0)</f>
        <v>46105</v>
      </c>
      <c r="C5390" s="2" t="str">
        <f>IFERROR(__xludf.DUMMYFUNCTION("""COMPUTED_VALUE"""),"MOBILECARE - LIMA ESTATE")</f>
        <v>MOBILECARE - LIMA ESTATE</v>
      </c>
      <c r="D5390" s="2" t="str">
        <f>IFERROR(__xludf.DUMMYFUNCTION("""COMPUTED_VALUE"""),"661-35828")</f>
        <v>661-35828</v>
      </c>
      <c r="E5390" s="2" t="str">
        <f>IFERROR(__xludf.DUMMYFUNCTION("""COMPUTED_VALUE"""),"Camera, iPhone 15")</f>
        <v>Camera, iPhone 15</v>
      </c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</row>
    <row r="5391">
      <c r="A5391" s="10" t="str">
        <f t="shared" si="1"/>
        <v>April</v>
      </c>
      <c r="B5391" s="11">
        <f>IFERROR(__xludf.DUMMYFUNCTION("""COMPUTED_VALUE"""),46118.0)</f>
        <v>46118</v>
      </c>
      <c r="C5391" s="2" t="str">
        <f>IFERROR(__xludf.DUMMYFUNCTION("""COMPUTED_VALUE"""),"MOBILECARE - LIMA ESTATE")</f>
        <v>MOBILECARE - LIMA ESTATE</v>
      </c>
      <c r="D5391" s="2" t="str">
        <f>IFERROR(__xludf.DUMMYFUNCTION("""COMPUTED_VALUE"""),"PP661-23455")</f>
        <v>PP661-23455</v>
      </c>
      <c r="E5391" s="2" t="str">
        <f>IFERROR(__xludf.DUMMYFUNCTION("""COMPUTED_VALUE"""),"iPhone 13, Starlight, 128GB, Logic Board Assy Rear System, ROW")</f>
        <v>iPhone 13, Starlight, 128GB, Logic Board Assy Rear System, ROW</v>
      </c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</row>
    <row r="5392">
      <c r="A5392" s="10" t="str">
        <f t="shared" si="1"/>
        <v>February</v>
      </c>
      <c r="B5392" s="11">
        <f>IFERROR(__xludf.DUMMYFUNCTION("""COMPUTED_VALUE"""),46075.0)</f>
        <v>46075</v>
      </c>
      <c r="C5392" s="2" t="str">
        <f>IFERROR(__xludf.DUMMYFUNCTION("""COMPUTED_VALUE"""),"MOBILECARE - LIMA ESTATE")</f>
        <v>MOBILECARE - LIMA ESTATE</v>
      </c>
      <c r="D5392" s="2" t="str">
        <f>IFERROR(__xludf.DUMMYFUNCTION("""COMPUTED_VALUE"""),"661-21991")</f>
        <v>661-21991</v>
      </c>
      <c r="E5392" s="2" t="str">
        <f>IFERROR(__xludf.DUMMYFUNCTION("""COMPUTED_VALUE"""),"Battery, iPhone 13")</f>
        <v>Battery, iPhone 13</v>
      </c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</row>
    <row r="5393">
      <c r="A5393" s="10" t="str">
        <f t="shared" si="1"/>
        <v>February</v>
      </c>
      <c r="B5393" s="11">
        <f>IFERROR(__xludf.DUMMYFUNCTION("""COMPUTED_VALUE"""),46074.0)</f>
        <v>46074</v>
      </c>
      <c r="C5393" s="2" t="str">
        <f>IFERROR(__xludf.DUMMYFUNCTION("""COMPUTED_VALUE"""),"MOBILECARE - LIMA ESTATE")</f>
        <v>MOBILECARE - LIMA ESTATE</v>
      </c>
      <c r="D5393" s="2" t="str">
        <f>IFERROR(__xludf.DUMMYFUNCTION("""COMPUTED_VALUE"""),"661-21996")</f>
        <v>661-21996</v>
      </c>
      <c r="E5393" s="2" t="str">
        <f>IFERROR(__xludf.DUMMYFUNCTION("""COMPUTED_VALUE"""),"Battery, iPhone 13 Pro")</f>
        <v>Battery, iPhone 13 Pro</v>
      </c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</row>
    <row r="5394">
      <c r="A5394" s="10" t="str">
        <f t="shared" si="1"/>
        <v>January</v>
      </c>
      <c r="B5394" s="11">
        <f>IFERROR(__xludf.DUMMYFUNCTION("""COMPUTED_VALUE"""),46049.0)</f>
        <v>46049</v>
      </c>
      <c r="C5394" s="2" t="str">
        <f>IFERROR(__xludf.DUMMYFUNCTION("""COMPUTED_VALUE"""),"MOBILECARE - LIMA ESTATE")</f>
        <v>MOBILECARE - LIMA ESTATE</v>
      </c>
      <c r="D5394" s="2" t="str">
        <f>IFERROR(__xludf.DUMMYFUNCTION("""COMPUTED_VALUE"""),"661-49431")</f>
        <v>661-49431</v>
      </c>
      <c r="E5394" s="2" t="str">
        <f>IFERROR(__xludf.DUMMYFUNCTION("""COMPUTED_VALUE"""),"Display, iPhone 16e")</f>
        <v>Display, iPhone 16e</v>
      </c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</row>
    <row r="5395">
      <c r="A5395" s="10" t="str">
        <f t="shared" si="1"/>
        <v>June</v>
      </c>
      <c r="B5395" s="11">
        <f>IFERROR(__xludf.DUMMYFUNCTION("""COMPUTED_VALUE"""),46193.0)</f>
        <v>46193</v>
      </c>
      <c r="C5395" s="2" t="str">
        <f>IFERROR(__xludf.DUMMYFUNCTION("""COMPUTED_VALUE"""),"MOBILECARE - LIMA ESTATE")</f>
        <v>MOBILECARE - LIMA ESTATE</v>
      </c>
      <c r="D5395" s="2" t="str">
        <f>IFERROR(__xludf.DUMMYFUNCTION("""COMPUTED_VALUE"""),"661-56124")</f>
        <v>661-56124</v>
      </c>
      <c r="E5395" s="2" t="str">
        <f>IFERROR(__xludf.DUMMYFUNCTION("""COMPUTED_VALUE"""),"Deep Blue, Back Glass, iPhone 17 Pro")</f>
        <v>Deep Blue, Back Glass, iPhone 17 Pro</v>
      </c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</row>
    <row r="5396">
      <c r="A5396" s="10" t="str">
        <f t="shared" si="1"/>
        <v>June</v>
      </c>
      <c r="B5396" s="11">
        <f>IFERROR(__xludf.DUMMYFUNCTION("""COMPUTED_VALUE"""),46180.0)</f>
        <v>46180</v>
      </c>
      <c r="C5396" s="2" t="str">
        <f>IFERROR(__xludf.DUMMYFUNCTION("""COMPUTED_VALUE"""),"MOBILECARE - LIMA ESTATE")</f>
        <v>MOBILECARE - LIMA ESTATE</v>
      </c>
      <c r="D5396" s="2" t="str">
        <f>IFERROR(__xludf.DUMMYFUNCTION("""COMPUTED_VALUE"""),"661-13574")</f>
        <v>661-13574</v>
      </c>
      <c r="E5396" s="2" t="str">
        <f>IFERROR(__xludf.DUMMYFUNCTION("""COMPUTED_VALUE"""),"Battery, iPhone 11")</f>
        <v>Battery, iPhone 11</v>
      </c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</row>
    <row r="5397">
      <c r="A5397" s="10" t="str">
        <f t="shared" si="1"/>
        <v>May</v>
      </c>
      <c r="B5397" s="11">
        <f>IFERROR(__xludf.DUMMYFUNCTION("""COMPUTED_VALUE"""),46165.0)</f>
        <v>46165</v>
      </c>
      <c r="C5397" s="2" t="str">
        <f>IFERROR(__xludf.DUMMYFUNCTION("""COMPUTED_VALUE"""),"MOBILECARE - LIMA ESTATE")</f>
        <v>MOBILECARE - LIMA ESTATE</v>
      </c>
      <c r="D5397" s="2" t="str">
        <f>IFERROR(__xludf.DUMMYFUNCTION("""COMPUTED_VALUE"""),"661-21991")</f>
        <v>661-21991</v>
      </c>
      <c r="E5397" s="2" t="str">
        <f>IFERROR(__xludf.DUMMYFUNCTION("""COMPUTED_VALUE"""),"Battery, iPhone 13")</f>
        <v>Battery, iPhone 13</v>
      </c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</row>
    <row r="5398">
      <c r="A5398" s="10" t="str">
        <f t="shared" si="1"/>
        <v>June</v>
      </c>
      <c r="B5398" s="11">
        <f>IFERROR(__xludf.DUMMYFUNCTION("""COMPUTED_VALUE"""),46183.0)</f>
        <v>46183</v>
      </c>
      <c r="C5398" s="2" t="str">
        <f>IFERROR(__xludf.DUMMYFUNCTION("""COMPUTED_VALUE"""),"MOBILECARE - LIMA ESTATE")</f>
        <v>MOBILECARE - LIMA ESTATE</v>
      </c>
      <c r="D5398" s="2" t="str">
        <f>IFERROR(__xludf.DUMMYFUNCTION("""COMPUTED_VALUE"""),"TA661-45236")</f>
        <v>TA661-45236</v>
      </c>
      <c r="E5398" s="2" t="str">
        <f>IFERROR(__xludf.DUMMYFUNCTION("""COMPUTED_VALUE"""),"256GB, Black, ROW, iPhone 16 Plus, Logic Board Assy Mid System")</f>
        <v>256GB, Black, ROW, iPhone 16 Plus, Logic Board Assy Mid System</v>
      </c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</row>
    <row r="5399">
      <c r="A5399" s="10" t="str">
        <f t="shared" si="1"/>
        <v>June</v>
      </c>
      <c r="B5399" s="11">
        <f>IFERROR(__xludf.DUMMYFUNCTION("""COMPUTED_VALUE"""),46185.0)</f>
        <v>46185</v>
      </c>
      <c r="C5399" s="2" t="str">
        <f>IFERROR(__xludf.DUMMYFUNCTION("""COMPUTED_VALUE"""),"MOBILECARE - LIMA ESTATE")</f>
        <v>MOBILECARE - LIMA ESTATE</v>
      </c>
      <c r="D5399" s="2" t="str">
        <f>IFERROR(__xludf.DUMMYFUNCTION("""COMPUTED_VALUE"""),"PP661-28871")</f>
        <v>PP661-28871</v>
      </c>
      <c r="E5399" s="2" t="str">
        <f>IFERROR(__xludf.DUMMYFUNCTION("""COMPUTED_VALUE"""),"iPhone 14, Blue, 128GB, Logic Board Assy Mid System, ROW")</f>
        <v>iPhone 14, Blue, 128GB, Logic Board Assy Mid System, ROW</v>
      </c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</row>
    <row r="5400">
      <c r="A5400" s="10" t="str">
        <f t="shared" si="1"/>
        <v>April</v>
      </c>
      <c r="B5400" s="11">
        <f>IFERROR(__xludf.DUMMYFUNCTION("""COMPUTED_VALUE"""),46129.0)</f>
        <v>46129</v>
      </c>
      <c r="C5400" s="2" t="str">
        <f>IFERROR(__xludf.DUMMYFUNCTION("""COMPUTED_VALUE"""),"MOBILECARE - LIMA ESTATE")</f>
        <v>MOBILECARE - LIMA ESTATE</v>
      </c>
      <c r="D5400" s="2" t="str">
        <f>IFERROR(__xludf.DUMMYFUNCTION("""COMPUTED_VALUE"""),"661-21988")</f>
        <v>661-21988</v>
      </c>
      <c r="E5400" s="2" t="str">
        <f>IFERROR(__xludf.DUMMYFUNCTION("""COMPUTED_VALUE"""),"Display, iPhone 13")</f>
        <v>Display, iPhone 13</v>
      </c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</row>
    <row r="5401">
      <c r="A5401" s="10" t="str">
        <f t="shared" si="1"/>
        <v>May</v>
      </c>
      <c r="B5401" s="11">
        <f>IFERROR(__xludf.DUMMYFUNCTION("""COMPUTED_VALUE"""),46143.0)</f>
        <v>46143</v>
      </c>
      <c r="C5401" s="2" t="str">
        <f>IFERROR(__xludf.DUMMYFUNCTION("""COMPUTED_VALUE"""),"MOBILECARE - LIMA ESTATE")</f>
        <v>MOBILECARE - LIMA ESTATE</v>
      </c>
      <c r="D5401" s="2" t="str">
        <f>IFERROR(__xludf.DUMMYFUNCTION("""COMPUTED_VALUE"""),"Z661-55956")</f>
        <v>Z661-55956</v>
      </c>
      <c r="E5401" s="2" t="str">
        <f>IFERROR(__xludf.DUMMYFUNCTION("""COMPUTED_VALUE"""),"Logic Board, 256GB, iPhone 17 Pro Max, ROW")</f>
        <v>Logic Board, 256GB, iPhone 17 Pro Max, ROW</v>
      </c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</row>
    <row r="5402">
      <c r="A5402" s="10" t="str">
        <f t="shared" si="1"/>
        <v>March</v>
      </c>
      <c r="B5402" s="11">
        <f>IFERROR(__xludf.DUMMYFUNCTION("""COMPUTED_VALUE"""),46104.0)</f>
        <v>46104</v>
      </c>
      <c r="C5402" s="2" t="str">
        <f>IFERROR(__xludf.DUMMYFUNCTION("""COMPUTED_VALUE"""),"MOBILECARE - LIMA ESTATE")</f>
        <v>MOBILECARE - LIMA ESTATE</v>
      </c>
      <c r="D5402" s="2" t="str">
        <f>IFERROR(__xludf.DUMMYFUNCTION("""COMPUTED_VALUE"""),"661-56125")</f>
        <v>661-56125</v>
      </c>
      <c r="E5402" s="2" t="str">
        <f>IFERROR(__xludf.DUMMYFUNCTION("""COMPUTED_VALUE"""),"Display, iPhone 17 Pro")</f>
        <v>Display, iPhone 17 Pro</v>
      </c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</row>
    <row r="5403">
      <c r="A5403" s="10" t="str">
        <f t="shared" si="1"/>
        <v>March</v>
      </c>
      <c r="B5403" s="11">
        <f>IFERROR(__xludf.DUMMYFUNCTION("""COMPUTED_VALUE"""),46104.0)</f>
        <v>46104</v>
      </c>
      <c r="C5403" s="2" t="str">
        <f>IFERROR(__xludf.DUMMYFUNCTION("""COMPUTED_VALUE"""),"MOBILECARE - LIMA ESTATE")</f>
        <v>MOBILECARE - LIMA ESTATE</v>
      </c>
      <c r="D5403" s="2" t="str">
        <f>IFERROR(__xludf.DUMMYFUNCTION("""COMPUTED_VALUE"""),"661-56125")</f>
        <v>661-56125</v>
      </c>
      <c r="E5403" s="2" t="str">
        <f>IFERROR(__xludf.DUMMYFUNCTION("""COMPUTED_VALUE"""),"Display, iPhone 17 Pro")</f>
        <v>Display, iPhone 17 Pro</v>
      </c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</row>
    <row r="5404">
      <c r="A5404" s="10" t="str">
        <f t="shared" si="1"/>
        <v>March</v>
      </c>
      <c r="B5404" s="11">
        <f>IFERROR(__xludf.DUMMYFUNCTION("""COMPUTED_VALUE"""),46101.0)</f>
        <v>46101</v>
      </c>
      <c r="C5404" s="2" t="str">
        <f>IFERROR(__xludf.DUMMYFUNCTION("""COMPUTED_VALUE"""),"MOBILECARE - LIMA ESTATE")</f>
        <v>MOBILECARE - LIMA ESTATE</v>
      </c>
      <c r="D5404" s="2" t="str">
        <f>IFERROR(__xludf.DUMMYFUNCTION("""COMPUTED_VALUE"""),"661-21993")</f>
        <v>661-21993</v>
      </c>
      <c r="E5404" s="2" t="str">
        <f>IFERROR(__xludf.DUMMYFUNCTION("""COMPUTED_VALUE"""),"Display, iPhone 13 Pro")</f>
        <v>Display, iPhone 13 Pro</v>
      </c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</row>
    <row r="5405">
      <c r="A5405" s="10" t="str">
        <f t="shared" si="1"/>
        <v>March</v>
      </c>
      <c r="B5405" s="11">
        <f>IFERROR(__xludf.DUMMYFUNCTION("""COMPUTED_VALUE"""),46109.0)</f>
        <v>46109</v>
      </c>
      <c r="C5405" s="2" t="str">
        <f>IFERROR(__xludf.DUMMYFUNCTION("""COMPUTED_VALUE"""),"MOBILECARE - LIMA ESTATE")</f>
        <v>MOBILECARE - LIMA ESTATE</v>
      </c>
      <c r="D5405" s="2" t="str">
        <f>IFERROR(__xludf.DUMMYFUNCTION("""COMPUTED_VALUE"""),"TA661-36289")</f>
        <v>TA661-36289</v>
      </c>
      <c r="E5405" s="2" t="str">
        <f>IFERROR(__xludf.DUMMYFUNCTION("""COMPUTED_VALUE"""),"Blue, iPhone 15, 128GB, ROW, CI/AR, Taiwan")</f>
        <v>Blue, iPhone 15, 128GB, ROW, CI/AR, Taiwan</v>
      </c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</row>
    <row r="5406">
      <c r="A5406" s="10" t="str">
        <f t="shared" si="1"/>
        <v>February</v>
      </c>
      <c r="B5406" s="11">
        <f>IFERROR(__xludf.DUMMYFUNCTION("""COMPUTED_VALUE"""),46063.0)</f>
        <v>46063</v>
      </c>
      <c r="C5406" s="2" t="str">
        <f>IFERROR(__xludf.DUMMYFUNCTION("""COMPUTED_VALUE"""),"MOBILECARE - LIMA ESTATE")</f>
        <v>MOBILECARE - LIMA ESTATE</v>
      </c>
      <c r="D5406" s="2" t="str">
        <f>IFERROR(__xludf.DUMMYFUNCTION("""COMPUTED_VALUE"""),"661-36706")</f>
        <v>661-36706</v>
      </c>
      <c r="E5406" s="2" t="str">
        <f>IFERROR(__xludf.DUMMYFUNCTION("""COMPUTED_VALUE"""),"Display, iPhone 15")</f>
        <v>Display, iPhone 15</v>
      </c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</row>
    <row r="5407">
      <c r="A5407" s="10" t="str">
        <f t="shared" si="1"/>
        <v>January</v>
      </c>
      <c r="B5407" s="11">
        <f>IFERROR(__xludf.DUMMYFUNCTION("""COMPUTED_VALUE"""),46045.0)</f>
        <v>46045</v>
      </c>
      <c r="C5407" s="2" t="str">
        <f>IFERROR(__xludf.DUMMYFUNCTION("""COMPUTED_VALUE"""),"MOBILECARE - LIMA ESTATE")</f>
        <v>MOBILECARE - LIMA ESTATE</v>
      </c>
      <c r="D5407" s="2" t="str">
        <f>IFERROR(__xludf.DUMMYFUNCTION("""COMPUTED_VALUE"""),"661-22309")</f>
        <v>661-22309</v>
      </c>
      <c r="E5407" s="2" t="str">
        <f>IFERROR(__xludf.DUMMYFUNCTION("""COMPUTED_VALUE"""),"Display, iPhone 13 Pro Max")</f>
        <v>Display, iPhone 13 Pro Max</v>
      </c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</row>
    <row r="5408">
      <c r="A5408" s="10" t="str">
        <f t="shared" si="1"/>
        <v>February</v>
      </c>
      <c r="B5408" s="11">
        <f>IFERROR(__xludf.DUMMYFUNCTION("""COMPUTED_VALUE"""),46058.0)</f>
        <v>46058</v>
      </c>
      <c r="C5408" s="2" t="str">
        <f>IFERROR(__xludf.DUMMYFUNCTION("""COMPUTED_VALUE"""),"MOBILECARE - LIMA ESTATE")</f>
        <v>MOBILECARE - LIMA ESTATE</v>
      </c>
      <c r="D5408" s="2" t="str">
        <f>IFERROR(__xludf.DUMMYFUNCTION("""COMPUTED_VALUE"""),"PP661-23454")</f>
        <v>PP661-23454</v>
      </c>
      <c r="E5408" s="2" t="str">
        <f>IFERROR(__xludf.DUMMYFUNCTION("""COMPUTED_VALUE"""),"iPhone 13, Midnight, 128GB, Logic Board Assy Rear System, ROW")</f>
        <v>iPhone 13, Midnight, 128GB, Logic Board Assy Rear System, ROW</v>
      </c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</row>
    <row r="5409">
      <c r="A5409" s="10" t="str">
        <f t="shared" si="1"/>
        <v>May</v>
      </c>
      <c r="B5409" s="11">
        <f>IFERROR(__xludf.DUMMYFUNCTION("""COMPUTED_VALUE"""),46147.0)</f>
        <v>46147</v>
      </c>
      <c r="C5409" s="2" t="str">
        <f>IFERROR(__xludf.DUMMYFUNCTION("""COMPUTED_VALUE"""),"MOBILECARE - LIMA ESTATE")</f>
        <v>MOBILECARE - LIMA ESTATE</v>
      </c>
      <c r="D5409" s="2" t="str">
        <f>IFERROR(__xludf.DUMMYFUNCTION("""COMPUTED_VALUE"""),"661-56050")</f>
        <v>661-56050</v>
      </c>
      <c r="E5409" s="2" t="str">
        <f>IFERROR(__xludf.DUMMYFUNCTION("""COMPUTED_VALUE"""),"Display, iPhone 17 Pro Max")</f>
        <v>Display, iPhone 17 Pro Max</v>
      </c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</row>
    <row r="5410">
      <c r="A5410" s="10" t="str">
        <f t="shared" si="1"/>
        <v>March</v>
      </c>
      <c r="B5410" s="11">
        <f>IFERROR(__xludf.DUMMYFUNCTION("""COMPUTED_VALUE"""),46096.0)</f>
        <v>46096</v>
      </c>
      <c r="C5410" s="2" t="str">
        <f>IFERROR(__xludf.DUMMYFUNCTION("""COMPUTED_VALUE"""),"MOBILECARE - LIMA ESTATE")</f>
        <v>MOBILECARE - LIMA ESTATE</v>
      </c>
      <c r="D5410" s="2" t="str">
        <f>IFERROR(__xludf.DUMMYFUNCTION("""COMPUTED_VALUE"""),"661-30398")</f>
        <v>661-30398</v>
      </c>
      <c r="E5410" s="2" t="str">
        <f>IFERROR(__xludf.DUMMYFUNCTION("""COMPUTED_VALUE"""),"Camera, iPhone 14 Pro Max")</f>
        <v>Camera, iPhone 14 Pro Max</v>
      </c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</row>
    <row r="5411">
      <c r="A5411" s="10" t="str">
        <f t="shared" si="1"/>
        <v>April</v>
      </c>
      <c r="B5411" s="11">
        <f>IFERROR(__xludf.DUMMYFUNCTION("""COMPUTED_VALUE"""),46121.0)</f>
        <v>46121</v>
      </c>
      <c r="C5411" s="2" t="str">
        <f>IFERROR(__xludf.DUMMYFUNCTION("""COMPUTED_VALUE"""),"MOBILECARE - LIMA ESTATE")</f>
        <v>MOBILECARE - LIMA ESTATE</v>
      </c>
      <c r="D5411" s="2" t="str">
        <f>IFERROR(__xludf.DUMMYFUNCTION("""COMPUTED_VALUE"""),"661-35696")</f>
        <v>661-35696</v>
      </c>
      <c r="E5411" s="2" t="str">
        <f>IFERROR(__xludf.DUMMYFUNCTION("""COMPUTED_VALUE"""),"Camera , iPhone 15 Pro")</f>
        <v>Camera , iPhone 15 Pro</v>
      </c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</row>
    <row r="5412">
      <c r="A5412" s="10" t="str">
        <f t="shared" si="1"/>
        <v>April</v>
      </c>
      <c r="B5412" s="11">
        <f>IFERROR(__xludf.DUMMYFUNCTION("""COMPUTED_VALUE"""),46121.0)</f>
        <v>46121</v>
      </c>
      <c r="C5412" s="2" t="str">
        <f>IFERROR(__xludf.DUMMYFUNCTION("""COMPUTED_VALUE"""),"MOBILECARE - LIMA ESTATE")</f>
        <v>MOBILECARE - LIMA ESTATE</v>
      </c>
      <c r="D5412" s="2" t="str">
        <f>IFERROR(__xludf.DUMMYFUNCTION("""COMPUTED_VALUE"""),"661-35697")</f>
        <v>661-35697</v>
      </c>
      <c r="E5412" s="2" t="str">
        <f>IFERROR(__xludf.DUMMYFUNCTION("""COMPUTED_VALUE"""),"TrueDepth Camera, iPhone 15 Pro")</f>
        <v>TrueDepth Camera, iPhone 15 Pro</v>
      </c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</row>
    <row r="5413">
      <c r="A5413" s="10" t="str">
        <f t="shared" si="1"/>
        <v>April</v>
      </c>
      <c r="B5413" s="11">
        <f>IFERROR(__xludf.DUMMYFUNCTION("""COMPUTED_VALUE"""),46118.0)</f>
        <v>46118</v>
      </c>
      <c r="C5413" s="2" t="str">
        <f>IFERROR(__xludf.DUMMYFUNCTION("""COMPUTED_VALUE"""),"MOBILECARE - LIMA ESTATE")</f>
        <v>MOBILECARE - LIMA ESTATE</v>
      </c>
      <c r="D5413" s="2" t="str">
        <f>IFERROR(__xludf.DUMMYFUNCTION("""COMPUTED_VALUE"""),"TA661-35556")</f>
        <v>TA661-35556</v>
      </c>
      <c r="E5413" s="2" t="str">
        <f>IFERROR(__xludf.DUMMYFUNCTION("""COMPUTED_VALUE"""),"Black, iPhone 15 Pro, 256GB, ROW, CI/AR, Taiwan")</f>
        <v>Black, iPhone 15 Pro, 256GB, ROW, CI/AR, Taiwan</v>
      </c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</row>
    <row r="5414">
      <c r="A5414" s="10" t="str">
        <f t="shared" si="1"/>
        <v>March</v>
      </c>
      <c r="B5414" s="11">
        <f>IFERROR(__xludf.DUMMYFUNCTION("""COMPUTED_VALUE"""),46092.0)</f>
        <v>46092</v>
      </c>
      <c r="C5414" s="2" t="str">
        <f>IFERROR(__xludf.DUMMYFUNCTION("""COMPUTED_VALUE"""),"MOBILECARE - LIMA ESTATE")</f>
        <v>MOBILECARE - LIMA ESTATE</v>
      </c>
      <c r="D5414" s="2" t="str">
        <f>IFERROR(__xludf.DUMMYFUNCTION("""COMPUTED_VALUE"""),"661-44799")</f>
        <v>661-44799</v>
      </c>
      <c r="E5414" s="2" t="str">
        <f>IFERROR(__xludf.DUMMYFUNCTION("""COMPUTED_VALUE"""),"Camera, iPhone 16")</f>
        <v>Camera, iPhone 16</v>
      </c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</row>
    <row r="5415">
      <c r="A5415" s="10" t="str">
        <f t="shared" si="1"/>
        <v>March</v>
      </c>
      <c r="B5415" s="11">
        <f>IFERROR(__xludf.DUMMYFUNCTION("""COMPUTED_VALUE"""),46092.0)</f>
        <v>46092</v>
      </c>
      <c r="C5415" s="2" t="str">
        <f>IFERROR(__xludf.DUMMYFUNCTION("""COMPUTED_VALUE"""),"MOBILECARE - LIMA ESTATE")</f>
        <v>MOBILECARE - LIMA ESTATE</v>
      </c>
      <c r="D5415" s="2" t="str">
        <f>IFERROR(__xludf.DUMMYFUNCTION("""COMPUTED_VALUE"""),"661-56050")</f>
        <v>661-56050</v>
      </c>
      <c r="E5415" s="2" t="str">
        <f>IFERROR(__xludf.DUMMYFUNCTION("""COMPUTED_VALUE"""),"Display, iPhone 17 Pro Max")</f>
        <v>Display, iPhone 17 Pro Max</v>
      </c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</row>
    <row r="5416">
      <c r="A5416" s="10" t="str">
        <f t="shared" si="1"/>
        <v>March</v>
      </c>
      <c r="B5416" s="11">
        <f>IFERROR(__xludf.DUMMYFUNCTION("""COMPUTED_VALUE"""),46099.0)</f>
        <v>46099</v>
      </c>
      <c r="C5416" s="2" t="str">
        <f>IFERROR(__xludf.DUMMYFUNCTION("""COMPUTED_VALUE"""),"MOBILECARE - LIMA ESTATE")</f>
        <v>MOBILECARE - LIMA ESTATE</v>
      </c>
      <c r="D5416" s="2" t="str">
        <f>IFERROR(__xludf.DUMMYFUNCTION("""COMPUTED_VALUE"""),"661-21991")</f>
        <v>661-21991</v>
      </c>
      <c r="E5416" s="2" t="str">
        <f>IFERROR(__xludf.DUMMYFUNCTION("""COMPUTED_VALUE"""),"Battery, iPhone 13")</f>
        <v>Battery, iPhone 13</v>
      </c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</row>
    <row r="5417">
      <c r="A5417" s="10" t="str">
        <f t="shared" si="1"/>
        <v>February</v>
      </c>
      <c r="B5417" s="11">
        <f>IFERROR(__xludf.DUMMYFUNCTION("""COMPUTED_VALUE"""),46078.0)</f>
        <v>46078</v>
      </c>
      <c r="C5417" s="2" t="str">
        <f>IFERROR(__xludf.DUMMYFUNCTION("""COMPUTED_VALUE"""),"MOBILECARE - LIMA ESTATE")</f>
        <v>MOBILECARE - LIMA ESTATE</v>
      </c>
      <c r="D5417" s="2" t="str">
        <f>IFERROR(__xludf.DUMMYFUNCTION("""COMPUTED_VALUE"""),"661-21993")</f>
        <v>661-21993</v>
      </c>
      <c r="E5417" s="2" t="str">
        <f>IFERROR(__xludf.DUMMYFUNCTION("""COMPUTED_VALUE"""),"Display, iPhone 13 Pro")</f>
        <v>Display, iPhone 13 Pro</v>
      </c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</row>
    <row r="5418">
      <c r="A5418" s="10" t="str">
        <f t="shared" si="1"/>
        <v>February</v>
      </c>
      <c r="B5418" s="11">
        <f>IFERROR(__xludf.DUMMYFUNCTION("""COMPUTED_VALUE"""),46078.0)</f>
        <v>46078</v>
      </c>
      <c r="C5418" s="2" t="str">
        <f>IFERROR(__xludf.DUMMYFUNCTION("""COMPUTED_VALUE"""),"MOBILECARE - LIMA ESTATE")</f>
        <v>MOBILECARE - LIMA ESTATE</v>
      </c>
      <c r="D5418" s="2" t="str">
        <f>IFERROR(__xludf.DUMMYFUNCTION("""COMPUTED_VALUE"""),"661-21988")</f>
        <v>661-21988</v>
      </c>
      <c r="E5418" s="2" t="str">
        <f>IFERROR(__xludf.DUMMYFUNCTION("""COMPUTED_VALUE"""),"Display, iPhone 13")</f>
        <v>Display, iPhone 13</v>
      </c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</row>
    <row r="5419">
      <c r="A5419" s="10" t="str">
        <f t="shared" si="1"/>
        <v>March</v>
      </c>
      <c r="B5419" s="11">
        <f>IFERROR(__xludf.DUMMYFUNCTION("""COMPUTED_VALUE"""),46091.0)</f>
        <v>46091</v>
      </c>
      <c r="C5419" s="2" t="str">
        <f>IFERROR(__xludf.DUMMYFUNCTION("""COMPUTED_VALUE"""),"MOBILECARE - LIMA ESTATE")</f>
        <v>MOBILECARE - LIMA ESTATE</v>
      </c>
      <c r="D5419" s="2" t="str">
        <f>IFERROR(__xludf.DUMMYFUNCTION("""COMPUTED_VALUE"""),"PP661-23455")</f>
        <v>PP661-23455</v>
      </c>
      <c r="E5419" s="2" t="str">
        <f>IFERROR(__xludf.DUMMYFUNCTION("""COMPUTED_VALUE"""),"iPhone 13, Starlight, 128GB, Logic Board Assy Rear System, ROW")</f>
        <v>iPhone 13, Starlight, 128GB, Logic Board Assy Rear System, ROW</v>
      </c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</row>
    <row r="5420">
      <c r="A5420" s="10" t="str">
        <f t="shared" si="1"/>
        <v>March</v>
      </c>
      <c r="B5420" s="11">
        <f>IFERROR(__xludf.DUMMYFUNCTION("""COMPUTED_VALUE"""),46083.0)</f>
        <v>46083</v>
      </c>
      <c r="C5420" s="2" t="str">
        <f>IFERROR(__xludf.DUMMYFUNCTION("""COMPUTED_VALUE"""),"MOBILECARE - LIMA ESTATE")</f>
        <v>MOBILECARE - LIMA ESTATE</v>
      </c>
      <c r="D5420" s="2" t="str">
        <f>IFERROR(__xludf.DUMMYFUNCTION("""COMPUTED_VALUE"""),"661-22309")</f>
        <v>661-22309</v>
      </c>
      <c r="E5420" s="2" t="str">
        <f>IFERROR(__xludf.DUMMYFUNCTION("""COMPUTED_VALUE"""),"Display, iPhone 13 Pro Max")</f>
        <v>Display, iPhone 13 Pro Max</v>
      </c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</row>
    <row r="5421">
      <c r="A5421" s="10" t="str">
        <f t="shared" si="1"/>
        <v>March</v>
      </c>
      <c r="B5421" s="11">
        <f>IFERROR(__xludf.DUMMYFUNCTION("""COMPUTED_VALUE"""),46091.0)</f>
        <v>46091</v>
      </c>
      <c r="C5421" s="2" t="str">
        <f>IFERROR(__xludf.DUMMYFUNCTION("""COMPUTED_VALUE"""),"MOBILECARE - LIMA ESTATE")</f>
        <v>MOBILECARE - LIMA ESTATE</v>
      </c>
      <c r="D5421" s="2" t="str">
        <f>IFERROR(__xludf.DUMMYFUNCTION("""COMPUTED_VALUE"""),"661-22294")</f>
        <v>661-22294</v>
      </c>
      <c r="E5421" s="2" t="str">
        <f>IFERROR(__xludf.DUMMYFUNCTION("""COMPUTED_VALUE"""),"Battery, iPhone 13 Pro Max")</f>
        <v>Battery, iPhone 13 Pro Max</v>
      </c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</row>
    <row r="5422">
      <c r="A5422" s="10" t="str">
        <f t="shared" si="1"/>
        <v>February</v>
      </c>
      <c r="B5422" s="11">
        <f>IFERROR(__xludf.DUMMYFUNCTION("""COMPUTED_VALUE"""),46062.0)</f>
        <v>46062</v>
      </c>
      <c r="C5422" s="2" t="str">
        <f>IFERROR(__xludf.DUMMYFUNCTION("""COMPUTED_VALUE"""),"MOBILECARE - LIMA ESTATE")</f>
        <v>MOBILECARE - LIMA ESTATE</v>
      </c>
      <c r="D5422" s="2" t="str">
        <f>IFERROR(__xludf.DUMMYFUNCTION("""COMPUTED_VALUE"""),"PP661-23455")</f>
        <v>PP661-23455</v>
      </c>
      <c r="E5422" s="2" t="str">
        <f>IFERROR(__xludf.DUMMYFUNCTION("""COMPUTED_VALUE"""),"iPhone 13, Starlight, 128GB, Logic Board Assy Rear System, ROW")</f>
        <v>iPhone 13, Starlight, 128GB, Logic Board Assy Rear System, ROW</v>
      </c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</row>
    <row r="5423">
      <c r="A5423" s="10" t="str">
        <f t="shared" si="1"/>
        <v>January</v>
      </c>
      <c r="B5423" s="11">
        <f>IFERROR(__xludf.DUMMYFUNCTION("""COMPUTED_VALUE"""),46044.0)</f>
        <v>46044</v>
      </c>
      <c r="C5423" s="2" t="str">
        <f>IFERROR(__xludf.DUMMYFUNCTION("""COMPUTED_VALUE"""),"MOBILECARE - LIMA ESTATE")</f>
        <v>MOBILECARE - LIMA ESTATE</v>
      </c>
      <c r="D5423" s="2" t="str">
        <f>IFERROR(__xludf.DUMMYFUNCTION("""COMPUTED_VALUE"""),"661-44957")</f>
        <v>661-44957</v>
      </c>
      <c r="E5423" s="2" t="str">
        <f>IFERROR(__xludf.DUMMYFUNCTION("""COMPUTED_VALUE"""),"Camera, iPhone 16 Pro Max")</f>
        <v>Camera, iPhone 16 Pro Max</v>
      </c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</row>
    <row r="5424">
      <c r="A5424" s="10" t="str">
        <f t="shared" si="1"/>
        <v>May</v>
      </c>
      <c r="B5424" s="11">
        <f>IFERROR(__xludf.DUMMYFUNCTION("""COMPUTED_VALUE"""),46170.0)</f>
        <v>46170</v>
      </c>
      <c r="C5424" s="2" t="str">
        <f>IFERROR(__xludf.DUMMYFUNCTION("""COMPUTED_VALUE"""),"MOBILECARE - LIMA ESTATE")</f>
        <v>MOBILECARE - LIMA ESTATE</v>
      </c>
      <c r="D5424" s="2" t="str">
        <f>IFERROR(__xludf.DUMMYFUNCTION("""COMPUTED_VALUE"""),"661-22294")</f>
        <v>661-22294</v>
      </c>
      <c r="E5424" s="2" t="str">
        <f>IFERROR(__xludf.DUMMYFUNCTION("""COMPUTED_VALUE"""),"Battery, iPhone 13 Pro Max")</f>
        <v>Battery, iPhone 13 Pro Max</v>
      </c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</row>
    <row r="5425">
      <c r="A5425" s="10" t="str">
        <f t="shared" si="1"/>
        <v>June</v>
      </c>
      <c r="B5425" s="11">
        <f>IFERROR(__xludf.DUMMYFUNCTION("""COMPUTED_VALUE"""),46183.0)</f>
        <v>46183</v>
      </c>
      <c r="C5425" s="2" t="str">
        <f>IFERROR(__xludf.DUMMYFUNCTION("""COMPUTED_VALUE"""),"MOBILECARE - LIMA ESTATE")</f>
        <v>MOBILECARE - LIMA ESTATE</v>
      </c>
      <c r="D5425" s="2" t="str">
        <f>IFERROR(__xludf.DUMMYFUNCTION("""COMPUTED_VALUE"""),"PP661-28868")</f>
        <v>PP661-28868</v>
      </c>
      <c r="E5425" s="2" t="str">
        <f>IFERROR(__xludf.DUMMYFUNCTION("""COMPUTED_VALUE"""),"iPhone 14, Midnight, 128GB, Logic Board Assy Mid System, ROW")</f>
        <v>iPhone 14, Midnight, 128GB, Logic Board Assy Mid System, ROW</v>
      </c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</row>
    <row r="5426">
      <c r="A5426" s="10" t="str">
        <f t="shared" si="1"/>
        <v>April</v>
      </c>
      <c r="B5426" s="11">
        <f>IFERROR(__xludf.DUMMYFUNCTION("""COMPUTED_VALUE"""),46135.0)</f>
        <v>46135</v>
      </c>
      <c r="C5426" s="2" t="str">
        <f>IFERROR(__xludf.DUMMYFUNCTION("""COMPUTED_VALUE"""),"MOBILECARE - LIMA ESTATE")</f>
        <v>MOBILECARE - LIMA ESTATE</v>
      </c>
      <c r="D5426" s="2" t="str">
        <f>IFERROR(__xludf.DUMMYFUNCTION("""COMPUTED_VALUE"""),"661-56127")</f>
        <v>661-56127</v>
      </c>
      <c r="E5426" s="2" t="str">
        <f>IFERROR(__xludf.DUMMYFUNCTION("""COMPUTED_VALUE"""),"Camera, iPhone 17 Pro")</f>
        <v>Camera, iPhone 17 Pro</v>
      </c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</row>
    <row r="5427">
      <c r="A5427" s="10" t="str">
        <f t="shared" si="1"/>
        <v>March</v>
      </c>
      <c r="B5427" s="11">
        <f>IFERROR(__xludf.DUMMYFUNCTION("""COMPUTED_VALUE"""),46105.0)</f>
        <v>46105</v>
      </c>
      <c r="C5427" s="2" t="str">
        <f>IFERROR(__xludf.DUMMYFUNCTION("""COMPUTED_VALUE"""),"MOBILECARE - LIMA ESTATE")</f>
        <v>MOBILECARE - LIMA ESTATE</v>
      </c>
      <c r="D5427" s="2" t="str">
        <f>IFERROR(__xludf.DUMMYFUNCTION("""COMPUTED_VALUE"""),"661-21996")</f>
        <v>661-21996</v>
      </c>
      <c r="E5427" s="2" t="str">
        <f>IFERROR(__xludf.DUMMYFUNCTION("""COMPUTED_VALUE"""),"Battery, iPhone 13 Pro")</f>
        <v>Battery, iPhone 13 Pro</v>
      </c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</row>
    <row r="5428">
      <c r="A5428" s="10" t="str">
        <f t="shared" si="1"/>
        <v>March</v>
      </c>
      <c r="B5428" s="11">
        <f>IFERROR(__xludf.DUMMYFUNCTION("""COMPUTED_VALUE"""),46107.0)</f>
        <v>46107</v>
      </c>
      <c r="C5428" s="2" t="str">
        <f>IFERROR(__xludf.DUMMYFUNCTION("""COMPUTED_VALUE"""),"MOBILECARE - LIMA ESTATE")</f>
        <v>MOBILECARE - LIMA ESTATE</v>
      </c>
      <c r="D5428" s="2" t="str">
        <f>IFERROR(__xludf.DUMMYFUNCTION("""COMPUTED_VALUE"""),"661-21991")</f>
        <v>661-21991</v>
      </c>
      <c r="E5428" s="2" t="str">
        <f>IFERROR(__xludf.DUMMYFUNCTION("""COMPUTED_VALUE"""),"Battery, iPhone 13")</f>
        <v>Battery, iPhone 13</v>
      </c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</row>
    <row r="5429">
      <c r="A5429" s="10" t="str">
        <f t="shared" si="1"/>
        <v>April</v>
      </c>
      <c r="B5429" s="11">
        <f>IFERROR(__xludf.DUMMYFUNCTION("""COMPUTED_VALUE"""),46116.0)</f>
        <v>46116</v>
      </c>
      <c r="C5429" s="2" t="str">
        <f>IFERROR(__xludf.DUMMYFUNCTION("""COMPUTED_VALUE"""),"MOBILECARE - LIMA ESTATE")</f>
        <v>MOBILECARE - LIMA ESTATE</v>
      </c>
      <c r="D5429" s="2" t="str">
        <f>IFERROR(__xludf.DUMMYFUNCTION("""COMPUTED_VALUE"""),"TA661-36287")</f>
        <v>TA661-36287</v>
      </c>
      <c r="E5429" s="2" t="str">
        <f>IFERROR(__xludf.DUMMYFUNCTION("""COMPUTED_VALUE"""),"Pink, iPhone 15, 128GB, ROW, CI/AR, Taiwan")</f>
        <v>Pink, iPhone 15, 128GB, ROW, CI/AR, Taiwan</v>
      </c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</row>
    <row r="5430">
      <c r="A5430" s="10" t="str">
        <f t="shared" si="1"/>
        <v>March</v>
      </c>
      <c r="B5430" s="11">
        <f>IFERROR(__xludf.DUMMYFUNCTION("""COMPUTED_VALUE"""),46087.0)</f>
        <v>46087</v>
      </c>
      <c r="C5430" s="2" t="str">
        <f>IFERROR(__xludf.DUMMYFUNCTION("""COMPUTED_VALUE"""),"MOBILECARE - LIMA ESTATE")</f>
        <v>MOBILECARE - LIMA ESTATE</v>
      </c>
      <c r="D5430" s="2" t="str">
        <f>IFERROR(__xludf.DUMMYFUNCTION("""COMPUTED_VALUE"""),"661-18428")</f>
        <v>661-18428</v>
      </c>
      <c r="E5430" s="2" t="str">
        <f>IFERROR(__xludf.DUMMYFUNCTION("""COMPUTED_VALUE"""),"Battery, iPhone 12 Pro Max")</f>
        <v>Battery, iPhone 12 Pro Max</v>
      </c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</row>
    <row r="5431">
      <c r="A5431" s="10" t="str">
        <f t="shared" si="1"/>
        <v>March</v>
      </c>
      <c r="B5431" s="11">
        <f>IFERROR(__xludf.DUMMYFUNCTION("""COMPUTED_VALUE"""),46092.0)</f>
        <v>46092</v>
      </c>
      <c r="C5431" s="2" t="str">
        <f>IFERROR(__xludf.DUMMYFUNCTION("""COMPUTED_VALUE"""),"MOBILECARE - LIMA ESTATE")</f>
        <v>MOBILECARE - LIMA ESTATE</v>
      </c>
      <c r="D5431" s="2" t="str">
        <f>IFERROR(__xludf.DUMMYFUNCTION("""COMPUTED_VALUE"""),"661-22294")</f>
        <v>661-22294</v>
      </c>
      <c r="E5431" s="2" t="str">
        <f>IFERROR(__xludf.DUMMYFUNCTION("""COMPUTED_VALUE"""),"Battery, iPhone 13 Pro Max")</f>
        <v>Battery, iPhone 13 Pro Max</v>
      </c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</row>
    <row r="5432">
      <c r="A5432" s="10" t="str">
        <f t="shared" si="1"/>
        <v>February</v>
      </c>
      <c r="B5432" s="11">
        <f>IFERROR(__xludf.DUMMYFUNCTION("""COMPUTED_VALUE"""),46080.0)</f>
        <v>46080</v>
      </c>
      <c r="C5432" s="2" t="str">
        <f>IFERROR(__xludf.DUMMYFUNCTION("""COMPUTED_VALUE"""),"MOBILECARE - LIMA ESTATE")</f>
        <v>MOBILECARE - LIMA ESTATE</v>
      </c>
      <c r="D5432" s="2" t="str">
        <f>IFERROR(__xludf.DUMMYFUNCTION("""COMPUTED_VALUE"""),"661-42727")</f>
        <v>661-42727</v>
      </c>
      <c r="E5432" s="2" t="str">
        <f>IFERROR(__xludf.DUMMYFUNCTION("""COMPUTED_VALUE"""),"TrueDepth Camera, iPhone 16 Pro")</f>
        <v>TrueDepth Camera, iPhone 16 Pro</v>
      </c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</row>
    <row r="5433">
      <c r="A5433" s="10" t="str">
        <f t="shared" si="1"/>
        <v>February</v>
      </c>
      <c r="B5433" s="11">
        <f>IFERROR(__xludf.DUMMYFUNCTION("""COMPUTED_VALUE"""),46068.0)</f>
        <v>46068</v>
      </c>
      <c r="C5433" s="2" t="str">
        <f>IFERROR(__xludf.DUMMYFUNCTION("""COMPUTED_VALUE"""),"MOBILECARE - LIMA ESTATE")</f>
        <v>MOBILECARE - LIMA ESTATE</v>
      </c>
      <c r="D5433" s="2" t="str">
        <f>IFERROR(__xludf.DUMMYFUNCTION("""COMPUTED_VALUE"""),"661-13574")</f>
        <v>661-13574</v>
      </c>
      <c r="E5433" s="2" t="str">
        <f>IFERROR(__xludf.DUMMYFUNCTION("""COMPUTED_VALUE"""),"Battery, iPhone 11")</f>
        <v>Battery, iPhone 11</v>
      </c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</row>
    <row r="5434">
      <c r="A5434" s="10" t="str">
        <f t="shared" si="1"/>
        <v>February</v>
      </c>
      <c r="B5434" s="11">
        <f>IFERROR(__xludf.DUMMYFUNCTION("""COMPUTED_VALUE"""),46059.0)</f>
        <v>46059</v>
      </c>
      <c r="C5434" s="2" t="str">
        <f>IFERROR(__xludf.DUMMYFUNCTION("""COMPUTED_VALUE"""),"MOBILECARE - LIMA ESTATE")</f>
        <v>MOBILECARE - LIMA ESTATE</v>
      </c>
      <c r="D5434" s="2" t="str">
        <f>IFERROR(__xludf.DUMMYFUNCTION("""COMPUTED_VALUE"""),"661-21991")</f>
        <v>661-21991</v>
      </c>
      <c r="E5434" s="2" t="str">
        <f>IFERROR(__xludf.DUMMYFUNCTION("""COMPUTED_VALUE"""),"Battery, iPhone 13")</f>
        <v>Battery, iPhone 13</v>
      </c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</row>
    <row r="5435">
      <c r="A5435" s="10" t="str">
        <f t="shared" si="1"/>
        <v>February</v>
      </c>
      <c r="B5435" s="11">
        <f>IFERROR(__xludf.DUMMYFUNCTION("""COMPUTED_VALUE"""),46067.0)</f>
        <v>46067</v>
      </c>
      <c r="C5435" s="2" t="str">
        <f>IFERROR(__xludf.DUMMYFUNCTION("""COMPUTED_VALUE"""),"MOBILECARE - LIMA ESTATE")</f>
        <v>MOBILECARE - LIMA ESTATE</v>
      </c>
      <c r="D5435" s="2" t="str">
        <f>IFERROR(__xludf.DUMMYFUNCTION("""COMPUTED_VALUE"""),"661-21991")</f>
        <v>661-21991</v>
      </c>
      <c r="E5435" s="2" t="str">
        <f>IFERROR(__xludf.DUMMYFUNCTION("""COMPUTED_VALUE"""),"Battery, iPhone 13")</f>
        <v>Battery, iPhone 13</v>
      </c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</row>
    <row r="5436">
      <c r="A5436" s="10" t="str">
        <f t="shared" si="1"/>
        <v>February</v>
      </c>
      <c r="B5436" s="11">
        <f>IFERROR(__xludf.DUMMYFUNCTION("""COMPUTED_VALUE"""),46062.0)</f>
        <v>46062</v>
      </c>
      <c r="C5436" s="2" t="str">
        <f>IFERROR(__xludf.DUMMYFUNCTION("""COMPUTED_VALUE"""),"MOBILECARE - LIMA ESTATE")</f>
        <v>MOBILECARE - LIMA ESTATE</v>
      </c>
      <c r="D5436" s="2" t="str">
        <f>IFERROR(__xludf.DUMMYFUNCTION("""COMPUTED_VALUE"""),"661-18428")</f>
        <v>661-18428</v>
      </c>
      <c r="E5436" s="2" t="str">
        <f>IFERROR(__xludf.DUMMYFUNCTION("""COMPUTED_VALUE"""),"Battery, iPhone 12 Pro Max")</f>
        <v>Battery, iPhone 12 Pro Max</v>
      </c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</row>
    <row r="5437">
      <c r="A5437" s="10" t="str">
        <f t="shared" si="1"/>
        <v>February</v>
      </c>
      <c r="B5437" s="11">
        <f>IFERROR(__xludf.DUMMYFUNCTION("""COMPUTED_VALUE"""),46062.0)</f>
        <v>46062</v>
      </c>
      <c r="C5437" s="2" t="str">
        <f>IFERROR(__xludf.DUMMYFUNCTION("""COMPUTED_VALUE"""),"MOBILECARE - LIMA ESTATE")</f>
        <v>MOBILECARE - LIMA ESTATE</v>
      </c>
      <c r="D5437" s="2" t="str">
        <f>IFERROR(__xludf.DUMMYFUNCTION("""COMPUTED_VALUE"""),"PP661-23454")</f>
        <v>PP661-23454</v>
      </c>
      <c r="E5437" s="2" t="str">
        <f>IFERROR(__xludf.DUMMYFUNCTION("""COMPUTED_VALUE"""),"iPhone 13, Midnight, 128GB, Logic Board Assy Rear System, ROW")</f>
        <v>iPhone 13, Midnight, 128GB, Logic Board Assy Rear System, ROW</v>
      </c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</row>
    <row r="5438">
      <c r="A5438" s="10" t="str">
        <f t="shared" si="1"/>
        <v>February</v>
      </c>
      <c r="B5438" s="11">
        <f>IFERROR(__xludf.DUMMYFUNCTION("""COMPUTED_VALUE"""),46059.0)</f>
        <v>46059</v>
      </c>
      <c r="C5438" s="2" t="str">
        <f>IFERROR(__xludf.DUMMYFUNCTION("""COMPUTED_VALUE"""),"MOBILECARE - LIMA ESTATE")</f>
        <v>MOBILECARE - LIMA ESTATE</v>
      </c>
      <c r="D5438" s="2" t="str">
        <f>IFERROR(__xludf.DUMMYFUNCTION("""COMPUTED_VALUE"""),"TA661-36696")</f>
        <v>TA661-36696</v>
      </c>
      <c r="E5438" s="2" t="str">
        <f>IFERROR(__xludf.DUMMYFUNCTION("""COMPUTED_VALUE"""),"iPhone 15, Black, 256GB, Logic Board Assy Mid System, ROW")</f>
        <v>iPhone 15, Black, 256GB, Logic Board Assy Mid System, ROW</v>
      </c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</row>
    <row r="5439">
      <c r="A5439" s="10" t="str">
        <f t="shared" si="1"/>
        <v>January</v>
      </c>
      <c r="B5439" s="11">
        <f>IFERROR(__xludf.DUMMYFUNCTION("""COMPUTED_VALUE"""),46050.0)</f>
        <v>46050</v>
      </c>
      <c r="C5439" s="2" t="str">
        <f>IFERROR(__xludf.DUMMYFUNCTION("""COMPUTED_VALUE"""),"MOBILECARE - LIMA ESTATE")</f>
        <v>MOBILECARE - LIMA ESTATE</v>
      </c>
      <c r="D5439" s="2" t="str">
        <f>IFERROR(__xludf.DUMMYFUNCTION("""COMPUTED_VALUE"""),"PP661-22980")</f>
        <v>PP661-22980</v>
      </c>
      <c r="E5439" s="2" t="str">
        <f>IFERROR(__xludf.DUMMYFUNCTION("""COMPUTED_VALUE"""),"Midnight, 128 GB, iPhone 13, ROW, CI/AR, Philippines")</f>
        <v>Midnight, 128 GB, iPhone 13, ROW, CI/AR, Philippines</v>
      </c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</row>
    <row r="5440">
      <c r="A5440" s="10" t="str">
        <f t="shared" si="1"/>
        <v>May</v>
      </c>
      <c r="B5440" s="11">
        <f>IFERROR(__xludf.DUMMYFUNCTION("""COMPUTED_VALUE"""),46164.0)</f>
        <v>46164</v>
      </c>
      <c r="C5440" s="2" t="str">
        <f>IFERROR(__xludf.DUMMYFUNCTION("""COMPUTED_VALUE"""),"MOBILECARE - LIMA ESTATE")</f>
        <v>MOBILECARE - LIMA ESTATE</v>
      </c>
      <c r="D5440" s="2" t="str">
        <f>IFERROR(__xludf.DUMMYFUNCTION("""COMPUTED_VALUE"""),"661-30394")</f>
        <v>661-30394</v>
      </c>
      <c r="E5440" s="2" t="str">
        <f>IFERROR(__xludf.DUMMYFUNCTION("""COMPUTED_VALUE"""),"Battery, iPhone 14 Plus")</f>
        <v>Battery, iPhone 14 Plus</v>
      </c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</row>
    <row r="5441">
      <c r="A5441" s="10" t="str">
        <f t="shared" si="1"/>
        <v>June</v>
      </c>
      <c r="B5441" s="11">
        <f>IFERROR(__xludf.DUMMYFUNCTION("""COMPUTED_VALUE"""),46190.0)</f>
        <v>46190</v>
      </c>
      <c r="C5441" s="2" t="str">
        <f>IFERROR(__xludf.DUMMYFUNCTION("""COMPUTED_VALUE"""),"MOBILECARE - LIMA ESTATE")</f>
        <v>MOBILECARE - LIMA ESTATE</v>
      </c>
      <c r="D5441" s="2" t="str">
        <f>IFERROR(__xludf.DUMMYFUNCTION("""COMPUTED_VALUE"""),"TA661-43606")</f>
        <v>TA661-43606</v>
      </c>
      <c r="E5441" s="2" t="str">
        <f>IFERROR(__xludf.DUMMYFUNCTION("""COMPUTED_VALUE"""),"128GB, White, ROW, iPhone 16, Logic Board Assy Mid System")</f>
        <v>128GB, White, ROW, iPhone 16, Logic Board Assy Mid System</v>
      </c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</row>
    <row r="5442">
      <c r="A5442" s="10" t="str">
        <f t="shared" si="1"/>
        <v>April</v>
      </c>
      <c r="B5442" s="11">
        <f>IFERROR(__xludf.DUMMYFUNCTION("""COMPUTED_VALUE"""),46139.0)</f>
        <v>46139</v>
      </c>
      <c r="C5442" s="2" t="str">
        <f>IFERROR(__xludf.DUMMYFUNCTION("""COMPUTED_VALUE"""),"MOBILECARE - LIMA ESTATE")</f>
        <v>MOBILECARE - LIMA ESTATE</v>
      </c>
      <c r="D5442" s="2" t="str">
        <f>IFERROR(__xludf.DUMMYFUNCTION("""COMPUTED_VALUE"""),"661-21991")</f>
        <v>661-21991</v>
      </c>
      <c r="E5442" s="2" t="str">
        <f>IFERROR(__xludf.DUMMYFUNCTION("""COMPUTED_VALUE"""),"Battery, iPhone 13")</f>
        <v>Battery, iPhone 13</v>
      </c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</row>
    <row r="5443">
      <c r="A5443" s="10" t="str">
        <f t="shared" si="1"/>
        <v>May</v>
      </c>
      <c r="B5443" s="11">
        <f>IFERROR(__xludf.DUMMYFUNCTION("""COMPUTED_VALUE"""),46144.0)</f>
        <v>46144</v>
      </c>
      <c r="C5443" s="2" t="str">
        <f>IFERROR(__xludf.DUMMYFUNCTION("""COMPUTED_VALUE"""),"MOBILECARE - LIMA ESTATE")</f>
        <v>MOBILECARE - LIMA ESTATE</v>
      </c>
      <c r="D5443" s="2" t="str">
        <f>IFERROR(__xludf.DUMMYFUNCTION("""COMPUTED_VALUE"""),"PP661-28869")</f>
        <v>PP661-28869</v>
      </c>
      <c r="E5443" s="2" t="str">
        <f>IFERROR(__xludf.DUMMYFUNCTION("""COMPUTED_VALUE"""),"iPhone 14, Starlight, 128GB, Logic Board Assy Mid System, ROW")</f>
        <v>iPhone 14, Starlight, 128GB, Logic Board Assy Mid System, ROW</v>
      </c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</row>
    <row r="5444">
      <c r="A5444" s="10" t="str">
        <f t="shared" si="1"/>
        <v>April</v>
      </c>
      <c r="B5444" s="11">
        <f>IFERROR(__xludf.DUMMYFUNCTION("""COMPUTED_VALUE"""),46118.0)</f>
        <v>46118</v>
      </c>
      <c r="C5444" s="2" t="str">
        <f>IFERROR(__xludf.DUMMYFUNCTION("""COMPUTED_VALUE"""),"MOBILECARE - LIMA ESTATE")</f>
        <v>MOBILECARE - LIMA ESTATE</v>
      </c>
      <c r="D5444" s="2" t="str">
        <f>IFERROR(__xludf.DUMMYFUNCTION("""COMPUTED_VALUE"""),"TA661-55279")</f>
        <v>TA661-55279</v>
      </c>
      <c r="E5444" s="2" t="str">
        <f>IFERROR(__xludf.DUMMYFUNCTION("""COMPUTED_VALUE"""),"Black, 256GB, iPhone 17, ROW, Taiwan, CI/AR")</f>
        <v>Black, 256GB, iPhone 17, ROW, Taiwan, CI/AR</v>
      </c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</row>
    <row r="5445">
      <c r="A5445" s="10" t="str">
        <f t="shared" si="1"/>
        <v>March</v>
      </c>
      <c r="B5445" s="11">
        <f>IFERROR(__xludf.DUMMYFUNCTION("""COMPUTED_VALUE"""),46095.0)</f>
        <v>46095</v>
      </c>
      <c r="C5445" s="2" t="str">
        <f>IFERROR(__xludf.DUMMYFUNCTION("""COMPUTED_VALUE"""),"MOBILECARE - LIMA ESTATE")</f>
        <v>MOBILECARE - LIMA ESTATE</v>
      </c>
      <c r="D5445" s="2" t="str">
        <f>IFERROR(__xludf.DUMMYFUNCTION("""COMPUTED_VALUE"""),"TA661-44058")</f>
        <v>TA661-44058</v>
      </c>
      <c r="E5445" s="2" t="str">
        <f>IFERROR(__xludf.DUMMYFUNCTION("""COMPUTED_VALUE"""),"256GB, Ultramarine, ROW, iPhone 16 Plus, CI/AR")</f>
        <v>256GB, Ultramarine, ROW, iPhone 16 Plus, CI/AR</v>
      </c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</row>
    <row r="5446">
      <c r="A5446" s="10" t="str">
        <f t="shared" si="1"/>
        <v>March</v>
      </c>
      <c r="B5446" s="11">
        <f>IFERROR(__xludf.DUMMYFUNCTION("""COMPUTED_VALUE"""),46085.0)</f>
        <v>46085</v>
      </c>
      <c r="C5446" s="2" t="str">
        <f>IFERROR(__xludf.DUMMYFUNCTION("""COMPUTED_VALUE"""),"MOBILECARE - LIMA ESTATE")</f>
        <v>MOBILECARE - LIMA ESTATE</v>
      </c>
      <c r="D5446" s="2" t="str">
        <f>IFERROR(__xludf.DUMMYFUNCTION("""COMPUTED_VALUE"""),"TA661-45325")</f>
        <v>TA661-45325</v>
      </c>
      <c r="E5446" s="2" t="str">
        <f>IFERROR(__xludf.DUMMYFUNCTION("""COMPUTED_VALUE"""),"512GB, Black Titanium, ROW, iPhone 16 Pro Max, Logic Board Assy Mid Syst")</f>
        <v>512GB, Black Titanium, ROW, iPhone 16 Pro Max, Logic Board Assy Mid Syst</v>
      </c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</row>
    <row r="5447">
      <c r="A5447" s="10" t="str">
        <f t="shared" si="1"/>
        <v>February</v>
      </c>
      <c r="B5447" s="11">
        <f>IFERROR(__xludf.DUMMYFUNCTION("""COMPUTED_VALUE"""),46066.0)</f>
        <v>46066</v>
      </c>
      <c r="C5447" s="2" t="str">
        <f>IFERROR(__xludf.DUMMYFUNCTION("""COMPUTED_VALUE"""),"MOBILECARE - LIMA ESTATE")</f>
        <v>MOBILECARE - LIMA ESTATE</v>
      </c>
      <c r="D5447" s="2" t="str">
        <f>IFERROR(__xludf.DUMMYFUNCTION("""COMPUTED_VALUE"""),"661-22294")</f>
        <v>661-22294</v>
      </c>
      <c r="E5447" s="2" t="str">
        <f>IFERROR(__xludf.DUMMYFUNCTION("""COMPUTED_VALUE"""),"Battery, iPhone 13 Pro Max")</f>
        <v>Battery, iPhone 13 Pro Max</v>
      </c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</row>
    <row r="5448">
      <c r="A5448" s="10" t="str">
        <f t="shared" si="1"/>
        <v>February</v>
      </c>
      <c r="B5448" s="11">
        <f>IFERROR(__xludf.DUMMYFUNCTION("""COMPUTED_VALUE"""),46059.0)</f>
        <v>46059</v>
      </c>
      <c r="C5448" s="2" t="str">
        <f>IFERROR(__xludf.DUMMYFUNCTION("""COMPUTED_VALUE"""),"MOBILECARE - LIMA ESTATE")</f>
        <v>MOBILECARE - LIMA ESTATE</v>
      </c>
      <c r="D5448" s="2" t="str">
        <f>IFERROR(__xludf.DUMMYFUNCTION("""COMPUTED_VALUE"""),"PP661-23460")</f>
        <v>PP661-23460</v>
      </c>
      <c r="E5448" s="2" t="str">
        <f>IFERROR(__xludf.DUMMYFUNCTION("""COMPUTED_VALUE"""),"iPhone 13, Starlight, 256GB, Logic Board Assy Rear System, ROW")</f>
        <v>iPhone 13, Starlight, 256GB, Logic Board Assy Rear System, ROW</v>
      </c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</row>
    <row r="5449">
      <c r="A5449" s="10" t="str">
        <f t="shared" si="1"/>
        <v>February</v>
      </c>
      <c r="B5449" s="11">
        <f>IFERROR(__xludf.DUMMYFUNCTION("""COMPUTED_VALUE"""),46060.0)</f>
        <v>46060</v>
      </c>
      <c r="C5449" s="2" t="str">
        <f>IFERROR(__xludf.DUMMYFUNCTION("""COMPUTED_VALUE"""),"MOBILECARE - LIMA ESTATE")</f>
        <v>MOBILECARE - LIMA ESTATE</v>
      </c>
      <c r="D5449" s="2" t="str">
        <f>IFERROR(__xludf.DUMMYFUNCTION("""COMPUTED_VALUE"""),"PP661-23455")</f>
        <v>PP661-23455</v>
      </c>
      <c r="E5449" s="2" t="str">
        <f>IFERROR(__xludf.DUMMYFUNCTION("""COMPUTED_VALUE"""),"iPhone 13, Starlight, 128GB, Logic Board Assy Rear System, ROW")</f>
        <v>iPhone 13, Starlight, 128GB, Logic Board Assy Rear System, ROW</v>
      </c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</row>
    <row r="5450">
      <c r="A5450" s="10" t="str">
        <f t="shared" si="1"/>
        <v>January</v>
      </c>
      <c r="B5450" s="11">
        <f>IFERROR(__xludf.DUMMYFUNCTION("""COMPUTED_VALUE"""),46045.0)</f>
        <v>46045</v>
      </c>
      <c r="C5450" s="2" t="str">
        <f>IFERROR(__xludf.DUMMYFUNCTION("""COMPUTED_VALUE"""),"MOBILECARE - LIMA ESTATE")</f>
        <v>MOBILECARE - LIMA ESTATE</v>
      </c>
      <c r="D5450" s="2" t="str">
        <f>IFERROR(__xludf.DUMMYFUNCTION("""COMPUTED_VALUE"""),"ZP923-13638")</f>
        <v>ZP923-13638</v>
      </c>
      <c r="E5450" s="2" t="str">
        <f>IFERROR(__xludf.DUMMYFUNCTION("""COMPUTED_VALUE"""),"Silver, Enclosure, ROW, iPhone 17 Pro")</f>
        <v>Silver, Enclosure, ROW, iPhone 17 Pro</v>
      </c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</row>
    <row r="5451">
      <c r="A5451" s="10" t="str">
        <f t="shared" si="1"/>
        <v>January</v>
      </c>
      <c r="B5451" s="11">
        <f>IFERROR(__xludf.DUMMYFUNCTION("""COMPUTED_VALUE"""),46045.0)</f>
        <v>46045</v>
      </c>
      <c r="C5451" s="2" t="str">
        <f>IFERROR(__xludf.DUMMYFUNCTION("""COMPUTED_VALUE"""),"MOBILECARE - LIMA ESTATE")</f>
        <v>MOBILECARE - LIMA ESTATE</v>
      </c>
      <c r="D5451" s="2" t="str">
        <f>IFERROR(__xludf.DUMMYFUNCTION("""COMPUTED_VALUE"""),"661-56126")</f>
        <v>661-56126</v>
      </c>
      <c r="E5451" s="2" t="str">
        <f>IFERROR(__xludf.DUMMYFUNCTION("""COMPUTED_VALUE"""),"Front Camera, iPhone 17 Pro")</f>
        <v>Front Camera, iPhone 17 Pro</v>
      </c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</row>
    <row r="5452">
      <c r="A5452" s="10" t="str">
        <f t="shared" si="1"/>
        <v>May</v>
      </c>
      <c r="B5452" s="11">
        <f>IFERROR(__xludf.DUMMYFUNCTION("""COMPUTED_VALUE"""),46156.0)</f>
        <v>46156</v>
      </c>
      <c r="C5452" s="2" t="str">
        <f>IFERROR(__xludf.DUMMYFUNCTION("""COMPUTED_VALUE"""),"MOBILECARE - LIMA ESTATE")</f>
        <v>MOBILECARE - LIMA ESTATE</v>
      </c>
      <c r="D5452" s="2" t="str">
        <f>IFERROR(__xludf.DUMMYFUNCTION("""COMPUTED_VALUE"""),"661-44797")</f>
        <v>661-44797</v>
      </c>
      <c r="E5452" s="2" t="str">
        <f>IFERROR(__xludf.DUMMYFUNCTION("""COMPUTED_VALUE"""),"Display, iPhone 16")</f>
        <v>Display, iPhone 16</v>
      </c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</row>
    <row r="5453">
      <c r="A5453" s="10" t="str">
        <f t="shared" si="1"/>
        <v>May</v>
      </c>
      <c r="B5453" s="11">
        <f>IFERROR(__xludf.DUMMYFUNCTION("""COMPUTED_VALUE"""),46151.0)</f>
        <v>46151</v>
      </c>
      <c r="C5453" s="2" t="str">
        <f>IFERROR(__xludf.DUMMYFUNCTION("""COMPUTED_VALUE"""),"MOBILECARE - LIMA ESTATE")</f>
        <v>MOBILECARE - LIMA ESTATE</v>
      </c>
      <c r="D5453" s="2" t="str">
        <f>IFERROR(__xludf.DUMMYFUNCTION("""COMPUTED_VALUE"""),"661-21991")</f>
        <v>661-21991</v>
      </c>
      <c r="E5453" s="2" t="str">
        <f>IFERROR(__xludf.DUMMYFUNCTION("""COMPUTED_VALUE"""),"Battery, iPhone 13")</f>
        <v>Battery, iPhone 13</v>
      </c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</row>
    <row r="5454">
      <c r="A5454" s="10" t="str">
        <f t="shared" si="1"/>
        <v>June</v>
      </c>
      <c r="B5454" s="11">
        <f>IFERROR(__xludf.DUMMYFUNCTION("""COMPUTED_VALUE"""),46176.0)</f>
        <v>46176</v>
      </c>
      <c r="C5454" s="2" t="str">
        <f>IFERROR(__xludf.DUMMYFUNCTION("""COMPUTED_VALUE"""),"MOBILECARE - LIMA ESTATE")</f>
        <v>MOBILECARE - LIMA ESTATE</v>
      </c>
      <c r="D5454" s="2" t="str">
        <f>IFERROR(__xludf.DUMMYFUNCTION("""COMPUTED_VALUE"""),"TA661-44055")</f>
        <v>TA661-44055</v>
      </c>
      <c r="E5454" s="2" t="str">
        <f>IFERROR(__xludf.DUMMYFUNCTION("""COMPUTED_VALUE"""),"256GB, Black, ROW, iPhone 16 Plus, CI/AR")</f>
        <v>256GB, Black, ROW, iPhone 16 Plus, CI/AR</v>
      </c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</row>
    <row r="5455">
      <c r="A5455" s="10" t="str">
        <f t="shared" si="1"/>
        <v>April</v>
      </c>
      <c r="B5455" s="11">
        <f>IFERROR(__xludf.DUMMYFUNCTION("""COMPUTED_VALUE"""),46137.0)</f>
        <v>46137</v>
      </c>
      <c r="C5455" s="2" t="str">
        <f>IFERROR(__xludf.DUMMYFUNCTION("""COMPUTED_VALUE"""),"MOBILECARE - LIMA ESTATE")</f>
        <v>MOBILECARE - LIMA ESTATE</v>
      </c>
      <c r="D5455" s="2" t="str">
        <f>IFERROR(__xludf.DUMMYFUNCTION("""COMPUTED_VALUE"""),"661-21991")</f>
        <v>661-21991</v>
      </c>
      <c r="E5455" s="2" t="str">
        <f>IFERROR(__xludf.DUMMYFUNCTION("""COMPUTED_VALUE"""),"Battery, iPhone 13")</f>
        <v>Battery, iPhone 13</v>
      </c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</row>
    <row r="5456">
      <c r="A5456" s="10" t="str">
        <f t="shared" si="1"/>
        <v>April</v>
      </c>
      <c r="B5456" s="11">
        <f>IFERROR(__xludf.DUMMYFUNCTION("""COMPUTED_VALUE"""),46136.0)</f>
        <v>46136</v>
      </c>
      <c r="C5456" s="2" t="str">
        <f>IFERROR(__xludf.DUMMYFUNCTION("""COMPUTED_VALUE"""),"MOBILECARE - LIMA ESTATE")</f>
        <v>MOBILECARE - LIMA ESTATE</v>
      </c>
      <c r="D5456" s="2" t="str">
        <f>IFERROR(__xludf.DUMMYFUNCTION("""COMPUTED_VALUE"""),"Z661-55958")</f>
        <v>Z661-55958</v>
      </c>
      <c r="E5456" s="2" t="str">
        <f>IFERROR(__xludf.DUMMYFUNCTION("""COMPUTED_VALUE"""),"Logic Board, 1TB, iPhone 17 Pro Max, ROW")</f>
        <v>Logic Board, 1TB, iPhone 17 Pro Max, ROW</v>
      </c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</row>
    <row r="5457">
      <c r="A5457" s="10" t="str">
        <f t="shared" si="1"/>
        <v>February</v>
      </c>
      <c r="B5457" s="11">
        <f>IFERROR(__xludf.DUMMYFUNCTION("""COMPUTED_VALUE"""),46061.0)</f>
        <v>46061</v>
      </c>
      <c r="C5457" s="2" t="str">
        <f>IFERROR(__xludf.DUMMYFUNCTION("""COMPUTED_VALUE"""),"MOBILECARE - LIMA ESTATE")</f>
        <v>MOBILECARE - LIMA ESTATE</v>
      </c>
      <c r="D5457" s="2" t="str">
        <f>IFERROR(__xludf.DUMMYFUNCTION("""COMPUTED_VALUE"""),"661-22309")</f>
        <v>661-22309</v>
      </c>
      <c r="E5457" s="2" t="str">
        <f>IFERROR(__xludf.DUMMYFUNCTION("""COMPUTED_VALUE"""),"Display, iPhone 13 Pro Max")</f>
        <v>Display, iPhone 13 Pro Max</v>
      </c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</row>
    <row r="5458">
      <c r="A5458" s="10" t="str">
        <f t="shared" si="1"/>
        <v>February</v>
      </c>
      <c r="B5458" s="11">
        <f>IFERROR(__xludf.DUMMYFUNCTION("""COMPUTED_VALUE"""),46067.0)</f>
        <v>46067</v>
      </c>
      <c r="C5458" s="2" t="str">
        <f>IFERROR(__xludf.DUMMYFUNCTION("""COMPUTED_VALUE"""),"MOBILECARE - LIMA ESTATE")</f>
        <v>MOBILECARE - LIMA ESTATE</v>
      </c>
      <c r="D5458" s="2" t="str">
        <f>IFERROR(__xludf.DUMMYFUNCTION("""COMPUTED_VALUE"""),"PP661-23454")</f>
        <v>PP661-23454</v>
      </c>
      <c r="E5458" s="2" t="str">
        <f>IFERROR(__xludf.DUMMYFUNCTION("""COMPUTED_VALUE"""),"iPhone 13, Midnight, 128GB, Logic Board Assy Rear System, ROW")</f>
        <v>iPhone 13, Midnight, 128GB, Logic Board Assy Rear System, ROW</v>
      </c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</row>
    <row r="5459">
      <c r="A5459" s="10" t="str">
        <f t="shared" si="1"/>
        <v>June</v>
      </c>
      <c r="B5459" s="11">
        <f>IFERROR(__xludf.DUMMYFUNCTION("""COMPUTED_VALUE"""),46179.0)</f>
        <v>46179</v>
      </c>
      <c r="C5459" s="2" t="str">
        <f>IFERROR(__xludf.DUMMYFUNCTION("""COMPUTED_VALUE"""),"MOBILECARE - LIMA ESTATE")</f>
        <v>MOBILECARE - LIMA ESTATE</v>
      </c>
      <c r="D5459" s="2" t="str">
        <f>IFERROR(__xludf.DUMMYFUNCTION("""COMPUTED_VALUE"""),"Z661-56015")</f>
        <v>Z661-56015</v>
      </c>
      <c r="E5459" s="2" t="str">
        <f>IFERROR(__xludf.DUMMYFUNCTION("""COMPUTED_VALUE"""),"Logic Board, 256GB, iPhone 17, ROW")</f>
        <v>Logic Board, 256GB, iPhone 17, ROW</v>
      </c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</row>
    <row r="5460">
      <c r="A5460" s="10" t="str">
        <f t="shared" si="1"/>
        <v>May</v>
      </c>
      <c r="B5460" s="11">
        <f>IFERROR(__xludf.DUMMYFUNCTION("""COMPUTED_VALUE"""),46157.0)</f>
        <v>46157</v>
      </c>
      <c r="C5460" s="2" t="str">
        <f>IFERROR(__xludf.DUMMYFUNCTION("""COMPUTED_VALUE"""),"MOBILECARE - LIMA ESTATE")</f>
        <v>MOBILECARE - LIMA ESTATE</v>
      </c>
      <c r="D5460" s="2" t="str">
        <f>IFERROR(__xludf.DUMMYFUNCTION("""COMPUTED_VALUE"""),"661-44955")</f>
        <v>661-44955</v>
      </c>
      <c r="E5460" s="2" t="str">
        <f>IFERROR(__xludf.DUMMYFUNCTION("""COMPUTED_VALUE"""),"Display, iPhone 16 Pro Max")</f>
        <v>Display, iPhone 16 Pro Max</v>
      </c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</row>
    <row r="5461">
      <c r="A5461" s="10" t="str">
        <f t="shared" si="1"/>
        <v>May</v>
      </c>
      <c r="B5461" s="11">
        <f>IFERROR(__xludf.DUMMYFUNCTION("""COMPUTED_VALUE"""),46144.0)</f>
        <v>46144</v>
      </c>
      <c r="C5461" s="2" t="str">
        <f>IFERROR(__xludf.DUMMYFUNCTION("""COMPUTED_VALUE"""),"MOBILECARE - LIMA ESTATE")</f>
        <v>MOBILECARE - LIMA ESTATE</v>
      </c>
      <c r="D5461" s="2" t="str">
        <f>IFERROR(__xludf.DUMMYFUNCTION("""COMPUTED_VALUE"""),"661-30366")</f>
        <v>661-30366</v>
      </c>
      <c r="E5461" s="2" t="str">
        <f>IFERROR(__xludf.DUMMYFUNCTION("""COMPUTED_VALUE"""),"Display, iPhone 14")</f>
        <v>Display, iPhone 14</v>
      </c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</row>
    <row r="5462">
      <c r="A5462" s="10" t="str">
        <f t="shared" si="1"/>
        <v>April</v>
      </c>
      <c r="B5462" s="11">
        <f>IFERROR(__xludf.DUMMYFUNCTION("""COMPUTED_VALUE"""),46120.0)</f>
        <v>46120</v>
      </c>
      <c r="C5462" s="2" t="str">
        <f>IFERROR(__xludf.DUMMYFUNCTION("""COMPUTED_VALUE"""),"MOBILECARE - LIMA ESTATE")</f>
        <v>MOBILECARE - LIMA ESTATE</v>
      </c>
      <c r="D5462" s="2" t="str">
        <f>IFERROR(__xludf.DUMMYFUNCTION("""COMPUTED_VALUE"""),"661-44955")</f>
        <v>661-44955</v>
      </c>
      <c r="E5462" s="2" t="str">
        <f>IFERROR(__xludf.DUMMYFUNCTION("""COMPUTED_VALUE"""),"Display, iPhone 16 Pro Max")</f>
        <v>Display, iPhone 16 Pro Max</v>
      </c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</row>
    <row r="5463">
      <c r="A5463" s="10" t="str">
        <f t="shared" si="1"/>
        <v>April</v>
      </c>
      <c r="B5463" s="11">
        <f>IFERROR(__xludf.DUMMYFUNCTION("""COMPUTED_VALUE"""),46134.0)</f>
        <v>46134</v>
      </c>
      <c r="C5463" s="2" t="str">
        <f>IFERROR(__xludf.DUMMYFUNCTION("""COMPUTED_VALUE"""),"MOBILECARE - LIMA ESTATE")</f>
        <v>MOBILECARE - LIMA ESTATE</v>
      </c>
      <c r="D5463" s="2" t="str">
        <f>IFERROR(__xludf.DUMMYFUNCTION("""COMPUTED_VALUE"""),"PP661-23454")</f>
        <v>PP661-23454</v>
      </c>
      <c r="E5463" s="2" t="str">
        <f>IFERROR(__xludf.DUMMYFUNCTION("""COMPUTED_VALUE"""),"iPhone 13, Midnight, 128GB, Logic Board Assy Rear System, ROW")</f>
        <v>iPhone 13, Midnight, 128GB, Logic Board Assy Rear System, ROW</v>
      </c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</row>
    <row r="5464">
      <c r="A5464" s="10" t="str">
        <f t="shared" si="1"/>
        <v>February</v>
      </c>
      <c r="B5464" s="11">
        <f>IFERROR(__xludf.DUMMYFUNCTION("""COMPUTED_VALUE"""),46078.0)</f>
        <v>46078</v>
      </c>
      <c r="C5464" s="2" t="str">
        <f>IFERROR(__xludf.DUMMYFUNCTION("""COMPUTED_VALUE"""),"MOBILECARE - LIMA ESTATE")</f>
        <v>MOBILECARE - LIMA ESTATE</v>
      </c>
      <c r="D5464" s="2" t="str">
        <f>IFERROR(__xludf.DUMMYFUNCTION("""COMPUTED_VALUE"""),"661-36706")</f>
        <v>661-36706</v>
      </c>
      <c r="E5464" s="2" t="str">
        <f>IFERROR(__xludf.DUMMYFUNCTION("""COMPUTED_VALUE"""),"Display, iPhone 15")</f>
        <v>Display, iPhone 15</v>
      </c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</row>
    <row r="5465">
      <c r="A5465" s="10" t="str">
        <f t="shared" si="1"/>
        <v>February</v>
      </c>
      <c r="B5465" s="11">
        <f>IFERROR(__xludf.DUMMYFUNCTION("""COMPUTED_VALUE"""),46078.0)</f>
        <v>46078</v>
      </c>
      <c r="C5465" s="2" t="str">
        <f>IFERROR(__xludf.DUMMYFUNCTION("""COMPUTED_VALUE"""),"MOBILECARE - LIMA ESTATE")</f>
        <v>MOBILECARE - LIMA ESTATE</v>
      </c>
      <c r="D5465" s="2" t="str">
        <f>IFERROR(__xludf.DUMMYFUNCTION("""COMPUTED_VALUE"""),"661-36706")</f>
        <v>661-36706</v>
      </c>
      <c r="E5465" s="2" t="str">
        <f>IFERROR(__xludf.DUMMYFUNCTION("""COMPUTED_VALUE"""),"Display, iPhone 15")</f>
        <v>Display, iPhone 15</v>
      </c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</row>
    <row r="5466">
      <c r="A5466" s="10" t="str">
        <f t="shared" si="1"/>
        <v>February</v>
      </c>
      <c r="B5466" s="11">
        <f>IFERROR(__xludf.DUMMYFUNCTION("""COMPUTED_VALUE"""),46078.0)</f>
        <v>46078</v>
      </c>
      <c r="C5466" s="2" t="str">
        <f>IFERROR(__xludf.DUMMYFUNCTION("""COMPUTED_VALUE"""),"MOBILECARE - LIMA ESTATE")</f>
        <v>MOBILECARE - LIMA ESTATE</v>
      </c>
      <c r="D5466" s="2" t="str">
        <f>IFERROR(__xludf.DUMMYFUNCTION("""COMPUTED_VALUE"""),"661-44797")</f>
        <v>661-44797</v>
      </c>
      <c r="E5466" s="2" t="str">
        <f>IFERROR(__xludf.DUMMYFUNCTION("""COMPUTED_VALUE"""),"Display, iPhone 16")</f>
        <v>Display, iPhone 16</v>
      </c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</row>
    <row r="5467">
      <c r="A5467" s="10" t="str">
        <f t="shared" si="1"/>
        <v>February</v>
      </c>
      <c r="B5467" s="11">
        <f>IFERROR(__xludf.DUMMYFUNCTION("""COMPUTED_VALUE"""),46068.0)</f>
        <v>46068</v>
      </c>
      <c r="C5467" s="2" t="str">
        <f>IFERROR(__xludf.DUMMYFUNCTION("""COMPUTED_VALUE"""),"MOBILECARE - LIMA ESTATE")</f>
        <v>MOBILECARE - LIMA ESTATE</v>
      </c>
      <c r="D5467" s="2" t="str">
        <f>IFERROR(__xludf.DUMMYFUNCTION("""COMPUTED_VALUE"""),"661-23878")</f>
        <v>661-23878</v>
      </c>
      <c r="E5467" s="2" t="str">
        <f>IFERROR(__xludf.DUMMYFUNCTION("""COMPUTED_VALUE"""),"TrueDepth Camera, iPhone 13")</f>
        <v>TrueDepth Camera, iPhone 13</v>
      </c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</row>
    <row r="5468">
      <c r="A5468" s="10" t="str">
        <f t="shared" si="1"/>
        <v>January</v>
      </c>
      <c r="B5468" s="11">
        <f>IFERROR(__xludf.DUMMYFUNCTION("""COMPUTED_VALUE"""),46052.0)</f>
        <v>46052</v>
      </c>
      <c r="C5468" s="2" t="str">
        <f>IFERROR(__xludf.DUMMYFUNCTION("""COMPUTED_VALUE"""),"MOBILECARE - LIMA ESTATE")</f>
        <v>MOBILECARE - LIMA ESTATE</v>
      </c>
      <c r="D5468" s="2" t="str">
        <f>IFERROR(__xludf.DUMMYFUNCTION("""COMPUTED_VALUE"""),"661-30397")</f>
        <v>661-30397</v>
      </c>
      <c r="E5468" s="2" t="str">
        <f>IFERROR(__xludf.DUMMYFUNCTION("""COMPUTED_VALUE"""),"Battery, iPhone 14 Pro Max")</f>
        <v>Battery, iPhone 14 Pro Max</v>
      </c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</row>
    <row r="5469">
      <c r="A5469" s="10" t="str">
        <f t="shared" si="1"/>
        <v>January</v>
      </c>
      <c r="B5469" s="11">
        <f>IFERROR(__xludf.DUMMYFUNCTION("""COMPUTED_VALUE"""),46050.0)</f>
        <v>46050</v>
      </c>
      <c r="C5469" s="2" t="str">
        <f>IFERROR(__xludf.DUMMYFUNCTION("""COMPUTED_VALUE"""),"MOBILECARE - LIMA ESTATE")</f>
        <v>MOBILECARE - LIMA ESTATE</v>
      </c>
      <c r="D5469" s="2" t="str">
        <f>IFERROR(__xludf.DUMMYFUNCTION("""COMPUTED_VALUE"""),"661-30382")</f>
        <v>661-30382</v>
      </c>
      <c r="E5469" s="2" t="str">
        <f>IFERROR(__xludf.DUMMYFUNCTION("""COMPUTED_VALUE"""),"Battery, iPhone 14 Pro")</f>
        <v>Battery, iPhone 14 Pro</v>
      </c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</row>
    <row r="5470">
      <c r="A5470" s="10" t="str">
        <f t="shared" si="1"/>
        <v>February</v>
      </c>
      <c r="B5470" s="11">
        <f>IFERROR(__xludf.DUMMYFUNCTION("""COMPUTED_VALUE"""),46061.0)</f>
        <v>46061</v>
      </c>
      <c r="C5470" s="2" t="str">
        <f>IFERROR(__xludf.DUMMYFUNCTION("""COMPUTED_VALUE"""),"MOBILECARE - LIMA ESTATE")</f>
        <v>MOBILECARE - LIMA ESTATE</v>
      </c>
      <c r="D5470" s="2" t="str">
        <f>IFERROR(__xludf.DUMMYFUNCTION("""COMPUTED_VALUE"""),"PP661-23455")</f>
        <v>PP661-23455</v>
      </c>
      <c r="E5470" s="2" t="str">
        <f>IFERROR(__xludf.DUMMYFUNCTION("""COMPUTED_VALUE"""),"iPhone 13, Starlight, 128GB, Logic Board Assy Rear System, ROW")</f>
        <v>iPhone 13, Starlight, 128GB, Logic Board Assy Rear System, ROW</v>
      </c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</row>
    <row r="5471">
      <c r="A5471" s="10" t="str">
        <f t="shared" si="1"/>
        <v>February</v>
      </c>
      <c r="B5471" s="11">
        <f>IFERROR(__xludf.DUMMYFUNCTION("""COMPUTED_VALUE"""),46058.0)</f>
        <v>46058</v>
      </c>
      <c r="C5471" s="2" t="str">
        <f>IFERROR(__xludf.DUMMYFUNCTION("""COMPUTED_VALUE"""),"MOBILECARE - LIMA ESTATE")</f>
        <v>MOBILECARE - LIMA ESTATE</v>
      </c>
      <c r="D5471" s="2" t="str">
        <f>IFERROR(__xludf.DUMMYFUNCTION("""COMPUTED_VALUE"""),"PP661-23455")</f>
        <v>PP661-23455</v>
      </c>
      <c r="E5471" s="2" t="str">
        <f>IFERROR(__xludf.DUMMYFUNCTION("""COMPUTED_VALUE"""),"iPhone 13, Starlight, 128GB, Logic Board Assy Rear System, ROW")</f>
        <v>iPhone 13, Starlight, 128GB, Logic Board Assy Rear System, ROW</v>
      </c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</row>
    <row r="5472">
      <c r="A5472" s="10" t="str">
        <f t="shared" si="1"/>
        <v>February</v>
      </c>
      <c r="B5472" s="11">
        <f>IFERROR(__xludf.DUMMYFUNCTION("""COMPUTED_VALUE"""),46060.0)</f>
        <v>46060</v>
      </c>
      <c r="C5472" s="2" t="str">
        <f>IFERROR(__xludf.DUMMYFUNCTION("""COMPUTED_VALUE"""),"MOBILECARE - LIMA ESTATE")</f>
        <v>MOBILECARE - LIMA ESTATE</v>
      </c>
      <c r="D5472" s="2" t="str">
        <f>IFERROR(__xludf.DUMMYFUNCTION("""COMPUTED_VALUE"""),"TA661-45325")</f>
        <v>TA661-45325</v>
      </c>
      <c r="E5472" s="2" t="str">
        <f>IFERROR(__xludf.DUMMYFUNCTION("""COMPUTED_VALUE"""),"512GB, Black Titanium, ROW, iPhone 16 Pro Max, Logic Board Assy Mid Syst")</f>
        <v>512GB, Black Titanium, ROW, iPhone 16 Pro Max, Logic Board Assy Mid Syst</v>
      </c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</row>
    <row r="5473">
      <c r="A5473" s="10" t="str">
        <f t="shared" si="1"/>
        <v>May</v>
      </c>
      <c r="B5473" s="11">
        <f>IFERROR(__xludf.DUMMYFUNCTION("""COMPUTED_VALUE"""),46153.0)</f>
        <v>46153</v>
      </c>
      <c r="C5473" s="2" t="str">
        <f>IFERROR(__xludf.DUMMYFUNCTION("""COMPUTED_VALUE"""),"MOBILECARE - LIMA ESTATE")</f>
        <v>MOBILECARE - LIMA ESTATE</v>
      </c>
      <c r="D5473" s="2" t="str">
        <f>IFERROR(__xludf.DUMMYFUNCTION("""COMPUTED_VALUE"""),"661-21991")</f>
        <v>661-21991</v>
      </c>
      <c r="E5473" s="2" t="str">
        <f>IFERROR(__xludf.DUMMYFUNCTION("""COMPUTED_VALUE"""),"Battery, iPhone 13")</f>
        <v>Battery, iPhone 13</v>
      </c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</row>
    <row r="5474">
      <c r="A5474" s="10" t="str">
        <f t="shared" si="1"/>
        <v>May</v>
      </c>
      <c r="B5474" s="11">
        <f>IFERROR(__xludf.DUMMYFUNCTION("""COMPUTED_VALUE"""),46161.0)</f>
        <v>46161</v>
      </c>
      <c r="C5474" s="2" t="str">
        <f>IFERROR(__xludf.DUMMYFUNCTION("""COMPUTED_VALUE"""),"MOBILECARE - LIMA ESTATE")</f>
        <v>MOBILECARE - LIMA ESTATE</v>
      </c>
      <c r="D5474" s="2" t="str">
        <f>IFERROR(__xludf.DUMMYFUNCTION("""COMPUTED_VALUE"""),"661-35828")</f>
        <v>661-35828</v>
      </c>
      <c r="E5474" s="2" t="str">
        <f>IFERROR(__xludf.DUMMYFUNCTION("""COMPUTED_VALUE"""),"Camera, iPhone 15")</f>
        <v>Camera, iPhone 15</v>
      </c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</row>
    <row r="5475">
      <c r="A5475" s="10" t="str">
        <f t="shared" si="1"/>
        <v>May</v>
      </c>
      <c r="B5475" s="11">
        <f>IFERROR(__xludf.DUMMYFUNCTION("""COMPUTED_VALUE"""),46161.0)</f>
        <v>46161</v>
      </c>
      <c r="C5475" s="2" t="str">
        <f>IFERROR(__xludf.DUMMYFUNCTION("""COMPUTED_VALUE"""),"MOBILECARE - LIMA ESTATE")</f>
        <v>MOBILECARE - LIMA ESTATE</v>
      </c>
      <c r="D5475" s="2" t="str">
        <f>IFERROR(__xludf.DUMMYFUNCTION("""COMPUTED_VALUE"""),"661-36829")</f>
        <v>661-36829</v>
      </c>
      <c r="E5475" s="2" t="str">
        <f>IFERROR(__xludf.DUMMYFUNCTION("""COMPUTED_VALUE"""),"TrueDepth Camera, iPhone 15")</f>
        <v>TrueDepth Camera, iPhone 15</v>
      </c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</row>
    <row r="5476">
      <c r="A5476" s="10" t="str">
        <f t="shared" si="1"/>
        <v>May</v>
      </c>
      <c r="B5476" s="11">
        <f>IFERROR(__xludf.DUMMYFUNCTION("""COMPUTED_VALUE"""),46161.0)</f>
        <v>46161</v>
      </c>
      <c r="C5476" s="2" t="str">
        <f>IFERROR(__xludf.DUMMYFUNCTION("""COMPUTED_VALUE"""),"MOBILECARE - LIMA ESTATE")</f>
        <v>MOBILECARE - LIMA ESTATE</v>
      </c>
      <c r="D5476" s="2" t="str">
        <f>IFERROR(__xludf.DUMMYFUNCTION("""COMPUTED_VALUE"""),"661-36706")</f>
        <v>661-36706</v>
      </c>
      <c r="E5476" s="2" t="str">
        <f>IFERROR(__xludf.DUMMYFUNCTION("""COMPUTED_VALUE"""),"Display, iPhone 15")</f>
        <v>Display, iPhone 15</v>
      </c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</row>
    <row r="5477">
      <c r="A5477" s="10" t="str">
        <f t="shared" si="1"/>
        <v>May</v>
      </c>
      <c r="B5477" s="11">
        <f>IFERROR(__xludf.DUMMYFUNCTION("""COMPUTED_VALUE"""),46143.0)</f>
        <v>46143</v>
      </c>
      <c r="C5477" s="2" t="str">
        <f>IFERROR(__xludf.DUMMYFUNCTION("""COMPUTED_VALUE"""),"MOBILECARE - LIMA ESTATE")</f>
        <v>MOBILECARE - LIMA ESTATE</v>
      </c>
      <c r="D5477" s="2" t="str">
        <f>IFERROR(__xludf.DUMMYFUNCTION("""COMPUTED_VALUE"""),"661-30393")</f>
        <v>661-30393</v>
      </c>
      <c r="E5477" s="2" t="str">
        <f>IFERROR(__xludf.DUMMYFUNCTION("""COMPUTED_VALUE"""),"Camera, iPhone 14 Plus")</f>
        <v>Camera, iPhone 14 Plus</v>
      </c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</row>
    <row r="5478">
      <c r="A5478" s="10" t="str">
        <f t="shared" si="1"/>
        <v>May</v>
      </c>
      <c r="B5478" s="11">
        <f>IFERROR(__xludf.DUMMYFUNCTION("""COMPUTED_VALUE"""),46149.0)</f>
        <v>46149</v>
      </c>
      <c r="C5478" s="2" t="str">
        <f>IFERROR(__xludf.DUMMYFUNCTION("""COMPUTED_VALUE"""),"MOBILECARE - LIMA ESTATE")</f>
        <v>MOBILECARE - LIMA ESTATE</v>
      </c>
      <c r="D5478" s="2" t="str">
        <f>IFERROR(__xludf.DUMMYFUNCTION("""COMPUTED_VALUE"""),"TA661-36898")</f>
        <v>TA661-36898</v>
      </c>
      <c r="E5478" s="2" t="str">
        <f>IFERROR(__xludf.DUMMYFUNCTION("""COMPUTED_VALUE"""),"Black, iPhone 15 Pro Max, 512GB, ROW, CI/AR, Taiwan")</f>
        <v>Black, iPhone 15 Pro Max, 512GB, ROW, CI/AR, Taiwan</v>
      </c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</row>
    <row r="5479">
      <c r="A5479" s="10" t="str">
        <f t="shared" si="1"/>
        <v>April</v>
      </c>
      <c r="B5479" s="11">
        <f>IFERROR(__xludf.DUMMYFUNCTION("""COMPUTED_VALUE"""),46128.0)</f>
        <v>46128</v>
      </c>
      <c r="C5479" s="2" t="str">
        <f>IFERROR(__xludf.DUMMYFUNCTION("""COMPUTED_VALUE"""),"MOBILECARE - LIMA ESTATE")</f>
        <v>MOBILECARE - LIMA ESTATE</v>
      </c>
      <c r="D5479" s="2" t="str">
        <f>IFERROR(__xludf.DUMMYFUNCTION("""COMPUTED_VALUE"""),"661-30366")</f>
        <v>661-30366</v>
      </c>
      <c r="E5479" s="2" t="str">
        <f>IFERROR(__xludf.DUMMYFUNCTION("""COMPUTED_VALUE"""),"Display, iPhone 14")</f>
        <v>Display, iPhone 14</v>
      </c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</row>
    <row r="5480">
      <c r="A5480" s="10" t="str">
        <f t="shared" si="1"/>
        <v>April</v>
      </c>
      <c r="B5480" s="11">
        <f>IFERROR(__xludf.DUMMYFUNCTION("""COMPUTED_VALUE"""),46125.0)</f>
        <v>46125</v>
      </c>
      <c r="C5480" s="2" t="str">
        <f>IFERROR(__xludf.DUMMYFUNCTION("""COMPUTED_VALUE"""),"MOBILECARE - LIMA ESTATE")</f>
        <v>MOBILECARE - LIMA ESTATE</v>
      </c>
      <c r="D5480" s="2" t="str">
        <f>IFERROR(__xludf.DUMMYFUNCTION("""COMPUTED_VALUE"""),"PP661-23454")</f>
        <v>PP661-23454</v>
      </c>
      <c r="E5480" s="2" t="str">
        <f>IFERROR(__xludf.DUMMYFUNCTION("""COMPUTED_VALUE"""),"iPhone 13, Midnight, 128GB, Logic Board Assy Rear System, ROW")</f>
        <v>iPhone 13, Midnight, 128GB, Logic Board Assy Rear System, ROW</v>
      </c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</row>
    <row r="5481">
      <c r="A5481" s="10" t="str">
        <f t="shared" si="1"/>
        <v>March</v>
      </c>
      <c r="B5481" s="11">
        <f>IFERROR(__xludf.DUMMYFUNCTION("""COMPUTED_VALUE"""),46092.0)</f>
        <v>46092</v>
      </c>
      <c r="C5481" s="2" t="str">
        <f>IFERROR(__xludf.DUMMYFUNCTION("""COMPUTED_VALUE"""),"MOBILECARE - LIMA ESTATE")</f>
        <v>MOBILECARE - LIMA ESTATE</v>
      </c>
      <c r="D5481" s="2" t="str">
        <f>IFERROR(__xludf.DUMMYFUNCTION("""COMPUTED_VALUE"""),"661-30394")</f>
        <v>661-30394</v>
      </c>
      <c r="E5481" s="2" t="str">
        <f>IFERROR(__xludf.DUMMYFUNCTION("""COMPUTED_VALUE"""),"Battery, iPhone 14 Plus")</f>
        <v>Battery, iPhone 14 Plus</v>
      </c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</row>
    <row r="5482">
      <c r="A5482" s="10" t="str">
        <f t="shared" si="1"/>
        <v>March</v>
      </c>
      <c r="B5482" s="11">
        <f>IFERROR(__xludf.DUMMYFUNCTION("""COMPUTED_VALUE"""),46092.0)</f>
        <v>46092</v>
      </c>
      <c r="C5482" s="2" t="str">
        <f>IFERROR(__xludf.DUMMYFUNCTION("""COMPUTED_VALUE"""),"MOBILECARE - LIMA ESTATE")</f>
        <v>MOBILECARE - LIMA ESTATE</v>
      </c>
      <c r="D5482" s="2" t="str">
        <f>IFERROR(__xludf.DUMMYFUNCTION("""COMPUTED_VALUE"""),"661-21991")</f>
        <v>661-21991</v>
      </c>
      <c r="E5482" s="2" t="str">
        <f>IFERROR(__xludf.DUMMYFUNCTION("""COMPUTED_VALUE"""),"Battery, iPhone 13")</f>
        <v>Battery, iPhone 13</v>
      </c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</row>
    <row r="5483">
      <c r="A5483" s="10" t="str">
        <f t="shared" si="1"/>
        <v>March</v>
      </c>
      <c r="B5483" s="11">
        <f>IFERROR(__xludf.DUMMYFUNCTION("""COMPUTED_VALUE"""),46095.0)</f>
        <v>46095</v>
      </c>
      <c r="C5483" s="2" t="str">
        <f>IFERROR(__xludf.DUMMYFUNCTION("""COMPUTED_VALUE"""),"MOBILECARE - LIMA ESTATE")</f>
        <v>MOBILECARE - LIMA ESTATE</v>
      </c>
      <c r="D5483" s="2" t="str">
        <f>IFERROR(__xludf.DUMMYFUNCTION("""COMPUTED_VALUE"""),"661-17920")</f>
        <v>661-17920</v>
      </c>
      <c r="E5483" s="2" t="str">
        <f>IFERROR(__xludf.DUMMYFUNCTION("""COMPUTED_VALUE"""),"Battery, iPhone 12 and 12 Pro")</f>
        <v>Battery, iPhone 12 and 12 Pro</v>
      </c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</row>
    <row r="5484">
      <c r="A5484" s="10" t="str">
        <f t="shared" si="1"/>
        <v>March</v>
      </c>
      <c r="B5484" s="11">
        <f>IFERROR(__xludf.DUMMYFUNCTION("""COMPUTED_VALUE"""),46095.0)</f>
        <v>46095</v>
      </c>
      <c r="C5484" s="2" t="str">
        <f>IFERROR(__xludf.DUMMYFUNCTION("""COMPUTED_VALUE"""),"MOBILECARE - LIMA ESTATE")</f>
        <v>MOBILECARE - LIMA ESTATE</v>
      </c>
      <c r="D5484" s="2" t="str">
        <f>IFERROR(__xludf.DUMMYFUNCTION("""COMPUTED_VALUE"""),"661-18503")</f>
        <v>661-18503</v>
      </c>
      <c r="E5484" s="2" t="str">
        <f>IFERROR(__xludf.DUMMYFUNCTION("""COMPUTED_VALUE"""),"Display, iPhone 12")</f>
        <v>Display, iPhone 12</v>
      </c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</row>
    <row r="5485">
      <c r="A5485" s="10" t="str">
        <f t="shared" si="1"/>
        <v>February</v>
      </c>
      <c r="B5485" s="11">
        <f>IFERROR(__xludf.DUMMYFUNCTION("""COMPUTED_VALUE"""),46059.0)</f>
        <v>46059</v>
      </c>
      <c r="C5485" s="2" t="str">
        <f>IFERROR(__xludf.DUMMYFUNCTION("""COMPUTED_VALUE"""),"MOBILECARE - LIMA ESTATE")</f>
        <v>MOBILECARE - LIMA ESTATE</v>
      </c>
      <c r="D5485" s="2" t="str">
        <f>IFERROR(__xludf.DUMMYFUNCTION("""COMPUTED_VALUE"""),"661-22309")</f>
        <v>661-22309</v>
      </c>
      <c r="E5485" s="2" t="str">
        <f>IFERROR(__xludf.DUMMYFUNCTION("""COMPUTED_VALUE"""),"Display, iPhone 13 Pro Max")</f>
        <v>Display, iPhone 13 Pro Max</v>
      </c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</row>
    <row r="5486">
      <c r="A5486" s="10" t="str">
        <f t="shared" si="1"/>
        <v>January</v>
      </c>
      <c r="B5486" s="11">
        <f>IFERROR(__xludf.DUMMYFUNCTION("""COMPUTED_VALUE"""),46053.0)</f>
        <v>46053</v>
      </c>
      <c r="C5486" s="2" t="str">
        <f>IFERROR(__xludf.DUMMYFUNCTION("""COMPUTED_VALUE"""),"MOBILECARE - LIMA ESTATE")</f>
        <v>MOBILECARE - LIMA ESTATE</v>
      </c>
      <c r="D5486" s="2" t="str">
        <f>IFERROR(__xludf.DUMMYFUNCTION("""COMPUTED_VALUE"""),"661-42726")</f>
        <v>661-42726</v>
      </c>
      <c r="E5486" s="2" t="str">
        <f>IFERROR(__xludf.DUMMYFUNCTION("""COMPUTED_VALUE"""),"Display, iPhone 16 Pro")</f>
        <v>Display, iPhone 16 Pro</v>
      </c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</row>
    <row r="5487">
      <c r="A5487" s="10" t="str">
        <f t="shared" si="1"/>
        <v>January</v>
      </c>
      <c r="B5487" s="11">
        <f>IFERROR(__xludf.DUMMYFUNCTION("""COMPUTED_VALUE"""),46051.0)</f>
        <v>46051</v>
      </c>
      <c r="C5487" s="2" t="str">
        <f>IFERROR(__xludf.DUMMYFUNCTION("""COMPUTED_VALUE"""),"MOBILECARE - LIMA ESTATE")</f>
        <v>MOBILECARE - LIMA ESTATE</v>
      </c>
      <c r="D5487" s="2" t="str">
        <f>IFERROR(__xludf.DUMMYFUNCTION("""COMPUTED_VALUE"""),"661-21991")</f>
        <v>661-21991</v>
      </c>
      <c r="E5487" s="2" t="str">
        <f>IFERROR(__xludf.DUMMYFUNCTION("""COMPUTED_VALUE"""),"Battery, iPhone 13")</f>
        <v>Battery, iPhone 13</v>
      </c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</row>
    <row r="5488">
      <c r="A5488" s="10" t="str">
        <f t="shared" si="1"/>
        <v>June</v>
      </c>
      <c r="B5488" s="11">
        <f>IFERROR(__xludf.DUMMYFUNCTION("""COMPUTED_VALUE"""),46190.0)</f>
        <v>46190</v>
      </c>
      <c r="C5488" s="2" t="str">
        <f>IFERROR(__xludf.DUMMYFUNCTION("""COMPUTED_VALUE"""),"MOBILECARE - LIMA ESTATE")</f>
        <v>MOBILECARE - LIMA ESTATE</v>
      </c>
      <c r="D5488" s="2" t="str">
        <f>IFERROR(__xludf.DUMMYFUNCTION("""COMPUTED_VALUE"""),"PP661-28868")</f>
        <v>PP661-28868</v>
      </c>
      <c r="E5488" s="2" t="str">
        <f>IFERROR(__xludf.DUMMYFUNCTION("""COMPUTED_VALUE"""),"iPhone 14, Midnight, 128GB, Logic Board Assy Mid System, ROW")</f>
        <v>iPhone 14, Midnight, 128GB, Logic Board Assy Mid System, ROW</v>
      </c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</row>
    <row r="5489">
      <c r="A5489" s="10" t="str">
        <f t="shared" si="1"/>
        <v>June</v>
      </c>
      <c r="B5489" s="11">
        <f>IFERROR(__xludf.DUMMYFUNCTION("""COMPUTED_VALUE"""),46189.0)</f>
        <v>46189</v>
      </c>
      <c r="C5489" s="2" t="str">
        <f>IFERROR(__xludf.DUMMYFUNCTION("""COMPUTED_VALUE"""),"MOBILECARE - LIMA ESTATE")</f>
        <v>MOBILECARE - LIMA ESTATE</v>
      </c>
      <c r="D5489" s="2" t="str">
        <f>IFERROR(__xludf.DUMMYFUNCTION("""COMPUTED_VALUE"""),"TA661-55281")</f>
        <v>TA661-55281</v>
      </c>
      <c r="E5489" s="2" t="str">
        <f>IFERROR(__xludf.DUMMYFUNCTION("""COMPUTED_VALUE"""),"Mist Blue, 256GB, iPhone 17, ROW, Taiwan, CI/AR")</f>
        <v>Mist Blue, 256GB, iPhone 17, ROW, Taiwan, CI/AR</v>
      </c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</row>
    <row r="5490">
      <c r="A5490" s="10" t="str">
        <f t="shared" si="1"/>
        <v>May</v>
      </c>
      <c r="B5490" s="11">
        <f>IFERROR(__xludf.DUMMYFUNCTION("""COMPUTED_VALUE"""),46151.0)</f>
        <v>46151</v>
      </c>
      <c r="C5490" s="2" t="str">
        <f>IFERROR(__xludf.DUMMYFUNCTION("""COMPUTED_VALUE"""),"MOBILECARE - LIMA ESTATE")</f>
        <v>MOBILECARE - LIMA ESTATE</v>
      </c>
      <c r="D5490" s="2" t="str">
        <f>IFERROR(__xludf.DUMMYFUNCTION("""COMPUTED_VALUE"""),"TA661-36691")</f>
        <v>TA661-36691</v>
      </c>
      <c r="E5490" s="2" t="str">
        <f>IFERROR(__xludf.DUMMYFUNCTION("""COMPUTED_VALUE"""),"iPhone 15, Black, 128GB, Logic Board Assy Mid System, ROW")</f>
        <v>iPhone 15, Black, 128GB, Logic Board Assy Mid System, ROW</v>
      </c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</row>
    <row r="5491">
      <c r="A5491" s="10" t="str">
        <f t="shared" si="1"/>
        <v>March</v>
      </c>
      <c r="B5491" s="11">
        <f>IFERROR(__xludf.DUMMYFUNCTION("""COMPUTED_VALUE"""),46104.0)</f>
        <v>46104</v>
      </c>
      <c r="C5491" s="2" t="str">
        <f>IFERROR(__xludf.DUMMYFUNCTION("""COMPUTED_VALUE"""),"MOBILECARE - LIMA ESTATE")</f>
        <v>MOBILECARE - LIMA ESTATE</v>
      </c>
      <c r="D5491" s="2" t="str">
        <f>IFERROR(__xludf.DUMMYFUNCTION("""COMPUTED_VALUE"""),"TA661-42897")</f>
        <v>TA661-42897</v>
      </c>
      <c r="E5491" s="2" t="str">
        <f>IFERROR(__xludf.DUMMYFUNCTION("""COMPUTED_VALUE"""),"128GB, Black Titanium, ROW, iPhone 16 Pro, CI/AR")</f>
        <v>128GB, Black Titanium, ROW, iPhone 16 Pro, CI/AR</v>
      </c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</row>
    <row r="5492">
      <c r="A5492" s="10" t="str">
        <f t="shared" si="1"/>
        <v>February</v>
      </c>
      <c r="B5492" s="11">
        <f>IFERROR(__xludf.DUMMYFUNCTION("""COMPUTED_VALUE"""),46078.0)</f>
        <v>46078</v>
      </c>
      <c r="C5492" s="2" t="str">
        <f>IFERROR(__xludf.DUMMYFUNCTION("""COMPUTED_VALUE"""),"MOBILECARE - LIMA ESTATE")</f>
        <v>MOBILECARE - LIMA ESTATE</v>
      </c>
      <c r="D5492" s="2" t="str">
        <f>IFERROR(__xludf.DUMMYFUNCTION("""COMPUTED_VALUE"""),"661-44955")</f>
        <v>661-44955</v>
      </c>
      <c r="E5492" s="2" t="str">
        <f>IFERROR(__xludf.DUMMYFUNCTION("""COMPUTED_VALUE"""),"Display, iPhone 16 Pro Max")</f>
        <v>Display, iPhone 16 Pro Max</v>
      </c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</row>
    <row r="5493">
      <c r="A5493" s="10" t="str">
        <f t="shared" si="1"/>
        <v>February</v>
      </c>
      <c r="B5493" s="11">
        <f>IFERROR(__xludf.DUMMYFUNCTION("""COMPUTED_VALUE"""),46074.0)</f>
        <v>46074</v>
      </c>
      <c r="C5493" s="2" t="str">
        <f>IFERROR(__xludf.DUMMYFUNCTION("""COMPUTED_VALUE"""),"MOBILECARE - LIMA ESTATE")</f>
        <v>MOBILECARE - LIMA ESTATE</v>
      </c>
      <c r="D5493" s="2" t="str">
        <f>IFERROR(__xludf.DUMMYFUNCTION("""COMPUTED_VALUE"""),"661-42726")</f>
        <v>661-42726</v>
      </c>
      <c r="E5493" s="2" t="str">
        <f>IFERROR(__xludf.DUMMYFUNCTION("""COMPUTED_VALUE"""),"Display, iPhone 16 Pro")</f>
        <v>Display, iPhone 16 Pro</v>
      </c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</row>
    <row r="5494">
      <c r="A5494" s="10" t="str">
        <f t="shared" si="1"/>
        <v>March</v>
      </c>
      <c r="B5494" s="11">
        <f>IFERROR(__xludf.DUMMYFUNCTION("""COMPUTED_VALUE"""),46085.0)</f>
        <v>46085</v>
      </c>
      <c r="C5494" s="2" t="str">
        <f>IFERROR(__xludf.DUMMYFUNCTION("""COMPUTED_VALUE"""),"MOBILECARE - LIMA ESTATE")</f>
        <v>MOBILECARE - LIMA ESTATE</v>
      </c>
      <c r="D5494" s="2" t="str">
        <f>IFERROR(__xludf.DUMMYFUNCTION("""COMPUTED_VALUE"""),"PP661-22981")</f>
        <v>PP661-22981</v>
      </c>
      <c r="E5494" s="2" t="str">
        <f>IFERROR(__xludf.DUMMYFUNCTION("""COMPUTED_VALUE"""),"Starlight, 128 GB, iPhone 13, ROW, CI/AR, Philippines")</f>
        <v>Starlight, 128 GB, iPhone 13, ROW, CI/AR, Philippines</v>
      </c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</row>
    <row r="5495">
      <c r="A5495" s="10" t="str">
        <f t="shared" si="1"/>
        <v>January</v>
      </c>
      <c r="B5495" s="11">
        <f>IFERROR(__xludf.DUMMYFUNCTION("""COMPUTED_VALUE"""),46053.0)</f>
        <v>46053</v>
      </c>
      <c r="C5495" s="2" t="str">
        <f>IFERROR(__xludf.DUMMYFUNCTION("""COMPUTED_VALUE"""),"MOBILECARE - LIMA ESTATE")</f>
        <v>MOBILECARE - LIMA ESTATE</v>
      </c>
      <c r="D5495" s="2" t="str">
        <f>IFERROR(__xludf.DUMMYFUNCTION("""COMPUTED_VALUE"""),"661-22309")</f>
        <v>661-22309</v>
      </c>
      <c r="E5495" s="2" t="str">
        <f>IFERROR(__xludf.DUMMYFUNCTION("""COMPUTED_VALUE"""),"Display, iPhone 13 Pro Max")</f>
        <v>Display, iPhone 13 Pro Max</v>
      </c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</row>
    <row r="5496">
      <c r="A5496" s="10" t="str">
        <f t="shared" si="1"/>
        <v>February</v>
      </c>
      <c r="B5496" s="11">
        <f>IFERROR(__xludf.DUMMYFUNCTION("""COMPUTED_VALUE"""),46060.0)</f>
        <v>46060</v>
      </c>
      <c r="C5496" s="2" t="str">
        <f>IFERROR(__xludf.DUMMYFUNCTION("""COMPUTED_VALUE"""),"MOBILECARE - LIMA ESTATE")</f>
        <v>MOBILECARE - LIMA ESTATE</v>
      </c>
      <c r="D5496" s="2" t="str">
        <f>IFERROR(__xludf.DUMMYFUNCTION("""COMPUTED_VALUE"""),"TA661-45269")</f>
        <v>TA661-45269</v>
      </c>
      <c r="E5496" s="2" t="str">
        <f>IFERROR(__xludf.DUMMYFUNCTION("""COMPUTED_VALUE"""),"1TB, Black Titanium, ROW, iPhone 16 Pro Max, CI/AR")</f>
        <v>1TB, Black Titanium, ROW, iPhone 16 Pro Max, CI/AR</v>
      </c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</row>
    <row r="5497">
      <c r="A5497" s="10" t="str">
        <f t="shared" si="1"/>
        <v>February</v>
      </c>
      <c r="B5497" s="11">
        <f>IFERROR(__xludf.DUMMYFUNCTION("""COMPUTED_VALUE"""),46060.0)</f>
        <v>46060</v>
      </c>
      <c r="C5497" s="2" t="str">
        <f>IFERROR(__xludf.DUMMYFUNCTION("""COMPUTED_VALUE"""),"MOBILECARE - LIMA ESTATE")</f>
        <v>MOBILECARE - LIMA ESTATE</v>
      </c>
      <c r="D5497" s="2" t="str">
        <f>IFERROR(__xludf.DUMMYFUNCTION("""COMPUTED_VALUE"""),"TA661-55281")</f>
        <v>TA661-55281</v>
      </c>
      <c r="E5497" s="2" t="str">
        <f>IFERROR(__xludf.DUMMYFUNCTION("""COMPUTED_VALUE"""),"Mist Blue, 256GB, iPhone 17, ROW, Taiwan, CI/AR")</f>
        <v>Mist Blue, 256GB, iPhone 17, ROW, Taiwan, CI/AR</v>
      </c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</row>
    <row r="5498">
      <c r="A5498" s="10" t="str">
        <f t="shared" si="1"/>
        <v>January</v>
      </c>
      <c r="B5498" s="11">
        <f>IFERROR(__xludf.DUMMYFUNCTION("""COMPUTED_VALUE"""),46052.0)</f>
        <v>46052</v>
      </c>
      <c r="C5498" s="2" t="str">
        <f>IFERROR(__xludf.DUMMYFUNCTION("""COMPUTED_VALUE"""),"MOBILECARE - LIMA ESTATE")</f>
        <v>MOBILECARE - LIMA ESTATE</v>
      </c>
      <c r="D5498" s="2" t="str">
        <f>IFERROR(__xludf.DUMMYFUNCTION("""COMPUTED_VALUE"""),"661-30382")</f>
        <v>661-30382</v>
      </c>
      <c r="E5498" s="2" t="str">
        <f>IFERROR(__xludf.DUMMYFUNCTION("""COMPUTED_VALUE"""),"Battery, iPhone 14 Pro")</f>
        <v>Battery, iPhone 14 Pro</v>
      </c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</row>
    <row r="5499">
      <c r="A5499" s="10" t="str">
        <f t="shared" si="1"/>
        <v>June</v>
      </c>
      <c r="B5499" s="11">
        <f>IFERROR(__xludf.DUMMYFUNCTION("""COMPUTED_VALUE"""),46191.0)</f>
        <v>46191</v>
      </c>
      <c r="C5499" s="2" t="str">
        <f>IFERROR(__xludf.DUMMYFUNCTION("""COMPUTED_VALUE"""),"MOBILECARE - LIMA ESTATE")</f>
        <v>MOBILECARE - LIMA ESTATE</v>
      </c>
      <c r="D5499" s="2" t="str">
        <f>IFERROR(__xludf.DUMMYFUNCTION("""COMPUTED_VALUE"""),"661-21988")</f>
        <v>661-21988</v>
      </c>
      <c r="E5499" s="2" t="str">
        <f>IFERROR(__xludf.DUMMYFUNCTION("""COMPUTED_VALUE"""),"Display, iPhone 13")</f>
        <v>Display, iPhone 13</v>
      </c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</row>
    <row r="5500">
      <c r="A5500" s="10" t="str">
        <f t="shared" si="1"/>
        <v>June</v>
      </c>
      <c r="B5500" s="11">
        <f>IFERROR(__xludf.DUMMYFUNCTION("""COMPUTED_VALUE"""),46191.0)</f>
        <v>46191</v>
      </c>
      <c r="C5500" s="2" t="str">
        <f>IFERROR(__xludf.DUMMYFUNCTION("""COMPUTED_VALUE"""),"MOBILECARE - LIMA ESTATE")</f>
        <v>MOBILECARE - LIMA ESTATE</v>
      </c>
      <c r="D5500" s="2" t="str">
        <f>IFERROR(__xludf.DUMMYFUNCTION("""COMPUTED_VALUE"""),"PP661-23454")</f>
        <v>PP661-23454</v>
      </c>
      <c r="E5500" s="2" t="str">
        <f>IFERROR(__xludf.DUMMYFUNCTION("""COMPUTED_VALUE"""),"iPhone 13, Midnight, 128GB, Logic Board Assy Rear System, ROW")</f>
        <v>iPhone 13, Midnight, 128GB, Logic Board Assy Rear System, ROW</v>
      </c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</row>
    <row r="5501">
      <c r="A5501" s="10" t="str">
        <f t="shared" si="1"/>
        <v>May</v>
      </c>
      <c r="B5501" s="11">
        <f>IFERROR(__xludf.DUMMYFUNCTION("""COMPUTED_VALUE"""),46152.0)</f>
        <v>46152</v>
      </c>
      <c r="C5501" s="2" t="str">
        <f>IFERROR(__xludf.DUMMYFUNCTION("""COMPUTED_VALUE"""),"MOBILECARE - LIMA ESTATE")</f>
        <v>MOBILECARE - LIMA ESTATE</v>
      </c>
      <c r="D5501" s="2" t="str">
        <f>IFERROR(__xludf.DUMMYFUNCTION("""COMPUTED_VALUE"""),"ZP923-13786")</f>
        <v>ZP923-13786</v>
      </c>
      <c r="E5501" s="2" t="str">
        <f>IFERROR(__xludf.DUMMYFUNCTION("""COMPUTED_VALUE"""),"Cosmic Orange, Enclosure, iPhone 17 Pro Max, ROW")</f>
        <v>Cosmic Orange, Enclosure, iPhone 17 Pro Max, ROW</v>
      </c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</row>
    <row r="5502">
      <c r="A5502" s="10" t="str">
        <f t="shared" si="1"/>
        <v>May</v>
      </c>
      <c r="B5502" s="11">
        <f>IFERROR(__xludf.DUMMYFUNCTION("""COMPUTED_VALUE"""),46144.0)</f>
        <v>46144</v>
      </c>
      <c r="C5502" s="2" t="str">
        <f>IFERROR(__xludf.DUMMYFUNCTION("""COMPUTED_VALUE"""),"MOBILECARE - LIMA ESTATE")</f>
        <v>MOBILECARE - LIMA ESTATE</v>
      </c>
      <c r="D5502" s="2" t="str">
        <f>IFERROR(__xludf.DUMMYFUNCTION("""COMPUTED_VALUE"""),"TA661-45323")</f>
        <v>TA661-45323</v>
      </c>
      <c r="E5502" s="2" t="str">
        <f>IFERROR(__xludf.DUMMYFUNCTION("""COMPUTED_VALUE"""),"256GB, Desert Titanium, ROW, iPhone 16 Pro Max, Logic Board Assy Mid Sys")</f>
        <v>256GB, Desert Titanium, ROW, iPhone 16 Pro Max, Logic Board Assy Mid Sys</v>
      </c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</row>
    <row r="5503">
      <c r="A5503" s="10" t="str">
        <f t="shared" si="1"/>
        <v>April</v>
      </c>
      <c r="B5503" s="11">
        <f>IFERROR(__xludf.DUMMYFUNCTION("""COMPUTED_VALUE"""),46123.0)</f>
        <v>46123</v>
      </c>
      <c r="C5503" s="2" t="str">
        <f>IFERROR(__xludf.DUMMYFUNCTION("""COMPUTED_VALUE"""),"MOBILECARE - LIMA ESTATE")</f>
        <v>MOBILECARE - LIMA ESTATE</v>
      </c>
      <c r="D5503" s="2" t="str">
        <f>IFERROR(__xludf.DUMMYFUNCTION("""COMPUTED_VALUE"""),"661-36706")</f>
        <v>661-36706</v>
      </c>
      <c r="E5503" s="2" t="str">
        <f>IFERROR(__xludf.DUMMYFUNCTION("""COMPUTED_VALUE"""),"Display, iPhone 15")</f>
        <v>Display, iPhone 15</v>
      </c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</row>
    <row r="5504">
      <c r="A5504" s="10" t="str">
        <f t="shared" si="1"/>
        <v>April</v>
      </c>
      <c r="B5504" s="11">
        <f>IFERROR(__xludf.DUMMYFUNCTION("""COMPUTED_VALUE"""),46119.0)</f>
        <v>46119</v>
      </c>
      <c r="C5504" s="2" t="str">
        <f>IFERROR(__xludf.DUMMYFUNCTION("""COMPUTED_VALUE"""),"MOBILECARE - LIMA ESTATE")</f>
        <v>MOBILECARE - LIMA ESTATE</v>
      </c>
      <c r="D5504" s="2" t="str">
        <f>IFERROR(__xludf.DUMMYFUNCTION("""COMPUTED_VALUE"""),"661-30401")</f>
        <v>661-30401</v>
      </c>
      <c r="E5504" s="2" t="str">
        <f>IFERROR(__xludf.DUMMYFUNCTION("""COMPUTED_VALUE"""),"Display, iPhone 14 Pro Max")</f>
        <v>Display, iPhone 14 Pro Max</v>
      </c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</row>
    <row r="5505">
      <c r="A5505" s="10" t="str">
        <f t="shared" si="1"/>
        <v>April</v>
      </c>
      <c r="B5505" s="11">
        <f>IFERROR(__xludf.DUMMYFUNCTION("""COMPUTED_VALUE"""),46119.0)</f>
        <v>46119</v>
      </c>
      <c r="C5505" s="2" t="str">
        <f>IFERROR(__xludf.DUMMYFUNCTION("""COMPUTED_VALUE"""),"MOBILECARE - LIMA ESTATE")</f>
        <v>MOBILECARE - LIMA ESTATE</v>
      </c>
      <c r="D5505" s="2" t="str">
        <f>IFERROR(__xludf.DUMMYFUNCTION("""COMPUTED_VALUE"""),"661-30397")</f>
        <v>661-30397</v>
      </c>
      <c r="E5505" s="2" t="str">
        <f>IFERROR(__xludf.DUMMYFUNCTION("""COMPUTED_VALUE"""),"Battery, iPhone 14 Pro Max")</f>
        <v>Battery, iPhone 14 Pro Max</v>
      </c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</row>
    <row r="5506">
      <c r="A5506" s="10" t="str">
        <f t="shared" si="1"/>
        <v>March</v>
      </c>
      <c r="B5506" s="11">
        <f>IFERROR(__xludf.DUMMYFUNCTION("""COMPUTED_VALUE"""),46092.0)</f>
        <v>46092</v>
      </c>
      <c r="C5506" s="2" t="str">
        <f>IFERROR(__xludf.DUMMYFUNCTION("""COMPUTED_VALUE"""),"MOBILECARE - LIMA ESTATE")</f>
        <v>MOBILECARE - LIMA ESTATE</v>
      </c>
      <c r="D5506" s="2" t="str">
        <f>IFERROR(__xludf.DUMMYFUNCTION("""COMPUTED_VALUE"""),"661-21988")</f>
        <v>661-21988</v>
      </c>
      <c r="E5506" s="2" t="str">
        <f>IFERROR(__xludf.DUMMYFUNCTION("""COMPUTED_VALUE"""),"Display, iPhone 13")</f>
        <v>Display, iPhone 13</v>
      </c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</row>
    <row r="5507">
      <c r="A5507" s="10" t="str">
        <f t="shared" si="1"/>
        <v>March</v>
      </c>
      <c r="B5507" s="11">
        <f>IFERROR(__xludf.DUMMYFUNCTION("""COMPUTED_VALUE"""),46091.0)</f>
        <v>46091</v>
      </c>
      <c r="C5507" s="2" t="str">
        <f>IFERROR(__xludf.DUMMYFUNCTION("""COMPUTED_VALUE"""),"MOBILECARE - LIMA ESTATE")</f>
        <v>MOBILECARE - LIMA ESTATE</v>
      </c>
      <c r="D5507" s="2" t="str">
        <f>IFERROR(__xludf.DUMMYFUNCTION("""COMPUTED_VALUE"""),"661-21988")</f>
        <v>661-21988</v>
      </c>
      <c r="E5507" s="2" t="str">
        <f>IFERROR(__xludf.DUMMYFUNCTION("""COMPUTED_VALUE"""),"Display, iPhone 13")</f>
        <v>Display, iPhone 13</v>
      </c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</row>
    <row r="5508">
      <c r="A5508" s="10" t="str">
        <f t="shared" si="1"/>
        <v>March</v>
      </c>
      <c r="B5508" s="11">
        <f>IFERROR(__xludf.DUMMYFUNCTION("""COMPUTED_VALUE"""),46092.0)</f>
        <v>46092</v>
      </c>
      <c r="C5508" s="2" t="str">
        <f>IFERROR(__xludf.DUMMYFUNCTION("""COMPUTED_VALUE"""),"MOBILECARE - LIMA ESTATE")</f>
        <v>MOBILECARE - LIMA ESTATE</v>
      </c>
      <c r="D5508" s="2" t="str">
        <f>IFERROR(__xludf.DUMMYFUNCTION("""COMPUTED_VALUE"""),"661-22309")</f>
        <v>661-22309</v>
      </c>
      <c r="E5508" s="2" t="str">
        <f>IFERROR(__xludf.DUMMYFUNCTION("""COMPUTED_VALUE"""),"Display, iPhone 13 Pro Max")</f>
        <v>Display, iPhone 13 Pro Max</v>
      </c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</row>
    <row r="5509">
      <c r="A5509" s="10" t="str">
        <f t="shared" si="1"/>
        <v>February</v>
      </c>
      <c r="B5509" s="11">
        <f>IFERROR(__xludf.DUMMYFUNCTION("""COMPUTED_VALUE"""),46075.0)</f>
        <v>46075</v>
      </c>
      <c r="C5509" s="2" t="str">
        <f>IFERROR(__xludf.DUMMYFUNCTION("""COMPUTED_VALUE"""),"MOBILECARE - LIMA ESTATE")</f>
        <v>MOBILECARE - LIMA ESTATE</v>
      </c>
      <c r="D5509" s="2" t="str">
        <f>IFERROR(__xludf.DUMMYFUNCTION("""COMPUTED_VALUE"""),"661-22309")</f>
        <v>661-22309</v>
      </c>
      <c r="E5509" s="2" t="str">
        <f>IFERROR(__xludf.DUMMYFUNCTION("""COMPUTED_VALUE"""),"Display, iPhone 13 Pro Max")</f>
        <v>Display, iPhone 13 Pro Max</v>
      </c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</row>
    <row r="5510">
      <c r="A5510" s="10" t="str">
        <f t="shared" si="1"/>
        <v>February</v>
      </c>
      <c r="B5510" s="11">
        <f>IFERROR(__xludf.DUMMYFUNCTION("""COMPUTED_VALUE"""),46058.0)</f>
        <v>46058</v>
      </c>
      <c r="C5510" s="2" t="str">
        <f>IFERROR(__xludf.DUMMYFUNCTION("""COMPUTED_VALUE"""),"MOBILECARE - LIMA ESTATE")</f>
        <v>MOBILECARE - LIMA ESTATE</v>
      </c>
      <c r="D5510" s="2" t="str">
        <f>IFERROR(__xludf.DUMMYFUNCTION("""COMPUTED_VALUE"""),"661-35694")</f>
        <v>661-35694</v>
      </c>
      <c r="E5510" s="2" t="str">
        <f>IFERROR(__xludf.DUMMYFUNCTION("""COMPUTED_VALUE"""),"Battery, iPhone 15 Pro")</f>
        <v>Battery, iPhone 15 Pro</v>
      </c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</row>
    <row r="5511">
      <c r="A5511" s="10" t="str">
        <f t="shared" si="1"/>
        <v>February</v>
      </c>
      <c r="B5511" s="11">
        <f>IFERROR(__xludf.DUMMYFUNCTION("""COMPUTED_VALUE"""),46060.0)</f>
        <v>46060</v>
      </c>
      <c r="C5511" s="2" t="str">
        <f>IFERROR(__xludf.DUMMYFUNCTION("""COMPUTED_VALUE"""),"MOBILECARE - LIMA ESTATE")</f>
        <v>MOBILECARE - LIMA ESTATE</v>
      </c>
      <c r="D5511" s="2" t="str">
        <f>IFERROR(__xludf.DUMMYFUNCTION("""COMPUTED_VALUE"""),"TA661-44053")</f>
        <v>TA661-44053</v>
      </c>
      <c r="E5511" s="2" t="str">
        <f>IFERROR(__xludf.DUMMYFUNCTION("""COMPUTED_VALUE"""),"128GB, Ultramarine, ROW, iPhone 16 Plus, CI/AR")</f>
        <v>128GB, Ultramarine, ROW, iPhone 16 Plus, CI/AR</v>
      </c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</row>
    <row r="5512">
      <c r="A5512" s="10" t="str">
        <f t="shared" si="1"/>
        <v>January</v>
      </c>
      <c r="B5512" s="11">
        <f>IFERROR(__xludf.DUMMYFUNCTION("""COMPUTED_VALUE"""),46051.0)</f>
        <v>46051</v>
      </c>
      <c r="C5512" s="2" t="str">
        <f>IFERROR(__xludf.DUMMYFUNCTION("""COMPUTED_VALUE"""),"MOBILECARE - LIMA ESTATE")</f>
        <v>MOBILECARE - LIMA ESTATE</v>
      </c>
      <c r="D5512" s="2" t="str">
        <f>IFERROR(__xludf.DUMMYFUNCTION("""COMPUTED_VALUE"""),"TA661-43605")</f>
        <v>TA661-43605</v>
      </c>
      <c r="E5512" s="2" t="str">
        <f>IFERROR(__xludf.DUMMYFUNCTION("""COMPUTED_VALUE"""),"128GB, Black, ROW, iPhone 16, Logic Board Assy Mid System")</f>
        <v>128GB, Black, ROW, iPhone 16, Logic Board Assy Mid System</v>
      </c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</row>
    <row r="5513">
      <c r="A5513" s="10" t="str">
        <f t="shared" si="1"/>
        <v>June</v>
      </c>
      <c r="B5513" s="11">
        <f>IFERROR(__xludf.DUMMYFUNCTION("""COMPUTED_VALUE"""),46180.0)</f>
        <v>46180</v>
      </c>
      <c r="C5513" s="2" t="str">
        <f>IFERROR(__xludf.DUMMYFUNCTION("""COMPUTED_VALUE"""),"MOBILECARE - LIMA ESTATE")</f>
        <v>MOBILECARE - LIMA ESTATE</v>
      </c>
      <c r="D5513" s="2" t="str">
        <f>IFERROR(__xludf.DUMMYFUNCTION("""COMPUTED_VALUE"""),"661-22309")</f>
        <v>661-22309</v>
      </c>
      <c r="E5513" s="2" t="str">
        <f>IFERROR(__xludf.DUMMYFUNCTION("""COMPUTED_VALUE"""),"Display, iPhone 13 Pro Max")</f>
        <v>Display, iPhone 13 Pro Max</v>
      </c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</row>
    <row r="5514">
      <c r="A5514" s="10" t="str">
        <f t="shared" si="1"/>
        <v>June</v>
      </c>
      <c r="B5514" s="11">
        <f>IFERROR(__xludf.DUMMYFUNCTION("""COMPUTED_VALUE"""),46191.0)</f>
        <v>46191</v>
      </c>
      <c r="C5514" s="2" t="str">
        <f>IFERROR(__xludf.DUMMYFUNCTION("""COMPUTED_VALUE"""),"MOBILECARE - LIMA ESTATE")</f>
        <v>MOBILECARE - LIMA ESTATE</v>
      </c>
      <c r="D5514" s="2" t="str">
        <f>IFERROR(__xludf.DUMMYFUNCTION("""COMPUTED_VALUE"""),"TA661-45321")</f>
        <v>TA661-45321</v>
      </c>
      <c r="E5514" s="2" t="str">
        <f>IFERROR(__xludf.DUMMYFUNCTION("""COMPUTED_VALUE"""),"256GB, Black Titanium, ROW, iPhone 16 Pro Max, Logic Board Assy Mid Syst")</f>
        <v>256GB, Black Titanium, ROW, iPhone 16 Pro Max, Logic Board Assy Mid Syst</v>
      </c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</row>
    <row r="5515">
      <c r="A5515" s="10" t="str">
        <f t="shared" si="1"/>
        <v>May</v>
      </c>
      <c r="B5515" s="11">
        <f>IFERROR(__xludf.DUMMYFUNCTION("""COMPUTED_VALUE"""),46173.0)</f>
        <v>46173</v>
      </c>
      <c r="C5515" s="2" t="str">
        <f>IFERROR(__xludf.DUMMYFUNCTION("""COMPUTED_VALUE"""),"MOBILECARE - LIMA ESTATE")</f>
        <v>MOBILECARE - LIMA ESTATE</v>
      </c>
      <c r="D5515" s="2" t="str">
        <f>IFERROR(__xludf.DUMMYFUNCTION("""COMPUTED_VALUE"""),"ZP923-13773")</f>
        <v>ZP923-13773</v>
      </c>
      <c r="E5515" s="2" t="str">
        <f>IFERROR(__xludf.DUMMYFUNCTION("""COMPUTED_VALUE"""),"Mist Blue, Enclosure, iPhone 17, ROW")</f>
        <v>Mist Blue, Enclosure, iPhone 17, ROW</v>
      </c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</row>
    <row r="5516">
      <c r="A5516" s="10" t="str">
        <f t="shared" si="1"/>
        <v>May</v>
      </c>
      <c r="B5516" s="11">
        <f>IFERROR(__xludf.DUMMYFUNCTION("""COMPUTED_VALUE"""),46173.0)</f>
        <v>46173</v>
      </c>
      <c r="C5516" s="2" t="str">
        <f>IFERROR(__xludf.DUMMYFUNCTION("""COMPUTED_VALUE"""),"MOBILECARE - LIMA ESTATE")</f>
        <v>MOBILECARE - LIMA ESTATE</v>
      </c>
      <c r="D5516" s="2" t="str">
        <f>IFERROR(__xludf.DUMMYFUNCTION("""COMPUTED_VALUE"""),"661-56064")</f>
        <v>661-56064</v>
      </c>
      <c r="E5516" s="2" t="str">
        <f>IFERROR(__xludf.DUMMYFUNCTION("""COMPUTED_VALUE"""),"Battery, iPhone 17")</f>
        <v>Battery, iPhone 17</v>
      </c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</row>
    <row r="5517">
      <c r="A5517" s="10" t="str">
        <f t="shared" si="1"/>
        <v>April</v>
      </c>
      <c r="B5517" s="11">
        <f>IFERROR(__xludf.DUMMYFUNCTION("""COMPUTED_VALUE"""),46131.0)</f>
        <v>46131</v>
      </c>
      <c r="C5517" s="2" t="str">
        <f>IFERROR(__xludf.DUMMYFUNCTION("""COMPUTED_VALUE"""),"MOBILECARE - LIMA ESTATE")</f>
        <v>MOBILECARE - LIMA ESTATE</v>
      </c>
      <c r="D5517" s="2" t="str">
        <f>IFERROR(__xludf.DUMMYFUNCTION("""COMPUTED_VALUE"""),"661-49431")</f>
        <v>661-49431</v>
      </c>
      <c r="E5517" s="2" t="str">
        <f>IFERROR(__xludf.DUMMYFUNCTION("""COMPUTED_VALUE"""),"Display, iPhone 16e")</f>
        <v>Display, iPhone 16e</v>
      </c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</row>
    <row r="5518">
      <c r="A5518" s="10" t="str">
        <f t="shared" si="1"/>
        <v>April</v>
      </c>
      <c r="B5518" s="11">
        <f>IFERROR(__xludf.DUMMYFUNCTION("""COMPUTED_VALUE"""),46127.0)</f>
        <v>46127</v>
      </c>
      <c r="C5518" s="2" t="str">
        <f>IFERROR(__xludf.DUMMYFUNCTION("""COMPUTED_VALUE"""),"MOBILECARE - LIMA ESTATE")</f>
        <v>MOBILECARE - LIMA ESTATE</v>
      </c>
      <c r="D5518" s="2" t="str">
        <f>IFERROR(__xludf.DUMMYFUNCTION("""COMPUTED_VALUE"""),"661-22309")</f>
        <v>661-22309</v>
      </c>
      <c r="E5518" s="2" t="str">
        <f>IFERROR(__xludf.DUMMYFUNCTION("""COMPUTED_VALUE"""),"Display, iPhone 13 Pro Max")</f>
        <v>Display, iPhone 13 Pro Max</v>
      </c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</row>
    <row r="5519">
      <c r="A5519" s="10" t="str">
        <f t="shared" si="1"/>
        <v>April</v>
      </c>
      <c r="B5519" s="11">
        <f>IFERROR(__xludf.DUMMYFUNCTION("""COMPUTED_VALUE"""),46121.0)</f>
        <v>46121</v>
      </c>
      <c r="C5519" s="2" t="str">
        <f>IFERROR(__xludf.DUMMYFUNCTION("""COMPUTED_VALUE"""),"MOBILECARE - LIMA ESTATE")</f>
        <v>MOBILECARE - LIMA ESTATE</v>
      </c>
      <c r="D5519" s="2" t="str">
        <f>IFERROR(__xludf.DUMMYFUNCTION("""COMPUTED_VALUE"""),"661-22309")</f>
        <v>661-22309</v>
      </c>
      <c r="E5519" s="2" t="str">
        <f>IFERROR(__xludf.DUMMYFUNCTION("""COMPUTED_VALUE"""),"Display, iPhone 13 Pro Max")</f>
        <v>Display, iPhone 13 Pro Max</v>
      </c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</row>
    <row r="5520">
      <c r="A5520" s="10" t="str">
        <f t="shared" si="1"/>
        <v>February</v>
      </c>
      <c r="B5520" s="11">
        <f>IFERROR(__xludf.DUMMYFUNCTION("""COMPUTED_VALUE"""),46081.0)</f>
        <v>46081</v>
      </c>
      <c r="C5520" s="2" t="str">
        <f>IFERROR(__xludf.DUMMYFUNCTION("""COMPUTED_VALUE"""),"MOBILECARE - LIMA ESTATE")</f>
        <v>MOBILECARE - LIMA ESTATE</v>
      </c>
      <c r="D5520" s="2" t="str">
        <f>IFERROR(__xludf.DUMMYFUNCTION("""COMPUTED_VALUE"""),"661-44798")</f>
        <v>661-44798</v>
      </c>
      <c r="E5520" s="2" t="str">
        <f>IFERROR(__xludf.DUMMYFUNCTION("""COMPUTED_VALUE"""),"TrueDepth Camera, iPhone 16")</f>
        <v>TrueDepth Camera, iPhone 16</v>
      </c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</row>
    <row r="5521">
      <c r="A5521" s="10" t="str">
        <f t="shared" si="1"/>
        <v>February</v>
      </c>
      <c r="B5521" s="11">
        <f>IFERROR(__xludf.DUMMYFUNCTION("""COMPUTED_VALUE"""),46070.0)</f>
        <v>46070</v>
      </c>
      <c r="C5521" s="2" t="str">
        <f>IFERROR(__xludf.DUMMYFUNCTION("""COMPUTED_VALUE"""),"MOBILECARE - LIMA ESTATE")</f>
        <v>MOBILECARE - LIMA ESTATE</v>
      </c>
      <c r="D5521" s="2" t="str">
        <f>IFERROR(__xludf.DUMMYFUNCTION("""COMPUTED_VALUE"""),"661-21991")</f>
        <v>661-21991</v>
      </c>
      <c r="E5521" s="2" t="str">
        <f>IFERROR(__xludf.DUMMYFUNCTION("""COMPUTED_VALUE"""),"Battery, iPhone 13")</f>
        <v>Battery, iPhone 13</v>
      </c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</row>
    <row r="5522">
      <c r="A5522" s="10" t="str">
        <f t="shared" si="1"/>
        <v>February</v>
      </c>
      <c r="B5522" s="11">
        <f>IFERROR(__xludf.DUMMYFUNCTION("""COMPUTED_VALUE"""),46080.0)</f>
        <v>46080</v>
      </c>
      <c r="C5522" s="2" t="str">
        <f>IFERROR(__xludf.DUMMYFUNCTION("""COMPUTED_VALUE"""),"MOBILECARE - LIMA ESTATE")</f>
        <v>MOBILECARE - LIMA ESTATE</v>
      </c>
      <c r="D5522" s="2" t="str">
        <f>IFERROR(__xludf.DUMMYFUNCTION("""COMPUTED_VALUE"""),"PP661-23454")</f>
        <v>PP661-23454</v>
      </c>
      <c r="E5522" s="2" t="str">
        <f>IFERROR(__xludf.DUMMYFUNCTION("""COMPUTED_VALUE"""),"iPhone 13, Midnight, 128GB, Logic Board Assy Rear System, ROW")</f>
        <v>iPhone 13, Midnight, 128GB, Logic Board Assy Rear System, ROW</v>
      </c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</row>
    <row r="5523">
      <c r="A5523" s="10" t="str">
        <f t="shared" si="1"/>
        <v>February</v>
      </c>
      <c r="B5523" s="11">
        <f>IFERROR(__xludf.DUMMYFUNCTION("""COMPUTED_VALUE"""),46062.0)</f>
        <v>46062</v>
      </c>
      <c r="C5523" s="2" t="str">
        <f>IFERROR(__xludf.DUMMYFUNCTION("""COMPUTED_VALUE"""),"MOBILECARE - LIMA ESTATE")</f>
        <v>MOBILECARE - LIMA ESTATE</v>
      </c>
      <c r="D5523" s="2" t="str">
        <f>IFERROR(__xludf.DUMMYFUNCTION("""COMPUTED_VALUE"""),"PP661-23454")</f>
        <v>PP661-23454</v>
      </c>
      <c r="E5523" s="2" t="str">
        <f>IFERROR(__xludf.DUMMYFUNCTION("""COMPUTED_VALUE"""),"iPhone 13, Midnight, 128GB, Logic Board Assy Rear System, ROW")</f>
        <v>iPhone 13, Midnight, 128GB, Logic Board Assy Rear System, ROW</v>
      </c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</row>
    <row r="5524">
      <c r="A5524" s="10" t="str">
        <f t="shared" si="1"/>
        <v>February</v>
      </c>
      <c r="B5524" s="11">
        <f>IFERROR(__xludf.DUMMYFUNCTION("""COMPUTED_VALUE"""),46054.0)</f>
        <v>46054</v>
      </c>
      <c r="C5524" s="2" t="str">
        <f>IFERROR(__xludf.DUMMYFUNCTION("""COMPUTED_VALUE"""),"MOBILECARE - LIMA ESTATE")</f>
        <v>MOBILECARE - LIMA ESTATE</v>
      </c>
      <c r="D5524" s="2" t="str">
        <f>IFERROR(__xludf.DUMMYFUNCTION("""COMPUTED_VALUE"""),"661-56050")</f>
        <v>661-56050</v>
      </c>
      <c r="E5524" s="2" t="str">
        <f>IFERROR(__xludf.DUMMYFUNCTION("""COMPUTED_VALUE"""),"Display, iPhone 17 Pro Max")</f>
        <v>Display, iPhone 17 Pro Max</v>
      </c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</row>
    <row r="5525">
      <c r="A5525" s="10" t="str">
        <f t="shared" si="1"/>
        <v>June</v>
      </c>
      <c r="B5525" s="11">
        <f>IFERROR(__xludf.DUMMYFUNCTION("""COMPUTED_VALUE"""),46189.0)</f>
        <v>46189</v>
      </c>
      <c r="C5525" s="2" t="str">
        <f>IFERROR(__xludf.DUMMYFUNCTION("""COMPUTED_VALUE"""),"MOBILECARE - LIMA ESTATE")</f>
        <v>MOBILECARE - LIMA ESTATE</v>
      </c>
      <c r="D5525" s="2" t="str">
        <f>IFERROR(__xludf.DUMMYFUNCTION("""COMPUTED_VALUE"""),"661-30371")</f>
        <v>661-30371</v>
      </c>
      <c r="E5525" s="2" t="str">
        <f>IFERROR(__xludf.DUMMYFUNCTION("""COMPUTED_VALUE"""),"True Depth Camera, iPhone 14")</f>
        <v>True Depth Camera, iPhone 14</v>
      </c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</row>
    <row r="5526">
      <c r="A5526" s="10" t="str">
        <f t="shared" si="1"/>
        <v>June</v>
      </c>
      <c r="B5526" s="11">
        <f>IFERROR(__xludf.DUMMYFUNCTION("""COMPUTED_VALUE"""),46190.0)</f>
        <v>46190</v>
      </c>
      <c r="C5526" s="2" t="str">
        <f>IFERROR(__xludf.DUMMYFUNCTION("""COMPUTED_VALUE"""),"MOBILECARE - LIMA ESTATE")</f>
        <v>MOBILECARE - LIMA ESTATE</v>
      </c>
      <c r="D5526" s="2" t="str">
        <f>IFERROR(__xludf.DUMMYFUNCTION("""COMPUTED_VALUE"""),"PP661-23454")</f>
        <v>PP661-23454</v>
      </c>
      <c r="E5526" s="2" t="str">
        <f>IFERROR(__xludf.DUMMYFUNCTION("""COMPUTED_VALUE"""),"iPhone 13, Midnight, 128GB, Logic Board Assy Rear System, ROW")</f>
        <v>iPhone 13, Midnight, 128GB, Logic Board Assy Rear System, ROW</v>
      </c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</row>
    <row r="5527">
      <c r="A5527" s="10" t="str">
        <f t="shared" si="1"/>
        <v>May</v>
      </c>
      <c r="B5527" s="11">
        <f>IFERROR(__xludf.DUMMYFUNCTION("""COMPUTED_VALUE"""),46164.0)</f>
        <v>46164</v>
      </c>
      <c r="C5527" s="2" t="str">
        <f>IFERROR(__xludf.DUMMYFUNCTION("""COMPUTED_VALUE"""),"MOBILECARE - LIMA ESTATE")</f>
        <v>MOBILECARE - LIMA ESTATE</v>
      </c>
      <c r="D5527" s="2" t="str">
        <f>IFERROR(__xludf.DUMMYFUNCTION("""COMPUTED_VALUE"""),"661-21991")</f>
        <v>661-21991</v>
      </c>
      <c r="E5527" s="2" t="str">
        <f>IFERROR(__xludf.DUMMYFUNCTION("""COMPUTED_VALUE"""),"Battery, iPhone 13")</f>
        <v>Battery, iPhone 13</v>
      </c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</row>
    <row r="5528">
      <c r="A5528" s="10" t="str">
        <f t="shared" si="1"/>
        <v>June</v>
      </c>
      <c r="B5528" s="11">
        <f>IFERROR(__xludf.DUMMYFUNCTION("""COMPUTED_VALUE"""),46182.0)</f>
        <v>46182</v>
      </c>
      <c r="C5528" s="2" t="str">
        <f>IFERROR(__xludf.DUMMYFUNCTION("""COMPUTED_VALUE"""),"MOBILECARE - LIMA ESTATE")</f>
        <v>MOBILECARE - LIMA ESTATE</v>
      </c>
      <c r="D5528" s="2" t="str">
        <f>IFERROR(__xludf.DUMMYFUNCTION("""COMPUTED_VALUE"""),"PP661-23454")</f>
        <v>PP661-23454</v>
      </c>
      <c r="E5528" s="2" t="str">
        <f>IFERROR(__xludf.DUMMYFUNCTION("""COMPUTED_VALUE"""),"iPhone 13, Midnight, 128GB, Logic Board Assy Rear System, ROW")</f>
        <v>iPhone 13, Midnight, 128GB, Logic Board Assy Rear System, ROW</v>
      </c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</row>
    <row r="5529">
      <c r="A5529" s="10" t="str">
        <f t="shared" si="1"/>
        <v>May</v>
      </c>
      <c r="B5529" s="11">
        <f>IFERROR(__xludf.DUMMYFUNCTION("""COMPUTED_VALUE"""),46151.0)</f>
        <v>46151</v>
      </c>
      <c r="C5529" s="2" t="str">
        <f>IFERROR(__xludf.DUMMYFUNCTION("""COMPUTED_VALUE"""),"MOBILECARE - LIMA ESTATE")</f>
        <v>MOBILECARE - LIMA ESTATE</v>
      </c>
      <c r="D5529" s="2" t="str">
        <f>IFERROR(__xludf.DUMMYFUNCTION("""COMPUTED_VALUE"""),"661-30397")</f>
        <v>661-30397</v>
      </c>
      <c r="E5529" s="2" t="str">
        <f>IFERROR(__xludf.DUMMYFUNCTION("""COMPUTED_VALUE"""),"Battery, iPhone 14 Pro Max")</f>
        <v>Battery, iPhone 14 Pro Max</v>
      </c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</row>
    <row r="5530">
      <c r="A5530" s="10" t="str">
        <f t="shared" si="1"/>
        <v>May</v>
      </c>
      <c r="B5530" s="11">
        <f>IFERROR(__xludf.DUMMYFUNCTION("""COMPUTED_VALUE"""),46152.0)</f>
        <v>46152</v>
      </c>
      <c r="C5530" s="2" t="str">
        <f>IFERROR(__xludf.DUMMYFUNCTION("""COMPUTED_VALUE"""),"MOBILECARE - LIMA ESTATE")</f>
        <v>MOBILECARE - LIMA ESTATE</v>
      </c>
      <c r="D5530" s="2" t="str">
        <f>IFERROR(__xludf.DUMMYFUNCTION("""COMPUTED_VALUE"""),"661-35694")</f>
        <v>661-35694</v>
      </c>
      <c r="E5530" s="2" t="str">
        <f>IFERROR(__xludf.DUMMYFUNCTION("""COMPUTED_VALUE"""),"Battery, iPhone 15 Pro")</f>
        <v>Battery, iPhone 15 Pro</v>
      </c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</row>
    <row r="5531">
      <c r="A5531" s="10" t="str">
        <f t="shared" si="1"/>
        <v>April</v>
      </c>
      <c r="B5531" s="11">
        <f>IFERROR(__xludf.DUMMYFUNCTION("""COMPUTED_VALUE"""),46141.0)</f>
        <v>46141</v>
      </c>
      <c r="C5531" s="2" t="str">
        <f>IFERROR(__xludf.DUMMYFUNCTION("""COMPUTED_VALUE"""),"MOBILECARE - LIMA ESTATE")</f>
        <v>MOBILECARE - LIMA ESTATE</v>
      </c>
      <c r="D5531" s="2" t="str">
        <f>IFERROR(__xludf.DUMMYFUNCTION("""COMPUTED_VALUE"""),"661-21991")</f>
        <v>661-21991</v>
      </c>
      <c r="E5531" s="2" t="str">
        <f>IFERROR(__xludf.DUMMYFUNCTION("""COMPUTED_VALUE"""),"Battery, iPhone 13")</f>
        <v>Battery, iPhone 13</v>
      </c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</row>
    <row r="5532">
      <c r="A5532" s="10" t="str">
        <f t="shared" si="1"/>
        <v>April</v>
      </c>
      <c r="B5532" s="11">
        <f>IFERROR(__xludf.DUMMYFUNCTION("""COMPUTED_VALUE"""),46118.0)</f>
        <v>46118</v>
      </c>
      <c r="C5532" s="2" t="str">
        <f>IFERROR(__xludf.DUMMYFUNCTION("""COMPUTED_VALUE"""),"MOBILECARE - LIMA ESTATE")</f>
        <v>MOBILECARE - LIMA ESTATE</v>
      </c>
      <c r="D5532" s="2" t="str">
        <f>IFERROR(__xludf.DUMMYFUNCTION("""COMPUTED_VALUE"""),"TA661-45323")</f>
        <v>TA661-45323</v>
      </c>
      <c r="E5532" s="2" t="str">
        <f>IFERROR(__xludf.DUMMYFUNCTION("""COMPUTED_VALUE"""),"256GB, Desert Titanium, ROW, iPhone 16 Pro Max, Logic Board Assy Mid Sys")</f>
        <v>256GB, Desert Titanium, ROW, iPhone 16 Pro Max, Logic Board Assy Mid Sys</v>
      </c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</row>
    <row r="5533">
      <c r="A5533" s="10" t="str">
        <f t="shared" si="1"/>
        <v>April</v>
      </c>
      <c r="B5533" s="11">
        <f>IFERROR(__xludf.DUMMYFUNCTION("""COMPUTED_VALUE"""),46125.0)</f>
        <v>46125</v>
      </c>
      <c r="C5533" s="2" t="str">
        <f>IFERROR(__xludf.DUMMYFUNCTION("""COMPUTED_VALUE"""),"MOBILECARE - LIMA ESTATE")</f>
        <v>MOBILECARE - LIMA ESTATE</v>
      </c>
      <c r="D5533" s="2" t="str">
        <f>IFERROR(__xludf.DUMMYFUNCTION("""COMPUTED_VALUE"""),"661-42726")</f>
        <v>661-42726</v>
      </c>
      <c r="E5533" s="2" t="str">
        <f>IFERROR(__xludf.DUMMYFUNCTION("""COMPUTED_VALUE"""),"Display, iPhone 16 Pro")</f>
        <v>Display, iPhone 16 Pro</v>
      </c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</row>
    <row r="5534">
      <c r="A5534" s="10" t="str">
        <f t="shared" si="1"/>
        <v>April</v>
      </c>
      <c r="B5534" s="11">
        <f>IFERROR(__xludf.DUMMYFUNCTION("""COMPUTED_VALUE"""),46125.0)</f>
        <v>46125</v>
      </c>
      <c r="C5534" s="2" t="str">
        <f>IFERROR(__xludf.DUMMYFUNCTION("""COMPUTED_VALUE"""),"MOBILECARE - LIMA ESTATE")</f>
        <v>MOBILECARE - LIMA ESTATE</v>
      </c>
      <c r="D5534" s="2" t="str">
        <f>IFERROR(__xludf.DUMMYFUNCTION("""COMPUTED_VALUE"""),"661-42728")</f>
        <v>661-42728</v>
      </c>
      <c r="E5534" s="2" t="str">
        <f>IFERROR(__xludf.DUMMYFUNCTION("""COMPUTED_VALUE"""),"Camera, iPhone 16 Pro")</f>
        <v>Camera, iPhone 16 Pro</v>
      </c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</row>
    <row r="5535">
      <c r="A5535" s="10" t="str">
        <f t="shared" si="1"/>
        <v>March</v>
      </c>
      <c r="B5535" s="11">
        <f>IFERROR(__xludf.DUMMYFUNCTION("""COMPUTED_VALUE"""),46111.0)</f>
        <v>46111</v>
      </c>
      <c r="C5535" s="2" t="str">
        <f>IFERROR(__xludf.DUMMYFUNCTION("""COMPUTED_VALUE"""),"MOBILECARE - LIMA ESTATE")</f>
        <v>MOBILECARE - LIMA ESTATE</v>
      </c>
      <c r="D5535" s="2" t="str">
        <f>IFERROR(__xludf.DUMMYFUNCTION("""COMPUTED_VALUE"""),"TA661-36694")</f>
        <v>TA661-36694</v>
      </c>
      <c r="E5535" s="2" t="str">
        <f>IFERROR(__xludf.DUMMYFUNCTION("""COMPUTED_VALUE"""),"iPhone 15, Blue, 128GB, Logic Board Assy Mid System, ROW")</f>
        <v>iPhone 15, Blue, 128GB, Logic Board Assy Mid System, ROW</v>
      </c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</row>
    <row r="5536">
      <c r="A5536" s="10" t="str">
        <f t="shared" si="1"/>
        <v>March</v>
      </c>
      <c r="B5536" s="11">
        <f>IFERROR(__xludf.DUMMYFUNCTION("""COMPUTED_VALUE"""),46088.0)</f>
        <v>46088</v>
      </c>
      <c r="C5536" s="2" t="str">
        <f>IFERROR(__xludf.DUMMYFUNCTION("""COMPUTED_VALUE"""),"MOBILECARE - LIMA ESTATE")</f>
        <v>MOBILECARE - LIMA ESTATE</v>
      </c>
      <c r="D5536" s="2" t="str">
        <f>IFERROR(__xludf.DUMMYFUNCTION("""COMPUTED_VALUE"""),"661-36706")</f>
        <v>661-36706</v>
      </c>
      <c r="E5536" s="2" t="str">
        <f>IFERROR(__xludf.DUMMYFUNCTION("""COMPUTED_VALUE"""),"Display, iPhone 15")</f>
        <v>Display, iPhone 15</v>
      </c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</row>
    <row r="5537">
      <c r="A5537" s="10" t="str">
        <f t="shared" si="1"/>
        <v>March</v>
      </c>
      <c r="B5537" s="11">
        <f>IFERROR(__xludf.DUMMYFUNCTION("""COMPUTED_VALUE"""),46088.0)</f>
        <v>46088</v>
      </c>
      <c r="C5537" s="2" t="str">
        <f>IFERROR(__xludf.DUMMYFUNCTION("""COMPUTED_VALUE"""),"MOBILECARE - LIMA ESTATE")</f>
        <v>MOBILECARE - LIMA ESTATE</v>
      </c>
      <c r="D5537" s="2" t="str">
        <f>IFERROR(__xludf.DUMMYFUNCTION("""COMPUTED_VALUE"""),"661-36706")</f>
        <v>661-36706</v>
      </c>
      <c r="E5537" s="2" t="str">
        <f>IFERROR(__xludf.DUMMYFUNCTION("""COMPUTED_VALUE"""),"Display, iPhone 15")</f>
        <v>Display, iPhone 15</v>
      </c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</row>
    <row r="5538">
      <c r="A5538" s="10" t="str">
        <f t="shared" si="1"/>
        <v>January</v>
      </c>
      <c r="B5538" s="11">
        <f>IFERROR(__xludf.DUMMYFUNCTION("""COMPUTED_VALUE"""),46053.0)</f>
        <v>46053</v>
      </c>
      <c r="C5538" s="2" t="str">
        <f>IFERROR(__xludf.DUMMYFUNCTION("""COMPUTED_VALUE"""),"MOBILECARE - LIMA ESTATE")</f>
        <v>MOBILECARE - LIMA ESTATE</v>
      </c>
      <c r="D5538" s="2" t="str">
        <f>IFERROR(__xludf.DUMMYFUNCTION("""COMPUTED_VALUE"""),"661-21988")</f>
        <v>661-21988</v>
      </c>
      <c r="E5538" s="2" t="str">
        <f>IFERROR(__xludf.DUMMYFUNCTION("""COMPUTED_VALUE"""),"Display, iPhone 13")</f>
        <v>Display, iPhone 13</v>
      </c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</row>
    <row r="5539">
      <c r="A5539" s="10" t="str">
        <f t="shared" si="1"/>
        <v>January</v>
      </c>
      <c r="B5539" s="11">
        <f>IFERROR(__xludf.DUMMYFUNCTION("""COMPUTED_VALUE"""),46052.0)</f>
        <v>46052</v>
      </c>
      <c r="C5539" s="2" t="str">
        <f>IFERROR(__xludf.DUMMYFUNCTION("""COMPUTED_VALUE"""),"MOBILECARE - LIMA ESTATE")</f>
        <v>MOBILECARE - LIMA ESTATE</v>
      </c>
      <c r="D5539" s="2" t="str">
        <f>IFERROR(__xludf.DUMMYFUNCTION("""COMPUTED_VALUE"""),"661-36829")</f>
        <v>661-36829</v>
      </c>
      <c r="E5539" s="2" t="str">
        <f>IFERROR(__xludf.DUMMYFUNCTION("""COMPUTED_VALUE"""),"TrueDepth Camera, iPhone 15")</f>
        <v>TrueDepth Camera, iPhone 15</v>
      </c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</row>
    <row r="5540">
      <c r="A5540" s="10" t="str">
        <f t="shared" si="1"/>
        <v>January</v>
      </c>
      <c r="B5540" s="11">
        <f>IFERROR(__xludf.DUMMYFUNCTION("""COMPUTED_VALUE"""),46052.0)</f>
        <v>46052</v>
      </c>
      <c r="C5540" s="2" t="str">
        <f>IFERROR(__xludf.DUMMYFUNCTION("""COMPUTED_VALUE"""),"MOBILECARE - LIMA ESTATE")</f>
        <v>MOBILECARE - LIMA ESTATE</v>
      </c>
      <c r="D5540" s="2" t="str">
        <f>IFERROR(__xludf.DUMMYFUNCTION("""COMPUTED_VALUE"""),"661-35828")</f>
        <v>661-35828</v>
      </c>
      <c r="E5540" s="2" t="str">
        <f>IFERROR(__xludf.DUMMYFUNCTION("""COMPUTED_VALUE"""),"Camera, iPhone 15")</f>
        <v>Camera, iPhone 15</v>
      </c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</row>
    <row r="5541">
      <c r="A5541" s="10" t="str">
        <f t="shared" si="1"/>
        <v>February</v>
      </c>
      <c r="B5541" s="11">
        <f>IFERROR(__xludf.DUMMYFUNCTION("""COMPUTED_VALUE"""),46059.0)</f>
        <v>46059</v>
      </c>
      <c r="C5541" s="2" t="str">
        <f>IFERROR(__xludf.DUMMYFUNCTION("""COMPUTED_VALUE"""),"MOBILECARE - LIMA ESTATE")</f>
        <v>MOBILECARE - LIMA ESTATE</v>
      </c>
      <c r="D5541" s="2" t="str">
        <f>IFERROR(__xludf.DUMMYFUNCTION("""COMPUTED_VALUE"""),"661-44955")</f>
        <v>661-44955</v>
      </c>
      <c r="E5541" s="2" t="str">
        <f>IFERROR(__xludf.DUMMYFUNCTION("""COMPUTED_VALUE"""),"Display, iPhone 16 Pro Max")</f>
        <v>Display, iPhone 16 Pro Max</v>
      </c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</row>
    <row r="5542">
      <c r="A5542" s="10" t="str">
        <f t="shared" si="1"/>
        <v>April</v>
      </c>
      <c r="B5542" s="11">
        <f>IFERROR(__xludf.DUMMYFUNCTION("""COMPUTED_VALUE"""),46123.0)</f>
        <v>46123</v>
      </c>
      <c r="C5542" s="2" t="str">
        <f>IFERROR(__xludf.DUMMYFUNCTION("""COMPUTED_VALUE"""),"MOBILECARE - LIMA ESTATE")</f>
        <v>MOBILECARE - LIMA ESTATE</v>
      </c>
      <c r="D5542" s="2" t="str">
        <f>IFERROR(__xludf.DUMMYFUNCTION("""COMPUTED_VALUE"""),"661-21993")</f>
        <v>661-21993</v>
      </c>
      <c r="E5542" s="2" t="str">
        <f>IFERROR(__xludf.DUMMYFUNCTION("""COMPUTED_VALUE"""),"Display, iPhone 13 Pro")</f>
        <v>Display, iPhone 13 Pro</v>
      </c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</row>
    <row r="5543">
      <c r="A5543" s="10" t="str">
        <f t="shared" si="1"/>
        <v>April</v>
      </c>
      <c r="B5543" s="11">
        <f>IFERROR(__xludf.DUMMYFUNCTION("""COMPUTED_VALUE"""),46130.0)</f>
        <v>46130</v>
      </c>
      <c r="C5543" s="2" t="str">
        <f>IFERROR(__xludf.DUMMYFUNCTION("""COMPUTED_VALUE"""),"MOBILECARE - LIMA ESTATE")</f>
        <v>MOBILECARE - LIMA ESTATE</v>
      </c>
      <c r="D5543" s="2" t="str">
        <f>IFERROR(__xludf.DUMMYFUNCTION("""COMPUTED_VALUE"""),"TA661-55149")</f>
        <v>TA661-55149</v>
      </c>
      <c r="E5543" s="2" t="str">
        <f>IFERROR(__xludf.DUMMYFUNCTION("""COMPUTED_VALUE"""),"Silver, 256GB, iPhone 17 Pro, ROW, CI/AR, Taiwan")</f>
        <v>Silver, 256GB, iPhone 17 Pro, ROW, CI/AR, Taiwan</v>
      </c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</row>
    <row r="5544">
      <c r="A5544" s="10" t="str">
        <f t="shared" si="1"/>
        <v>March</v>
      </c>
      <c r="B5544" s="11">
        <f>IFERROR(__xludf.DUMMYFUNCTION("""COMPUTED_VALUE"""),46110.0)</f>
        <v>46110</v>
      </c>
      <c r="C5544" s="2" t="str">
        <f>IFERROR(__xludf.DUMMYFUNCTION("""COMPUTED_VALUE"""),"MOBILECARE - LIMA ESTATE")</f>
        <v>MOBILECARE - LIMA ESTATE</v>
      </c>
      <c r="D5544" s="2" t="str">
        <f>IFERROR(__xludf.DUMMYFUNCTION("""COMPUTED_VALUE"""),"661-21991")</f>
        <v>661-21991</v>
      </c>
      <c r="E5544" s="2" t="str">
        <f>IFERROR(__xludf.DUMMYFUNCTION("""COMPUTED_VALUE"""),"Battery, iPhone 13")</f>
        <v>Battery, iPhone 13</v>
      </c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</row>
    <row r="5545">
      <c r="A5545" s="10" t="str">
        <f t="shared" si="1"/>
        <v>March</v>
      </c>
      <c r="B5545" s="11">
        <f>IFERROR(__xludf.DUMMYFUNCTION("""COMPUTED_VALUE"""),46099.0)</f>
        <v>46099</v>
      </c>
      <c r="C5545" s="2" t="str">
        <f>IFERROR(__xludf.DUMMYFUNCTION("""COMPUTED_VALUE"""),"MOBILECARE - LIMA ESTATE")</f>
        <v>MOBILECARE - LIMA ESTATE</v>
      </c>
      <c r="D5545" s="2" t="str">
        <f>IFERROR(__xludf.DUMMYFUNCTION("""COMPUTED_VALUE"""),"661-21991")</f>
        <v>661-21991</v>
      </c>
      <c r="E5545" s="2" t="str">
        <f>IFERROR(__xludf.DUMMYFUNCTION("""COMPUTED_VALUE"""),"Battery, iPhone 13")</f>
        <v>Battery, iPhone 13</v>
      </c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</row>
    <row r="5546">
      <c r="A5546" s="10" t="str">
        <f t="shared" si="1"/>
        <v>March</v>
      </c>
      <c r="B5546" s="11">
        <f>IFERROR(__xludf.DUMMYFUNCTION("""COMPUTED_VALUE"""),46094.0)</f>
        <v>46094</v>
      </c>
      <c r="C5546" s="2" t="str">
        <f>IFERROR(__xludf.DUMMYFUNCTION("""COMPUTED_VALUE"""),"MOBILECARE - LIMA ESTATE")</f>
        <v>MOBILECARE - LIMA ESTATE</v>
      </c>
      <c r="D5546" s="2" t="str">
        <f>IFERROR(__xludf.DUMMYFUNCTION("""COMPUTED_VALUE"""),"TA661-43613")</f>
        <v>TA661-43613</v>
      </c>
      <c r="E5546" s="2" t="str">
        <f>IFERROR(__xludf.DUMMYFUNCTION("""COMPUTED_VALUE"""),"256GB, Ultramarine, ROW, iPhone 16, Logic Board Assy Mid System")</f>
        <v>256GB, Ultramarine, ROW, iPhone 16, Logic Board Assy Mid System</v>
      </c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</row>
    <row r="5547">
      <c r="A5547" s="10" t="str">
        <f t="shared" si="1"/>
        <v>March</v>
      </c>
      <c r="B5547" s="11">
        <f>IFERROR(__xludf.DUMMYFUNCTION("""COMPUTED_VALUE"""),46087.0)</f>
        <v>46087</v>
      </c>
      <c r="C5547" s="2" t="str">
        <f>IFERROR(__xludf.DUMMYFUNCTION("""COMPUTED_VALUE"""),"MOBILECARE - LIMA ESTATE")</f>
        <v>MOBILECARE - LIMA ESTATE</v>
      </c>
      <c r="D5547" s="2" t="str">
        <f>IFERROR(__xludf.DUMMYFUNCTION("""COMPUTED_VALUE"""),"TA661-36694")</f>
        <v>TA661-36694</v>
      </c>
      <c r="E5547" s="2" t="str">
        <f>IFERROR(__xludf.DUMMYFUNCTION("""COMPUTED_VALUE"""),"iPhone 15, Blue, 128GB, Logic Board Assy Mid System, ROW")</f>
        <v>iPhone 15, Blue, 128GB, Logic Board Assy Mid System, ROW</v>
      </c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</row>
    <row r="5548">
      <c r="A5548" s="10" t="str">
        <f t="shared" si="1"/>
        <v>February</v>
      </c>
      <c r="B5548" s="11">
        <f>IFERROR(__xludf.DUMMYFUNCTION("""COMPUTED_VALUE"""),46061.0)</f>
        <v>46061</v>
      </c>
      <c r="C5548" s="2" t="str">
        <f>IFERROR(__xludf.DUMMYFUNCTION("""COMPUTED_VALUE"""),"MOBILECARE - LIMA ESTATE")</f>
        <v>MOBILECARE - LIMA ESTATE</v>
      </c>
      <c r="D5548" s="2" t="str">
        <f>IFERROR(__xludf.DUMMYFUNCTION("""COMPUTED_VALUE"""),"661-22294")</f>
        <v>661-22294</v>
      </c>
      <c r="E5548" s="2" t="str">
        <f>IFERROR(__xludf.DUMMYFUNCTION("""COMPUTED_VALUE"""),"Battery, iPhone 13 Pro Max")</f>
        <v>Battery, iPhone 13 Pro Max</v>
      </c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</row>
    <row r="5549">
      <c r="A5549" s="10" t="str">
        <f t="shared" si="1"/>
        <v>February</v>
      </c>
      <c r="B5549" s="11">
        <f>IFERROR(__xludf.DUMMYFUNCTION("""COMPUTED_VALUE"""),46061.0)</f>
        <v>46061</v>
      </c>
      <c r="C5549" s="2" t="str">
        <f>IFERROR(__xludf.DUMMYFUNCTION("""COMPUTED_VALUE"""),"MOBILECARE - LIMA ESTATE")</f>
        <v>MOBILECARE - LIMA ESTATE</v>
      </c>
      <c r="D5549" s="2" t="str">
        <f>IFERROR(__xludf.DUMMYFUNCTION("""COMPUTED_VALUE"""),"661-22293")</f>
        <v>661-22293</v>
      </c>
      <c r="E5549" s="2" t="str">
        <f>IFERROR(__xludf.DUMMYFUNCTION("""COMPUTED_VALUE"""),"Camera, iPhone 13 Pro and 13 Pro Max")</f>
        <v>Camera, iPhone 13 Pro and 13 Pro Max</v>
      </c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</row>
    <row r="5550">
      <c r="A5550" s="10" t="str">
        <f t="shared" si="1"/>
        <v>June</v>
      </c>
      <c r="B5550" s="11">
        <f>IFERROR(__xludf.DUMMYFUNCTION("""COMPUTED_VALUE"""),46184.0)</f>
        <v>46184</v>
      </c>
      <c r="C5550" s="2" t="str">
        <f>IFERROR(__xludf.DUMMYFUNCTION("""COMPUTED_VALUE"""),"MOBILECARE - LIMA ESTATE")</f>
        <v>MOBILECARE - LIMA ESTATE</v>
      </c>
      <c r="D5550" s="2" t="str">
        <f>IFERROR(__xludf.DUMMYFUNCTION("""COMPUTED_VALUE"""),"661-21991")</f>
        <v>661-21991</v>
      </c>
      <c r="E5550" s="2" t="str">
        <f>IFERROR(__xludf.DUMMYFUNCTION("""COMPUTED_VALUE"""),"Battery, iPhone 13")</f>
        <v>Battery, iPhone 13</v>
      </c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</row>
    <row r="5551">
      <c r="A5551" s="10" t="str">
        <f t="shared" si="1"/>
        <v>June</v>
      </c>
      <c r="B5551" s="11">
        <f>IFERROR(__xludf.DUMMYFUNCTION("""COMPUTED_VALUE"""),46184.0)</f>
        <v>46184</v>
      </c>
      <c r="C5551" s="2" t="str">
        <f>IFERROR(__xludf.DUMMYFUNCTION("""COMPUTED_VALUE"""),"MOBILECARE - LIMA ESTATE")</f>
        <v>MOBILECARE - LIMA ESTATE</v>
      </c>
      <c r="D5551" s="2" t="str">
        <f>IFERROR(__xludf.DUMMYFUNCTION("""COMPUTED_VALUE"""),"661-30397")</f>
        <v>661-30397</v>
      </c>
      <c r="E5551" s="2" t="str">
        <f>IFERROR(__xludf.DUMMYFUNCTION("""COMPUTED_VALUE"""),"Battery, iPhone 14 Pro Max")</f>
        <v>Battery, iPhone 14 Pro Max</v>
      </c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</row>
    <row r="5552">
      <c r="A5552" s="10" t="str">
        <f t="shared" si="1"/>
        <v>May</v>
      </c>
      <c r="B5552" s="11">
        <f>IFERROR(__xludf.DUMMYFUNCTION("""COMPUTED_VALUE"""),46162.0)</f>
        <v>46162</v>
      </c>
      <c r="C5552" s="2" t="str">
        <f>IFERROR(__xludf.DUMMYFUNCTION("""COMPUTED_VALUE"""),"MOBILECARE - LIMA ESTATE")</f>
        <v>MOBILECARE - LIMA ESTATE</v>
      </c>
      <c r="D5552" s="2" t="str">
        <f>IFERROR(__xludf.DUMMYFUNCTION("""COMPUTED_VALUE"""),"661-21991")</f>
        <v>661-21991</v>
      </c>
      <c r="E5552" s="2" t="str">
        <f>IFERROR(__xludf.DUMMYFUNCTION("""COMPUTED_VALUE"""),"Battery, iPhone 13")</f>
        <v>Battery, iPhone 13</v>
      </c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</row>
    <row r="5553">
      <c r="A5553" s="10" t="str">
        <f t="shared" si="1"/>
        <v>June</v>
      </c>
      <c r="B5553" s="11">
        <f>IFERROR(__xludf.DUMMYFUNCTION("""COMPUTED_VALUE"""),46184.0)</f>
        <v>46184</v>
      </c>
      <c r="C5553" s="2" t="str">
        <f>IFERROR(__xludf.DUMMYFUNCTION("""COMPUTED_VALUE"""),"MOBILECARE - LIMA ESTATE")</f>
        <v>MOBILECARE - LIMA ESTATE</v>
      </c>
      <c r="D5553" s="2" t="str">
        <f>IFERROR(__xludf.DUMMYFUNCTION("""COMPUTED_VALUE"""),"TA661-43606")</f>
        <v>TA661-43606</v>
      </c>
      <c r="E5553" s="2" t="str">
        <f>IFERROR(__xludf.DUMMYFUNCTION("""COMPUTED_VALUE"""),"128GB, White, ROW, iPhone 16, Logic Board Assy Mid System")</f>
        <v>128GB, White, ROW, iPhone 16, Logic Board Assy Mid System</v>
      </c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</row>
    <row r="5554">
      <c r="A5554" s="10" t="str">
        <f t="shared" si="1"/>
        <v>May</v>
      </c>
      <c r="B5554" s="11">
        <f>IFERROR(__xludf.DUMMYFUNCTION("""COMPUTED_VALUE"""),46151.0)</f>
        <v>46151</v>
      </c>
      <c r="C5554" s="2" t="str">
        <f>IFERROR(__xludf.DUMMYFUNCTION("""COMPUTED_VALUE"""),"MOBILECARE - LIMA ESTATE")</f>
        <v>MOBILECARE - LIMA ESTATE</v>
      </c>
      <c r="D5554" s="2" t="str">
        <f>IFERROR(__xludf.DUMMYFUNCTION("""COMPUTED_VALUE"""),"ZP923-13787")</f>
        <v>ZP923-13787</v>
      </c>
      <c r="E5554" s="2" t="str">
        <f>IFERROR(__xludf.DUMMYFUNCTION("""COMPUTED_VALUE"""),"Deep Blue, Enclosure, iPhone 17 Pro Max, ROW")</f>
        <v>Deep Blue, Enclosure, iPhone 17 Pro Max, ROW</v>
      </c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</row>
    <row r="5555">
      <c r="A5555" s="10" t="str">
        <f t="shared" si="1"/>
        <v>June</v>
      </c>
      <c r="B5555" s="11">
        <f>IFERROR(__xludf.DUMMYFUNCTION("""COMPUTED_VALUE"""),46182.0)</f>
        <v>46182</v>
      </c>
      <c r="C5555" s="2" t="str">
        <f>IFERROR(__xludf.DUMMYFUNCTION("""COMPUTED_VALUE"""),"MOBILECARE - LIMA ESTATE")</f>
        <v>MOBILECARE - LIMA ESTATE</v>
      </c>
      <c r="D5555" s="2" t="str">
        <f>IFERROR(__xludf.DUMMYFUNCTION("""COMPUTED_VALUE"""),"TA661-55281")</f>
        <v>TA661-55281</v>
      </c>
      <c r="E5555" s="2" t="str">
        <f>IFERROR(__xludf.DUMMYFUNCTION("""COMPUTED_VALUE"""),"Mist Blue, 256GB, iPhone 17, ROW, Taiwan, CI/AR")</f>
        <v>Mist Blue, 256GB, iPhone 17, ROW, Taiwan, CI/AR</v>
      </c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</row>
    <row r="5556">
      <c r="A5556" s="10" t="str">
        <f t="shared" si="1"/>
        <v>April</v>
      </c>
      <c r="B5556" s="11">
        <f>IFERROR(__xludf.DUMMYFUNCTION("""COMPUTED_VALUE"""),46119.0)</f>
        <v>46119</v>
      </c>
      <c r="C5556" s="2" t="str">
        <f>IFERROR(__xludf.DUMMYFUNCTION("""COMPUTED_VALUE"""),"MOBILECARE - LIMA ESTATE")</f>
        <v>MOBILECARE - LIMA ESTATE</v>
      </c>
      <c r="D5556" s="2" t="str">
        <f>IFERROR(__xludf.DUMMYFUNCTION("""COMPUTED_VALUE"""),"PP661-28869")</f>
        <v>PP661-28869</v>
      </c>
      <c r="E5556" s="2" t="str">
        <f>IFERROR(__xludf.DUMMYFUNCTION("""COMPUTED_VALUE"""),"iPhone 14, Starlight, 128GB, Logic Board Assy Mid System, ROW")</f>
        <v>iPhone 14, Starlight, 128GB, Logic Board Assy Mid System, ROW</v>
      </c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</row>
    <row r="5557">
      <c r="A5557" s="10" t="str">
        <f t="shared" si="1"/>
        <v>March</v>
      </c>
      <c r="B5557" s="11">
        <f>IFERROR(__xludf.DUMMYFUNCTION("""COMPUTED_VALUE"""),46112.0)</f>
        <v>46112</v>
      </c>
      <c r="C5557" s="2" t="str">
        <f>IFERROR(__xludf.DUMMYFUNCTION("""COMPUTED_VALUE"""),"MOBILECARE - LIMA ESTATE")</f>
        <v>MOBILECARE - LIMA ESTATE</v>
      </c>
      <c r="D5557" s="2" t="str">
        <f>IFERROR(__xludf.DUMMYFUNCTION("""COMPUTED_VALUE"""),"TA661-43610")</f>
        <v>TA661-43610</v>
      </c>
      <c r="E5557" s="2" t="str">
        <f>IFERROR(__xludf.DUMMYFUNCTION("""COMPUTED_VALUE"""),"256GB, Black, ROW, iPhone 16, Logic Board Assy Mid System")</f>
        <v>256GB, Black, ROW, iPhone 16, Logic Board Assy Mid System</v>
      </c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</row>
    <row r="5558">
      <c r="A5558" s="10" t="str">
        <f t="shared" si="1"/>
        <v>March</v>
      </c>
      <c r="B5558" s="11">
        <f>IFERROR(__xludf.DUMMYFUNCTION("""COMPUTED_VALUE"""),46098.0)</f>
        <v>46098</v>
      </c>
      <c r="C5558" s="2" t="str">
        <f>IFERROR(__xludf.DUMMYFUNCTION("""COMPUTED_VALUE"""),"MOBILECARE - LIMA ESTATE")</f>
        <v>MOBILECARE - LIMA ESTATE</v>
      </c>
      <c r="D5558" s="2" t="str">
        <f>IFERROR(__xludf.DUMMYFUNCTION("""COMPUTED_VALUE"""),"PP661-23454")</f>
        <v>PP661-23454</v>
      </c>
      <c r="E5558" s="2" t="str">
        <f>IFERROR(__xludf.DUMMYFUNCTION("""COMPUTED_VALUE"""),"iPhone 13, Midnight, 128GB, Logic Board Assy Rear System, ROW")</f>
        <v>iPhone 13, Midnight, 128GB, Logic Board Assy Rear System, ROW</v>
      </c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</row>
    <row r="5559">
      <c r="A5559" s="10" t="str">
        <f t="shared" si="1"/>
        <v>March</v>
      </c>
      <c r="B5559" s="11">
        <f>IFERROR(__xludf.DUMMYFUNCTION("""COMPUTED_VALUE"""),46085.0)</f>
        <v>46085</v>
      </c>
      <c r="C5559" s="2" t="str">
        <f>IFERROR(__xludf.DUMMYFUNCTION("""COMPUTED_VALUE"""),"MOBILECARE - LIMA ESTATE")</f>
        <v>MOBILECARE - LIMA ESTATE</v>
      </c>
      <c r="D5559" s="2" t="str">
        <f>IFERROR(__xludf.DUMMYFUNCTION("""COMPUTED_VALUE"""),"661-42726")</f>
        <v>661-42726</v>
      </c>
      <c r="E5559" s="2" t="str">
        <f>IFERROR(__xludf.DUMMYFUNCTION("""COMPUTED_VALUE"""),"Display, iPhone 16 Pro")</f>
        <v>Display, iPhone 16 Pro</v>
      </c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</row>
    <row r="5560">
      <c r="A5560" s="10" t="str">
        <f t="shared" si="1"/>
        <v>March</v>
      </c>
      <c r="B5560" s="11">
        <f>IFERROR(__xludf.DUMMYFUNCTION("""COMPUTED_VALUE"""),46092.0)</f>
        <v>46092</v>
      </c>
      <c r="C5560" s="2" t="str">
        <f>IFERROR(__xludf.DUMMYFUNCTION("""COMPUTED_VALUE"""),"MOBILECARE - LIMA ESTATE")</f>
        <v>MOBILECARE - LIMA ESTATE</v>
      </c>
      <c r="D5560" s="2" t="str">
        <f>IFERROR(__xludf.DUMMYFUNCTION("""COMPUTED_VALUE"""),"PP661-23455")</f>
        <v>PP661-23455</v>
      </c>
      <c r="E5560" s="2" t="str">
        <f>IFERROR(__xludf.DUMMYFUNCTION("""COMPUTED_VALUE"""),"iPhone 13, Starlight, 128GB, Logic Board Assy Rear System, ROW")</f>
        <v>iPhone 13, Starlight, 128GB, Logic Board Assy Rear System, ROW</v>
      </c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</row>
    <row r="5561">
      <c r="A5561" s="10" t="str">
        <f t="shared" si="1"/>
        <v>February</v>
      </c>
      <c r="B5561" s="11">
        <f>IFERROR(__xludf.DUMMYFUNCTION("""COMPUTED_VALUE"""),46081.0)</f>
        <v>46081</v>
      </c>
      <c r="C5561" s="2" t="str">
        <f>IFERROR(__xludf.DUMMYFUNCTION("""COMPUTED_VALUE"""),"MOBILECARE - LIMA ESTATE")</f>
        <v>MOBILECARE - LIMA ESTATE</v>
      </c>
      <c r="D5561" s="2" t="str">
        <f>IFERROR(__xludf.DUMMYFUNCTION("""COMPUTED_VALUE"""),"661-30382")</f>
        <v>661-30382</v>
      </c>
      <c r="E5561" s="2" t="str">
        <f>IFERROR(__xludf.DUMMYFUNCTION("""COMPUTED_VALUE"""),"Battery, iPhone 14 Pro")</f>
        <v>Battery, iPhone 14 Pro</v>
      </c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</row>
    <row r="5562">
      <c r="A5562" s="10" t="str">
        <f t="shared" si="1"/>
        <v>January</v>
      </c>
      <c r="B5562" s="11">
        <f>IFERROR(__xludf.DUMMYFUNCTION("""COMPUTED_VALUE"""),46053.0)</f>
        <v>46053</v>
      </c>
      <c r="C5562" s="2" t="str">
        <f>IFERROR(__xludf.DUMMYFUNCTION("""COMPUTED_VALUE"""),"MOBILECARE - LIMA ESTATE")</f>
        <v>MOBILECARE - LIMA ESTATE</v>
      </c>
      <c r="D5562" s="2" t="str">
        <f>IFERROR(__xludf.DUMMYFUNCTION("""COMPUTED_VALUE"""),"661-22309")</f>
        <v>661-22309</v>
      </c>
      <c r="E5562" s="2" t="str">
        <f>IFERROR(__xludf.DUMMYFUNCTION("""COMPUTED_VALUE"""),"Display, iPhone 13 Pro Max")</f>
        <v>Display, iPhone 13 Pro Max</v>
      </c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</row>
    <row r="5563">
      <c r="A5563" s="10" t="str">
        <f t="shared" si="1"/>
        <v>January</v>
      </c>
      <c r="B5563" s="11">
        <f>IFERROR(__xludf.DUMMYFUNCTION("""COMPUTED_VALUE"""),46053.0)</f>
        <v>46053</v>
      </c>
      <c r="C5563" s="2" t="str">
        <f>IFERROR(__xludf.DUMMYFUNCTION("""COMPUTED_VALUE"""),"MOBILECARE - LIMA ESTATE")</f>
        <v>MOBILECARE - LIMA ESTATE</v>
      </c>
      <c r="D5563" s="2" t="str">
        <f>IFERROR(__xludf.DUMMYFUNCTION("""COMPUTED_VALUE"""),"661-21988")</f>
        <v>661-21988</v>
      </c>
      <c r="E5563" s="2" t="str">
        <f>IFERROR(__xludf.DUMMYFUNCTION("""COMPUTED_VALUE"""),"Display, iPhone 13")</f>
        <v>Display, iPhone 13</v>
      </c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</row>
    <row r="5564">
      <c r="A5564" s="10" t="str">
        <f t="shared" si="1"/>
        <v>January</v>
      </c>
      <c r="B5564" s="11">
        <f>IFERROR(__xludf.DUMMYFUNCTION("""COMPUTED_VALUE"""),46051.0)</f>
        <v>46051</v>
      </c>
      <c r="C5564" s="2" t="str">
        <f>IFERROR(__xludf.DUMMYFUNCTION("""COMPUTED_VALUE"""),"MOBILECARE - LIMA ESTATE")</f>
        <v>MOBILECARE - LIMA ESTATE</v>
      </c>
      <c r="D5564" s="2" t="str">
        <f>IFERROR(__xludf.DUMMYFUNCTION("""COMPUTED_VALUE"""),"661-21988")</f>
        <v>661-21988</v>
      </c>
      <c r="E5564" s="2" t="str">
        <f>IFERROR(__xludf.DUMMYFUNCTION("""COMPUTED_VALUE"""),"Display, iPhone 13")</f>
        <v>Display, iPhone 13</v>
      </c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</row>
    <row r="5565">
      <c r="A5565" s="10" t="str">
        <f t="shared" si="1"/>
        <v>January</v>
      </c>
      <c r="B5565" s="11">
        <f>IFERROR(__xludf.DUMMYFUNCTION("""COMPUTED_VALUE"""),46051.0)</f>
        <v>46051</v>
      </c>
      <c r="C5565" s="2" t="str">
        <f>IFERROR(__xludf.DUMMYFUNCTION("""COMPUTED_VALUE"""),"MOBILECARE - LIMA ESTATE")</f>
        <v>MOBILECARE - LIMA ESTATE</v>
      </c>
      <c r="D5565" s="2" t="str">
        <f>IFERROR(__xludf.DUMMYFUNCTION("""COMPUTED_VALUE"""),"661-44955")</f>
        <v>661-44955</v>
      </c>
      <c r="E5565" s="2" t="str">
        <f>IFERROR(__xludf.DUMMYFUNCTION("""COMPUTED_VALUE"""),"Display, iPhone 16 Pro Max")</f>
        <v>Display, iPhone 16 Pro Max</v>
      </c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</row>
    <row r="5566">
      <c r="A5566" s="10" t="str">
        <f t="shared" si="1"/>
        <v>June</v>
      </c>
      <c r="B5566" s="11">
        <f>IFERROR(__xludf.DUMMYFUNCTION("""COMPUTED_VALUE"""),46193.0)</f>
        <v>46193</v>
      </c>
      <c r="C5566" s="2" t="str">
        <f>IFERROR(__xludf.DUMMYFUNCTION("""COMPUTED_VALUE"""),"MOBILECARE - LIMA ESTATE")</f>
        <v>MOBILECARE - LIMA ESTATE</v>
      </c>
      <c r="D5566" s="2" t="str">
        <f>IFERROR(__xludf.DUMMYFUNCTION("""COMPUTED_VALUE"""),"661-42727")</f>
        <v>661-42727</v>
      </c>
      <c r="E5566" s="2" t="str">
        <f>IFERROR(__xludf.DUMMYFUNCTION("""COMPUTED_VALUE"""),"TrueDepth Camera, iPhone 16 Pro")</f>
        <v>TrueDepth Camera, iPhone 16 Pro</v>
      </c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</row>
    <row r="5567">
      <c r="A5567" s="10" t="str">
        <f t="shared" si="1"/>
        <v>June</v>
      </c>
      <c r="B5567" s="11">
        <f>IFERROR(__xludf.DUMMYFUNCTION("""COMPUTED_VALUE"""),46191.0)</f>
        <v>46191</v>
      </c>
      <c r="C5567" s="2" t="str">
        <f>IFERROR(__xludf.DUMMYFUNCTION("""COMPUTED_VALUE"""),"MOBILECARE - LIMA ESTATE")</f>
        <v>MOBILECARE - LIMA ESTATE</v>
      </c>
      <c r="D5567" s="2" t="str">
        <f>IFERROR(__xludf.DUMMYFUNCTION("""COMPUTED_VALUE"""),"661-21991")</f>
        <v>661-21991</v>
      </c>
      <c r="E5567" s="2" t="str">
        <f>IFERROR(__xludf.DUMMYFUNCTION("""COMPUTED_VALUE"""),"Battery, iPhone 13")</f>
        <v>Battery, iPhone 13</v>
      </c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</row>
    <row r="5568">
      <c r="A5568" s="10" t="str">
        <f t="shared" si="1"/>
        <v>May</v>
      </c>
      <c r="B5568" s="11">
        <f>IFERROR(__xludf.DUMMYFUNCTION("""COMPUTED_VALUE"""),46172.0)</f>
        <v>46172</v>
      </c>
      <c r="C5568" s="2" t="str">
        <f>IFERROR(__xludf.DUMMYFUNCTION("""COMPUTED_VALUE"""),"MOBILECARE - LIMA ESTATE")</f>
        <v>MOBILECARE - LIMA ESTATE</v>
      </c>
      <c r="D5568" s="2" t="str">
        <f>IFERROR(__xludf.DUMMYFUNCTION("""COMPUTED_VALUE"""),"661-30382")</f>
        <v>661-30382</v>
      </c>
      <c r="E5568" s="2" t="str">
        <f>IFERROR(__xludf.DUMMYFUNCTION("""COMPUTED_VALUE"""),"Battery, iPhone 14 Pro")</f>
        <v>Battery, iPhone 14 Pro</v>
      </c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</row>
    <row r="5569">
      <c r="A5569" s="10" t="str">
        <f t="shared" si="1"/>
        <v>June</v>
      </c>
      <c r="B5569" s="11">
        <f>IFERROR(__xludf.DUMMYFUNCTION("""COMPUTED_VALUE"""),46187.0)</f>
        <v>46187</v>
      </c>
      <c r="C5569" s="2" t="str">
        <f>IFERROR(__xludf.DUMMYFUNCTION("""COMPUTED_VALUE"""),"MOBILECARE - LIMA ESTATE")</f>
        <v>MOBILECARE - LIMA ESTATE</v>
      </c>
      <c r="D5569" s="2" t="str">
        <f>IFERROR(__xludf.DUMMYFUNCTION("""COMPUTED_VALUE"""),"PP661-23454")</f>
        <v>PP661-23454</v>
      </c>
      <c r="E5569" s="2" t="str">
        <f>IFERROR(__xludf.DUMMYFUNCTION("""COMPUTED_VALUE"""),"iPhone 13, Midnight, 128GB, Logic Board Assy Rear System, ROW")</f>
        <v>iPhone 13, Midnight, 128GB, Logic Board Assy Rear System, ROW</v>
      </c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</row>
    <row r="5570">
      <c r="A5570" s="10" t="str">
        <f t="shared" si="1"/>
        <v>June</v>
      </c>
      <c r="B5570" s="11">
        <f>IFERROR(__xludf.DUMMYFUNCTION("""COMPUTED_VALUE"""),46186.0)</f>
        <v>46186</v>
      </c>
      <c r="C5570" s="2" t="str">
        <f>IFERROR(__xludf.DUMMYFUNCTION("""COMPUTED_VALUE"""),"MOBILECARE - LIMA ESTATE")</f>
        <v>MOBILECARE - LIMA ESTATE</v>
      </c>
      <c r="D5570" s="2" t="str">
        <f>IFERROR(__xludf.DUMMYFUNCTION("""COMPUTED_VALUE"""),"TA661-36691")</f>
        <v>TA661-36691</v>
      </c>
      <c r="E5570" s="2" t="str">
        <f>IFERROR(__xludf.DUMMYFUNCTION("""COMPUTED_VALUE"""),"iPhone 15, Black, 128GB, Logic Board Assy Mid System, ROW")</f>
        <v>iPhone 15, Black, 128GB, Logic Board Assy Mid System, ROW</v>
      </c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</row>
    <row r="5571">
      <c r="A5571" s="10" t="str">
        <f t="shared" si="1"/>
        <v>April</v>
      </c>
      <c r="B5571" s="11">
        <f>IFERROR(__xludf.DUMMYFUNCTION("""COMPUTED_VALUE"""),46135.0)</f>
        <v>46135</v>
      </c>
      <c r="C5571" s="2" t="str">
        <f>IFERROR(__xludf.DUMMYFUNCTION("""COMPUTED_VALUE"""),"MOBILECARE - LIMA ESTATE")</f>
        <v>MOBILECARE - LIMA ESTATE</v>
      </c>
      <c r="D5571" s="2" t="str">
        <f>IFERROR(__xludf.DUMMYFUNCTION("""COMPUTED_VALUE"""),"661-21988")</f>
        <v>661-21988</v>
      </c>
      <c r="E5571" s="2" t="str">
        <f>IFERROR(__xludf.DUMMYFUNCTION("""COMPUTED_VALUE"""),"Display, iPhone 13")</f>
        <v>Display, iPhone 13</v>
      </c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</row>
    <row r="5572">
      <c r="A5572" s="10" t="str">
        <f t="shared" si="1"/>
        <v>April</v>
      </c>
      <c r="B5572" s="11">
        <f>IFERROR(__xludf.DUMMYFUNCTION("""COMPUTED_VALUE"""),46127.0)</f>
        <v>46127</v>
      </c>
      <c r="C5572" s="2" t="str">
        <f>IFERROR(__xludf.DUMMYFUNCTION("""COMPUTED_VALUE"""),"MOBILECARE - LIMA ESTATE")</f>
        <v>MOBILECARE - LIMA ESTATE</v>
      </c>
      <c r="D5572" s="2" t="str">
        <f>IFERROR(__xludf.DUMMYFUNCTION("""COMPUTED_VALUE"""),"661-42844")</f>
        <v>661-42844</v>
      </c>
      <c r="E5572" s="2" t="str">
        <f>IFERROR(__xludf.DUMMYFUNCTION("""COMPUTED_VALUE"""),"TrueDepth Camera, iPhone 16 Plus")</f>
        <v>TrueDepth Camera, iPhone 16 Plus</v>
      </c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</row>
    <row r="5573">
      <c r="A5573" s="10" t="str">
        <f t="shared" si="1"/>
        <v>June</v>
      </c>
      <c r="B5573" s="11">
        <f>IFERROR(__xludf.DUMMYFUNCTION("""COMPUTED_VALUE"""),46187.0)</f>
        <v>46187</v>
      </c>
      <c r="C5573" s="2" t="str">
        <f>IFERROR(__xludf.DUMMYFUNCTION("""COMPUTED_VALUE"""),"MOBILECARE - LIMA ESTATE")</f>
        <v>MOBILECARE - LIMA ESTATE</v>
      </c>
      <c r="D5573" s="2" t="str">
        <f>IFERROR(__xludf.DUMMYFUNCTION("""COMPUTED_VALUE"""),"TA661-36896")</f>
        <v>TA661-36896</v>
      </c>
      <c r="E5573" s="2" t="str">
        <f>IFERROR(__xludf.DUMMYFUNCTION("""COMPUTED_VALUE"""),"Natural, iPhone 15 Pro Max, 256GB, ROW, CI/AR, Taiwan")</f>
        <v>Natural, iPhone 15 Pro Max, 256GB, ROW, CI/AR, Taiwan</v>
      </c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</row>
    <row r="5574">
      <c r="A5574" s="10" t="str">
        <f t="shared" si="1"/>
        <v>June</v>
      </c>
      <c r="B5574" s="11">
        <f>IFERROR(__xludf.DUMMYFUNCTION("""COMPUTED_VALUE"""),46187.0)</f>
        <v>46187</v>
      </c>
      <c r="C5574" s="2" t="str">
        <f>IFERROR(__xludf.DUMMYFUNCTION("""COMPUTED_VALUE"""),"MOBILECARE - LIMA ESTATE")</f>
        <v>MOBILECARE - LIMA ESTATE</v>
      </c>
      <c r="D5574" s="2" t="str">
        <f>IFERROR(__xludf.DUMMYFUNCTION("""COMPUTED_VALUE"""),"TA661-36896")</f>
        <v>TA661-36896</v>
      </c>
      <c r="E5574" s="2" t="str">
        <f>IFERROR(__xludf.DUMMYFUNCTION("""COMPUTED_VALUE"""),"Natural, iPhone 15 Pro Max, 256GB, ROW, CI/AR, Taiwan")</f>
        <v>Natural, iPhone 15 Pro Max, 256GB, ROW, CI/AR, Taiwan</v>
      </c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</row>
    <row r="5575">
      <c r="A5575" s="10" t="str">
        <f t="shared" si="1"/>
        <v>March</v>
      </c>
      <c r="B5575" s="11">
        <f>IFERROR(__xludf.DUMMYFUNCTION("""COMPUTED_VALUE"""),46102.0)</f>
        <v>46102</v>
      </c>
      <c r="C5575" s="2" t="str">
        <f>IFERROR(__xludf.DUMMYFUNCTION("""COMPUTED_VALUE"""),"MOBILECARE - LIMA ESTATE")</f>
        <v>MOBILECARE - LIMA ESTATE</v>
      </c>
      <c r="D5575" s="2" t="str">
        <f>IFERROR(__xludf.DUMMYFUNCTION("""COMPUTED_VALUE"""),"661-22309")</f>
        <v>661-22309</v>
      </c>
      <c r="E5575" s="2" t="str">
        <f>IFERROR(__xludf.DUMMYFUNCTION("""COMPUTED_VALUE"""),"Display, iPhone 13 Pro Max")</f>
        <v>Display, iPhone 13 Pro Max</v>
      </c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</row>
    <row r="5576">
      <c r="A5576" s="10" t="str">
        <f t="shared" si="1"/>
        <v>April</v>
      </c>
      <c r="B5576" s="11">
        <f>IFERROR(__xludf.DUMMYFUNCTION("""COMPUTED_VALUE"""),46119.0)</f>
        <v>46119</v>
      </c>
      <c r="C5576" s="2" t="str">
        <f>IFERROR(__xludf.DUMMYFUNCTION("""COMPUTED_VALUE"""),"MOBILECARE - LIMA ESTATE")</f>
        <v>MOBILECARE - LIMA ESTATE</v>
      </c>
      <c r="D5576" s="2" t="str">
        <f>IFERROR(__xludf.DUMMYFUNCTION("""COMPUTED_VALUE"""),"PP661-23455")</f>
        <v>PP661-23455</v>
      </c>
      <c r="E5576" s="2" t="str">
        <f>IFERROR(__xludf.DUMMYFUNCTION("""COMPUTED_VALUE"""),"iPhone 13, Starlight, 128GB, Logic Board Assy Rear System, ROW")</f>
        <v>iPhone 13, Starlight, 128GB, Logic Board Assy Rear System, ROW</v>
      </c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</row>
    <row r="5577">
      <c r="A5577" s="10" t="str">
        <f t="shared" si="1"/>
        <v>March</v>
      </c>
      <c r="B5577" s="11">
        <f>IFERROR(__xludf.DUMMYFUNCTION("""COMPUTED_VALUE"""),46093.0)</f>
        <v>46093</v>
      </c>
      <c r="C5577" s="2" t="str">
        <f>IFERROR(__xludf.DUMMYFUNCTION("""COMPUTED_VALUE"""),"MOBILECARE - LIMA ESTATE")</f>
        <v>MOBILECARE - LIMA ESTATE</v>
      </c>
      <c r="D5577" s="2" t="str">
        <f>IFERROR(__xludf.DUMMYFUNCTION("""COMPUTED_VALUE"""),"661-44797")</f>
        <v>661-44797</v>
      </c>
      <c r="E5577" s="2" t="str">
        <f>IFERROR(__xludf.DUMMYFUNCTION("""COMPUTED_VALUE"""),"Display, iPhone 16")</f>
        <v>Display, iPhone 16</v>
      </c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</row>
    <row r="5578">
      <c r="A5578" s="10" t="str">
        <f t="shared" si="1"/>
        <v>March</v>
      </c>
      <c r="B5578" s="11">
        <f>IFERROR(__xludf.DUMMYFUNCTION("""COMPUTED_VALUE"""),46090.0)</f>
        <v>46090</v>
      </c>
      <c r="C5578" s="2" t="str">
        <f>IFERROR(__xludf.DUMMYFUNCTION("""COMPUTED_VALUE"""),"MOBILECARE - LIMA ESTATE")</f>
        <v>MOBILECARE - LIMA ESTATE</v>
      </c>
      <c r="D5578" s="2" t="str">
        <f>IFERROR(__xludf.DUMMYFUNCTION("""COMPUTED_VALUE"""),"661-44955")</f>
        <v>661-44955</v>
      </c>
      <c r="E5578" s="2" t="str">
        <f>IFERROR(__xludf.DUMMYFUNCTION("""COMPUTED_VALUE"""),"Display, iPhone 16 Pro Max")</f>
        <v>Display, iPhone 16 Pro Max</v>
      </c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</row>
    <row r="5579">
      <c r="A5579" s="10" t="str">
        <f t="shared" si="1"/>
        <v>March</v>
      </c>
      <c r="B5579" s="11">
        <f>IFERROR(__xludf.DUMMYFUNCTION("""COMPUTED_VALUE"""),46087.0)</f>
        <v>46087</v>
      </c>
      <c r="C5579" s="2" t="str">
        <f>IFERROR(__xludf.DUMMYFUNCTION("""COMPUTED_VALUE"""),"MOBILECARE - LIMA ESTATE")</f>
        <v>MOBILECARE - LIMA ESTATE</v>
      </c>
      <c r="D5579" s="2" t="str">
        <f>IFERROR(__xludf.DUMMYFUNCTION("""COMPUTED_VALUE"""),"661-35697")</f>
        <v>661-35697</v>
      </c>
      <c r="E5579" s="2" t="str">
        <f>IFERROR(__xludf.DUMMYFUNCTION("""COMPUTED_VALUE"""),"TrueDepth Camera, iPhone 15 Pro")</f>
        <v>TrueDepth Camera, iPhone 15 Pro</v>
      </c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</row>
    <row r="5580">
      <c r="A5580" s="10" t="str">
        <f t="shared" si="1"/>
        <v>March</v>
      </c>
      <c r="B5580" s="11">
        <f>IFERROR(__xludf.DUMMYFUNCTION("""COMPUTED_VALUE"""),46087.0)</f>
        <v>46087</v>
      </c>
      <c r="C5580" s="2" t="str">
        <f>IFERROR(__xludf.DUMMYFUNCTION("""COMPUTED_VALUE"""),"MOBILECARE - LIMA ESTATE")</f>
        <v>MOBILECARE - LIMA ESTATE</v>
      </c>
      <c r="D5580" s="2" t="str">
        <f>IFERROR(__xludf.DUMMYFUNCTION("""COMPUTED_VALUE"""),"661-35696")</f>
        <v>661-35696</v>
      </c>
      <c r="E5580" s="2" t="str">
        <f>IFERROR(__xludf.DUMMYFUNCTION("""COMPUTED_VALUE"""),"Camera , iPhone 15 Pro")</f>
        <v>Camera , iPhone 15 Pro</v>
      </c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</row>
    <row r="5581">
      <c r="A5581" s="10" t="str">
        <f t="shared" si="1"/>
        <v>March</v>
      </c>
      <c r="B5581" s="11">
        <f>IFERROR(__xludf.DUMMYFUNCTION("""COMPUTED_VALUE"""),46092.0)</f>
        <v>46092</v>
      </c>
      <c r="C5581" s="2" t="str">
        <f>IFERROR(__xludf.DUMMYFUNCTION("""COMPUTED_VALUE"""),"MOBILECARE - LIMA ESTATE")</f>
        <v>MOBILECARE - LIMA ESTATE</v>
      </c>
      <c r="D5581" s="2" t="str">
        <f>IFERROR(__xludf.DUMMYFUNCTION("""COMPUTED_VALUE"""),"PP661-23454")</f>
        <v>PP661-23454</v>
      </c>
      <c r="E5581" s="2" t="str">
        <f>IFERROR(__xludf.DUMMYFUNCTION("""COMPUTED_VALUE"""),"iPhone 13, Midnight, 128GB, Logic Board Assy Rear System, ROW")</f>
        <v>iPhone 13, Midnight, 128GB, Logic Board Assy Rear System, ROW</v>
      </c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</row>
    <row r="5582">
      <c r="A5582" s="10" t="str">
        <f t="shared" si="1"/>
        <v>March</v>
      </c>
      <c r="B5582" s="11">
        <f>IFERROR(__xludf.DUMMYFUNCTION("""COMPUTED_VALUE"""),46087.0)</f>
        <v>46087</v>
      </c>
      <c r="C5582" s="2" t="str">
        <f>IFERROR(__xludf.DUMMYFUNCTION("""COMPUTED_VALUE"""),"MOBILECARE - LIMA ESTATE")</f>
        <v>MOBILECARE - LIMA ESTATE</v>
      </c>
      <c r="D5582" s="2" t="str">
        <f>IFERROR(__xludf.DUMMYFUNCTION("""COMPUTED_VALUE"""),"661-21991")</f>
        <v>661-21991</v>
      </c>
      <c r="E5582" s="2" t="str">
        <f>IFERROR(__xludf.DUMMYFUNCTION("""COMPUTED_VALUE"""),"Battery, iPhone 13")</f>
        <v>Battery, iPhone 13</v>
      </c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</row>
    <row r="5583">
      <c r="A5583" s="10" t="str">
        <f t="shared" si="1"/>
        <v>February</v>
      </c>
      <c r="B5583" s="11">
        <f>IFERROR(__xludf.DUMMYFUNCTION("""COMPUTED_VALUE"""),46067.0)</f>
        <v>46067</v>
      </c>
      <c r="C5583" s="2" t="str">
        <f>IFERROR(__xludf.DUMMYFUNCTION("""COMPUTED_VALUE"""),"MOBILECARE - LIMA ESTATE")</f>
        <v>MOBILECARE - LIMA ESTATE</v>
      </c>
      <c r="D5583" s="2" t="str">
        <f>IFERROR(__xludf.DUMMYFUNCTION("""COMPUTED_VALUE"""),"661-30382")</f>
        <v>661-30382</v>
      </c>
      <c r="E5583" s="2" t="str">
        <f>IFERROR(__xludf.DUMMYFUNCTION("""COMPUTED_VALUE"""),"Battery, iPhone 14 Pro")</f>
        <v>Battery, iPhone 14 Pro</v>
      </c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</row>
    <row r="5584">
      <c r="A5584" s="10" t="str">
        <f t="shared" si="1"/>
        <v>February</v>
      </c>
      <c r="B5584" s="11">
        <f>IFERROR(__xludf.DUMMYFUNCTION("""COMPUTED_VALUE"""),46069.0)</f>
        <v>46069</v>
      </c>
      <c r="C5584" s="2" t="str">
        <f>IFERROR(__xludf.DUMMYFUNCTION("""COMPUTED_VALUE"""),"MOBILECARE - LIMA ESTATE")</f>
        <v>MOBILECARE - LIMA ESTATE</v>
      </c>
      <c r="D5584" s="2" t="str">
        <f>IFERROR(__xludf.DUMMYFUNCTION("""COMPUTED_VALUE"""),"661-30397")</f>
        <v>661-30397</v>
      </c>
      <c r="E5584" s="2" t="str">
        <f>IFERROR(__xludf.DUMMYFUNCTION("""COMPUTED_VALUE"""),"Battery, iPhone 14 Pro Max")</f>
        <v>Battery, iPhone 14 Pro Max</v>
      </c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</row>
    <row r="5585">
      <c r="A5585" s="10" t="str">
        <f t="shared" si="1"/>
        <v>February</v>
      </c>
      <c r="B5585" s="11">
        <f>IFERROR(__xludf.DUMMYFUNCTION("""COMPUTED_VALUE"""),46064.0)</f>
        <v>46064</v>
      </c>
      <c r="C5585" s="2" t="str">
        <f>IFERROR(__xludf.DUMMYFUNCTION("""COMPUTED_VALUE"""),"MOBILECARE - LIMA ESTATE")</f>
        <v>MOBILECARE - LIMA ESTATE</v>
      </c>
      <c r="D5585" s="2" t="str">
        <f>IFERROR(__xludf.DUMMYFUNCTION("""COMPUTED_VALUE"""),"661-36838")</f>
        <v>661-36838</v>
      </c>
      <c r="E5585" s="2" t="str">
        <f>IFERROR(__xludf.DUMMYFUNCTION("""COMPUTED_VALUE"""),"Black, Back Glass, iPhone 15")</f>
        <v>Black, Back Glass, iPhone 15</v>
      </c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</row>
    <row r="5586">
      <c r="A5586" s="10" t="str">
        <f t="shared" si="1"/>
        <v>February</v>
      </c>
      <c r="B5586" s="11">
        <f>IFERROR(__xludf.DUMMYFUNCTION("""COMPUTED_VALUE"""),46073.0)</f>
        <v>46073</v>
      </c>
      <c r="C5586" s="2" t="str">
        <f>IFERROR(__xludf.DUMMYFUNCTION("""COMPUTED_VALUE"""),"MOBILECARE - LIMA ESTATE")</f>
        <v>MOBILECARE - LIMA ESTATE</v>
      </c>
      <c r="D5586" s="2" t="str">
        <f>IFERROR(__xludf.DUMMYFUNCTION("""COMPUTED_VALUE"""),"PP661-23454")</f>
        <v>PP661-23454</v>
      </c>
      <c r="E5586" s="2" t="str">
        <f>IFERROR(__xludf.DUMMYFUNCTION("""COMPUTED_VALUE"""),"iPhone 13, Midnight, 128GB, Logic Board Assy Rear System, ROW")</f>
        <v>iPhone 13, Midnight, 128GB, Logic Board Assy Rear System, ROW</v>
      </c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</row>
    <row r="5587">
      <c r="A5587" s="10" t="str">
        <f t="shared" si="1"/>
        <v>February</v>
      </c>
      <c r="B5587" s="11">
        <f>IFERROR(__xludf.DUMMYFUNCTION("""COMPUTED_VALUE"""),46054.0)</f>
        <v>46054</v>
      </c>
      <c r="C5587" s="2" t="str">
        <f>IFERROR(__xludf.DUMMYFUNCTION("""COMPUTED_VALUE"""),"MOBILECARE - LIMA ESTATE")</f>
        <v>MOBILECARE - LIMA ESTATE</v>
      </c>
      <c r="D5587" s="2" t="str">
        <f>IFERROR(__xludf.DUMMYFUNCTION("""COMPUTED_VALUE"""),"661-56050")</f>
        <v>661-56050</v>
      </c>
      <c r="E5587" s="2" t="str">
        <f>IFERROR(__xludf.DUMMYFUNCTION("""COMPUTED_VALUE"""),"Display, iPhone 17 Pro Max")</f>
        <v>Display, iPhone 17 Pro Max</v>
      </c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</row>
    <row r="5588">
      <c r="A5588" s="10" t="str">
        <f t="shared" si="1"/>
        <v>February</v>
      </c>
      <c r="B5588" s="11">
        <f>IFERROR(__xludf.DUMMYFUNCTION("""COMPUTED_VALUE"""),46062.0)</f>
        <v>46062</v>
      </c>
      <c r="C5588" s="2" t="str">
        <f>IFERROR(__xludf.DUMMYFUNCTION("""COMPUTED_VALUE"""),"MOBILECARE - LIMA ESTATE")</f>
        <v>MOBILECARE - LIMA ESTATE</v>
      </c>
      <c r="D5588" s="2" t="str">
        <f>IFERROR(__xludf.DUMMYFUNCTION("""COMPUTED_VALUE"""),"TA661-45236")</f>
        <v>TA661-45236</v>
      </c>
      <c r="E5588" s="2" t="str">
        <f>IFERROR(__xludf.DUMMYFUNCTION("""COMPUTED_VALUE"""),"256GB, Black, ROW, iPhone 16 Plus, Logic Board Assy Mid System")</f>
        <v>256GB, Black, ROW, iPhone 16 Plus, Logic Board Assy Mid System</v>
      </c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</row>
    <row r="5589">
      <c r="A5589" s="10" t="str">
        <f t="shared" si="1"/>
        <v>January</v>
      </c>
      <c r="B5589" s="11">
        <f>IFERROR(__xludf.DUMMYFUNCTION("""COMPUTED_VALUE"""),46046.0)</f>
        <v>46046</v>
      </c>
      <c r="C5589" s="2" t="str">
        <f>IFERROR(__xludf.DUMMYFUNCTION("""COMPUTED_VALUE"""),"MOBILECARE - LIMA ESTATE")</f>
        <v>MOBILECARE - LIMA ESTATE</v>
      </c>
      <c r="D5589" s="2" t="str">
        <f>IFERROR(__xludf.DUMMYFUNCTION("""COMPUTED_VALUE"""),"661-13574")</f>
        <v>661-13574</v>
      </c>
      <c r="E5589" s="2" t="str">
        <f>IFERROR(__xludf.DUMMYFUNCTION("""COMPUTED_VALUE"""),"Battery, iPhone 11")</f>
        <v>Battery, iPhone 11</v>
      </c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</row>
    <row r="5590">
      <c r="A5590" s="10" t="str">
        <f t="shared" si="1"/>
        <v>June</v>
      </c>
      <c r="B5590" s="11">
        <f>IFERROR(__xludf.DUMMYFUNCTION("""COMPUTED_VALUE"""),46185.0)</f>
        <v>46185</v>
      </c>
      <c r="C5590" s="2" t="str">
        <f>IFERROR(__xludf.DUMMYFUNCTION("""COMPUTED_VALUE"""),"MOBILECARE - LIMA ESTATE")</f>
        <v>MOBILECARE - LIMA ESTATE</v>
      </c>
      <c r="D5590" s="2" t="str">
        <f>IFERROR(__xludf.DUMMYFUNCTION("""COMPUTED_VALUE"""),"661-17920")</f>
        <v>661-17920</v>
      </c>
      <c r="E5590" s="2" t="str">
        <f>IFERROR(__xludf.DUMMYFUNCTION("""COMPUTED_VALUE"""),"Battery, iPhone 12 and 12 Pro")</f>
        <v>Battery, iPhone 12 and 12 Pro</v>
      </c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</row>
    <row r="5591">
      <c r="A5591" s="10" t="str">
        <f t="shared" si="1"/>
        <v>June</v>
      </c>
      <c r="B5591" s="11">
        <f>IFERROR(__xludf.DUMMYFUNCTION("""COMPUTED_VALUE"""),46185.0)</f>
        <v>46185</v>
      </c>
      <c r="C5591" s="2" t="str">
        <f>IFERROR(__xludf.DUMMYFUNCTION("""COMPUTED_VALUE"""),"MOBILECARE - LIMA ESTATE")</f>
        <v>MOBILECARE - LIMA ESTATE</v>
      </c>
      <c r="D5591" s="2" t="str">
        <f>IFERROR(__xludf.DUMMYFUNCTION("""COMPUTED_VALUE"""),"661-18503")</f>
        <v>661-18503</v>
      </c>
      <c r="E5591" s="2" t="str">
        <f>IFERROR(__xludf.DUMMYFUNCTION("""COMPUTED_VALUE"""),"Display, iPhone 12")</f>
        <v>Display, iPhone 12</v>
      </c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</row>
    <row r="5592">
      <c r="A5592" s="10" t="str">
        <f t="shared" si="1"/>
        <v>April</v>
      </c>
      <c r="B5592" s="11">
        <f>IFERROR(__xludf.DUMMYFUNCTION("""COMPUTED_VALUE"""),46129.0)</f>
        <v>46129</v>
      </c>
      <c r="C5592" s="2" t="str">
        <f>IFERROR(__xludf.DUMMYFUNCTION("""COMPUTED_VALUE"""),"MOBILECARE - LIMA ESTATE")</f>
        <v>MOBILECARE - LIMA ESTATE</v>
      </c>
      <c r="D5592" s="2" t="str">
        <f>IFERROR(__xludf.DUMMYFUNCTION("""COMPUTED_VALUE"""),"661-30382")</f>
        <v>661-30382</v>
      </c>
      <c r="E5592" s="2" t="str">
        <f>IFERROR(__xludf.DUMMYFUNCTION("""COMPUTED_VALUE"""),"Battery, iPhone 14 Pro")</f>
        <v>Battery, iPhone 14 Pro</v>
      </c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</row>
    <row r="5593">
      <c r="A5593" s="10" t="str">
        <f t="shared" si="1"/>
        <v>March</v>
      </c>
      <c r="B5593" s="11">
        <f>IFERROR(__xludf.DUMMYFUNCTION("""COMPUTED_VALUE"""),46090.0)</f>
        <v>46090</v>
      </c>
      <c r="C5593" s="2" t="str">
        <f>IFERROR(__xludf.DUMMYFUNCTION("""COMPUTED_VALUE"""),"MOBILECARE - LIMA ESTATE")</f>
        <v>MOBILECARE - LIMA ESTATE</v>
      </c>
      <c r="D5593" s="2" t="str">
        <f>IFERROR(__xludf.DUMMYFUNCTION("""COMPUTED_VALUE"""),"TA661-45331")</f>
        <v>TA661-45331</v>
      </c>
      <c r="E5593" s="2" t="str">
        <f>IFERROR(__xludf.DUMMYFUNCTION("""COMPUTED_VALUE"""),"1TB, Desert Titanium, ROW, iPhone 16 Pro Max, Logic Board Assy Mid Syste")</f>
        <v>1TB, Desert Titanium, ROW, iPhone 16 Pro Max, Logic Board Assy Mid Syste</v>
      </c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</row>
    <row r="5594">
      <c r="A5594" s="10" t="str">
        <f t="shared" si="1"/>
        <v>March</v>
      </c>
      <c r="B5594" s="11">
        <f>IFERROR(__xludf.DUMMYFUNCTION("""COMPUTED_VALUE"""),46082.0)</f>
        <v>46082</v>
      </c>
      <c r="C5594" s="2" t="str">
        <f>IFERROR(__xludf.DUMMYFUNCTION("""COMPUTED_VALUE"""),"MOBILECARE - LIMA ESTATE")</f>
        <v>MOBILECARE - LIMA ESTATE</v>
      </c>
      <c r="D5594" s="2" t="str">
        <f>IFERROR(__xludf.DUMMYFUNCTION("""COMPUTED_VALUE"""),"TA661-43605")</f>
        <v>TA661-43605</v>
      </c>
      <c r="E5594" s="2" t="str">
        <f>IFERROR(__xludf.DUMMYFUNCTION("""COMPUTED_VALUE"""),"128GB, Black, ROW, iPhone 16, Logic Board Assy Mid System")</f>
        <v>128GB, Black, ROW, iPhone 16, Logic Board Assy Mid System</v>
      </c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</row>
    <row r="5595">
      <c r="A5595" s="10" t="str">
        <f t="shared" si="1"/>
        <v>February</v>
      </c>
      <c r="B5595" s="11">
        <f>IFERROR(__xludf.DUMMYFUNCTION("""COMPUTED_VALUE"""),46074.0)</f>
        <v>46074</v>
      </c>
      <c r="C5595" s="2" t="str">
        <f>IFERROR(__xludf.DUMMYFUNCTION("""COMPUTED_VALUE"""),"MOBILECARE - LIMA ESTATE")</f>
        <v>MOBILECARE - LIMA ESTATE</v>
      </c>
      <c r="D5595" s="2" t="str">
        <f>IFERROR(__xludf.DUMMYFUNCTION("""COMPUTED_VALUE"""),"661-18428")</f>
        <v>661-18428</v>
      </c>
      <c r="E5595" s="2" t="str">
        <f>IFERROR(__xludf.DUMMYFUNCTION("""COMPUTED_VALUE"""),"Battery, iPhone 12 Pro Max")</f>
        <v>Battery, iPhone 12 Pro Max</v>
      </c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</row>
    <row r="5596">
      <c r="A5596" s="10" t="str">
        <f t="shared" si="1"/>
        <v>February</v>
      </c>
      <c r="B5596" s="11">
        <f>IFERROR(__xludf.DUMMYFUNCTION("""COMPUTED_VALUE"""),46058.0)</f>
        <v>46058</v>
      </c>
      <c r="C5596" s="2" t="str">
        <f>IFERROR(__xludf.DUMMYFUNCTION("""COMPUTED_VALUE"""),"MOBILECARE - LIMA ESTATE")</f>
        <v>MOBILECARE - LIMA ESTATE</v>
      </c>
      <c r="D5596" s="2" t="str">
        <f>IFERROR(__xludf.DUMMYFUNCTION("""COMPUTED_VALUE"""),"661-21991")</f>
        <v>661-21991</v>
      </c>
      <c r="E5596" s="2" t="str">
        <f>IFERROR(__xludf.DUMMYFUNCTION("""COMPUTED_VALUE"""),"Battery, iPhone 13")</f>
        <v>Battery, iPhone 13</v>
      </c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</row>
    <row r="5597">
      <c r="A5597" s="10" t="str">
        <f t="shared" si="1"/>
        <v>January</v>
      </c>
      <c r="B5597" s="11">
        <f>IFERROR(__xludf.DUMMYFUNCTION("""COMPUTED_VALUE"""),46045.0)</f>
        <v>46045</v>
      </c>
      <c r="C5597" s="2" t="str">
        <f>IFERROR(__xludf.DUMMYFUNCTION("""COMPUTED_VALUE"""),"MOBILECARE - LIMA ESTATE")</f>
        <v>MOBILECARE - LIMA ESTATE</v>
      </c>
      <c r="D5597" s="2" t="str">
        <f>IFERROR(__xludf.DUMMYFUNCTION("""COMPUTED_VALUE"""),"661-21988")</f>
        <v>661-21988</v>
      </c>
      <c r="E5597" s="2" t="str">
        <f>IFERROR(__xludf.DUMMYFUNCTION("""COMPUTED_VALUE"""),"Display, iPhone 13")</f>
        <v>Display, iPhone 13</v>
      </c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</row>
    <row r="5598">
      <c r="A5598" s="10" t="str">
        <f t="shared" si="1"/>
        <v>June</v>
      </c>
      <c r="B5598" s="11">
        <f>IFERROR(__xludf.DUMMYFUNCTION("""COMPUTED_VALUE"""),46192.0)</f>
        <v>46192</v>
      </c>
      <c r="C5598" s="2" t="str">
        <f>IFERROR(__xludf.DUMMYFUNCTION("""COMPUTED_VALUE"""),"MOBILECARE - LIMA ESTATE")</f>
        <v>MOBILECARE - LIMA ESTATE</v>
      </c>
      <c r="D5598" s="2" t="str">
        <f>IFERROR(__xludf.DUMMYFUNCTION("""COMPUTED_VALUE"""),"661-42728")</f>
        <v>661-42728</v>
      </c>
      <c r="E5598" s="2" t="str">
        <f>IFERROR(__xludf.DUMMYFUNCTION("""COMPUTED_VALUE"""),"Camera, iPhone 16 Pro")</f>
        <v>Camera, iPhone 16 Pro</v>
      </c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</row>
    <row r="5599">
      <c r="A5599" s="10" t="str">
        <f t="shared" si="1"/>
        <v>June</v>
      </c>
      <c r="B5599" s="11">
        <f>IFERROR(__xludf.DUMMYFUNCTION("""COMPUTED_VALUE"""),46178.0)</f>
        <v>46178</v>
      </c>
      <c r="C5599" s="2" t="str">
        <f>IFERROR(__xludf.DUMMYFUNCTION("""COMPUTED_VALUE"""),"MOBILECARE - LIMA ESTATE")</f>
        <v>MOBILECARE - LIMA ESTATE</v>
      </c>
      <c r="D5599" s="2" t="str">
        <f>IFERROR(__xludf.DUMMYFUNCTION("""COMPUTED_VALUE"""),"661-36915")</f>
        <v>661-36915</v>
      </c>
      <c r="E5599" s="2" t="str">
        <f>IFERROR(__xludf.DUMMYFUNCTION("""COMPUTED_VALUE"""),"Display, iPhone 15 Pro Max")</f>
        <v>Display, iPhone 15 Pro Max</v>
      </c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</row>
    <row r="5600">
      <c r="A5600" s="10" t="str">
        <f t="shared" si="1"/>
        <v>May</v>
      </c>
      <c r="B5600" s="11">
        <f>IFERROR(__xludf.DUMMYFUNCTION("""COMPUTED_VALUE"""),46166.0)</f>
        <v>46166</v>
      </c>
      <c r="C5600" s="2" t="str">
        <f>IFERROR(__xludf.DUMMYFUNCTION("""COMPUTED_VALUE"""),"MOBILECARE - LIMA ESTATE")</f>
        <v>MOBILECARE - LIMA ESTATE</v>
      </c>
      <c r="D5600" s="2" t="str">
        <f>IFERROR(__xludf.DUMMYFUNCTION("""COMPUTED_VALUE"""),"661-21991")</f>
        <v>661-21991</v>
      </c>
      <c r="E5600" s="2" t="str">
        <f>IFERROR(__xludf.DUMMYFUNCTION("""COMPUTED_VALUE"""),"Battery, iPhone 13")</f>
        <v>Battery, iPhone 13</v>
      </c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</row>
    <row r="5601">
      <c r="A5601" s="10" t="str">
        <f t="shared" si="1"/>
        <v>April</v>
      </c>
      <c r="B5601" s="11">
        <f>IFERROR(__xludf.DUMMYFUNCTION("""COMPUTED_VALUE"""),46136.0)</f>
        <v>46136</v>
      </c>
      <c r="C5601" s="2" t="str">
        <f>IFERROR(__xludf.DUMMYFUNCTION("""COMPUTED_VALUE"""),"MOBILECARE - LIMA ESTATE")</f>
        <v>MOBILECARE - LIMA ESTATE</v>
      </c>
      <c r="D5601" s="2" t="str">
        <f>IFERROR(__xludf.DUMMYFUNCTION("""COMPUTED_VALUE"""),"PP661-23455")</f>
        <v>PP661-23455</v>
      </c>
      <c r="E5601" s="2" t="str">
        <f>IFERROR(__xludf.DUMMYFUNCTION("""COMPUTED_VALUE"""),"iPhone 13, Starlight, 128GB, Logic Board Assy Rear System, ROW")</f>
        <v>iPhone 13, Starlight, 128GB, Logic Board Assy Rear System, ROW</v>
      </c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</row>
    <row r="5602">
      <c r="A5602" s="10" t="str">
        <f t="shared" si="1"/>
        <v>April</v>
      </c>
      <c r="B5602" s="11">
        <f>IFERROR(__xludf.DUMMYFUNCTION("""COMPUTED_VALUE"""),46126.0)</f>
        <v>46126</v>
      </c>
      <c r="C5602" s="2" t="str">
        <f>IFERROR(__xludf.DUMMYFUNCTION("""COMPUTED_VALUE"""),"MOBILECARE - LIMA ESTATE")</f>
        <v>MOBILECARE - LIMA ESTATE</v>
      </c>
      <c r="D5602" s="2" t="str">
        <f>IFERROR(__xludf.DUMMYFUNCTION("""COMPUTED_VALUE"""),"661-21991")</f>
        <v>661-21991</v>
      </c>
      <c r="E5602" s="2" t="str">
        <f>IFERROR(__xludf.DUMMYFUNCTION("""COMPUTED_VALUE"""),"Battery, iPhone 13")</f>
        <v>Battery, iPhone 13</v>
      </c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</row>
    <row r="5603">
      <c r="A5603" s="10" t="str">
        <f t="shared" si="1"/>
        <v>April</v>
      </c>
      <c r="B5603" s="11">
        <f>IFERROR(__xludf.DUMMYFUNCTION("""COMPUTED_VALUE"""),46127.0)</f>
        <v>46127</v>
      </c>
      <c r="C5603" s="2" t="str">
        <f>IFERROR(__xludf.DUMMYFUNCTION("""COMPUTED_VALUE"""),"MOBILECARE - LIMA ESTATE")</f>
        <v>MOBILECARE - LIMA ESTATE</v>
      </c>
      <c r="D5603" s="2" t="str">
        <f>IFERROR(__xludf.DUMMYFUNCTION("""COMPUTED_VALUE"""),"PP661-23454")</f>
        <v>PP661-23454</v>
      </c>
      <c r="E5603" s="2" t="str">
        <f>IFERROR(__xludf.DUMMYFUNCTION("""COMPUTED_VALUE"""),"iPhone 13, Midnight, 128GB, Logic Board Assy Rear System, ROW")</f>
        <v>iPhone 13, Midnight, 128GB, Logic Board Assy Rear System, ROW</v>
      </c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</row>
    <row r="5604">
      <c r="A5604" s="10" t="str">
        <f t="shared" si="1"/>
        <v>March</v>
      </c>
      <c r="B5604" s="11">
        <f>IFERROR(__xludf.DUMMYFUNCTION("""COMPUTED_VALUE"""),46085.0)</f>
        <v>46085</v>
      </c>
      <c r="C5604" s="2" t="str">
        <f>IFERROR(__xludf.DUMMYFUNCTION("""COMPUTED_VALUE"""),"MOBILECARE - LIMA ESTATE")</f>
        <v>MOBILECARE - LIMA ESTATE</v>
      </c>
      <c r="D5604" s="2" t="str">
        <f>IFERROR(__xludf.DUMMYFUNCTION("""COMPUTED_VALUE"""),"661-22309")</f>
        <v>661-22309</v>
      </c>
      <c r="E5604" s="2" t="str">
        <f>IFERROR(__xludf.DUMMYFUNCTION("""COMPUTED_VALUE"""),"Display, iPhone 13 Pro Max")</f>
        <v>Display, iPhone 13 Pro Max</v>
      </c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</row>
    <row r="5605">
      <c r="A5605" s="10" t="str">
        <f t="shared" si="1"/>
        <v>February</v>
      </c>
      <c r="B5605" s="11">
        <f>IFERROR(__xludf.DUMMYFUNCTION("""COMPUTED_VALUE"""),46074.0)</f>
        <v>46074</v>
      </c>
      <c r="C5605" s="2" t="str">
        <f>IFERROR(__xludf.DUMMYFUNCTION("""COMPUTED_VALUE"""),"MOBILECARE - LIMA ESTATE")</f>
        <v>MOBILECARE - LIMA ESTATE</v>
      </c>
      <c r="D5605" s="2" t="str">
        <f>IFERROR(__xludf.DUMMYFUNCTION("""COMPUTED_VALUE"""),"661-56050")</f>
        <v>661-56050</v>
      </c>
      <c r="E5605" s="2" t="str">
        <f>IFERROR(__xludf.DUMMYFUNCTION("""COMPUTED_VALUE"""),"Display, iPhone 17 Pro Max")</f>
        <v>Display, iPhone 17 Pro Max</v>
      </c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</row>
    <row r="5606">
      <c r="A5606" s="10" t="str">
        <f t="shared" si="1"/>
        <v>February</v>
      </c>
      <c r="B5606" s="11">
        <f>IFERROR(__xludf.DUMMYFUNCTION("""COMPUTED_VALUE"""),46078.0)</f>
        <v>46078</v>
      </c>
      <c r="C5606" s="2" t="str">
        <f>IFERROR(__xludf.DUMMYFUNCTION("""COMPUTED_VALUE"""),"MOBILECARE - LIMA ESTATE")</f>
        <v>MOBILECARE - LIMA ESTATE</v>
      </c>
      <c r="D5606" s="2" t="str">
        <f>IFERROR(__xludf.DUMMYFUNCTION("""COMPUTED_VALUE"""),"TA661-36691")</f>
        <v>TA661-36691</v>
      </c>
      <c r="E5606" s="2" t="str">
        <f>IFERROR(__xludf.DUMMYFUNCTION("""COMPUTED_VALUE"""),"iPhone 15, Black, 128GB, Logic Board Assy Mid System, ROW")</f>
        <v>iPhone 15, Black, 128GB, Logic Board Assy Mid System, ROW</v>
      </c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</row>
    <row r="5607">
      <c r="A5607" s="10" t="str">
        <f t="shared" si="1"/>
        <v>February</v>
      </c>
      <c r="B5607" s="11">
        <f>IFERROR(__xludf.DUMMYFUNCTION("""COMPUTED_VALUE"""),46065.0)</f>
        <v>46065</v>
      </c>
      <c r="C5607" s="2" t="str">
        <f>IFERROR(__xludf.DUMMYFUNCTION("""COMPUTED_VALUE"""),"MOBILECARE - LIMA ESTATE")</f>
        <v>MOBILECARE - LIMA ESTATE</v>
      </c>
      <c r="D5607" s="2" t="str">
        <f>IFERROR(__xludf.DUMMYFUNCTION("""COMPUTED_VALUE"""),"661-21991")</f>
        <v>661-21991</v>
      </c>
      <c r="E5607" s="2" t="str">
        <f>IFERROR(__xludf.DUMMYFUNCTION("""COMPUTED_VALUE"""),"Battery, iPhone 13")</f>
        <v>Battery, iPhone 13</v>
      </c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</row>
    <row r="5608">
      <c r="A5608" s="10" t="str">
        <f t="shared" si="1"/>
        <v>February</v>
      </c>
      <c r="B5608" s="11">
        <f>IFERROR(__xludf.DUMMYFUNCTION("""COMPUTED_VALUE"""),46059.0)</f>
        <v>46059</v>
      </c>
      <c r="C5608" s="2" t="str">
        <f>IFERROR(__xludf.DUMMYFUNCTION("""COMPUTED_VALUE"""),"MOBILECARE - LIMA ESTATE")</f>
        <v>MOBILECARE - LIMA ESTATE</v>
      </c>
      <c r="D5608" s="2" t="str">
        <f>IFERROR(__xludf.DUMMYFUNCTION("""COMPUTED_VALUE"""),"TA661-36287")</f>
        <v>TA661-36287</v>
      </c>
      <c r="E5608" s="2" t="str">
        <f>IFERROR(__xludf.DUMMYFUNCTION("""COMPUTED_VALUE"""),"Pink, iPhone 15, 128GB, ROW, CI/AR, Taiwan")</f>
        <v>Pink, iPhone 15, 128GB, ROW, CI/AR, Taiwan</v>
      </c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</row>
    <row r="5609">
      <c r="A5609" s="10" t="str">
        <f t="shared" si="1"/>
        <v>June</v>
      </c>
      <c r="B5609" s="11">
        <f>IFERROR(__xludf.DUMMYFUNCTION("""COMPUTED_VALUE"""),46193.0)</f>
        <v>46193</v>
      </c>
      <c r="C5609" s="2" t="str">
        <f>IFERROR(__xludf.DUMMYFUNCTION("""COMPUTED_VALUE"""),"MOBILECARE - LIMA ESTATE")</f>
        <v>MOBILECARE - LIMA ESTATE</v>
      </c>
      <c r="D5609" s="2" t="str">
        <f>IFERROR(__xludf.DUMMYFUNCTION("""COMPUTED_VALUE"""),"661-42843")</f>
        <v>661-42843</v>
      </c>
      <c r="E5609" s="2" t="str">
        <f>IFERROR(__xludf.DUMMYFUNCTION("""COMPUTED_VALUE"""),"Display, iPhone 16 Plus")</f>
        <v>Display, iPhone 16 Plus</v>
      </c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</row>
    <row r="5610">
      <c r="A5610" s="10" t="str">
        <f t="shared" si="1"/>
        <v>June</v>
      </c>
      <c r="B5610" s="11">
        <f>IFERROR(__xludf.DUMMYFUNCTION("""COMPUTED_VALUE"""),46190.0)</f>
        <v>46190</v>
      </c>
      <c r="C5610" s="2" t="str">
        <f>IFERROR(__xludf.DUMMYFUNCTION("""COMPUTED_VALUE"""),"MOBILECARE - LIMA ESTATE")</f>
        <v>MOBILECARE - LIMA ESTATE</v>
      </c>
      <c r="D5610" s="2" t="str">
        <f>IFERROR(__xludf.DUMMYFUNCTION("""COMPUTED_VALUE"""),"661-21991")</f>
        <v>661-21991</v>
      </c>
      <c r="E5610" s="2" t="str">
        <f>IFERROR(__xludf.DUMMYFUNCTION("""COMPUTED_VALUE"""),"Battery, iPhone 13")</f>
        <v>Battery, iPhone 13</v>
      </c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</row>
    <row r="5611">
      <c r="A5611" s="10" t="str">
        <f t="shared" si="1"/>
        <v>June</v>
      </c>
      <c r="B5611" s="11">
        <f>IFERROR(__xludf.DUMMYFUNCTION("""COMPUTED_VALUE"""),46179.0)</f>
        <v>46179</v>
      </c>
      <c r="C5611" s="2" t="str">
        <f>IFERROR(__xludf.DUMMYFUNCTION("""COMPUTED_VALUE"""),"MOBILECARE - LIMA ESTATE")</f>
        <v>MOBILECARE - LIMA ESTATE</v>
      </c>
      <c r="D5611" s="2" t="str">
        <f>IFERROR(__xludf.DUMMYFUNCTION("""COMPUTED_VALUE"""),"661-44799")</f>
        <v>661-44799</v>
      </c>
      <c r="E5611" s="2" t="str">
        <f>IFERROR(__xludf.DUMMYFUNCTION("""COMPUTED_VALUE"""),"Camera, iPhone 16")</f>
        <v>Camera, iPhone 16</v>
      </c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</row>
    <row r="5612">
      <c r="A5612" s="10" t="str">
        <f t="shared" si="1"/>
        <v>June</v>
      </c>
      <c r="B5612" s="11">
        <f>IFERROR(__xludf.DUMMYFUNCTION("""COMPUTED_VALUE"""),46181.0)</f>
        <v>46181</v>
      </c>
      <c r="C5612" s="2" t="str">
        <f>IFERROR(__xludf.DUMMYFUNCTION("""COMPUTED_VALUE"""),"MOBILECARE - LIMA ESTATE")</f>
        <v>MOBILECARE - LIMA ESTATE</v>
      </c>
      <c r="D5612" s="2" t="str">
        <f>IFERROR(__xludf.DUMMYFUNCTION("""COMPUTED_VALUE"""),"Z661-55956")</f>
        <v>Z661-55956</v>
      </c>
      <c r="E5612" s="2" t="str">
        <f>IFERROR(__xludf.DUMMYFUNCTION("""COMPUTED_VALUE"""),"Logic Board, 256GB, iPhone 17 Pro Max, ROW")</f>
        <v>Logic Board, 256GB, iPhone 17 Pro Max, ROW</v>
      </c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</row>
    <row r="5613">
      <c r="A5613" s="10" t="str">
        <f t="shared" si="1"/>
        <v>May</v>
      </c>
      <c r="B5613" s="11">
        <f>IFERROR(__xludf.DUMMYFUNCTION("""COMPUTED_VALUE"""),46153.0)</f>
        <v>46153</v>
      </c>
      <c r="C5613" s="2" t="str">
        <f>IFERROR(__xludf.DUMMYFUNCTION("""COMPUTED_VALUE"""),"MOBILECARE - LIMA ESTATE")</f>
        <v>MOBILECARE - LIMA ESTATE</v>
      </c>
      <c r="D5613" s="2" t="str">
        <f>IFERROR(__xludf.DUMMYFUNCTION("""COMPUTED_VALUE"""),"661-42843")</f>
        <v>661-42843</v>
      </c>
      <c r="E5613" s="2" t="str">
        <f>IFERROR(__xludf.DUMMYFUNCTION("""COMPUTED_VALUE"""),"Display, iPhone 16 Plus")</f>
        <v>Display, iPhone 16 Plus</v>
      </c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</row>
    <row r="5614">
      <c r="A5614" s="10" t="str">
        <f t="shared" si="1"/>
        <v>June</v>
      </c>
      <c r="B5614" s="11">
        <f>IFERROR(__xludf.DUMMYFUNCTION("""COMPUTED_VALUE"""),46179.0)</f>
        <v>46179</v>
      </c>
      <c r="C5614" s="2" t="str">
        <f>IFERROR(__xludf.DUMMYFUNCTION("""COMPUTED_VALUE"""),"MOBILECARE - LIMA ESTATE")</f>
        <v>MOBILECARE - LIMA ESTATE</v>
      </c>
      <c r="D5614" s="2" t="str">
        <f>IFERROR(__xludf.DUMMYFUNCTION("""COMPUTED_VALUE"""),"PP661-28614")</f>
        <v>PP661-28614</v>
      </c>
      <c r="E5614" s="2" t="str">
        <f>IFERROR(__xludf.DUMMYFUNCTION("""COMPUTED_VALUE"""),"Starlight, iPhone 14, 128GB, ROW, CI/AR, Philippines")</f>
        <v>Starlight, iPhone 14, 128GB, ROW, CI/AR, Philippines</v>
      </c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</row>
    <row r="5615">
      <c r="A5615" s="10" t="str">
        <f t="shared" si="1"/>
        <v>April</v>
      </c>
      <c r="B5615" s="11">
        <f>IFERROR(__xludf.DUMMYFUNCTION("""COMPUTED_VALUE"""),46119.0)</f>
        <v>46119</v>
      </c>
      <c r="C5615" s="2" t="str">
        <f>IFERROR(__xludf.DUMMYFUNCTION("""COMPUTED_VALUE"""),"MOBILECARE - LIMA ESTATE")</f>
        <v>MOBILECARE - LIMA ESTATE</v>
      </c>
      <c r="D5615" s="2" t="str">
        <f>IFERROR(__xludf.DUMMYFUNCTION("""COMPUTED_VALUE"""),"661-44955")</f>
        <v>661-44955</v>
      </c>
      <c r="E5615" s="2" t="str">
        <f>IFERROR(__xludf.DUMMYFUNCTION("""COMPUTED_VALUE"""),"Display, iPhone 16 Pro Max")</f>
        <v>Display, iPhone 16 Pro Max</v>
      </c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</row>
    <row r="5616">
      <c r="A5616" s="10" t="str">
        <f t="shared" si="1"/>
        <v>April</v>
      </c>
      <c r="B5616" s="11">
        <f>IFERROR(__xludf.DUMMYFUNCTION("""COMPUTED_VALUE"""),46119.0)</f>
        <v>46119</v>
      </c>
      <c r="C5616" s="2" t="str">
        <f>IFERROR(__xludf.DUMMYFUNCTION("""COMPUTED_VALUE"""),"MOBILECARE - LIMA ESTATE")</f>
        <v>MOBILECARE - LIMA ESTATE</v>
      </c>
      <c r="D5616" s="2" t="str">
        <f>IFERROR(__xludf.DUMMYFUNCTION("""COMPUTED_VALUE"""),"661-44957")</f>
        <v>661-44957</v>
      </c>
      <c r="E5616" s="2" t="str">
        <f>IFERROR(__xludf.DUMMYFUNCTION("""COMPUTED_VALUE"""),"Camera, iPhone 16 Pro Max")</f>
        <v>Camera, iPhone 16 Pro Max</v>
      </c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</row>
    <row r="5617">
      <c r="A5617" s="10" t="str">
        <f t="shared" si="1"/>
        <v>March</v>
      </c>
      <c r="B5617" s="11">
        <f>IFERROR(__xludf.DUMMYFUNCTION("""COMPUTED_VALUE"""),46086.0)</f>
        <v>46086</v>
      </c>
      <c r="C5617" s="2" t="str">
        <f>IFERROR(__xludf.DUMMYFUNCTION("""COMPUTED_VALUE"""),"MOBILECARE - LIMA ESTATE")</f>
        <v>MOBILECARE - LIMA ESTATE</v>
      </c>
      <c r="D5617" s="2" t="str">
        <f>IFERROR(__xludf.DUMMYFUNCTION("""COMPUTED_VALUE"""),"661-42727")</f>
        <v>661-42727</v>
      </c>
      <c r="E5617" s="2" t="str">
        <f>IFERROR(__xludf.DUMMYFUNCTION("""COMPUTED_VALUE"""),"TrueDepth Camera, iPhone 16 Pro")</f>
        <v>TrueDepth Camera, iPhone 16 Pro</v>
      </c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</row>
    <row r="5618">
      <c r="A5618" s="10" t="str">
        <f t="shared" si="1"/>
        <v>February</v>
      </c>
      <c r="B5618" s="11">
        <f>IFERROR(__xludf.DUMMYFUNCTION("""COMPUTED_VALUE"""),46068.0)</f>
        <v>46068</v>
      </c>
      <c r="C5618" s="2" t="str">
        <f>IFERROR(__xludf.DUMMYFUNCTION("""COMPUTED_VALUE"""),"MOBILECARE - LIMA ESTATE")</f>
        <v>MOBILECARE - LIMA ESTATE</v>
      </c>
      <c r="D5618" s="2" t="str">
        <f>IFERROR(__xludf.DUMMYFUNCTION("""COMPUTED_VALUE"""),"661-22309")</f>
        <v>661-22309</v>
      </c>
      <c r="E5618" s="2" t="str">
        <f>IFERROR(__xludf.DUMMYFUNCTION("""COMPUTED_VALUE"""),"Display, iPhone 13 Pro Max")</f>
        <v>Display, iPhone 13 Pro Max</v>
      </c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</row>
    <row r="5619">
      <c r="A5619" s="10" t="str">
        <f t="shared" si="1"/>
        <v>February</v>
      </c>
      <c r="B5619" s="11">
        <f>IFERROR(__xludf.DUMMYFUNCTION("""COMPUTED_VALUE"""),46058.0)</f>
        <v>46058</v>
      </c>
      <c r="C5619" s="2" t="str">
        <f>IFERROR(__xludf.DUMMYFUNCTION("""COMPUTED_VALUE"""),"MOBILECARE - LIMA ESTATE")</f>
        <v>MOBILECARE - LIMA ESTATE</v>
      </c>
      <c r="D5619" s="2" t="str">
        <f>IFERROR(__xludf.DUMMYFUNCTION("""COMPUTED_VALUE"""),"661-17920")</f>
        <v>661-17920</v>
      </c>
      <c r="E5619" s="2" t="str">
        <f>IFERROR(__xludf.DUMMYFUNCTION("""COMPUTED_VALUE"""),"Battery, iPhone 12 and 12 Pro")</f>
        <v>Battery, iPhone 12 and 12 Pro</v>
      </c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</row>
    <row r="5620">
      <c r="A5620" s="10" t="str">
        <f t="shared" si="1"/>
        <v>June</v>
      </c>
      <c r="B5620" s="11">
        <f>IFERROR(__xludf.DUMMYFUNCTION("""COMPUTED_VALUE"""),46191.0)</f>
        <v>46191</v>
      </c>
      <c r="C5620" s="2" t="str">
        <f>IFERROR(__xludf.DUMMYFUNCTION("""COMPUTED_VALUE"""),"MOBILECARE - LIMA ESTATE")</f>
        <v>MOBILECARE - LIMA ESTATE</v>
      </c>
      <c r="D5620" s="2" t="str">
        <f>IFERROR(__xludf.DUMMYFUNCTION("""COMPUTED_VALUE"""),"661-21991")</f>
        <v>661-21991</v>
      </c>
      <c r="E5620" s="2" t="str">
        <f>IFERROR(__xludf.DUMMYFUNCTION("""COMPUTED_VALUE"""),"Battery, iPhone 13")</f>
        <v>Battery, iPhone 13</v>
      </c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</row>
    <row r="5621">
      <c r="A5621" s="10" t="str">
        <f t="shared" si="1"/>
        <v>June</v>
      </c>
      <c r="B5621" s="11">
        <f>IFERROR(__xludf.DUMMYFUNCTION("""COMPUTED_VALUE"""),46190.0)</f>
        <v>46190</v>
      </c>
      <c r="C5621" s="2" t="str">
        <f>IFERROR(__xludf.DUMMYFUNCTION("""COMPUTED_VALUE"""),"MOBILECARE - LIMA ESTATE")</f>
        <v>MOBILECARE - LIMA ESTATE</v>
      </c>
      <c r="D5621" s="2" t="str">
        <f>IFERROR(__xludf.DUMMYFUNCTION("""COMPUTED_VALUE"""),"661-21991")</f>
        <v>661-21991</v>
      </c>
      <c r="E5621" s="2" t="str">
        <f>IFERROR(__xludf.DUMMYFUNCTION("""COMPUTED_VALUE"""),"Battery, iPhone 13")</f>
        <v>Battery, iPhone 13</v>
      </c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</row>
    <row r="5622">
      <c r="A5622" s="10" t="str">
        <f t="shared" si="1"/>
        <v>May</v>
      </c>
      <c r="B5622" s="11">
        <f>IFERROR(__xludf.DUMMYFUNCTION("""COMPUTED_VALUE"""),46156.0)</f>
        <v>46156</v>
      </c>
      <c r="C5622" s="2" t="str">
        <f>IFERROR(__xludf.DUMMYFUNCTION("""COMPUTED_VALUE"""),"MOBILECARE - LIMA ESTATE")</f>
        <v>MOBILECARE - LIMA ESTATE</v>
      </c>
      <c r="D5622" s="2" t="str">
        <f>IFERROR(__xludf.DUMMYFUNCTION("""COMPUTED_VALUE"""),"661-21991")</f>
        <v>661-21991</v>
      </c>
      <c r="E5622" s="2" t="str">
        <f>IFERROR(__xludf.DUMMYFUNCTION("""COMPUTED_VALUE"""),"Battery, iPhone 13")</f>
        <v>Battery, iPhone 13</v>
      </c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</row>
    <row r="5623">
      <c r="A5623" s="10" t="str">
        <f t="shared" si="1"/>
        <v>June</v>
      </c>
      <c r="B5623" s="11">
        <f>IFERROR(__xludf.DUMMYFUNCTION("""COMPUTED_VALUE"""),46184.0)</f>
        <v>46184</v>
      </c>
      <c r="C5623" s="2" t="str">
        <f>IFERROR(__xludf.DUMMYFUNCTION("""COMPUTED_VALUE"""),"MOBILECARE - LIMA ESTATE")</f>
        <v>MOBILECARE - LIMA ESTATE</v>
      </c>
      <c r="D5623" s="2" t="str">
        <f>IFERROR(__xludf.DUMMYFUNCTION("""COMPUTED_VALUE"""),"TA661-36286")</f>
        <v>TA661-36286</v>
      </c>
      <c r="E5623" s="2" t="str">
        <f>IFERROR(__xludf.DUMMYFUNCTION("""COMPUTED_VALUE"""),"Black, iPhone 15, 128GB, ROW, CI/AR, Taiwan")</f>
        <v>Black, iPhone 15, 128GB, ROW, CI/AR, Taiwan</v>
      </c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</row>
    <row r="5624">
      <c r="A5624" s="10" t="str">
        <f t="shared" si="1"/>
        <v>May</v>
      </c>
      <c r="B5624" s="11">
        <f>IFERROR(__xludf.DUMMYFUNCTION("""COMPUTED_VALUE"""),46156.0)</f>
        <v>46156</v>
      </c>
      <c r="C5624" s="2" t="str">
        <f>IFERROR(__xludf.DUMMYFUNCTION("""COMPUTED_VALUE"""),"MOBILECARE - LIMA ESTATE")</f>
        <v>MOBILECARE - LIMA ESTATE</v>
      </c>
      <c r="D5624" s="2" t="str">
        <f>IFERROR(__xludf.DUMMYFUNCTION("""COMPUTED_VALUE"""),"661-21991")</f>
        <v>661-21991</v>
      </c>
      <c r="E5624" s="2" t="str">
        <f>IFERROR(__xludf.DUMMYFUNCTION("""COMPUTED_VALUE"""),"Battery, iPhone 13")</f>
        <v>Battery, iPhone 13</v>
      </c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</row>
    <row r="5625">
      <c r="A5625" s="10" t="str">
        <f t="shared" si="1"/>
        <v>May</v>
      </c>
      <c r="B5625" s="11">
        <f>IFERROR(__xludf.DUMMYFUNCTION("""COMPUTED_VALUE"""),46158.0)</f>
        <v>46158</v>
      </c>
      <c r="C5625" s="2" t="str">
        <f>IFERROR(__xludf.DUMMYFUNCTION("""COMPUTED_VALUE"""),"MOBILECARE - LIMA ESTATE")</f>
        <v>MOBILECARE - LIMA ESTATE</v>
      </c>
      <c r="D5625" s="2" t="str">
        <f>IFERROR(__xludf.DUMMYFUNCTION("""COMPUTED_VALUE"""),"661-13574")</f>
        <v>661-13574</v>
      </c>
      <c r="E5625" s="2" t="str">
        <f>IFERROR(__xludf.DUMMYFUNCTION("""COMPUTED_VALUE"""),"Battery, iPhone 11")</f>
        <v>Battery, iPhone 11</v>
      </c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</row>
    <row r="5626">
      <c r="A5626" s="10" t="str">
        <f t="shared" si="1"/>
        <v>April</v>
      </c>
      <c r="B5626" s="11">
        <f>IFERROR(__xludf.DUMMYFUNCTION("""COMPUTED_VALUE"""),46136.0)</f>
        <v>46136</v>
      </c>
      <c r="C5626" s="2" t="str">
        <f>IFERROR(__xludf.DUMMYFUNCTION("""COMPUTED_VALUE"""),"MOBILECARE - LIMA ESTATE")</f>
        <v>MOBILECARE - LIMA ESTATE</v>
      </c>
      <c r="D5626" s="2" t="str">
        <f>IFERROR(__xludf.DUMMYFUNCTION("""COMPUTED_VALUE"""),"661-23878")</f>
        <v>661-23878</v>
      </c>
      <c r="E5626" s="2" t="str">
        <f>IFERROR(__xludf.DUMMYFUNCTION("""COMPUTED_VALUE"""),"TrueDepth Camera, iPhone 13")</f>
        <v>TrueDepth Camera, iPhone 13</v>
      </c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</row>
    <row r="5627">
      <c r="A5627" s="10" t="str">
        <f t="shared" si="1"/>
        <v>April</v>
      </c>
      <c r="B5627" s="11">
        <f>IFERROR(__xludf.DUMMYFUNCTION("""COMPUTED_VALUE"""),46120.0)</f>
        <v>46120</v>
      </c>
      <c r="C5627" s="2" t="str">
        <f>IFERROR(__xludf.DUMMYFUNCTION("""COMPUTED_VALUE"""),"MOBILECARE - LIMA ESTATE")</f>
        <v>MOBILECARE - LIMA ESTATE</v>
      </c>
      <c r="D5627" s="2" t="str">
        <f>IFERROR(__xludf.DUMMYFUNCTION("""COMPUTED_VALUE"""),"661-56052")</f>
        <v>661-56052</v>
      </c>
      <c r="E5627" s="2" t="str">
        <f>IFERROR(__xludf.DUMMYFUNCTION("""COMPUTED_VALUE"""),"Camera, iPhone 17 Pro Max")</f>
        <v>Camera, iPhone 17 Pro Max</v>
      </c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</row>
    <row r="5628">
      <c r="A5628" s="10" t="str">
        <f t="shared" si="1"/>
        <v>March</v>
      </c>
      <c r="B5628" s="11">
        <f>IFERROR(__xludf.DUMMYFUNCTION("""COMPUTED_VALUE"""),46092.0)</f>
        <v>46092</v>
      </c>
      <c r="C5628" s="2" t="str">
        <f>IFERROR(__xludf.DUMMYFUNCTION("""COMPUTED_VALUE"""),"MOBILECARE - LIMA ESTATE")</f>
        <v>MOBILECARE - LIMA ESTATE</v>
      </c>
      <c r="D5628" s="2" t="str">
        <f>IFERROR(__xludf.DUMMYFUNCTION("""COMPUTED_VALUE"""),"TA661-36694")</f>
        <v>TA661-36694</v>
      </c>
      <c r="E5628" s="2" t="str">
        <f>IFERROR(__xludf.DUMMYFUNCTION("""COMPUTED_VALUE"""),"iPhone 15, Blue, 128GB, Logic Board Assy Mid System, ROW")</f>
        <v>iPhone 15, Blue, 128GB, Logic Board Assy Mid System, ROW</v>
      </c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</row>
    <row r="5629">
      <c r="A5629" s="10" t="str">
        <f t="shared" si="1"/>
        <v>February</v>
      </c>
      <c r="B5629" s="11">
        <f>IFERROR(__xludf.DUMMYFUNCTION("""COMPUTED_VALUE"""),46080.0)</f>
        <v>46080</v>
      </c>
      <c r="C5629" s="2" t="str">
        <f>IFERROR(__xludf.DUMMYFUNCTION("""COMPUTED_VALUE"""),"MOBILECARE - LIMA ESTATE")</f>
        <v>MOBILECARE - LIMA ESTATE</v>
      </c>
      <c r="D5629" s="2" t="str">
        <f>IFERROR(__xludf.DUMMYFUNCTION("""COMPUTED_VALUE"""),"661-21993")</f>
        <v>661-21993</v>
      </c>
      <c r="E5629" s="2" t="str">
        <f>IFERROR(__xludf.DUMMYFUNCTION("""COMPUTED_VALUE"""),"Display, iPhone 13 Pro")</f>
        <v>Display, iPhone 13 Pro</v>
      </c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</row>
    <row r="5630">
      <c r="A5630" s="10" t="str">
        <f t="shared" si="1"/>
        <v>February</v>
      </c>
      <c r="B5630" s="11">
        <f>IFERROR(__xludf.DUMMYFUNCTION("""COMPUTED_VALUE"""),46080.0)</f>
        <v>46080</v>
      </c>
      <c r="C5630" s="2" t="str">
        <f>IFERROR(__xludf.DUMMYFUNCTION("""COMPUTED_VALUE"""),"MOBILECARE - LIMA ESTATE")</f>
        <v>MOBILECARE - LIMA ESTATE</v>
      </c>
      <c r="D5630" s="2" t="str">
        <f>IFERROR(__xludf.DUMMYFUNCTION("""COMPUTED_VALUE"""),"661-56125")</f>
        <v>661-56125</v>
      </c>
      <c r="E5630" s="2" t="str">
        <f>IFERROR(__xludf.DUMMYFUNCTION("""COMPUTED_VALUE"""),"Display, iPhone 17 Pro")</f>
        <v>Display, iPhone 17 Pro</v>
      </c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</row>
    <row r="5631">
      <c r="A5631" s="10" t="str">
        <f t="shared" si="1"/>
        <v>March</v>
      </c>
      <c r="B5631" s="11">
        <f>IFERROR(__xludf.DUMMYFUNCTION("""COMPUTED_VALUE"""),46089.0)</f>
        <v>46089</v>
      </c>
      <c r="C5631" s="2" t="str">
        <f>IFERROR(__xludf.DUMMYFUNCTION("""COMPUTED_VALUE"""),"MOBILECARE - LIMA ESTATE")</f>
        <v>MOBILECARE - LIMA ESTATE</v>
      </c>
      <c r="D5631" s="2" t="str">
        <f>IFERROR(__xludf.DUMMYFUNCTION("""COMPUTED_VALUE"""),"Z661-55956")</f>
        <v>Z661-55956</v>
      </c>
      <c r="E5631" s="2" t="str">
        <f>IFERROR(__xludf.DUMMYFUNCTION("""COMPUTED_VALUE"""),"Logic Board, 256GB, iPhone 17 Pro Max, ROW")</f>
        <v>Logic Board, 256GB, iPhone 17 Pro Max, ROW</v>
      </c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</row>
    <row r="5632">
      <c r="A5632" s="10" t="str">
        <f t="shared" si="1"/>
        <v>January</v>
      </c>
      <c r="B5632" s="11">
        <f>IFERROR(__xludf.DUMMYFUNCTION("""COMPUTED_VALUE"""),46047.0)</f>
        <v>46047</v>
      </c>
      <c r="C5632" s="2" t="str">
        <f>IFERROR(__xludf.DUMMYFUNCTION("""COMPUTED_VALUE"""),"MOBILECARE - LIMA ESTATE")</f>
        <v>MOBILECARE - LIMA ESTATE</v>
      </c>
      <c r="D5632" s="2" t="str">
        <f>IFERROR(__xludf.DUMMYFUNCTION("""COMPUTED_VALUE"""),"661-13574")</f>
        <v>661-13574</v>
      </c>
      <c r="E5632" s="2" t="str">
        <f>IFERROR(__xludf.DUMMYFUNCTION("""COMPUTED_VALUE"""),"Battery, iPhone 11")</f>
        <v>Battery, iPhone 11</v>
      </c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</row>
    <row r="5633">
      <c r="A5633" s="10" t="str">
        <f t="shared" si="1"/>
        <v>January</v>
      </c>
      <c r="B5633" s="11">
        <f>IFERROR(__xludf.DUMMYFUNCTION("""COMPUTED_VALUE"""),46043.0)</f>
        <v>46043</v>
      </c>
      <c r="C5633" s="2" t="str">
        <f>IFERROR(__xludf.DUMMYFUNCTION("""COMPUTED_VALUE"""),"MOBILECARE - LIMA ESTATE")</f>
        <v>MOBILECARE - LIMA ESTATE</v>
      </c>
      <c r="D5633" s="2" t="str">
        <f>IFERROR(__xludf.DUMMYFUNCTION("""COMPUTED_VALUE"""),"661-56065")</f>
        <v>661-56065</v>
      </c>
      <c r="E5633" s="2" t="str">
        <f>IFERROR(__xludf.DUMMYFUNCTION("""COMPUTED_VALUE"""),"Display, iPhone 17")</f>
        <v>Display, iPhone 17</v>
      </c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</row>
    <row r="5634">
      <c r="A5634" s="10" t="str">
        <f t="shared" si="1"/>
        <v>January</v>
      </c>
      <c r="B5634" s="11">
        <f>IFERROR(__xludf.DUMMYFUNCTION("""COMPUTED_VALUE"""),46043.0)</f>
        <v>46043</v>
      </c>
      <c r="C5634" s="2" t="str">
        <f>IFERROR(__xludf.DUMMYFUNCTION("""COMPUTED_VALUE"""),"MOBILECARE - LIMA ESTATE")</f>
        <v>MOBILECARE - LIMA ESTATE</v>
      </c>
      <c r="D5634" s="2" t="str">
        <f>IFERROR(__xludf.DUMMYFUNCTION("""COMPUTED_VALUE"""),"661-56065")</f>
        <v>661-56065</v>
      </c>
      <c r="E5634" s="2" t="str">
        <f>IFERROR(__xludf.DUMMYFUNCTION("""COMPUTED_VALUE"""),"Display, iPhone 17")</f>
        <v>Display, iPhone 17</v>
      </c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</row>
    <row r="5635">
      <c r="A5635" s="10" t="str">
        <f t="shared" si="1"/>
        <v>June</v>
      </c>
      <c r="B5635" s="11">
        <f>IFERROR(__xludf.DUMMYFUNCTION("""COMPUTED_VALUE"""),46193.0)</f>
        <v>46193</v>
      </c>
      <c r="C5635" s="2" t="str">
        <f>IFERROR(__xludf.DUMMYFUNCTION("""COMPUTED_VALUE"""),"MOBILECARE - LIMA ESTATE")</f>
        <v>MOBILECARE - LIMA ESTATE</v>
      </c>
      <c r="D5635" s="2" t="str">
        <f>IFERROR(__xludf.DUMMYFUNCTION("""COMPUTED_VALUE"""),"661-21988")</f>
        <v>661-21988</v>
      </c>
      <c r="E5635" s="2" t="str">
        <f>IFERROR(__xludf.DUMMYFUNCTION("""COMPUTED_VALUE"""),"Display, iPhone 13")</f>
        <v>Display, iPhone 13</v>
      </c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</row>
    <row r="5636">
      <c r="A5636" s="10" t="str">
        <f t="shared" si="1"/>
        <v>May</v>
      </c>
      <c r="B5636" s="11">
        <f>IFERROR(__xludf.DUMMYFUNCTION("""COMPUTED_VALUE"""),46160.0)</f>
        <v>46160</v>
      </c>
      <c r="C5636" s="2" t="str">
        <f>IFERROR(__xludf.DUMMYFUNCTION("""COMPUTED_VALUE"""),"MOBILECARE - LIMA ESTATE")</f>
        <v>MOBILECARE - LIMA ESTATE</v>
      </c>
      <c r="D5636" s="2" t="str">
        <f>IFERROR(__xludf.DUMMYFUNCTION("""COMPUTED_VALUE"""),"ZP923-13787")</f>
        <v>ZP923-13787</v>
      </c>
      <c r="E5636" s="2" t="str">
        <f>IFERROR(__xludf.DUMMYFUNCTION("""COMPUTED_VALUE"""),"Deep Blue, Enclosure, iPhone 17 Pro Max, ROW")</f>
        <v>Deep Blue, Enclosure, iPhone 17 Pro Max, ROW</v>
      </c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</row>
    <row r="5637">
      <c r="A5637" s="10" t="str">
        <f t="shared" si="1"/>
        <v>May</v>
      </c>
      <c r="B5637" s="11">
        <f>IFERROR(__xludf.DUMMYFUNCTION("""COMPUTED_VALUE"""),46159.0)</f>
        <v>46159</v>
      </c>
      <c r="C5637" s="2" t="str">
        <f>IFERROR(__xludf.DUMMYFUNCTION("""COMPUTED_VALUE"""),"MOBILECARE - LIMA ESTATE")</f>
        <v>MOBILECARE - LIMA ESTATE</v>
      </c>
      <c r="D5637" s="2" t="str">
        <f>IFERROR(__xludf.DUMMYFUNCTION("""COMPUTED_VALUE"""),"661-21991")</f>
        <v>661-21991</v>
      </c>
      <c r="E5637" s="2" t="str">
        <f>IFERROR(__xludf.DUMMYFUNCTION("""COMPUTED_VALUE"""),"Battery, iPhone 13")</f>
        <v>Battery, iPhone 13</v>
      </c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</row>
    <row r="5638">
      <c r="A5638" s="10" t="str">
        <f t="shared" si="1"/>
        <v>May</v>
      </c>
      <c r="B5638" s="11">
        <f>IFERROR(__xludf.DUMMYFUNCTION("""COMPUTED_VALUE"""),46159.0)</f>
        <v>46159</v>
      </c>
      <c r="C5638" s="2" t="str">
        <f>IFERROR(__xludf.DUMMYFUNCTION("""COMPUTED_VALUE"""),"MOBILECARE - LIMA ESTATE")</f>
        <v>MOBILECARE - LIMA ESTATE</v>
      </c>
      <c r="D5638" s="2" t="str">
        <f>IFERROR(__xludf.DUMMYFUNCTION("""COMPUTED_VALUE"""),"923-09579")</f>
        <v>923-09579</v>
      </c>
      <c r="E5638" s="2" t="str">
        <f>IFERROR(__xludf.DUMMYFUNCTION("""COMPUTED_VALUE"""),"Top Speaker, iPhone 15")</f>
        <v>Top Speaker, iPhone 15</v>
      </c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</row>
    <row r="5639">
      <c r="A5639" s="10" t="str">
        <f t="shared" si="1"/>
        <v>April</v>
      </c>
      <c r="B5639" s="11">
        <f>IFERROR(__xludf.DUMMYFUNCTION("""COMPUTED_VALUE"""),46123.0)</f>
        <v>46123</v>
      </c>
      <c r="C5639" s="2" t="str">
        <f>IFERROR(__xludf.DUMMYFUNCTION("""COMPUTED_VALUE"""),"MOBILECARE - LIMA ESTATE")</f>
        <v>MOBILECARE - LIMA ESTATE</v>
      </c>
      <c r="D5639" s="2" t="str">
        <f>IFERROR(__xludf.DUMMYFUNCTION("""COMPUTED_VALUE"""),"661-44960")</f>
        <v>661-44960</v>
      </c>
      <c r="E5639" s="2" t="str">
        <f>IFERROR(__xludf.DUMMYFUNCTION("""COMPUTED_VALUE"""),"Desert Titanium, Back Glass, iPhone 16 Pro Max")</f>
        <v>Desert Titanium, Back Glass, iPhone 16 Pro Max</v>
      </c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</row>
    <row r="5640">
      <c r="A5640" s="10" t="str">
        <f t="shared" si="1"/>
        <v>March</v>
      </c>
      <c r="B5640" s="11">
        <f>IFERROR(__xludf.DUMMYFUNCTION("""COMPUTED_VALUE"""),46087.0)</f>
        <v>46087</v>
      </c>
      <c r="C5640" s="2" t="str">
        <f>IFERROR(__xludf.DUMMYFUNCTION("""COMPUTED_VALUE"""),"MOBILECARE - LIMA ESTATE")</f>
        <v>MOBILECARE - LIMA ESTATE</v>
      </c>
      <c r="D5640" s="2" t="str">
        <f>IFERROR(__xludf.DUMMYFUNCTION("""COMPUTED_VALUE"""),"661-21991")</f>
        <v>661-21991</v>
      </c>
      <c r="E5640" s="2" t="str">
        <f>IFERROR(__xludf.DUMMYFUNCTION("""COMPUTED_VALUE"""),"Battery, iPhone 13")</f>
        <v>Battery, iPhone 13</v>
      </c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</row>
    <row r="5641">
      <c r="A5641" s="10" t="str">
        <f t="shared" si="1"/>
        <v>March</v>
      </c>
      <c r="B5641" s="11">
        <f>IFERROR(__xludf.DUMMYFUNCTION("""COMPUTED_VALUE"""),46093.0)</f>
        <v>46093</v>
      </c>
      <c r="C5641" s="2" t="str">
        <f>IFERROR(__xludf.DUMMYFUNCTION("""COMPUTED_VALUE"""),"MOBILECARE - LIMA ESTATE")</f>
        <v>MOBILECARE - LIMA ESTATE</v>
      </c>
      <c r="D5641" s="2" t="str">
        <f>IFERROR(__xludf.DUMMYFUNCTION("""COMPUTED_VALUE"""),"661-22294")</f>
        <v>661-22294</v>
      </c>
      <c r="E5641" s="2" t="str">
        <f>IFERROR(__xludf.DUMMYFUNCTION("""COMPUTED_VALUE"""),"Battery, iPhone 13 Pro Max")</f>
        <v>Battery, iPhone 13 Pro Max</v>
      </c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</row>
    <row r="5642">
      <c r="A5642" s="10" t="str">
        <f t="shared" si="1"/>
        <v>March</v>
      </c>
      <c r="B5642" s="11">
        <f>IFERROR(__xludf.DUMMYFUNCTION("""COMPUTED_VALUE"""),46091.0)</f>
        <v>46091</v>
      </c>
      <c r="C5642" s="2" t="str">
        <f>IFERROR(__xludf.DUMMYFUNCTION("""COMPUTED_VALUE"""),"MOBILECARE - LIMA ESTATE")</f>
        <v>MOBILECARE - LIMA ESTATE</v>
      </c>
      <c r="D5642" s="2" t="str">
        <f>IFERROR(__xludf.DUMMYFUNCTION("""COMPUTED_VALUE"""),"661-22294")</f>
        <v>661-22294</v>
      </c>
      <c r="E5642" s="2" t="str">
        <f>IFERROR(__xludf.DUMMYFUNCTION("""COMPUTED_VALUE"""),"Battery, iPhone 13 Pro Max")</f>
        <v>Battery, iPhone 13 Pro Max</v>
      </c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</row>
    <row r="5643">
      <c r="A5643" s="10" t="str">
        <f t="shared" si="1"/>
        <v>February</v>
      </c>
      <c r="B5643" s="11">
        <f>IFERROR(__xludf.DUMMYFUNCTION("""COMPUTED_VALUE"""),46058.0)</f>
        <v>46058</v>
      </c>
      <c r="C5643" s="2" t="str">
        <f>IFERROR(__xludf.DUMMYFUNCTION("""COMPUTED_VALUE"""),"MOBILECARE - LIMA ESTATE")</f>
        <v>MOBILECARE - LIMA ESTATE</v>
      </c>
      <c r="D5643" s="2" t="str">
        <f>IFERROR(__xludf.DUMMYFUNCTION("""COMPUTED_VALUE"""),"661-22309")</f>
        <v>661-22309</v>
      </c>
      <c r="E5643" s="2" t="str">
        <f>IFERROR(__xludf.DUMMYFUNCTION("""COMPUTED_VALUE"""),"Display, iPhone 13 Pro Max")</f>
        <v>Display, iPhone 13 Pro Max</v>
      </c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</row>
    <row r="5644">
      <c r="A5644" s="10" t="str">
        <f t="shared" si="1"/>
        <v>February</v>
      </c>
      <c r="B5644" s="11">
        <f>IFERROR(__xludf.DUMMYFUNCTION("""COMPUTED_VALUE"""),46054.0)</f>
        <v>46054</v>
      </c>
      <c r="C5644" s="2" t="str">
        <f>IFERROR(__xludf.DUMMYFUNCTION("""COMPUTED_VALUE"""),"MOBILECARE - LIMA ESTATE")</f>
        <v>MOBILECARE - LIMA ESTATE</v>
      </c>
      <c r="D5644" s="2" t="str">
        <f>IFERROR(__xludf.DUMMYFUNCTION("""COMPUTED_VALUE"""),"661-22294")</f>
        <v>661-22294</v>
      </c>
      <c r="E5644" s="2" t="str">
        <f>IFERROR(__xludf.DUMMYFUNCTION("""COMPUTED_VALUE"""),"Battery, iPhone 13 Pro Max")</f>
        <v>Battery, iPhone 13 Pro Max</v>
      </c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</row>
    <row r="5645">
      <c r="A5645" s="10" t="str">
        <f t="shared" si="1"/>
        <v>May</v>
      </c>
      <c r="B5645" s="11">
        <f>IFERROR(__xludf.DUMMYFUNCTION("""COMPUTED_VALUE"""),46166.0)</f>
        <v>46166</v>
      </c>
      <c r="C5645" s="2" t="str">
        <f>IFERROR(__xludf.DUMMYFUNCTION("""COMPUTED_VALUE"""),"MOBILECARE - LIMA ESTATE")</f>
        <v>MOBILECARE - LIMA ESTATE</v>
      </c>
      <c r="D5645" s="2" t="str">
        <f>IFERROR(__xludf.DUMMYFUNCTION("""COMPUTED_VALUE"""),"661-30401")</f>
        <v>661-30401</v>
      </c>
      <c r="E5645" s="2" t="str">
        <f>IFERROR(__xludf.DUMMYFUNCTION("""COMPUTED_VALUE"""),"Display, iPhone 14 Pro Max")</f>
        <v>Display, iPhone 14 Pro Max</v>
      </c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</row>
    <row r="5646">
      <c r="A5646" s="10" t="str">
        <f t="shared" si="1"/>
        <v>May</v>
      </c>
      <c r="B5646" s="11">
        <f>IFERROR(__xludf.DUMMYFUNCTION("""COMPUTED_VALUE"""),46162.0)</f>
        <v>46162</v>
      </c>
      <c r="C5646" s="2" t="str">
        <f>IFERROR(__xludf.DUMMYFUNCTION("""COMPUTED_VALUE"""),"MOBILECARE - LIMA ESTATE")</f>
        <v>MOBILECARE - LIMA ESTATE</v>
      </c>
      <c r="D5646" s="2" t="str">
        <f>IFERROR(__xludf.DUMMYFUNCTION("""COMPUTED_VALUE"""),"661-30394")</f>
        <v>661-30394</v>
      </c>
      <c r="E5646" s="2" t="str">
        <f>IFERROR(__xludf.DUMMYFUNCTION("""COMPUTED_VALUE"""),"Battery, iPhone 14 Plus")</f>
        <v>Battery, iPhone 14 Plus</v>
      </c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</row>
    <row r="5647">
      <c r="A5647" s="10" t="str">
        <f t="shared" si="1"/>
        <v>May</v>
      </c>
      <c r="B5647" s="11">
        <f>IFERROR(__xludf.DUMMYFUNCTION("""COMPUTED_VALUE"""),46163.0)</f>
        <v>46163</v>
      </c>
      <c r="C5647" s="2" t="str">
        <f>IFERROR(__xludf.DUMMYFUNCTION("""COMPUTED_VALUE"""),"MOBILECARE - LIMA ESTATE")</f>
        <v>MOBILECARE - LIMA ESTATE</v>
      </c>
      <c r="D5647" s="2" t="str">
        <f>IFERROR(__xludf.DUMMYFUNCTION("""COMPUTED_VALUE"""),"661-18428")</f>
        <v>661-18428</v>
      </c>
      <c r="E5647" s="2" t="str">
        <f>IFERROR(__xludf.DUMMYFUNCTION("""COMPUTED_VALUE"""),"Battery, iPhone 12 Pro Max")</f>
        <v>Battery, iPhone 12 Pro Max</v>
      </c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</row>
    <row r="5648">
      <c r="A5648" s="10" t="str">
        <f t="shared" si="1"/>
        <v>April</v>
      </c>
      <c r="B5648" s="11">
        <f>IFERROR(__xludf.DUMMYFUNCTION("""COMPUTED_VALUE"""),46139.0)</f>
        <v>46139</v>
      </c>
      <c r="C5648" s="2" t="str">
        <f>IFERROR(__xludf.DUMMYFUNCTION("""COMPUTED_VALUE"""),"MOBILECARE - LIMA ESTATE")</f>
        <v>MOBILECARE - LIMA ESTATE</v>
      </c>
      <c r="D5648" s="2" t="str">
        <f>IFERROR(__xludf.DUMMYFUNCTION("""COMPUTED_VALUE"""),"661-44799")</f>
        <v>661-44799</v>
      </c>
      <c r="E5648" s="2" t="str">
        <f>IFERROR(__xludf.DUMMYFUNCTION("""COMPUTED_VALUE"""),"Camera, iPhone 16")</f>
        <v>Camera, iPhone 16</v>
      </c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</row>
    <row r="5649">
      <c r="A5649" s="10" t="str">
        <f t="shared" si="1"/>
        <v>April</v>
      </c>
      <c r="B5649" s="11">
        <f>IFERROR(__xludf.DUMMYFUNCTION("""COMPUTED_VALUE"""),46126.0)</f>
        <v>46126</v>
      </c>
      <c r="C5649" s="2" t="str">
        <f>IFERROR(__xludf.DUMMYFUNCTION("""COMPUTED_VALUE"""),"MOBILECARE - LIMA ESTATE")</f>
        <v>MOBILECARE - LIMA ESTATE</v>
      </c>
      <c r="D5649" s="2" t="str">
        <f>IFERROR(__xludf.DUMMYFUNCTION("""COMPUTED_VALUE"""),"PP661-23454")</f>
        <v>PP661-23454</v>
      </c>
      <c r="E5649" s="2" t="str">
        <f>IFERROR(__xludf.DUMMYFUNCTION("""COMPUTED_VALUE"""),"iPhone 13, Midnight, 128GB, Logic Board Assy Rear System, ROW")</f>
        <v>iPhone 13, Midnight, 128GB, Logic Board Assy Rear System, ROW</v>
      </c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</row>
    <row r="5650">
      <c r="A5650" s="10" t="str">
        <f t="shared" si="1"/>
        <v>April</v>
      </c>
      <c r="B5650" s="11">
        <f>IFERROR(__xludf.DUMMYFUNCTION("""COMPUTED_VALUE"""),46113.0)</f>
        <v>46113</v>
      </c>
      <c r="C5650" s="2" t="str">
        <f>IFERROR(__xludf.DUMMYFUNCTION("""COMPUTED_VALUE"""),"MOBILECARE - LIMA ESTATE")</f>
        <v>MOBILECARE - LIMA ESTATE</v>
      </c>
      <c r="D5650" s="2" t="str">
        <f>IFERROR(__xludf.DUMMYFUNCTION("""COMPUTED_VALUE"""),"661-30394")</f>
        <v>661-30394</v>
      </c>
      <c r="E5650" s="2" t="str">
        <f>IFERROR(__xludf.DUMMYFUNCTION("""COMPUTED_VALUE"""),"Battery, iPhone 14 Plus")</f>
        <v>Battery, iPhone 14 Plus</v>
      </c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</row>
    <row r="5651">
      <c r="A5651" s="10" t="str">
        <f t="shared" si="1"/>
        <v>March</v>
      </c>
      <c r="B5651" s="11">
        <f>IFERROR(__xludf.DUMMYFUNCTION("""COMPUTED_VALUE"""),46100.0)</f>
        <v>46100</v>
      </c>
      <c r="C5651" s="2" t="str">
        <f>IFERROR(__xludf.DUMMYFUNCTION("""COMPUTED_VALUE"""),"MOBILECARE - LIMA ESTATE")</f>
        <v>MOBILECARE - LIMA ESTATE</v>
      </c>
      <c r="D5651" s="2" t="str">
        <f>IFERROR(__xludf.DUMMYFUNCTION("""COMPUTED_VALUE"""),"661-35828")</f>
        <v>661-35828</v>
      </c>
      <c r="E5651" s="2" t="str">
        <f>IFERROR(__xludf.DUMMYFUNCTION("""COMPUTED_VALUE"""),"Camera, iPhone 15")</f>
        <v>Camera, iPhone 15</v>
      </c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</row>
    <row r="5652">
      <c r="A5652" s="10" t="str">
        <f t="shared" si="1"/>
        <v>March</v>
      </c>
      <c r="B5652" s="11">
        <f>IFERROR(__xludf.DUMMYFUNCTION("""COMPUTED_VALUE"""),46100.0)</f>
        <v>46100</v>
      </c>
      <c r="C5652" s="2" t="str">
        <f>IFERROR(__xludf.DUMMYFUNCTION("""COMPUTED_VALUE"""),"MOBILECARE - LIMA ESTATE")</f>
        <v>MOBILECARE - LIMA ESTATE</v>
      </c>
      <c r="D5652" s="2" t="str">
        <f>IFERROR(__xludf.DUMMYFUNCTION("""COMPUTED_VALUE"""),"661-36829")</f>
        <v>661-36829</v>
      </c>
      <c r="E5652" s="2" t="str">
        <f>IFERROR(__xludf.DUMMYFUNCTION("""COMPUTED_VALUE"""),"TrueDepth Camera, iPhone 15")</f>
        <v>TrueDepth Camera, iPhone 15</v>
      </c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</row>
    <row r="5653">
      <c r="A5653" s="10" t="str">
        <f t="shared" si="1"/>
        <v>March</v>
      </c>
      <c r="B5653" s="11">
        <f>IFERROR(__xludf.DUMMYFUNCTION("""COMPUTED_VALUE"""),46100.0)</f>
        <v>46100</v>
      </c>
      <c r="C5653" s="2" t="str">
        <f>IFERROR(__xludf.DUMMYFUNCTION("""COMPUTED_VALUE"""),"MOBILECARE - LIMA ESTATE")</f>
        <v>MOBILECARE - LIMA ESTATE</v>
      </c>
      <c r="D5653" s="2" t="str">
        <f>IFERROR(__xludf.DUMMYFUNCTION("""COMPUTED_VALUE"""),"661-36829")</f>
        <v>661-36829</v>
      </c>
      <c r="E5653" s="2" t="str">
        <f>IFERROR(__xludf.DUMMYFUNCTION("""COMPUTED_VALUE"""),"TrueDepth Camera, iPhone 15")</f>
        <v>TrueDepth Camera, iPhone 15</v>
      </c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</row>
    <row r="5654">
      <c r="A5654" s="10" t="str">
        <f t="shared" si="1"/>
        <v>March</v>
      </c>
      <c r="B5654" s="11">
        <f>IFERROR(__xludf.DUMMYFUNCTION("""COMPUTED_VALUE"""),46100.0)</f>
        <v>46100</v>
      </c>
      <c r="C5654" s="2" t="str">
        <f>IFERROR(__xludf.DUMMYFUNCTION("""COMPUTED_VALUE"""),"MOBILECARE - LIMA ESTATE")</f>
        <v>MOBILECARE - LIMA ESTATE</v>
      </c>
      <c r="D5654" s="2" t="str">
        <f>IFERROR(__xludf.DUMMYFUNCTION("""COMPUTED_VALUE"""),"661-35828")</f>
        <v>661-35828</v>
      </c>
      <c r="E5654" s="2" t="str">
        <f>IFERROR(__xludf.DUMMYFUNCTION("""COMPUTED_VALUE"""),"Camera, iPhone 15")</f>
        <v>Camera, iPhone 15</v>
      </c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</row>
    <row r="5655">
      <c r="A5655" s="10" t="str">
        <f t="shared" si="1"/>
        <v>March</v>
      </c>
      <c r="B5655" s="11">
        <f>IFERROR(__xludf.DUMMYFUNCTION("""COMPUTED_VALUE"""),46106.0)</f>
        <v>46106</v>
      </c>
      <c r="C5655" s="2" t="str">
        <f>IFERROR(__xludf.DUMMYFUNCTION("""COMPUTED_VALUE"""),"MOBILECARE - LIMA ESTATE")</f>
        <v>MOBILECARE - LIMA ESTATE</v>
      </c>
      <c r="D5655" s="2" t="str">
        <f>IFERROR(__xludf.DUMMYFUNCTION("""COMPUTED_VALUE"""),"661-17920")</f>
        <v>661-17920</v>
      </c>
      <c r="E5655" s="2" t="str">
        <f>IFERROR(__xludf.DUMMYFUNCTION("""COMPUTED_VALUE"""),"Battery, iPhone 12 and 12 Pro")</f>
        <v>Battery, iPhone 12 and 12 Pro</v>
      </c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</row>
    <row r="5656">
      <c r="A5656" s="10" t="str">
        <f t="shared" si="1"/>
        <v>March</v>
      </c>
      <c r="B5656" s="11">
        <f>IFERROR(__xludf.DUMMYFUNCTION("""COMPUTED_VALUE"""),46110.0)</f>
        <v>46110</v>
      </c>
      <c r="C5656" s="2" t="str">
        <f>IFERROR(__xludf.DUMMYFUNCTION("""COMPUTED_VALUE"""),"MOBILECARE - LIMA ESTATE")</f>
        <v>MOBILECARE - LIMA ESTATE</v>
      </c>
      <c r="D5656" s="2" t="str">
        <f>IFERROR(__xludf.DUMMYFUNCTION("""COMPUTED_VALUE"""),"PP661-28868")</f>
        <v>PP661-28868</v>
      </c>
      <c r="E5656" s="2" t="str">
        <f>IFERROR(__xludf.DUMMYFUNCTION("""COMPUTED_VALUE"""),"iPhone 14, Midnight, 128GB, Logic Board Assy Mid System, ROW")</f>
        <v>iPhone 14, Midnight, 128GB, Logic Board Assy Mid System, ROW</v>
      </c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</row>
    <row r="5657">
      <c r="A5657" s="10" t="str">
        <f t="shared" si="1"/>
        <v>March</v>
      </c>
      <c r="B5657" s="11">
        <f>IFERROR(__xludf.DUMMYFUNCTION("""COMPUTED_VALUE"""),46088.0)</f>
        <v>46088</v>
      </c>
      <c r="C5657" s="2" t="str">
        <f>IFERROR(__xludf.DUMMYFUNCTION("""COMPUTED_VALUE"""),"MOBILECARE - LIMA ESTATE")</f>
        <v>MOBILECARE - LIMA ESTATE</v>
      </c>
      <c r="D5657" s="2" t="str">
        <f>IFERROR(__xludf.DUMMYFUNCTION("""COMPUTED_VALUE"""),"661-21991")</f>
        <v>661-21991</v>
      </c>
      <c r="E5657" s="2" t="str">
        <f>IFERROR(__xludf.DUMMYFUNCTION("""COMPUTED_VALUE"""),"Battery, iPhone 13")</f>
        <v>Battery, iPhone 13</v>
      </c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</row>
    <row r="5658">
      <c r="A5658" s="10" t="str">
        <f t="shared" si="1"/>
        <v>February</v>
      </c>
      <c r="B5658" s="11">
        <f>IFERROR(__xludf.DUMMYFUNCTION("""COMPUTED_VALUE"""),46069.0)</f>
        <v>46069</v>
      </c>
      <c r="C5658" s="2" t="str">
        <f>IFERROR(__xludf.DUMMYFUNCTION("""COMPUTED_VALUE"""),"MOBILECARE - LIMA ESTATE")</f>
        <v>MOBILECARE - LIMA ESTATE</v>
      </c>
      <c r="D5658" s="2" t="str">
        <f>IFERROR(__xludf.DUMMYFUNCTION("""COMPUTED_VALUE"""),"923-06235")</f>
        <v>923-06235</v>
      </c>
      <c r="E5658" s="2" t="str">
        <f>IFERROR(__xludf.DUMMYFUNCTION("""COMPUTED_VALUE"""),"Bottom Speaker, iPhone 13")</f>
        <v>Bottom Speaker, iPhone 13</v>
      </c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</row>
    <row r="5659">
      <c r="A5659" s="10" t="str">
        <f t="shared" si="1"/>
        <v>February</v>
      </c>
      <c r="B5659" s="11">
        <f>IFERROR(__xludf.DUMMYFUNCTION("""COMPUTED_VALUE"""),46064.0)</f>
        <v>46064</v>
      </c>
      <c r="C5659" s="2" t="str">
        <f>IFERROR(__xludf.DUMMYFUNCTION("""COMPUTED_VALUE"""),"MOBILECARE - LIMA ESTATE")</f>
        <v>MOBILECARE - LIMA ESTATE</v>
      </c>
      <c r="D5659" s="2" t="str">
        <f>IFERROR(__xludf.DUMMYFUNCTION("""COMPUTED_VALUE"""),"661-17920")</f>
        <v>661-17920</v>
      </c>
      <c r="E5659" s="2" t="str">
        <f>IFERROR(__xludf.DUMMYFUNCTION("""COMPUTED_VALUE"""),"Battery, iPhone 12 and 12 Pro")</f>
        <v>Battery, iPhone 12 and 12 Pro</v>
      </c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</row>
    <row r="5660">
      <c r="A5660" s="10" t="str">
        <f t="shared" si="1"/>
        <v>February</v>
      </c>
      <c r="B5660" s="11">
        <f>IFERROR(__xludf.DUMMYFUNCTION("""COMPUTED_VALUE"""),46067.0)</f>
        <v>46067</v>
      </c>
      <c r="C5660" s="2" t="str">
        <f>IFERROR(__xludf.DUMMYFUNCTION("""COMPUTED_VALUE"""),"MOBILECARE - LIMA ESTATE")</f>
        <v>MOBILECARE - LIMA ESTATE</v>
      </c>
      <c r="D5660" s="2" t="str">
        <f>IFERROR(__xludf.DUMMYFUNCTION("""COMPUTED_VALUE"""),"661-21991")</f>
        <v>661-21991</v>
      </c>
      <c r="E5660" s="2" t="str">
        <f>IFERROR(__xludf.DUMMYFUNCTION("""COMPUTED_VALUE"""),"Battery, iPhone 13")</f>
        <v>Battery, iPhone 13</v>
      </c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</row>
    <row r="5661">
      <c r="A5661" s="10" t="str">
        <f t="shared" si="1"/>
        <v>January</v>
      </c>
      <c r="B5661" s="11">
        <f>IFERROR(__xludf.DUMMYFUNCTION("""COMPUTED_VALUE"""),46043.0)</f>
        <v>46043</v>
      </c>
      <c r="C5661" s="2" t="str">
        <f>IFERROR(__xludf.DUMMYFUNCTION("""COMPUTED_VALUE"""),"MOBILECARE - LIMA ESTATE")</f>
        <v>MOBILECARE - LIMA ESTATE</v>
      </c>
      <c r="D5661" s="2" t="str">
        <f>IFERROR(__xludf.DUMMYFUNCTION("""COMPUTED_VALUE"""),"923-10996")</f>
        <v>923-10996</v>
      </c>
      <c r="E5661" s="2" t="str">
        <f>IFERROR(__xludf.DUMMYFUNCTION("""COMPUTED_VALUE"""),"Top Speaker, iPhone 16 Plus, non MMwave")</f>
        <v>Top Speaker, iPhone 16 Plus, non MMwave</v>
      </c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</row>
    <row r="5662">
      <c r="A5662" s="10" t="str">
        <f t="shared" si="1"/>
        <v>January</v>
      </c>
      <c r="B5662" s="11">
        <f>IFERROR(__xludf.DUMMYFUNCTION("""COMPUTED_VALUE"""),46043.0)</f>
        <v>46043</v>
      </c>
      <c r="C5662" s="2" t="str">
        <f>IFERROR(__xludf.DUMMYFUNCTION("""COMPUTED_VALUE"""),"MOBILECARE - LIMA ESTATE")</f>
        <v>MOBILECARE - LIMA ESTATE</v>
      </c>
      <c r="D5662" s="2" t="str">
        <f>IFERROR(__xludf.DUMMYFUNCTION("""COMPUTED_VALUE"""),"661-42845")</f>
        <v>661-42845</v>
      </c>
      <c r="E5662" s="2" t="str">
        <f>IFERROR(__xludf.DUMMYFUNCTION("""COMPUTED_VALUE"""),"Camera, iPhone 16 Plus")</f>
        <v>Camera, iPhone 16 Plus</v>
      </c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</row>
    <row r="5663">
      <c r="A5663" s="10" t="str">
        <f t="shared" si="1"/>
        <v>January</v>
      </c>
      <c r="B5663" s="11">
        <f>IFERROR(__xludf.DUMMYFUNCTION("""COMPUTED_VALUE"""),46044.0)</f>
        <v>46044</v>
      </c>
      <c r="C5663" s="2" t="str">
        <f>IFERROR(__xludf.DUMMYFUNCTION("""COMPUTED_VALUE"""),"MOBILECARE - LIMA ESTATE")</f>
        <v>MOBILECARE - LIMA ESTATE</v>
      </c>
      <c r="D5663" s="2" t="str">
        <f>IFERROR(__xludf.DUMMYFUNCTION("""COMPUTED_VALUE"""),"661-21991")</f>
        <v>661-21991</v>
      </c>
      <c r="E5663" s="2" t="str">
        <f>IFERROR(__xludf.DUMMYFUNCTION("""COMPUTED_VALUE"""),"Battery, iPhone 13")</f>
        <v>Battery, iPhone 13</v>
      </c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</row>
    <row r="5664">
      <c r="A5664" s="10" t="str">
        <f t="shared" si="1"/>
        <v>June</v>
      </c>
      <c r="B5664" s="11">
        <f>IFERROR(__xludf.DUMMYFUNCTION("""COMPUTED_VALUE"""),46190.0)</f>
        <v>46190</v>
      </c>
      <c r="C5664" s="2" t="str">
        <f>IFERROR(__xludf.DUMMYFUNCTION("""COMPUTED_VALUE"""),"MOBILECARE - LIMA ESTATE")</f>
        <v>MOBILECARE - LIMA ESTATE</v>
      </c>
      <c r="D5664" s="2" t="str">
        <f>IFERROR(__xludf.DUMMYFUNCTION("""COMPUTED_VALUE"""),"TA661-36694")</f>
        <v>TA661-36694</v>
      </c>
      <c r="E5664" s="2" t="str">
        <f>IFERROR(__xludf.DUMMYFUNCTION("""COMPUTED_VALUE"""),"iPhone 15, Blue, 128GB, Logic Board Assy Mid System, ROW")</f>
        <v>iPhone 15, Blue, 128GB, Logic Board Assy Mid System, ROW</v>
      </c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</row>
    <row r="5665">
      <c r="A5665" s="10" t="str">
        <f t="shared" si="1"/>
        <v>May</v>
      </c>
      <c r="B5665" s="11">
        <f>IFERROR(__xludf.DUMMYFUNCTION("""COMPUTED_VALUE"""),46173.0)</f>
        <v>46173</v>
      </c>
      <c r="C5665" s="2" t="str">
        <f>IFERROR(__xludf.DUMMYFUNCTION("""COMPUTED_VALUE"""),"MOBILECARE - LIMA ESTATE")</f>
        <v>MOBILECARE - LIMA ESTATE</v>
      </c>
      <c r="D5665" s="2" t="str">
        <f>IFERROR(__xludf.DUMMYFUNCTION("""COMPUTED_VALUE"""),"661-56050")</f>
        <v>661-56050</v>
      </c>
      <c r="E5665" s="2" t="str">
        <f>IFERROR(__xludf.DUMMYFUNCTION("""COMPUTED_VALUE"""),"Display, iPhone 17 Pro Max")</f>
        <v>Display, iPhone 17 Pro Max</v>
      </c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</row>
    <row r="5666">
      <c r="A5666" s="10" t="str">
        <f t="shared" si="1"/>
        <v>April</v>
      </c>
      <c r="B5666" s="11">
        <f>IFERROR(__xludf.DUMMYFUNCTION("""COMPUTED_VALUE"""),46135.0)</f>
        <v>46135</v>
      </c>
      <c r="C5666" s="2" t="str">
        <f>IFERROR(__xludf.DUMMYFUNCTION("""COMPUTED_VALUE"""),"MOBILECARE - LIMA ESTATE")</f>
        <v>MOBILECARE - LIMA ESTATE</v>
      </c>
      <c r="D5666" s="2" t="str">
        <f>IFERROR(__xludf.DUMMYFUNCTION("""COMPUTED_VALUE"""),"661-30370")</f>
        <v>661-30370</v>
      </c>
      <c r="E5666" s="2" t="str">
        <f>IFERROR(__xludf.DUMMYFUNCTION("""COMPUTED_VALUE"""),"Camera, iPhone 14")</f>
        <v>Camera, iPhone 14</v>
      </c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</row>
    <row r="5667">
      <c r="A5667" s="10" t="str">
        <f t="shared" si="1"/>
        <v>April</v>
      </c>
      <c r="B5667" s="11">
        <f>IFERROR(__xludf.DUMMYFUNCTION("""COMPUTED_VALUE"""),46135.0)</f>
        <v>46135</v>
      </c>
      <c r="C5667" s="2" t="str">
        <f>IFERROR(__xludf.DUMMYFUNCTION("""COMPUTED_VALUE"""),"MOBILECARE - LIMA ESTATE")</f>
        <v>MOBILECARE - LIMA ESTATE</v>
      </c>
      <c r="D5667" s="2" t="str">
        <f>IFERROR(__xludf.DUMMYFUNCTION("""COMPUTED_VALUE"""),"661-30371")</f>
        <v>661-30371</v>
      </c>
      <c r="E5667" s="2" t="str">
        <f>IFERROR(__xludf.DUMMYFUNCTION("""COMPUTED_VALUE"""),"True Depth Camera, iPhone 14")</f>
        <v>True Depth Camera, iPhone 14</v>
      </c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</row>
    <row r="5668">
      <c r="A5668" s="10" t="str">
        <f t="shared" si="1"/>
        <v>April</v>
      </c>
      <c r="B5668" s="11">
        <f>IFERROR(__xludf.DUMMYFUNCTION("""COMPUTED_VALUE"""),46123.0)</f>
        <v>46123</v>
      </c>
      <c r="C5668" s="2" t="str">
        <f>IFERROR(__xludf.DUMMYFUNCTION("""COMPUTED_VALUE"""),"MOBILECARE - LIMA ESTATE")</f>
        <v>MOBILECARE - LIMA ESTATE</v>
      </c>
      <c r="D5668" s="2" t="str">
        <f>IFERROR(__xludf.DUMMYFUNCTION("""COMPUTED_VALUE"""),"661-21988")</f>
        <v>661-21988</v>
      </c>
      <c r="E5668" s="2" t="str">
        <f>IFERROR(__xludf.DUMMYFUNCTION("""COMPUTED_VALUE"""),"Display, iPhone 13")</f>
        <v>Display, iPhone 13</v>
      </c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</row>
    <row r="5669">
      <c r="A5669" s="10" t="str">
        <f t="shared" si="1"/>
        <v>March</v>
      </c>
      <c r="B5669" s="11">
        <f>IFERROR(__xludf.DUMMYFUNCTION("""COMPUTED_VALUE"""),46108.0)</f>
        <v>46108</v>
      </c>
      <c r="C5669" s="2" t="str">
        <f>IFERROR(__xludf.DUMMYFUNCTION("""COMPUTED_VALUE"""),"MOBILECARE - LIMA ESTATE")</f>
        <v>MOBILECARE - LIMA ESTATE</v>
      </c>
      <c r="D5669" s="2" t="str">
        <f>IFERROR(__xludf.DUMMYFUNCTION("""COMPUTED_VALUE"""),"661-21988")</f>
        <v>661-21988</v>
      </c>
      <c r="E5669" s="2" t="str">
        <f>IFERROR(__xludf.DUMMYFUNCTION("""COMPUTED_VALUE"""),"Display, iPhone 13")</f>
        <v>Display, iPhone 13</v>
      </c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</row>
    <row r="5670">
      <c r="A5670" s="10" t="str">
        <f t="shared" si="1"/>
        <v>March</v>
      </c>
      <c r="B5670" s="11">
        <f>IFERROR(__xludf.DUMMYFUNCTION("""COMPUTED_VALUE"""),46093.0)</f>
        <v>46093</v>
      </c>
      <c r="C5670" s="2" t="str">
        <f>IFERROR(__xludf.DUMMYFUNCTION("""COMPUTED_VALUE"""),"MOBILECARE - LIMA ESTATE")</f>
        <v>MOBILECARE - LIMA ESTATE</v>
      </c>
      <c r="D5670" s="2" t="str">
        <f>IFERROR(__xludf.DUMMYFUNCTION("""COMPUTED_VALUE"""),"661-21991")</f>
        <v>661-21991</v>
      </c>
      <c r="E5670" s="2" t="str">
        <f>IFERROR(__xludf.DUMMYFUNCTION("""COMPUTED_VALUE"""),"Battery, iPhone 13")</f>
        <v>Battery, iPhone 13</v>
      </c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</row>
    <row r="5671">
      <c r="A5671" s="10" t="str">
        <f t="shared" si="1"/>
        <v>March</v>
      </c>
      <c r="B5671" s="11">
        <f>IFERROR(__xludf.DUMMYFUNCTION("""COMPUTED_VALUE"""),46089.0)</f>
        <v>46089</v>
      </c>
      <c r="C5671" s="2" t="str">
        <f>IFERROR(__xludf.DUMMYFUNCTION("""COMPUTED_VALUE"""),"MOBILECARE - LIMA ESTATE")</f>
        <v>MOBILECARE - LIMA ESTATE</v>
      </c>
      <c r="D5671" s="2" t="str">
        <f>IFERROR(__xludf.DUMMYFUNCTION("""COMPUTED_VALUE"""),"661-22309")</f>
        <v>661-22309</v>
      </c>
      <c r="E5671" s="2" t="str">
        <f>IFERROR(__xludf.DUMMYFUNCTION("""COMPUTED_VALUE"""),"Display, iPhone 13 Pro Max")</f>
        <v>Display, iPhone 13 Pro Max</v>
      </c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</row>
    <row r="5672">
      <c r="A5672" s="10" t="str">
        <f t="shared" si="1"/>
        <v>March</v>
      </c>
      <c r="B5672" s="11">
        <f>IFERROR(__xludf.DUMMYFUNCTION("""COMPUTED_VALUE"""),46093.0)</f>
        <v>46093</v>
      </c>
      <c r="C5672" s="2" t="str">
        <f>IFERROR(__xludf.DUMMYFUNCTION("""COMPUTED_VALUE"""),"MOBILECARE - LIMA ESTATE")</f>
        <v>MOBILECARE - LIMA ESTATE</v>
      </c>
      <c r="D5672" s="2" t="str">
        <f>IFERROR(__xludf.DUMMYFUNCTION("""COMPUTED_VALUE"""),"661-21991")</f>
        <v>661-21991</v>
      </c>
      <c r="E5672" s="2" t="str">
        <f>IFERROR(__xludf.DUMMYFUNCTION("""COMPUTED_VALUE"""),"Battery, iPhone 13")</f>
        <v>Battery, iPhone 13</v>
      </c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</row>
    <row r="5673">
      <c r="A5673" s="10" t="str">
        <f t="shared" si="1"/>
        <v>February</v>
      </c>
      <c r="B5673" s="11">
        <f>IFERROR(__xludf.DUMMYFUNCTION("""COMPUTED_VALUE"""),46058.0)</f>
        <v>46058</v>
      </c>
      <c r="C5673" s="2" t="str">
        <f>IFERROR(__xludf.DUMMYFUNCTION("""COMPUTED_VALUE"""),"MOBILECARE - LIMA ESTATE")</f>
        <v>MOBILECARE - LIMA ESTATE</v>
      </c>
      <c r="D5673" s="2" t="str">
        <f>IFERROR(__xludf.DUMMYFUNCTION("""COMPUTED_VALUE"""),"661-42726")</f>
        <v>661-42726</v>
      </c>
      <c r="E5673" s="2" t="str">
        <f>IFERROR(__xludf.DUMMYFUNCTION("""COMPUTED_VALUE"""),"Display, iPhone 16 Pro")</f>
        <v>Display, iPhone 16 Pro</v>
      </c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</row>
    <row r="5674">
      <c r="A5674" s="10" t="str">
        <f t="shared" si="1"/>
        <v>February</v>
      </c>
      <c r="B5674" s="11">
        <f>IFERROR(__xludf.DUMMYFUNCTION("""COMPUTED_VALUE"""),46073.0)</f>
        <v>46073</v>
      </c>
      <c r="C5674" s="2" t="str">
        <f>IFERROR(__xludf.DUMMYFUNCTION("""COMPUTED_VALUE"""),"MOBILECARE - LIMA ESTATE")</f>
        <v>MOBILECARE - LIMA ESTATE</v>
      </c>
      <c r="D5674" s="2" t="str">
        <f>IFERROR(__xludf.DUMMYFUNCTION("""COMPUTED_VALUE"""),"661-42728")</f>
        <v>661-42728</v>
      </c>
      <c r="E5674" s="2" t="str">
        <f>IFERROR(__xludf.DUMMYFUNCTION("""COMPUTED_VALUE"""),"Camera, iPhone 16 Pro")</f>
        <v>Camera, iPhone 16 Pro</v>
      </c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</row>
    <row r="5675">
      <c r="A5675" s="10" t="str">
        <f t="shared" si="1"/>
        <v>February</v>
      </c>
      <c r="B5675" s="11">
        <f>IFERROR(__xludf.DUMMYFUNCTION("""COMPUTED_VALUE"""),46073.0)</f>
        <v>46073</v>
      </c>
      <c r="C5675" s="2" t="str">
        <f>IFERROR(__xludf.DUMMYFUNCTION("""COMPUTED_VALUE"""),"MOBILECARE - LIMA ESTATE")</f>
        <v>MOBILECARE - LIMA ESTATE</v>
      </c>
      <c r="D5675" s="2" t="str">
        <f>IFERROR(__xludf.DUMMYFUNCTION("""COMPUTED_VALUE"""),"TA661-45006")</f>
        <v>TA661-45006</v>
      </c>
      <c r="E5675" s="2" t="str">
        <f>IFERROR(__xludf.DUMMYFUNCTION("""COMPUTED_VALUE"""),"512GB, Natural Titanium, ROW, iPhone 16 Pro, Logic Board Assy Mid System")</f>
        <v>512GB, Natural Titanium, ROW, iPhone 16 Pro, Logic Board Assy Mid System</v>
      </c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</row>
    <row r="5676">
      <c r="A5676" s="10" t="str">
        <f t="shared" si="1"/>
        <v>February</v>
      </c>
      <c r="B5676" s="11">
        <f>IFERROR(__xludf.DUMMYFUNCTION("""COMPUTED_VALUE"""),46079.0)</f>
        <v>46079</v>
      </c>
      <c r="C5676" s="2" t="str">
        <f>IFERROR(__xludf.DUMMYFUNCTION("""COMPUTED_VALUE"""),"MOBILECARE - LIMA ESTATE")</f>
        <v>MOBILECARE - LIMA ESTATE</v>
      </c>
      <c r="D5676" s="2" t="str">
        <f>IFERROR(__xludf.DUMMYFUNCTION("""COMPUTED_VALUE"""),"TA661-36294")</f>
        <v>TA661-36294</v>
      </c>
      <c r="E5676" s="2" t="str">
        <f>IFERROR(__xludf.DUMMYFUNCTION("""COMPUTED_VALUE"""),"Blue, iPhone 15, 256GB, ROW, CI/AR, Taiwan")</f>
        <v>Blue, iPhone 15, 256GB, ROW, CI/AR, Taiwan</v>
      </c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</row>
    <row r="5677">
      <c r="A5677" s="10" t="str">
        <f t="shared" si="1"/>
        <v>February</v>
      </c>
      <c r="B5677" s="11">
        <f>IFERROR(__xludf.DUMMYFUNCTION("""COMPUTED_VALUE"""),46054.0)</f>
        <v>46054</v>
      </c>
      <c r="C5677" s="2" t="str">
        <f>IFERROR(__xludf.DUMMYFUNCTION("""COMPUTED_VALUE"""),"MOBILECARE - LIMA ESTATE")</f>
        <v>MOBILECARE - LIMA ESTATE</v>
      </c>
      <c r="D5677" s="2" t="str">
        <f>IFERROR(__xludf.DUMMYFUNCTION("""COMPUTED_VALUE"""),"661-21991")</f>
        <v>661-21991</v>
      </c>
      <c r="E5677" s="2" t="str">
        <f>IFERROR(__xludf.DUMMYFUNCTION("""COMPUTED_VALUE"""),"Battery, iPhone 13")</f>
        <v>Battery, iPhone 13</v>
      </c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</row>
    <row r="5678">
      <c r="A5678" s="10" t="str">
        <f t="shared" si="1"/>
        <v>April</v>
      </c>
      <c r="B5678" s="11">
        <f>IFERROR(__xludf.DUMMYFUNCTION("""COMPUTED_VALUE"""),46119.0)</f>
        <v>46119</v>
      </c>
      <c r="C5678" s="2" t="str">
        <f>IFERROR(__xludf.DUMMYFUNCTION("""COMPUTED_VALUE"""),"MOBILECARE - APP POWER PLANT MALL")</f>
        <v>MOBILECARE - APP POWER PLANT MALL</v>
      </c>
      <c r="D5678" s="2" t="str">
        <f>IFERROR(__xludf.DUMMYFUNCTION("""COMPUTED_VALUE"""),"661-36915")</f>
        <v>661-36915</v>
      </c>
      <c r="E5678" s="2" t="str">
        <f>IFERROR(__xludf.DUMMYFUNCTION("""COMPUTED_VALUE"""),"Display, iPhone 15 Pro Max")</f>
        <v>Display, iPhone 15 Pro Max</v>
      </c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</row>
    <row r="5679">
      <c r="A5679" s="10" t="str">
        <f t="shared" si="1"/>
        <v>March</v>
      </c>
      <c r="B5679" s="11">
        <f>IFERROR(__xludf.DUMMYFUNCTION("""COMPUTED_VALUE"""),46109.0)</f>
        <v>46109</v>
      </c>
      <c r="C5679" s="2" t="str">
        <f>IFERROR(__xludf.DUMMYFUNCTION("""COMPUTED_VALUE"""),"MOBILECARE - APP POWER PLANT MALL")</f>
        <v>MOBILECARE - APP POWER PLANT MALL</v>
      </c>
      <c r="D5679" s="2" t="str">
        <f>IFERROR(__xludf.DUMMYFUNCTION("""COMPUTED_VALUE"""),"661-44955")</f>
        <v>661-44955</v>
      </c>
      <c r="E5679" s="2" t="str">
        <f>IFERROR(__xludf.DUMMYFUNCTION("""COMPUTED_VALUE"""),"Display, iPhone 16 Pro Max")</f>
        <v>Display, iPhone 16 Pro Max</v>
      </c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</row>
    <row r="5680">
      <c r="A5680" s="10" t="str">
        <f t="shared" si="1"/>
        <v>March</v>
      </c>
      <c r="B5680" s="11">
        <f>IFERROR(__xludf.DUMMYFUNCTION("""COMPUTED_VALUE"""),46085.0)</f>
        <v>46085</v>
      </c>
      <c r="C5680" s="2" t="str">
        <f>IFERROR(__xludf.DUMMYFUNCTION("""COMPUTED_VALUE"""),"MOBILECARE - APP POWER PLANT MALL")</f>
        <v>MOBILECARE - APP POWER PLANT MALL</v>
      </c>
      <c r="D5680" s="2" t="str">
        <f>IFERROR(__xludf.DUMMYFUNCTION("""COMPUTED_VALUE"""),"661-21991")</f>
        <v>661-21991</v>
      </c>
      <c r="E5680" s="2" t="str">
        <f>IFERROR(__xludf.DUMMYFUNCTION("""COMPUTED_VALUE"""),"Battery, iPhone 13")</f>
        <v>Battery, iPhone 13</v>
      </c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</row>
    <row r="5681">
      <c r="A5681" s="10" t="str">
        <f t="shared" si="1"/>
        <v>February</v>
      </c>
      <c r="B5681" s="11">
        <f>IFERROR(__xludf.DUMMYFUNCTION("""COMPUTED_VALUE"""),46064.0)</f>
        <v>46064</v>
      </c>
      <c r="C5681" s="2" t="str">
        <f>IFERROR(__xludf.DUMMYFUNCTION("""COMPUTED_VALUE"""),"MOBILECARE - APP POWER PLANT MALL")</f>
        <v>MOBILECARE - APP POWER PLANT MALL</v>
      </c>
      <c r="D5681" s="2" t="str">
        <f>IFERROR(__xludf.DUMMYFUNCTION("""COMPUTED_VALUE"""),"661-56050")</f>
        <v>661-56050</v>
      </c>
      <c r="E5681" s="2" t="str">
        <f>IFERROR(__xludf.DUMMYFUNCTION("""COMPUTED_VALUE"""),"Display, iPhone 17 Pro Max")</f>
        <v>Display, iPhone 17 Pro Max</v>
      </c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</row>
    <row r="5682">
      <c r="A5682" s="10" t="str">
        <f t="shared" si="1"/>
        <v>January</v>
      </c>
      <c r="B5682" s="11">
        <f>IFERROR(__xludf.DUMMYFUNCTION("""COMPUTED_VALUE"""),46052.0)</f>
        <v>46052</v>
      </c>
      <c r="C5682" s="2" t="str">
        <f>IFERROR(__xludf.DUMMYFUNCTION("""COMPUTED_VALUE"""),"MOBILECARE - APP POWER PLANT MALL")</f>
        <v>MOBILECARE - APP POWER PLANT MALL</v>
      </c>
      <c r="D5682" s="2" t="str">
        <f>IFERROR(__xludf.DUMMYFUNCTION("""COMPUTED_VALUE"""),"661-44955")</f>
        <v>661-44955</v>
      </c>
      <c r="E5682" s="2" t="str">
        <f>IFERROR(__xludf.DUMMYFUNCTION("""COMPUTED_VALUE"""),"Display, iPhone 16 Pro Max")</f>
        <v>Display, iPhone 16 Pro Max</v>
      </c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</row>
    <row r="5683">
      <c r="A5683" s="10" t="str">
        <f t="shared" si="1"/>
        <v>May</v>
      </c>
      <c r="B5683" s="11">
        <f>IFERROR(__xludf.DUMMYFUNCTION("""COMPUTED_VALUE"""),46160.0)</f>
        <v>46160</v>
      </c>
      <c r="C5683" s="2" t="str">
        <f>IFERROR(__xludf.DUMMYFUNCTION("""COMPUTED_VALUE"""),"MOBILECARE - APP POWER PLANT MALL")</f>
        <v>MOBILECARE - APP POWER PLANT MALL</v>
      </c>
      <c r="D5683" s="2" t="str">
        <f>IFERROR(__xludf.DUMMYFUNCTION("""COMPUTED_VALUE"""),"661-56050")</f>
        <v>661-56050</v>
      </c>
      <c r="E5683" s="2" t="str">
        <f>IFERROR(__xludf.DUMMYFUNCTION("""COMPUTED_VALUE"""),"Display, iPhone 17 Pro Max")</f>
        <v>Display, iPhone 17 Pro Max</v>
      </c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</row>
    <row r="5684">
      <c r="A5684" s="10" t="str">
        <f t="shared" si="1"/>
        <v>April</v>
      </c>
      <c r="B5684" s="11">
        <f>IFERROR(__xludf.DUMMYFUNCTION("""COMPUTED_VALUE"""),46121.0)</f>
        <v>46121</v>
      </c>
      <c r="C5684" s="2" t="str">
        <f>IFERROR(__xludf.DUMMYFUNCTION("""COMPUTED_VALUE"""),"MOBILECARE - APP POWER PLANT MALL")</f>
        <v>MOBILECARE - APP POWER PLANT MALL</v>
      </c>
      <c r="D5684" s="2" t="str">
        <f>IFERROR(__xludf.DUMMYFUNCTION("""COMPUTED_VALUE"""),"661-21991")</f>
        <v>661-21991</v>
      </c>
      <c r="E5684" s="2" t="str">
        <f>IFERROR(__xludf.DUMMYFUNCTION("""COMPUTED_VALUE"""),"Battery, iPhone 13")</f>
        <v>Battery, iPhone 13</v>
      </c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</row>
    <row r="5685">
      <c r="A5685" s="10" t="str">
        <f t="shared" si="1"/>
        <v>March</v>
      </c>
      <c r="B5685" s="11">
        <f>IFERROR(__xludf.DUMMYFUNCTION("""COMPUTED_VALUE"""),46085.0)</f>
        <v>46085</v>
      </c>
      <c r="C5685" s="2" t="str">
        <f>IFERROR(__xludf.DUMMYFUNCTION("""COMPUTED_VALUE"""),"MOBILECARE - APP POWER PLANT MALL")</f>
        <v>MOBILECARE - APP POWER PLANT MALL</v>
      </c>
      <c r="D5685" s="2" t="str">
        <f>IFERROR(__xludf.DUMMYFUNCTION("""COMPUTED_VALUE"""),"661-44956")</f>
        <v>661-44956</v>
      </c>
      <c r="E5685" s="2" t="str">
        <f>IFERROR(__xludf.DUMMYFUNCTION("""COMPUTED_VALUE"""),"TrueDepth Camera, iPhone 16 Pro Max")</f>
        <v>TrueDepth Camera, iPhone 16 Pro Max</v>
      </c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</row>
    <row r="5686">
      <c r="A5686" s="10" t="str">
        <f t="shared" si="1"/>
        <v>April</v>
      </c>
      <c r="B5686" s="11">
        <f>IFERROR(__xludf.DUMMYFUNCTION("""COMPUTED_VALUE"""),46131.0)</f>
        <v>46131</v>
      </c>
      <c r="C5686" s="2" t="str">
        <f>IFERROR(__xludf.DUMMYFUNCTION("""COMPUTED_VALUE"""),"MOBILECARE - APP POWER PLANT MALL")</f>
        <v>MOBILECARE - APP POWER PLANT MALL</v>
      </c>
      <c r="D5686" s="2" t="str">
        <f>IFERROR(__xludf.DUMMYFUNCTION("""COMPUTED_VALUE"""),"661-22309")</f>
        <v>661-22309</v>
      </c>
      <c r="E5686" s="2" t="str">
        <f>IFERROR(__xludf.DUMMYFUNCTION("""COMPUTED_VALUE"""),"Display, iPhone 13 Pro Max")</f>
        <v>Display, iPhone 13 Pro Max</v>
      </c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</row>
    <row r="5687">
      <c r="A5687" s="10" t="str">
        <f t="shared" si="1"/>
        <v>June</v>
      </c>
      <c r="B5687" s="11">
        <f>IFERROR(__xludf.DUMMYFUNCTION("""COMPUTED_VALUE"""),46192.0)</f>
        <v>46192</v>
      </c>
      <c r="C5687" s="2" t="str">
        <f>IFERROR(__xludf.DUMMYFUNCTION("""COMPUTED_VALUE"""),"MOBILECARE - APP POWER PLANT MALL")</f>
        <v>MOBILECARE - APP POWER PLANT MALL</v>
      </c>
      <c r="D5687" s="2" t="str">
        <f>IFERROR(__xludf.DUMMYFUNCTION("""COMPUTED_VALUE"""),"661-21991")</f>
        <v>661-21991</v>
      </c>
      <c r="E5687" s="2" t="str">
        <f>IFERROR(__xludf.DUMMYFUNCTION("""COMPUTED_VALUE"""),"Battery, iPhone 13")</f>
        <v>Battery, iPhone 13</v>
      </c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</row>
    <row r="5688">
      <c r="A5688" s="10" t="str">
        <f t="shared" si="1"/>
        <v>May</v>
      </c>
      <c r="B5688" s="11">
        <f>IFERROR(__xludf.DUMMYFUNCTION("""COMPUTED_VALUE"""),46163.0)</f>
        <v>46163</v>
      </c>
      <c r="C5688" s="2" t="str">
        <f>IFERROR(__xludf.DUMMYFUNCTION("""COMPUTED_VALUE"""),"MOBILECARE - APP POWER PLANT MALL")</f>
        <v>MOBILECARE - APP POWER PLANT MALL</v>
      </c>
      <c r="D5688" s="2" t="str">
        <f>IFERROR(__xludf.DUMMYFUNCTION("""COMPUTED_VALUE"""),"661-30397")</f>
        <v>661-30397</v>
      </c>
      <c r="E5688" s="2" t="str">
        <f>IFERROR(__xludf.DUMMYFUNCTION("""COMPUTED_VALUE"""),"Battery, iPhone 14 Pro Max")</f>
        <v>Battery, iPhone 14 Pro Max</v>
      </c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</row>
    <row r="5689">
      <c r="A5689" s="10" t="str">
        <f t="shared" si="1"/>
        <v>May</v>
      </c>
      <c r="B5689" s="11">
        <f>IFERROR(__xludf.DUMMYFUNCTION("""COMPUTED_VALUE"""),46163.0)</f>
        <v>46163</v>
      </c>
      <c r="C5689" s="2" t="str">
        <f>IFERROR(__xludf.DUMMYFUNCTION("""COMPUTED_VALUE"""),"MOBILECARE - APP POWER PLANT MALL")</f>
        <v>MOBILECARE - APP POWER PLANT MALL</v>
      </c>
      <c r="D5689" s="2" t="str">
        <f>IFERROR(__xludf.DUMMYFUNCTION("""COMPUTED_VALUE"""),"661-30401")</f>
        <v>661-30401</v>
      </c>
      <c r="E5689" s="2" t="str">
        <f>IFERROR(__xludf.DUMMYFUNCTION("""COMPUTED_VALUE"""),"Display, iPhone 14 Pro Max")</f>
        <v>Display, iPhone 14 Pro Max</v>
      </c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</row>
    <row r="5690">
      <c r="A5690" s="10" t="str">
        <f t="shared" si="1"/>
        <v>March</v>
      </c>
      <c r="B5690" s="11">
        <f>IFERROR(__xludf.DUMMYFUNCTION("""COMPUTED_VALUE"""),46082.0)</f>
        <v>46082</v>
      </c>
      <c r="C5690" s="2" t="str">
        <f>IFERROR(__xludf.DUMMYFUNCTION("""COMPUTED_VALUE"""),"MOBILECARE - APP POWER PLANT MALL")</f>
        <v>MOBILECARE - APP POWER PLANT MALL</v>
      </c>
      <c r="D5690" s="2" t="str">
        <f>IFERROR(__xludf.DUMMYFUNCTION("""COMPUTED_VALUE"""),"661-30382")</f>
        <v>661-30382</v>
      </c>
      <c r="E5690" s="2" t="str">
        <f>IFERROR(__xludf.DUMMYFUNCTION("""COMPUTED_VALUE"""),"Battery, iPhone 14 Pro")</f>
        <v>Battery, iPhone 14 Pro</v>
      </c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</row>
    <row r="5691">
      <c r="A5691" s="10" t="str">
        <f t="shared" si="1"/>
        <v>January</v>
      </c>
      <c r="B5691" s="11">
        <f>IFERROR(__xludf.DUMMYFUNCTION("""COMPUTED_VALUE"""),46047.0)</f>
        <v>46047</v>
      </c>
      <c r="C5691" s="2" t="str">
        <f>IFERROR(__xludf.DUMMYFUNCTION("""COMPUTED_VALUE"""),"MOBILECARE - APP POWER PLANT MALL")</f>
        <v>MOBILECARE - APP POWER PLANT MALL</v>
      </c>
      <c r="D5691" s="2" t="str">
        <f>IFERROR(__xludf.DUMMYFUNCTION("""COMPUTED_VALUE"""),"661-30394")</f>
        <v>661-30394</v>
      </c>
      <c r="E5691" s="2" t="str">
        <f>IFERROR(__xludf.DUMMYFUNCTION("""COMPUTED_VALUE"""),"Battery, iPhone 14 Plus")</f>
        <v>Battery, iPhone 14 Plus</v>
      </c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</row>
    <row r="5692">
      <c r="A5692" s="10" t="str">
        <f t="shared" si="1"/>
        <v>May</v>
      </c>
      <c r="B5692" s="11">
        <f>IFERROR(__xludf.DUMMYFUNCTION("""COMPUTED_VALUE"""),46158.0)</f>
        <v>46158</v>
      </c>
      <c r="C5692" s="2" t="str">
        <f>IFERROR(__xludf.DUMMYFUNCTION("""COMPUTED_VALUE"""),"MOBILECARE - APP POWER PLANT MALL")</f>
        <v>MOBILECARE - APP POWER PLANT MALL</v>
      </c>
      <c r="D5692" s="2" t="str">
        <f>IFERROR(__xludf.DUMMYFUNCTION("""COMPUTED_VALUE"""),"661-56051")</f>
        <v>661-56051</v>
      </c>
      <c r="E5692" s="2" t="str">
        <f>IFERROR(__xludf.DUMMYFUNCTION("""COMPUTED_VALUE"""),"Front Camera, iPhone 17 Pro Max")</f>
        <v>Front Camera, iPhone 17 Pro Max</v>
      </c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</row>
    <row r="5693">
      <c r="A5693" s="10" t="str">
        <f t="shared" si="1"/>
        <v>April</v>
      </c>
      <c r="B5693" s="11">
        <f>IFERROR(__xludf.DUMMYFUNCTION("""COMPUTED_VALUE"""),46128.0)</f>
        <v>46128</v>
      </c>
      <c r="C5693" s="2" t="str">
        <f>IFERROR(__xludf.DUMMYFUNCTION("""COMPUTED_VALUE"""),"MOBILECARE - APP POWER PLANT MALL")</f>
        <v>MOBILECARE - APP POWER PLANT MALL</v>
      </c>
      <c r="D5693" s="2" t="str">
        <f>IFERROR(__xludf.DUMMYFUNCTION("""COMPUTED_VALUE"""),"661-36918")</f>
        <v>661-36918</v>
      </c>
      <c r="E5693" s="2" t="str">
        <f>IFERROR(__xludf.DUMMYFUNCTION("""COMPUTED_VALUE"""),"Battery, iPhone 15 Pro Max")</f>
        <v>Battery, iPhone 15 Pro Max</v>
      </c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</row>
    <row r="5694">
      <c r="A5694" s="10" t="str">
        <f t="shared" si="1"/>
        <v>March</v>
      </c>
      <c r="B5694" s="11">
        <f>IFERROR(__xludf.DUMMYFUNCTION("""COMPUTED_VALUE"""),46093.0)</f>
        <v>46093</v>
      </c>
      <c r="C5694" s="2" t="str">
        <f>IFERROR(__xludf.DUMMYFUNCTION("""COMPUTED_VALUE"""),"MOBILECARE - APP POWER PLANT MALL")</f>
        <v>MOBILECARE - APP POWER PLANT MALL</v>
      </c>
      <c r="D5694" s="2" t="str">
        <f>IFERROR(__xludf.DUMMYFUNCTION("""COMPUTED_VALUE"""),"661-42845")</f>
        <v>661-42845</v>
      </c>
      <c r="E5694" s="2" t="str">
        <f>IFERROR(__xludf.DUMMYFUNCTION("""COMPUTED_VALUE"""),"Camera, iPhone 16 Plus")</f>
        <v>Camera, iPhone 16 Plus</v>
      </c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</row>
    <row r="5695">
      <c r="A5695" s="10" t="str">
        <f t="shared" si="1"/>
        <v>February</v>
      </c>
      <c r="B5695" s="11">
        <f>IFERROR(__xludf.DUMMYFUNCTION("""COMPUTED_VALUE"""),46073.0)</f>
        <v>46073</v>
      </c>
      <c r="C5695" s="2" t="str">
        <f>IFERROR(__xludf.DUMMYFUNCTION("""COMPUTED_VALUE"""),"MOBILECARE - APP POWER PLANT MALL")</f>
        <v>MOBILECARE - APP POWER PLANT MALL</v>
      </c>
      <c r="D5695" s="2" t="str">
        <f>IFERROR(__xludf.DUMMYFUNCTION("""COMPUTED_VALUE"""),"661-21991")</f>
        <v>661-21991</v>
      </c>
      <c r="E5695" s="2" t="str">
        <f>IFERROR(__xludf.DUMMYFUNCTION("""COMPUTED_VALUE"""),"Battery, iPhone 13")</f>
        <v>Battery, iPhone 13</v>
      </c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</row>
    <row r="5696">
      <c r="A5696" s="10" t="str">
        <f t="shared" si="1"/>
        <v>January</v>
      </c>
      <c r="B5696" s="11">
        <f>IFERROR(__xludf.DUMMYFUNCTION("""COMPUTED_VALUE"""),46051.0)</f>
        <v>46051</v>
      </c>
      <c r="C5696" s="2" t="str">
        <f>IFERROR(__xludf.DUMMYFUNCTION("""COMPUTED_VALUE"""),"MOBILECARE - APP POWER PLANT MALL")</f>
        <v>MOBILECARE - APP POWER PLANT MALL</v>
      </c>
      <c r="D5696" s="2" t="str">
        <f>IFERROR(__xludf.DUMMYFUNCTION("""COMPUTED_VALUE"""),"Z661-55958")</f>
        <v>Z661-55958</v>
      </c>
      <c r="E5696" s="2" t="str">
        <f>IFERROR(__xludf.DUMMYFUNCTION("""COMPUTED_VALUE"""),"Logic Board, 1TB, iPhone 17 Pro Max, ROW")</f>
        <v>Logic Board, 1TB, iPhone 17 Pro Max, ROW</v>
      </c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</row>
    <row r="5697">
      <c r="A5697" s="10" t="str">
        <f t="shared" si="1"/>
        <v>January</v>
      </c>
      <c r="B5697" s="11">
        <f>IFERROR(__xludf.DUMMYFUNCTION("""COMPUTED_VALUE"""),46046.0)</f>
        <v>46046</v>
      </c>
      <c r="C5697" s="2" t="str">
        <f>IFERROR(__xludf.DUMMYFUNCTION("""COMPUTED_VALUE"""),"MOBILECARE - APP POWER PLANT MALL")</f>
        <v>MOBILECARE - APP POWER PLANT MALL</v>
      </c>
      <c r="D5697" s="2" t="str">
        <f>IFERROR(__xludf.DUMMYFUNCTION("""COMPUTED_VALUE"""),"661-35694")</f>
        <v>661-35694</v>
      </c>
      <c r="E5697" s="2" t="str">
        <f>IFERROR(__xludf.DUMMYFUNCTION("""COMPUTED_VALUE"""),"Battery, iPhone 15 Pro")</f>
        <v>Battery, iPhone 15 Pro</v>
      </c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</row>
    <row r="5698">
      <c r="A5698" s="10" t="str">
        <f t="shared" si="1"/>
        <v>June</v>
      </c>
      <c r="B5698" s="11">
        <f>IFERROR(__xludf.DUMMYFUNCTION("""COMPUTED_VALUE"""),46189.0)</f>
        <v>46189</v>
      </c>
      <c r="C5698" s="2" t="str">
        <f>IFERROR(__xludf.DUMMYFUNCTION("""COMPUTED_VALUE"""),"MOBILECARE - APP POWER PLANT MALL")</f>
        <v>MOBILECARE - APP POWER PLANT MALL</v>
      </c>
      <c r="D5698" s="2" t="str">
        <f>IFERROR(__xludf.DUMMYFUNCTION("""COMPUTED_VALUE"""),"ZP923-13774")</f>
        <v>ZP923-13774</v>
      </c>
      <c r="E5698" s="2" t="str">
        <f>IFERROR(__xludf.DUMMYFUNCTION("""COMPUTED_VALUE"""),"Lavender, Enclosure, iPhone 17, ROW")</f>
        <v>Lavender, Enclosure, iPhone 17, ROW</v>
      </c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</row>
    <row r="5699">
      <c r="A5699" s="10" t="str">
        <f t="shared" si="1"/>
        <v>June</v>
      </c>
      <c r="B5699" s="11">
        <f>IFERROR(__xludf.DUMMYFUNCTION("""COMPUTED_VALUE"""),46189.0)</f>
        <v>46189</v>
      </c>
      <c r="C5699" s="2" t="str">
        <f>IFERROR(__xludf.DUMMYFUNCTION("""COMPUTED_VALUE"""),"MOBILECARE - APP POWER PLANT MALL")</f>
        <v>MOBILECARE - APP POWER PLANT MALL</v>
      </c>
      <c r="D5699" s="2" t="str">
        <f>IFERROR(__xludf.DUMMYFUNCTION("""COMPUTED_VALUE"""),"661-56064")</f>
        <v>661-56064</v>
      </c>
      <c r="E5699" s="2" t="str">
        <f>IFERROR(__xludf.DUMMYFUNCTION("""COMPUTED_VALUE"""),"Battery, iPhone 17")</f>
        <v>Battery, iPhone 17</v>
      </c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</row>
    <row r="5700">
      <c r="A5700" s="10" t="str">
        <f t="shared" si="1"/>
        <v>May</v>
      </c>
      <c r="B5700" s="11">
        <f>IFERROR(__xludf.DUMMYFUNCTION("""COMPUTED_VALUE"""),46173.0)</f>
        <v>46173</v>
      </c>
      <c r="C5700" s="2" t="str">
        <f>IFERROR(__xludf.DUMMYFUNCTION("""COMPUTED_VALUE"""),"MOBILECARE - APP POWER PLANT MALL")</f>
        <v>MOBILECARE - APP POWER PLANT MALL</v>
      </c>
      <c r="D5700" s="2" t="str">
        <f>IFERROR(__xludf.DUMMYFUNCTION("""COMPUTED_VALUE"""),"661-21988")</f>
        <v>661-21988</v>
      </c>
      <c r="E5700" s="2" t="str">
        <f>IFERROR(__xludf.DUMMYFUNCTION("""COMPUTED_VALUE"""),"Display, iPhone 13")</f>
        <v>Display, iPhone 13</v>
      </c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</row>
    <row r="5701">
      <c r="A5701" s="10" t="str">
        <f t="shared" si="1"/>
        <v>May</v>
      </c>
      <c r="B5701" s="11">
        <f>IFERROR(__xludf.DUMMYFUNCTION("""COMPUTED_VALUE"""),46163.0)</f>
        <v>46163</v>
      </c>
      <c r="C5701" s="2" t="str">
        <f>IFERROR(__xludf.DUMMYFUNCTION("""COMPUTED_VALUE"""),"MOBILECARE - APP POWER PLANT MALL")</f>
        <v>MOBILECARE - APP POWER PLANT MALL</v>
      </c>
      <c r="D5701" s="2" t="str">
        <f>IFERROR(__xludf.DUMMYFUNCTION("""COMPUTED_VALUE"""),"661-22294")</f>
        <v>661-22294</v>
      </c>
      <c r="E5701" s="2" t="str">
        <f>IFERROR(__xludf.DUMMYFUNCTION("""COMPUTED_VALUE"""),"Battery, iPhone 13 Pro Max")</f>
        <v>Battery, iPhone 13 Pro Max</v>
      </c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</row>
    <row r="5702">
      <c r="A5702" s="10" t="str">
        <f t="shared" si="1"/>
        <v>April</v>
      </c>
      <c r="B5702" s="11">
        <f>IFERROR(__xludf.DUMMYFUNCTION("""COMPUTED_VALUE"""),46120.0)</f>
        <v>46120</v>
      </c>
      <c r="C5702" s="2" t="str">
        <f>IFERROR(__xludf.DUMMYFUNCTION("""COMPUTED_VALUE"""),"MOBILECARE - APP POWER PLANT MALL")</f>
        <v>MOBILECARE - APP POWER PLANT MALL</v>
      </c>
      <c r="D5702" s="2" t="str">
        <f>IFERROR(__xludf.DUMMYFUNCTION("""COMPUTED_VALUE"""),"661-42728")</f>
        <v>661-42728</v>
      </c>
      <c r="E5702" s="2" t="str">
        <f>IFERROR(__xludf.DUMMYFUNCTION("""COMPUTED_VALUE"""),"Camera, iPhone 16 Pro")</f>
        <v>Camera, iPhone 16 Pro</v>
      </c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</row>
    <row r="5703">
      <c r="A5703" s="10" t="str">
        <f t="shared" si="1"/>
        <v>January</v>
      </c>
      <c r="B5703" s="11">
        <f>IFERROR(__xludf.DUMMYFUNCTION("""COMPUTED_VALUE"""),46051.0)</f>
        <v>46051</v>
      </c>
      <c r="C5703" s="2" t="str">
        <f>IFERROR(__xludf.DUMMYFUNCTION("""COMPUTED_VALUE"""),"MOBILECARE - APP POWER PLANT MALL")</f>
        <v>MOBILECARE - APP POWER PLANT MALL</v>
      </c>
      <c r="D5703" s="2" t="str">
        <f>IFERROR(__xludf.DUMMYFUNCTION("""COMPUTED_VALUE"""),"661-36918")</f>
        <v>661-36918</v>
      </c>
      <c r="E5703" s="2" t="str">
        <f>IFERROR(__xludf.DUMMYFUNCTION("""COMPUTED_VALUE"""),"Battery, iPhone 15 Pro Max")</f>
        <v>Battery, iPhone 15 Pro Max</v>
      </c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</row>
    <row r="5704">
      <c r="A5704" s="10" t="str">
        <f t="shared" si="1"/>
        <v>March</v>
      </c>
      <c r="B5704" s="11">
        <f>IFERROR(__xludf.DUMMYFUNCTION("""COMPUTED_VALUE"""),46103.0)</f>
        <v>46103</v>
      </c>
      <c r="C5704" s="2" t="str">
        <f>IFERROR(__xludf.DUMMYFUNCTION("""COMPUTED_VALUE"""),"MOBILECARE - APP POWER PLANT MALL")</f>
        <v>MOBILECARE - APP POWER PLANT MALL</v>
      </c>
      <c r="D5704" s="2" t="str">
        <f>IFERROR(__xludf.DUMMYFUNCTION("""COMPUTED_VALUE"""),"ZP923-13639")</f>
        <v>ZP923-13639</v>
      </c>
      <c r="E5704" s="2" t="str">
        <f>IFERROR(__xludf.DUMMYFUNCTION("""COMPUTED_VALUE"""),"Cosmic Orange, Enclosure, ROW, iPhone 17 Pro")</f>
        <v>Cosmic Orange, Enclosure, ROW, iPhone 17 Pro</v>
      </c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</row>
    <row r="5705">
      <c r="A5705" s="10" t="str">
        <f t="shared" si="1"/>
        <v>March</v>
      </c>
      <c r="B5705" s="11">
        <f>IFERROR(__xludf.DUMMYFUNCTION("""COMPUTED_VALUE"""),46103.0)</f>
        <v>46103</v>
      </c>
      <c r="C5705" s="2" t="str">
        <f>IFERROR(__xludf.DUMMYFUNCTION("""COMPUTED_VALUE"""),"MOBILECARE - APP POWER PLANT MALL")</f>
        <v>MOBILECARE - APP POWER PLANT MALL</v>
      </c>
      <c r="D5705" s="2" t="str">
        <f>IFERROR(__xludf.DUMMYFUNCTION("""COMPUTED_VALUE"""),"661-56127")</f>
        <v>661-56127</v>
      </c>
      <c r="E5705" s="2" t="str">
        <f>IFERROR(__xludf.DUMMYFUNCTION("""COMPUTED_VALUE"""),"Camera, iPhone 17 Pro")</f>
        <v>Camera, iPhone 17 Pro</v>
      </c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</row>
    <row r="5706">
      <c r="A5706" s="10" t="str">
        <f t="shared" si="1"/>
        <v>May</v>
      </c>
      <c r="B5706" s="11">
        <f>IFERROR(__xludf.DUMMYFUNCTION("""COMPUTED_VALUE"""),46168.0)</f>
        <v>46168</v>
      </c>
      <c r="C5706" s="2" t="str">
        <f>IFERROR(__xludf.DUMMYFUNCTION("""COMPUTED_VALUE"""),"MOBILECARE - APP POWER PLANT MALL")</f>
        <v>MOBILECARE - APP POWER PLANT MALL</v>
      </c>
      <c r="D5706" s="2" t="str">
        <f>IFERROR(__xludf.DUMMYFUNCTION("""COMPUTED_VALUE"""),"661-13574")</f>
        <v>661-13574</v>
      </c>
      <c r="E5706" s="2" t="str">
        <f>IFERROR(__xludf.DUMMYFUNCTION("""COMPUTED_VALUE"""),"Battery, iPhone 11")</f>
        <v>Battery, iPhone 11</v>
      </c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</row>
    <row r="5707">
      <c r="A5707" s="10" t="str">
        <f t="shared" si="1"/>
        <v>February</v>
      </c>
      <c r="B5707" s="11">
        <f>IFERROR(__xludf.DUMMYFUNCTION("""COMPUTED_VALUE"""),46068.0)</f>
        <v>46068</v>
      </c>
      <c r="C5707" s="2" t="str">
        <f>IFERROR(__xludf.DUMMYFUNCTION("""COMPUTED_VALUE"""),"MOBILECARE - APP POWER PLANT MALL")</f>
        <v>MOBILECARE - APP POWER PLANT MALL</v>
      </c>
      <c r="D5707" s="2" t="str">
        <f>IFERROR(__xludf.DUMMYFUNCTION("""COMPUTED_VALUE"""),"661-21991")</f>
        <v>661-21991</v>
      </c>
      <c r="E5707" s="2" t="str">
        <f>IFERROR(__xludf.DUMMYFUNCTION("""COMPUTED_VALUE"""),"Battery, iPhone 13")</f>
        <v>Battery, iPhone 13</v>
      </c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</row>
    <row r="5708">
      <c r="A5708" s="10" t="str">
        <f t="shared" si="1"/>
        <v>February</v>
      </c>
      <c r="B5708" s="11">
        <f>IFERROR(__xludf.DUMMYFUNCTION("""COMPUTED_VALUE"""),46067.0)</f>
        <v>46067</v>
      </c>
      <c r="C5708" s="2" t="str">
        <f>IFERROR(__xludf.DUMMYFUNCTION("""COMPUTED_VALUE"""),"MOBILECARE - APP POWER PLANT MALL")</f>
        <v>MOBILECARE - APP POWER PLANT MALL</v>
      </c>
      <c r="D5708" s="2" t="str">
        <f>IFERROR(__xludf.DUMMYFUNCTION("""COMPUTED_VALUE"""),"661-42728")</f>
        <v>661-42728</v>
      </c>
      <c r="E5708" s="2" t="str">
        <f>IFERROR(__xludf.DUMMYFUNCTION("""COMPUTED_VALUE"""),"Camera, iPhone 16 Pro")</f>
        <v>Camera, iPhone 16 Pro</v>
      </c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</row>
    <row r="5709">
      <c r="A5709" s="10" t="str">
        <f t="shared" si="1"/>
        <v>March</v>
      </c>
      <c r="B5709" s="11">
        <f>IFERROR(__xludf.DUMMYFUNCTION("""COMPUTED_VALUE"""),46092.0)</f>
        <v>46092</v>
      </c>
      <c r="C5709" s="2" t="str">
        <f>IFERROR(__xludf.DUMMYFUNCTION("""COMPUTED_VALUE"""),"MOBILECARE - APP POWER PLANT MALL")</f>
        <v>MOBILECARE - APP POWER PLANT MALL</v>
      </c>
      <c r="D5709" s="2" t="str">
        <f>IFERROR(__xludf.DUMMYFUNCTION("""COMPUTED_VALUE"""),"661-56052")</f>
        <v>661-56052</v>
      </c>
      <c r="E5709" s="2" t="str">
        <f>IFERROR(__xludf.DUMMYFUNCTION("""COMPUTED_VALUE"""),"Camera, iPhone 17 Pro Max")</f>
        <v>Camera, iPhone 17 Pro Max</v>
      </c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</row>
    <row r="5710">
      <c r="A5710" s="10" t="str">
        <f t="shared" si="1"/>
        <v>January</v>
      </c>
      <c r="B5710" s="11">
        <f>IFERROR(__xludf.DUMMYFUNCTION("""COMPUTED_VALUE"""),46045.0)</f>
        <v>46045</v>
      </c>
      <c r="C5710" s="2" t="str">
        <f>IFERROR(__xludf.DUMMYFUNCTION("""COMPUTED_VALUE"""),"MOBILECARE - APP POWER PLANT MALL")</f>
        <v>MOBILECARE - APP POWER PLANT MALL</v>
      </c>
      <c r="D5710" s="2" t="str">
        <f>IFERROR(__xludf.DUMMYFUNCTION("""COMPUTED_VALUE"""),"TA661-55099")</f>
        <v>TA661-55099</v>
      </c>
      <c r="E5710" s="2" t="str">
        <f>IFERROR(__xludf.DUMMYFUNCTION("""COMPUTED_VALUE"""),"Cloud White, 256GB, iPhone Air, ROW, Taiwan, CI/AR")</f>
        <v>Cloud White, 256GB, iPhone Air, ROW, Taiwan, CI/AR</v>
      </c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</row>
    <row r="5711">
      <c r="A5711" s="10" t="str">
        <f t="shared" si="1"/>
        <v>February</v>
      </c>
      <c r="B5711" s="11">
        <f>IFERROR(__xludf.DUMMYFUNCTION("""COMPUTED_VALUE"""),46056.0)</f>
        <v>46056</v>
      </c>
      <c r="C5711" s="2" t="str">
        <f>IFERROR(__xludf.DUMMYFUNCTION("""COMPUTED_VALUE"""),"MOBILECARE - APP POWER PLANT MALL")</f>
        <v>MOBILECARE - APP POWER PLANT MALL</v>
      </c>
      <c r="D5711" s="2" t="str">
        <f>IFERROR(__xludf.DUMMYFUNCTION("""COMPUTED_VALUE"""),"661-17920")</f>
        <v>661-17920</v>
      </c>
      <c r="E5711" s="2" t="str">
        <f>IFERROR(__xludf.DUMMYFUNCTION("""COMPUTED_VALUE"""),"Battery, iPhone 12 and 12 Pro")</f>
        <v>Battery, iPhone 12 and 12 Pro</v>
      </c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</row>
    <row r="5712">
      <c r="A5712" s="10" t="str">
        <f t="shared" si="1"/>
        <v>June</v>
      </c>
      <c r="B5712" s="11">
        <f>IFERROR(__xludf.DUMMYFUNCTION("""COMPUTED_VALUE"""),46193.0)</f>
        <v>46193</v>
      </c>
      <c r="C5712" s="2" t="str">
        <f>IFERROR(__xludf.DUMMYFUNCTION("""COMPUTED_VALUE"""),"MOBILECARE - APP POWER PLANT MALL")</f>
        <v>MOBILECARE - APP POWER PLANT MALL</v>
      </c>
      <c r="D5712" s="2" t="str">
        <f>IFERROR(__xludf.DUMMYFUNCTION("""COMPUTED_VALUE"""),"661-17920")</f>
        <v>661-17920</v>
      </c>
      <c r="E5712" s="2" t="str">
        <f>IFERROR(__xludf.DUMMYFUNCTION("""COMPUTED_VALUE"""),"Battery, iPhone 12 and 12 Pro")</f>
        <v>Battery, iPhone 12 and 12 Pro</v>
      </c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</row>
    <row r="5713">
      <c r="A5713" s="10" t="str">
        <f t="shared" si="1"/>
        <v>June</v>
      </c>
      <c r="B5713" s="11">
        <f>IFERROR(__xludf.DUMMYFUNCTION("""COMPUTED_VALUE"""),46193.0)</f>
        <v>46193</v>
      </c>
      <c r="C5713" s="2" t="str">
        <f>IFERROR(__xludf.DUMMYFUNCTION("""COMPUTED_VALUE"""),"MOBILECARE - APP POWER PLANT MALL")</f>
        <v>MOBILECARE - APP POWER PLANT MALL</v>
      </c>
      <c r="D5713" s="2" t="str">
        <f>IFERROR(__xludf.DUMMYFUNCTION("""COMPUTED_VALUE"""),"661-18504")</f>
        <v>661-18504</v>
      </c>
      <c r="E5713" s="2" t="str">
        <f>IFERROR(__xludf.DUMMYFUNCTION("""COMPUTED_VALUE"""),"Display, iPhone 12 Pro")</f>
        <v>Display, iPhone 12 Pro</v>
      </c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</row>
    <row r="5714">
      <c r="A5714" s="10" t="str">
        <f t="shared" si="1"/>
        <v>April</v>
      </c>
      <c r="B5714" s="11">
        <f>IFERROR(__xludf.DUMMYFUNCTION("""COMPUTED_VALUE"""),46121.0)</f>
        <v>46121</v>
      </c>
      <c r="C5714" s="2" t="str">
        <f>IFERROR(__xludf.DUMMYFUNCTION("""COMPUTED_VALUE"""),"MOBILECARE - APP POWER PLANT MALL")</f>
        <v>MOBILECARE - APP POWER PLANT MALL</v>
      </c>
      <c r="D5714" s="2" t="str">
        <f>IFERROR(__xludf.DUMMYFUNCTION("""COMPUTED_VALUE"""),"661-22374")</f>
        <v>661-22374</v>
      </c>
      <c r="E5714" s="2" t="str">
        <f>IFERROR(__xludf.DUMMYFUNCTION("""COMPUTED_VALUE"""),"Battery, iPhone 13 mini")</f>
        <v>Battery, iPhone 13 mini</v>
      </c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</row>
    <row r="5715">
      <c r="A5715" s="10" t="str">
        <f t="shared" si="1"/>
        <v>February</v>
      </c>
      <c r="B5715" s="11">
        <f>IFERROR(__xludf.DUMMYFUNCTION("""COMPUTED_VALUE"""),46079.0)</f>
        <v>46079</v>
      </c>
      <c r="C5715" s="2" t="str">
        <f>IFERROR(__xludf.DUMMYFUNCTION("""COMPUTED_VALUE"""),"MOBILECARE - APP POWER PLANT MALL")</f>
        <v>MOBILECARE - APP POWER PLANT MALL</v>
      </c>
      <c r="D5715" s="2" t="str">
        <f>IFERROR(__xludf.DUMMYFUNCTION("""COMPUTED_VALUE"""),"661-44956")</f>
        <v>661-44956</v>
      </c>
      <c r="E5715" s="2" t="str">
        <f>IFERROR(__xludf.DUMMYFUNCTION("""COMPUTED_VALUE"""),"TrueDepth Camera, iPhone 16 Pro Max")</f>
        <v>TrueDepth Camera, iPhone 16 Pro Max</v>
      </c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</row>
    <row r="5716">
      <c r="A5716" s="10" t="str">
        <f t="shared" si="1"/>
        <v>April</v>
      </c>
      <c r="B5716" s="11">
        <f>IFERROR(__xludf.DUMMYFUNCTION("""COMPUTED_VALUE"""),46135.0)</f>
        <v>46135</v>
      </c>
      <c r="C5716" s="2" t="str">
        <f>IFERROR(__xludf.DUMMYFUNCTION("""COMPUTED_VALUE"""),"MOBILECARE - APP POWER PLANT MALL")</f>
        <v>MOBILECARE - APP POWER PLANT MALL</v>
      </c>
      <c r="D5716" s="2" t="str">
        <f>IFERROR(__xludf.DUMMYFUNCTION("""COMPUTED_VALUE"""),"661-30382")</f>
        <v>661-30382</v>
      </c>
      <c r="E5716" s="2" t="str">
        <f>IFERROR(__xludf.DUMMYFUNCTION("""COMPUTED_VALUE"""),"Battery, iPhone 14 Pro")</f>
        <v>Battery, iPhone 14 Pro</v>
      </c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</row>
    <row r="5717">
      <c r="A5717" s="10" t="str">
        <f t="shared" si="1"/>
        <v>February</v>
      </c>
      <c r="B5717" s="11">
        <f>IFERROR(__xludf.DUMMYFUNCTION("""COMPUTED_VALUE"""),46063.0)</f>
        <v>46063</v>
      </c>
      <c r="C5717" s="2" t="str">
        <f>IFERROR(__xludf.DUMMYFUNCTION("""COMPUTED_VALUE"""),"MOBILECARE - APP POWER PLANT MALL")</f>
        <v>MOBILECARE - APP POWER PLANT MALL</v>
      </c>
      <c r="D5717" s="2" t="str">
        <f>IFERROR(__xludf.DUMMYFUNCTION("""COMPUTED_VALUE"""),"661-36918")</f>
        <v>661-36918</v>
      </c>
      <c r="E5717" s="2" t="str">
        <f>IFERROR(__xludf.DUMMYFUNCTION("""COMPUTED_VALUE"""),"Battery, iPhone 15 Pro Max")</f>
        <v>Battery, iPhone 15 Pro Max</v>
      </c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</row>
    <row r="5718">
      <c r="A5718" s="10" t="str">
        <f t="shared" si="1"/>
        <v>April</v>
      </c>
      <c r="B5718" s="11">
        <f>IFERROR(__xludf.DUMMYFUNCTION("""COMPUTED_VALUE"""),46134.0)</f>
        <v>46134</v>
      </c>
      <c r="C5718" s="2" t="str">
        <f>IFERROR(__xludf.DUMMYFUNCTION("""COMPUTED_VALUE"""),"MOBILECARE - APP POWER PLANT MALL")</f>
        <v>MOBILECARE - APP POWER PLANT MALL</v>
      </c>
      <c r="D5718" s="2" t="str">
        <f>IFERROR(__xludf.DUMMYFUNCTION("""COMPUTED_VALUE"""),"661-44798")</f>
        <v>661-44798</v>
      </c>
      <c r="E5718" s="2" t="str">
        <f>IFERROR(__xludf.DUMMYFUNCTION("""COMPUTED_VALUE"""),"TrueDepth Camera, iPhone 16")</f>
        <v>TrueDepth Camera, iPhone 16</v>
      </c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</row>
    <row r="5719">
      <c r="A5719" s="10" t="str">
        <f t="shared" si="1"/>
        <v>February</v>
      </c>
      <c r="B5719" s="11">
        <f>IFERROR(__xludf.DUMMYFUNCTION("""COMPUTED_VALUE"""),46068.0)</f>
        <v>46068</v>
      </c>
      <c r="C5719" s="2" t="str">
        <f>IFERROR(__xludf.DUMMYFUNCTION("""COMPUTED_VALUE"""),"MOBILECARE - APP POWER PLANT MALL")</f>
        <v>MOBILECARE - APP POWER PLANT MALL</v>
      </c>
      <c r="D5719" s="2" t="str">
        <f>IFERROR(__xludf.DUMMYFUNCTION("""COMPUTED_VALUE"""),"661-30382")</f>
        <v>661-30382</v>
      </c>
      <c r="E5719" s="2" t="str">
        <f>IFERROR(__xludf.DUMMYFUNCTION("""COMPUTED_VALUE"""),"Battery, iPhone 14 Pro")</f>
        <v>Battery, iPhone 14 Pro</v>
      </c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</row>
    <row r="5720">
      <c r="A5720" s="10" t="str">
        <f t="shared" si="1"/>
        <v>February</v>
      </c>
      <c r="B5720" s="11">
        <f>IFERROR(__xludf.DUMMYFUNCTION("""COMPUTED_VALUE"""),46057.0)</f>
        <v>46057</v>
      </c>
      <c r="C5720" s="2" t="str">
        <f>IFERROR(__xludf.DUMMYFUNCTION("""COMPUTED_VALUE"""),"MOBILECARE - APP POWER PLANT MALL")</f>
        <v>MOBILECARE - APP POWER PLANT MALL</v>
      </c>
      <c r="D5720" s="2" t="str">
        <f>IFERROR(__xludf.DUMMYFUNCTION("""COMPUTED_VALUE"""),"661-21991")</f>
        <v>661-21991</v>
      </c>
      <c r="E5720" s="2" t="str">
        <f>IFERROR(__xludf.DUMMYFUNCTION("""COMPUTED_VALUE"""),"Battery, iPhone 13")</f>
        <v>Battery, iPhone 13</v>
      </c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</row>
    <row r="5721">
      <c r="A5721" s="10" t="str">
        <f t="shared" si="1"/>
        <v>May</v>
      </c>
      <c r="B5721" s="11">
        <f>IFERROR(__xludf.DUMMYFUNCTION("""COMPUTED_VALUE"""),46154.0)</f>
        <v>46154</v>
      </c>
      <c r="C5721" s="2" t="str">
        <f>IFERROR(__xludf.DUMMYFUNCTION("""COMPUTED_VALUE"""),"MOBILECARE - APP POWER PLANT MALL")</f>
        <v>MOBILECARE - APP POWER PLANT MALL</v>
      </c>
      <c r="D5721" s="2" t="str">
        <f>IFERROR(__xludf.DUMMYFUNCTION("""COMPUTED_VALUE"""),"661-21991")</f>
        <v>661-21991</v>
      </c>
      <c r="E5721" s="2" t="str">
        <f>IFERROR(__xludf.DUMMYFUNCTION("""COMPUTED_VALUE"""),"Battery, iPhone 13")</f>
        <v>Battery, iPhone 13</v>
      </c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</row>
    <row r="5722">
      <c r="A5722" s="10" t="str">
        <f t="shared" si="1"/>
        <v>March</v>
      </c>
      <c r="B5722" s="11">
        <f>IFERROR(__xludf.DUMMYFUNCTION("""COMPUTED_VALUE"""),46084.0)</f>
        <v>46084</v>
      </c>
      <c r="C5722" s="2" t="str">
        <f>IFERROR(__xludf.DUMMYFUNCTION("""COMPUTED_VALUE"""),"MOBILECARE - APP POWER PLANT MALL")</f>
        <v>MOBILECARE - APP POWER PLANT MALL</v>
      </c>
      <c r="D5722" s="2" t="str">
        <f>IFERROR(__xludf.DUMMYFUNCTION("""COMPUTED_VALUE"""),"Z661-55956")</f>
        <v>Z661-55956</v>
      </c>
      <c r="E5722" s="2" t="str">
        <f>IFERROR(__xludf.DUMMYFUNCTION("""COMPUTED_VALUE"""),"Logic Board, 256GB, iPhone 17 Pro Max, ROW")</f>
        <v>Logic Board, 256GB, iPhone 17 Pro Max, ROW</v>
      </c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</row>
    <row r="5723">
      <c r="A5723" s="10" t="str">
        <f t="shared" si="1"/>
        <v>June</v>
      </c>
      <c r="B5723" s="11">
        <f>IFERROR(__xludf.DUMMYFUNCTION("""COMPUTED_VALUE"""),46178.0)</f>
        <v>46178</v>
      </c>
      <c r="C5723" s="2" t="str">
        <f>IFERROR(__xludf.DUMMYFUNCTION("""COMPUTED_VALUE"""),"MOBILECARE - APP POWER PLANT MALL")</f>
        <v>MOBILECARE - APP POWER PLANT MALL</v>
      </c>
      <c r="D5723" s="2" t="str">
        <f>IFERROR(__xludf.DUMMYFUNCTION("""COMPUTED_VALUE"""),"661-37211")</f>
        <v>661-37211</v>
      </c>
      <c r="E5723" s="2" t="str">
        <f>IFERROR(__xludf.DUMMYFUNCTION("""COMPUTED_VALUE"""),"Blue, Back Glass, iPhone 15 Plus")</f>
        <v>Blue, Back Glass, iPhone 15 Plus</v>
      </c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</row>
    <row r="5724">
      <c r="A5724" s="10" t="str">
        <f t="shared" si="1"/>
        <v>June</v>
      </c>
      <c r="B5724" s="11">
        <f>IFERROR(__xludf.DUMMYFUNCTION("""COMPUTED_VALUE"""),46180.0)</f>
        <v>46180</v>
      </c>
      <c r="C5724" s="2" t="str">
        <f>IFERROR(__xludf.DUMMYFUNCTION("""COMPUTED_VALUE"""),"MOBILECARE - APP POWER PLANT MALL")</f>
        <v>MOBILECARE - APP POWER PLANT MALL</v>
      </c>
      <c r="D5724" s="2" t="str">
        <f>IFERROR(__xludf.DUMMYFUNCTION("""COMPUTED_VALUE"""),"661-36915")</f>
        <v>661-36915</v>
      </c>
      <c r="E5724" s="2" t="str">
        <f>IFERROR(__xludf.DUMMYFUNCTION("""COMPUTED_VALUE"""),"Display, iPhone 15 Pro Max")</f>
        <v>Display, iPhone 15 Pro Max</v>
      </c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</row>
    <row r="5725">
      <c r="A5725" s="10" t="str">
        <f t="shared" si="1"/>
        <v>June</v>
      </c>
      <c r="B5725" s="11">
        <f>IFERROR(__xludf.DUMMYFUNCTION("""COMPUTED_VALUE"""),46180.0)</f>
        <v>46180</v>
      </c>
      <c r="C5725" s="2" t="str">
        <f>IFERROR(__xludf.DUMMYFUNCTION("""COMPUTED_VALUE"""),"MOBILECARE - APP POWER PLANT MALL")</f>
        <v>MOBILECARE - APP POWER PLANT MALL</v>
      </c>
      <c r="D5725" s="2" t="str">
        <f>IFERROR(__xludf.DUMMYFUNCTION("""COMPUTED_VALUE"""),"661-36915")</f>
        <v>661-36915</v>
      </c>
      <c r="E5725" s="2" t="str">
        <f>IFERROR(__xludf.DUMMYFUNCTION("""COMPUTED_VALUE"""),"Display, iPhone 15 Pro Max")</f>
        <v>Display, iPhone 15 Pro Max</v>
      </c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</row>
    <row r="5726">
      <c r="A5726" s="10" t="str">
        <f t="shared" si="1"/>
        <v>March</v>
      </c>
      <c r="B5726" s="11">
        <f>IFERROR(__xludf.DUMMYFUNCTION("""COMPUTED_VALUE"""),46098.0)</f>
        <v>46098</v>
      </c>
      <c r="C5726" s="2" t="str">
        <f>IFERROR(__xludf.DUMMYFUNCTION("""COMPUTED_VALUE"""),"MOBILECARE - APP POWER PLANT MALL")</f>
        <v>MOBILECARE - APP POWER PLANT MALL</v>
      </c>
      <c r="D5726" s="2" t="str">
        <f>IFERROR(__xludf.DUMMYFUNCTION("""COMPUTED_VALUE"""),"TA661-45263")</f>
        <v>TA661-45263</v>
      </c>
      <c r="E5726" s="2" t="str">
        <f>IFERROR(__xludf.DUMMYFUNCTION("""COMPUTED_VALUE"""),"256GB, Desert Titanium, ROW, iPhone 16 Pro Max, CI/AR")</f>
        <v>256GB, Desert Titanium, ROW, iPhone 16 Pro Max, CI/AR</v>
      </c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</row>
    <row r="5727">
      <c r="A5727" s="10" t="str">
        <f t="shared" si="1"/>
        <v>January</v>
      </c>
      <c r="B5727" s="11">
        <f>IFERROR(__xludf.DUMMYFUNCTION("""COMPUTED_VALUE"""),46042.0)</f>
        <v>46042</v>
      </c>
      <c r="C5727" s="2" t="str">
        <f>IFERROR(__xludf.DUMMYFUNCTION("""COMPUTED_VALUE"""),"MOBILECARE - APP POWER PLANT MALL")</f>
        <v>MOBILECARE - APP POWER PLANT MALL</v>
      </c>
      <c r="D5727" s="2" t="str">
        <f>IFERROR(__xludf.DUMMYFUNCTION("""COMPUTED_VALUE"""),"661-21991")</f>
        <v>661-21991</v>
      </c>
      <c r="E5727" s="2" t="str">
        <f>IFERROR(__xludf.DUMMYFUNCTION("""COMPUTED_VALUE"""),"Battery, iPhone 13")</f>
        <v>Battery, iPhone 13</v>
      </c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</row>
    <row r="5728">
      <c r="A5728" s="10" t="str">
        <f t="shared" si="1"/>
        <v>February</v>
      </c>
      <c r="B5728" s="11">
        <f>IFERROR(__xludf.DUMMYFUNCTION("""COMPUTED_VALUE"""),46080.0)</f>
        <v>46080</v>
      </c>
      <c r="C5728" s="2" t="str">
        <f>IFERROR(__xludf.DUMMYFUNCTION("""COMPUTED_VALUE"""),"MOBILECARE - APP POWER PLANT MALL")</f>
        <v>MOBILECARE - APP POWER PLANT MALL</v>
      </c>
      <c r="D5728" s="2" t="str">
        <f>IFERROR(__xludf.DUMMYFUNCTION("""COMPUTED_VALUE"""),"661-21993")</f>
        <v>661-21993</v>
      </c>
      <c r="E5728" s="2" t="str">
        <f>IFERROR(__xludf.DUMMYFUNCTION("""COMPUTED_VALUE"""),"Display, iPhone 13 Pro")</f>
        <v>Display, iPhone 13 Pro</v>
      </c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</row>
    <row r="5729">
      <c r="A5729" s="10" t="str">
        <f t="shared" si="1"/>
        <v>January</v>
      </c>
      <c r="B5729" s="11">
        <f>IFERROR(__xludf.DUMMYFUNCTION("""COMPUTED_VALUE"""),46048.0)</f>
        <v>46048</v>
      </c>
      <c r="C5729" s="2" t="str">
        <f>IFERROR(__xludf.DUMMYFUNCTION("""COMPUTED_VALUE"""),"MOBILECARE - APP POWER PLANT MALL")</f>
        <v>MOBILECARE - APP POWER PLANT MALL</v>
      </c>
      <c r="D5729" s="2" t="str">
        <f>IFERROR(__xludf.DUMMYFUNCTION("""COMPUTED_VALUE"""),"661-56052")</f>
        <v>661-56052</v>
      </c>
      <c r="E5729" s="2" t="str">
        <f>IFERROR(__xludf.DUMMYFUNCTION("""COMPUTED_VALUE"""),"Camera, iPhone 17 Pro Max")</f>
        <v>Camera, iPhone 17 Pro Max</v>
      </c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</row>
    <row r="5730">
      <c r="A5730" s="10" t="str">
        <f t="shared" si="1"/>
        <v>January</v>
      </c>
      <c r="B5730" s="11">
        <f>IFERROR(__xludf.DUMMYFUNCTION("""COMPUTED_VALUE"""),46043.0)</f>
        <v>46043</v>
      </c>
      <c r="C5730" s="2" t="str">
        <f>IFERROR(__xludf.DUMMYFUNCTION("""COMPUTED_VALUE"""),"MOBILECARE - APP POWER PLANT MALL")</f>
        <v>MOBILECARE - APP POWER PLANT MALL</v>
      </c>
      <c r="D5730" s="2" t="str">
        <f>IFERROR(__xludf.DUMMYFUNCTION("""COMPUTED_VALUE"""),"661-56050")</f>
        <v>661-56050</v>
      </c>
      <c r="E5730" s="2" t="str">
        <f>IFERROR(__xludf.DUMMYFUNCTION("""COMPUTED_VALUE"""),"Display, iPhone 17 Pro Max")</f>
        <v>Display, iPhone 17 Pro Max</v>
      </c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</row>
    <row r="5731">
      <c r="A5731" s="10" t="str">
        <f t="shared" si="1"/>
        <v>June</v>
      </c>
      <c r="B5731" s="11">
        <f>IFERROR(__xludf.DUMMYFUNCTION("""COMPUTED_VALUE"""),46180.0)</f>
        <v>46180</v>
      </c>
      <c r="C5731" s="2" t="str">
        <f>IFERROR(__xludf.DUMMYFUNCTION("""COMPUTED_VALUE"""),"MOBILECARE - APP POWER PLANT MALL")</f>
        <v>MOBILECARE - APP POWER PLANT MALL</v>
      </c>
      <c r="D5731" s="2" t="str">
        <f>IFERROR(__xludf.DUMMYFUNCTION("""COMPUTED_VALUE"""),"661-44957")</f>
        <v>661-44957</v>
      </c>
      <c r="E5731" s="2" t="str">
        <f>IFERROR(__xludf.DUMMYFUNCTION("""COMPUTED_VALUE"""),"Camera, iPhone 16 Pro Max")</f>
        <v>Camera, iPhone 16 Pro Max</v>
      </c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</row>
    <row r="5732">
      <c r="A5732" s="10" t="str">
        <f t="shared" si="1"/>
        <v>April</v>
      </c>
      <c r="B5732" s="11">
        <f>IFERROR(__xludf.DUMMYFUNCTION("""COMPUTED_VALUE"""),46133.0)</f>
        <v>46133</v>
      </c>
      <c r="C5732" s="2" t="str">
        <f>IFERROR(__xludf.DUMMYFUNCTION("""COMPUTED_VALUE"""),"MOBILECARE - APP POWER PLANT MALL")</f>
        <v>MOBILECARE - APP POWER PLANT MALL</v>
      </c>
      <c r="D5732" s="2" t="str">
        <f>IFERROR(__xludf.DUMMYFUNCTION("""COMPUTED_VALUE"""),"661-42726")</f>
        <v>661-42726</v>
      </c>
      <c r="E5732" s="2" t="str">
        <f>IFERROR(__xludf.DUMMYFUNCTION("""COMPUTED_VALUE"""),"Display, iPhone 16 Pro")</f>
        <v>Display, iPhone 16 Pro</v>
      </c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</row>
    <row r="5733">
      <c r="A5733" s="10" t="str">
        <f t="shared" si="1"/>
        <v>April</v>
      </c>
      <c r="B5733" s="11">
        <f>IFERROR(__xludf.DUMMYFUNCTION("""COMPUTED_VALUE"""),46130.0)</f>
        <v>46130</v>
      </c>
      <c r="C5733" s="2" t="str">
        <f>IFERROR(__xludf.DUMMYFUNCTION("""COMPUTED_VALUE"""),"MOBILECARE - APP POWER PLANT MALL")</f>
        <v>MOBILECARE - APP POWER PLANT MALL</v>
      </c>
      <c r="D5733" s="2" t="str">
        <f>IFERROR(__xludf.DUMMYFUNCTION("""COMPUTED_VALUE"""),"661-56125")</f>
        <v>661-56125</v>
      </c>
      <c r="E5733" s="2" t="str">
        <f>IFERROR(__xludf.DUMMYFUNCTION("""COMPUTED_VALUE"""),"Display, iPhone 17 Pro")</f>
        <v>Display, iPhone 17 Pro</v>
      </c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</row>
    <row r="5734">
      <c r="A5734" s="10" t="str">
        <f t="shared" si="1"/>
        <v>March</v>
      </c>
      <c r="B5734" s="11">
        <f>IFERROR(__xludf.DUMMYFUNCTION("""COMPUTED_VALUE"""),46085.0)</f>
        <v>46085</v>
      </c>
      <c r="C5734" s="2" t="str">
        <f>IFERROR(__xludf.DUMMYFUNCTION("""COMPUTED_VALUE"""),"MOBILECARE - APP POWER PLANT MALL")</f>
        <v>MOBILECARE - APP POWER PLANT MALL</v>
      </c>
      <c r="D5734" s="2" t="str">
        <f>IFERROR(__xludf.DUMMYFUNCTION("""COMPUTED_VALUE"""),"661-56125")</f>
        <v>661-56125</v>
      </c>
      <c r="E5734" s="2" t="str">
        <f>IFERROR(__xludf.DUMMYFUNCTION("""COMPUTED_VALUE"""),"Display, iPhone 17 Pro")</f>
        <v>Display, iPhone 17 Pro</v>
      </c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</row>
    <row r="5735">
      <c r="A5735" s="10" t="str">
        <f t="shared" si="1"/>
        <v>February</v>
      </c>
      <c r="B5735" s="11">
        <f>IFERROR(__xludf.DUMMYFUNCTION("""COMPUTED_VALUE"""),46064.0)</f>
        <v>46064</v>
      </c>
      <c r="C5735" s="2" t="str">
        <f>IFERROR(__xludf.DUMMYFUNCTION("""COMPUTED_VALUE"""),"MOBILECARE - APP POWER PLANT MALL")</f>
        <v>MOBILECARE - APP POWER PLANT MALL</v>
      </c>
      <c r="D5735" s="2" t="str">
        <f>IFERROR(__xludf.DUMMYFUNCTION("""COMPUTED_VALUE"""),"661-30382")</f>
        <v>661-30382</v>
      </c>
      <c r="E5735" s="2" t="str">
        <f>IFERROR(__xludf.DUMMYFUNCTION("""COMPUTED_VALUE"""),"Battery, iPhone 14 Pro")</f>
        <v>Battery, iPhone 14 Pro</v>
      </c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</row>
    <row r="5736">
      <c r="A5736" s="10" t="str">
        <f t="shared" si="1"/>
        <v>January</v>
      </c>
      <c r="B5736" s="11">
        <f>IFERROR(__xludf.DUMMYFUNCTION("""COMPUTED_VALUE"""),46045.0)</f>
        <v>46045</v>
      </c>
      <c r="C5736" s="2" t="str">
        <f>IFERROR(__xludf.DUMMYFUNCTION("""COMPUTED_VALUE"""),"MOBILECARE - APP POWER PLANT MALL")</f>
        <v>MOBILECARE - APP POWER PLANT MALL</v>
      </c>
      <c r="D5736" s="2" t="str">
        <f>IFERROR(__xludf.DUMMYFUNCTION("""COMPUTED_VALUE"""),"661-17920")</f>
        <v>661-17920</v>
      </c>
      <c r="E5736" s="2" t="str">
        <f>IFERROR(__xludf.DUMMYFUNCTION("""COMPUTED_VALUE"""),"Battery, iPhone 12 and 12 Pro")</f>
        <v>Battery, iPhone 12 and 12 Pro</v>
      </c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</row>
    <row r="5737">
      <c r="A5737" s="10" t="str">
        <f t="shared" si="1"/>
        <v>June</v>
      </c>
      <c r="B5737" s="11">
        <f>IFERROR(__xludf.DUMMYFUNCTION("""COMPUTED_VALUE"""),46192.0)</f>
        <v>46192</v>
      </c>
      <c r="C5737" s="2" t="str">
        <f>IFERROR(__xludf.DUMMYFUNCTION("""COMPUTED_VALUE"""),"MOBILECARE - APP POWER PLANT MALL")</f>
        <v>MOBILECARE - APP POWER PLANT MALL</v>
      </c>
      <c r="D5737" s="2" t="str">
        <f>IFERROR(__xludf.DUMMYFUNCTION("""COMPUTED_VALUE"""),"661-21991")</f>
        <v>661-21991</v>
      </c>
      <c r="E5737" s="2" t="str">
        <f>IFERROR(__xludf.DUMMYFUNCTION("""COMPUTED_VALUE"""),"Battery, iPhone 13")</f>
        <v>Battery, iPhone 13</v>
      </c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</row>
    <row r="5738">
      <c r="A5738" s="10" t="str">
        <f t="shared" si="1"/>
        <v>April</v>
      </c>
      <c r="B5738" s="11">
        <f>IFERROR(__xludf.DUMMYFUNCTION("""COMPUTED_VALUE"""),46129.0)</f>
        <v>46129</v>
      </c>
      <c r="C5738" s="2" t="str">
        <f>IFERROR(__xludf.DUMMYFUNCTION("""COMPUTED_VALUE"""),"MOBILECARE - NAGA")</f>
        <v>MOBILECARE - NAGA</v>
      </c>
      <c r="D5738" s="2" t="str">
        <f>IFERROR(__xludf.DUMMYFUNCTION("""COMPUTED_VALUE"""),"PP661-23455")</f>
        <v>PP661-23455</v>
      </c>
      <c r="E5738" s="2" t="str">
        <f>IFERROR(__xludf.DUMMYFUNCTION("""COMPUTED_VALUE"""),"iPhone 13, Starlight, 128GB, Logic Board Assy Rear System, ROW")</f>
        <v>iPhone 13, Starlight, 128GB, Logic Board Assy Rear System, ROW</v>
      </c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</row>
    <row r="5739">
      <c r="A5739" s="10" t="str">
        <f t="shared" si="1"/>
        <v>March</v>
      </c>
      <c r="B5739" s="11">
        <f>IFERROR(__xludf.DUMMYFUNCTION("""COMPUTED_VALUE"""),46092.0)</f>
        <v>46092</v>
      </c>
      <c r="C5739" s="2" t="str">
        <f>IFERROR(__xludf.DUMMYFUNCTION("""COMPUTED_VALUE"""),"MOBILECARE - NAGA")</f>
        <v>MOBILECARE - NAGA</v>
      </c>
      <c r="D5739" s="2" t="str">
        <f>IFERROR(__xludf.DUMMYFUNCTION("""COMPUTED_VALUE"""),"661-44955")</f>
        <v>661-44955</v>
      </c>
      <c r="E5739" s="2" t="str">
        <f>IFERROR(__xludf.DUMMYFUNCTION("""COMPUTED_VALUE"""),"Display, iPhone 16 Pro Max")</f>
        <v>Display, iPhone 16 Pro Max</v>
      </c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</row>
    <row r="5740">
      <c r="A5740" s="10" t="str">
        <f t="shared" si="1"/>
        <v>February</v>
      </c>
      <c r="B5740" s="11">
        <f>IFERROR(__xludf.DUMMYFUNCTION("""COMPUTED_VALUE"""),46057.0)</f>
        <v>46057</v>
      </c>
      <c r="C5740" s="2" t="str">
        <f>IFERROR(__xludf.DUMMYFUNCTION("""COMPUTED_VALUE"""),"MOBILECARE - NAGA")</f>
        <v>MOBILECARE - NAGA</v>
      </c>
      <c r="D5740" s="2" t="str">
        <f>IFERROR(__xludf.DUMMYFUNCTION("""COMPUTED_VALUE"""),"Z661-55942")</f>
        <v>Z661-55942</v>
      </c>
      <c r="E5740" s="2" t="str">
        <f>IFERROR(__xludf.DUMMYFUNCTION("""COMPUTED_VALUE"""),"Logic Board, 256GB, A3523, ROW, iPhone 17 Pro")</f>
        <v>Logic Board, 256GB, A3523, ROW, iPhone 17 Pro</v>
      </c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</row>
    <row r="5741">
      <c r="A5741" s="10" t="str">
        <f t="shared" si="1"/>
        <v>March</v>
      </c>
      <c r="B5741" s="11">
        <f>IFERROR(__xludf.DUMMYFUNCTION("""COMPUTED_VALUE"""),46112.0)</f>
        <v>46112</v>
      </c>
      <c r="C5741" s="2" t="str">
        <f>IFERROR(__xludf.DUMMYFUNCTION("""COMPUTED_VALUE"""),"MOBILECARE - NAGA")</f>
        <v>MOBILECARE - NAGA</v>
      </c>
      <c r="D5741" s="2" t="str">
        <f>IFERROR(__xludf.DUMMYFUNCTION("""COMPUTED_VALUE"""),"PP661-23454")</f>
        <v>PP661-23454</v>
      </c>
      <c r="E5741" s="2" t="str">
        <f>IFERROR(__xludf.DUMMYFUNCTION("""COMPUTED_VALUE"""),"iPhone 13, Midnight, 128GB, Logic Board Assy Rear System, ROW")</f>
        <v>iPhone 13, Midnight, 128GB, Logic Board Assy Rear System, ROW</v>
      </c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</row>
    <row r="5742">
      <c r="A5742" s="10" t="str">
        <f t="shared" si="1"/>
        <v>March</v>
      </c>
      <c r="B5742" s="11">
        <f>IFERROR(__xludf.DUMMYFUNCTION("""COMPUTED_VALUE"""),46097.0)</f>
        <v>46097</v>
      </c>
      <c r="C5742" s="2" t="str">
        <f>IFERROR(__xludf.DUMMYFUNCTION("""COMPUTED_VALUE"""),"MOBILECARE - NAGA")</f>
        <v>MOBILECARE - NAGA</v>
      </c>
      <c r="D5742" s="2" t="str">
        <f>IFERROR(__xludf.DUMMYFUNCTION("""COMPUTED_VALUE"""),"661-21988")</f>
        <v>661-21988</v>
      </c>
      <c r="E5742" s="2" t="str">
        <f>IFERROR(__xludf.DUMMYFUNCTION("""COMPUTED_VALUE"""),"Display, iPhone 13")</f>
        <v>Display, iPhone 13</v>
      </c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</row>
    <row r="5743">
      <c r="A5743" s="10" t="str">
        <f t="shared" si="1"/>
        <v>February</v>
      </c>
      <c r="B5743" s="11">
        <f>IFERROR(__xludf.DUMMYFUNCTION("""COMPUTED_VALUE"""),46075.0)</f>
        <v>46075</v>
      </c>
      <c r="C5743" s="2" t="str">
        <f>IFERROR(__xludf.DUMMYFUNCTION("""COMPUTED_VALUE"""),"MOBILECARE - NAGA")</f>
        <v>MOBILECARE - NAGA</v>
      </c>
      <c r="D5743" s="2" t="str">
        <f>IFERROR(__xludf.DUMMYFUNCTION("""COMPUTED_VALUE"""),"661-56127")</f>
        <v>661-56127</v>
      </c>
      <c r="E5743" s="2" t="str">
        <f>IFERROR(__xludf.DUMMYFUNCTION("""COMPUTED_VALUE"""),"Camera, iPhone 17 Pro")</f>
        <v>Camera, iPhone 17 Pro</v>
      </c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</row>
    <row r="5744">
      <c r="A5744" s="10" t="str">
        <f t="shared" si="1"/>
        <v>February</v>
      </c>
      <c r="B5744" s="11">
        <f>IFERROR(__xludf.DUMMYFUNCTION("""COMPUTED_VALUE"""),46073.0)</f>
        <v>46073</v>
      </c>
      <c r="C5744" s="2" t="str">
        <f>IFERROR(__xludf.DUMMYFUNCTION("""COMPUTED_VALUE"""),"MOBILECARE - NAGA")</f>
        <v>MOBILECARE - NAGA</v>
      </c>
      <c r="D5744" s="2" t="str">
        <f>IFERROR(__xludf.DUMMYFUNCTION("""COMPUTED_VALUE"""),"661-22374")</f>
        <v>661-22374</v>
      </c>
      <c r="E5744" s="2" t="str">
        <f>IFERROR(__xludf.DUMMYFUNCTION("""COMPUTED_VALUE"""),"Battery, iPhone 13 mini")</f>
        <v>Battery, iPhone 13 mini</v>
      </c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</row>
    <row r="5745">
      <c r="A5745" s="10" t="str">
        <f t="shared" si="1"/>
        <v>February</v>
      </c>
      <c r="B5745" s="11">
        <f>IFERROR(__xludf.DUMMYFUNCTION("""COMPUTED_VALUE"""),46054.0)</f>
        <v>46054</v>
      </c>
      <c r="C5745" s="2" t="str">
        <f>IFERROR(__xludf.DUMMYFUNCTION("""COMPUTED_VALUE"""),"MOBILECARE - NAGA")</f>
        <v>MOBILECARE - NAGA</v>
      </c>
      <c r="D5745" s="2" t="str">
        <f>IFERROR(__xludf.DUMMYFUNCTION("""COMPUTED_VALUE"""),"661-30393")</f>
        <v>661-30393</v>
      </c>
      <c r="E5745" s="2" t="str">
        <f>IFERROR(__xludf.DUMMYFUNCTION("""COMPUTED_VALUE"""),"Camera, iPhone 14 Plus")</f>
        <v>Camera, iPhone 14 Plus</v>
      </c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</row>
    <row r="5746">
      <c r="A5746" s="10" t="str">
        <f t="shared" si="1"/>
        <v>February</v>
      </c>
      <c r="B5746" s="11">
        <f>IFERROR(__xludf.DUMMYFUNCTION("""COMPUTED_VALUE"""),46060.0)</f>
        <v>46060</v>
      </c>
      <c r="C5746" s="2" t="str">
        <f>IFERROR(__xludf.DUMMYFUNCTION("""COMPUTED_VALUE"""),"MOBILECARE - NAGA")</f>
        <v>MOBILECARE - NAGA</v>
      </c>
      <c r="D5746" s="2" t="str">
        <f>IFERROR(__xludf.DUMMYFUNCTION("""COMPUTED_VALUE"""),"PP661-23455")</f>
        <v>PP661-23455</v>
      </c>
      <c r="E5746" s="2" t="str">
        <f>IFERROR(__xludf.DUMMYFUNCTION("""COMPUTED_VALUE"""),"iPhone 13, Starlight, 128GB, Logic Board Assy Rear System, ROW")</f>
        <v>iPhone 13, Starlight, 128GB, Logic Board Assy Rear System, ROW</v>
      </c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</row>
    <row r="5747">
      <c r="A5747" s="10" t="str">
        <f t="shared" si="1"/>
        <v>April</v>
      </c>
      <c r="B5747" s="11">
        <f>IFERROR(__xludf.DUMMYFUNCTION("""COMPUTED_VALUE"""),46127.0)</f>
        <v>46127</v>
      </c>
      <c r="C5747" s="2" t="str">
        <f>IFERROR(__xludf.DUMMYFUNCTION("""COMPUTED_VALUE"""),"MOBILECARE - NAGA")</f>
        <v>MOBILECARE - NAGA</v>
      </c>
      <c r="D5747" s="2" t="str">
        <f>IFERROR(__xludf.DUMMYFUNCTION("""COMPUTED_VALUE"""),"TA661-36286")</f>
        <v>TA661-36286</v>
      </c>
      <c r="E5747" s="2" t="str">
        <f>IFERROR(__xludf.DUMMYFUNCTION("""COMPUTED_VALUE"""),"Black, iPhone 15, 128GB, ROW, CI/AR, Taiwan")</f>
        <v>Black, iPhone 15, 128GB, ROW, CI/AR, Taiwan</v>
      </c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</row>
    <row r="5748">
      <c r="A5748" s="10" t="str">
        <f t="shared" si="1"/>
        <v>March</v>
      </c>
      <c r="B5748" s="11">
        <f>IFERROR(__xludf.DUMMYFUNCTION("""COMPUTED_VALUE"""),46094.0)</f>
        <v>46094</v>
      </c>
      <c r="C5748" s="2" t="str">
        <f>IFERROR(__xludf.DUMMYFUNCTION("""COMPUTED_VALUE"""),"MOBILECARE - NAGA")</f>
        <v>MOBILECARE - NAGA</v>
      </c>
      <c r="D5748" s="2" t="str">
        <f>IFERROR(__xludf.DUMMYFUNCTION("""COMPUTED_VALUE"""),"TA661-36691")</f>
        <v>TA661-36691</v>
      </c>
      <c r="E5748" s="2" t="str">
        <f>IFERROR(__xludf.DUMMYFUNCTION("""COMPUTED_VALUE"""),"iPhone 15, Black, 128GB, Logic Board Assy Mid System, ROW")</f>
        <v>iPhone 15, Black, 128GB, Logic Board Assy Mid System, ROW</v>
      </c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</row>
    <row r="5749">
      <c r="A5749" s="10" t="str">
        <f t="shared" si="1"/>
        <v>May</v>
      </c>
      <c r="B5749" s="11">
        <f>IFERROR(__xludf.DUMMYFUNCTION("""COMPUTED_VALUE"""),46165.0)</f>
        <v>46165</v>
      </c>
      <c r="C5749" s="2" t="str">
        <f>IFERROR(__xludf.DUMMYFUNCTION("""COMPUTED_VALUE"""),"MOBILECARE - NAGA")</f>
        <v>MOBILECARE - NAGA</v>
      </c>
      <c r="D5749" s="2" t="str">
        <f>IFERROR(__xludf.DUMMYFUNCTION("""COMPUTED_VALUE"""),"661-30366")</f>
        <v>661-30366</v>
      </c>
      <c r="E5749" s="2" t="str">
        <f>IFERROR(__xludf.DUMMYFUNCTION("""COMPUTED_VALUE"""),"Display, iPhone 14")</f>
        <v>Display, iPhone 14</v>
      </c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</row>
    <row r="5750">
      <c r="A5750" s="10" t="str">
        <f t="shared" si="1"/>
        <v>April</v>
      </c>
      <c r="B5750" s="11">
        <f>IFERROR(__xludf.DUMMYFUNCTION("""COMPUTED_VALUE"""),46141.0)</f>
        <v>46141</v>
      </c>
      <c r="C5750" s="2" t="str">
        <f>IFERROR(__xludf.DUMMYFUNCTION("""COMPUTED_VALUE"""),"MOBILECARE - NAGA")</f>
        <v>MOBILECARE - NAGA</v>
      </c>
      <c r="D5750" s="2" t="str">
        <f>IFERROR(__xludf.DUMMYFUNCTION("""COMPUTED_VALUE"""),"661-22294")</f>
        <v>661-22294</v>
      </c>
      <c r="E5750" s="2" t="str">
        <f>IFERROR(__xludf.DUMMYFUNCTION("""COMPUTED_VALUE"""),"Battery, iPhone 13 Pro Max")</f>
        <v>Battery, iPhone 13 Pro Max</v>
      </c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</row>
    <row r="5751">
      <c r="A5751" s="10" t="str">
        <f t="shared" si="1"/>
        <v>February</v>
      </c>
      <c r="B5751" s="11">
        <f>IFERROR(__xludf.DUMMYFUNCTION("""COMPUTED_VALUE"""),46078.0)</f>
        <v>46078</v>
      </c>
      <c r="C5751" s="2" t="str">
        <f>IFERROR(__xludf.DUMMYFUNCTION("""COMPUTED_VALUE"""),"MOBILECARE - NAGA")</f>
        <v>MOBILECARE - NAGA</v>
      </c>
      <c r="D5751" s="2" t="str">
        <f>IFERROR(__xludf.DUMMYFUNCTION("""COMPUTED_VALUE"""),"661-30366")</f>
        <v>661-30366</v>
      </c>
      <c r="E5751" s="2" t="str">
        <f>IFERROR(__xludf.DUMMYFUNCTION("""COMPUTED_VALUE"""),"Display, iPhone 14")</f>
        <v>Display, iPhone 14</v>
      </c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</row>
    <row r="5752">
      <c r="A5752" s="10" t="str">
        <f t="shared" si="1"/>
        <v>February</v>
      </c>
      <c r="B5752" s="11">
        <f>IFERROR(__xludf.DUMMYFUNCTION("""COMPUTED_VALUE"""),46079.0)</f>
        <v>46079</v>
      </c>
      <c r="C5752" s="2" t="str">
        <f>IFERROR(__xludf.DUMMYFUNCTION("""COMPUTED_VALUE"""),"MOBILECARE - NAGA")</f>
        <v>MOBILECARE - NAGA</v>
      </c>
      <c r="D5752" s="2" t="str">
        <f>IFERROR(__xludf.DUMMYFUNCTION("""COMPUTED_VALUE"""),"PP661-23454")</f>
        <v>PP661-23454</v>
      </c>
      <c r="E5752" s="2" t="str">
        <f>IFERROR(__xludf.DUMMYFUNCTION("""COMPUTED_VALUE"""),"iPhone 13, Midnight, 128GB, Logic Board Assy Rear System, ROW")</f>
        <v>iPhone 13, Midnight, 128GB, Logic Board Assy Rear System, ROW</v>
      </c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</row>
    <row r="5753">
      <c r="A5753" s="10" t="str">
        <f t="shared" si="1"/>
        <v>March</v>
      </c>
      <c r="B5753" s="11">
        <f>IFERROR(__xludf.DUMMYFUNCTION("""COMPUTED_VALUE"""),46098.0)</f>
        <v>46098</v>
      </c>
      <c r="C5753" s="2" t="str">
        <f>IFERROR(__xludf.DUMMYFUNCTION("""COMPUTED_VALUE"""),"MOBILECARE - NAGA")</f>
        <v>MOBILECARE - NAGA</v>
      </c>
      <c r="D5753" s="2" t="str">
        <f>IFERROR(__xludf.DUMMYFUNCTION("""COMPUTED_VALUE"""),"661-21991")</f>
        <v>661-21991</v>
      </c>
      <c r="E5753" s="2" t="str">
        <f>IFERROR(__xludf.DUMMYFUNCTION("""COMPUTED_VALUE"""),"Battery, iPhone 13")</f>
        <v>Battery, iPhone 13</v>
      </c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</row>
    <row r="5754">
      <c r="A5754" s="10" t="str">
        <f t="shared" si="1"/>
        <v>March</v>
      </c>
      <c r="B5754" s="11">
        <f>IFERROR(__xludf.DUMMYFUNCTION("""COMPUTED_VALUE"""),46089.0)</f>
        <v>46089</v>
      </c>
      <c r="C5754" s="2" t="str">
        <f>IFERROR(__xludf.DUMMYFUNCTION("""COMPUTED_VALUE"""),"MOBILECARE - NAGA")</f>
        <v>MOBILECARE - NAGA</v>
      </c>
      <c r="D5754" s="2" t="str">
        <f>IFERROR(__xludf.DUMMYFUNCTION("""COMPUTED_VALUE"""),"661-42726")</f>
        <v>661-42726</v>
      </c>
      <c r="E5754" s="2" t="str">
        <f>IFERROR(__xludf.DUMMYFUNCTION("""COMPUTED_VALUE"""),"Display, iPhone 16 Pro")</f>
        <v>Display, iPhone 16 Pro</v>
      </c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</row>
    <row r="5755">
      <c r="A5755" s="10" t="str">
        <f t="shared" si="1"/>
        <v>March</v>
      </c>
      <c r="B5755" s="11">
        <f>IFERROR(__xludf.DUMMYFUNCTION("""COMPUTED_VALUE"""),46083.0)</f>
        <v>46083</v>
      </c>
      <c r="C5755" s="2" t="str">
        <f>IFERROR(__xludf.DUMMYFUNCTION("""COMPUTED_VALUE"""),"MOBILECARE - NAGA")</f>
        <v>MOBILECARE - NAGA</v>
      </c>
      <c r="D5755" s="2" t="str">
        <f>IFERROR(__xludf.DUMMYFUNCTION("""COMPUTED_VALUE"""),"TA661-36695")</f>
        <v>TA661-36695</v>
      </c>
      <c r="E5755" s="2" t="str">
        <f>IFERROR(__xludf.DUMMYFUNCTION("""COMPUTED_VALUE"""),"iPhone 15, Green, 128GB, Logic Board Assy Mid System, ROW")</f>
        <v>iPhone 15, Green, 128GB, Logic Board Assy Mid System, ROW</v>
      </c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</row>
    <row r="5756">
      <c r="A5756" s="10" t="str">
        <f t="shared" si="1"/>
        <v>February</v>
      </c>
      <c r="B5756" s="11">
        <f>IFERROR(__xludf.DUMMYFUNCTION("""COMPUTED_VALUE"""),46054.0)</f>
        <v>46054</v>
      </c>
      <c r="C5756" s="2" t="str">
        <f>IFERROR(__xludf.DUMMYFUNCTION("""COMPUTED_VALUE"""),"MOBILECARE - NAGA")</f>
        <v>MOBILECARE - NAGA</v>
      </c>
      <c r="D5756" s="2" t="str">
        <f>IFERROR(__xludf.DUMMYFUNCTION("""COMPUTED_VALUE"""),"661-17920")</f>
        <v>661-17920</v>
      </c>
      <c r="E5756" s="2" t="str">
        <f>IFERROR(__xludf.DUMMYFUNCTION("""COMPUTED_VALUE"""),"Battery, iPhone 12 and 12 Pro")</f>
        <v>Battery, iPhone 12 and 12 Pro</v>
      </c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</row>
    <row r="5757">
      <c r="A5757" s="10" t="str">
        <f t="shared" si="1"/>
        <v>May</v>
      </c>
      <c r="B5757" s="11">
        <f>IFERROR(__xludf.DUMMYFUNCTION("""COMPUTED_VALUE"""),46151.0)</f>
        <v>46151</v>
      </c>
      <c r="C5757" s="2" t="str">
        <f>IFERROR(__xludf.DUMMYFUNCTION("""COMPUTED_VALUE"""),"MOBILECARE - NAGA")</f>
        <v>MOBILECARE - NAGA</v>
      </c>
      <c r="D5757" s="2" t="str">
        <f>IFERROR(__xludf.DUMMYFUNCTION("""COMPUTED_VALUE"""),"661-30366")</f>
        <v>661-30366</v>
      </c>
      <c r="E5757" s="2" t="str">
        <f>IFERROR(__xludf.DUMMYFUNCTION("""COMPUTED_VALUE"""),"Display, iPhone 14")</f>
        <v>Display, iPhone 14</v>
      </c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</row>
    <row r="5758">
      <c r="A5758" s="10" t="str">
        <f t="shared" si="1"/>
        <v>May</v>
      </c>
      <c r="B5758" s="11">
        <f>IFERROR(__xludf.DUMMYFUNCTION("""COMPUTED_VALUE"""),46147.0)</f>
        <v>46147</v>
      </c>
      <c r="C5758" s="2" t="str">
        <f>IFERROR(__xludf.DUMMYFUNCTION("""COMPUTED_VALUE"""),"MOBILECARE - NAGA")</f>
        <v>MOBILECARE - NAGA</v>
      </c>
      <c r="D5758" s="2" t="str">
        <f>IFERROR(__xludf.DUMMYFUNCTION("""COMPUTED_VALUE"""),"TA661-45232")</f>
        <v>TA661-45232</v>
      </c>
      <c r="E5758" s="2" t="str">
        <f>IFERROR(__xludf.DUMMYFUNCTION("""COMPUTED_VALUE"""),"128GB, White, ROW, iPhone 16 Plus, Logic Board Assy Mid System")</f>
        <v>128GB, White, ROW, iPhone 16 Plus, Logic Board Assy Mid System</v>
      </c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</row>
    <row r="5759">
      <c r="A5759" s="10" t="str">
        <f t="shared" si="1"/>
        <v>March</v>
      </c>
      <c r="B5759" s="11">
        <f>IFERROR(__xludf.DUMMYFUNCTION("""COMPUTED_VALUE"""),46088.0)</f>
        <v>46088</v>
      </c>
      <c r="C5759" s="2" t="str">
        <f>IFERROR(__xludf.DUMMYFUNCTION("""COMPUTED_VALUE"""),"MOBILECARE - NAGA")</f>
        <v>MOBILECARE - NAGA</v>
      </c>
      <c r="D5759" s="2" t="str">
        <f>IFERROR(__xludf.DUMMYFUNCTION("""COMPUTED_VALUE"""),"661-21988")</f>
        <v>661-21988</v>
      </c>
      <c r="E5759" s="2" t="str">
        <f>IFERROR(__xludf.DUMMYFUNCTION("""COMPUTED_VALUE"""),"Display, iPhone 13")</f>
        <v>Display, iPhone 13</v>
      </c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</row>
    <row r="5760">
      <c r="A5760" s="10" t="str">
        <f t="shared" si="1"/>
        <v>June</v>
      </c>
      <c r="B5760" s="11">
        <f>IFERROR(__xludf.DUMMYFUNCTION("""COMPUTED_VALUE"""),46188.0)</f>
        <v>46188</v>
      </c>
      <c r="C5760" s="2" t="str">
        <f>IFERROR(__xludf.DUMMYFUNCTION("""COMPUTED_VALUE"""),"MOBILECARE - NAGA")</f>
        <v>MOBILECARE - NAGA</v>
      </c>
      <c r="D5760" s="2" t="str">
        <f>IFERROR(__xludf.DUMMYFUNCTION("""COMPUTED_VALUE"""),"661-36706")</f>
        <v>661-36706</v>
      </c>
      <c r="E5760" s="2" t="str">
        <f>IFERROR(__xludf.DUMMYFUNCTION("""COMPUTED_VALUE"""),"Display, iPhone 15")</f>
        <v>Display, iPhone 15</v>
      </c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</row>
    <row r="5761">
      <c r="A5761" s="10" t="str">
        <f t="shared" si="1"/>
        <v>March</v>
      </c>
      <c r="B5761" s="11">
        <f>IFERROR(__xludf.DUMMYFUNCTION("""COMPUTED_VALUE"""),46108.0)</f>
        <v>46108</v>
      </c>
      <c r="C5761" s="2" t="str">
        <f>IFERROR(__xludf.DUMMYFUNCTION("""COMPUTED_VALUE"""),"MOBILECARE - NAGA")</f>
        <v>MOBILECARE - NAGA</v>
      </c>
      <c r="D5761" s="2" t="str">
        <f>IFERROR(__xludf.DUMMYFUNCTION("""COMPUTED_VALUE"""),"PP661-28868")</f>
        <v>PP661-28868</v>
      </c>
      <c r="E5761" s="2" t="str">
        <f>IFERROR(__xludf.DUMMYFUNCTION("""COMPUTED_VALUE"""),"iPhone 14, Midnight, 128GB, Logic Board Assy Mid System, ROW")</f>
        <v>iPhone 14, Midnight, 128GB, Logic Board Assy Mid System, ROW</v>
      </c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</row>
    <row r="5762">
      <c r="A5762" s="10" t="str">
        <f t="shared" si="1"/>
        <v>April</v>
      </c>
      <c r="B5762" s="11">
        <f>IFERROR(__xludf.DUMMYFUNCTION("""COMPUTED_VALUE"""),46127.0)</f>
        <v>46127</v>
      </c>
      <c r="C5762" s="2" t="str">
        <f>IFERROR(__xludf.DUMMYFUNCTION("""COMPUTED_VALUE"""),"MOBILECARE - NAGA")</f>
        <v>MOBILECARE - NAGA</v>
      </c>
      <c r="D5762" s="2" t="str">
        <f>IFERROR(__xludf.DUMMYFUNCTION("""COMPUTED_VALUE"""),"PP661-28868")</f>
        <v>PP661-28868</v>
      </c>
      <c r="E5762" s="2" t="str">
        <f>IFERROR(__xludf.DUMMYFUNCTION("""COMPUTED_VALUE"""),"iPhone 14, Midnight, 128GB, Logic Board Assy Mid System, ROW")</f>
        <v>iPhone 14, Midnight, 128GB, Logic Board Assy Mid System, ROW</v>
      </c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</row>
    <row r="5763">
      <c r="A5763" s="10" t="str">
        <f t="shared" si="1"/>
        <v>April</v>
      </c>
      <c r="B5763" s="11">
        <f>IFERROR(__xludf.DUMMYFUNCTION("""COMPUTED_VALUE"""),46127.0)</f>
        <v>46127</v>
      </c>
      <c r="C5763" s="2" t="str">
        <f>IFERROR(__xludf.DUMMYFUNCTION("""COMPUTED_VALUE"""),"MOBILECARE - NAGA")</f>
        <v>MOBILECARE - NAGA</v>
      </c>
      <c r="D5763" s="2" t="str">
        <f>IFERROR(__xludf.DUMMYFUNCTION("""COMPUTED_VALUE"""),"PP661-28868")</f>
        <v>PP661-28868</v>
      </c>
      <c r="E5763" s="2" t="str">
        <f>IFERROR(__xludf.DUMMYFUNCTION("""COMPUTED_VALUE"""),"iPhone 14, Midnight, 128GB, Logic Board Assy Mid System, ROW")</f>
        <v>iPhone 14, Midnight, 128GB, Logic Board Assy Mid System, ROW</v>
      </c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</row>
    <row r="5764">
      <c r="A5764" s="10" t="str">
        <f t="shared" si="1"/>
        <v>April</v>
      </c>
      <c r="B5764" s="11">
        <f>IFERROR(__xludf.DUMMYFUNCTION("""COMPUTED_VALUE"""),46139.0)</f>
        <v>46139</v>
      </c>
      <c r="C5764" s="2" t="str">
        <f>IFERROR(__xludf.DUMMYFUNCTION("""COMPUTED_VALUE"""),"MOBILECARE - NAGA")</f>
        <v>MOBILECARE - NAGA</v>
      </c>
      <c r="D5764" s="2" t="str">
        <f>IFERROR(__xludf.DUMMYFUNCTION("""COMPUTED_VALUE"""),"TA661-44995")</f>
        <v>TA661-44995</v>
      </c>
      <c r="E5764" s="2" t="str">
        <f>IFERROR(__xludf.DUMMYFUNCTION("""COMPUTED_VALUE"""),"128GB, Black Titanium, ROW, iPhone 16 Pro, Logic Board Assy Mid System")</f>
        <v>128GB, Black Titanium, ROW, iPhone 16 Pro, Logic Board Assy Mid System</v>
      </c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</row>
    <row r="5765">
      <c r="A5765" s="10" t="str">
        <f t="shared" si="1"/>
        <v>February</v>
      </c>
      <c r="B5765" s="11">
        <f>IFERROR(__xludf.DUMMYFUNCTION("""COMPUTED_VALUE"""),46072.0)</f>
        <v>46072</v>
      </c>
      <c r="C5765" s="2" t="str">
        <f>IFERROR(__xludf.DUMMYFUNCTION("""COMPUTED_VALUE"""),"MOBILECARE - NAGA")</f>
        <v>MOBILECARE - NAGA</v>
      </c>
      <c r="D5765" s="2" t="str">
        <f>IFERROR(__xludf.DUMMYFUNCTION("""COMPUTED_VALUE"""),"661-21988")</f>
        <v>661-21988</v>
      </c>
      <c r="E5765" s="2" t="str">
        <f>IFERROR(__xludf.DUMMYFUNCTION("""COMPUTED_VALUE"""),"Display, iPhone 13")</f>
        <v>Display, iPhone 13</v>
      </c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</row>
    <row r="5766">
      <c r="A5766" s="10" t="str">
        <f t="shared" si="1"/>
        <v>February</v>
      </c>
      <c r="B5766" s="11">
        <f>IFERROR(__xludf.DUMMYFUNCTION("""COMPUTED_VALUE"""),46065.0)</f>
        <v>46065</v>
      </c>
      <c r="C5766" s="2" t="str">
        <f>IFERROR(__xludf.DUMMYFUNCTION("""COMPUTED_VALUE"""),"MOBILECARE - NAGA")</f>
        <v>MOBILECARE - NAGA</v>
      </c>
      <c r="D5766" s="2" t="str">
        <f>IFERROR(__xludf.DUMMYFUNCTION("""COMPUTED_VALUE"""),"661-30401")</f>
        <v>661-30401</v>
      </c>
      <c r="E5766" s="2" t="str">
        <f>IFERROR(__xludf.DUMMYFUNCTION("""COMPUTED_VALUE"""),"Display, iPhone 14 Pro Max")</f>
        <v>Display, iPhone 14 Pro Max</v>
      </c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</row>
    <row r="5767">
      <c r="A5767" s="10" t="str">
        <f t="shared" si="1"/>
        <v>June</v>
      </c>
      <c r="B5767" s="11">
        <f>IFERROR(__xludf.DUMMYFUNCTION("""COMPUTED_VALUE"""),46179.0)</f>
        <v>46179</v>
      </c>
      <c r="C5767" s="2" t="str">
        <f>IFERROR(__xludf.DUMMYFUNCTION("""COMPUTED_VALUE"""),"MOBILECARE - NAGA")</f>
        <v>MOBILECARE - NAGA</v>
      </c>
      <c r="D5767" s="2" t="str">
        <f>IFERROR(__xludf.DUMMYFUNCTION("""COMPUTED_VALUE"""),"661-22294")</f>
        <v>661-22294</v>
      </c>
      <c r="E5767" s="2" t="str">
        <f>IFERROR(__xludf.DUMMYFUNCTION("""COMPUTED_VALUE"""),"Battery, iPhone 13 Pro Max")</f>
        <v>Battery, iPhone 13 Pro Max</v>
      </c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</row>
    <row r="5768">
      <c r="A5768" s="10" t="str">
        <f t="shared" si="1"/>
        <v>June</v>
      </c>
      <c r="B5768" s="11">
        <f>IFERROR(__xludf.DUMMYFUNCTION("""COMPUTED_VALUE"""),46192.0)</f>
        <v>46192</v>
      </c>
      <c r="C5768" s="2" t="str">
        <f>IFERROR(__xludf.DUMMYFUNCTION("""COMPUTED_VALUE"""),"MOBILECARE - NAGA")</f>
        <v>MOBILECARE - NAGA</v>
      </c>
      <c r="D5768" s="2" t="str">
        <f>IFERROR(__xludf.DUMMYFUNCTION("""COMPUTED_VALUE"""),"PP661-23454")</f>
        <v>PP661-23454</v>
      </c>
      <c r="E5768" s="2" t="str">
        <f>IFERROR(__xludf.DUMMYFUNCTION("""COMPUTED_VALUE"""),"iPhone 13, Midnight, 128GB, Logic Board Assy Rear System, ROW")</f>
        <v>iPhone 13, Midnight, 128GB, Logic Board Assy Rear System, ROW</v>
      </c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</row>
    <row r="5769">
      <c r="A5769" s="10" t="str">
        <f t="shared" si="1"/>
        <v>June</v>
      </c>
      <c r="B5769" s="11">
        <f>IFERROR(__xludf.DUMMYFUNCTION("""COMPUTED_VALUE"""),46190.0)</f>
        <v>46190</v>
      </c>
      <c r="C5769" s="2" t="str">
        <f>IFERROR(__xludf.DUMMYFUNCTION("""COMPUTED_VALUE"""),"MOBILECARE - NAGA")</f>
        <v>MOBILECARE - NAGA</v>
      </c>
      <c r="D5769" s="2" t="str">
        <f>IFERROR(__xludf.DUMMYFUNCTION("""COMPUTED_VALUE"""),"TA661-44999")</f>
        <v>TA661-44999</v>
      </c>
      <c r="E5769" s="2" t="str">
        <f>IFERROR(__xludf.DUMMYFUNCTION("""COMPUTED_VALUE"""),"256GB, Black Titanium, ROW, iPhone 16 Pro, Logic Board Assy Mid System")</f>
        <v>256GB, Black Titanium, ROW, iPhone 16 Pro, Logic Board Assy Mid System</v>
      </c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</row>
    <row r="5770">
      <c r="A5770" s="10" t="str">
        <f t="shared" si="1"/>
        <v>June</v>
      </c>
      <c r="B5770" s="11">
        <f>IFERROR(__xludf.DUMMYFUNCTION("""COMPUTED_VALUE"""),46183.0)</f>
        <v>46183</v>
      </c>
      <c r="C5770" s="2" t="str">
        <f>IFERROR(__xludf.DUMMYFUNCTION("""COMPUTED_VALUE"""),"MOBILECARE - NAGA")</f>
        <v>MOBILECARE - NAGA</v>
      </c>
      <c r="D5770" s="2" t="str">
        <f>IFERROR(__xludf.DUMMYFUNCTION("""COMPUTED_VALUE"""),"PP661-23454")</f>
        <v>PP661-23454</v>
      </c>
      <c r="E5770" s="2" t="str">
        <f>IFERROR(__xludf.DUMMYFUNCTION("""COMPUTED_VALUE"""),"iPhone 13, Midnight, 128GB, Logic Board Assy Rear System, ROW")</f>
        <v>iPhone 13, Midnight, 128GB, Logic Board Assy Rear System, ROW</v>
      </c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</row>
    <row r="5771">
      <c r="A5771" s="10" t="str">
        <f t="shared" si="1"/>
        <v>March</v>
      </c>
      <c r="B5771" s="11">
        <f>IFERROR(__xludf.DUMMYFUNCTION("""COMPUTED_VALUE"""),46108.0)</f>
        <v>46108</v>
      </c>
      <c r="C5771" s="2" t="str">
        <f>IFERROR(__xludf.DUMMYFUNCTION("""COMPUTED_VALUE"""),"MOBILECARE - NAGA")</f>
        <v>MOBILECARE - NAGA</v>
      </c>
      <c r="D5771" s="2" t="str">
        <f>IFERROR(__xludf.DUMMYFUNCTION("""COMPUTED_VALUE"""),"923-11058")</f>
        <v>923-11058</v>
      </c>
      <c r="E5771" s="2" t="str">
        <f>IFERROR(__xludf.DUMMYFUNCTION("""COMPUTED_VALUE"""),"Bottom Speaker, iPhone 16")</f>
        <v>Bottom Speaker, iPhone 16</v>
      </c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</row>
    <row r="5772">
      <c r="A5772" s="10" t="str">
        <f t="shared" si="1"/>
        <v>April</v>
      </c>
      <c r="B5772" s="11">
        <f>IFERROR(__xludf.DUMMYFUNCTION("""COMPUTED_VALUE"""),46123.0)</f>
        <v>46123</v>
      </c>
      <c r="C5772" s="2" t="str">
        <f>IFERROR(__xludf.DUMMYFUNCTION("""COMPUTED_VALUE"""),"MOBILECARE - NAGA")</f>
        <v>MOBILECARE - NAGA</v>
      </c>
      <c r="D5772" s="2" t="str">
        <f>IFERROR(__xludf.DUMMYFUNCTION("""COMPUTED_VALUE"""),"TA661-45000")</f>
        <v>TA661-45000</v>
      </c>
      <c r="E5772" s="2" t="str">
        <f>IFERROR(__xludf.DUMMYFUNCTION("""COMPUTED_VALUE"""),"256GB, White Titanium, ROW, iPhone 16 Pro, Logic Board Assy Mid System")</f>
        <v>256GB, White Titanium, ROW, iPhone 16 Pro, Logic Board Assy Mid System</v>
      </c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</row>
    <row r="5773">
      <c r="A5773" s="10" t="str">
        <f t="shared" si="1"/>
        <v>April</v>
      </c>
      <c r="B5773" s="11">
        <f>IFERROR(__xludf.DUMMYFUNCTION("""COMPUTED_VALUE"""),46118.0)</f>
        <v>46118</v>
      </c>
      <c r="C5773" s="2" t="str">
        <f>IFERROR(__xludf.DUMMYFUNCTION("""COMPUTED_VALUE"""),"MOBILECARE - NAGA")</f>
        <v>MOBILECARE - NAGA</v>
      </c>
      <c r="D5773" s="2" t="str">
        <f>IFERROR(__xludf.DUMMYFUNCTION("""COMPUTED_VALUE"""),"661-21991")</f>
        <v>661-21991</v>
      </c>
      <c r="E5773" s="2" t="str">
        <f>IFERROR(__xludf.DUMMYFUNCTION("""COMPUTED_VALUE"""),"Battery, iPhone 13")</f>
        <v>Battery, iPhone 13</v>
      </c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</row>
    <row r="5774">
      <c r="A5774" s="10" t="str">
        <f t="shared" si="1"/>
        <v>March</v>
      </c>
      <c r="B5774" s="11">
        <f>IFERROR(__xludf.DUMMYFUNCTION("""COMPUTED_VALUE"""),46089.0)</f>
        <v>46089</v>
      </c>
      <c r="C5774" s="2" t="str">
        <f>IFERROR(__xludf.DUMMYFUNCTION("""COMPUTED_VALUE"""),"MOBILECARE - NAGA")</f>
        <v>MOBILECARE - NAGA</v>
      </c>
      <c r="D5774" s="2" t="str">
        <f>IFERROR(__xludf.DUMMYFUNCTION("""COMPUTED_VALUE"""),"661-42726")</f>
        <v>661-42726</v>
      </c>
      <c r="E5774" s="2" t="str">
        <f>IFERROR(__xludf.DUMMYFUNCTION("""COMPUTED_VALUE"""),"Display, iPhone 16 Pro")</f>
        <v>Display, iPhone 16 Pro</v>
      </c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</row>
    <row r="5775">
      <c r="A5775" s="10" t="str">
        <f t="shared" si="1"/>
        <v>May</v>
      </c>
      <c r="B5775" s="11">
        <f>IFERROR(__xludf.DUMMYFUNCTION("""COMPUTED_VALUE"""),46144.0)</f>
        <v>46144</v>
      </c>
      <c r="C5775" s="2" t="str">
        <f>IFERROR(__xludf.DUMMYFUNCTION("""COMPUTED_VALUE"""),"MOBILECARE - NAGA")</f>
        <v>MOBILECARE - NAGA</v>
      </c>
      <c r="D5775" s="2" t="str">
        <f>IFERROR(__xludf.DUMMYFUNCTION("""COMPUTED_VALUE"""),"661-21988")</f>
        <v>661-21988</v>
      </c>
      <c r="E5775" s="2" t="str">
        <f>IFERROR(__xludf.DUMMYFUNCTION("""COMPUTED_VALUE"""),"Display, iPhone 13")</f>
        <v>Display, iPhone 13</v>
      </c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</row>
    <row r="5776">
      <c r="A5776" s="10" t="str">
        <f t="shared" si="1"/>
        <v>March</v>
      </c>
      <c r="B5776" s="11">
        <f>IFERROR(__xludf.DUMMYFUNCTION("""COMPUTED_VALUE"""),46099.0)</f>
        <v>46099</v>
      </c>
      <c r="C5776" s="2" t="str">
        <f>IFERROR(__xludf.DUMMYFUNCTION("""COMPUTED_VALUE"""),"MOBILECARE - NAGA")</f>
        <v>MOBILECARE - NAGA</v>
      </c>
      <c r="D5776" s="2" t="str">
        <f>IFERROR(__xludf.DUMMYFUNCTION("""COMPUTED_VALUE"""),"661-44956")</f>
        <v>661-44956</v>
      </c>
      <c r="E5776" s="2" t="str">
        <f>IFERROR(__xludf.DUMMYFUNCTION("""COMPUTED_VALUE"""),"TrueDepth Camera, iPhone 16 Pro Max")</f>
        <v>TrueDepth Camera, iPhone 16 Pro Max</v>
      </c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</row>
    <row r="5777">
      <c r="A5777" s="10" t="str">
        <f t="shared" si="1"/>
        <v>March</v>
      </c>
      <c r="B5777" s="11">
        <f>IFERROR(__xludf.DUMMYFUNCTION("""COMPUTED_VALUE"""),46084.0)</f>
        <v>46084</v>
      </c>
      <c r="C5777" s="2" t="str">
        <f>IFERROR(__xludf.DUMMYFUNCTION("""COMPUTED_VALUE"""),"MOBILECARE - NAGA")</f>
        <v>MOBILECARE - NAGA</v>
      </c>
      <c r="D5777" s="2" t="str">
        <f>IFERROR(__xludf.DUMMYFUNCTION("""COMPUTED_VALUE"""),"661-21988")</f>
        <v>661-21988</v>
      </c>
      <c r="E5777" s="2" t="str">
        <f>IFERROR(__xludf.DUMMYFUNCTION("""COMPUTED_VALUE"""),"Display, iPhone 13")</f>
        <v>Display, iPhone 13</v>
      </c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</row>
    <row r="5778">
      <c r="A5778" s="10" t="str">
        <f t="shared" si="1"/>
        <v>January</v>
      </c>
      <c r="B5778" s="11">
        <f>IFERROR(__xludf.DUMMYFUNCTION("""COMPUTED_VALUE"""),46047.0)</f>
        <v>46047</v>
      </c>
      <c r="C5778" s="2" t="str">
        <f>IFERROR(__xludf.DUMMYFUNCTION("""COMPUTED_VALUE"""),"MOBILECARE - NAGA")</f>
        <v>MOBILECARE - NAGA</v>
      </c>
      <c r="D5778" s="2" t="str">
        <f>IFERROR(__xludf.DUMMYFUNCTION("""COMPUTED_VALUE"""),"661-30366")</f>
        <v>661-30366</v>
      </c>
      <c r="E5778" s="2" t="str">
        <f>IFERROR(__xludf.DUMMYFUNCTION("""COMPUTED_VALUE"""),"Display, iPhone 14")</f>
        <v>Display, iPhone 14</v>
      </c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</row>
    <row r="5779">
      <c r="A5779" s="10" t="str">
        <f t="shared" si="1"/>
        <v>June</v>
      </c>
      <c r="B5779" s="11">
        <f>IFERROR(__xludf.DUMMYFUNCTION("""COMPUTED_VALUE"""),46179.0)</f>
        <v>46179</v>
      </c>
      <c r="C5779" s="2" t="str">
        <f>IFERROR(__xludf.DUMMYFUNCTION("""COMPUTED_VALUE"""),"MOBILECARE - NAGA")</f>
        <v>MOBILECARE - NAGA</v>
      </c>
      <c r="D5779" s="2" t="str">
        <f>IFERROR(__xludf.DUMMYFUNCTION("""COMPUTED_VALUE"""),"TA661-45232")</f>
        <v>TA661-45232</v>
      </c>
      <c r="E5779" s="2" t="str">
        <f>IFERROR(__xludf.DUMMYFUNCTION("""COMPUTED_VALUE"""),"128GB, White, ROW, iPhone 16 Plus, Logic Board Assy Mid System")</f>
        <v>128GB, White, ROW, iPhone 16 Plus, Logic Board Assy Mid System</v>
      </c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</row>
    <row r="5780">
      <c r="A5780" s="10" t="str">
        <f t="shared" si="1"/>
        <v>March</v>
      </c>
      <c r="B5780" s="11">
        <f>IFERROR(__xludf.DUMMYFUNCTION("""COMPUTED_VALUE"""),46111.0)</f>
        <v>46111</v>
      </c>
      <c r="C5780" s="2" t="str">
        <f>IFERROR(__xludf.DUMMYFUNCTION("""COMPUTED_VALUE"""),"MOBILECARE - NAGA")</f>
        <v>MOBILECARE - NAGA</v>
      </c>
      <c r="D5780" s="2" t="str">
        <f>IFERROR(__xludf.DUMMYFUNCTION("""COMPUTED_VALUE"""),"923-10746")</f>
        <v>923-10746</v>
      </c>
      <c r="E5780" s="2" t="str">
        <f>IFERROR(__xludf.DUMMYFUNCTION("""COMPUTED_VALUE"""),"Bottom Speaker, iPhone 16 Pro")</f>
        <v>Bottom Speaker, iPhone 16 Pro</v>
      </c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</row>
    <row r="5781">
      <c r="A5781" s="10" t="str">
        <f t="shared" si="1"/>
        <v>February</v>
      </c>
      <c r="B5781" s="11">
        <f>IFERROR(__xludf.DUMMYFUNCTION("""COMPUTED_VALUE"""),46073.0)</f>
        <v>46073</v>
      </c>
      <c r="C5781" s="2" t="str">
        <f>IFERROR(__xludf.DUMMYFUNCTION("""COMPUTED_VALUE"""),"MOBILECARE - NAGA")</f>
        <v>MOBILECARE - NAGA</v>
      </c>
      <c r="D5781" s="2" t="str">
        <f>IFERROR(__xludf.DUMMYFUNCTION("""COMPUTED_VALUE"""),"661-30366")</f>
        <v>661-30366</v>
      </c>
      <c r="E5781" s="2" t="str">
        <f>IFERROR(__xludf.DUMMYFUNCTION("""COMPUTED_VALUE"""),"Display, iPhone 14")</f>
        <v>Display, iPhone 14</v>
      </c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</row>
    <row r="5782">
      <c r="A5782" s="10" t="str">
        <f t="shared" si="1"/>
        <v>June</v>
      </c>
      <c r="B5782" s="11">
        <f>IFERROR(__xludf.DUMMYFUNCTION("""COMPUTED_VALUE"""),46192.0)</f>
        <v>46192</v>
      </c>
      <c r="C5782" s="2" t="str">
        <f>IFERROR(__xludf.DUMMYFUNCTION("""COMPUTED_VALUE"""),"MOBILECARE - NAGA")</f>
        <v>MOBILECARE - NAGA</v>
      </c>
      <c r="D5782" s="2" t="str">
        <f>IFERROR(__xludf.DUMMYFUNCTION("""COMPUTED_VALUE"""),"PP661-23455")</f>
        <v>PP661-23455</v>
      </c>
      <c r="E5782" s="2" t="str">
        <f>IFERROR(__xludf.DUMMYFUNCTION("""COMPUTED_VALUE"""),"iPhone 13, Starlight, 128GB, Logic Board Assy Rear System, ROW")</f>
        <v>iPhone 13, Starlight, 128GB, Logic Board Assy Rear System, ROW</v>
      </c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</row>
    <row r="5783">
      <c r="A5783" s="10" t="str">
        <f t="shared" si="1"/>
        <v>April</v>
      </c>
      <c r="B5783" s="11">
        <f>IFERROR(__xludf.DUMMYFUNCTION("""COMPUTED_VALUE"""),46117.0)</f>
        <v>46117</v>
      </c>
      <c r="C5783" s="2" t="str">
        <f>IFERROR(__xludf.DUMMYFUNCTION("""COMPUTED_VALUE"""),"MOBILECARE - NAGA")</f>
        <v>MOBILECARE - NAGA</v>
      </c>
      <c r="D5783" s="2" t="str">
        <f>IFERROR(__xludf.DUMMYFUNCTION("""COMPUTED_VALUE"""),"661-21988")</f>
        <v>661-21988</v>
      </c>
      <c r="E5783" s="2" t="str">
        <f>IFERROR(__xludf.DUMMYFUNCTION("""COMPUTED_VALUE"""),"Display, iPhone 13")</f>
        <v>Display, iPhone 13</v>
      </c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</row>
    <row r="5784">
      <c r="A5784" s="10" t="str">
        <f t="shared" si="1"/>
        <v>April</v>
      </c>
      <c r="B5784" s="11">
        <f>IFERROR(__xludf.DUMMYFUNCTION("""COMPUTED_VALUE"""),46119.0)</f>
        <v>46119</v>
      </c>
      <c r="C5784" s="2" t="str">
        <f>IFERROR(__xludf.DUMMYFUNCTION("""COMPUTED_VALUE"""),"MOBILECARE - NAGA")</f>
        <v>MOBILECARE - NAGA</v>
      </c>
      <c r="D5784" s="2" t="str">
        <f>IFERROR(__xludf.DUMMYFUNCTION("""COMPUTED_VALUE"""),"TA661-36697")</f>
        <v>TA661-36697</v>
      </c>
      <c r="E5784" s="2" t="str">
        <f>IFERROR(__xludf.DUMMYFUNCTION("""COMPUTED_VALUE"""),"iPhone 15, Pink, 256GB, Logic Board Assy Mid System, ROW")</f>
        <v>iPhone 15, Pink, 256GB, Logic Board Assy Mid System, ROW</v>
      </c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</row>
    <row r="5785">
      <c r="A5785" s="10" t="str">
        <f t="shared" si="1"/>
        <v>March</v>
      </c>
      <c r="B5785" s="11">
        <f>IFERROR(__xludf.DUMMYFUNCTION("""COMPUTED_VALUE"""),46082.0)</f>
        <v>46082</v>
      </c>
      <c r="C5785" s="2" t="str">
        <f>IFERROR(__xludf.DUMMYFUNCTION("""COMPUTED_VALUE"""),"MOBILECARE - NAGA")</f>
        <v>MOBILECARE - NAGA</v>
      </c>
      <c r="D5785" s="2" t="str">
        <f>IFERROR(__xludf.DUMMYFUNCTION("""COMPUTED_VALUE"""),"661-23878")</f>
        <v>661-23878</v>
      </c>
      <c r="E5785" s="2" t="str">
        <f>IFERROR(__xludf.DUMMYFUNCTION("""COMPUTED_VALUE"""),"TrueDepth Camera, iPhone 13")</f>
        <v>TrueDepth Camera, iPhone 13</v>
      </c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</row>
    <row r="5786">
      <c r="A5786" s="10" t="str">
        <f t="shared" si="1"/>
        <v>February</v>
      </c>
      <c r="B5786" s="11">
        <f>IFERROR(__xludf.DUMMYFUNCTION("""COMPUTED_VALUE"""),46060.0)</f>
        <v>46060</v>
      </c>
      <c r="C5786" s="2" t="str">
        <f>IFERROR(__xludf.DUMMYFUNCTION("""COMPUTED_VALUE"""),"MOBILECARE - NAGA")</f>
        <v>MOBILECARE - NAGA</v>
      </c>
      <c r="D5786" s="2" t="str">
        <f>IFERROR(__xludf.DUMMYFUNCTION("""COMPUTED_VALUE"""),"PP661-23455")</f>
        <v>PP661-23455</v>
      </c>
      <c r="E5786" s="2" t="str">
        <f>IFERROR(__xludf.DUMMYFUNCTION("""COMPUTED_VALUE"""),"iPhone 13, Starlight, 128GB, Logic Board Assy Rear System, ROW")</f>
        <v>iPhone 13, Starlight, 128GB, Logic Board Assy Rear System, ROW</v>
      </c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</row>
    <row r="5787">
      <c r="A5787" s="10" t="str">
        <f t="shared" si="1"/>
        <v>February</v>
      </c>
      <c r="B5787" s="11">
        <f>IFERROR(__xludf.DUMMYFUNCTION("""COMPUTED_VALUE"""),46061.0)</f>
        <v>46061</v>
      </c>
      <c r="C5787" s="2" t="str">
        <f>IFERROR(__xludf.DUMMYFUNCTION("""COMPUTED_VALUE"""),"MOBILECARE - NAGA")</f>
        <v>MOBILECARE - NAGA</v>
      </c>
      <c r="D5787" s="2" t="str">
        <f>IFERROR(__xludf.DUMMYFUNCTION("""COMPUTED_VALUE"""),"PP661-23455")</f>
        <v>PP661-23455</v>
      </c>
      <c r="E5787" s="2" t="str">
        <f>IFERROR(__xludf.DUMMYFUNCTION("""COMPUTED_VALUE"""),"iPhone 13, Starlight, 128GB, Logic Board Assy Rear System, ROW")</f>
        <v>iPhone 13, Starlight, 128GB, Logic Board Assy Rear System, ROW</v>
      </c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</row>
    <row r="5788">
      <c r="A5788" s="10" t="str">
        <f t="shared" si="1"/>
        <v>April</v>
      </c>
      <c r="B5788" s="11">
        <f>IFERROR(__xludf.DUMMYFUNCTION("""COMPUTED_VALUE"""),46130.0)</f>
        <v>46130</v>
      </c>
      <c r="C5788" s="2" t="str">
        <f>IFERROR(__xludf.DUMMYFUNCTION("""COMPUTED_VALUE"""),"MOBILECARE - NAGA")</f>
        <v>MOBILECARE - NAGA</v>
      </c>
      <c r="D5788" s="2" t="str">
        <f>IFERROR(__xludf.DUMMYFUNCTION("""COMPUTED_VALUE"""),"TA661-55281")</f>
        <v>TA661-55281</v>
      </c>
      <c r="E5788" s="2" t="str">
        <f>IFERROR(__xludf.DUMMYFUNCTION("""COMPUTED_VALUE"""),"Mist Blue, 256GB, iPhone 17, ROW, Taiwan, CI/AR")</f>
        <v>Mist Blue, 256GB, iPhone 17, ROW, Taiwan, CI/AR</v>
      </c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</row>
    <row r="5789">
      <c r="A5789" s="10" t="str">
        <f t="shared" si="1"/>
        <v>April</v>
      </c>
      <c r="B5789" s="11">
        <f>IFERROR(__xludf.DUMMYFUNCTION("""COMPUTED_VALUE"""),46117.0)</f>
        <v>46117</v>
      </c>
      <c r="C5789" s="2" t="str">
        <f>IFERROR(__xludf.DUMMYFUNCTION("""COMPUTED_VALUE"""),"MOBILECARE - NAGA")</f>
        <v>MOBILECARE - NAGA</v>
      </c>
      <c r="D5789" s="2" t="str">
        <f>IFERROR(__xludf.DUMMYFUNCTION("""COMPUTED_VALUE"""),"TA661-43606")</f>
        <v>TA661-43606</v>
      </c>
      <c r="E5789" s="2" t="str">
        <f>IFERROR(__xludf.DUMMYFUNCTION("""COMPUTED_VALUE"""),"128GB, White, ROW, iPhone 16, Logic Board Assy Mid System")</f>
        <v>128GB, White, ROW, iPhone 16, Logic Board Assy Mid System</v>
      </c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</row>
    <row r="5790">
      <c r="A5790" s="10" t="str">
        <f t="shared" si="1"/>
        <v>February</v>
      </c>
      <c r="B5790" s="11">
        <f>IFERROR(__xludf.DUMMYFUNCTION("""COMPUTED_VALUE"""),46058.0)</f>
        <v>46058</v>
      </c>
      <c r="C5790" s="2" t="str">
        <f>IFERROR(__xludf.DUMMYFUNCTION("""COMPUTED_VALUE"""),"MOBILECARE - NAGA")</f>
        <v>MOBILECARE - NAGA</v>
      </c>
      <c r="D5790" s="2" t="str">
        <f>IFERROR(__xludf.DUMMYFUNCTION("""COMPUTED_VALUE"""),"PP661-23455")</f>
        <v>PP661-23455</v>
      </c>
      <c r="E5790" s="2" t="str">
        <f>IFERROR(__xludf.DUMMYFUNCTION("""COMPUTED_VALUE"""),"iPhone 13, Starlight, 128GB, Logic Board Assy Rear System, ROW")</f>
        <v>iPhone 13, Starlight, 128GB, Logic Board Assy Rear System, ROW</v>
      </c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</row>
    <row r="5791">
      <c r="A5791" s="10" t="str">
        <f t="shared" si="1"/>
        <v>April</v>
      </c>
      <c r="B5791" s="11">
        <f>IFERROR(__xludf.DUMMYFUNCTION("""COMPUTED_VALUE"""),46134.0)</f>
        <v>46134</v>
      </c>
      <c r="C5791" s="2" t="str">
        <f>IFERROR(__xludf.DUMMYFUNCTION("""COMPUTED_VALUE"""),"MOBILECARE - NAGA")</f>
        <v>MOBILECARE - NAGA</v>
      </c>
      <c r="D5791" s="2" t="str">
        <f>IFERROR(__xludf.DUMMYFUNCTION("""COMPUTED_VALUE"""),"PP661-28882")</f>
        <v>PP661-28882</v>
      </c>
      <c r="E5791" s="2" t="str">
        <f>IFERROR(__xludf.DUMMYFUNCTION("""COMPUTED_VALUE"""),"iPhone 14, Purple, 512GB, Logic Board Assy Mid System, ROW")</f>
        <v>iPhone 14, Purple, 512GB, Logic Board Assy Mid System, ROW</v>
      </c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</row>
    <row r="5792">
      <c r="A5792" s="10" t="str">
        <f t="shared" si="1"/>
        <v>March</v>
      </c>
      <c r="B5792" s="11">
        <f>IFERROR(__xludf.DUMMYFUNCTION("""COMPUTED_VALUE"""),46089.0)</f>
        <v>46089</v>
      </c>
      <c r="C5792" s="2" t="str">
        <f>IFERROR(__xludf.DUMMYFUNCTION("""COMPUTED_VALUE"""),"MOBILECARE - NAGA")</f>
        <v>MOBILECARE - NAGA</v>
      </c>
      <c r="D5792" s="2" t="str">
        <f>IFERROR(__xludf.DUMMYFUNCTION("""COMPUTED_VALUE"""),"661-56052")</f>
        <v>661-56052</v>
      </c>
      <c r="E5792" s="2" t="str">
        <f>IFERROR(__xludf.DUMMYFUNCTION("""COMPUTED_VALUE"""),"Camera, iPhone 17 Pro Max")</f>
        <v>Camera, iPhone 17 Pro Max</v>
      </c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</row>
    <row r="5793">
      <c r="A5793" s="10" t="str">
        <f t="shared" si="1"/>
        <v>March</v>
      </c>
      <c r="B5793" s="11">
        <f>IFERROR(__xludf.DUMMYFUNCTION("""COMPUTED_VALUE"""),46108.0)</f>
        <v>46108</v>
      </c>
      <c r="C5793" s="2" t="str">
        <f>IFERROR(__xludf.DUMMYFUNCTION("""COMPUTED_VALUE"""),"MOBILECARE - NAGA")</f>
        <v>MOBILECARE - NAGA</v>
      </c>
      <c r="D5793" s="2" t="str">
        <f>IFERROR(__xludf.DUMMYFUNCTION("""COMPUTED_VALUE"""),"PP661-22980")</f>
        <v>PP661-22980</v>
      </c>
      <c r="E5793" s="2" t="str">
        <f>IFERROR(__xludf.DUMMYFUNCTION("""COMPUTED_VALUE"""),"Midnight, 128 GB, iPhone 13, ROW, CI/AR, Philippines")</f>
        <v>Midnight, 128 GB, iPhone 13, ROW, CI/AR, Philippines</v>
      </c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</row>
    <row r="5794">
      <c r="A5794" s="10" t="str">
        <f t="shared" si="1"/>
        <v>February</v>
      </c>
      <c r="B5794" s="11">
        <f>IFERROR(__xludf.DUMMYFUNCTION("""COMPUTED_VALUE"""),46077.0)</f>
        <v>46077</v>
      </c>
      <c r="C5794" s="2" t="str">
        <f>IFERROR(__xludf.DUMMYFUNCTION("""COMPUTED_VALUE"""),"MOBILECARE - NAGA")</f>
        <v>MOBILECARE - NAGA</v>
      </c>
      <c r="D5794" s="2" t="str">
        <f>IFERROR(__xludf.DUMMYFUNCTION("""COMPUTED_VALUE"""),"TA661-36691")</f>
        <v>TA661-36691</v>
      </c>
      <c r="E5794" s="2" t="str">
        <f>IFERROR(__xludf.DUMMYFUNCTION("""COMPUTED_VALUE"""),"iPhone 15, Black, 128GB, Logic Board Assy Mid System, ROW")</f>
        <v>iPhone 15, Black, 128GB, Logic Board Assy Mid System, ROW</v>
      </c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</row>
    <row r="5795">
      <c r="A5795" s="10" t="str">
        <f t="shared" si="1"/>
        <v>June</v>
      </c>
      <c r="B5795" s="11">
        <f>IFERROR(__xludf.DUMMYFUNCTION("""COMPUTED_VALUE"""),46192.0)</f>
        <v>46192</v>
      </c>
      <c r="C5795" s="2" t="str">
        <f>IFERROR(__xludf.DUMMYFUNCTION("""COMPUTED_VALUE"""),"MOBILECARE - NAGA")</f>
        <v>MOBILECARE - NAGA</v>
      </c>
      <c r="D5795" s="2" t="str">
        <f>IFERROR(__xludf.DUMMYFUNCTION("""COMPUTED_VALUE"""),"661-49431")</f>
        <v>661-49431</v>
      </c>
      <c r="E5795" s="2" t="str">
        <f>IFERROR(__xludf.DUMMYFUNCTION("""COMPUTED_VALUE"""),"Display, iPhone 16e")</f>
        <v>Display, iPhone 16e</v>
      </c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</row>
    <row r="5796">
      <c r="A5796" s="10" t="str">
        <f t="shared" si="1"/>
        <v>June</v>
      </c>
      <c r="B5796" s="11">
        <f>IFERROR(__xludf.DUMMYFUNCTION("""COMPUTED_VALUE"""),46185.0)</f>
        <v>46185</v>
      </c>
      <c r="C5796" s="2" t="str">
        <f>IFERROR(__xludf.DUMMYFUNCTION("""COMPUTED_VALUE"""),"MOBILECARE - NAGA")</f>
        <v>MOBILECARE - NAGA</v>
      </c>
      <c r="D5796" s="2" t="str">
        <f>IFERROR(__xludf.DUMMYFUNCTION("""COMPUTED_VALUE"""),"PP661-23455")</f>
        <v>PP661-23455</v>
      </c>
      <c r="E5796" s="2" t="str">
        <f>IFERROR(__xludf.DUMMYFUNCTION("""COMPUTED_VALUE"""),"iPhone 13, Starlight, 128GB, Logic Board Assy Rear System, ROW")</f>
        <v>iPhone 13, Starlight, 128GB, Logic Board Assy Rear System, ROW</v>
      </c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</row>
    <row r="5797">
      <c r="A5797" s="10" t="str">
        <f t="shared" si="1"/>
        <v>February</v>
      </c>
      <c r="B5797" s="11">
        <f>IFERROR(__xludf.DUMMYFUNCTION("""COMPUTED_VALUE"""),46081.0)</f>
        <v>46081</v>
      </c>
      <c r="C5797" s="2" t="str">
        <f>IFERROR(__xludf.DUMMYFUNCTION("""COMPUTED_VALUE"""),"MOBILECARE - NAGA")</f>
        <v>MOBILECARE - NAGA</v>
      </c>
      <c r="D5797" s="2" t="str">
        <f>IFERROR(__xludf.DUMMYFUNCTION("""COMPUTED_VALUE"""),"661-30366")</f>
        <v>661-30366</v>
      </c>
      <c r="E5797" s="2" t="str">
        <f>IFERROR(__xludf.DUMMYFUNCTION("""COMPUTED_VALUE"""),"Display, iPhone 14")</f>
        <v>Display, iPhone 14</v>
      </c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</row>
    <row r="5798">
      <c r="A5798" s="10" t="str">
        <f t="shared" si="1"/>
        <v>February</v>
      </c>
      <c r="B5798" s="11">
        <f>IFERROR(__xludf.DUMMYFUNCTION("""COMPUTED_VALUE"""),46059.0)</f>
        <v>46059</v>
      </c>
      <c r="C5798" s="2" t="str">
        <f>IFERROR(__xludf.DUMMYFUNCTION("""COMPUTED_VALUE"""),"MOBILECARE - NAGA")</f>
        <v>MOBILECARE - NAGA</v>
      </c>
      <c r="D5798" s="2" t="str">
        <f>IFERROR(__xludf.DUMMYFUNCTION("""COMPUTED_VALUE"""),"661-21988")</f>
        <v>661-21988</v>
      </c>
      <c r="E5798" s="2" t="str">
        <f>IFERROR(__xludf.DUMMYFUNCTION("""COMPUTED_VALUE"""),"Display, iPhone 13")</f>
        <v>Display, iPhone 13</v>
      </c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</row>
    <row r="5799">
      <c r="A5799" s="10" t="str">
        <f t="shared" si="1"/>
        <v>May</v>
      </c>
      <c r="B5799" s="11">
        <f>IFERROR(__xludf.DUMMYFUNCTION("""COMPUTED_VALUE"""),46143.0)</f>
        <v>46143</v>
      </c>
      <c r="C5799" s="2" t="str">
        <f>IFERROR(__xludf.DUMMYFUNCTION("""COMPUTED_VALUE"""),"MOBILECARE - NAGA")</f>
        <v>MOBILECARE - NAGA</v>
      </c>
      <c r="D5799" s="2" t="str">
        <f>IFERROR(__xludf.DUMMYFUNCTION("""COMPUTED_VALUE"""),"Z661-55956")</f>
        <v>Z661-55956</v>
      </c>
      <c r="E5799" s="2" t="str">
        <f>IFERROR(__xludf.DUMMYFUNCTION("""COMPUTED_VALUE"""),"Logic Board, 256GB, iPhone 17 Pro Max, ROW")</f>
        <v>Logic Board, 256GB, iPhone 17 Pro Max, ROW</v>
      </c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</row>
    <row r="5800">
      <c r="A5800" s="10" t="str">
        <f t="shared" si="1"/>
        <v>April</v>
      </c>
      <c r="B5800" s="11">
        <f>IFERROR(__xludf.DUMMYFUNCTION("""COMPUTED_VALUE"""),46133.0)</f>
        <v>46133</v>
      </c>
      <c r="C5800" s="2" t="str">
        <f>IFERROR(__xludf.DUMMYFUNCTION("""COMPUTED_VALUE"""),"MOBILECARE - NAGA")</f>
        <v>MOBILECARE - NAGA</v>
      </c>
      <c r="D5800" s="2" t="str">
        <f>IFERROR(__xludf.DUMMYFUNCTION("""COMPUTED_VALUE"""),"PP661-23455")</f>
        <v>PP661-23455</v>
      </c>
      <c r="E5800" s="2" t="str">
        <f>IFERROR(__xludf.DUMMYFUNCTION("""COMPUTED_VALUE"""),"iPhone 13, Starlight, 128GB, Logic Board Assy Rear System, ROW")</f>
        <v>iPhone 13, Starlight, 128GB, Logic Board Assy Rear System, ROW</v>
      </c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</row>
    <row r="5801">
      <c r="A5801" s="10" t="str">
        <f t="shared" si="1"/>
        <v>April</v>
      </c>
      <c r="B5801" s="11">
        <f>IFERROR(__xludf.DUMMYFUNCTION("""COMPUTED_VALUE"""),46116.0)</f>
        <v>46116</v>
      </c>
      <c r="C5801" s="2" t="str">
        <f>IFERROR(__xludf.DUMMYFUNCTION("""COMPUTED_VALUE"""),"MOBILECARE - NAGA")</f>
        <v>MOBILECARE - NAGA</v>
      </c>
      <c r="D5801" s="2" t="str">
        <f>IFERROR(__xludf.DUMMYFUNCTION("""COMPUTED_VALUE"""),"661-21991")</f>
        <v>661-21991</v>
      </c>
      <c r="E5801" s="2" t="str">
        <f>IFERROR(__xludf.DUMMYFUNCTION("""COMPUTED_VALUE"""),"Battery, iPhone 13")</f>
        <v>Battery, iPhone 13</v>
      </c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</row>
    <row r="5802">
      <c r="A5802" s="10" t="str">
        <f t="shared" si="1"/>
        <v>March</v>
      </c>
      <c r="B5802" s="11">
        <f>IFERROR(__xludf.DUMMYFUNCTION("""COMPUTED_VALUE"""),46092.0)</f>
        <v>46092</v>
      </c>
      <c r="C5802" s="2" t="str">
        <f>IFERROR(__xludf.DUMMYFUNCTION("""COMPUTED_VALUE"""),"MOBILECARE - NAGA")</f>
        <v>MOBILECARE - NAGA</v>
      </c>
      <c r="D5802" s="2" t="str">
        <f>IFERROR(__xludf.DUMMYFUNCTION("""COMPUTED_VALUE"""),"661-36829")</f>
        <v>661-36829</v>
      </c>
      <c r="E5802" s="2" t="str">
        <f>IFERROR(__xludf.DUMMYFUNCTION("""COMPUTED_VALUE"""),"TrueDepth Camera, iPhone 15")</f>
        <v>TrueDepth Camera, iPhone 15</v>
      </c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</row>
    <row r="5803">
      <c r="A5803" s="10" t="str">
        <f t="shared" si="1"/>
        <v>March</v>
      </c>
      <c r="B5803" s="11">
        <f>IFERROR(__xludf.DUMMYFUNCTION("""COMPUTED_VALUE"""),46094.0)</f>
        <v>46094</v>
      </c>
      <c r="C5803" s="2" t="str">
        <f>IFERROR(__xludf.DUMMYFUNCTION("""COMPUTED_VALUE"""),"MOBILECARE - NAGA")</f>
        <v>MOBILECARE - NAGA</v>
      </c>
      <c r="D5803" s="2" t="str">
        <f>IFERROR(__xludf.DUMMYFUNCTION("""COMPUTED_VALUE"""),"661-21988")</f>
        <v>661-21988</v>
      </c>
      <c r="E5803" s="2" t="str">
        <f>IFERROR(__xludf.DUMMYFUNCTION("""COMPUTED_VALUE"""),"Display, iPhone 13")</f>
        <v>Display, iPhone 13</v>
      </c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</row>
    <row r="5804">
      <c r="A5804" s="10" t="str">
        <f t="shared" si="1"/>
        <v>March</v>
      </c>
      <c r="B5804" s="11">
        <f>IFERROR(__xludf.DUMMYFUNCTION("""COMPUTED_VALUE"""),46090.0)</f>
        <v>46090</v>
      </c>
      <c r="C5804" s="2" t="str">
        <f>IFERROR(__xludf.DUMMYFUNCTION("""COMPUTED_VALUE"""),"MOBILECARE - NAGA")</f>
        <v>MOBILECARE - NAGA</v>
      </c>
      <c r="D5804" s="2" t="str">
        <f>IFERROR(__xludf.DUMMYFUNCTION("""COMPUTED_VALUE"""),"PP661-23455")</f>
        <v>PP661-23455</v>
      </c>
      <c r="E5804" s="2" t="str">
        <f>IFERROR(__xludf.DUMMYFUNCTION("""COMPUTED_VALUE"""),"iPhone 13, Starlight, 128GB, Logic Board Assy Rear System, ROW")</f>
        <v>iPhone 13, Starlight, 128GB, Logic Board Assy Rear System, ROW</v>
      </c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</row>
    <row r="5805">
      <c r="A5805" s="10" t="str">
        <f t="shared" si="1"/>
        <v>February</v>
      </c>
      <c r="B5805" s="11">
        <f>IFERROR(__xludf.DUMMYFUNCTION("""COMPUTED_VALUE"""),46059.0)</f>
        <v>46059</v>
      </c>
      <c r="C5805" s="2" t="str">
        <f>IFERROR(__xludf.DUMMYFUNCTION("""COMPUTED_VALUE"""),"MOBILECARE - NAGA")</f>
        <v>MOBILECARE - NAGA</v>
      </c>
      <c r="D5805" s="2" t="str">
        <f>IFERROR(__xludf.DUMMYFUNCTION("""COMPUTED_VALUE"""),"661-21988")</f>
        <v>661-21988</v>
      </c>
      <c r="E5805" s="2" t="str">
        <f>IFERROR(__xludf.DUMMYFUNCTION("""COMPUTED_VALUE"""),"Display, iPhone 13")</f>
        <v>Display, iPhone 13</v>
      </c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</row>
    <row r="5806">
      <c r="A5806" s="10" t="str">
        <f t="shared" si="1"/>
        <v>January</v>
      </c>
      <c r="B5806" s="11">
        <f>IFERROR(__xludf.DUMMYFUNCTION("""COMPUTED_VALUE"""),46053.0)</f>
        <v>46053</v>
      </c>
      <c r="C5806" s="2" t="str">
        <f>IFERROR(__xludf.DUMMYFUNCTION("""COMPUTED_VALUE"""),"MOBILECARE - NAGA")</f>
        <v>MOBILECARE - NAGA</v>
      </c>
      <c r="D5806" s="2" t="str">
        <f>IFERROR(__xludf.DUMMYFUNCTION("""COMPUTED_VALUE"""),"661-21988")</f>
        <v>661-21988</v>
      </c>
      <c r="E5806" s="2" t="str">
        <f>IFERROR(__xludf.DUMMYFUNCTION("""COMPUTED_VALUE"""),"Display, iPhone 13")</f>
        <v>Display, iPhone 13</v>
      </c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</row>
    <row r="5807">
      <c r="A5807" s="10" t="str">
        <f t="shared" si="1"/>
        <v>May</v>
      </c>
      <c r="B5807" s="11">
        <f>IFERROR(__xludf.DUMMYFUNCTION("""COMPUTED_VALUE"""),46159.0)</f>
        <v>46159</v>
      </c>
      <c r="C5807" s="2" t="str">
        <f>IFERROR(__xludf.DUMMYFUNCTION("""COMPUTED_VALUE"""),"MOBILECARE - NAGA")</f>
        <v>MOBILECARE - NAGA</v>
      </c>
      <c r="D5807" s="2" t="str">
        <f>IFERROR(__xludf.DUMMYFUNCTION("""COMPUTED_VALUE"""),"661-22309")</f>
        <v>661-22309</v>
      </c>
      <c r="E5807" s="2" t="str">
        <f>IFERROR(__xludf.DUMMYFUNCTION("""COMPUTED_VALUE"""),"Display, iPhone 13 Pro Max")</f>
        <v>Display, iPhone 13 Pro Max</v>
      </c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</row>
    <row r="5808">
      <c r="A5808" s="10" t="str">
        <f t="shared" si="1"/>
        <v>May</v>
      </c>
      <c r="B5808" s="11">
        <f>IFERROR(__xludf.DUMMYFUNCTION("""COMPUTED_VALUE"""),46145.0)</f>
        <v>46145</v>
      </c>
      <c r="C5808" s="2" t="str">
        <f>IFERROR(__xludf.DUMMYFUNCTION("""COMPUTED_VALUE"""),"MOBILECARE - NAGA")</f>
        <v>MOBILECARE - NAGA</v>
      </c>
      <c r="D5808" s="2" t="str">
        <f>IFERROR(__xludf.DUMMYFUNCTION("""COMPUTED_VALUE"""),"661-21988")</f>
        <v>661-21988</v>
      </c>
      <c r="E5808" s="2" t="str">
        <f>IFERROR(__xludf.DUMMYFUNCTION("""COMPUTED_VALUE"""),"Display, iPhone 13")</f>
        <v>Display, iPhone 13</v>
      </c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</row>
    <row r="5809">
      <c r="A5809" s="10" t="str">
        <f t="shared" si="1"/>
        <v>April</v>
      </c>
      <c r="B5809" s="11">
        <f>IFERROR(__xludf.DUMMYFUNCTION("""COMPUTED_VALUE"""),46137.0)</f>
        <v>46137</v>
      </c>
      <c r="C5809" s="2" t="str">
        <f>IFERROR(__xludf.DUMMYFUNCTION("""COMPUTED_VALUE"""),"MOBILECARE - NAGA")</f>
        <v>MOBILECARE - NAGA</v>
      </c>
      <c r="D5809" s="2" t="str">
        <f>IFERROR(__xludf.DUMMYFUNCTION("""COMPUTED_VALUE"""),"PP661-23455")</f>
        <v>PP661-23455</v>
      </c>
      <c r="E5809" s="2" t="str">
        <f>IFERROR(__xludf.DUMMYFUNCTION("""COMPUTED_VALUE"""),"iPhone 13, Starlight, 128GB, Logic Board Assy Rear System, ROW")</f>
        <v>iPhone 13, Starlight, 128GB, Logic Board Assy Rear System, ROW</v>
      </c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</row>
    <row r="5810">
      <c r="A5810" s="10" t="str">
        <f t="shared" si="1"/>
        <v>March</v>
      </c>
      <c r="B5810" s="11">
        <f>IFERROR(__xludf.DUMMYFUNCTION("""COMPUTED_VALUE"""),46100.0)</f>
        <v>46100</v>
      </c>
      <c r="C5810" s="2" t="str">
        <f>IFERROR(__xludf.DUMMYFUNCTION("""COMPUTED_VALUE"""),"MOBILECARE - NAGA")</f>
        <v>MOBILECARE - NAGA</v>
      </c>
      <c r="D5810" s="2" t="str">
        <f>IFERROR(__xludf.DUMMYFUNCTION("""COMPUTED_VALUE"""),"661-22294")</f>
        <v>661-22294</v>
      </c>
      <c r="E5810" s="2" t="str">
        <f>IFERROR(__xludf.DUMMYFUNCTION("""COMPUTED_VALUE"""),"Battery, iPhone 13 Pro Max")</f>
        <v>Battery, iPhone 13 Pro Max</v>
      </c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</row>
    <row r="5811">
      <c r="A5811" s="10" t="str">
        <f t="shared" si="1"/>
        <v>February</v>
      </c>
      <c r="B5811" s="11">
        <f>IFERROR(__xludf.DUMMYFUNCTION("""COMPUTED_VALUE"""),46067.0)</f>
        <v>46067</v>
      </c>
      <c r="C5811" s="2" t="str">
        <f>IFERROR(__xludf.DUMMYFUNCTION("""COMPUTED_VALUE"""),"MOBILECARE - NAGA")</f>
        <v>MOBILECARE - NAGA</v>
      </c>
      <c r="D5811" s="2" t="str">
        <f>IFERROR(__xludf.DUMMYFUNCTION("""COMPUTED_VALUE"""),"661-36706")</f>
        <v>661-36706</v>
      </c>
      <c r="E5811" s="2" t="str">
        <f>IFERROR(__xludf.DUMMYFUNCTION("""COMPUTED_VALUE"""),"Display, iPhone 15")</f>
        <v>Display, iPhone 15</v>
      </c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</row>
    <row r="5812">
      <c r="A5812" s="10" t="str">
        <f t="shared" si="1"/>
        <v>February</v>
      </c>
      <c r="B5812" s="11">
        <f>IFERROR(__xludf.DUMMYFUNCTION("""COMPUTED_VALUE"""),46072.0)</f>
        <v>46072</v>
      </c>
      <c r="C5812" s="2" t="str">
        <f>IFERROR(__xludf.DUMMYFUNCTION("""COMPUTED_VALUE"""),"MOBILECARE - NAGA")</f>
        <v>MOBILECARE - NAGA</v>
      </c>
      <c r="D5812" s="2" t="str">
        <f>IFERROR(__xludf.DUMMYFUNCTION("""COMPUTED_VALUE"""),"TA661-36691")</f>
        <v>TA661-36691</v>
      </c>
      <c r="E5812" s="2" t="str">
        <f>IFERROR(__xludf.DUMMYFUNCTION("""COMPUTED_VALUE"""),"iPhone 15, Black, 128GB, Logic Board Assy Mid System, ROW")</f>
        <v>iPhone 15, Black, 128GB, Logic Board Assy Mid System, ROW</v>
      </c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</row>
    <row r="5813">
      <c r="A5813" s="10" t="str">
        <f t="shared" si="1"/>
        <v>May</v>
      </c>
      <c r="B5813" s="11">
        <f>IFERROR(__xludf.DUMMYFUNCTION("""COMPUTED_VALUE"""),46149.0)</f>
        <v>46149</v>
      </c>
      <c r="C5813" s="2" t="str">
        <f>IFERROR(__xludf.DUMMYFUNCTION("""COMPUTED_VALUE"""),"MOBILECARE - NAGA")</f>
        <v>MOBILECARE - NAGA</v>
      </c>
      <c r="D5813" s="2" t="str">
        <f>IFERROR(__xludf.DUMMYFUNCTION("""COMPUTED_VALUE"""),"TA661-43605")</f>
        <v>TA661-43605</v>
      </c>
      <c r="E5813" s="2" t="str">
        <f>IFERROR(__xludf.DUMMYFUNCTION("""COMPUTED_VALUE"""),"128GB, Black, ROW, iPhone 16, Logic Board Assy Mid System")</f>
        <v>128GB, Black, ROW, iPhone 16, Logic Board Assy Mid System</v>
      </c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</row>
    <row r="5814">
      <c r="A5814" s="10" t="str">
        <f t="shared" si="1"/>
        <v>April</v>
      </c>
      <c r="B5814" s="11">
        <f>IFERROR(__xludf.DUMMYFUNCTION("""COMPUTED_VALUE"""),46116.0)</f>
        <v>46116</v>
      </c>
      <c r="C5814" s="2" t="str">
        <f>IFERROR(__xludf.DUMMYFUNCTION("""COMPUTED_VALUE"""),"MOBILECARE - NAGA")</f>
        <v>MOBILECARE - NAGA</v>
      </c>
      <c r="D5814" s="2" t="str">
        <f>IFERROR(__xludf.DUMMYFUNCTION("""COMPUTED_VALUE"""),"661-21988")</f>
        <v>661-21988</v>
      </c>
      <c r="E5814" s="2" t="str">
        <f>IFERROR(__xludf.DUMMYFUNCTION("""COMPUTED_VALUE"""),"Display, iPhone 13")</f>
        <v>Display, iPhone 13</v>
      </c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</row>
    <row r="5815">
      <c r="A5815" s="10" t="str">
        <f t="shared" si="1"/>
        <v>April</v>
      </c>
      <c r="B5815" s="11">
        <f>IFERROR(__xludf.DUMMYFUNCTION("""COMPUTED_VALUE"""),46113.0)</f>
        <v>46113</v>
      </c>
      <c r="C5815" s="2" t="str">
        <f>IFERROR(__xludf.DUMMYFUNCTION("""COMPUTED_VALUE"""),"MOBILECARE - NAGA")</f>
        <v>MOBILECARE - NAGA</v>
      </c>
      <c r="D5815" s="2" t="str">
        <f>IFERROR(__xludf.DUMMYFUNCTION("""COMPUTED_VALUE"""),"PP661-23454")</f>
        <v>PP661-23454</v>
      </c>
      <c r="E5815" s="2" t="str">
        <f>IFERROR(__xludf.DUMMYFUNCTION("""COMPUTED_VALUE"""),"iPhone 13, Midnight, 128GB, Logic Board Assy Rear System, ROW")</f>
        <v>iPhone 13, Midnight, 128GB, Logic Board Assy Rear System, ROW</v>
      </c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</row>
    <row r="5816">
      <c r="A5816" s="10" t="str">
        <f t="shared" si="1"/>
        <v>March</v>
      </c>
      <c r="B5816" s="11">
        <f>IFERROR(__xludf.DUMMYFUNCTION("""COMPUTED_VALUE"""),46088.0)</f>
        <v>46088</v>
      </c>
      <c r="C5816" s="2" t="str">
        <f>IFERROR(__xludf.DUMMYFUNCTION("""COMPUTED_VALUE"""),"MOBILECARE - NAGA")</f>
        <v>MOBILECARE - NAGA</v>
      </c>
      <c r="D5816" s="2" t="str">
        <f>IFERROR(__xludf.DUMMYFUNCTION("""COMPUTED_VALUE"""),"Z661-55957")</f>
        <v>Z661-55957</v>
      </c>
      <c r="E5816" s="2" t="str">
        <f>IFERROR(__xludf.DUMMYFUNCTION("""COMPUTED_VALUE"""),"Logic Board, 512GB, iPhone 17 Pro Max, ROW")</f>
        <v>Logic Board, 512GB, iPhone 17 Pro Max, ROW</v>
      </c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</row>
    <row r="5817">
      <c r="A5817" s="10" t="str">
        <f t="shared" si="1"/>
        <v>February</v>
      </c>
      <c r="B5817" s="11">
        <f>IFERROR(__xludf.DUMMYFUNCTION("""COMPUTED_VALUE"""),46072.0)</f>
        <v>46072</v>
      </c>
      <c r="C5817" s="2" t="str">
        <f>IFERROR(__xludf.DUMMYFUNCTION("""COMPUTED_VALUE"""),"MOBILECARE - NAGA")</f>
        <v>MOBILECARE - NAGA</v>
      </c>
      <c r="D5817" s="2" t="str">
        <f>IFERROR(__xludf.DUMMYFUNCTION("""COMPUTED_VALUE"""),"PP661-28873")</f>
        <v>PP661-28873</v>
      </c>
      <c r="E5817" s="2" t="str">
        <f>IFERROR(__xludf.DUMMYFUNCTION("""COMPUTED_VALUE"""),"iPhone 14, Midnight, 256GB, Logic Board Assy Mid System, ROW")</f>
        <v>iPhone 14, Midnight, 256GB, Logic Board Assy Mid System, ROW</v>
      </c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</row>
    <row r="5818">
      <c r="A5818" s="10" t="str">
        <f t="shared" si="1"/>
        <v>April</v>
      </c>
      <c r="B5818" s="11">
        <f>IFERROR(__xludf.DUMMYFUNCTION("""COMPUTED_VALUE"""),46120.0)</f>
        <v>46120</v>
      </c>
      <c r="C5818" s="2" t="str">
        <f>IFERROR(__xludf.DUMMYFUNCTION("""COMPUTED_VALUE"""),"MOBILECARE - NAGA")</f>
        <v>MOBILECARE - NAGA</v>
      </c>
      <c r="D5818" s="2" t="str">
        <f>IFERROR(__xludf.DUMMYFUNCTION("""COMPUTED_VALUE"""),"661-42726")</f>
        <v>661-42726</v>
      </c>
      <c r="E5818" s="2" t="str">
        <f>IFERROR(__xludf.DUMMYFUNCTION("""COMPUTED_VALUE"""),"Display, iPhone 16 Pro")</f>
        <v>Display, iPhone 16 Pro</v>
      </c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</row>
    <row r="5819">
      <c r="A5819" s="10" t="str">
        <f t="shared" si="1"/>
        <v>May</v>
      </c>
      <c r="B5819" s="11">
        <f>IFERROR(__xludf.DUMMYFUNCTION("""COMPUTED_VALUE"""),46170.0)</f>
        <v>46170</v>
      </c>
      <c r="C5819" s="2" t="str">
        <f>IFERROR(__xludf.DUMMYFUNCTION("""COMPUTED_VALUE"""),"MOBILECARE - NAGA")</f>
        <v>MOBILECARE - NAGA</v>
      </c>
      <c r="D5819" s="2" t="str">
        <f>IFERROR(__xludf.DUMMYFUNCTION("""COMPUTED_VALUE"""),"661-21991")</f>
        <v>661-21991</v>
      </c>
      <c r="E5819" s="2" t="str">
        <f>IFERROR(__xludf.DUMMYFUNCTION("""COMPUTED_VALUE"""),"Battery, iPhone 13")</f>
        <v>Battery, iPhone 13</v>
      </c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</row>
    <row r="5820">
      <c r="A5820" s="10" t="str">
        <f t="shared" si="1"/>
        <v>March</v>
      </c>
      <c r="B5820" s="11">
        <f>IFERROR(__xludf.DUMMYFUNCTION("""COMPUTED_VALUE"""),46109.0)</f>
        <v>46109</v>
      </c>
      <c r="C5820" s="2" t="str">
        <f>IFERROR(__xludf.DUMMYFUNCTION("""COMPUTED_VALUE"""),"MOBILECARE - NAGA")</f>
        <v>MOBILECARE - NAGA</v>
      </c>
      <c r="D5820" s="2" t="str">
        <f>IFERROR(__xludf.DUMMYFUNCTION("""COMPUTED_VALUE"""),"661-21988")</f>
        <v>661-21988</v>
      </c>
      <c r="E5820" s="2" t="str">
        <f>IFERROR(__xludf.DUMMYFUNCTION("""COMPUTED_VALUE"""),"Display, iPhone 13")</f>
        <v>Display, iPhone 13</v>
      </c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</row>
    <row r="5821">
      <c r="A5821" s="10" t="str">
        <f t="shared" si="1"/>
        <v>February</v>
      </c>
      <c r="B5821" s="11">
        <f>IFERROR(__xludf.DUMMYFUNCTION("""COMPUTED_VALUE"""),46057.0)</f>
        <v>46057</v>
      </c>
      <c r="C5821" s="2" t="str">
        <f>IFERROR(__xludf.DUMMYFUNCTION("""COMPUTED_VALUE"""),"MOBILECARE - NAGA")</f>
        <v>MOBILECARE - NAGA</v>
      </c>
      <c r="D5821" s="2" t="str">
        <f>IFERROR(__xludf.DUMMYFUNCTION("""COMPUTED_VALUE"""),"661-21991")</f>
        <v>661-21991</v>
      </c>
      <c r="E5821" s="2" t="str">
        <f>IFERROR(__xludf.DUMMYFUNCTION("""COMPUTED_VALUE"""),"Battery, iPhone 13")</f>
        <v>Battery, iPhone 13</v>
      </c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</row>
    <row r="5822">
      <c r="A5822" s="10" t="str">
        <f t="shared" si="1"/>
        <v>June</v>
      </c>
      <c r="B5822" s="11">
        <f>IFERROR(__xludf.DUMMYFUNCTION("""COMPUTED_VALUE"""),46179.0)</f>
        <v>46179</v>
      </c>
      <c r="C5822" s="2" t="str">
        <f>IFERROR(__xludf.DUMMYFUNCTION("""COMPUTED_VALUE"""),"MOBILECARE - NAGA")</f>
        <v>MOBILECARE - NAGA</v>
      </c>
      <c r="D5822" s="2" t="str">
        <f>IFERROR(__xludf.DUMMYFUNCTION("""COMPUTED_VALUE"""),"661-35828")</f>
        <v>661-35828</v>
      </c>
      <c r="E5822" s="2" t="str">
        <f>IFERROR(__xludf.DUMMYFUNCTION("""COMPUTED_VALUE"""),"Camera, iPhone 15")</f>
        <v>Camera, iPhone 15</v>
      </c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</row>
    <row r="5823">
      <c r="A5823" s="10" t="str">
        <f t="shared" si="1"/>
        <v>April</v>
      </c>
      <c r="B5823" s="11">
        <f>IFERROR(__xludf.DUMMYFUNCTION("""COMPUTED_VALUE"""),46140.0)</f>
        <v>46140</v>
      </c>
      <c r="C5823" s="2" t="str">
        <f>IFERROR(__xludf.DUMMYFUNCTION("""COMPUTED_VALUE"""),"MOBILECARE - NAGA")</f>
        <v>MOBILECARE - NAGA</v>
      </c>
      <c r="D5823" s="2" t="str">
        <f>IFERROR(__xludf.DUMMYFUNCTION("""COMPUTED_VALUE"""),"Z661-55956")</f>
        <v>Z661-55956</v>
      </c>
      <c r="E5823" s="2" t="str">
        <f>IFERROR(__xludf.DUMMYFUNCTION("""COMPUTED_VALUE"""),"Logic Board, 256GB, iPhone 17 Pro Max, ROW")</f>
        <v>Logic Board, 256GB, iPhone 17 Pro Max, ROW</v>
      </c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</row>
    <row r="5824">
      <c r="A5824" s="10" t="str">
        <f t="shared" si="1"/>
        <v>February</v>
      </c>
      <c r="B5824" s="11">
        <f>IFERROR(__xludf.DUMMYFUNCTION("""COMPUTED_VALUE"""),46065.0)</f>
        <v>46065</v>
      </c>
      <c r="C5824" s="2" t="str">
        <f>IFERROR(__xludf.DUMMYFUNCTION("""COMPUTED_VALUE"""),"MOBILECARE - NAGA")</f>
        <v>MOBILECARE - NAGA</v>
      </c>
      <c r="D5824" s="2" t="str">
        <f>IFERROR(__xludf.DUMMYFUNCTION("""COMPUTED_VALUE"""),"PP661-22981")</f>
        <v>PP661-22981</v>
      </c>
      <c r="E5824" s="2" t="str">
        <f>IFERROR(__xludf.DUMMYFUNCTION("""COMPUTED_VALUE"""),"Starlight, 128 GB, iPhone 13, ROW, CI/AR, Philippines")</f>
        <v>Starlight, 128 GB, iPhone 13, ROW, CI/AR, Philippines</v>
      </c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</row>
    <row r="5825">
      <c r="A5825" s="10" t="str">
        <f t="shared" si="1"/>
        <v>May</v>
      </c>
      <c r="B5825" s="11">
        <f>IFERROR(__xludf.DUMMYFUNCTION("""COMPUTED_VALUE"""),46159.0)</f>
        <v>46159</v>
      </c>
      <c r="C5825" s="2" t="str">
        <f>IFERROR(__xludf.DUMMYFUNCTION("""COMPUTED_VALUE"""),"MOBILECARE - NAGA")</f>
        <v>MOBILECARE - NAGA</v>
      </c>
      <c r="D5825" s="2" t="str">
        <f>IFERROR(__xludf.DUMMYFUNCTION("""COMPUTED_VALUE"""),"661-21988")</f>
        <v>661-21988</v>
      </c>
      <c r="E5825" s="2" t="str">
        <f>IFERROR(__xludf.DUMMYFUNCTION("""COMPUTED_VALUE"""),"Display, iPhone 13")</f>
        <v>Display, iPhone 13</v>
      </c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</row>
    <row r="5826">
      <c r="A5826" s="10" t="str">
        <f t="shared" si="1"/>
        <v>May</v>
      </c>
      <c r="B5826" s="11">
        <f>IFERROR(__xludf.DUMMYFUNCTION("""COMPUTED_VALUE"""),46152.0)</f>
        <v>46152</v>
      </c>
      <c r="C5826" s="2" t="str">
        <f>IFERROR(__xludf.DUMMYFUNCTION("""COMPUTED_VALUE"""),"MOBILECARE - NAGA")</f>
        <v>MOBILECARE - NAGA</v>
      </c>
      <c r="D5826" s="2" t="str">
        <f>IFERROR(__xludf.DUMMYFUNCTION("""COMPUTED_VALUE"""),"661-21991")</f>
        <v>661-21991</v>
      </c>
      <c r="E5826" s="2" t="str">
        <f>IFERROR(__xludf.DUMMYFUNCTION("""COMPUTED_VALUE"""),"Battery, iPhone 13")</f>
        <v>Battery, iPhone 13</v>
      </c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</row>
    <row r="5827">
      <c r="A5827" s="10" t="str">
        <f t="shared" si="1"/>
        <v>June</v>
      </c>
      <c r="B5827" s="11">
        <f>IFERROR(__xludf.DUMMYFUNCTION("""COMPUTED_VALUE"""),46178.0)</f>
        <v>46178</v>
      </c>
      <c r="C5827" s="2" t="str">
        <f>IFERROR(__xludf.DUMMYFUNCTION("""COMPUTED_VALUE"""),"MOBILECARE - NAGA")</f>
        <v>MOBILECARE - NAGA</v>
      </c>
      <c r="D5827" s="2" t="str">
        <f>IFERROR(__xludf.DUMMYFUNCTION("""COMPUTED_VALUE"""),"Z661-56015")</f>
        <v>Z661-56015</v>
      </c>
      <c r="E5827" s="2" t="str">
        <f>IFERROR(__xludf.DUMMYFUNCTION("""COMPUTED_VALUE"""),"Logic Board, 256GB, iPhone 17, ROW")</f>
        <v>Logic Board, 256GB, iPhone 17, ROW</v>
      </c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</row>
    <row r="5828">
      <c r="A5828" s="10" t="str">
        <f t="shared" si="1"/>
        <v>April</v>
      </c>
      <c r="B5828" s="11">
        <f>IFERROR(__xludf.DUMMYFUNCTION("""COMPUTED_VALUE"""),46118.0)</f>
        <v>46118</v>
      </c>
      <c r="C5828" s="2" t="str">
        <f>IFERROR(__xludf.DUMMYFUNCTION("""COMPUTED_VALUE"""),"MOBILECARE - NAGA")</f>
        <v>MOBILECARE - NAGA</v>
      </c>
      <c r="D5828" s="2" t="str">
        <f>IFERROR(__xludf.DUMMYFUNCTION("""COMPUTED_VALUE"""),"TA661-45323")</f>
        <v>TA661-45323</v>
      </c>
      <c r="E5828" s="2" t="str">
        <f>IFERROR(__xludf.DUMMYFUNCTION("""COMPUTED_VALUE"""),"256GB, Desert Titanium, ROW, iPhone 16 Pro Max, Logic Board Assy Mid Sys")</f>
        <v>256GB, Desert Titanium, ROW, iPhone 16 Pro Max, Logic Board Assy Mid Sys</v>
      </c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</row>
    <row r="5829">
      <c r="A5829" s="10" t="str">
        <f t="shared" si="1"/>
        <v>June</v>
      </c>
      <c r="B5829" s="11">
        <f>IFERROR(__xludf.DUMMYFUNCTION("""COMPUTED_VALUE"""),46182.0)</f>
        <v>46182</v>
      </c>
      <c r="C5829" s="2" t="str">
        <f>IFERROR(__xludf.DUMMYFUNCTION("""COMPUTED_VALUE"""),"MOBILECARE - NAGA")</f>
        <v>MOBILECARE - NAGA</v>
      </c>
      <c r="D5829" s="2" t="str">
        <f>IFERROR(__xludf.DUMMYFUNCTION("""COMPUTED_VALUE"""),"PP661-23455")</f>
        <v>PP661-23455</v>
      </c>
      <c r="E5829" s="2" t="str">
        <f>IFERROR(__xludf.DUMMYFUNCTION("""COMPUTED_VALUE"""),"iPhone 13, Starlight, 128GB, Logic Board Assy Rear System, ROW")</f>
        <v>iPhone 13, Starlight, 128GB, Logic Board Assy Rear System, ROW</v>
      </c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</row>
    <row r="5830">
      <c r="A5830" s="10" t="str">
        <f t="shared" si="1"/>
        <v>March</v>
      </c>
      <c r="B5830" s="11">
        <f>IFERROR(__xludf.DUMMYFUNCTION("""COMPUTED_VALUE"""),46109.0)</f>
        <v>46109</v>
      </c>
      <c r="C5830" s="2" t="str">
        <f>IFERROR(__xludf.DUMMYFUNCTION("""COMPUTED_VALUE"""),"MOBILECARE - NAGA")</f>
        <v>MOBILECARE - NAGA</v>
      </c>
      <c r="D5830" s="2" t="str">
        <f>IFERROR(__xludf.DUMMYFUNCTION("""COMPUTED_VALUE"""),"PP661-23455")</f>
        <v>PP661-23455</v>
      </c>
      <c r="E5830" s="2" t="str">
        <f>IFERROR(__xludf.DUMMYFUNCTION("""COMPUTED_VALUE"""),"iPhone 13, Starlight, 128GB, Logic Board Assy Rear System, ROW")</f>
        <v>iPhone 13, Starlight, 128GB, Logic Board Assy Rear System, ROW</v>
      </c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</row>
    <row r="5831">
      <c r="A5831" s="10" t="str">
        <f t="shared" si="1"/>
        <v>March</v>
      </c>
      <c r="B5831" s="11">
        <f>IFERROR(__xludf.DUMMYFUNCTION("""COMPUTED_VALUE"""),46108.0)</f>
        <v>46108</v>
      </c>
      <c r="C5831" s="2" t="str">
        <f>IFERROR(__xludf.DUMMYFUNCTION("""COMPUTED_VALUE"""),"MOBILECARE - NAGA")</f>
        <v>MOBILECARE - NAGA</v>
      </c>
      <c r="D5831" s="2" t="str">
        <f>IFERROR(__xludf.DUMMYFUNCTION("""COMPUTED_VALUE"""),"Z661-55956")</f>
        <v>Z661-55956</v>
      </c>
      <c r="E5831" s="2" t="str">
        <f>IFERROR(__xludf.DUMMYFUNCTION("""COMPUTED_VALUE"""),"Logic Board, 256GB, iPhone 17 Pro Max, ROW")</f>
        <v>Logic Board, 256GB, iPhone 17 Pro Max, ROW</v>
      </c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</row>
    <row r="5832">
      <c r="A5832" s="10" t="str">
        <f t="shared" si="1"/>
        <v>March</v>
      </c>
      <c r="B5832" s="11">
        <f>IFERROR(__xludf.DUMMYFUNCTION("""COMPUTED_VALUE"""),46108.0)</f>
        <v>46108</v>
      </c>
      <c r="C5832" s="2" t="str">
        <f>IFERROR(__xludf.DUMMYFUNCTION("""COMPUTED_VALUE"""),"MOBILECARE - NAGA")</f>
        <v>MOBILECARE - NAGA</v>
      </c>
      <c r="D5832" s="2" t="str">
        <f>IFERROR(__xludf.DUMMYFUNCTION("""COMPUTED_VALUE"""),"923-13582")</f>
        <v>923-13582</v>
      </c>
      <c r="E5832" s="2" t="str">
        <f>IFERROR(__xludf.DUMMYFUNCTION("""COMPUTED_VALUE"""),"Main Microphone, pSIM, iPhone 17 Pro Max")</f>
        <v>Main Microphone, pSIM, iPhone 17 Pro Max</v>
      </c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</row>
    <row r="5833">
      <c r="A5833" s="10" t="str">
        <f t="shared" si="1"/>
        <v>March</v>
      </c>
      <c r="B5833" s="11">
        <f>IFERROR(__xludf.DUMMYFUNCTION("""COMPUTED_VALUE"""),46083.0)</f>
        <v>46083</v>
      </c>
      <c r="C5833" s="2" t="str">
        <f>IFERROR(__xludf.DUMMYFUNCTION("""COMPUTED_VALUE"""),"MOBILECARE - NAGA")</f>
        <v>MOBILECARE - NAGA</v>
      </c>
      <c r="D5833" s="2" t="str">
        <f>IFERROR(__xludf.DUMMYFUNCTION("""COMPUTED_VALUE"""),"661-30366")</f>
        <v>661-30366</v>
      </c>
      <c r="E5833" s="2" t="str">
        <f>IFERROR(__xludf.DUMMYFUNCTION("""COMPUTED_VALUE"""),"Display, iPhone 14")</f>
        <v>Display, iPhone 14</v>
      </c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</row>
    <row r="5834">
      <c r="A5834" s="10" t="str">
        <f t="shared" si="1"/>
        <v>March</v>
      </c>
      <c r="B5834" s="11">
        <f>IFERROR(__xludf.DUMMYFUNCTION("""COMPUTED_VALUE"""),46096.0)</f>
        <v>46096</v>
      </c>
      <c r="C5834" s="2" t="str">
        <f>IFERROR(__xludf.DUMMYFUNCTION("""COMPUTED_VALUE"""),"MOBILECARE - NAGA")</f>
        <v>MOBILECARE - NAGA</v>
      </c>
      <c r="D5834" s="2" t="str">
        <f>IFERROR(__xludf.DUMMYFUNCTION("""COMPUTED_VALUE"""),"TA661-44995")</f>
        <v>TA661-44995</v>
      </c>
      <c r="E5834" s="2" t="str">
        <f>IFERROR(__xludf.DUMMYFUNCTION("""COMPUTED_VALUE"""),"128GB, Black Titanium, ROW, iPhone 16 Pro, Logic Board Assy Mid System")</f>
        <v>128GB, Black Titanium, ROW, iPhone 16 Pro, Logic Board Assy Mid System</v>
      </c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</row>
    <row r="5835">
      <c r="A5835" s="10" t="str">
        <f t="shared" si="1"/>
        <v>February</v>
      </c>
      <c r="B5835" s="11">
        <f>IFERROR(__xludf.DUMMYFUNCTION("""COMPUTED_VALUE"""),46074.0)</f>
        <v>46074</v>
      </c>
      <c r="C5835" s="2" t="str">
        <f>IFERROR(__xludf.DUMMYFUNCTION("""COMPUTED_VALUE"""),"MOBILECARE - NAGA")</f>
        <v>MOBILECARE - NAGA</v>
      </c>
      <c r="D5835" s="2" t="str">
        <f>IFERROR(__xludf.DUMMYFUNCTION("""COMPUTED_VALUE"""),"TA661-55154")</f>
        <v>TA661-55154</v>
      </c>
      <c r="E5835" s="2" t="str">
        <f>IFERROR(__xludf.DUMMYFUNCTION("""COMPUTED_VALUE"""),"Deep Blue, 512GB, iPhone 17 Pro, ROW, CI/AR, Taiwan")</f>
        <v>Deep Blue, 512GB, iPhone 17 Pro, ROW, CI/AR, Taiwan</v>
      </c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</row>
    <row r="5836">
      <c r="A5836" s="10" t="str">
        <f t="shared" si="1"/>
        <v>June</v>
      </c>
      <c r="B5836" s="11">
        <f>IFERROR(__xludf.DUMMYFUNCTION("""COMPUTED_VALUE"""),46175.0)</f>
        <v>46175</v>
      </c>
      <c r="C5836" s="2" t="str">
        <f>IFERROR(__xludf.DUMMYFUNCTION("""COMPUTED_VALUE"""),"MOBILECARE - NAGA")</f>
        <v>MOBILECARE - NAGA</v>
      </c>
      <c r="D5836" s="2" t="str">
        <f>IFERROR(__xludf.DUMMYFUNCTION("""COMPUTED_VALUE"""),"661-18428")</f>
        <v>661-18428</v>
      </c>
      <c r="E5836" s="2" t="str">
        <f>IFERROR(__xludf.DUMMYFUNCTION("""COMPUTED_VALUE"""),"Battery, iPhone 12 Pro Max")</f>
        <v>Battery, iPhone 12 Pro Max</v>
      </c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</row>
    <row r="5837">
      <c r="A5837" s="10" t="str">
        <f t="shared" si="1"/>
        <v>February</v>
      </c>
      <c r="B5837" s="11">
        <f>IFERROR(__xludf.DUMMYFUNCTION("""COMPUTED_VALUE"""),46081.0)</f>
        <v>46081</v>
      </c>
      <c r="C5837" s="2" t="str">
        <f>IFERROR(__xludf.DUMMYFUNCTION("""COMPUTED_VALUE"""),"MOBILECARE - NAGA")</f>
        <v>MOBILECARE - NAGA</v>
      </c>
      <c r="D5837" s="2" t="str">
        <f>IFERROR(__xludf.DUMMYFUNCTION("""COMPUTED_VALUE"""),"PP661-28868")</f>
        <v>PP661-28868</v>
      </c>
      <c r="E5837" s="2" t="str">
        <f>IFERROR(__xludf.DUMMYFUNCTION("""COMPUTED_VALUE"""),"iPhone 14, Midnight, 128GB, Logic Board Assy Mid System, ROW")</f>
        <v>iPhone 14, Midnight, 128GB, Logic Board Assy Mid System, ROW</v>
      </c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</row>
    <row r="5838">
      <c r="A5838" s="10" t="str">
        <f t="shared" si="1"/>
        <v>February</v>
      </c>
      <c r="B5838" s="11">
        <f>IFERROR(__xludf.DUMMYFUNCTION("""COMPUTED_VALUE"""),46081.0)</f>
        <v>46081</v>
      </c>
      <c r="C5838" s="2" t="str">
        <f>IFERROR(__xludf.DUMMYFUNCTION("""COMPUTED_VALUE"""),"MOBILECARE - NAGA")</f>
        <v>MOBILECARE - NAGA</v>
      </c>
      <c r="D5838" s="2" t="str">
        <f>IFERROR(__xludf.DUMMYFUNCTION("""COMPUTED_VALUE"""),"PP661-28868")</f>
        <v>PP661-28868</v>
      </c>
      <c r="E5838" s="2" t="str">
        <f>IFERROR(__xludf.DUMMYFUNCTION("""COMPUTED_VALUE"""),"iPhone 14, Midnight, 128GB, Logic Board Assy Mid System, ROW")</f>
        <v>iPhone 14, Midnight, 128GB, Logic Board Assy Mid System, ROW</v>
      </c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</row>
    <row r="5839">
      <c r="A5839" s="10" t="str">
        <f t="shared" si="1"/>
        <v>February</v>
      </c>
      <c r="B5839" s="11">
        <f>IFERROR(__xludf.DUMMYFUNCTION("""COMPUTED_VALUE"""),46061.0)</f>
        <v>46061</v>
      </c>
      <c r="C5839" s="2" t="str">
        <f>IFERROR(__xludf.DUMMYFUNCTION("""COMPUTED_VALUE"""),"MOBILECARE - NAGA")</f>
        <v>MOBILECARE - NAGA</v>
      </c>
      <c r="D5839" s="2" t="str">
        <f>IFERROR(__xludf.DUMMYFUNCTION("""COMPUTED_VALUE"""),"TA661-36289")</f>
        <v>TA661-36289</v>
      </c>
      <c r="E5839" s="2" t="str">
        <f>IFERROR(__xludf.DUMMYFUNCTION("""COMPUTED_VALUE"""),"Blue, iPhone 15, 128GB, ROW, CI/AR, Taiwan")</f>
        <v>Blue, iPhone 15, 128GB, ROW, CI/AR, Taiwan</v>
      </c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</row>
    <row r="5840">
      <c r="A5840" s="10" t="str">
        <f t="shared" si="1"/>
        <v>April</v>
      </c>
      <c r="B5840" s="11">
        <f>IFERROR(__xludf.DUMMYFUNCTION("""COMPUTED_VALUE"""),46118.0)</f>
        <v>46118</v>
      </c>
      <c r="C5840" s="2" t="str">
        <f>IFERROR(__xludf.DUMMYFUNCTION("""COMPUTED_VALUE"""),"MOBILECARE - NAGA")</f>
        <v>MOBILECARE - NAGA</v>
      </c>
      <c r="D5840" s="2" t="str">
        <f>IFERROR(__xludf.DUMMYFUNCTION("""COMPUTED_VALUE"""),"661-21991")</f>
        <v>661-21991</v>
      </c>
      <c r="E5840" s="2" t="str">
        <f>IFERROR(__xludf.DUMMYFUNCTION("""COMPUTED_VALUE"""),"Battery, iPhone 13")</f>
        <v>Battery, iPhone 13</v>
      </c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</row>
    <row r="5841">
      <c r="A5841" s="10" t="str">
        <f t="shared" si="1"/>
        <v>March</v>
      </c>
      <c r="B5841" s="11">
        <f>IFERROR(__xludf.DUMMYFUNCTION("""COMPUTED_VALUE"""),46096.0)</f>
        <v>46096</v>
      </c>
      <c r="C5841" s="2" t="str">
        <f>IFERROR(__xludf.DUMMYFUNCTION("""COMPUTED_VALUE"""),"MOBILECARE - NAGA")</f>
        <v>MOBILECARE - NAGA</v>
      </c>
      <c r="D5841" s="2" t="str">
        <f>IFERROR(__xludf.DUMMYFUNCTION("""COMPUTED_VALUE"""),"661-21988")</f>
        <v>661-21988</v>
      </c>
      <c r="E5841" s="2" t="str">
        <f>IFERROR(__xludf.DUMMYFUNCTION("""COMPUTED_VALUE"""),"Display, iPhone 13")</f>
        <v>Display, iPhone 13</v>
      </c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</row>
    <row r="5842">
      <c r="A5842" s="10" t="str">
        <f t="shared" si="1"/>
        <v>March</v>
      </c>
      <c r="B5842" s="11">
        <f>IFERROR(__xludf.DUMMYFUNCTION("""COMPUTED_VALUE"""),46102.0)</f>
        <v>46102</v>
      </c>
      <c r="C5842" s="2" t="str">
        <f>IFERROR(__xludf.DUMMYFUNCTION("""COMPUTED_VALUE"""),"MOBILECARE - NAGA")</f>
        <v>MOBILECARE - NAGA</v>
      </c>
      <c r="D5842" s="2" t="str">
        <f>IFERROR(__xludf.DUMMYFUNCTION("""COMPUTED_VALUE"""),"PP661-28868")</f>
        <v>PP661-28868</v>
      </c>
      <c r="E5842" s="2" t="str">
        <f>IFERROR(__xludf.DUMMYFUNCTION("""COMPUTED_VALUE"""),"iPhone 14, Midnight, 128GB, Logic Board Assy Mid System, ROW")</f>
        <v>iPhone 14, Midnight, 128GB, Logic Board Assy Mid System, ROW</v>
      </c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</row>
    <row r="5843">
      <c r="A5843" s="10" t="str">
        <f t="shared" si="1"/>
        <v>February</v>
      </c>
      <c r="B5843" s="11">
        <f>IFERROR(__xludf.DUMMYFUNCTION("""COMPUTED_VALUE"""),46054.0)</f>
        <v>46054</v>
      </c>
      <c r="C5843" s="2" t="str">
        <f>IFERROR(__xludf.DUMMYFUNCTION("""COMPUTED_VALUE"""),"MOBILECARE - NAGA")</f>
        <v>MOBILECARE - NAGA</v>
      </c>
      <c r="D5843" s="2" t="str">
        <f>IFERROR(__xludf.DUMMYFUNCTION("""COMPUTED_VALUE"""),"923-13597")</f>
        <v>923-13597</v>
      </c>
      <c r="E5843" s="2" t="str">
        <f>IFERROR(__xludf.DUMMYFUNCTION("""COMPUTED_VALUE"""),"Speaker, iPhone 17")</f>
        <v>Speaker, iPhone 17</v>
      </c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</row>
    <row r="5844">
      <c r="A5844" s="10" t="str">
        <f t="shared" si="1"/>
        <v>May</v>
      </c>
      <c r="B5844" s="11">
        <f>IFERROR(__xludf.DUMMYFUNCTION("""COMPUTED_VALUE"""),46153.0)</f>
        <v>46153</v>
      </c>
      <c r="C5844" s="2" t="str">
        <f>IFERROR(__xludf.DUMMYFUNCTION("""COMPUTED_VALUE"""),"MOBILECARE - NAGA")</f>
        <v>MOBILECARE - NAGA</v>
      </c>
      <c r="D5844" s="2" t="str">
        <f>IFERROR(__xludf.DUMMYFUNCTION("""COMPUTED_VALUE"""),"661-17920")</f>
        <v>661-17920</v>
      </c>
      <c r="E5844" s="2" t="str">
        <f>IFERROR(__xludf.DUMMYFUNCTION("""COMPUTED_VALUE"""),"Battery, iPhone 12 and 12 Pro")</f>
        <v>Battery, iPhone 12 and 12 Pro</v>
      </c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</row>
    <row r="5845">
      <c r="A5845" s="10" t="str">
        <f t="shared" si="1"/>
        <v>April</v>
      </c>
      <c r="B5845" s="11">
        <f>IFERROR(__xludf.DUMMYFUNCTION("""COMPUTED_VALUE"""),46139.0)</f>
        <v>46139</v>
      </c>
      <c r="C5845" s="2" t="str">
        <f>IFERROR(__xludf.DUMMYFUNCTION("""COMPUTED_VALUE"""),"MOBILECARE - NAGA")</f>
        <v>MOBILECARE - NAGA</v>
      </c>
      <c r="D5845" s="2" t="str">
        <f>IFERROR(__xludf.DUMMYFUNCTION("""COMPUTED_VALUE"""),"661-21988")</f>
        <v>661-21988</v>
      </c>
      <c r="E5845" s="2" t="str">
        <f>IFERROR(__xludf.DUMMYFUNCTION("""COMPUTED_VALUE"""),"Display, iPhone 13")</f>
        <v>Display, iPhone 13</v>
      </c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</row>
    <row r="5846">
      <c r="A5846" s="10" t="str">
        <f t="shared" si="1"/>
        <v>April</v>
      </c>
      <c r="B5846" s="11">
        <f>IFERROR(__xludf.DUMMYFUNCTION("""COMPUTED_VALUE"""),46115.0)</f>
        <v>46115</v>
      </c>
      <c r="C5846" s="2" t="str">
        <f>IFERROR(__xludf.DUMMYFUNCTION("""COMPUTED_VALUE"""),"MOBILECARE - NAGA")</f>
        <v>MOBILECARE - NAGA</v>
      </c>
      <c r="D5846" s="2" t="str">
        <f>IFERROR(__xludf.DUMMYFUNCTION("""COMPUTED_VALUE"""),"661-21988")</f>
        <v>661-21988</v>
      </c>
      <c r="E5846" s="2" t="str">
        <f>IFERROR(__xludf.DUMMYFUNCTION("""COMPUTED_VALUE"""),"Display, iPhone 13")</f>
        <v>Display, iPhone 13</v>
      </c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</row>
    <row r="5847">
      <c r="A5847" s="10" t="str">
        <f t="shared" si="1"/>
        <v>March</v>
      </c>
      <c r="B5847" s="11">
        <f>IFERROR(__xludf.DUMMYFUNCTION("""COMPUTED_VALUE"""),46095.0)</f>
        <v>46095</v>
      </c>
      <c r="C5847" s="2" t="str">
        <f>IFERROR(__xludf.DUMMYFUNCTION("""COMPUTED_VALUE"""),"MOBILECARE - NAGA")</f>
        <v>MOBILECARE - NAGA</v>
      </c>
      <c r="D5847" s="2" t="str">
        <f>IFERROR(__xludf.DUMMYFUNCTION("""COMPUTED_VALUE"""),"661-30397")</f>
        <v>661-30397</v>
      </c>
      <c r="E5847" s="2" t="str">
        <f>IFERROR(__xludf.DUMMYFUNCTION("""COMPUTED_VALUE"""),"Battery, iPhone 14 Pro Max")</f>
        <v>Battery, iPhone 14 Pro Max</v>
      </c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</row>
    <row r="5848">
      <c r="A5848" s="10" t="str">
        <f t="shared" si="1"/>
        <v>June</v>
      </c>
      <c r="B5848" s="11">
        <f>IFERROR(__xludf.DUMMYFUNCTION("""COMPUTED_VALUE"""),46191.0)</f>
        <v>46191</v>
      </c>
      <c r="C5848" s="2" t="str">
        <f>IFERROR(__xludf.DUMMYFUNCTION("""COMPUTED_VALUE"""),"MOBILECARE - NAGA")</f>
        <v>MOBILECARE - NAGA</v>
      </c>
      <c r="D5848" s="2" t="str">
        <f>IFERROR(__xludf.DUMMYFUNCTION("""COMPUTED_VALUE"""),"661-21991")</f>
        <v>661-21991</v>
      </c>
      <c r="E5848" s="2" t="str">
        <f>IFERROR(__xludf.DUMMYFUNCTION("""COMPUTED_VALUE"""),"Battery, iPhone 13")</f>
        <v>Battery, iPhone 13</v>
      </c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</row>
    <row r="5849">
      <c r="A5849" s="10" t="str">
        <f t="shared" si="1"/>
        <v>April</v>
      </c>
      <c r="B5849" s="11">
        <f>IFERROR(__xludf.DUMMYFUNCTION("""COMPUTED_VALUE"""),46120.0)</f>
        <v>46120</v>
      </c>
      <c r="C5849" s="2" t="str">
        <f>IFERROR(__xludf.DUMMYFUNCTION("""COMPUTED_VALUE"""),"MOBILECARE - NAGA")</f>
        <v>MOBILECARE - NAGA</v>
      </c>
      <c r="D5849" s="2" t="str">
        <f>IFERROR(__xludf.DUMMYFUNCTION("""COMPUTED_VALUE"""),"661-21988")</f>
        <v>661-21988</v>
      </c>
      <c r="E5849" s="2" t="str">
        <f>IFERROR(__xludf.DUMMYFUNCTION("""COMPUTED_VALUE"""),"Display, iPhone 13")</f>
        <v>Display, iPhone 13</v>
      </c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</row>
    <row r="5850">
      <c r="A5850" s="10" t="str">
        <f t="shared" si="1"/>
        <v>April</v>
      </c>
      <c r="B5850" s="11">
        <f>IFERROR(__xludf.DUMMYFUNCTION("""COMPUTED_VALUE"""),46124.0)</f>
        <v>46124</v>
      </c>
      <c r="C5850" s="2" t="str">
        <f>IFERROR(__xludf.DUMMYFUNCTION("""COMPUTED_VALUE"""),"MOBILECARE - NAGA")</f>
        <v>MOBILECARE - NAGA</v>
      </c>
      <c r="D5850" s="2" t="str">
        <f>IFERROR(__xludf.DUMMYFUNCTION("""COMPUTED_VALUE"""),"661-21988")</f>
        <v>661-21988</v>
      </c>
      <c r="E5850" s="2" t="str">
        <f>IFERROR(__xludf.DUMMYFUNCTION("""COMPUTED_VALUE"""),"Display, iPhone 13")</f>
        <v>Display, iPhone 13</v>
      </c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</row>
    <row r="5851">
      <c r="A5851" s="10" t="str">
        <f t="shared" si="1"/>
        <v>March</v>
      </c>
      <c r="B5851" s="11">
        <f>IFERROR(__xludf.DUMMYFUNCTION("""COMPUTED_VALUE"""),46097.0)</f>
        <v>46097</v>
      </c>
      <c r="C5851" s="2" t="str">
        <f>IFERROR(__xludf.DUMMYFUNCTION("""COMPUTED_VALUE"""),"MOBILECARE - NAGA")</f>
        <v>MOBILECARE - NAGA</v>
      </c>
      <c r="D5851" s="2" t="str">
        <f>IFERROR(__xludf.DUMMYFUNCTION("""COMPUTED_VALUE"""),"PP661-23454")</f>
        <v>PP661-23454</v>
      </c>
      <c r="E5851" s="2" t="str">
        <f>IFERROR(__xludf.DUMMYFUNCTION("""COMPUTED_VALUE"""),"iPhone 13, Midnight, 128GB, Logic Board Assy Rear System, ROW")</f>
        <v>iPhone 13, Midnight, 128GB, Logic Board Assy Rear System, ROW</v>
      </c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</row>
    <row r="5852">
      <c r="A5852" s="10" t="str">
        <f t="shared" si="1"/>
        <v>April</v>
      </c>
      <c r="B5852" s="11">
        <f>IFERROR(__xludf.DUMMYFUNCTION("""COMPUTED_VALUE"""),46139.0)</f>
        <v>46139</v>
      </c>
      <c r="C5852" s="2" t="str">
        <f>IFERROR(__xludf.DUMMYFUNCTION("""COMPUTED_VALUE"""),"MOBILECARE - NAGA")</f>
        <v>MOBILECARE - NAGA</v>
      </c>
      <c r="D5852" s="2" t="str">
        <f>IFERROR(__xludf.DUMMYFUNCTION("""COMPUTED_VALUE"""),"661-44796")</f>
        <v>661-44796</v>
      </c>
      <c r="E5852" s="2" t="str">
        <f>IFERROR(__xludf.DUMMYFUNCTION("""COMPUTED_VALUE"""),"Battery, iPhone 16")</f>
        <v>Battery, iPhone 16</v>
      </c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</row>
    <row r="5853">
      <c r="A5853" s="10" t="str">
        <f t="shared" si="1"/>
        <v>April</v>
      </c>
      <c r="B5853" s="11">
        <f>IFERROR(__xludf.DUMMYFUNCTION("""COMPUTED_VALUE"""),46142.0)</f>
        <v>46142</v>
      </c>
      <c r="C5853" s="2" t="str">
        <f>IFERROR(__xludf.DUMMYFUNCTION("""COMPUTED_VALUE"""),"MOBILECARE - NAGA")</f>
        <v>MOBILECARE - NAGA</v>
      </c>
      <c r="D5853" s="2" t="str">
        <f>IFERROR(__xludf.DUMMYFUNCTION("""COMPUTED_VALUE"""),"PP661-23455")</f>
        <v>PP661-23455</v>
      </c>
      <c r="E5853" s="2" t="str">
        <f>IFERROR(__xludf.DUMMYFUNCTION("""COMPUTED_VALUE"""),"iPhone 13, Starlight, 128GB, Logic Board Assy Rear System, ROW")</f>
        <v>iPhone 13, Starlight, 128GB, Logic Board Assy Rear System, ROW</v>
      </c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</row>
    <row r="5854">
      <c r="A5854" s="10" t="str">
        <f t="shared" si="1"/>
        <v>March</v>
      </c>
      <c r="B5854" s="11">
        <f>IFERROR(__xludf.DUMMYFUNCTION("""COMPUTED_VALUE"""),46109.0)</f>
        <v>46109</v>
      </c>
      <c r="C5854" s="2" t="str">
        <f>IFERROR(__xludf.DUMMYFUNCTION("""COMPUTED_VALUE"""),"MOBILECARE - NAGA")</f>
        <v>MOBILECARE - NAGA</v>
      </c>
      <c r="D5854" s="2" t="str">
        <f>IFERROR(__xludf.DUMMYFUNCTION("""COMPUTED_VALUE"""),"661-49431")</f>
        <v>661-49431</v>
      </c>
      <c r="E5854" s="2" t="str">
        <f>IFERROR(__xludf.DUMMYFUNCTION("""COMPUTED_VALUE"""),"Display, iPhone 16e")</f>
        <v>Display, iPhone 16e</v>
      </c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</row>
    <row r="5855">
      <c r="A5855" s="10" t="str">
        <f t="shared" si="1"/>
        <v>April</v>
      </c>
      <c r="B5855" s="11">
        <f>IFERROR(__xludf.DUMMYFUNCTION("""COMPUTED_VALUE"""),46117.0)</f>
        <v>46117</v>
      </c>
      <c r="C5855" s="2" t="str">
        <f>IFERROR(__xludf.DUMMYFUNCTION("""COMPUTED_VALUE"""),"MOBILECARE - NAGA")</f>
        <v>MOBILECARE - NAGA</v>
      </c>
      <c r="D5855" s="2" t="str">
        <f>IFERROR(__xludf.DUMMYFUNCTION("""COMPUTED_VALUE"""),"PP661-28871")</f>
        <v>PP661-28871</v>
      </c>
      <c r="E5855" s="2" t="str">
        <f>IFERROR(__xludf.DUMMYFUNCTION("""COMPUTED_VALUE"""),"iPhone 14, Blue, 128GB, Logic Board Assy Mid System, ROW")</f>
        <v>iPhone 14, Blue, 128GB, Logic Board Assy Mid System, ROW</v>
      </c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</row>
    <row r="5856">
      <c r="A5856" s="10" t="str">
        <f t="shared" si="1"/>
        <v>February</v>
      </c>
      <c r="B5856" s="11">
        <f>IFERROR(__xludf.DUMMYFUNCTION("""COMPUTED_VALUE"""),46063.0)</f>
        <v>46063</v>
      </c>
      <c r="C5856" s="2" t="str">
        <f>IFERROR(__xludf.DUMMYFUNCTION("""COMPUTED_VALUE"""),"MOBILECARE - NAGA")</f>
        <v>MOBILECARE - NAGA</v>
      </c>
      <c r="D5856" s="2" t="str">
        <f>IFERROR(__xludf.DUMMYFUNCTION("""COMPUTED_VALUE"""),"PP661-23454")</f>
        <v>PP661-23454</v>
      </c>
      <c r="E5856" s="2" t="str">
        <f>IFERROR(__xludf.DUMMYFUNCTION("""COMPUTED_VALUE"""),"iPhone 13, Midnight, 128GB, Logic Board Assy Rear System, ROW")</f>
        <v>iPhone 13, Midnight, 128GB, Logic Board Assy Rear System, ROW</v>
      </c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</row>
    <row r="5857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</row>
    <row r="5858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</row>
    <row r="5859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</row>
    <row r="5860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</row>
    <row r="5861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</row>
    <row r="5862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</row>
    <row r="5863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</row>
    <row r="5864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</row>
    <row r="5865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</row>
    <row r="5866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</row>
    <row r="5867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</row>
    <row r="5868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</row>
    <row r="5869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</row>
    <row r="5870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</row>
    <row r="5871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</row>
    <row r="5872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</row>
    <row r="5873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</row>
    <row r="5874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</row>
    <row r="5875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</row>
    <row r="5876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</row>
    <row r="5877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</row>
    <row r="5878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</row>
    <row r="5879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</row>
    <row r="5880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</row>
    <row r="5881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</row>
    <row r="5882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</row>
    <row r="5883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</row>
    <row r="5884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</row>
    <row r="5885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</row>
    <row r="5886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</row>
    <row r="5887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</row>
    <row r="5888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</row>
    <row r="5889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</row>
    <row r="5890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</row>
    <row r="5891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</row>
    <row r="5892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</row>
    <row r="5893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</row>
    <row r="5894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</row>
    <row r="5895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</row>
    <row r="5896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</row>
    <row r="5897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</row>
    <row r="5898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</row>
    <row r="5899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</row>
    <row r="5900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</row>
    <row r="5901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</row>
    <row r="5902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</row>
    <row r="5903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</row>
    <row r="5904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</row>
    <row r="5905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</row>
    <row r="5906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</row>
    <row r="5907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</row>
    <row r="5908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</row>
    <row r="5909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</row>
    <row r="5910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</row>
    <row r="5911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</row>
    <row r="5912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</row>
    <row r="5913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</row>
    <row r="5914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</row>
    <row r="5915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</row>
    <row r="5916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</row>
    <row r="5917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</row>
    <row r="5918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</row>
    <row r="5919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</row>
    <row r="5920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</row>
    <row r="5921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</row>
    <row r="5922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</row>
    <row r="5923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</row>
    <row r="5924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</row>
    <row r="5925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</row>
    <row r="5926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</row>
    <row r="5927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</row>
    <row r="5928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</row>
    <row r="5929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</row>
    <row r="5930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</row>
    <row r="5931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</row>
    <row r="5932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</row>
    <row r="5933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</row>
    <row r="5934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</row>
    <row r="5935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</row>
    <row r="5936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</row>
    <row r="5937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</row>
    <row r="5938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</row>
    <row r="5939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</row>
    <row r="5940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</row>
    <row r="5941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</row>
    <row r="5942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</row>
    <row r="5943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</row>
    <row r="5944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</row>
    <row r="5945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</row>
    <row r="5946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</row>
    <row r="5947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</row>
    <row r="5948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</row>
    <row r="5949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</row>
    <row r="5950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</row>
    <row r="5951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</row>
    <row r="5952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</row>
    <row r="5953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</row>
    <row r="5954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</row>
    <row r="5955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</row>
    <row r="5956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</row>
    <row r="5957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</row>
    <row r="5958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</row>
    <row r="5959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</row>
    <row r="5960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</row>
    <row r="5961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</row>
    <row r="5962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</row>
    <row r="5963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</row>
    <row r="5964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</row>
    <row r="5965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</row>
    <row r="5966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</row>
    <row r="5967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</row>
    <row r="5968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</row>
    <row r="5969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</row>
    <row r="5970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</row>
    <row r="5971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</row>
    <row r="5972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</row>
    <row r="5973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</row>
    <row r="5974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</row>
    <row r="5975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</row>
    <row r="5976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</row>
    <row r="5977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</row>
    <row r="5978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</row>
    <row r="5979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</row>
    <row r="5980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</row>
    <row r="5981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</row>
    <row r="5982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</row>
    <row r="5983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</row>
    <row r="5984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</row>
    <row r="5985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</row>
    <row r="5986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</row>
    <row r="5987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</row>
    <row r="5988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</row>
    <row r="5989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</row>
    <row r="5990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</row>
    <row r="5991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</row>
    <row r="5992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</row>
    <row r="5993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</row>
    <row r="5994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</row>
    <row r="5995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</row>
    <row r="5996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</row>
    <row r="5997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</row>
    <row r="5998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</row>
    <row r="5999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</row>
    <row r="6000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</row>
    <row r="6001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</row>
    <row r="6002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</row>
    <row r="6003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</row>
    <row r="6004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</row>
    <row r="6005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</row>
    <row r="6006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</row>
    <row r="6007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</row>
    <row r="6008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</row>
    <row r="6009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</row>
    <row r="6010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</row>
    <row r="6011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</row>
    <row r="6012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</row>
    <row r="6013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</row>
    <row r="6014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</row>
    <row r="6015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</row>
    <row r="6016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</row>
    <row r="6017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</row>
    <row r="6018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</row>
    <row r="6019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</row>
    <row r="6020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</row>
    <row r="6021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</row>
    <row r="6022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</row>
    <row r="6023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</row>
    <row r="6024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</row>
    <row r="6025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</row>
    <row r="6026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</row>
    <row r="6027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</row>
    <row r="6028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</row>
    <row r="6029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</row>
    <row r="6030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</row>
    <row r="6031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</row>
    <row r="6032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</row>
    <row r="6033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</row>
    <row r="6034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</row>
    <row r="6035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</row>
    <row r="6036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</row>
    <row r="6037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</row>
    <row r="6038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</row>
    <row r="6039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</row>
    <row r="6040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</row>
    <row r="6041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</row>
    <row r="6042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</row>
    <row r="6043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</row>
    <row r="6044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</row>
    <row r="6045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</row>
    <row r="6046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</row>
    <row r="6047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</row>
    <row r="6048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</row>
    <row r="6049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</row>
    <row r="6050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</row>
    <row r="6051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</row>
    <row r="6052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</row>
    <row r="6053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</row>
    <row r="6054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</row>
    <row r="6055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</row>
    <row r="6056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</row>
    <row r="6057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</row>
    <row r="6058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</row>
    <row r="6059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</row>
    <row r="6060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</row>
    <row r="6061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</row>
    <row r="6062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</row>
    <row r="6063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</row>
    <row r="6064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</row>
    <row r="6065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</row>
    <row r="6066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</row>
    <row r="6067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</row>
    <row r="6068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</row>
    <row r="6069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</row>
    <row r="6070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</row>
    <row r="6071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</row>
    <row r="6072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</row>
    <row r="6073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</row>
    <row r="6074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</row>
    <row r="6075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</row>
    <row r="6076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</row>
    <row r="6077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</row>
    <row r="6078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</row>
    <row r="6079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</row>
    <row r="6080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</row>
    <row r="6081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</row>
    <row r="6082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</row>
    <row r="6083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</row>
    <row r="6084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</row>
    <row r="6085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</row>
    <row r="6086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</row>
    <row r="6087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</row>
    <row r="6088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</row>
    <row r="6089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</row>
    <row r="6090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</row>
    <row r="6091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</row>
    <row r="6092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</row>
    <row r="6093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</row>
    <row r="6094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</row>
    <row r="6095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</row>
    <row r="6096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</row>
    <row r="6097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</row>
    <row r="6098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</row>
    <row r="6099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</row>
    <row r="6100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</row>
    <row r="6101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</row>
    <row r="6102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</row>
    <row r="6103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</row>
    <row r="6104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</row>
    <row r="6105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</row>
    <row r="6106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</row>
    <row r="6107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</row>
    <row r="6108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</row>
    <row r="6109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</row>
    <row r="6110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</row>
    <row r="6111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</row>
    <row r="6112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</row>
    <row r="6113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</row>
    <row r="6114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</row>
    <row r="6115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</row>
    <row r="6116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</row>
    <row r="6117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</row>
    <row r="6118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</row>
    <row r="6119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</row>
    <row r="6120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</row>
    <row r="6121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</row>
    <row r="6122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</row>
    <row r="6123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</row>
    <row r="6124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</row>
    <row r="6125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</row>
    <row r="6126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</row>
    <row r="6127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</row>
    <row r="6128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</row>
    <row r="6129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</row>
    <row r="6130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</row>
    <row r="6131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</row>
    <row r="6132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</row>
    <row r="6133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</row>
    <row r="6134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</row>
    <row r="6135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</row>
    <row r="6136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</row>
    <row r="6137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</row>
    <row r="6138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</row>
    <row r="6139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</row>
    <row r="6140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</row>
    <row r="6141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</row>
    <row r="6142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</row>
    <row r="6143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</row>
    <row r="6144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</row>
    <row r="6145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</row>
    <row r="6146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</row>
    <row r="6147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</row>
    <row r="6148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</row>
    <row r="6149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</row>
    <row r="6150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</row>
    <row r="6151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</row>
    <row r="6152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</row>
    <row r="6153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</row>
    <row r="6154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</row>
    <row r="6155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</row>
    <row r="6156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</row>
    <row r="6157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</row>
    <row r="6158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</row>
    <row r="6159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</row>
    <row r="6160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</row>
    <row r="6161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</row>
    <row r="6162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</row>
    <row r="6163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</row>
    <row r="6164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</row>
    <row r="6165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</row>
    <row r="6166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</row>
    <row r="6167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</row>
    <row r="6168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</row>
    <row r="6169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</row>
    <row r="6170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</row>
    <row r="6171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</row>
    <row r="6172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</row>
    <row r="6173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</row>
    <row r="6174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</row>
    <row r="6175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</row>
    <row r="6176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</row>
    <row r="6177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</row>
    <row r="6178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</row>
    <row r="6179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</row>
    <row r="6180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</row>
    <row r="6181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</row>
    <row r="6182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</row>
    <row r="6183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</row>
    <row r="6184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</row>
    <row r="6185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</row>
    <row r="6186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</row>
    <row r="6187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</row>
    <row r="6188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</row>
    <row r="6189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</row>
    <row r="6190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</row>
    <row r="6191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</row>
    <row r="6192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</row>
    <row r="6193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</row>
    <row r="6194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</row>
    <row r="6195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</row>
    <row r="6196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</row>
    <row r="6197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</row>
    <row r="6198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</row>
    <row r="6199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</row>
    <row r="6200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</row>
    <row r="6201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</row>
    <row r="6202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</row>
    <row r="6203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</row>
    <row r="6204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</row>
    <row r="6205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</row>
    <row r="6206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</row>
    <row r="6207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</row>
    <row r="6208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</row>
    <row r="6209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</row>
    <row r="6210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</row>
    <row r="6211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</row>
    <row r="6212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</row>
    <row r="6213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</row>
    <row r="6214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</row>
    <row r="6215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</row>
    <row r="6216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</row>
    <row r="6217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</row>
    <row r="6218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</row>
    <row r="6219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</row>
    <row r="6220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</row>
    <row r="6221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</row>
    <row r="6222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</row>
    <row r="6223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</row>
    <row r="6224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</row>
    <row r="6225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</row>
    <row r="6226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</row>
    <row r="6227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</row>
    <row r="6228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</row>
    <row r="6229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</row>
    <row r="6230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</row>
    <row r="6231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</row>
    <row r="6232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</row>
    <row r="6233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</row>
    <row r="6234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</row>
    <row r="6235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</row>
    <row r="6236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</row>
    <row r="6237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</row>
    <row r="6238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</row>
    <row r="6239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</row>
    <row r="6240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</row>
    <row r="6241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</row>
    <row r="6242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</row>
    <row r="6243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</row>
    <row r="6244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</row>
    <row r="6245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</row>
    <row r="6246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</row>
    <row r="6247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</row>
    <row r="6248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</row>
    <row r="6249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</row>
    <row r="6250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</row>
    <row r="6251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</row>
    <row r="6252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</row>
    <row r="6253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</row>
    <row r="6254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</row>
    <row r="6255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</row>
    <row r="6256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</row>
    <row r="6257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</row>
    <row r="6258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</row>
    <row r="6259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</row>
    <row r="6260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</row>
    <row r="6261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</row>
    <row r="6262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</row>
    <row r="6263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</row>
    <row r="6264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</row>
    <row r="6265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</row>
    <row r="6266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</row>
    <row r="6267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</row>
    <row r="6268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</row>
    <row r="6269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</row>
    <row r="6270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</row>
    <row r="6271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</row>
    <row r="6272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</row>
    <row r="6273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</row>
    <row r="6274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</row>
    <row r="6275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</row>
    <row r="6276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</row>
    <row r="6277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</row>
    <row r="6278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</row>
    <row r="6279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</row>
    <row r="6280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</row>
    <row r="6281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</row>
    <row r="6282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</row>
    <row r="6283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</row>
    <row r="6284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</row>
    <row r="6285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</row>
    <row r="6286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</row>
    <row r="6287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</row>
    <row r="6288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</row>
    <row r="6289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</row>
    <row r="6290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</row>
    <row r="6291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</row>
    <row r="6292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</row>
    <row r="6293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</row>
    <row r="6294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</row>
    <row r="6295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</row>
    <row r="6296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</row>
    <row r="6297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</row>
    <row r="6298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</row>
    <row r="6299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</row>
    <row r="6300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</row>
    <row r="6301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</row>
    <row r="6302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</row>
    <row r="6303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</row>
    <row r="6304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</row>
    <row r="6305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</row>
    <row r="6306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</row>
    <row r="6307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</row>
    <row r="6308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</row>
    <row r="6309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</row>
    <row r="6310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</row>
    <row r="6311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</row>
    <row r="6312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</row>
    <row r="6313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</row>
    <row r="6314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</row>
    <row r="6315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</row>
    <row r="6316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</row>
    <row r="6317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</row>
    <row r="6318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</row>
    <row r="6319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</row>
    <row r="6320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</row>
    <row r="6321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</row>
    <row r="6322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</row>
    <row r="6323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</row>
    <row r="6324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</row>
    <row r="6325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</row>
    <row r="6326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</row>
    <row r="6327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</row>
    <row r="6328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</row>
    <row r="6329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</row>
    <row r="6330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</row>
    <row r="6331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</row>
    <row r="6332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</row>
    <row r="6333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</row>
    <row r="6334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</row>
    <row r="6335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</row>
    <row r="6336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</row>
    <row r="6337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</row>
    <row r="6338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</row>
    <row r="6339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</row>
    <row r="6340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</row>
    <row r="6341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</row>
    <row r="6342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</row>
    <row r="6343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</row>
    <row r="6344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</row>
    <row r="6345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</row>
    <row r="6346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</row>
    <row r="6347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</row>
    <row r="6348">
      <c r="A6348" s="2"/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</row>
    <row r="6349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</row>
    <row r="6350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</row>
    <row r="6351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</row>
    <row r="6352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</row>
    <row r="6353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</row>
    <row r="6354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</row>
    <row r="6355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</row>
    <row r="6356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</row>
  </sheetData>
  <mergeCells count="1">
    <mergeCell ref="A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8.0"/>
    <col customWidth="1" min="2" max="2" width="15.38"/>
    <col customWidth="1" min="3" max="3" width="34.13"/>
    <col customWidth="1" min="4" max="4" width="11.25"/>
    <col customWidth="1" min="5" max="5" width="58.75"/>
    <col customWidth="1" min="7" max="7" width="11.25"/>
    <col customWidth="1" min="8" max="8" width="58.75"/>
    <col customWidth="1" min="9" max="9" width="12.75"/>
    <col customWidth="1" min="10" max="10" width="12.63"/>
    <col customWidth="1" min="11" max="11" width="34.13"/>
    <col customWidth="1" min="12" max="12" width="12.75"/>
    <col customWidth="1" min="13" max="13" width="14.63"/>
    <col customWidth="1" min="15" max="15" width="11.25"/>
    <col customWidth="1" min="16" max="16" width="58.25"/>
    <col customWidth="1" min="17" max="17" width="7.75"/>
    <col customWidth="1" min="18" max="18" width="106.38"/>
    <col customWidth="1" min="20" max="20" width="11.25"/>
    <col customWidth="1" min="21" max="21" width="50.88"/>
    <col customWidth="1" min="22" max="22" width="7.75"/>
    <col customWidth="1" min="23" max="23" width="97.0"/>
    <col customWidth="1" min="25" max="25" width="13.25"/>
    <col customWidth="1" min="26" max="26" width="50.38"/>
    <col customWidth="1" min="27" max="27" width="7.5"/>
  </cols>
  <sheetData>
    <row r="1">
      <c r="A1" s="12" t="s">
        <v>0</v>
      </c>
      <c r="F1" s="3"/>
      <c r="G1" s="16" t="s">
        <v>850</v>
      </c>
      <c r="K1" s="16" t="s">
        <v>856</v>
      </c>
      <c r="O1" s="17"/>
      <c r="P1" s="17" t="s">
        <v>860</v>
      </c>
      <c r="R1" s="8"/>
      <c r="S1" s="8"/>
      <c r="T1" s="17"/>
      <c r="U1" s="17" t="s">
        <v>865</v>
      </c>
      <c r="W1" s="8"/>
      <c r="X1" s="8"/>
      <c r="Y1" s="17"/>
      <c r="Z1" s="17" t="s">
        <v>867</v>
      </c>
      <c r="AB1" s="2"/>
      <c r="AC1" s="2"/>
      <c r="AD1" s="2"/>
      <c r="AE1" s="2"/>
      <c r="AF1" s="2"/>
      <c r="AG1" s="2"/>
      <c r="AH1" s="2"/>
      <c r="AI1" s="2"/>
      <c r="AJ1" s="2"/>
      <c r="AK1" s="2"/>
    </row>
    <row r="2">
      <c r="A2" s="5" t="s">
        <v>3</v>
      </c>
      <c r="B2" s="6" t="s">
        <v>8</v>
      </c>
      <c r="C2" s="6" t="s">
        <v>13</v>
      </c>
      <c r="D2" s="6" t="s">
        <v>23</v>
      </c>
      <c r="E2" s="6" t="s">
        <v>24</v>
      </c>
      <c r="F2" s="3"/>
      <c r="G2" s="18" t="s">
        <v>23</v>
      </c>
      <c r="H2" s="15" t="s">
        <v>879</v>
      </c>
      <c r="I2" s="15" t="s">
        <v>881</v>
      </c>
      <c r="K2" s="15" t="s">
        <v>13</v>
      </c>
      <c r="L2" s="15" t="s">
        <v>881</v>
      </c>
      <c r="O2" s="19" t="s">
        <v>889</v>
      </c>
      <c r="P2" s="20" t="s">
        <v>892</v>
      </c>
      <c r="Q2" s="21" t="s">
        <v>328</v>
      </c>
      <c r="R2" s="8"/>
      <c r="S2" s="8"/>
      <c r="T2" s="19" t="s">
        <v>889</v>
      </c>
      <c r="U2" s="20" t="s">
        <v>892</v>
      </c>
      <c r="V2" s="21" t="s">
        <v>328</v>
      </c>
      <c r="W2" s="8"/>
      <c r="X2" s="8"/>
      <c r="Y2" s="19" t="s">
        <v>889</v>
      </c>
      <c r="Z2" s="20" t="s">
        <v>892</v>
      </c>
      <c r="AA2" s="21" t="s">
        <v>328</v>
      </c>
      <c r="AB2" s="2"/>
      <c r="AC2" s="2"/>
      <c r="AD2" s="2"/>
      <c r="AE2" s="2"/>
      <c r="AF2" s="2"/>
      <c r="AG2" s="2"/>
      <c r="AH2" s="2"/>
      <c r="AI2" s="2"/>
      <c r="AJ2" s="2"/>
      <c r="AK2" s="2"/>
    </row>
    <row r="3">
      <c r="A3" s="3" t="str">
        <f t="shared" ref="A3:A761" si="1">TEXT(B3:B1000,"MMMM")</f>
        <v>January</v>
      </c>
      <c r="B3" s="10">
        <f>IFERROR(__xludf.DUMMYFUNCTION("IFERROR(CHOOSECOLS(FILTER(Masterlist!A3:J1000, ISNUMBER(SEARCH(""IPHONE"", Masterlist!H3:H1000)), (ISNUMBER(SEARCH(""Rear System"", Masterlist!H3:H1000)) + ISNUMBER(SEARCH(""Mid System"", Masterlist!H3:H1000)) + ISNUMBER(SEARCH(""Back Glass"", Masterlist!"&amp;"H3:H1000))) &gt; 0), 6, 2, 7, 8), ""No iPhones Found"")"),46041.0)</f>
        <v>46041</v>
      </c>
      <c r="C3" s="3" t="str">
        <f>IFERROR(__xludf.DUMMYFUNCTION("""COMPUTED_VALUE"""),"MOBILECARE - GLORIETTA 5")</f>
        <v>MOBILECARE - GLORIETTA 5</v>
      </c>
      <c r="D3" s="3" t="str">
        <f>IFERROR(__xludf.DUMMYFUNCTION("""COMPUTED_VALUE"""),"661-36913")</f>
        <v>661-36913</v>
      </c>
      <c r="E3" s="3" t="str">
        <f>IFERROR(__xludf.DUMMYFUNCTION("""COMPUTED_VALUE"""),"Natural Titanium, Millimeter Wave, Back Glass, iPhone 15 Pro Max")</f>
        <v>Natural Titanium, Millimeter Wave, Back Glass, iPhone 15 Pro Max</v>
      </c>
      <c r="F3" s="3"/>
      <c r="G3" s="22" t="str">
        <f>IFERROR(__xludf.DUMMYFUNCTION("LET(
  pairs, FILTER(HSTACK(D3:D1000, E3:E1000), E3:E1000&lt;&gt;""""), 
  unique_pairs, UNIQUE(pairs), 
  counts, BYROW(unique_pairs, LAMBDA(r, COUNTIFS(D3:D1000, INDEX(r,1,1), E3:E1000, INDEX(r,1,2)))), 
  SORT(HSTACK(unique_pairs, counts), 3, FALSE)
)"),"PP661-23455")</f>
        <v>PP661-23455</v>
      </c>
      <c r="H3" s="3" t="str">
        <f>IFERROR(__xludf.DUMMYFUNCTION("""COMPUTED_VALUE"""),"iPhone 13, Starlight, 128GB, Logic Board Assy Rear System, ROW")</f>
        <v>iPhone 13, Starlight, 128GB, Logic Board Assy Rear System, ROW</v>
      </c>
      <c r="I3" s="3">
        <f>IFERROR(__xludf.DUMMYFUNCTION("""COMPUTED_VALUE"""),212.0)</f>
        <v>212</v>
      </c>
      <c r="K3" s="3" t="str">
        <f>IFERROR(__xludf.DUMMYFUNCTION("LET(
  sites, UNIQUE(FILTER(C3:C1000, C3:C1000&lt;&gt;"""")), 
  counts, MAP(sites, LAMBDA(s, COUNTIF(C3:C1000, s))), 
  SORT(HSTACK(sites, counts), 2, FALSE)
)"),"MOBILECARE - NEWPOINT MALL")</f>
        <v>MOBILECARE - NEWPOINT MALL</v>
      </c>
      <c r="L3" s="3">
        <f>IFERROR(__xludf.DUMMYFUNCTION("""COMPUTED_VALUE"""),130.0)</f>
        <v>130</v>
      </c>
      <c r="O3" s="3"/>
      <c r="P3" s="3" t="str">
        <f>IFERROR(__xludf.DUMMYFUNCTION("QUERY('Systems&amp;BackGlass'!A3:E1000, 
  ""SELECT C, COUNT(C) 
   WHERE lower(E) CONTAINS 'mid system' "" &amp; 
   IF(O2=""All"", """", ""AND lower(A) = '"" &amp; LOWER(TRIM(O2)) &amp; ""' "") &amp; 
  ""GROUP BY C 
   ORDER BY COUNT(C) DESC 
   LABEL COUNT(C) ''"", 
0)"),"MOBILECARE - NEWPOINT MALL")</f>
        <v>MOBILECARE - NEWPOINT MALL</v>
      </c>
      <c r="Q3" s="3">
        <f>IFERROR(__xludf.DUMMYFUNCTION("""COMPUTED_VALUE"""),70.0)</f>
        <v>70</v>
      </c>
      <c r="R3" s="8"/>
      <c r="S3" s="8"/>
      <c r="T3" s="3"/>
      <c r="U3" s="3" t="str">
        <f>IFERROR(__xludf.DUMMYFUNCTION("QUERY('Systems&amp;BackGlass'!A3:E1000, 
  ""SELECT C, COUNT(C) 
   WHERE lower(E) CONTAINS 'rear system' "" &amp; 
   IF(T2=""All"", """", ""AND lower(A) = '"" &amp; LOWER(TRIM(T2)) &amp; ""' "") &amp; 
  ""GROUP BY C 
   ORDER BY COUNT(C) DESC 
   LABEL COUNT(C) ''"", 
0)"),"MOBILECARE - FESTIVE WALK ILOILO")</f>
        <v>MOBILECARE - FESTIVE WALK ILOILO</v>
      </c>
      <c r="V3" s="3">
        <f>IFERROR(__xludf.DUMMYFUNCTION("""COMPUTED_VALUE"""),73.0)</f>
        <v>73</v>
      </c>
      <c r="W3" s="8"/>
      <c r="X3" s="8"/>
      <c r="Y3" s="3"/>
      <c r="Z3" s="3" t="str">
        <f>IFERROR(__xludf.DUMMYFUNCTION("QUERY('Systems&amp;BackGlass'!A3:E1000, 
  ""SELECT C, COUNT(C) 
   WHERE lower(E) CONTAINS 'back glass' "" &amp; 
   IF(Y2=""All"", """", ""AND lower(A) = '"" &amp; LOWER(TRIM(Y2)) &amp; ""' "") &amp; 
  ""GROUP BY C 
   ORDER BY COUNT(C) DESC 
   LABEL COUNT(C) ''"", 
0)"),"MOBILECARE - LIMA ESTATE")</f>
        <v>MOBILECARE - LIMA ESTATE</v>
      </c>
      <c r="AA3" s="3">
        <f>IFERROR(__xludf.DUMMYFUNCTION("""COMPUTED_VALUE"""),7.0)</f>
        <v>7</v>
      </c>
      <c r="AB3" s="2"/>
      <c r="AC3" s="2"/>
      <c r="AD3" s="2"/>
      <c r="AE3" s="2"/>
      <c r="AF3" s="2"/>
      <c r="AG3" s="2"/>
      <c r="AH3" s="2"/>
      <c r="AI3" s="2"/>
      <c r="AJ3" s="2"/>
      <c r="AK3" s="2"/>
    </row>
    <row r="4">
      <c r="A4" s="3" t="str">
        <f t="shared" si="1"/>
        <v>May</v>
      </c>
      <c r="B4" s="11">
        <f>IFERROR(__xludf.DUMMYFUNCTION("""COMPUTED_VALUE"""),46158.0)</f>
        <v>46158</v>
      </c>
      <c r="C4" s="2" t="str">
        <f>IFERROR(__xludf.DUMMYFUNCTION("""COMPUTED_VALUE"""),"MOBILECARE - DAVAO")</f>
        <v>MOBILECARE - DAVAO</v>
      </c>
      <c r="D4" s="2" t="str">
        <f>IFERROR(__xludf.DUMMYFUNCTION("""COMPUTED_VALUE"""),"TA661-36693")</f>
        <v>TA661-36693</v>
      </c>
      <c r="E4" s="2" t="str">
        <f>IFERROR(__xludf.DUMMYFUNCTION("""COMPUTED_VALUE"""),"iPhone 15, Yellow, 128GB, Logic Board Assy Mid System, ROW")</f>
        <v>iPhone 15, Yellow, 128GB, Logic Board Assy Mid System, ROW</v>
      </c>
      <c r="F4" s="2"/>
      <c r="G4" s="22" t="str">
        <f>IFERROR(__xludf.DUMMYFUNCTION("""COMPUTED_VALUE"""),"PP661-23454")</f>
        <v>PP661-23454</v>
      </c>
      <c r="H4" s="2" t="str">
        <f>IFERROR(__xludf.DUMMYFUNCTION("""COMPUTED_VALUE"""),"iPhone 13, Midnight, 128GB, Logic Board Assy Rear System, ROW")</f>
        <v>iPhone 13, Midnight, 128GB, Logic Board Assy Rear System, ROW</v>
      </c>
      <c r="I4" s="2">
        <f>IFERROR(__xludf.DUMMYFUNCTION("""COMPUTED_VALUE"""),149.0)</f>
        <v>149</v>
      </c>
      <c r="K4" s="2" t="str">
        <f>IFERROR(__xludf.DUMMYFUNCTION("""COMPUTED_VALUE"""),"MOBILECARE - DAVAO")</f>
        <v>MOBILECARE - DAVAO</v>
      </c>
      <c r="L4" s="2">
        <f>IFERROR(__xludf.DUMMYFUNCTION("""COMPUTED_VALUE"""),122.0)</f>
        <v>122</v>
      </c>
      <c r="O4" s="2"/>
      <c r="P4" s="2" t="str">
        <f>IFERROR(__xludf.DUMMYFUNCTION("""COMPUTED_VALUE"""),"MOBILECARE - DAVAO")</f>
        <v>MOBILECARE - DAVAO</v>
      </c>
      <c r="Q4" s="2">
        <f>IFERROR(__xludf.DUMMYFUNCTION("""COMPUTED_VALUE"""),51.0)</f>
        <v>51</v>
      </c>
      <c r="R4" s="2"/>
      <c r="S4" s="2"/>
      <c r="T4" s="2"/>
      <c r="U4" s="2" t="str">
        <f>IFERROR(__xludf.DUMMYFUNCTION("""COMPUTED_VALUE"""),"MOBILECARE - DAVAO")</f>
        <v>MOBILECARE - DAVAO</v>
      </c>
      <c r="V4" s="2">
        <f>IFERROR(__xludf.DUMMYFUNCTION("""COMPUTED_VALUE"""),67.0)</f>
        <v>67</v>
      </c>
      <c r="W4" s="2"/>
      <c r="X4" s="2"/>
      <c r="Y4" s="2"/>
      <c r="Z4" s="2" t="str">
        <f>IFERROR(__xludf.DUMMYFUNCTION("""COMPUTED_VALUE"""),"MOBILECARE - GLORIETTA 5")</f>
        <v>MOBILECARE - GLORIETTA 5</v>
      </c>
      <c r="AA4" s="2">
        <f>IFERROR(__xludf.DUMMYFUNCTION("""COMPUTED_VALUE"""),6.0)</f>
        <v>6</v>
      </c>
      <c r="AB4" s="2"/>
      <c r="AC4" s="2"/>
      <c r="AD4" s="2"/>
      <c r="AE4" s="2"/>
      <c r="AF4" s="2"/>
      <c r="AG4" s="2"/>
      <c r="AH4" s="2"/>
      <c r="AI4" s="2"/>
      <c r="AJ4" s="2"/>
      <c r="AK4" s="2"/>
    </row>
    <row r="5">
      <c r="A5" s="3" t="str">
        <f t="shared" si="1"/>
        <v>January</v>
      </c>
      <c r="B5" s="11">
        <f>IFERROR(__xludf.DUMMYFUNCTION("""COMPUTED_VALUE"""),46053.0)</f>
        <v>46053</v>
      </c>
      <c r="C5" s="2" t="str">
        <f>IFERROR(__xludf.DUMMYFUNCTION("""COMPUTED_VALUE"""),"MOBILECARE - DAVAO")</f>
        <v>MOBILECARE - DAVAO</v>
      </c>
      <c r="D5" s="2" t="str">
        <f>IFERROR(__xludf.DUMMYFUNCTION("""COMPUTED_VALUE"""),"TA661-43605")</f>
        <v>TA661-43605</v>
      </c>
      <c r="E5" s="2" t="str">
        <f>IFERROR(__xludf.DUMMYFUNCTION("""COMPUTED_VALUE"""),"128GB, Black, ROW, iPhone 16, Logic Board Assy Mid System")</f>
        <v>128GB, Black, ROW, iPhone 16, Logic Board Assy Mid System</v>
      </c>
      <c r="F5" s="2"/>
      <c r="G5" s="22" t="str">
        <f>IFERROR(__xludf.DUMMYFUNCTION("""COMPUTED_VALUE"""),"PP661-28868")</f>
        <v>PP661-28868</v>
      </c>
      <c r="H5" s="2" t="str">
        <f>IFERROR(__xludf.DUMMYFUNCTION("""COMPUTED_VALUE"""),"iPhone 14, Midnight, 128GB, Logic Board Assy Mid System, ROW")</f>
        <v>iPhone 14, Midnight, 128GB, Logic Board Assy Mid System, ROW</v>
      </c>
      <c r="I5" s="2">
        <f>IFERROR(__xludf.DUMMYFUNCTION("""COMPUTED_VALUE"""),39.0)</f>
        <v>39</v>
      </c>
      <c r="K5" s="2" t="str">
        <f>IFERROR(__xludf.DUMMYFUNCTION("""COMPUTED_VALUE"""),"MOBILECARE - FESTIVE WALK ILOILO")</f>
        <v>MOBILECARE - FESTIVE WALK ILOILO</v>
      </c>
      <c r="L5" s="2">
        <f>IFERROR(__xludf.DUMMYFUNCTION("""COMPUTED_VALUE"""),111.0)</f>
        <v>111</v>
      </c>
      <c r="O5" s="2"/>
      <c r="P5" s="2" t="str">
        <f>IFERROR(__xludf.DUMMYFUNCTION("""COMPUTED_VALUE"""),"MOBILECARE - LIMA ESTATE")</f>
        <v>MOBILECARE - LIMA ESTATE</v>
      </c>
      <c r="Q5" s="2">
        <f>IFERROR(__xludf.DUMMYFUNCTION("""COMPUTED_VALUE"""),46.0)</f>
        <v>46</v>
      </c>
      <c r="R5" s="2"/>
      <c r="S5" s="2"/>
      <c r="T5" s="2"/>
      <c r="U5" s="2" t="str">
        <f>IFERROR(__xludf.DUMMYFUNCTION("""COMPUTED_VALUE"""),"MOBILECARE - NEWPOINT MALL")</f>
        <v>MOBILECARE - NEWPOINT MALL</v>
      </c>
      <c r="V5" s="2">
        <f>IFERROR(__xludf.DUMMYFUNCTION("""COMPUTED_VALUE"""),55.0)</f>
        <v>55</v>
      </c>
      <c r="W5" s="2"/>
      <c r="X5" s="2"/>
      <c r="Y5" s="2"/>
      <c r="Z5" s="2" t="str">
        <f>IFERROR(__xludf.DUMMYFUNCTION("""COMPUTED_VALUE"""),"MOBILECARE - NEWPOINT MALL")</f>
        <v>MOBILECARE - NEWPOINT MALL</v>
      </c>
      <c r="AA5" s="2">
        <f>IFERROR(__xludf.DUMMYFUNCTION("""COMPUTED_VALUE"""),5.0)</f>
        <v>5</v>
      </c>
      <c r="AB5" s="2"/>
      <c r="AC5" s="2"/>
      <c r="AD5" s="2"/>
      <c r="AE5" s="2"/>
      <c r="AF5" s="2"/>
      <c r="AG5" s="2"/>
      <c r="AH5" s="2"/>
      <c r="AI5" s="2"/>
      <c r="AJ5" s="2"/>
      <c r="AK5" s="2"/>
    </row>
    <row r="6">
      <c r="A6" s="3" t="str">
        <f t="shared" si="1"/>
        <v>February</v>
      </c>
      <c r="B6" s="11">
        <f>IFERROR(__xludf.DUMMYFUNCTION("""COMPUTED_VALUE"""),46056.0)</f>
        <v>46056</v>
      </c>
      <c r="C6" s="2" t="str">
        <f>IFERROR(__xludf.DUMMYFUNCTION("""COMPUTED_VALUE"""),"MOBILECARE - DAVAO")</f>
        <v>MOBILECARE - DAVAO</v>
      </c>
      <c r="D6" s="2" t="str">
        <f>IFERROR(__xludf.DUMMYFUNCTION("""COMPUTED_VALUE"""),"PP661-23455")</f>
        <v>PP661-23455</v>
      </c>
      <c r="E6" s="2" t="str">
        <f>IFERROR(__xludf.DUMMYFUNCTION("""COMPUTED_VALUE"""),"iPhone 13, Starlight, 128GB, Logic Board Assy Rear System, ROW")</f>
        <v>iPhone 13, Starlight, 128GB, Logic Board Assy Rear System, ROW</v>
      </c>
      <c r="F6" s="2"/>
      <c r="G6" s="22" t="str">
        <f>IFERROR(__xludf.DUMMYFUNCTION("""COMPUTED_VALUE"""),"TA661-36694")</f>
        <v>TA661-36694</v>
      </c>
      <c r="H6" s="2" t="str">
        <f>IFERROR(__xludf.DUMMYFUNCTION("""COMPUTED_VALUE"""),"iPhone 15, Blue, 128GB, Logic Board Assy Mid System, ROW")</f>
        <v>iPhone 15, Blue, 128GB, Logic Board Assy Mid System, ROW</v>
      </c>
      <c r="I6" s="2">
        <f>IFERROR(__xludf.DUMMYFUNCTION("""COMPUTED_VALUE"""),35.0)</f>
        <v>35</v>
      </c>
      <c r="K6" s="2" t="str">
        <f>IFERROR(__xludf.DUMMYFUNCTION("""COMPUTED_VALUE"""),"MOBILECARE - LIMA ESTATE")</f>
        <v>MOBILECARE - LIMA ESTATE</v>
      </c>
      <c r="L6" s="2">
        <f>IFERROR(__xludf.DUMMYFUNCTION("""COMPUTED_VALUE"""),107.0)</f>
        <v>107</v>
      </c>
      <c r="O6" s="2"/>
      <c r="P6" s="2" t="str">
        <f>IFERROR(__xludf.DUMMYFUNCTION("""COMPUTED_VALUE"""),"MOBILECARE - FESTIVE WALK ILOILO")</f>
        <v>MOBILECARE - FESTIVE WALK ILOILO</v>
      </c>
      <c r="Q6" s="2">
        <f>IFERROR(__xludf.DUMMYFUNCTION("""COMPUTED_VALUE"""),37.0)</f>
        <v>37</v>
      </c>
      <c r="R6" s="2"/>
      <c r="S6" s="2"/>
      <c r="T6" s="2"/>
      <c r="U6" s="2" t="str">
        <f>IFERROR(__xludf.DUMMYFUNCTION("""COMPUTED_VALUE"""),"MOBILECARE - LIMA ESTATE")</f>
        <v>MOBILECARE - LIMA ESTATE</v>
      </c>
      <c r="V6" s="2">
        <f>IFERROR(__xludf.DUMMYFUNCTION("""COMPUTED_VALUE"""),54.0)</f>
        <v>54</v>
      </c>
      <c r="W6" s="2"/>
      <c r="X6" s="2"/>
      <c r="Y6" s="2"/>
      <c r="Z6" s="2" t="str">
        <f>IFERROR(__xludf.DUMMYFUNCTION("""COMPUTED_VALUE"""),"MOBILECARE - VERTIS NORTH")</f>
        <v>MOBILECARE - VERTIS NORTH</v>
      </c>
      <c r="AA6" s="2">
        <f>IFERROR(__xludf.DUMMYFUNCTION("""COMPUTED_VALUE"""),5.0)</f>
        <v>5</v>
      </c>
      <c r="AB6" s="2"/>
      <c r="AC6" s="2"/>
      <c r="AD6" s="2"/>
      <c r="AE6" s="2"/>
      <c r="AF6" s="2"/>
      <c r="AG6" s="2"/>
      <c r="AH6" s="2"/>
      <c r="AI6" s="2"/>
      <c r="AJ6" s="2"/>
      <c r="AK6" s="2"/>
    </row>
    <row r="7">
      <c r="A7" s="3" t="str">
        <f t="shared" si="1"/>
        <v>January</v>
      </c>
      <c r="B7" s="11">
        <f>IFERROR(__xludf.DUMMYFUNCTION("""COMPUTED_VALUE"""),46043.0)</f>
        <v>46043</v>
      </c>
      <c r="C7" s="2" t="str">
        <f>IFERROR(__xludf.DUMMYFUNCTION("""COMPUTED_VALUE"""),"MOBILECARE - DAVAO")</f>
        <v>MOBILECARE - DAVAO</v>
      </c>
      <c r="D7" s="2" t="str">
        <f>IFERROR(__xludf.DUMMYFUNCTION("""COMPUTED_VALUE"""),"PP661-23455")</f>
        <v>PP661-23455</v>
      </c>
      <c r="E7" s="2" t="str">
        <f>IFERROR(__xludf.DUMMYFUNCTION("""COMPUTED_VALUE"""),"iPhone 13, Starlight, 128GB, Logic Board Assy Rear System, ROW")</f>
        <v>iPhone 13, Starlight, 128GB, Logic Board Assy Rear System, ROW</v>
      </c>
      <c r="F7" s="2"/>
      <c r="G7" s="22" t="str">
        <f>IFERROR(__xludf.DUMMYFUNCTION("""COMPUTED_VALUE"""),"PP661-28869")</f>
        <v>PP661-28869</v>
      </c>
      <c r="H7" s="2" t="str">
        <f>IFERROR(__xludf.DUMMYFUNCTION("""COMPUTED_VALUE"""),"iPhone 14, Starlight, 128GB, Logic Board Assy Mid System, ROW")</f>
        <v>iPhone 14, Starlight, 128GB, Logic Board Assy Mid System, ROW</v>
      </c>
      <c r="I7" s="2">
        <f>IFERROR(__xludf.DUMMYFUNCTION("""COMPUTED_VALUE"""),27.0)</f>
        <v>27</v>
      </c>
      <c r="K7" s="2" t="str">
        <f>IFERROR(__xludf.DUMMYFUNCTION("""COMPUTED_VALUE"""),"MOBILECARE - NAGA")</f>
        <v>MOBILECARE - NAGA</v>
      </c>
      <c r="L7" s="2">
        <f>IFERROR(__xludf.DUMMYFUNCTION("""COMPUTED_VALUE"""),66.0)</f>
        <v>66</v>
      </c>
      <c r="O7" s="2"/>
      <c r="P7" s="2" t="str">
        <f>IFERROR(__xludf.DUMMYFUNCTION("""COMPUTED_VALUE"""),"MOBILECARE - NAGA")</f>
        <v>MOBILECARE - NAGA</v>
      </c>
      <c r="Q7" s="2">
        <f>IFERROR(__xludf.DUMMYFUNCTION("""COMPUTED_VALUE"""),33.0)</f>
        <v>33</v>
      </c>
      <c r="R7" s="2"/>
      <c r="S7" s="2"/>
      <c r="T7" s="2"/>
      <c r="U7" s="2" t="str">
        <f>IFERROR(__xludf.DUMMYFUNCTION("""COMPUTED_VALUE"""),"MOBILECARE - NAGA")</f>
        <v>MOBILECARE - NAGA</v>
      </c>
      <c r="V7" s="2">
        <f>IFERROR(__xludf.DUMMYFUNCTION("""COMPUTED_VALUE"""),32.0)</f>
        <v>32</v>
      </c>
      <c r="W7" s="2"/>
      <c r="X7" s="2"/>
      <c r="Y7" s="2"/>
      <c r="Z7" s="2" t="str">
        <f>IFERROR(__xludf.DUMMYFUNCTION("""COMPUTED_VALUE"""),"MOBILECARE - APP FESTIVAL MALL")</f>
        <v>MOBILECARE - APP FESTIVAL MALL</v>
      </c>
      <c r="AA7" s="2">
        <f>IFERROR(__xludf.DUMMYFUNCTION("""COMPUTED_VALUE"""),4.0)</f>
        <v>4</v>
      </c>
      <c r="AB7" s="2"/>
      <c r="AC7" s="2"/>
      <c r="AD7" s="2"/>
      <c r="AE7" s="2"/>
      <c r="AF7" s="2"/>
      <c r="AG7" s="2"/>
      <c r="AH7" s="2"/>
      <c r="AI7" s="2"/>
      <c r="AJ7" s="2"/>
      <c r="AK7" s="2"/>
    </row>
    <row r="8">
      <c r="A8" s="3" t="str">
        <f t="shared" si="1"/>
        <v>January</v>
      </c>
      <c r="B8" s="11">
        <f>IFERROR(__xludf.DUMMYFUNCTION("""COMPUTED_VALUE"""),46048.0)</f>
        <v>46048</v>
      </c>
      <c r="C8" s="2" t="str">
        <f>IFERROR(__xludf.DUMMYFUNCTION("""COMPUTED_VALUE"""),"MOBILECARE - DAVAO")</f>
        <v>MOBILECARE - DAVAO</v>
      </c>
      <c r="D8" s="2" t="str">
        <f>IFERROR(__xludf.DUMMYFUNCTION("""COMPUTED_VALUE"""),"TA661-43610")</f>
        <v>TA661-43610</v>
      </c>
      <c r="E8" s="2" t="str">
        <f>IFERROR(__xludf.DUMMYFUNCTION("""COMPUTED_VALUE"""),"256GB, Black, ROW, iPhone 16, Logic Board Assy Mid System")</f>
        <v>256GB, Black, ROW, iPhone 16, Logic Board Assy Mid System</v>
      </c>
      <c r="F8" s="2"/>
      <c r="G8" s="22" t="str">
        <f>IFERROR(__xludf.DUMMYFUNCTION("""COMPUTED_VALUE"""),"TA661-36691")</f>
        <v>TA661-36691</v>
      </c>
      <c r="H8" s="2" t="str">
        <f>IFERROR(__xludf.DUMMYFUNCTION("""COMPUTED_VALUE"""),"iPhone 15, Black, 128GB, Logic Board Assy Mid System, ROW")</f>
        <v>iPhone 15, Black, 128GB, Logic Board Assy Mid System, ROW</v>
      </c>
      <c r="I8" s="2">
        <f>IFERROR(__xludf.DUMMYFUNCTION("""COMPUTED_VALUE"""),23.0)</f>
        <v>23</v>
      </c>
      <c r="K8" s="2" t="str">
        <f>IFERROR(__xludf.DUMMYFUNCTION("""COMPUTED_VALUE"""),"MOBILECARE - CEBU")</f>
        <v>MOBILECARE - CEBU</v>
      </c>
      <c r="L8" s="2">
        <f>IFERROR(__xludf.DUMMYFUNCTION("""COMPUTED_VALUE"""),59.0)</f>
        <v>59</v>
      </c>
      <c r="O8" s="2"/>
      <c r="P8" s="2" t="str">
        <f>IFERROR(__xludf.DUMMYFUNCTION("""COMPUTED_VALUE"""),"MOBILECARE - CEBU")</f>
        <v>MOBILECARE - CEBU</v>
      </c>
      <c r="Q8" s="2">
        <f>IFERROR(__xludf.DUMMYFUNCTION("""COMPUTED_VALUE"""),28.0)</f>
        <v>28</v>
      </c>
      <c r="R8" s="2"/>
      <c r="S8" s="2"/>
      <c r="T8" s="2"/>
      <c r="U8" s="2" t="str">
        <f>IFERROR(__xludf.DUMMYFUNCTION("""COMPUTED_VALUE"""),"MOBILECARE - CEBU")</f>
        <v>MOBILECARE - CEBU</v>
      </c>
      <c r="V8" s="2">
        <f>IFERROR(__xludf.DUMMYFUNCTION("""COMPUTED_VALUE"""),29.0)</f>
        <v>29</v>
      </c>
      <c r="W8" s="2"/>
      <c r="X8" s="2"/>
      <c r="Y8" s="2"/>
      <c r="Z8" s="2" t="str">
        <f>IFERROR(__xludf.DUMMYFUNCTION("""COMPUTED_VALUE"""),"MOBILECARE - APP MAGNOLIA")</f>
        <v>MOBILECARE - APP MAGNOLIA</v>
      </c>
      <c r="AA8" s="2">
        <f>IFERROR(__xludf.DUMMYFUNCTION("""COMPUTED_VALUE"""),4.0)</f>
        <v>4</v>
      </c>
      <c r="AB8" s="2"/>
      <c r="AC8" s="2"/>
      <c r="AD8" s="2"/>
      <c r="AE8" s="2"/>
      <c r="AF8" s="2"/>
      <c r="AG8" s="2"/>
      <c r="AH8" s="2"/>
      <c r="AI8" s="2"/>
      <c r="AJ8" s="2"/>
      <c r="AK8" s="2"/>
    </row>
    <row r="9">
      <c r="A9" s="3" t="str">
        <f t="shared" si="1"/>
        <v>January</v>
      </c>
      <c r="B9" s="11">
        <f>IFERROR(__xludf.DUMMYFUNCTION("""COMPUTED_VALUE"""),46053.0)</f>
        <v>46053</v>
      </c>
      <c r="C9" s="2" t="str">
        <f>IFERROR(__xludf.DUMMYFUNCTION("""COMPUTED_VALUE"""),"MOBILECARE - DAVAO")</f>
        <v>MOBILECARE - DAVAO</v>
      </c>
      <c r="D9" s="2" t="str">
        <f>IFERROR(__xludf.DUMMYFUNCTION("""COMPUTED_VALUE"""),"PP661-23455")</f>
        <v>PP661-23455</v>
      </c>
      <c r="E9" s="2" t="str">
        <f>IFERROR(__xludf.DUMMYFUNCTION("""COMPUTED_VALUE"""),"iPhone 13, Starlight, 128GB, Logic Board Assy Rear System, ROW")</f>
        <v>iPhone 13, Starlight, 128GB, Logic Board Assy Rear System, ROW</v>
      </c>
      <c r="F9" s="2"/>
      <c r="G9" s="22" t="str">
        <f>IFERROR(__xludf.DUMMYFUNCTION("""COMPUTED_VALUE"""),"PP661-28871")</f>
        <v>PP661-28871</v>
      </c>
      <c r="H9" s="2" t="str">
        <f>IFERROR(__xludf.DUMMYFUNCTION("""COMPUTED_VALUE"""),"iPhone 14, Blue, 128GB, Logic Board Assy Mid System, ROW")</f>
        <v>iPhone 14, Blue, 128GB, Logic Board Assy Mid System, ROW</v>
      </c>
      <c r="I9" s="2">
        <f>IFERROR(__xludf.DUMMYFUNCTION("""COMPUTED_VALUE"""),17.0)</f>
        <v>17</v>
      </c>
      <c r="K9" s="2" t="str">
        <f>IFERROR(__xludf.DUMMYFUNCTION("""COMPUTED_VALUE"""),"MOBILECARE - LA UNION")</f>
        <v>MOBILECARE - LA UNION</v>
      </c>
      <c r="L9" s="2">
        <f>IFERROR(__xludf.DUMMYFUNCTION("""COMPUTED_VALUE"""),47.0)</f>
        <v>47</v>
      </c>
      <c r="O9" s="2"/>
      <c r="P9" s="2" t="str">
        <f>IFERROR(__xludf.DUMMYFUNCTION("""COMPUTED_VALUE"""),"MOBILECARE - CAGAYAN DE ORO")</f>
        <v>MOBILECARE - CAGAYAN DE ORO</v>
      </c>
      <c r="Q9" s="2">
        <f>IFERROR(__xludf.DUMMYFUNCTION("""COMPUTED_VALUE"""),27.0)</f>
        <v>27</v>
      </c>
      <c r="R9" s="2"/>
      <c r="S9" s="2"/>
      <c r="T9" s="2"/>
      <c r="U9" s="2" t="str">
        <f>IFERROR(__xludf.DUMMYFUNCTION("""COMPUTED_VALUE"""),"MOBILECARE - LA UNION")</f>
        <v>MOBILECARE - LA UNION</v>
      </c>
      <c r="V9" s="2">
        <f>IFERROR(__xludf.DUMMYFUNCTION("""COMPUTED_VALUE"""),25.0)</f>
        <v>25</v>
      </c>
      <c r="W9" s="2"/>
      <c r="X9" s="2"/>
      <c r="Y9" s="2"/>
      <c r="Z9" s="2" t="str">
        <f>IFERROR(__xludf.DUMMYFUNCTION("""COMPUTED_VALUE"""),"MOBILECARE - APP THE ANNEX")</f>
        <v>MOBILECARE - APP THE ANNEX</v>
      </c>
      <c r="AA9" s="2">
        <f>IFERROR(__xludf.DUMMYFUNCTION("""COMPUTED_VALUE"""),4.0)</f>
        <v>4</v>
      </c>
      <c r="AB9" s="2"/>
      <c r="AC9" s="2"/>
      <c r="AD9" s="2"/>
      <c r="AE9" s="2"/>
      <c r="AF9" s="2"/>
      <c r="AG9" s="2"/>
      <c r="AH9" s="2"/>
      <c r="AI9" s="2"/>
      <c r="AJ9" s="2"/>
      <c r="AK9" s="2"/>
    </row>
    <row r="10">
      <c r="A10" s="3" t="str">
        <f t="shared" si="1"/>
        <v>January</v>
      </c>
      <c r="B10" s="11">
        <f>IFERROR(__xludf.DUMMYFUNCTION("""COMPUTED_VALUE"""),46048.0)</f>
        <v>46048</v>
      </c>
      <c r="C10" s="2" t="str">
        <f>IFERROR(__xludf.DUMMYFUNCTION("""COMPUTED_VALUE"""),"MOBILECARE - DAVAO")</f>
        <v>MOBILECARE - DAVAO</v>
      </c>
      <c r="D10" s="2" t="str">
        <f>IFERROR(__xludf.DUMMYFUNCTION("""COMPUTED_VALUE"""),"PP661-23454")</f>
        <v>PP661-23454</v>
      </c>
      <c r="E10" s="2" t="str">
        <f>IFERROR(__xludf.DUMMYFUNCTION("""COMPUTED_VALUE"""),"iPhone 13, Midnight, 128GB, Logic Board Assy Rear System, ROW")</f>
        <v>iPhone 13, Midnight, 128GB, Logic Board Assy Rear System, ROW</v>
      </c>
      <c r="F10" s="2"/>
      <c r="G10" s="22" t="str">
        <f>IFERROR(__xludf.DUMMYFUNCTION("""COMPUTED_VALUE"""),"TA661-36692")</f>
        <v>TA661-36692</v>
      </c>
      <c r="H10" s="2" t="str">
        <f>IFERROR(__xludf.DUMMYFUNCTION("""COMPUTED_VALUE"""),"iPhone 15, Pink, 128GB, Logic Board Assy Mid System, ROW")</f>
        <v>iPhone 15, Pink, 128GB, Logic Board Assy Mid System, ROW</v>
      </c>
      <c r="I10" s="2">
        <f>IFERROR(__xludf.DUMMYFUNCTION("""COMPUTED_VALUE"""),12.0)</f>
        <v>12</v>
      </c>
      <c r="K10" s="2" t="str">
        <f>IFERROR(__xludf.DUMMYFUNCTION("""COMPUTED_VALUE"""),"MOBILECARE - CAGAYAN DE ORO")</f>
        <v>MOBILECARE - CAGAYAN DE ORO</v>
      </c>
      <c r="L10" s="2">
        <f>IFERROR(__xludf.DUMMYFUNCTION("""COMPUTED_VALUE"""),41.0)</f>
        <v>41</v>
      </c>
      <c r="O10" s="2"/>
      <c r="P10" s="2" t="str">
        <f>IFERROR(__xludf.DUMMYFUNCTION("""COMPUTED_VALUE"""),"MOBILECARE - LA UNION")</f>
        <v>MOBILECARE - LA UNION</v>
      </c>
      <c r="Q10" s="2">
        <f>IFERROR(__xludf.DUMMYFUNCTION("""COMPUTED_VALUE"""),18.0)</f>
        <v>18</v>
      </c>
      <c r="R10" s="2"/>
      <c r="S10" s="2"/>
      <c r="T10" s="2"/>
      <c r="U10" s="2" t="str">
        <f>IFERROR(__xludf.DUMMYFUNCTION("""COMPUTED_VALUE"""),"MOBILECARE - ZAMBOANGA")</f>
        <v>MOBILECARE - ZAMBOANGA</v>
      </c>
      <c r="V10" s="2">
        <f>IFERROR(__xludf.DUMMYFUNCTION("""COMPUTED_VALUE"""),17.0)</f>
        <v>17</v>
      </c>
      <c r="W10" s="2"/>
      <c r="X10" s="2"/>
      <c r="Y10" s="2"/>
      <c r="Z10" s="2" t="str">
        <f>IFERROR(__xludf.DUMMYFUNCTION("""COMPUTED_VALUE"""),"MOBILECARE - APP TRINOMA")</f>
        <v>MOBILECARE - APP TRINOMA</v>
      </c>
      <c r="AA10" s="2">
        <f>IFERROR(__xludf.DUMMYFUNCTION("""COMPUTED_VALUE"""),4.0)</f>
        <v>4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>
      <c r="A11" s="3" t="str">
        <f t="shared" si="1"/>
        <v>January</v>
      </c>
      <c r="B11" s="11">
        <f>IFERROR(__xludf.DUMMYFUNCTION("""COMPUTED_VALUE"""),46045.0)</f>
        <v>46045</v>
      </c>
      <c r="C11" s="2" t="str">
        <f>IFERROR(__xludf.DUMMYFUNCTION("""COMPUTED_VALUE"""),"MOBILECARE - DAVAO")</f>
        <v>MOBILECARE - DAVAO</v>
      </c>
      <c r="D11" s="2" t="str">
        <f>IFERROR(__xludf.DUMMYFUNCTION("""COMPUTED_VALUE"""),"PP661-23455")</f>
        <v>PP661-23455</v>
      </c>
      <c r="E11" s="2" t="str">
        <f>IFERROR(__xludf.DUMMYFUNCTION("""COMPUTED_VALUE"""),"iPhone 13, Starlight, 128GB, Logic Board Assy Rear System, ROW")</f>
        <v>iPhone 13, Starlight, 128GB, Logic Board Assy Rear System, ROW</v>
      </c>
      <c r="F11" s="2"/>
      <c r="G11" s="22" t="str">
        <f>IFERROR(__xludf.DUMMYFUNCTION("""COMPUTED_VALUE"""),"TA661-43606")</f>
        <v>TA661-43606</v>
      </c>
      <c r="H11" s="2" t="str">
        <f>IFERROR(__xludf.DUMMYFUNCTION("""COMPUTED_VALUE"""),"128GB, White, ROW, iPhone 16, Logic Board Assy Mid System")</f>
        <v>128GB, White, ROW, iPhone 16, Logic Board Assy Mid System</v>
      </c>
      <c r="I11" s="2">
        <f>IFERROR(__xludf.DUMMYFUNCTION("""COMPUTED_VALUE"""),12.0)</f>
        <v>12</v>
      </c>
      <c r="K11" s="2" t="str">
        <f>IFERROR(__xludf.DUMMYFUNCTION("""COMPUTED_VALUE"""),"MOBILECARE - ZAMBOANGA")</f>
        <v>MOBILECARE - ZAMBOANGA</v>
      </c>
      <c r="L11" s="2">
        <f>IFERROR(__xludf.DUMMYFUNCTION("""COMPUTED_VALUE"""),32.0)</f>
        <v>32</v>
      </c>
      <c r="O11" s="2"/>
      <c r="P11" s="2" t="str">
        <f>IFERROR(__xludf.DUMMYFUNCTION("""COMPUTED_VALUE"""),"MOBILECARE - ZAMBOANGA")</f>
        <v>MOBILECARE - ZAMBOANGA</v>
      </c>
      <c r="Q11" s="2">
        <f>IFERROR(__xludf.DUMMYFUNCTION("""COMPUTED_VALUE"""),12.0)</f>
        <v>12</v>
      </c>
      <c r="R11" s="2"/>
      <c r="S11" s="2"/>
      <c r="T11" s="2"/>
      <c r="U11" s="2" t="str">
        <f>IFERROR(__xludf.DUMMYFUNCTION("""COMPUTED_VALUE"""),"MOBILECARE - CAGAYAN DE ORO")</f>
        <v>MOBILECARE - CAGAYAN DE ORO</v>
      </c>
      <c r="V11" s="2">
        <f>IFERROR(__xludf.DUMMYFUNCTION("""COMPUTED_VALUE"""),12.0)</f>
        <v>12</v>
      </c>
      <c r="W11" s="2"/>
      <c r="X11" s="2"/>
      <c r="Y11" s="2"/>
      <c r="Z11" s="2" t="str">
        <f>IFERROR(__xludf.DUMMYFUNCTION("""COMPUTED_VALUE"""),"MOBILECARE - DAVAO")</f>
        <v>MOBILECARE - DAVAO</v>
      </c>
      <c r="AA11" s="2">
        <f>IFERROR(__xludf.DUMMYFUNCTION("""COMPUTED_VALUE"""),4.0)</f>
        <v>4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>
      <c r="A12" s="3" t="str">
        <f t="shared" si="1"/>
        <v>January</v>
      </c>
      <c r="B12" s="11">
        <f>IFERROR(__xludf.DUMMYFUNCTION("""COMPUTED_VALUE"""),46044.0)</f>
        <v>46044</v>
      </c>
      <c r="C12" s="2" t="str">
        <f>IFERROR(__xludf.DUMMYFUNCTION("""COMPUTED_VALUE"""),"MOBILECARE - DAVAO")</f>
        <v>MOBILECARE - DAVAO</v>
      </c>
      <c r="D12" s="2" t="str">
        <f>IFERROR(__xludf.DUMMYFUNCTION("""COMPUTED_VALUE"""),"PP661-23455")</f>
        <v>PP661-23455</v>
      </c>
      <c r="E12" s="2" t="str">
        <f>IFERROR(__xludf.DUMMYFUNCTION("""COMPUTED_VALUE"""),"iPhone 13, Starlight, 128GB, Logic Board Assy Rear System, ROW")</f>
        <v>iPhone 13, Starlight, 128GB, Logic Board Assy Rear System, ROW</v>
      </c>
      <c r="F12" s="2"/>
      <c r="G12" s="22" t="str">
        <f>IFERROR(__xludf.DUMMYFUNCTION("""COMPUTED_VALUE"""),"TA661-43605")</f>
        <v>TA661-43605</v>
      </c>
      <c r="H12" s="2" t="str">
        <f>IFERROR(__xludf.DUMMYFUNCTION("""COMPUTED_VALUE"""),"128GB, Black, ROW, iPhone 16, Logic Board Assy Mid System")</f>
        <v>128GB, Black, ROW, iPhone 16, Logic Board Assy Mid System</v>
      </c>
      <c r="I12" s="2">
        <f>IFERROR(__xludf.DUMMYFUNCTION("""COMPUTED_VALUE"""),11.0)</f>
        <v>11</v>
      </c>
      <c r="K12" s="2" t="str">
        <f>IFERROR(__xludf.DUMMYFUNCTION("""COMPUTED_VALUE"""),"MOBILECARE - GLORIETTA 5")</f>
        <v>MOBILECARE - GLORIETTA 5</v>
      </c>
      <c r="L12" s="2">
        <f>IFERROR(__xludf.DUMMYFUNCTION("""COMPUTED_VALUE"""),6.0)</f>
        <v>6</v>
      </c>
      <c r="O12" s="2"/>
      <c r="P12" s="2" t="str">
        <f>IFERROR(__xludf.DUMMYFUNCTION("""COMPUTED_VALUE"""),"MOBILECARE - APP SM LANANG")</f>
        <v>MOBILECARE - APP SM LANANG</v>
      </c>
      <c r="Q12" s="2">
        <f>IFERROR(__xludf.DUMMYFUNCTION("""COMPUTED_VALUE"""),1.0)</f>
        <v>1</v>
      </c>
      <c r="R12" s="2"/>
      <c r="S12" s="2"/>
      <c r="T12" s="2"/>
      <c r="U12" s="2" t="str">
        <f>IFERROR(__xludf.DUMMYFUNCTION("""COMPUTED_VALUE"""),"MOBILECARE - APP SM LANANG")</f>
        <v>MOBILECARE - APP SM LANANG</v>
      </c>
      <c r="V12" s="2">
        <f>IFERROR(__xludf.DUMMYFUNCTION("""COMPUTED_VALUE"""),3.0)</f>
        <v>3</v>
      </c>
      <c r="W12" s="2"/>
      <c r="X12" s="2"/>
      <c r="Y12" s="2"/>
      <c r="Z12" s="2" t="str">
        <f>IFERROR(__xludf.DUMMYFUNCTION("""COMPUTED_VALUE"""),"MOBILECARE - LA UNION")</f>
        <v>MOBILECARE - LA UNION</v>
      </c>
      <c r="AA12" s="2">
        <f>IFERROR(__xludf.DUMMYFUNCTION("""COMPUTED_VALUE"""),4.0)</f>
        <v>4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>
      <c r="A13" s="3" t="str">
        <f t="shared" si="1"/>
        <v>February</v>
      </c>
      <c r="B13" s="11">
        <f>IFERROR(__xludf.DUMMYFUNCTION("""COMPUTED_VALUE"""),46054.0)</f>
        <v>46054</v>
      </c>
      <c r="C13" s="2" t="str">
        <f>IFERROR(__xludf.DUMMYFUNCTION("""COMPUTED_VALUE"""),"MOBILECARE - DAVAO")</f>
        <v>MOBILECARE - DAVAO</v>
      </c>
      <c r="D13" s="2" t="str">
        <f>IFERROR(__xludf.DUMMYFUNCTION("""COMPUTED_VALUE"""),"PP661-23455")</f>
        <v>PP661-23455</v>
      </c>
      <c r="E13" s="2" t="str">
        <f>IFERROR(__xludf.DUMMYFUNCTION("""COMPUTED_VALUE"""),"iPhone 13, Starlight, 128GB, Logic Board Assy Rear System, ROW")</f>
        <v>iPhone 13, Starlight, 128GB, Logic Board Assy Rear System, ROW</v>
      </c>
      <c r="F13" s="2"/>
      <c r="G13" s="22" t="str">
        <f>IFERROR(__xludf.DUMMYFUNCTION("""COMPUTED_VALUE"""),"661-44960")</f>
        <v>661-44960</v>
      </c>
      <c r="H13" s="2" t="str">
        <f>IFERROR(__xludf.DUMMYFUNCTION("""COMPUTED_VALUE"""),"Desert Titanium, Back Glass, iPhone 16 Pro Max")</f>
        <v>Desert Titanium, Back Glass, iPhone 16 Pro Max</v>
      </c>
      <c r="I13" s="2">
        <f>IFERROR(__xludf.DUMMYFUNCTION("""COMPUTED_VALUE"""),10.0)</f>
        <v>10</v>
      </c>
      <c r="K13" s="2" t="str">
        <f>IFERROR(__xludf.DUMMYFUNCTION("""COMPUTED_VALUE"""),"MOBILECARE - VERTIS NORTH")</f>
        <v>MOBILECARE - VERTIS NORTH</v>
      </c>
      <c r="L13" s="2">
        <f>IFERROR(__xludf.DUMMYFUNCTION("""COMPUTED_VALUE"""),5.0)</f>
        <v>5</v>
      </c>
      <c r="R13" s="2"/>
      <c r="S13" s="2"/>
      <c r="T13" s="2"/>
      <c r="U13" s="2" t="str">
        <f>IFERROR(__xludf.DUMMYFUNCTION("""COMPUTED_VALUE"""),"MOBILECARE - APP THE ANNEX")</f>
        <v>MOBILECARE - APP THE ANNEX</v>
      </c>
      <c r="V13" s="2">
        <f>IFERROR(__xludf.DUMMYFUNCTION("""COMPUTED_VALUE"""),1.0)</f>
        <v>1</v>
      </c>
      <c r="W13" s="2"/>
      <c r="X13" s="2"/>
      <c r="Y13" s="2"/>
      <c r="Z13" s="2" t="str">
        <f>IFERROR(__xludf.DUMMYFUNCTION("""COMPUTED_VALUE"""),"MOBILECARE - NORTHEAST SQUARE")</f>
        <v>MOBILECARE - NORTHEAST SQUARE</v>
      </c>
      <c r="AA13" s="2">
        <f>IFERROR(__xludf.DUMMYFUNCTION("""COMPUTED_VALUE"""),3.0)</f>
        <v>3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>
      <c r="A14" s="3" t="str">
        <f t="shared" si="1"/>
        <v>January</v>
      </c>
      <c r="B14" s="11">
        <f>IFERROR(__xludf.DUMMYFUNCTION("""COMPUTED_VALUE"""),46050.0)</f>
        <v>46050</v>
      </c>
      <c r="C14" s="2" t="str">
        <f>IFERROR(__xludf.DUMMYFUNCTION("""COMPUTED_VALUE"""),"MOBILECARE - DAVAO")</f>
        <v>MOBILECARE - DAVAO</v>
      </c>
      <c r="D14" s="2" t="str">
        <f>IFERROR(__xludf.DUMMYFUNCTION("""COMPUTED_VALUE"""),"PP661-23455")</f>
        <v>PP661-23455</v>
      </c>
      <c r="E14" s="2" t="str">
        <f>IFERROR(__xludf.DUMMYFUNCTION("""COMPUTED_VALUE"""),"iPhone 13, Starlight, 128GB, Logic Board Assy Rear System, ROW")</f>
        <v>iPhone 13, Starlight, 128GB, Logic Board Assy Rear System, ROW</v>
      </c>
      <c r="F14" s="2"/>
      <c r="G14" s="22" t="str">
        <f>IFERROR(__xludf.DUMMYFUNCTION("""COMPUTED_VALUE"""),"TA661-36696")</f>
        <v>TA661-36696</v>
      </c>
      <c r="H14" s="2" t="str">
        <f>IFERROR(__xludf.DUMMYFUNCTION("""COMPUTED_VALUE"""),"iPhone 15, Black, 256GB, Logic Board Assy Mid System, ROW")</f>
        <v>iPhone 15, Black, 256GB, Logic Board Assy Mid System, ROW</v>
      </c>
      <c r="I14" s="2">
        <f>IFERROR(__xludf.DUMMYFUNCTION("""COMPUTED_VALUE"""),9.0)</f>
        <v>9</v>
      </c>
      <c r="K14" s="2" t="str">
        <f>IFERROR(__xludf.DUMMYFUNCTION("""COMPUTED_VALUE"""),"MOBILECARE - APP THE ANNEX")</f>
        <v>MOBILECARE - APP THE ANNEX</v>
      </c>
      <c r="L14" s="2">
        <f>IFERROR(__xludf.DUMMYFUNCTION("""COMPUTED_VALUE"""),5.0)</f>
        <v>5</v>
      </c>
      <c r="R14" s="2"/>
      <c r="S14" s="2"/>
      <c r="W14" s="2"/>
      <c r="X14" s="2"/>
      <c r="Y14" s="2"/>
      <c r="Z14" s="2" t="str">
        <f>IFERROR(__xludf.DUMMYFUNCTION("""COMPUTED_VALUE"""),"MOBILECARE - S'MAISON")</f>
        <v>MOBILECARE - S'MAISON</v>
      </c>
      <c r="AA14" s="2">
        <f>IFERROR(__xludf.DUMMYFUNCTION("""COMPUTED_VALUE"""),3.0)</f>
        <v>3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>
      <c r="A15" s="3" t="str">
        <f t="shared" si="1"/>
        <v>January</v>
      </c>
      <c r="B15" s="11">
        <f>IFERROR(__xludf.DUMMYFUNCTION("""COMPUTED_VALUE"""),46052.0)</f>
        <v>46052</v>
      </c>
      <c r="C15" s="2" t="str">
        <f>IFERROR(__xludf.DUMMYFUNCTION("""COMPUTED_VALUE"""),"MOBILECARE - DAVAO")</f>
        <v>MOBILECARE - DAVAO</v>
      </c>
      <c r="D15" s="2" t="str">
        <f>IFERROR(__xludf.DUMMYFUNCTION("""COMPUTED_VALUE"""),"PP661-28868")</f>
        <v>PP661-28868</v>
      </c>
      <c r="E15" s="2" t="str">
        <f>IFERROR(__xludf.DUMMYFUNCTION("""COMPUTED_VALUE"""),"iPhone 14, Midnight, 128GB, Logic Board Assy Mid System, ROW")</f>
        <v>iPhone 14, Midnight, 128GB, Logic Board Assy Mid System, ROW</v>
      </c>
      <c r="F15" s="2"/>
      <c r="G15" s="22" t="str">
        <f>IFERROR(__xludf.DUMMYFUNCTION("""COMPUTED_VALUE"""),"TA661-36697")</f>
        <v>TA661-36697</v>
      </c>
      <c r="H15" s="2" t="str">
        <f>IFERROR(__xludf.DUMMYFUNCTION("""COMPUTED_VALUE"""),"iPhone 15, Pink, 256GB, Logic Board Assy Mid System, ROW")</f>
        <v>iPhone 15, Pink, 256GB, Logic Board Assy Mid System, ROW</v>
      </c>
      <c r="I15" s="2">
        <f>IFERROR(__xludf.DUMMYFUNCTION("""COMPUTED_VALUE"""),9.0)</f>
        <v>9</v>
      </c>
      <c r="K15" s="2" t="str">
        <f>IFERROR(__xludf.DUMMYFUNCTION("""COMPUTED_VALUE"""),"MOBILECARE - APP MAGNOLIA")</f>
        <v>MOBILECARE - APP MAGNOLIA</v>
      </c>
      <c r="L15" s="2">
        <f>IFERROR(__xludf.DUMMYFUNCTION("""COMPUTED_VALUE"""),4.0)</f>
        <v>4</v>
      </c>
      <c r="R15" s="2"/>
      <c r="S15" s="2"/>
      <c r="W15" s="2"/>
      <c r="X15" s="2"/>
      <c r="Y15" s="2"/>
      <c r="Z15" s="2" t="str">
        <f>IFERROR(__xludf.DUMMYFUNCTION("""COMPUTED_VALUE"""),"MOBILECARE - ZAMBOANGA")</f>
        <v>MOBILECARE - ZAMBOANGA</v>
      </c>
      <c r="AA15" s="2">
        <f>IFERROR(__xludf.DUMMYFUNCTION("""COMPUTED_VALUE"""),3.0)</f>
        <v>3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>
      <c r="A16" s="3" t="str">
        <f t="shared" si="1"/>
        <v>January</v>
      </c>
      <c r="B16" s="11">
        <f>IFERROR(__xludf.DUMMYFUNCTION("""COMPUTED_VALUE"""),46049.0)</f>
        <v>46049</v>
      </c>
      <c r="C16" s="2" t="str">
        <f>IFERROR(__xludf.DUMMYFUNCTION("""COMPUTED_VALUE"""),"MOBILECARE - DAVAO")</f>
        <v>MOBILECARE - DAVAO</v>
      </c>
      <c r="D16" s="2" t="str">
        <f>IFERROR(__xludf.DUMMYFUNCTION("""COMPUTED_VALUE"""),"PP661-23454")</f>
        <v>PP661-23454</v>
      </c>
      <c r="E16" s="2" t="str">
        <f>IFERROR(__xludf.DUMMYFUNCTION("""COMPUTED_VALUE"""),"iPhone 13, Midnight, 128GB, Logic Board Assy Rear System, ROW")</f>
        <v>iPhone 13, Midnight, 128GB, Logic Board Assy Rear System, ROW</v>
      </c>
      <c r="F16" s="2"/>
      <c r="G16" s="22" t="str">
        <f>IFERROR(__xludf.DUMMYFUNCTION("""COMPUTED_VALUE"""),"TA661-43609")</f>
        <v>TA661-43609</v>
      </c>
      <c r="H16" s="2" t="str">
        <f>IFERROR(__xludf.DUMMYFUNCTION("""COMPUTED_VALUE"""),"128GB, Teal, ROW, iPhone 16, Logic Board Assy Mid System")</f>
        <v>128GB, Teal, ROW, iPhone 16, Logic Board Assy Mid System</v>
      </c>
      <c r="I16" s="2">
        <f>IFERROR(__xludf.DUMMYFUNCTION("""COMPUTED_VALUE"""),8.0)</f>
        <v>8</v>
      </c>
      <c r="K16" s="2" t="str">
        <f>IFERROR(__xludf.DUMMYFUNCTION("""COMPUTED_VALUE"""),"MOBILECARE - APP SM LANANG")</f>
        <v>MOBILECARE - APP SM LANANG</v>
      </c>
      <c r="L16" s="2">
        <f>IFERROR(__xludf.DUMMYFUNCTION("""COMPUTED_VALUE"""),4.0)</f>
        <v>4</v>
      </c>
      <c r="R16" s="2"/>
      <c r="S16" s="2"/>
      <c r="W16" s="2"/>
      <c r="X16" s="2"/>
      <c r="Y16" s="2"/>
      <c r="Z16" s="2" t="str">
        <f>IFERROR(__xludf.DUMMYFUNCTION("""COMPUTED_VALUE"""),"MOBILECARE - APP MALL OF ASIA")</f>
        <v>MOBILECARE - APP MALL OF ASIA</v>
      </c>
      <c r="AA16" s="2">
        <f>IFERROR(__xludf.DUMMYFUNCTION("""COMPUTED_VALUE"""),2.0)</f>
        <v>2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>
      <c r="A17" s="3" t="str">
        <f t="shared" si="1"/>
        <v>January</v>
      </c>
      <c r="B17" s="11">
        <f>IFERROR(__xludf.DUMMYFUNCTION("""COMPUTED_VALUE"""),46044.0)</f>
        <v>46044</v>
      </c>
      <c r="C17" s="2" t="str">
        <f>IFERROR(__xludf.DUMMYFUNCTION("""COMPUTED_VALUE"""),"MOBILECARE - DAVAO")</f>
        <v>MOBILECARE - DAVAO</v>
      </c>
      <c r="D17" s="2" t="str">
        <f>IFERROR(__xludf.DUMMYFUNCTION("""COMPUTED_VALUE"""),"PP661-23454")</f>
        <v>PP661-23454</v>
      </c>
      <c r="E17" s="2" t="str">
        <f>IFERROR(__xludf.DUMMYFUNCTION("""COMPUTED_VALUE"""),"iPhone 13, Midnight, 128GB, Logic Board Assy Rear System, ROW")</f>
        <v>iPhone 13, Midnight, 128GB, Logic Board Assy Rear System, ROW</v>
      </c>
      <c r="F17" s="2"/>
      <c r="G17" s="22" t="str">
        <f>IFERROR(__xludf.DUMMYFUNCTION("""COMPUTED_VALUE"""),"TA661-45232")</f>
        <v>TA661-45232</v>
      </c>
      <c r="H17" s="2" t="str">
        <f>IFERROR(__xludf.DUMMYFUNCTION("""COMPUTED_VALUE"""),"128GB, White, ROW, iPhone 16 Plus, Logic Board Assy Mid System")</f>
        <v>128GB, White, ROW, iPhone 16 Plus, Logic Board Assy Mid System</v>
      </c>
      <c r="I17" s="2">
        <f>IFERROR(__xludf.DUMMYFUNCTION("""COMPUTED_VALUE"""),8.0)</f>
        <v>8</v>
      </c>
      <c r="K17" s="2" t="str">
        <f>IFERROR(__xludf.DUMMYFUNCTION("""COMPUTED_VALUE"""),"MOBILECARE - APP FESTIVAL MALL")</f>
        <v>MOBILECARE - APP FESTIVAL MALL</v>
      </c>
      <c r="L17" s="2">
        <f>IFERROR(__xludf.DUMMYFUNCTION("""COMPUTED_VALUE"""),4.0)</f>
        <v>4</v>
      </c>
      <c r="R17" s="2"/>
      <c r="S17" s="2"/>
      <c r="W17" s="2"/>
      <c r="X17" s="2"/>
      <c r="Y17" s="2"/>
      <c r="Z17" s="2" t="str">
        <f>IFERROR(__xludf.DUMMYFUNCTION("""COMPUTED_VALUE"""),"MOBILECARE - CAGAYAN DE ORO")</f>
        <v>MOBILECARE - CAGAYAN DE ORO</v>
      </c>
      <c r="AA17" s="2">
        <f>IFERROR(__xludf.DUMMYFUNCTION("""COMPUTED_VALUE"""),2.0)</f>
        <v>2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>
      <c r="A18" s="3" t="str">
        <f t="shared" si="1"/>
        <v>January</v>
      </c>
      <c r="B18" s="11">
        <f>IFERROR(__xludf.DUMMYFUNCTION("""COMPUTED_VALUE"""),46047.0)</f>
        <v>46047</v>
      </c>
      <c r="C18" s="2" t="str">
        <f>IFERROR(__xludf.DUMMYFUNCTION("""COMPUTED_VALUE"""),"MOBILECARE - DAVAO")</f>
        <v>MOBILECARE - DAVAO</v>
      </c>
      <c r="D18" s="2" t="str">
        <f>IFERROR(__xludf.DUMMYFUNCTION("""COMPUTED_VALUE"""),"PP661-23454")</f>
        <v>PP661-23454</v>
      </c>
      <c r="E18" s="2" t="str">
        <f>IFERROR(__xludf.DUMMYFUNCTION("""COMPUTED_VALUE"""),"iPhone 13, Midnight, 128GB, Logic Board Assy Rear System, ROW")</f>
        <v>iPhone 13, Midnight, 128GB, Logic Board Assy Rear System, ROW</v>
      </c>
      <c r="F18" s="2"/>
      <c r="G18" s="22" t="str">
        <f>IFERROR(__xludf.DUMMYFUNCTION("""COMPUTED_VALUE"""),"TA661-43608")</f>
        <v>TA661-43608</v>
      </c>
      <c r="H18" s="2" t="str">
        <f>IFERROR(__xludf.DUMMYFUNCTION("""COMPUTED_VALUE"""),"128GB, Ultramarine, ROW, iPhone 16, Logic Board Assy Mid System")</f>
        <v>128GB, Ultramarine, ROW, iPhone 16, Logic Board Assy Mid System</v>
      </c>
      <c r="I18" s="2">
        <f>IFERROR(__xludf.DUMMYFUNCTION("""COMPUTED_VALUE"""),6.0)</f>
        <v>6</v>
      </c>
      <c r="K18" s="2" t="str">
        <f>IFERROR(__xludf.DUMMYFUNCTION("""COMPUTED_VALUE"""),"MOBILECARE - APP TRINOMA")</f>
        <v>MOBILECARE - APP TRINOMA</v>
      </c>
      <c r="L18" s="2">
        <f>IFERROR(__xludf.DUMMYFUNCTION("""COMPUTED_VALUE"""),4.0)</f>
        <v>4</v>
      </c>
      <c r="R18" s="2"/>
      <c r="S18" s="2"/>
      <c r="W18" s="2"/>
      <c r="X18" s="2"/>
      <c r="Y18" s="2"/>
      <c r="Z18" s="2" t="str">
        <f>IFERROR(__xludf.DUMMYFUNCTION("""COMPUTED_VALUE"""),"MOBILECARE - CEBU")</f>
        <v>MOBILECARE - CEBU</v>
      </c>
      <c r="AA18" s="2">
        <f>IFERROR(__xludf.DUMMYFUNCTION("""COMPUTED_VALUE"""),2.0)</f>
        <v>2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>
      <c r="A19" s="3" t="str">
        <f t="shared" si="1"/>
        <v>January</v>
      </c>
      <c r="B19" s="11">
        <f>IFERROR(__xludf.DUMMYFUNCTION("""COMPUTED_VALUE"""),46046.0)</f>
        <v>46046</v>
      </c>
      <c r="C19" s="2" t="str">
        <f>IFERROR(__xludf.DUMMYFUNCTION("""COMPUTED_VALUE"""),"MOBILECARE - DAVAO")</f>
        <v>MOBILECARE - DAVAO</v>
      </c>
      <c r="D19" s="2" t="str">
        <f>IFERROR(__xludf.DUMMYFUNCTION("""COMPUTED_VALUE"""),"TA661-43609")</f>
        <v>TA661-43609</v>
      </c>
      <c r="E19" s="2" t="str">
        <f>IFERROR(__xludf.DUMMYFUNCTION("""COMPUTED_VALUE"""),"128GB, Teal, ROW, iPhone 16, Logic Board Assy Mid System")</f>
        <v>128GB, Teal, ROW, iPhone 16, Logic Board Assy Mid System</v>
      </c>
      <c r="F19" s="2"/>
      <c r="G19" s="22" t="str">
        <f>IFERROR(__xludf.DUMMYFUNCTION("""COMPUTED_VALUE"""),"TA661-36695")</f>
        <v>TA661-36695</v>
      </c>
      <c r="H19" s="2" t="str">
        <f>IFERROR(__xludf.DUMMYFUNCTION("""COMPUTED_VALUE"""),"iPhone 15, Green, 128GB, Logic Board Assy Mid System, ROW")</f>
        <v>iPhone 15, Green, 128GB, Logic Board Assy Mid System, ROW</v>
      </c>
      <c r="I19" s="2">
        <f>IFERROR(__xludf.DUMMYFUNCTION("""COMPUTED_VALUE"""),6.0)</f>
        <v>6</v>
      </c>
      <c r="K19" s="2" t="str">
        <f>IFERROR(__xludf.DUMMYFUNCTION("""COMPUTED_VALUE"""),"MOBILECARE - S'MAISON")</f>
        <v>MOBILECARE - S'MAISON</v>
      </c>
      <c r="L19" s="2">
        <f>IFERROR(__xludf.DUMMYFUNCTION("""COMPUTED_VALUE"""),3.0)</f>
        <v>3</v>
      </c>
      <c r="R19" s="2"/>
      <c r="S19" s="2"/>
      <c r="W19" s="2"/>
      <c r="X19" s="2"/>
      <c r="Y19" s="2"/>
      <c r="Z19" s="2" t="str">
        <f>IFERROR(__xludf.DUMMYFUNCTION("""COMPUTED_VALUE"""),"MOBILECARE - APP GREENBELT 3")</f>
        <v>MOBILECARE - APP GREENBELT 3</v>
      </c>
      <c r="AA19" s="2">
        <f>IFERROR(__xludf.DUMMYFUNCTION("""COMPUTED_VALUE"""),1.0)</f>
        <v>1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>
      <c r="A20" s="3" t="str">
        <f t="shared" si="1"/>
        <v>January</v>
      </c>
      <c r="B20" s="11">
        <f>IFERROR(__xludf.DUMMYFUNCTION("""COMPUTED_VALUE"""),46040.0)</f>
        <v>46040</v>
      </c>
      <c r="C20" s="2" t="str">
        <f>IFERROR(__xludf.DUMMYFUNCTION("""COMPUTED_VALUE"""),"MOBILECARE - DAVAO")</f>
        <v>MOBILECARE - DAVAO</v>
      </c>
      <c r="D20" s="2" t="str">
        <f>IFERROR(__xludf.DUMMYFUNCTION("""COMPUTED_VALUE"""),"TA661-36694")</f>
        <v>TA661-36694</v>
      </c>
      <c r="E20" s="2" t="str">
        <f>IFERROR(__xludf.DUMMYFUNCTION("""COMPUTED_VALUE"""),"iPhone 15, Blue, 128GB, Logic Board Assy Mid System, ROW")</f>
        <v>iPhone 15, Blue, 128GB, Logic Board Assy Mid System, ROW</v>
      </c>
      <c r="F20" s="2"/>
      <c r="G20" s="22" t="str">
        <f>IFERROR(__xludf.DUMMYFUNCTION("""COMPUTED_VALUE"""),"TA661-43607")</f>
        <v>TA661-43607</v>
      </c>
      <c r="H20" s="2" t="str">
        <f>IFERROR(__xludf.DUMMYFUNCTION("""COMPUTED_VALUE"""),"128GB, Pink, ROW, iPhone 16, Logic Board Assy Mid System")</f>
        <v>128GB, Pink, ROW, iPhone 16, Logic Board Assy Mid System</v>
      </c>
      <c r="I20" s="2">
        <f>IFERROR(__xludf.DUMMYFUNCTION("""COMPUTED_VALUE"""),6.0)</f>
        <v>6</v>
      </c>
      <c r="K20" s="2" t="str">
        <f>IFERROR(__xludf.DUMMYFUNCTION("""COMPUTED_VALUE"""),"MOBILECARE - NORTHEAST SQUARE")</f>
        <v>MOBILECARE - NORTHEAST SQUARE</v>
      </c>
      <c r="L20" s="2">
        <f>IFERROR(__xludf.DUMMYFUNCTION("""COMPUTED_VALUE"""),3.0)</f>
        <v>3</v>
      </c>
      <c r="R20" s="2"/>
      <c r="S20" s="2"/>
      <c r="W20" s="2"/>
      <c r="X20" s="2"/>
      <c r="Y20" s="2"/>
      <c r="Z20" s="2" t="str">
        <f>IFERROR(__xludf.DUMMYFUNCTION("""COMPUTED_VALUE"""),"MOBILECARE - APP MEGAMALL")</f>
        <v>MOBILECARE - APP MEGAMALL</v>
      </c>
      <c r="AA20" s="2">
        <f>IFERROR(__xludf.DUMMYFUNCTION("""COMPUTED_VALUE"""),1.0)</f>
        <v>1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>
      <c r="A21" s="3" t="str">
        <f t="shared" si="1"/>
        <v>January</v>
      </c>
      <c r="B21" s="11">
        <f>IFERROR(__xludf.DUMMYFUNCTION("""COMPUTED_VALUE"""),46040.0)</f>
        <v>46040</v>
      </c>
      <c r="C21" s="2" t="str">
        <f>IFERROR(__xludf.DUMMYFUNCTION("""COMPUTED_VALUE"""),"MOBILECARE - DAVAO")</f>
        <v>MOBILECARE - DAVAO</v>
      </c>
      <c r="D21" s="2" t="str">
        <f>IFERROR(__xludf.DUMMYFUNCTION("""COMPUTED_VALUE"""),"661-36841")</f>
        <v>661-36841</v>
      </c>
      <c r="E21" s="2" t="str">
        <f>IFERROR(__xludf.DUMMYFUNCTION("""COMPUTED_VALUE"""),"Blue, Back Glass, iPhone 15")</f>
        <v>Blue, Back Glass, iPhone 15</v>
      </c>
      <c r="F21" s="2"/>
      <c r="G21" s="22" t="str">
        <f>IFERROR(__xludf.DUMMYFUNCTION("""COMPUTED_VALUE"""),"661-56122")</f>
        <v>661-56122</v>
      </c>
      <c r="H21" s="2" t="str">
        <f>IFERROR(__xludf.DUMMYFUNCTION("""COMPUTED_VALUE"""),"Silver, Back Glass, iPhone 17 Pro")</f>
        <v>Silver, Back Glass, iPhone 17 Pro</v>
      </c>
      <c r="I21" s="2">
        <f>IFERROR(__xludf.DUMMYFUNCTION("""COMPUTED_VALUE"""),6.0)</f>
        <v>6</v>
      </c>
      <c r="K21" s="2" t="str">
        <f>IFERROR(__xludf.DUMMYFUNCTION("""COMPUTED_VALUE"""),"MOBILECARE - APP MALL OF ASIA")</f>
        <v>MOBILECARE - APP MALL OF ASIA</v>
      </c>
      <c r="L21" s="2">
        <f>IFERROR(__xludf.DUMMYFUNCTION("""COMPUTED_VALUE"""),2.0)</f>
        <v>2</v>
      </c>
      <c r="R21" s="2"/>
      <c r="S21" s="2"/>
      <c r="W21" s="2"/>
      <c r="X21" s="2"/>
      <c r="Y21" s="2"/>
      <c r="Z21" s="2" t="str">
        <f>IFERROR(__xludf.DUMMYFUNCTION("""COMPUTED_VALUE"""),"MOBILECARE - APP POWER PLANT MALL")</f>
        <v>MOBILECARE - APP POWER PLANT MALL</v>
      </c>
      <c r="AA21" s="2">
        <f>IFERROR(__xludf.DUMMYFUNCTION("""COMPUTED_VALUE"""),1.0)</f>
        <v>1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>
      <c r="A22" s="3" t="str">
        <f t="shared" si="1"/>
        <v>January</v>
      </c>
      <c r="B22" s="11">
        <f>IFERROR(__xludf.DUMMYFUNCTION("""COMPUTED_VALUE"""),46045.0)</f>
        <v>46045</v>
      </c>
      <c r="C22" s="2" t="str">
        <f>IFERROR(__xludf.DUMMYFUNCTION("""COMPUTED_VALUE"""),"MOBILECARE - DAVAO")</f>
        <v>MOBILECARE - DAVAO</v>
      </c>
      <c r="D22" s="2" t="str">
        <f>IFERROR(__xludf.DUMMYFUNCTION("""COMPUTED_VALUE"""),"PP661-23454")</f>
        <v>PP661-23454</v>
      </c>
      <c r="E22" s="2" t="str">
        <f>IFERROR(__xludf.DUMMYFUNCTION("""COMPUTED_VALUE"""),"iPhone 13, Midnight, 128GB, Logic Board Assy Rear System, ROW")</f>
        <v>iPhone 13, Midnight, 128GB, Logic Board Assy Rear System, ROW</v>
      </c>
      <c r="F22" s="2"/>
      <c r="G22" s="22" t="str">
        <f>IFERROR(__xludf.DUMMYFUNCTION("""COMPUTED_VALUE"""),"TA661-44995")</f>
        <v>TA661-44995</v>
      </c>
      <c r="H22" s="2" t="str">
        <f>IFERROR(__xludf.DUMMYFUNCTION("""COMPUTED_VALUE"""),"128GB, Black Titanium, ROW, iPhone 16 Pro, Logic Board Assy Mid System")</f>
        <v>128GB, Black Titanium, ROW, iPhone 16 Pro, Logic Board Assy Mid System</v>
      </c>
      <c r="I22" s="2">
        <f>IFERROR(__xludf.DUMMYFUNCTION("""COMPUTED_VALUE"""),6.0)</f>
        <v>6</v>
      </c>
      <c r="K22" s="2" t="str">
        <f>IFERROR(__xludf.DUMMYFUNCTION("""COMPUTED_VALUE"""),"MOBILECARE - APP MEGAMALL")</f>
        <v>MOBILECARE - APP MEGAMALL</v>
      </c>
      <c r="L22" s="2">
        <f>IFERROR(__xludf.DUMMYFUNCTION("""COMPUTED_VALUE"""),1.0)</f>
        <v>1</v>
      </c>
      <c r="R22" s="2"/>
      <c r="S22" s="2"/>
      <c r="T22" s="2"/>
      <c r="U22" s="2"/>
      <c r="V22" s="2"/>
      <c r="W22" s="2"/>
      <c r="X22" s="2"/>
      <c r="Y22" s="2"/>
      <c r="Z22" s="2" t="str">
        <f>IFERROR(__xludf.DUMMYFUNCTION("""COMPUTED_VALUE"""),"MOBILECARE - FESTIVE WALK ILOILO")</f>
        <v>MOBILECARE - FESTIVE WALK ILOILO</v>
      </c>
      <c r="AA22" s="2">
        <f>IFERROR(__xludf.DUMMYFUNCTION("""COMPUTED_VALUE"""),1.0)</f>
        <v>1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>
      <c r="A23" s="3" t="str">
        <f t="shared" si="1"/>
        <v>January</v>
      </c>
      <c r="B23" s="11">
        <f>IFERROR(__xludf.DUMMYFUNCTION("""COMPUTED_VALUE"""),46044.0)</f>
        <v>46044</v>
      </c>
      <c r="C23" s="2" t="str">
        <f>IFERROR(__xludf.DUMMYFUNCTION("""COMPUTED_VALUE"""),"MOBILECARE - DAVAO")</f>
        <v>MOBILECARE - DAVAO</v>
      </c>
      <c r="D23" s="2" t="str">
        <f>IFERROR(__xludf.DUMMYFUNCTION("""COMPUTED_VALUE"""),"PP661-23455")</f>
        <v>PP661-23455</v>
      </c>
      <c r="E23" s="2" t="str">
        <f>IFERROR(__xludf.DUMMYFUNCTION("""COMPUTED_VALUE"""),"iPhone 13, Starlight, 128GB, Logic Board Assy Rear System, ROW")</f>
        <v>iPhone 13, Starlight, 128GB, Logic Board Assy Rear System, ROW</v>
      </c>
      <c r="F23" s="2"/>
      <c r="G23" s="22" t="str">
        <f>IFERROR(__xludf.DUMMYFUNCTION("""COMPUTED_VALUE"""),"TA661-44997")</f>
        <v>TA661-44997</v>
      </c>
      <c r="H23" s="2" t="str">
        <f>IFERROR(__xludf.DUMMYFUNCTION("""COMPUTED_VALUE"""),"128GB, Desert Titanium, ROW, iPhone 16 Pro, Logic Board Assy Mid System")</f>
        <v>128GB, Desert Titanium, ROW, iPhone 16 Pro, Logic Board Assy Mid System</v>
      </c>
      <c r="I23" s="2">
        <f>IFERROR(__xludf.DUMMYFUNCTION("""COMPUTED_VALUE"""),6.0)</f>
        <v>6</v>
      </c>
      <c r="K23" s="2" t="str">
        <f>IFERROR(__xludf.DUMMYFUNCTION("""COMPUTED_VALUE"""),"MOBILECARE - APP GREENBELT 3")</f>
        <v>MOBILECARE - APP GREENBELT 3</v>
      </c>
      <c r="L23" s="2">
        <f>IFERROR(__xludf.DUMMYFUNCTION("""COMPUTED_VALUE"""),1.0)</f>
        <v>1</v>
      </c>
      <c r="R23" s="2"/>
      <c r="S23" s="2"/>
      <c r="T23" s="2"/>
      <c r="U23" s="2"/>
      <c r="V23" s="2"/>
      <c r="W23" s="2"/>
      <c r="X23" s="2"/>
      <c r="Y23" s="2"/>
      <c r="Z23" s="2" t="str">
        <f>IFERROR(__xludf.DUMMYFUNCTION("""COMPUTED_VALUE"""),"MOBILECARE - NAGA")</f>
        <v>MOBILECARE - NAGA</v>
      </c>
      <c r="AA23" s="2">
        <f>IFERROR(__xludf.DUMMYFUNCTION("""COMPUTED_VALUE"""),1.0)</f>
        <v>1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>
      <c r="A24" s="3" t="str">
        <f t="shared" si="1"/>
        <v>January</v>
      </c>
      <c r="B24" s="11">
        <f>IFERROR(__xludf.DUMMYFUNCTION("""COMPUTED_VALUE"""),46039.0)</f>
        <v>46039</v>
      </c>
      <c r="C24" s="2" t="str">
        <f>IFERROR(__xludf.DUMMYFUNCTION("""COMPUTED_VALUE"""),"MOBILECARE - DAVAO")</f>
        <v>MOBILECARE - DAVAO</v>
      </c>
      <c r="D24" s="2" t="str">
        <f>IFERROR(__xludf.DUMMYFUNCTION("""COMPUTED_VALUE"""),"PP661-23454")</f>
        <v>PP661-23454</v>
      </c>
      <c r="E24" s="2" t="str">
        <f>IFERROR(__xludf.DUMMYFUNCTION("""COMPUTED_VALUE"""),"iPhone 13, Midnight, 128GB, Logic Board Assy Rear System, ROW")</f>
        <v>iPhone 13, Midnight, 128GB, Logic Board Assy Rear System, ROW</v>
      </c>
      <c r="F24" s="2"/>
      <c r="G24" s="22" t="str">
        <f>IFERROR(__xludf.DUMMYFUNCTION("""COMPUTED_VALUE"""),"TA661-44999")</f>
        <v>TA661-44999</v>
      </c>
      <c r="H24" s="2" t="str">
        <f>IFERROR(__xludf.DUMMYFUNCTION("""COMPUTED_VALUE"""),"256GB, Black Titanium, ROW, iPhone 16 Pro, Logic Board Assy Mid System")</f>
        <v>256GB, Black Titanium, ROW, iPhone 16 Pro, Logic Board Assy Mid System</v>
      </c>
      <c r="I24" s="2">
        <f>IFERROR(__xludf.DUMMYFUNCTION("""COMPUTED_VALUE"""),5.0)</f>
        <v>5</v>
      </c>
      <c r="K24" s="2" t="str">
        <f>IFERROR(__xludf.DUMMYFUNCTION("""COMPUTED_VALUE"""),"MOBILECARE - THE PODIUM")</f>
        <v>MOBILECARE - THE PODIUM</v>
      </c>
      <c r="L24" s="2">
        <f>IFERROR(__xludf.DUMMYFUNCTION("""COMPUTED_VALUE"""),1.0)</f>
        <v>1</v>
      </c>
      <c r="R24" s="2"/>
      <c r="S24" s="2"/>
      <c r="T24" s="2"/>
      <c r="U24" s="2"/>
      <c r="V24" s="2"/>
      <c r="W24" s="2"/>
      <c r="X24" s="2"/>
      <c r="Y24" s="2"/>
      <c r="Z24" s="2" t="str">
        <f>IFERROR(__xludf.DUMMYFUNCTION("""COMPUTED_VALUE"""),"MOBILECARE - THE PODIUM")</f>
        <v>MOBILECARE - THE PODIUM</v>
      </c>
      <c r="AA24" s="2">
        <f>IFERROR(__xludf.DUMMYFUNCTION("""COMPUTED_VALUE"""),1.0)</f>
        <v>1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>
      <c r="A25" s="3" t="str">
        <f t="shared" si="1"/>
        <v>January</v>
      </c>
      <c r="B25" s="11">
        <f>IFERROR(__xludf.DUMMYFUNCTION("""COMPUTED_VALUE"""),46037.0)</f>
        <v>46037</v>
      </c>
      <c r="C25" s="2" t="str">
        <f>IFERROR(__xludf.DUMMYFUNCTION("""COMPUTED_VALUE"""),"MOBILECARE - DAVAO")</f>
        <v>MOBILECARE - DAVAO</v>
      </c>
      <c r="D25" s="2" t="str">
        <f>IFERROR(__xludf.DUMMYFUNCTION("""COMPUTED_VALUE"""),"PP661-23455")</f>
        <v>PP661-23455</v>
      </c>
      <c r="E25" s="2" t="str">
        <f>IFERROR(__xludf.DUMMYFUNCTION("""COMPUTED_VALUE"""),"iPhone 13, Starlight, 128GB, Logic Board Assy Rear System, ROW")</f>
        <v>iPhone 13, Starlight, 128GB, Logic Board Assy Rear System, ROW</v>
      </c>
      <c r="F25" s="2"/>
      <c r="G25" s="22" t="str">
        <f>IFERROR(__xludf.DUMMYFUNCTION("""COMPUTED_VALUE"""),"PP661-28873")</f>
        <v>PP661-28873</v>
      </c>
      <c r="H25" s="2" t="str">
        <f>IFERROR(__xludf.DUMMYFUNCTION("""COMPUTED_VALUE"""),"iPhone 14, Midnight, 256GB, Logic Board Assy Mid System, ROW")</f>
        <v>iPhone 14, Midnight, 256GB, Logic Board Assy Mid System, ROW</v>
      </c>
      <c r="I25" s="2">
        <f>IFERROR(__xludf.DUMMYFUNCTION("""COMPUTED_VALUE"""),5.0)</f>
        <v>5</v>
      </c>
      <c r="K25" s="2" t="str">
        <f>IFERROR(__xludf.DUMMYFUNCTION("""COMPUTED_VALUE"""),"MOBILECARE - APP POWER PLANT MALL")</f>
        <v>MOBILECARE - APP POWER PLANT MALL</v>
      </c>
      <c r="L25" s="2">
        <f>IFERROR(__xludf.DUMMYFUNCTION("""COMPUTED_VALUE"""),1.0)</f>
        <v>1</v>
      </c>
      <c r="R25" s="2"/>
      <c r="S25" s="2"/>
      <c r="T25" s="2"/>
      <c r="U25" s="2"/>
      <c r="V25" s="2"/>
      <c r="W25" s="2"/>
      <c r="X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>
      <c r="A26" s="3" t="str">
        <f t="shared" si="1"/>
        <v>January</v>
      </c>
      <c r="B26" s="11">
        <f>IFERROR(__xludf.DUMMYFUNCTION("""COMPUTED_VALUE"""),46039.0)</f>
        <v>46039</v>
      </c>
      <c r="C26" s="2" t="str">
        <f>IFERROR(__xludf.DUMMYFUNCTION("""COMPUTED_VALUE"""),"MOBILECARE - DAVAO")</f>
        <v>MOBILECARE - DAVAO</v>
      </c>
      <c r="D26" s="2" t="str">
        <f>IFERROR(__xludf.DUMMYFUNCTION("""COMPUTED_VALUE"""),"TA661-36694")</f>
        <v>TA661-36694</v>
      </c>
      <c r="E26" s="2" t="str">
        <f>IFERROR(__xludf.DUMMYFUNCTION("""COMPUTED_VALUE"""),"iPhone 15, Blue, 128GB, Logic Board Assy Mid System, ROW")</f>
        <v>iPhone 15, Blue, 128GB, Logic Board Assy Mid System, ROW</v>
      </c>
      <c r="F26" s="2"/>
      <c r="G26" s="22" t="str">
        <f>IFERROR(__xludf.DUMMYFUNCTION("""COMPUTED_VALUE"""),"TA661-45236")</f>
        <v>TA661-45236</v>
      </c>
      <c r="H26" s="2" t="str">
        <f>IFERROR(__xludf.DUMMYFUNCTION("""COMPUTED_VALUE"""),"256GB, Black, ROW, iPhone 16 Plus, Logic Board Assy Mid System")</f>
        <v>256GB, Black, ROW, iPhone 16 Plus, Logic Board Assy Mid System</v>
      </c>
      <c r="I26" s="2">
        <f>IFERROR(__xludf.DUMMYFUNCTION("""COMPUTED_VALUE"""),5.0)</f>
        <v>5</v>
      </c>
      <c r="M26" s="2"/>
      <c r="N26" s="2"/>
      <c r="O26" s="23" t="s">
        <v>23</v>
      </c>
      <c r="P26" s="23" t="s">
        <v>24</v>
      </c>
      <c r="Q26" s="23" t="s">
        <v>328</v>
      </c>
      <c r="R26" s="2"/>
      <c r="S26" s="2"/>
      <c r="T26" s="2"/>
      <c r="U26" s="2"/>
      <c r="V26" s="2"/>
      <c r="W26" s="2"/>
      <c r="X26" s="2"/>
      <c r="Y26" s="23" t="s">
        <v>23</v>
      </c>
      <c r="Z26" s="23" t="s">
        <v>24</v>
      </c>
      <c r="AA26" s="23" t="s">
        <v>328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>
      <c r="A27" s="3" t="str">
        <f t="shared" si="1"/>
        <v>January</v>
      </c>
      <c r="B27" s="11">
        <f>IFERROR(__xludf.DUMMYFUNCTION("""COMPUTED_VALUE"""),46028.0)</f>
        <v>46028</v>
      </c>
      <c r="C27" s="2" t="str">
        <f>IFERROR(__xludf.DUMMYFUNCTION("""COMPUTED_VALUE"""),"MOBILECARE - DAVAO")</f>
        <v>MOBILECARE - DAVAO</v>
      </c>
      <c r="D27" s="2" t="str">
        <f>IFERROR(__xludf.DUMMYFUNCTION("""COMPUTED_VALUE"""),"PP661-23454")</f>
        <v>PP661-23454</v>
      </c>
      <c r="E27" s="2" t="str">
        <f>IFERROR(__xludf.DUMMYFUNCTION("""COMPUTED_VALUE"""),"iPhone 13, Midnight, 128GB, Logic Board Assy Rear System, ROW")</f>
        <v>iPhone 13, Midnight, 128GB, Logic Board Assy Rear System, ROW</v>
      </c>
      <c r="F27" s="2"/>
      <c r="G27" s="2" t="str">
        <f>IFERROR(__xludf.DUMMYFUNCTION("""COMPUTED_VALUE"""),"TA661-45231")</f>
        <v>TA661-45231</v>
      </c>
      <c r="H27" s="2" t="str">
        <f>IFERROR(__xludf.DUMMYFUNCTION("""COMPUTED_VALUE"""),"128GB, Black, ROW, iPhone 16 Plus, Logic Board Assy Mid System")</f>
        <v>128GB, Black, ROW, iPhone 16 Plus, Logic Board Assy Mid System</v>
      </c>
      <c r="I27" s="2">
        <f>IFERROR(__xludf.DUMMYFUNCTION("""COMPUTED_VALUE"""),5.0)</f>
        <v>5</v>
      </c>
      <c r="M27" s="2"/>
      <c r="N27" s="2"/>
      <c r="O27" s="2" t="str">
        <f>IFERROR(__xludf.DUMMYFUNCTION("QUERY('Systems&amp;BackGlass'!A3:E1000, 
  ""SELECT D, E, COUNT(D) 
   WHERE lower(E) CONTAINS 'mid sys' "" &amp; 
   IF(O2=""All"", """", ""AND lower(A) = '"" &amp; LOWER(TRIM(O2)) &amp; ""' "") &amp; 
  ""GROUP BY D, E 
   ORDER BY COUNT(D) DESC 
   LABEL COUNT(D) ''"", 
0"&amp;")"),"PP661-28868")</f>
        <v>PP661-28868</v>
      </c>
      <c r="P27" s="2" t="str">
        <f>IFERROR(__xludf.DUMMYFUNCTION("""COMPUTED_VALUE"""),"iPhone 14, Midnight, 128GB, Logic Board Assy Mid System, ROW")</f>
        <v>iPhone 14, Midnight, 128GB, Logic Board Assy Mid System, ROW</v>
      </c>
      <c r="Q27" s="2">
        <f>IFERROR(__xludf.DUMMYFUNCTION("""COMPUTED_VALUE"""),39.0)</f>
        <v>39</v>
      </c>
      <c r="R27" s="2"/>
      <c r="S27" s="2"/>
      <c r="T27" s="2"/>
      <c r="U27" s="2"/>
      <c r="V27" s="2"/>
      <c r="W27" s="2"/>
      <c r="X27" s="2"/>
      <c r="Y27" s="2" t="str">
        <f>IFERROR(__xludf.DUMMYFUNCTION("IFERROR(LET(
  part_nos, 'Systems&amp;BackGlass'!D3:D1000,
  desc_col, 'Systems&amp;BackGlass'!E3:E1000,
  month_col, 'Systems&amp;BackGlass'!A3:A1000,
  pairs, UNIQUE(FILTER(HSTACK(part_nos, desc_col), part_nos&lt;&gt;"""", ISNUMBER(SEARCH(""Back Glass"", desc_col)))),"&amp;"
  counts, BYROW(pairs, LAMBDA(r, COUNTIFS(part_nos, INDEX(r,,1), desc_col, INDEX(r,,2), month_col, IF($Y$2=""All"", ""*"", $Y$2)))),
  final_table, HSTACK(pairs, counts),
  SORT(FILTER(final_table, INDEX(final_table,,3) &gt; 0), 3, FALSE)
), ""No data fo"&amp;"und"")"),"#REF!")</f>
        <v>#REF!</v>
      </c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>
      <c r="A28" s="3" t="str">
        <f t="shared" si="1"/>
        <v>January</v>
      </c>
      <c r="B28" s="11">
        <f>IFERROR(__xludf.DUMMYFUNCTION("""COMPUTED_VALUE"""),46026.0)</f>
        <v>46026</v>
      </c>
      <c r="C28" s="2" t="str">
        <f>IFERROR(__xludf.DUMMYFUNCTION("""COMPUTED_VALUE"""),"MOBILECARE - DAVAO")</f>
        <v>MOBILECARE - DAVAO</v>
      </c>
      <c r="D28" s="2" t="str">
        <f>IFERROR(__xludf.DUMMYFUNCTION("""COMPUTED_VALUE"""),"PP661-23454")</f>
        <v>PP661-23454</v>
      </c>
      <c r="E28" s="2" t="str">
        <f>IFERROR(__xludf.DUMMYFUNCTION("""COMPUTED_VALUE"""),"iPhone 13, Midnight, 128GB, Logic Board Assy Rear System, ROW")</f>
        <v>iPhone 13, Midnight, 128GB, Logic Board Assy Rear System, ROW</v>
      </c>
      <c r="F28" s="2"/>
      <c r="G28" s="2" t="str">
        <f>IFERROR(__xludf.DUMMYFUNCTION("""COMPUTED_VALUE"""),"TA661-45001")</f>
        <v>TA661-45001</v>
      </c>
      <c r="H28" s="2" t="str">
        <f>IFERROR(__xludf.DUMMYFUNCTION("""COMPUTED_VALUE"""),"256GB, Desert Titanium, ROW, iPhone 16 Pro, Logic Board Assy Mid System")</f>
        <v>256GB, Desert Titanium, ROW, iPhone 16 Pro, Logic Board Assy Mid System</v>
      </c>
      <c r="I28" s="2">
        <f>IFERROR(__xludf.DUMMYFUNCTION("""COMPUTED_VALUE"""),4.0)</f>
        <v>4</v>
      </c>
      <c r="M28" s="2"/>
      <c r="N28" s="2"/>
      <c r="O28" s="2" t="str">
        <f>IFERROR(__xludf.DUMMYFUNCTION("""COMPUTED_VALUE"""),"TA661-36694")</f>
        <v>TA661-36694</v>
      </c>
      <c r="P28" s="2" t="str">
        <f>IFERROR(__xludf.DUMMYFUNCTION("""COMPUTED_VALUE"""),"iPhone 15, Blue, 128GB, Logic Board Assy Mid System, ROW")</f>
        <v>iPhone 15, Blue, 128GB, Logic Board Assy Mid System, ROW</v>
      </c>
      <c r="Q28" s="2">
        <f>IFERROR(__xludf.DUMMYFUNCTION("""COMPUTED_VALUE"""),35.0)</f>
        <v>35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>
      <c r="A29" s="3" t="str">
        <f t="shared" si="1"/>
        <v>January</v>
      </c>
      <c r="B29" s="11">
        <f>IFERROR(__xludf.DUMMYFUNCTION("""COMPUTED_VALUE"""),46040.0)</f>
        <v>46040</v>
      </c>
      <c r="C29" s="2" t="str">
        <f>IFERROR(__xludf.DUMMYFUNCTION("""COMPUTED_VALUE"""),"MOBILECARE - DAVAO")</f>
        <v>MOBILECARE - DAVAO</v>
      </c>
      <c r="D29" s="2" t="str">
        <f>IFERROR(__xludf.DUMMYFUNCTION("""COMPUTED_VALUE"""),"PP661-28879")</f>
        <v>PP661-28879</v>
      </c>
      <c r="E29" s="2" t="str">
        <f>IFERROR(__xludf.DUMMYFUNCTION("""COMPUTED_VALUE"""),"iPhone 14, Starlight, 512GB, Logic Board Assy Mid System, ROW")</f>
        <v>iPhone 14, Starlight, 512GB, Logic Board Assy Mid System, ROW</v>
      </c>
      <c r="F29" s="2"/>
      <c r="G29" s="2" t="str">
        <f>IFERROR(__xludf.DUMMYFUNCTION("""COMPUTED_VALUE"""),"TA661-43611")</f>
        <v>TA661-43611</v>
      </c>
      <c r="H29" s="2" t="str">
        <f>IFERROR(__xludf.DUMMYFUNCTION("""COMPUTED_VALUE"""),"256GB, White, ROW, iPhone 16, Logic Board Assy Mid System")</f>
        <v>256GB, White, ROW, iPhone 16, Logic Board Assy Mid System</v>
      </c>
      <c r="I29" s="2">
        <f>IFERROR(__xludf.DUMMYFUNCTION("""COMPUTED_VALUE"""),4.0)</f>
        <v>4</v>
      </c>
      <c r="M29" s="2"/>
      <c r="N29" s="2"/>
      <c r="O29" s="2" t="str">
        <f>IFERROR(__xludf.DUMMYFUNCTION("""COMPUTED_VALUE"""),"PP661-28869")</f>
        <v>PP661-28869</v>
      </c>
      <c r="P29" s="2" t="str">
        <f>IFERROR(__xludf.DUMMYFUNCTION("""COMPUTED_VALUE"""),"iPhone 14, Starlight, 128GB, Logic Board Assy Mid System, ROW")</f>
        <v>iPhone 14, Starlight, 128GB, Logic Board Assy Mid System, ROW</v>
      </c>
      <c r="Q29" s="2">
        <f>IFERROR(__xludf.DUMMYFUNCTION("""COMPUTED_VALUE"""),27.0)</f>
        <v>27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>
      <c r="A30" s="3" t="str">
        <f t="shared" si="1"/>
        <v>January</v>
      </c>
      <c r="B30" s="11">
        <f>IFERROR(__xludf.DUMMYFUNCTION("""COMPUTED_VALUE"""),46033.0)</f>
        <v>46033</v>
      </c>
      <c r="C30" s="2" t="str">
        <f>IFERROR(__xludf.DUMMYFUNCTION("""COMPUTED_VALUE"""),"MOBILECARE - DAVAO")</f>
        <v>MOBILECARE - DAVAO</v>
      </c>
      <c r="D30" s="2" t="str">
        <f>IFERROR(__xludf.DUMMYFUNCTION("""COMPUTED_VALUE"""),"TA661-45001")</f>
        <v>TA661-45001</v>
      </c>
      <c r="E30" s="2" t="str">
        <f>IFERROR(__xludf.DUMMYFUNCTION("""COMPUTED_VALUE"""),"256GB, Desert Titanium, ROW, iPhone 16 Pro, Logic Board Assy Mid System")</f>
        <v>256GB, Desert Titanium, ROW, iPhone 16 Pro, Logic Board Assy Mid System</v>
      </c>
      <c r="F30" s="2"/>
      <c r="G30" s="2" t="str">
        <f>IFERROR(__xludf.DUMMYFUNCTION("""COMPUTED_VALUE"""),"PP661-28874")</f>
        <v>PP661-28874</v>
      </c>
      <c r="H30" s="2" t="str">
        <f>IFERROR(__xludf.DUMMYFUNCTION("""COMPUTED_VALUE"""),"iPhone 14, Starlight, 256GB, Logic Board Assy Mid System, ROW")</f>
        <v>iPhone 14, Starlight, 256GB, Logic Board Assy Mid System, ROW</v>
      </c>
      <c r="I30" s="2">
        <f>IFERROR(__xludf.DUMMYFUNCTION("""COMPUTED_VALUE"""),4.0)</f>
        <v>4</v>
      </c>
      <c r="M30" s="2"/>
      <c r="N30" s="2"/>
      <c r="O30" s="2" t="str">
        <f>IFERROR(__xludf.DUMMYFUNCTION("""COMPUTED_VALUE"""),"TA661-36691")</f>
        <v>TA661-36691</v>
      </c>
      <c r="P30" s="2" t="str">
        <f>IFERROR(__xludf.DUMMYFUNCTION("""COMPUTED_VALUE"""),"iPhone 15, Black, 128GB, Logic Board Assy Mid System, ROW")</f>
        <v>iPhone 15, Black, 128GB, Logic Board Assy Mid System, ROW</v>
      </c>
      <c r="Q30" s="2">
        <f>IFERROR(__xludf.DUMMYFUNCTION("""COMPUTED_VALUE"""),23.0)</f>
        <v>23</v>
      </c>
      <c r="R30" s="2"/>
      <c r="S30" s="2"/>
      <c r="T30" s="23" t="s">
        <v>23</v>
      </c>
      <c r="U30" s="23" t="s">
        <v>24</v>
      </c>
      <c r="V30" s="23" t="s">
        <v>328</v>
      </c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>
      <c r="A31" s="3" t="str">
        <f t="shared" si="1"/>
        <v>January</v>
      </c>
      <c r="B31" s="11">
        <f>IFERROR(__xludf.DUMMYFUNCTION("""COMPUTED_VALUE"""),46033.0)</f>
        <v>46033</v>
      </c>
      <c r="C31" s="2" t="str">
        <f>IFERROR(__xludf.DUMMYFUNCTION("""COMPUTED_VALUE"""),"MOBILECARE - DAVAO")</f>
        <v>MOBILECARE - DAVAO</v>
      </c>
      <c r="D31" s="2" t="str">
        <f>IFERROR(__xludf.DUMMYFUNCTION("""COMPUTED_VALUE"""),"PP661-28868")</f>
        <v>PP661-28868</v>
      </c>
      <c r="E31" s="2" t="str">
        <f>IFERROR(__xludf.DUMMYFUNCTION("""COMPUTED_VALUE"""),"iPhone 14, Midnight, 128GB, Logic Board Assy Mid System, ROW")</f>
        <v>iPhone 14, Midnight, 128GB, Logic Board Assy Mid System, ROW</v>
      </c>
      <c r="F31" s="2"/>
      <c r="G31" s="2" t="str">
        <f>IFERROR(__xludf.DUMMYFUNCTION("""COMPUTED_VALUE"""),"TA661-45000")</f>
        <v>TA661-45000</v>
      </c>
      <c r="H31" s="2" t="str">
        <f>IFERROR(__xludf.DUMMYFUNCTION("""COMPUTED_VALUE"""),"256GB, White Titanium, ROW, iPhone 16 Pro, Logic Board Assy Mid System")</f>
        <v>256GB, White Titanium, ROW, iPhone 16 Pro, Logic Board Assy Mid System</v>
      </c>
      <c r="I31" s="2">
        <f>IFERROR(__xludf.DUMMYFUNCTION("""COMPUTED_VALUE"""),4.0)</f>
        <v>4</v>
      </c>
      <c r="M31" s="2"/>
      <c r="N31" s="2"/>
      <c r="O31" s="2" t="str">
        <f>IFERROR(__xludf.DUMMYFUNCTION("""COMPUTED_VALUE"""),"PP661-28871")</f>
        <v>PP661-28871</v>
      </c>
      <c r="P31" s="2" t="str">
        <f>IFERROR(__xludf.DUMMYFUNCTION("""COMPUTED_VALUE"""),"iPhone 14, Blue, 128GB, Logic Board Assy Mid System, ROW")</f>
        <v>iPhone 14, Blue, 128GB, Logic Board Assy Mid System, ROW</v>
      </c>
      <c r="Q31" s="2">
        <f>IFERROR(__xludf.DUMMYFUNCTION("""COMPUTED_VALUE"""),17.0)</f>
        <v>17</v>
      </c>
      <c r="R31" s="2"/>
      <c r="S31" s="2"/>
      <c r="T31" s="2" t="str">
        <f>IFERROR(__xludf.DUMMYFUNCTION("QUERY('Systems&amp;BackGlass'!A3:E1000, 
  ""SELECT D, E, COUNT(D) 
   WHERE lower(E) CONTAINS 'rear system' "" &amp; 
   IF(T2=""All"", """", ""AND lower(A) = '"" &amp; LOWER(TRIM(T2)) &amp; ""' "") &amp; 
  ""GROUP BY D, E 
   ORDER BY COUNT(D) DESC 
   LABEL COUNT(D) ''"""&amp;", 
0)"),"PP661-23455")</f>
        <v>PP661-23455</v>
      </c>
      <c r="U31" s="2" t="str">
        <f>IFERROR(__xludf.DUMMYFUNCTION("""COMPUTED_VALUE"""),"iPhone 13, Starlight, 128GB, Logic Board Assy Rear System, ROW")</f>
        <v>iPhone 13, Starlight, 128GB, Logic Board Assy Rear System, ROW</v>
      </c>
      <c r="V31" s="2">
        <f>IFERROR(__xludf.DUMMYFUNCTION("""COMPUTED_VALUE"""),212.0)</f>
        <v>212</v>
      </c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>
      <c r="A32" s="3" t="str">
        <f t="shared" si="1"/>
        <v>January</v>
      </c>
      <c r="B32" s="11">
        <f>IFERROR(__xludf.DUMMYFUNCTION("""COMPUTED_VALUE"""),46034.0)</f>
        <v>46034</v>
      </c>
      <c r="C32" s="2" t="str">
        <f>IFERROR(__xludf.DUMMYFUNCTION("""COMPUTED_VALUE"""),"MOBILECARE - DAVAO")</f>
        <v>MOBILECARE - DAVAO</v>
      </c>
      <c r="D32" s="2" t="str">
        <f>IFERROR(__xludf.DUMMYFUNCTION("""COMPUTED_VALUE"""),"PP661-23455")</f>
        <v>PP661-23455</v>
      </c>
      <c r="E32" s="2" t="str">
        <f>IFERROR(__xludf.DUMMYFUNCTION("""COMPUTED_VALUE"""),"iPhone 13, Starlight, 128GB, Logic Board Assy Rear System, ROW")</f>
        <v>iPhone 13, Starlight, 128GB, Logic Board Assy Rear System, ROW</v>
      </c>
      <c r="F32" s="2"/>
      <c r="G32" s="2" t="str">
        <f>IFERROR(__xludf.DUMMYFUNCTION("""COMPUTED_VALUE"""),"PP661-23460")</f>
        <v>PP661-23460</v>
      </c>
      <c r="H32" s="2" t="str">
        <f>IFERROR(__xludf.DUMMYFUNCTION("""COMPUTED_VALUE"""),"iPhone 13, Starlight, 256GB, Logic Board Assy Rear System, ROW")</f>
        <v>iPhone 13, Starlight, 256GB, Logic Board Assy Rear System, ROW</v>
      </c>
      <c r="I32" s="2">
        <f>IFERROR(__xludf.DUMMYFUNCTION("""COMPUTED_VALUE"""),4.0)</f>
        <v>4</v>
      </c>
      <c r="M32" s="2"/>
      <c r="N32" s="2"/>
      <c r="O32" s="2" t="str">
        <f>IFERROR(__xludf.DUMMYFUNCTION("""COMPUTED_VALUE"""),"TA661-36692")</f>
        <v>TA661-36692</v>
      </c>
      <c r="P32" s="2" t="str">
        <f>IFERROR(__xludf.DUMMYFUNCTION("""COMPUTED_VALUE"""),"iPhone 15, Pink, 128GB, Logic Board Assy Mid System, ROW")</f>
        <v>iPhone 15, Pink, 128GB, Logic Board Assy Mid System, ROW</v>
      </c>
      <c r="Q32" s="2">
        <f>IFERROR(__xludf.DUMMYFUNCTION("""COMPUTED_VALUE"""),12.0)</f>
        <v>12</v>
      </c>
      <c r="R32" s="2"/>
      <c r="S32" s="2"/>
      <c r="T32" s="2" t="str">
        <f>IFERROR(__xludf.DUMMYFUNCTION("""COMPUTED_VALUE"""),"PP661-23454")</f>
        <v>PP661-23454</v>
      </c>
      <c r="U32" s="2" t="str">
        <f>IFERROR(__xludf.DUMMYFUNCTION("""COMPUTED_VALUE"""),"iPhone 13, Midnight, 128GB, Logic Board Assy Rear System, ROW")</f>
        <v>iPhone 13, Midnight, 128GB, Logic Board Assy Rear System, ROW</v>
      </c>
      <c r="V32" s="2">
        <f>IFERROR(__xludf.DUMMYFUNCTION("""COMPUTED_VALUE"""),149.0)</f>
        <v>149</v>
      </c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>
      <c r="A33" s="3" t="str">
        <f t="shared" si="1"/>
        <v>January</v>
      </c>
      <c r="B33" s="11">
        <f>IFERROR(__xludf.DUMMYFUNCTION("""COMPUTED_VALUE"""),46037.0)</f>
        <v>46037</v>
      </c>
      <c r="C33" s="2" t="str">
        <f>IFERROR(__xludf.DUMMYFUNCTION("""COMPUTED_VALUE"""),"MOBILECARE - DAVAO")</f>
        <v>MOBILECARE - DAVAO</v>
      </c>
      <c r="D33" s="2" t="str">
        <f>IFERROR(__xludf.DUMMYFUNCTION("""COMPUTED_VALUE"""),"PP661-23455")</f>
        <v>PP661-23455</v>
      </c>
      <c r="E33" s="2" t="str">
        <f>IFERROR(__xludf.DUMMYFUNCTION("""COMPUTED_VALUE"""),"iPhone 13, Starlight, 128GB, Logic Board Assy Rear System, ROW")</f>
        <v>iPhone 13, Starlight, 128GB, Logic Board Assy Rear System, ROW</v>
      </c>
      <c r="F33" s="2"/>
      <c r="G33" s="2" t="str">
        <f>IFERROR(__xludf.DUMMYFUNCTION("""COMPUTED_VALUE"""),"661-44961")</f>
        <v>661-44961</v>
      </c>
      <c r="H33" s="2" t="str">
        <f>IFERROR(__xludf.DUMMYFUNCTION("""COMPUTED_VALUE"""),"Natural Titanium, Back Glass, iPhone 16 Pro Max")</f>
        <v>Natural Titanium, Back Glass, iPhone 16 Pro Max</v>
      </c>
      <c r="I33" s="2">
        <f>IFERROR(__xludf.DUMMYFUNCTION("""COMPUTED_VALUE"""),4.0)</f>
        <v>4</v>
      </c>
      <c r="M33" s="2"/>
      <c r="N33" s="2"/>
      <c r="O33" s="2" t="str">
        <f>IFERROR(__xludf.DUMMYFUNCTION("""COMPUTED_VALUE"""),"TA661-43606")</f>
        <v>TA661-43606</v>
      </c>
      <c r="P33" s="2" t="str">
        <f>IFERROR(__xludf.DUMMYFUNCTION("""COMPUTED_VALUE"""),"128GB, White, ROW, iPhone 16, Logic Board Assy Mid System")</f>
        <v>128GB, White, ROW, iPhone 16, Logic Board Assy Mid System</v>
      </c>
      <c r="Q33" s="2">
        <f>IFERROR(__xludf.DUMMYFUNCTION("""COMPUTED_VALUE"""),12.0)</f>
        <v>12</v>
      </c>
      <c r="R33" s="2"/>
      <c r="S33" s="2"/>
      <c r="T33" s="2" t="str">
        <f>IFERROR(__xludf.DUMMYFUNCTION("""COMPUTED_VALUE"""),"PP661-23460")</f>
        <v>PP661-23460</v>
      </c>
      <c r="U33" s="2" t="str">
        <f>IFERROR(__xludf.DUMMYFUNCTION("""COMPUTED_VALUE"""),"iPhone 13, Starlight, 256GB, Logic Board Assy Rear System, ROW")</f>
        <v>iPhone 13, Starlight, 256GB, Logic Board Assy Rear System, ROW</v>
      </c>
      <c r="V33" s="2">
        <f>IFERROR(__xludf.DUMMYFUNCTION("""COMPUTED_VALUE"""),4.0)</f>
        <v>4</v>
      </c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>
      <c r="A34" s="3" t="str">
        <f t="shared" si="1"/>
        <v>January</v>
      </c>
      <c r="B34" s="11">
        <f>IFERROR(__xludf.DUMMYFUNCTION("""COMPUTED_VALUE"""),46032.0)</f>
        <v>46032</v>
      </c>
      <c r="C34" s="2" t="str">
        <f>IFERROR(__xludf.DUMMYFUNCTION("""COMPUTED_VALUE"""),"MOBILECARE - DAVAO")</f>
        <v>MOBILECARE - DAVAO</v>
      </c>
      <c r="D34" s="2" t="str">
        <f>IFERROR(__xludf.DUMMYFUNCTION("""COMPUTED_VALUE"""),"PP661-23455")</f>
        <v>PP661-23455</v>
      </c>
      <c r="E34" s="2" t="str">
        <f>IFERROR(__xludf.DUMMYFUNCTION("""COMPUTED_VALUE"""),"iPhone 13, Starlight, 128GB, Logic Board Assy Rear System, ROW")</f>
        <v>iPhone 13, Starlight, 128GB, Logic Board Assy Rear System, ROW</v>
      </c>
      <c r="F34" s="2"/>
      <c r="G34" s="2" t="str">
        <f>IFERROR(__xludf.DUMMYFUNCTION("""COMPUTED_VALUE"""),"TA661-36693")</f>
        <v>TA661-36693</v>
      </c>
      <c r="H34" s="2" t="str">
        <f>IFERROR(__xludf.DUMMYFUNCTION("""COMPUTED_VALUE"""),"iPhone 15, Yellow, 128GB, Logic Board Assy Mid System, ROW")</f>
        <v>iPhone 15, Yellow, 128GB, Logic Board Assy Mid System, ROW</v>
      </c>
      <c r="I34" s="2">
        <f>IFERROR(__xludf.DUMMYFUNCTION("""COMPUTED_VALUE"""),3.0)</f>
        <v>3</v>
      </c>
      <c r="M34" s="2"/>
      <c r="N34" s="2"/>
      <c r="O34" s="2" t="str">
        <f>IFERROR(__xludf.DUMMYFUNCTION("""COMPUTED_VALUE"""),"TA661-43605")</f>
        <v>TA661-43605</v>
      </c>
      <c r="P34" s="2" t="str">
        <f>IFERROR(__xludf.DUMMYFUNCTION("""COMPUTED_VALUE"""),"128GB, Black, ROW, iPhone 16, Logic Board Assy Mid System")</f>
        <v>128GB, Black, ROW, iPhone 16, Logic Board Assy Mid System</v>
      </c>
      <c r="Q34" s="2">
        <f>IFERROR(__xludf.DUMMYFUNCTION("""COMPUTED_VALUE"""),11.0)</f>
        <v>11</v>
      </c>
      <c r="R34" s="2"/>
      <c r="S34" s="2"/>
      <c r="T34" s="2" t="str">
        <f>IFERROR(__xludf.DUMMYFUNCTION("""COMPUTED_VALUE"""),"PP661-23461")</f>
        <v>PP661-23461</v>
      </c>
      <c r="U34" s="2" t="str">
        <f>IFERROR(__xludf.DUMMYFUNCTION("""COMPUTED_VALUE"""),"iPhone 13, Pink, 256GB, Logic Board Assy Rear System, ROW")</f>
        <v>iPhone 13, Pink, 256GB, Logic Board Assy Rear System, ROW</v>
      </c>
      <c r="V34" s="2">
        <f>IFERROR(__xludf.DUMMYFUNCTION("""COMPUTED_VALUE"""),2.0)</f>
        <v>2</v>
      </c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>
      <c r="A35" s="3" t="str">
        <f t="shared" si="1"/>
        <v>January</v>
      </c>
      <c r="B35" s="11">
        <f>IFERROR(__xludf.DUMMYFUNCTION("""COMPUTED_VALUE"""),46031.0)</f>
        <v>46031</v>
      </c>
      <c r="C35" s="2" t="str">
        <f>IFERROR(__xludf.DUMMYFUNCTION("""COMPUTED_VALUE"""),"MOBILECARE - DAVAO")</f>
        <v>MOBILECARE - DAVAO</v>
      </c>
      <c r="D35" s="2" t="str">
        <f>IFERROR(__xludf.DUMMYFUNCTION("""COMPUTED_VALUE"""),"PP661-23454")</f>
        <v>PP661-23454</v>
      </c>
      <c r="E35" s="2" t="str">
        <f>IFERROR(__xludf.DUMMYFUNCTION("""COMPUTED_VALUE"""),"iPhone 13, Midnight, 128GB, Logic Board Assy Rear System, ROW")</f>
        <v>iPhone 13, Midnight, 128GB, Logic Board Assy Rear System, ROW</v>
      </c>
      <c r="F35" s="2"/>
      <c r="G35" s="2" t="str">
        <f>IFERROR(__xludf.DUMMYFUNCTION("""COMPUTED_VALUE"""),"TA661-45235")</f>
        <v>TA661-45235</v>
      </c>
      <c r="H35" s="2" t="str">
        <f>IFERROR(__xludf.DUMMYFUNCTION("""COMPUTED_VALUE"""),"128GB, Teal, ROW, iPhone 16 Plus, Logic Board Assy Mid System")</f>
        <v>128GB, Teal, ROW, iPhone 16 Plus, Logic Board Assy Mid System</v>
      </c>
      <c r="I35" s="2">
        <f>IFERROR(__xludf.DUMMYFUNCTION("""COMPUTED_VALUE"""),3.0)</f>
        <v>3</v>
      </c>
      <c r="M35" s="2"/>
      <c r="N35" s="2"/>
      <c r="O35" s="2" t="str">
        <f>IFERROR(__xludf.DUMMYFUNCTION("""COMPUTED_VALUE"""),"TA661-36696")</f>
        <v>TA661-36696</v>
      </c>
      <c r="P35" s="2" t="str">
        <f>IFERROR(__xludf.DUMMYFUNCTION("""COMPUTED_VALUE"""),"iPhone 15, Black, 256GB, Logic Board Assy Mid System, ROW")</f>
        <v>iPhone 15, Black, 256GB, Logic Board Assy Mid System, ROW</v>
      </c>
      <c r="Q35" s="2">
        <f>IFERROR(__xludf.DUMMYFUNCTION("""COMPUTED_VALUE"""),9.0)</f>
        <v>9</v>
      </c>
      <c r="R35" s="2"/>
      <c r="S35" s="2"/>
      <c r="T35" s="2" t="str">
        <f>IFERROR(__xludf.DUMMYFUNCTION("""COMPUTED_VALUE"""),"PP661-23467")</f>
        <v>PP661-23467</v>
      </c>
      <c r="U35" s="2" t="str">
        <f>IFERROR(__xludf.DUMMYFUNCTION("""COMPUTED_VALUE"""),"iPhone 13, Red, 512GB, Logic Board Assy Rear System, ROW")</f>
        <v>iPhone 13, Red, 512GB, Logic Board Assy Rear System, ROW</v>
      </c>
      <c r="V35" s="2">
        <f>IFERROR(__xludf.DUMMYFUNCTION("""COMPUTED_VALUE"""),1.0)</f>
        <v>1</v>
      </c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>
      <c r="A36" s="3" t="str">
        <f t="shared" si="1"/>
        <v>January</v>
      </c>
      <c r="B36" s="11">
        <f>IFERROR(__xludf.DUMMYFUNCTION("""COMPUTED_VALUE"""),46033.0)</f>
        <v>46033</v>
      </c>
      <c r="C36" s="2" t="str">
        <f>IFERROR(__xludf.DUMMYFUNCTION("""COMPUTED_VALUE"""),"MOBILECARE - DAVAO")</f>
        <v>MOBILECARE - DAVAO</v>
      </c>
      <c r="D36" s="2" t="str">
        <f>IFERROR(__xludf.DUMMYFUNCTION("""COMPUTED_VALUE"""),"PP661-23455")</f>
        <v>PP661-23455</v>
      </c>
      <c r="E36" s="2" t="str">
        <f>IFERROR(__xludf.DUMMYFUNCTION("""COMPUTED_VALUE"""),"iPhone 13, Starlight, 128GB, Logic Board Assy Rear System, ROW")</f>
        <v>iPhone 13, Starlight, 128GB, Logic Board Assy Rear System, ROW</v>
      </c>
      <c r="F36" s="2"/>
      <c r="G36" s="2" t="str">
        <f>IFERROR(__xludf.DUMMYFUNCTION("""COMPUTED_VALUE"""),"TA661-45233")</f>
        <v>TA661-45233</v>
      </c>
      <c r="H36" s="2" t="str">
        <f>IFERROR(__xludf.DUMMYFUNCTION("""COMPUTED_VALUE"""),"128GB, Pink, ROW, iPhone 16 Plus, Logic Board Assy Mid System")</f>
        <v>128GB, Pink, ROW, iPhone 16 Plus, Logic Board Assy Mid System</v>
      </c>
      <c r="I36" s="2">
        <f>IFERROR(__xludf.DUMMYFUNCTION("""COMPUTED_VALUE"""),3.0)</f>
        <v>3</v>
      </c>
      <c r="M36" s="2"/>
      <c r="N36" s="2"/>
      <c r="O36" s="2" t="str">
        <f>IFERROR(__xludf.DUMMYFUNCTION("""COMPUTED_VALUE"""),"TA661-36697")</f>
        <v>TA661-36697</v>
      </c>
      <c r="P36" s="2" t="str">
        <f>IFERROR(__xludf.DUMMYFUNCTION("""COMPUTED_VALUE"""),"iPhone 15, Pink, 256GB, Logic Board Assy Mid System, ROW")</f>
        <v>iPhone 15, Pink, 256GB, Logic Board Assy Mid System, ROW</v>
      </c>
      <c r="Q36" s="2">
        <f>IFERROR(__xludf.DUMMYFUNCTION("""COMPUTED_VALUE"""),9.0)</f>
        <v>9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>
      <c r="A37" s="3" t="str">
        <f t="shared" si="1"/>
        <v>January</v>
      </c>
      <c r="B37" s="11">
        <f>IFERROR(__xludf.DUMMYFUNCTION("""COMPUTED_VALUE"""),46025.0)</f>
        <v>46025</v>
      </c>
      <c r="C37" s="2" t="str">
        <f>IFERROR(__xludf.DUMMYFUNCTION("""COMPUTED_VALUE"""),"MOBILECARE - DAVAO")</f>
        <v>MOBILECARE - DAVAO</v>
      </c>
      <c r="D37" s="2" t="str">
        <f>IFERROR(__xludf.DUMMYFUNCTION("""COMPUTED_VALUE"""),"TA661-43608")</f>
        <v>TA661-43608</v>
      </c>
      <c r="E37" s="2" t="str">
        <f>IFERROR(__xludf.DUMMYFUNCTION("""COMPUTED_VALUE"""),"128GB, Ultramarine, ROW, iPhone 16, Logic Board Assy Mid System")</f>
        <v>128GB, Ultramarine, ROW, iPhone 16, Logic Board Assy Mid System</v>
      </c>
      <c r="F37" s="2"/>
      <c r="G37" s="2" t="str">
        <f>IFERROR(__xludf.DUMMYFUNCTION("""COMPUTED_VALUE"""),"TA661-45002")</f>
        <v>TA661-45002</v>
      </c>
      <c r="H37" s="2" t="str">
        <f>IFERROR(__xludf.DUMMYFUNCTION("""COMPUTED_VALUE"""),"256GB, Natural Titanium, ROW, iPhone 16 Pro, Logic Board Assy Mid System")</f>
        <v>256GB, Natural Titanium, ROW, iPhone 16 Pro, Logic Board Assy Mid System</v>
      </c>
      <c r="I37" s="2">
        <f>IFERROR(__xludf.DUMMYFUNCTION("""COMPUTED_VALUE"""),3.0)</f>
        <v>3</v>
      </c>
      <c r="M37" s="2"/>
      <c r="N37" s="2"/>
      <c r="O37" s="2" t="str">
        <f>IFERROR(__xludf.DUMMYFUNCTION("""COMPUTED_VALUE"""),"TA661-43609")</f>
        <v>TA661-43609</v>
      </c>
      <c r="P37" s="2" t="str">
        <f>IFERROR(__xludf.DUMMYFUNCTION("""COMPUTED_VALUE"""),"128GB, Teal, ROW, iPhone 16, Logic Board Assy Mid System")</f>
        <v>128GB, Teal, ROW, iPhone 16, Logic Board Assy Mid System</v>
      </c>
      <c r="Q37" s="2">
        <f>IFERROR(__xludf.DUMMYFUNCTION("""COMPUTED_VALUE"""),8.0)</f>
        <v>8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>
      <c r="A38" s="3" t="str">
        <f t="shared" si="1"/>
        <v>January</v>
      </c>
      <c r="B38" s="11">
        <f>IFERROR(__xludf.DUMMYFUNCTION("""COMPUTED_VALUE"""),46026.0)</f>
        <v>46026</v>
      </c>
      <c r="C38" s="2" t="str">
        <f>IFERROR(__xludf.DUMMYFUNCTION("""COMPUTED_VALUE"""),"MOBILECARE - DAVAO")</f>
        <v>MOBILECARE - DAVAO</v>
      </c>
      <c r="D38" s="2" t="str">
        <f>IFERROR(__xludf.DUMMYFUNCTION("""COMPUTED_VALUE"""),"PP661-28871")</f>
        <v>PP661-28871</v>
      </c>
      <c r="E38" s="2" t="str">
        <f>IFERROR(__xludf.DUMMYFUNCTION("""COMPUTED_VALUE"""),"iPhone 14, Blue, 128GB, Logic Board Assy Mid System, ROW")</f>
        <v>iPhone 14, Blue, 128GB, Logic Board Assy Mid System, ROW</v>
      </c>
      <c r="F38" s="2"/>
      <c r="G38" s="2" t="str">
        <f>IFERROR(__xludf.DUMMYFUNCTION("""COMPUTED_VALUE"""),"TA661-43612")</f>
        <v>TA661-43612</v>
      </c>
      <c r="H38" s="2" t="str">
        <f>IFERROR(__xludf.DUMMYFUNCTION("""COMPUTED_VALUE"""),"256GB, Pink, ROW, iPhone 16, Logic Board Assy Mid System")</f>
        <v>256GB, Pink, ROW, iPhone 16, Logic Board Assy Mid System</v>
      </c>
      <c r="I38" s="2">
        <f>IFERROR(__xludf.DUMMYFUNCTION("""COMPUTED_VALUE"""),3.0)</f>
        <v>3</v>
      </c>
      <c r="M38" s="2"/>
      <c r="N38" s="2"/>
      <c r="O38" s="2" t="str">
        <f>IFERROR(__xludf.DUMMYFUNCTION("""COMPUTED_VALUE"""),"TA661-45232")</f>
        <v>TA661-45232</v>
      </c>
      <c r="P38" s="2" t="str">
        <f>IFERROR(__xludf.DUMMYFUNCTION("""COMPUTED_VALUE"""),"128GB, White, ROW, iPhone 16 Plus, Logic Board Assy Mid System")</f>
        <v>128GB, White, ROW, iPhone 16 Plus, Logic Board Assy Mid System</v>
      </c>
      <c r="Q38" s="2">
        <f>IFERROR(__xludf.DUMMYFUNCTION("""COMPUTED_VALUE"""),8.0)</f>
        <v>8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>
      <c r="A39" s="3" t="str">
        <f t="shared" si="1"/>
        <v>January</v>
      </c>
      <c r="B39" s="11">
        <f>IFERROR(__xludf.DUMMYFUNCTION("""COMPUTED_VALUE"""),46028.0)</f>
        <v>46028</v>
      </c>
      <c r="C39" s="2" t="str">
        <f>IFERROR(__xludf.DUMMYFUNCTION("""COMPUTED_VALUE"""),"MOBILECARE - DAVAO")</f>
        <v>MOBILECARE - DAVAO</v>
      </c>
      <c r="D39" s="2" t="str">
        <f>IFERROR(__xludf.DUMMYFUNCTION("""COMPUTED_VALUE"""),"TA661-36694")</f>
        <v>TA661-36694</v>
      </c>
      <c r="E39" s="2" t="str">
        <f>IFERROR(__xludf.DUMMYFUNCTION("""COMPUTED_VALUE"""),"iPhone 15, Blue, 128GB, Logic Board Assy Mid System, ROW")</f>
        <v>iPhone 15, Blue, 128GB, Logic Board Assy Mid System, ROW</v>
      </c>
      <c r="F39" s="2"/>
      <c r="G39" s="2" t="str">
        <f>IFERROR(__xludf.DUMMYFUNCTION("""COMPUTED_VALUE"""),"661-36838")</f>
        <v>661-36838</v>
      </c>
      <c r="H39" s="2" t="str">
        <f>IFERROR(__xludf.DUMMYFUNCTION("""COMPUTED_VALUE"""),"Black, Back Glass, iPhone 15")</f>
        <v>Black, Back Glass, iPhone 15</v>
      </c>
      <c r="I39" s="2">
        <f>IFERROR(__xludf.DUMMYFUNCTION("""COMPUTED_VALUE"""),3.0)</f>
        <v>3</v>
      </c>
      <c r="M39" s="2"/>
      <c r="N39" s="2"/>
      <c r="O39" s="2" t="str">
        <f>IFERROR(__xludf.DUMMYFUNCTION("""COMPUTED_VALUE"""),"TA661-36695")</f>
        <v>TA661-36695</v>
      </c>
      <c r="P39" s="2" t="str">
        <f>IFERROR(__xludf.DUMMYFUNCTION("""COMPUTED_VALUE"""),"iPhone 15, Green, 128GB, Logic Board Assy Mid System, ROW")</f>
        <v>iPhone 15, Green, 128GB, Logic Board Assy Mid System, ROW</v>
      </c>
      <c r="Q39" s="2">
        <f>IFERROR(__xludf.DUMMYFUNCTION("""COMPUTED_VALUE"""),6.0)</f>
        <v>6</v>
      </c>
      <c r="R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>
      <c r="A40" s="3" t="str">
        <f t="shared" si="1"/>
        <v>January</v>
      </c>
      <c r="B40" s="11">
        <f>IFERROR(__xludf.DUMMYFUNCTION("""COMPUTED_VALUE"""),46053.0)</f>
        <v>46053</v>
      </c>
      <c r="C40" s="2" t="str">
        <f>IFERROR(__xludf.DUMMYFUNCTION("""COMPUTED_VALUE"""),"MOBILECARE - DAVAO")</f>
        <v>MOBILECARE - DAVAO</v>
      </c>
      <c r="D40" s="2" t="str">
        <f>IFERROR(__xludf.DUMMYFUNCTION("""COMPUTED_VALUE"""),"PP661-23454")</f>
        <v>PP661-23454</v>
      </c>
      <c r="E40" s="2" t="str">
        <f>IFERROR(__xludf.DUMMYFUNCTION("""COMPUTED_VALUE"""),"iPhone 13, Midnight, 128GB, Logic Board Assy Rear System, ROW")</f>
        <v>iPhone 13, Midnight, 128GB, Logic Board Assy Rear System, ROW</v>
      </c>
      <c r="F40" s="2"/>
      <c r="G40" s="2" t="str">
        <f>IFERROR(__xludf.DUMMYFUNCTION("""COMPUTED_VALUE"""),"TA661-45238")</f>
        <v>TA661-45238</v>
      </c>
      <c r="H40" s="2" t="str">
        <f>IFERROR(__xludf.DUMMYFUNCTION("""COMPUTED_VALUE"""),"256GB, Pink, ROW, iPhone 16 Plus, Logic Board Assy Mid System")</f>
        <v>256GB, Pink, ROW, iPhone 16 Plus, Logic Board Assy Mid System</v>
      </c>
      <c r="I40" s="2">
        <f>IFERROR(__xludf.DUMMYFUNCTION("""COMPUTED_VALUE"""),3.0)</f>
        <v>3</v>
      </c>
      <c r="M40" s="2"/>
      <c r="N40" s="2"/>
      <c r="O40" s="2" t="str">
        <f>IFERROR(__xludf.DUMMYFUNCTION("""COMPUTED_VALUE"""),"TA661-43607")</f>
        <v>TA661-43607</v>
      </c>
      <c r="P40" s="2" t="str">
        <f>IFERROR(__xludf.DUMMYFUNCTION("""COMPUTED_VALUE"""),"128GB, Pink, ROW, iPhone 16, Logic Board Assy Mid System")</f>
        <v>128GB, Pink, ROW, iPhone 16, Logic Board Assy Mid System</v>
      </c>
      <c r="Q40" s="2">
        <f>IFERROR(__xludf.DUMMYFUNCTION("""COMPUTED_VALUE"""),6.0)</f>
        <v>6</v>
      </c>
      <c r="R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>
      <c r="A41" s="3" t="str">
        <f t="shared" si="1"/>
        <v>January</v>
      </c>
      <c r="B41" s="11">
        <f>IFERROR(__xludf.DUMMYFUNCTION("""COMPUTED_VALUE"""),46053.0)</f>
        <v>46053</v>
      </c>
      <c r="C41" s="2" t="str">
        <f>IFERROR(__xludf.DUMMYFUNCTION("""COMPUTED_VALUE"""),"MOBILECARE - DAVAO")</f>
        <v>MOBILECARE - DAVAO</v>
      </c>
      <c r="D41" s="2" t="str">
        <f>IFERROR(__xludf.DUMMYFUNCTION("""COMPUTED_VALUE"""),"PP661-23454")</f>
        <v>PP661-23454</v>
      </c>
      <c r="E41" s="2" t="str">
        <f>IFERROR(__xludf.DUMMYFUNCTION("""COMPUTED_VALUE"""),"iPhone 13, Midnight, 128GB, Logic Board Assy Rear System, ROW")</f>
        <v>iPhone 13, Midnight, 128GB, Logic Board Assy Rear System, ROW</v>
      </c>
      <c r="F41" s="2"/>
      <c r="G41" s="2" t="str">
        <f>IFERROR(__xludf.DUMMYFUNCTION("""COMPUTED_VALUE"""),"661-30383")</f>
        <v>661-30383</v>
      </c>
      <c r="H41" s="2" t="str">
        <f>IFERROR(__xludf.DUMMYFUNCTION("""COMPUTED_VALUE"""),"Midnight, Back Glass, iPhone 14 Plus")</f>
        <v>Midnight, Back Glass, iPhone 14 Plus</v>
      </c>
      <c r="I41" s="2">
        <f>IFERROR(__xludf.DUMMYFUNCTION("""COMPUTED_VALUE"""),3.0)</f>
        <v>3</v>
      </c>
      <c r="M41" s="2"/>
      <c r="N41" s="2"/>
      <c r="O41" s="2" t="str">
        <f>IFERROR(__xludf.DUMMYFUNCTION("""COMPUTED_VALUE"""),"TA661-43608")</f>
        <v>TA661-43608</v>
      </c>
      <c r="P41" s="2" t="str">
        <f>IFERROR(__xludf.DUMMYFUNCTION("""COMPUTED_VALUE"""),"128GB, Ultramarine, ROW, iPhone 16, Logic Board Assy Mid System")</f>
        <v>128GB, Ultramarine, ROW, iPhone 16, Logic Board Assy Mid System</v>
      </c>
      <c r="Q41" s="2">
        <f>IFERROR(__xludf.DUMMYFUNCTION("""COMPUTED_VALUE"""),6.0)</f>
        <v>6</v>
      </c>
      <c r="R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>
      <c r="A42" s="3" t="str">
        <f t="shared" si="1"/>
        <v>January</v>
      </c>
      <c r="B42" s="11">
        <f>IFERROR(__xludf.DUMMYFUNCTION("""COMPUTED_VALUE"""),46025.0)</f>
        <v>46025</v>
      </c>
      <c r="C42" s="2" t="str">
        <f>IFERROR(__xludf.DUMMYFUNCTION("""COMPUTED_VALUE"""),"MOBILECARE - DAVAO")</f>
        <v>MOBILECARE - DAVAO</v>
      </c>
      <c r="D42" s="2" t="str">
        <f>IFERROR(__xludf.DUMMYFUNCTION("""COMPUTED_VALUE"""),"TA661-45232")</f>
        <v>TA661-45232</v>
      </c>
      <c r="E42" s="2" t="str">
        <f>IFERROR(__xludf.DUMMYFUNCTION("""COMPUTED_VALUE"""),"128GB, White, ROW, iPhone 16 Plus, Logic Board Assy Mid System")</f>
        <v>128GB, White, ROW, iPhone 16 Plus, Logic Board Assy Mid System</v>
      </c>
      <c r="F42" s="2"/>
      <c r="G42" s="2" t="str">
        <f>IFERROR(__xludf.DUMMYFUNCTION("""COMPUTED_VALUE"""),"TA661-43610")</f>
        <v>TA661-43610</v>
      </c>
      <c r="H42" s="2" t="str">
        <f>IFERROR(__xludf.DUMMYFUNCTION("""COMPUTED_VALUE"""),"256GB, Black, ROW, iPhone 16, Logic Board Assy Mid System")</f>
        <v>256GB, Black, ROW, iPhone 16, Logic Board Assy Mid System</v>
      </c>
      <c r="I42" s="2">
        <f>IFERROR(__xludf.DUMMYFUNCTION("""COMPUTED_VALUE"""),2.0)</f>
        <v>2</v>
      </c>
      <c r="M42" s="2"/>
      <c r="N42" s="2"/>
      <c r="O42" s="2" t="str">
        <f>IFERROR(__xludf.DUMMYFUNCTION("""COMPUTED_VALUE"""),"TA661-44995")</f>
        <v>TA661-44995</v>
      </c>
      <c r="P42" s="2" t="str">
        <f>IFERROR(__xludf.DUMMYFUNCTION("""COMPUTED_VALUE"""),"128GB, Black Titanium, ROW, iPhone 16 Pro, Logic Board Assy Mid System")</f>
        <v>128GB, Black Titanium, ROW, iPhone 16 Pro, Logic Board Assy Mid System</v>
      </c>
      <c r="Q42" s="2">
        <f>IFERROR(__xludf.DUMMYFUNCTION("""COMPUTED_VALUE"""),6.0)</f>
        <v>6</v>
      </c>
      <c r="R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>
      <c r="A43" s="3" t="str">
        <f t="shared" si="1"/>
        <v>January</v>
      </c>
      <c r="B43" s="11">
        <f>IFERROR(__xludf.DUMMYFUNCTION("""COMPUTED_VALUE"""),46025.0)</f>
        <v>46025</v>
      </c>
      <c r="C43" s="2" t="str">
        <f>IFERROR(__xludf.DUMMYFUNCTION("""COMPUTED_VALUE"""),"MOBILECARE - DAVAO")</f>
        <v>MOBILECARE - DAVAO</v>
      </c>
      <c r="D43" s="2" t="str">
        <f>IFERROR(__xludf.DUMMYFUNCTION("""COMPUTED_VALUE"""),"TA661-45232")</f>
        <v>TA661-45232</v>
      </c>
      <c r="E43" s="2" t="str">
        <f>IFERROR(__xludf.DUMMYFUNCTION("""COMPUTED_VALUE"""),"128GB, White, ROW, iPhone 16 Plus, Logic Board Assy Mid System")</f>
        <v>128GB, White, ROW, iPhone 16 Plus, Logic Board Assy Mid System</v>
      </c>
      <c r="F43" s="2"/>
      <c r="G43" s="2" t="str">
        <f>IFERROR(__xludf.DUMMYFUNCTION("""COMPUTED_VALUE"""),"PP661-28879")</f>
        <v>PP661-28879</v>
      </c>
      <c r="H43" s="2" t="str">
        <f>IFERROR(__xludf.DUMMYFUNCTION("""COMPUTED_VALUE"""),"iPhone 14, Starlight, 512GB, Logic Board Assy Mid System, ROW")</f>
        <v>iPhone 14, Starlight, 512GB, Logic Board Assy Mid System, ROW</v>
      </c>
      <c r="I43" s="2">
        <f>IFERROR(__xludf.DUMMYFUNCTION("""COMPUTED_VALUE"""),2.0)</f>
        <v>2</v>
      </c>
      <c r="M43" s="2"/>
      <c r="N43" s="2"/>
      <c r="O43" s="2" t="str">
        <f>IFERROR(__xludf.DUMMYFUNCTION("""COMPUTED_VALUE"""),"TA661-44997")</f>
        <v>TA661-44997</v>
      </c>
      <c r="P43" s="2" t="str">
        <f>IFERROR(__xludf.DUMMYFUNCTION("""COMPUTED_VALUE"""),"128GB, Desert Titanium, ROW, iPhone 16 Pro, Logic Board Assy Mid System")</f>
        <v>128GB, Desert Titanium, ROW, iPhone 16 Pro, Logic Board Assy Mid System</v>
      </c>
      <c r="Q43" s="2">
        <f>IFERROR(__xludf.DUMMYFUNCTION("""COMPUTED_VALUE"""),6.0)</f>
        <v>6</v>
      </c>
      <c r="R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>
      <c r="A44" s="3" t="str">
        <f t="shared" si="1"/>
        <v>January</v>
      </c>
      <c r="B44" s="11">
        <f>IFERROR(__xludf.DUMMYFUNCTION("""COMPUTED_VALUE"""),46030.0)</f>
        <v>46030</v>
      </c>
      <c r="C44" s="2" t="str">
        <f>IFERROR(__xludf.DUMMYFUNCTION("""COMPUTED_VALUE"""),"MOBILECARE - DAVAO")</f>
        <v>MOBILECARE - DAVAO</v>
      </c>
      <c r="D44" s="2" t="str">
        <f>IFERROR(__xludf.DUMMYFUNCTION("""COMPUTED_VALUE"""),"PP661-23455")</f>
        <v>PP661-23455</v>
      </c>
      <c r="E44" s="2" t="str">
        <f>IFERROR(__xludf.DUMMYFUNCTION("""COMPUTED_VALUE"""),"iPhone 13, Starlight, 128GB, Logic Board Assy Rear System, ROW")</f>
        <v>iPhone 13, Starlight, 128GB, Logic Board Assy Rear System, ROW</v>
      </c>
      <c r="F44" s="2"/>
      <c r="G44" s="2" t="str">
        <f>IFERROR(__xludf.DUMMYFUNCTION("""COMPUTED_VALUE"""),"661-35702")</f>
        <v>661-35702</v>
      </c>
      <c r="H44" s="2" t="str">
        <f>IFERROR(__xludf.DUMMYFUNCTION("""COMPUTED_VALUE"""),"Natural Titanium, Back Glass, iPhone 15 Pro")</f>
        <v>Natural Titanium, Back Glass, iPhone 15 Pro</v>
      </c>
      <c r="I44" s="2">
        <f>IFERROR(__xludf.DUMMYFUNCTION("""COMPUTED_VALUE"""),2.0)</f>
        <v>2</v>
      </c>
      <c r="M44" s="2"/>
      <c r="N44" s="2"/>
      <c r="O44" s="2" t="str">
        <f>IFERROR(__xludf.DUMMYFUNCTION("""COMPUTED_VALUE"""),"PP661-28873")</f>
        <v>PP661-28873</v>
      </c>
      <c r="P44" s="2" t="str">
        <f>IFERROR(__xludf.DUMMYFUNCTION("""COMPUTED_VALUE"""),"iPhone 14, Midnight, 256GB, Logic Board Assy Mid System, ROW")</f>
        <v>iPhone 14, Midnight, 256GB, Logic Board Assy Mid System, ROW</v>
      </c>
      <c r="Q44" s="2">
        <f>IFERROR(__xludf.DUMMYFUNCTION("""COMPUTED_VALUE"""),5.0)</f>
        <v>5</v>
      </c>
      <c r="R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>
      <c r="A45" s="3" t="str">
        <f t="shared" si="1"/>
        <v>January</v>
      </c>
      <c r="B45" s="11">
        <f>IFERROR(__xludf.DUMMYFUNCTION("""COMPUTED_VALUE"""),46030.0)</f>
        <v>46030</v>
      </c>
      <c r="C45" s="2" t="str">
        <f>IFERROR(__xludf.DUMMYFUNCTION("""COMPUTED_VALUE"""),"MOBILECARE - DAVAO")</f>
        <v>MOBILECARE - DAVAO</v>
      </c>
      <c r="D45" s="2" t="str">
        <f>IFERROR(__xludf.DUMMYFUNCTION("""COMPUTED_VALUE"""),"PP661-23455")</f>
        <v>PP661-23455</v>
      </c>
      <c r="E45" s="2" t="str">
        <f>IFERROR(__xludf.DUMMYFUNCTION("""COMPUTED_VALUE"""),"iPhone 13, Starlight, 128GB, Logic Board Assy Rear System, ROW")</f>
        <v>iPhone 13, Starlight, 128GB, Logic Board Assy Rear System, ROW</v>
      </c>
      <c r="F45" s="2"/>
      <c r="G45" s="2" t="str">
        <f>IFERROR(__xludf.DUMMYFUNCTION("""COMPUTED_VALUE"""),"661-42725")</f>
        <v>661-42725</v>
      </c>
      <c r="H45" s="2" t="str">
        <f>IFERROR(__xludf.DUMMYFUNCTION("""COMPUTED_VALUE"""),"Natural Titanium, Back Glass, iPhone 16 Pro")</f>
        <v>Natural Titanium, Back Glass, iPhone 16 Pro</v>
      </c>
      <c r="I45" s="2">
        <f>IFERROR(__xludf.DUMMYFUNCTION("""COMPUTED_VALUE"""),2.0)</f>
        <v>2</v>
      </c>
      <c r="M45" s="2"/>
      <c r="N45" s="2"/>
      <c r="O45" s="2" t="str">
        <f>IFERROR(__xludf.DUMMYFUNCTION("""COMPUTED_VALUE"""),"TA661-44999")</f>
        <v>TA661-44999</v>
      </c>
      <c r="P45" s="2" t="str">
        <f>IFERROR(__xludf.DUMMYFUNCTION("""COMPUTED_VALUE"""),"256GB, Black Titanium, ROW, iPhone 16 Pro, Logic Board Assy Mid System")</f>
        <v>256GB, Black Titanium, ROW, iPhone 16 Pro, Logic Board Assy Mid System</v>
      </c>
      <c r="Q45" s="2">
        <f>IFERROR(__xludf.DUMMYFUNCTION("""COMPUTED_VALUE"""),5.0)</f>
        <v>5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>
      <c r="A46" s="3" t="str">
        <f t="shared" si="1"/>
        <v>January</v>
      </c>
      <c r="B46" s="11">
        <f>IFERROR(__xludf.DUMMYFUNCTION("""COMPUTED_VALUE"""),46029.0)</f>
        <v>46029</v>
      </c>
      <c r="C46" s="2" t="str">
        <f>IFERROR(__xludf.DUMMYFUNCTION("""COMPUTED_VALUE"""),"MOBILECARE - DAVAO")</f>
        <v>MOBILECARE - DAVAO</v>
      </c>
      <c r="D46" s="2" t="str">
        <f>IFERROR(__xludf.DUMMYFUNCTION("""COMPUTED_VALUE"""),"PP661-23455")</f>
        <v>PP661-23455</v>
      </c>
      <c r="E46" s="2" t="str">
        <f>IFERROR(__xludf.DUMMYFUNCTION("""COMPUTED_VALUE"""),"iPhone 13, Starlight, 128GB, Logic Board Assy Rear System, ROW")</f>
        <v>iPhone 13, Starlight, 128GB, Logic Board Assy Rear System, ROW</v>
      </c>
      <c r="F46" s="2"/>
      <c r="G46" s="2" t="str">
        <f>IFERROR(__xludf.DUMMYFUNCTION("""COMPUTED_VALUE"""),"661-35700")</f>
        <v>661-35700</v>
      </c>
      <c r="H46" s="2" t="str">
        <f>IFERROR(__xludf.DUMMYFUNCTION("""COMPUTED_VALUE"""),"Black Titanium, Back Glass, iPhone 15 Pro")</f>
        <v>Black Titanium, Back Glass, iPhone 15 Pro</v>
      </c>
      <c r="I46" s="2">
        <f>IFERROR(__xludf.DUMMYFUNCTION("""COMPUTED_VALUE"""),2.0)</f>
        <v>2</v>
      </c>
      <c r="M46" s="2"/>
      <c r="N46" s="2"/>
      <c r="O46" s="2" t="str">
        <f>IFERROR(__xludf.DUMMYFUNCTION("""COMPUTED_VALUE"""),"TA661-45231")</f>
        <v>TA661-45231</v>
      </c>
      <c r="P46" s="2" t="str">
        <f>IFERROR(__xludf.DUMMYFUNCTION("""COMPUTED_VALUE"""),"128GB, Black, ROW, iPhone 16 Plus, Logic Board Assy Mid System")</f>
        <v>128GB, Black, ROW, iPhone 16 Plus, Logic Board Assy Mid System</v>
      </c>
      <c r="Q46" s="2">
        <f>IFERROR(__xludf.DUMMYFUNCTION("""COMPUTED_VALUE"""),5.0)</f>
        <v>5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>
      <c r="A47" s="3" t="str">
        <f t="shared" si="1"/>
        <v>January</v>
      </c>
      <c r="B47" s="11">
        <f>IFERROR(__xludf.DUMMYFUNCTION("""COMPUTED_VALUE"""),46029.0)</f>
        <v>46029</v>
      </c>
      <c r="C47" s="2" t="str">
        <f>IFERROR(__xludf.DUMMYFUNCTION("""COMPUTED_VALUE"""),"MOBILECARE - DAVAO")</f>
        <v>MOBILECARE - DAVAO</v>
      </c>
      <c r="D47" s="2" t="str">
        <f>IFERROR(__xludf.DUMMYFUNCTION("""COMPUTED_VALUE"""),"PP661-23455")</f>
        <v>PP661-23455</v>
      </c>
      <c r="E47" s="2" t="str">
        <f>IFERROR(__xludf.DUMMYFUNCTION("""COMPUTED_VALUE"""),"iPhone 13, Starlight, 128GB, Logic Board Assy Rear System, ROW")</f>
        <v>iPhone 13, Starlight, 128GB, Logic Board Assy Rear System, ROW</v>
      </c>
      <c r="F47" s="2"/>
      <c r="G47" s="2" t="str">
        <f>IFERROR(__xludf.DUMMYFUNCTION("""COMPUTED_VALUE"""),"661-42842")</f>
        <v>661-42842</v>
      </c>
      <c r="H47" s="2" t="str">
        <f>IFERROR(__xludf.DUMMYFUNCTION("""COMPUTED_VALUE"""),"TealBack Glass, iPhone 16 Plus")</f>
        <v>TealBack Glass, iPhone 16 Plus</v>
      </c>
      <c r="I47" s="2">
        <f>IFERROR(__xludf.DUMMYFUNCTION("""COMPUTED_VALUE"""),2.0)</f>
        <v>2</v>
      </c>
      <c r="M47" s="2"/>
      <c r="N47" s="2"/>
      <c r="O47" s="2" t="str">
        <f>IFERROR(__xludf.DUMMYFUNCTION("""COMPUTED_VALUE"""),"TA661-45236")</f>
        <v>TA661-45236</v>
      </c>
      <c r="P47" s="2" t="str">
        <f>IFERROR(__xludf.DUMMYFUNCTION("""COMPUTED_VALUE"""),"256GB, Black, ROW, iPhone 16 Plus, Logic Board Assy Mid System")</f>
        <v>256GB, Black, ROW, iPhone 16 Plus, Logic Board Assy Mid System</v>
      </c>
      <c r="Q47" s="2">
        <f>IFERROR(__xludf.DUMMYFUNCTION("""COMPUTED_VALUE"""),5.0)</f>
        <v>5</v>
      </c>
      <c r="R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>
      <c r="A48" s="3" t="str">
        <f t="shared" si="1"/>
        <v>January</v>
      </c>
      <c r="B48" s="11">
        <f>IFERROR(__xludf.DUMMYFUNCTION("""COMPUTED_VALUE"""),46025.0)</f>
        <v>46025</v>
      </c>
      <c r="C48" s="2" t="str">
        <f>IFERROR(__xludf.DUMMYFUNCTION("""COMPUTED_VALUE"""),"MOBILECARE - DAVAO")</f>
        <v>MOBILECARE - DAVAO</v>
      </c>
      <c r="D48" s="2" t="str">
        <f>IFERROR(__xludf.DUMMYFUNCTION("""COMPUTED_VALUE"""),"PP661-23455")</f>
        <v>PP661-23455</v>
      </c>
      <c r="E48" s="2" t="str">
        <f>IFERROR(__xludf.DUMMYFUNCTION("""COMPUTED_VALUE"""),"iPhone 13, Starlight, 128GB, Logic Board Assy Rear System, ROW")</f>
        <v>iPhone 13, Starlight, 128GB, Logic Board Assy Rear System, ROW</v>
      </c>
      <c r="F48" s="2"/>
      <c r="G48" s="2" t="str">
        <f>IFERROR(__xludf.DUMMYFUNCTION("""COMPUTED_VALUE"""),"661-56057")</f>
        <v>661-56057</v>
      </c>
      <c r="H48" s="2" t="str">
        <f>IFERROR(__xludf.DUMMYFUNCTION("""COMPUTED_VALUE"""),"Black, Back Glass, iPhone 17")</f>
        <v>Black, Back Glass, iPhone 17</v>
      </c>
      <c r="I48" s="2">
        <f>IFERROR(__xludf.DUMMYFUNCTION("""COMPUTED_VALUE"""),2.0)</f>
        <v>2</v>
      </c>
      <c r="M48" s="2"/>
      <c r="N48" s="2"/>
      <c r="O48" s="2" t="str">
        <f>IFERROR(__xludf.DUMMYFUNCTION("""COMPUTED_VALUE"""),"PP661-28874")</f>
        <v>PP661-28874</v>
      </c>
      <c r="P48" s="2" t="str">
        <f>IFERROR(__xludf.DUMMYFUNCTION("""COMPUTED_VALUE"""),"iPhone 14, Starlight, 256GB, Logic Board Assy Mid System, ROW")</f>
        <v>iPhone 14, Starlight, 256GB, Logic Board Assy Mid System, ROW</v>
      </c>
      <c r="Q48" s="2">
        <f>IFERROR(__xludf.DUMMYFUNCTION("""COMPUTED_VALUE"""),4.0)</f>
        <v>4</v>
      </c>
      <c r="R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>
      <c r="A49" s="3" t="str">
        <f t="shared" si="1"/>
        <v>January</v>
      </c>
      <c r="B49" s="11">
        <f>IFERROR(__xludf.DUMMYFUNCTION("""COMPUTED_VALUE"""),46025.0)</f>
        <v>46025</v>
      </c>
      <c r="C49" s="2" t="str">
        <f>IFERROR(__xludf.DUMMYFUNCTION("""COMPUTED_VALUE"""),"MOBILECARE - DAVAO")</f>
        <v>MOBILECARE - DAVAO</v>
      </c>
      <c r="D49" s="2" t="str">
        <f>IFERROR(__xludf.DUMMYFUNCTION("""COMPUTED_VALUE"""),"PP661-23455")</f>
        <v>PP661-23455</v>
      </c>
      <c r="E49" s="2" t="str">
        <f>IFERROR(__xludf.DUMMYFUNCTION("""COMPUTED_VALUE"""),"iPhone 13, Starlight, 128GB, Logic Board Assy Rear System, ROW")</f>
        <v>iPhone 13, Starlight, 128GB, Logic Board Assy Rear System, ROW</v>
      </c>
      <c r="F49" s="2"/>
      <c r="G49" s="2" t="str">
        <f>IFERROR(__xludf.DUMMYFUNCTION("""COMPUTED_VALUE"""),"TA661-44996")</f>
        <v>TA661-44996</v>
      </c>
      <c r="H49" s="2" t="str">
        <f>IFERROR(__xludf.DUMMYFUNCTION("""COMPUTED_VALUE"""),"128GB, White Titanium, ROW, iPhone 16 Pro, Logic Board Assy Mid System")</f>
        <v>128GB, White Titanium, ROW, iPhone 16 Pro, Logic Board Assy Mid System</v>
      </c>
      <c r="I49" s="2">
        <f>IFERROR(__xludf.DUMMYFUNCTION("""COMPUTED_VALUE"""),2.0)</f>
        <v>2</v>
      </c>
      <c r="M49" s="2"/>
      <c r="N49" s="2"/>
      <c r="O49" s="2" t="str">
        <f>IFERROR(__xludf.DUMMYFUNCTION("""COMPUTED_VALUE"""),"TA661-43611")</f>
        <v>TA661-43611</v>
      </c>
      <c r="P49" s="2" t="str">
        <f>IFERROR(__xludf.DUMMYFUNCTION("""COMPUTED_VALUE"""),"256GB, White, ROW, iPhone 16, Logic Board Assy Mid System")</f>
        <v>256GB, White, ROW, iPhone 16, Logic Board Assy Mid System</v>
      </c>
      <c r="Q49" s="2">
        <f>IFERROR(__xludf.DUMMYFUNCTION("""COMPUTED_VALUE"""),4.0)</f>
        <v>4</v>
      </c>
      <c r="R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>
      <c r="A50" s="3" t="str">
        <f t="shared" si="1"/>
        <v>June</v>
      </c>
      <c r="B50" s="11">
        <f>IFERROR(__xludf.DUMMYFUNCTION("""COMPUTED_VALUE"""),46185.0)</f>
        <v>46185</v>
      </c>
      <c r="C50" s="2" t="str">
        <f>IFERROR(__xludf.DUMMYFUNCTION("""COMPUTED_VALUE"""),"MOBILECARE - NEWPOINT MALL")</f>
        <v>MOBILECARE - NEWPOINT MALL</v>
      </c>
      <c r="D50" s="2" t="str">
        <f>IFERROR(__xludf.DUMMYFUNCTION("""COMPUTED_VALUE"""),"PP661-28869")</f>
        <v>PP661-28869</v>
      </c>
      <c r="E50" s="2" t="str">
        <f>IFERROR(__xludf.DUMMYFUNCTION("""COMPUTED_VALUE"""),"iPhone 14, Starlight, 128GB, Logic Board Assy Mid System, ROW")</f>
        <v>iPhone 14, Starlight, 128GB, Logic Board Assy Mid System, ROW</v>
      </c>
      <c r="F50" s="2"/>
      <c r="G50" s="2" t="str">
        <f>IFERROR(__xludf.DUMMYFUNCTION("""COMPUTED_VALUE"""),"TA661-49965")</f>
        <v>TA661-49965</v>
      </c>
      <c r="H50" s="2" t="str">
        <f>IFERROR(__xludf.DUMMYFUNCTION("""COMPUTED_VALUE"""),"White, 128GB, Logic Board Assy Mid System, iPhone 16e, ROW")</f>
        <v>White, 128GB, Logic Board Assy Mid System, iPhone 16e, ROW</v>
      </c>
      <c r="I50" s="2">
        <f>IFERROR(__xludf.DUMMYFUNCTION("""COMPUTED_VALUE"""),2.0)</f>
        <v>2</v>
      </c>
      <c r="M50" s="2"/>
      <c r="N50" s="2"/>
      <c r="O50" s="22" t="str">
        <f>IFERROR(__xludf.DUMMYFUNCTION("""COMPUTED_VALUE"""),"TA661-45000")</f>
        <v>TA661-45000</v>
      </c>
      <c r="P50" s="22" t="str">
        <f>IFERROR(__xludf.DUMMYFUNCTION("""COMPUTED_VALUE"""),"256GB, White Titanium, ROW, iPhone 16 Pro, Logic Board Assy Mid System")</f>
        <v>256GB, White Titanium, ROW, iPhone 16 Pro, Logic Board Assy Mid System</v>
      </c>
      <c r="Q50" s="22">
        <f>IFERROR(__xludf.DUMMYFUNCTION("""COMPUTED_VALUE"""),4.0)</f>
        <v>4</v>
      </c>
      <c r="R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>
      <c r="A51" s="3" t="str">
        <f t="shared" si="1"/>
        <v>April</v>
      </c>
      <c r="B51" s="11">
        <f>IFERROR(__xludf.DUMMYFUNCTION("""COMPUTED_VALUE"""),46135.0)</f>
        <v>46135</v>
      </c>
      <c r="C51" s="2" t="str">
        <f>IFERROR(__xludf.DUMMYFUNCTION("""COMPUTED_VALUE"""),"MOBILECARE - NEWPOINT MALL")</f>
        <v>MOBILECARE - NEWPOINT MALL</v>
      </c>
      <c r="D51" s="2" t="str">
        <f>IFERROR(__xludf.DUMMYFUNCTION("""COMPUTED_VALUE"""),"TA661-43608")</f>
        <v>TA661-43608</v>
      </c>
      <c r="E51" s="2" t="str">
        <f>IFERROR(__xludf.DUMMYFUNCTION("""COMPUTED_VALUE"""),"128GB, Ultramarine, ROW, iPhone 16, Logic Board Assy Mid System")</f>
        <v>128GB, Ultramarine, ROW, iPhone 16, Logic Board Assy Mid System</v>
      </c>
      <c r="F51" s="2"/>
      <c r="G51" s="2" t="str">
        <f>IFERROR(__xludf.DUMMYFUNCTION("""COMPUTED_VALUE"""),"TA661-49966")</f>
        <v>TA661-49966</v>
      </c>
      <c r="H51" s="2" t="str">
        <f>IFERROR(__xludf.DUMMYFUNCTION("""COMPUTED_VALUE"""),"Black, 256GB, Logic Board Assy Mid System, iPhone 16e, ROW")</f>
        <v>Black, 256GB, Logic Board Assy Mid System, iPhone 16e, ROW</v>
      </c>
      <c r="I51" s="2">
        <f>IFERROR(__xludf.DUMMYFUNCTION("""COMPUTED_VALUE"""),2.0)</f>
        <v>2</v>
      </c>
      <c r="M51" s="2"/>
      <c r="N51" s="2"/>
      <c r="O51" s="22" t="str">
        <f>IFERROR(__xludf.DUMMYFUNCTION("""COMPUTED_VALUE"""),"TA661-45001")</f>
        <v>TA661-45001</v>
      </c>
      <c r="P51" s="22" t="str">
        <f>IFERROR(__xludf.DUMMYFUNCTION("""COMPUTED_VALUE"""),"256GB, Desert Titanium, ROW, iPhone 16 Pro, Logic Board Assy Mid System")</f>
        <v>256GB, Desert Titanium, ROW, iPhone 16 Pro, Logic Board Assy Mid System</v>
      </c>
      <c r="Q51" s="22">
        <f>IFERROR(__xludf.DUMMYFUNCTION("""COMPUTED_VALUE"""),4.0)</f>
        <v>4</v>
      </c>
      <c r="R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>
      <c r="A52" s="3" t="str">
        <f t="shared" si="1"/>
        <v>February</v>
      </c>
      <c r="B52" s="11">
        <f>IFERROR(__xludf.DUMMYFUNCTION("""COMPUTED_VALUE"""),46063.0)</f>
        <v>46063</v>
      </c>
      <c r="C52" s="2" t="str">
        <f>IFERROR(__xludf.DUMMYFUNCTION("""COMPUTED_VALUE"""),"MOBILECARE - NEWPOINT MALL")</f>
        <v>MOBILECARE - NEWPOINT MALL</v>
      </c>
      <c r="D52" s="2" t="str">
        <f>IFERROR(__xludf.DUMMYFUNCTION("""COMPUTED_VALUE"""),"TA661-43608")</f>
        <v>TA661-43608</v>
      </c>
      <c r="E52" s="2" t="str">
        <f>IFERROR(__xludf.DUMMYFUNCTION("""COMPUTED_VALUE"""),"128GB, Ultramarine, ROW, iPhone 16, Logic Board Assy Mid System")</f>
        <v>128GB, Ultramarine, ROW, iPhone 16, Logic Board Assy Mid System</v>
      </c>
      <c r="F52" s="2"/>
      <c r="G52" s="2" t="str">
        <f>IFERROR(__xludf.DUMMYFUNCTION("""COMPUTED_VALUE"""),"661-42840")</f>
        <v>661-42840</v>
      </c>
      <c r="H52" s="2" t="str">
        <f>IFERROR(__xludf.DUMMYFUNCTION("""COMPUTED_VALUE"""),"PinkBack Glass, iPhone 16 Plus")</f>
        <v>PinkBack Glass, iPhone 16 Plus</v>
      </c>
      <c r="I52" s="2">
        <f>IFERROR(__xludf.DUMMYFUNCTION("""COMPUTED_VALUE"""),2.0)</f>
        <v>2</v>
      </c>
      <c r="M52" s="2"/>
      <c r="N52" s="2"/>
      <c r="O52" s="22" t="str">
        <f>IFERROR(__xludf.DUMMYFUNCTION("""COMPUTED_VALUE"""),"TA661-36693")</f>
        <v>TA661-36693</v>
      </c>
      <c r="P52" s="22" t="str">
        <f>IFERROR(__xludf.DUMMYFUNCTION("""COMPUTED_VALUE"""),"iPhone 15, Yellow, 128GB, Logic Board Assy Mid System, ROW")</f>
        <v>iPhone 15, Yellow, 128GB, Logic Board Assy Mid System, ROW</v>
      </c>
      <c r="Q52" s="22">
        <f>IFERROR(__xludf.DUMMYFUNCTION("""COMPUTED_VALUE"""),3.0)</f>
        <v>3</v>
      </c>
      <c r="R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>
      <c r="A53" s="3" t="str">
        <f t="shared" si="1"/>
        <v>February</v>
      </c>
      <c r="B53" s="11">
        <f>IFERROR(__xludf.DUMMYFUNCTION("""COMPUTED_VALUE"""),46054.0)</f>
        <v>46054</v>
      </c>
      <c r="C53" s="2" t="str">
        <f>IFERROR(__xludf.DUMMYFUNCTION("""COMPUTED_VALUE"""),"MOBILECARE - NEWPOINT MALL")</f>
        <v>MOBILECARE - NEWPOINT MALL</v>
      </c>
      <c r="D53" s="2" t="str">
        <f>IFERROR(__xludf.DUMMYFUNCTION("""COMPUTED_VALUE"""),"PP661-23454")</f>
        <v>PP661-23454</v>
      </c>
      <c r="E53" s="2" t="str">
        <f>IFERROR(__xludf.DUMMYFUNCTION("""COMPUTED_VALUE"""),"iPhone 13, Midnight, 128GB, Logic Board Assy Rear System, ROW")</f>
        <v>iPhone 13, Midnight, 128GB, Logic Board Assy Rear System, ROW</v>
      </c>
      <c r="F53" s="2"/>
      <c r="G53" s="2" t="str">
        <f>IFERROR(__xludf.DUMMYFUNCTION("""COMPUTED_VALUE"""),"PP661-28882")</f>
        <v>PP661-28882</v>
      </c>
      <c r="H53" s="2" t="str">
        <f>IFERROR(__xludf.DUMMYFUNCTION("""COMPUTED_VALUE"""),"iPhone 14, Purple, 512GB, Logic Board Assy Mid System, ROW")</f>
        <v>iPhone 14, Purple, 512GB, Logic Board Assy Mid System, ROW</v>
      </c>
      <c r="I53" s="2">
        <f>IFERROR(__xludf.DUMMYFUNCTION("""COMPUTED_VALUE"""),2.0)</f>
        <v>2</v>
      </c>
      <c r="M53" s="2"/>
      <c r="N53" s="2"/>
      <c r="O53" s="22" t="str">
        <f>IFERROR(__xludf.DUMMYFUNCTION("""COMPUTED_VALUE"""),"TA661-43612")</f>
        <v>TA661-43612</v>
      </c>
      <c r="P53" s="22" t="str">
        <f>IFERROR(__xludf.DUMMYFUNCTION("""COMPUTED_VALUE"""),"256GB, Pink, ROW, iPhone 16, Logic Board Assy Mid System")</f>
        <v>256GB, Pink, ROW, iPhone 16, Logic Board Assy Mid System</v>
      </c>
      <c r="Q53" s="22">
        <f>IFERROR(__xludf.DUMMYFUNCTION("""COMPUTED_VALUE"""),3.0)</f>
        <v>3</v>
      </c>
      <c r="R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>
      <c r="A54" s="3" t="str">
        <f t="shared" si="1"/>
        <v>March</v>
      </c>
      <c r="B54" s="11">
        <f>IFERROR(__xludf.DUMMYFUNCTION("""COMPUTED_VALUE"""),46083.0)</f>
        <v>46083</v>
      </c>
      <c r="C54" s="2" t="str">
        <f>IFERROR(__xludf.DUMMYFUNCTION("""COMPUTED_VALUE"""),"MOBILECARE - NEWPOINT MALL")</f>
        <v>MOBILECARE - NEWPOINT MALL</v>
      </c>
      <c r="D54" s="2" t="str">
        <f>IFERROR(__xludf.DUMMYFUNCTION("""COMPUTED_VALUE"""),"PP661-23454")</f>
        <v>PP661-23454</v>
      </c>
      <c r="E54" s="2" t="str">
        <f>IFERROR(__xludf.DUMMYFUNCTION("""COMPUTED_VALUE"""),"iPhone 13, Midnight, 128GB, Logic Board Assy Rear System, ROW")</f>
        <v>iPhone 13, Midnight, 128GB, Logic Board Assy Rear System, ROW</v>
      </c>
      <c r="F54" s="2"/>
      <c r="G54" s="2" t="str">
        <f>IFERROR(__xludf.DUMMYFUNCTION("""COMPUTED_VALUE"""),"661-30387")</f>
        <v>661-30387</v>
      </c>
      <c r="H54" s="2" t="str">
        <f>IFERROR(__xludf.DUMMYFUNCTION("""COMPUTED_VALUE"""),"Purple, Back Glass, iPhone 14 Plus")</f>
        <v>Purple, Back Glass, iPhone 14 Plus</v>
      </c>
      <c r="I54" s="2">
        <f>IFERROR(__xludf.DUMMYFUNCTION("""COMPUTED_VALUE"""),2.0)</f>
        <v>2</v>
      </c>
      <c r="M54" s="2"/>
      <c r="N54" s="2"/>
      <c r="O54" s="22" t="str">
        <f>IFERROR(__xludf.DUMMYFUNCTION("""COMPUTED_VALUE"""),"TA661-45002")</f>
        <v>TA661-45002</v>
      </c>
      <c r="P54" s="22" t="str">
        <f>IFERROR(__xludf.DUMMYFUNCTION("""COMPUTED_VALUE"""),"256GB, Natural Titanium, ROW, iPhone 16 Pro, Logic Board Assy Mid System")</f>
        <v>256GB, Natural Titanium, ROW, iPhone 16 Pro, Logic Board Assy Mid System</v>
      </c>
      <c r="Q54" s="22">
        <f>IFERROR(__xludf.DUMMYFUNCTION("""COMPUTED_VALUE"""),3.0)</f>
        <v>3</v>
      </c>
      <c r="R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>
      <c r="A55" s="3" t="str">
        <f t="shared" si="1"/>
        <v>March</v>
      </c>
      <c r="B55" s="11">
        <f>IFERROR(__xludf.DUMMYFUNCTION("""COMPUTED_VALUE"""),46083.0)</f>
        <v>46083</v>
      </c>
      <c r="C55" s="2" t="str">
        <f>IFERROR(__xludf.DUMMYFUNCTION("""COMPUTED_VALUE"""),"MOBILECARE - NEWPOINT MALL")</f>
        <v>MOBILECARE - NEWPOINT MALL</v>
      </c>
      <c r="D55" s="2" t="str">
        <f>IFERROR(__xludf.DUMMYFUNCTION("""COMPUTED_VALUE"""),"PP661-23454")</f>
        <v>PP661-23454</v>
      </c>
      <c r="E55" s="2" t="str">
        <f>IFERROR(__xludf.DUMMYFUNCTION("""COMPUTED_VALUE"""),"iPhone 13, Midnight, 128GB, Logic Board Assy Rear System, ROW")</f>
        <v>iPhone 13, Midnight, 128GB, Logic Board Assy Rear System, ROW</v>
      </c>
      <c r="F55" s="2"/>
      <c r="G55" s="2" t="str">
        <f>IFERROR(__xludf.DUMMYFUNCTION("""COMPUTED_VALUE"""),"661-56058")</f>
        <v>661-56058</v>
      </c>
      <c r="H55" s="2" t="str">
        <f>IFERROR(__xludf.DUMMYFUNCTION("""COMPUTED_VALUE"""),"White, Back Glass, iPhone 17")</f>
        <v>White, Back Glass, iPhone 17</v>
      </c>
      <c r="I55" s="2">
        <f>IFERROR(__xludf.DUMMYFUNCTION("""COMPUTED_VALUE"""),2.0)</f>
        <v>2</v>
      </c>
      <c r="M55" s="2"/>
      <c r="N55" s="2"/>
      <c r="O55" s="22" t="str">
        <f>IFERROR(__xludf.DUMMYFUNCTION("""COMPUTED_VALUE"""),"TA661-45233")</f>
        <v>TA661-45233</v>
      </c>
      <c r="P55" s="22" t="str">
        <f>IFERROR(__xludf.DUMMYFUNCTION("""COMPUTED_VALUE"""),"128GB, Pink, ROW, iPhone 16 Plus, Logic Board Assy Mid System")</f>
        <v>128GB, Pink, ROW, iPhone 16 Plus, Logic Board Assy Mid System</v>
      </c>
      <c r="Q55" s="22">
        <f>IFERROR(__xludf.DUMMYFUNCTION("""COMPUTED_VALUE"""),3.0)</f>
        <v>3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>
      <c r="A56" s="3" t="str">
        <f t="shared" si="1"/>
        <v>January</v>
      </c>
      <c r="B56" s="11">
        <f>IFERROR(__xludf.DUMMYFUNCTION("""COMPUTED_VALUE"""),46052.0)</f>
        <v>46052</v>
      </c>
      <c r="C56" s="2" t="str">
        <f>IFERROR(__xludf.DUMMYFUNCTION("""COMPUTED_VALUE"""),"MOBILECARE - NEWPOINT MALL")</f>
        <v>MOBILECARE - NEWPOINT MALL</v>
      </c>
      <c r="D56" s="2" t="str">
        <f>IFERROR(__xludf.DUMMYFUNCTION("""COMPUTED_VALUE"""),"PP661-23455")</f>
        <v>PP661-23455</v>
      </c>
      <c r="E56" s="2" t="str">
        <f>IFERROR(__xludf.DUMMYFUNCTION("""COMPUTED_VALUE"""),"iPhone 13, Starlight, 128GB, Logic Board Assy Rear System, ROW")</f>
        <v>iPhone 13, Starlight, 128GB, Logic Board Assy Rear System, ROW</v>
      </c>
      <c r="F56" s="2"/>
      <c r="G56" s="2" t="str">
        <f>IFERROR(__xludf.DUMMYFUNCTION("""COMPUTED_VALUE"""),"PP661-23461")</f>
        <v>PP661-23461</v>
      </c>
      <c r="H56" s="2" t="str">
        <f>IFERROR(__xludf.DUMMYFUNCTION("""COMPUTED_VALUE"""),"iPhone 13, Pink, 256GB, Logic Board Assy Rear System, ROW")</f>
        <v>iPhone 13, Pink, 256GB, Logic Board Assy Rear System, ROW</v>
      </c>
      <c r="I56" s="2">
        <f>IFERROR(__xludf.DUMMYFUNCTION("""COMPUTED_VALUE"""),2.0)</f>
        <v>2</v>
      </c>
      <c r="M56" s="2"/>
      <c r="O56" s="22" t="str">
        <f>IFERROR(__xludf.DUMMYFUNCTION("""COMPUTED_VALUE"""),"TA661-45235")</f>
        <v>TA661-45235</v>
      </c>
      <c r="P56" s="22" t="str">
        <f>IFERROR(__xludf.DUMMYFUNCTION("""COMPUTED_VALUE"""),"128GB, Teal, ROW, iPhone 16 Plus, Logic Board Assy Mid System")</f>
        <v>128GB, Teal, ROW, iPhone 16 Plus, Logic Board Assy Mid System</v>
      </c>
      <c r="Q56" s="22">
        <f>IFERROR(__xludf.DUMMYFUNCTION("""COMPUTED_VALUE"""),3.0)</f>
        <v>3</v>
      </c>
      <c r="R56" s="2"/>
      <c r="S56" s="2"/>
      <c r="T56" s="2"/>
      <c r="U56" s="2"/>
      <c r="W56" s="2"/>
      <c r="X56" s="2"/>
      <c r="Y56" s="22"/>
      <c r="Z56" s="22"/>
      <c r="AA56" s="2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>
      <c r="A57" s="3" t="str">
        <f t="shared" si="1"/>
        <v>January</v>
      </c>
      <c r="B57" s="11">
        <f>IFERROR(__xludf.DUMMYFUNCTION("""COMPUTED_VALUE"""),46047.0)</f>
        <v>46047</v>
      </c>
      <c r="C57" s="2" t="str">
        <f>IFERROR(__xludf.DUMMYFUNCTION("""COMPUTED_VALUE"""),"MOBILECARE - NEWPOINT MALL")</f>
        <v>MOBILECARE - NEWPOINT MALL</v>
      </c>
      <c r="D57" s="2" t="str">
        <f>IFERROR(__xludf.DUMMYFUNCTION("""COMPUTED_VALUE"""),"PP661-23455")</f>
        <v>PP661-23455</v>
      </c>
      <c r="E57" s="2" t="str">
        <f>IFERROR(__xludf.DUMMYFUNCTION("""COMPUTED_VALUE"""),"iPhone 13, Starlight, 128GB, Logic Board Assy Rear System, ROW")</f>
        <v>iPhone 13, Starlight, 128GB, Logic Board Assy Rear System, ROW</v>
      </c>
      <c r="F57" s="2"/>
      <c r="G57" s="2" t="str">
        <f>IFERROR(__xludf.DUMMYFUNCTION("""COMPUTED_VALUE"""),"TA661-36699")</f>
        <v>TA661-36699</v>
      </c>
      <c r="H57" s="2" t="str">
        <f>IFERROR(__xludf.DUMMYFUNCTION("""COMPUTED_VALUE"""),"iPhone 15, Blue, 256GB, Logic Board Assy Mid System, ROW")</f>
        <v>iPhone 15, Blue, 256GB, Logic Board Assy Mid System, ROW</v>
      </c>
      <c r="I57" s="2">
        <f>IFERROR(__xludf.DUMMYFUNCTION("""COMPUTED_VALUE"""),2.0)</f>
        <v>2</v>
      </c>
      <c r="M57" s="2"/>
      <c r="O57" s="22" t="str">
        <f>IFERROR(__xludf.DUMMYFUNCTION("""COMPUTED_VALUE"""),"TA661-45238")</f>
        <v>TA661-45238</v>
      </c>
      <c r="P57" s="22" t="str">
        <f>IFERROR(__xludf.DUMMYFUNCTION("""COMPUTED_VALUE"""),"256GB, Pink, ROW, iPhone 16 Plus, Logic Board Assy Mid System")</f>
        <v>256GB, Pink, ROW, iPhone 16 Plus, Logic Board Assy Mid System</v>
      </c>
      <c r="Q57" s="22">
        <f>IFERROR(__xludf.DUMMYFUNCTION("""COMPUTED_VALUE"""),3.0)</f>
        <v>3</v>
      </c>
      <c r="R57" s="2"/>
      <c r="S57" s="24" t="s">
        <v>1988</v>
      </c>
      <c r="T57" s="23" t="s">
        <v>23</v>
      </c>
      <c r="U57" s="23" t="s">
        <v>24</v>
      </c>
      <c r="V57" s="23" t="s">
        <v>328</v>
      </c>
      <c r="W57" s="2"/>
      <c r="X57" s="2"/>
      <c r="Y57" s="22"/>
      <c r="Z57" s="22"/>
      <c r="AA57" s="2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>
      <c r="A58" s="3" t="str">
        <f t="shared" si="1"/>
        <v>January</v>
      </c>
      <c r="B58" s="11">
        <f>IFERROR(__xludf.DUMMYFUNCTION("""COMPUTED_VALUE"""),46048.0)</f>
        <v>46048</v>
      </c>
      <c r="C58" s="2" t="str">
        <f>IFERROR(__xludf.DUMMYFUNCTION("""COMPUTED_VALUE"""),"MOBILECARE - NEWPOINT MALL")</f>
        <v>MOBILECARE - NEWPOINT MALL</v>
      </c>
      <c r="D58" s="2" t="str">
        <f>IFERROR(__xludf.DUMMYFUNCTION("""COMPUTED_VALUE"""),"PP661-23454")</f>
        <v>PP661-23454</v>
      </c>
      <c r="E58" s="2" t="str">
        <f>IFERROR(__xludf.DUMMYFUNCTION("""COMPUTED_VALUE"""),"iPhone 13, Midnight, 128GB, Logic Board Assy Rear System, ROW")</f>
        <v>iPhone 13, Midnight, 128GB, Logic Board Assy Rear System, ROW</v>
      </c>
      <c r="F58" s="2"/>
      <c r="G58" s="2" t="str">
        <f>IFERROR(__xludf.DUMMYFUNCTION("""COMPUTED_VALUE"""),"TA661-43614")</f>
        <v>TA661-43614</v>
      </c>
      <c r="H58" s="2" t="str">
        <f>IFERROR(__xludf.DUMMYFUNCTION("""COMPUTED_VALUE"""),"256GB, Teal, ROW, iPhone 16, Logic Board Assy Mid System")</f>
        <v>256GB, Teal, ROW, iPhone 16, Logic Board Assy Mid System</v>
      </c>
      <c r="I58" s="2">
        <f>IFERROR(__xludf.DUMMYFUNCTION("""COMPUTED_VALUE"""),2.0)</f>
        <v>2</v>
      </c>
      <c r="M58" s="2"/>
      <c r="O58" s="22" t="str">
        <f>IFERROR(__xludf.DUMMYFUNCTION("""COMPUTED_VALUE"""),"PP661-28879")</f>
        <v>PP661-28879</v>
      </c>
      <c r="P58" s="22" t="str">
        <f>IFERROR(__xludf.DUMMYFUNCTION("""COMPUTED_VALUE"""),"iPhone 14, Starlight, 512GB, Logic Board Assy Mid System, ROW")</f>
        <v>iPhone 14, Starlight, 512GB, Logic Board Assy Mid System, ROW</v>
      </c>
      <c r="Q58" s="22">
        <f>IFERROR(__xludf.DUMMYFUNCTION("""COMPUTED_VALUE"""),2.0)</f>
        <v>2</v>
      </c>
      <c r="R58" s="2"/>
      <c r="S58" s="2"/>
      <c r="T58" s="2" t="str">
        <f>IFERROR(__xludf.DUMMYFUNCTION("QUERY('Systems&amp;BackGlass'!A3:E1000, 
  ""SELECT D, E, COUNT(D) 
   WHERE lower(E) CONTAINS 'rear sys' "" &amp; 
   IF(S57=""All"", """", ""AND lower(C) = '"" &amp; LOWER(TRIM(S57)) &amp; ""' "") &amp; 
  ""GROUP BY D, E 
   ORDER BY COUNT(D) DESC 
   LABEL COUNT(D) ''"","&amp;" 
0)"),"PP661-23455")</f>
        <v>PP661-23455</v>
      </c>
      <c r="U58" s="2" t="str">
        <f>IFERROR(__xludf.DUMMYFUNCTION("""COMPUTED_VALUE"""),"iPhone 13, Starlight, 128GB, Logic Board Assy Rear System, ROW")</f>
        <v>iPhone 13, Starlight, 128GB, Logic Board Assy Rear System, ROW</v>
      </c>
      <c r="V58" s="2">
        <f>IFERROR(__xludf.DUMMYFUNCTION("""COMPUTED_VALUE"""),18.0)</f>
        <v>18</v>
      </c>
      <c r="W58" s="2"/>
      <c r="X58" s="2"/>
      <c r="Y58" s="22"/>
      <c r="Z58" s="22"/>
      <c r="AA58" s="2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>
      <c r="A59" s="3" t="str">
        <f t="shared" si="1"/>
        <v>January</v>
      </c>
      <c r="B59" s="11">
        <f>IFERROR(__xludf.DUMMYFUNCTION("""COMPUTED_VALUE"""),46048.0)</f>
        <v>46048</v>
      </c>
      <c r="C59" s="2" t="str">
        <f>IFERROR(__xludf.DUMMYFUNCTION("""COMPUTED_VALUE"""),"MOBILECARE - NEWPOINT MALL")</f>
        <v>MOBILECARE - NEWPOINT MALL</v>
      </c>
      <c r="D59" s="2" t="str">
        <f>IFERROR(__xludf.DUMMYFUNCTION("""COMPUTED_VALUE"""),"PP661-23454")</f>
        <v>PP661-23454</v>
      </c>
      <c r="E59" s="2" t="str">
        <f>IFERROR(__xludf.DUMMYFUNCTION("""COMPUTED_VALUE"""),"iPhone 13, Midnight, 128GB, Logic Board Assy Rear System, ROW")</f>
        <v>iPhone 13, Midnight, 128GB, Logic Board Assy Rear System, ROW</v>
      </c>
      <c r="F59" s="2"/>
      <c r="G59" s="2" t="str">
        <f>IFERROR(__xludf.DUMMYFUNCTION("""COMPUTED_VALUE"""),"661-56055")</f>
        <v>661-56055</v>
      </c>
      <c r="H59" s="2" t="str">
        <f>IFERROR(__xludf.DUMMYFUNCTION("""COMPUTED_VALUE"""),"Deep Blue, Back Glass, iPhone 17 Pro Max")</f>
        <v>Deep Blue, Back Glass, iPhone 17 Pro Max</v>
      </c>
      <c r="I59" s="2">
        <f>IFERROR(__xludf.DUMMYFUNCTION("""COMPUTED_VALUE"""),2.0)</f>
        <v>2</v>
      </c>
      <c r="M59" s="2"/>
      <c r="O59" s="22" t="str">
        <f>IFERROR(__xludf.DUMMYFUNCTION("""COMPUTED_VALUE"""),"PP661-28882")</f>
        <v>PP661-28882</v>
      </c>
      <c r="P59" s="22" t="str">
        <f>IFERROR(__xludf.DUMMYFUNCTION("""COMPUTED_VALUE"""),"iPhone 14, Purple, 512GB, Logic Board Assy Mid System, ROW")</f>
        <v>iPhone 14, Purple, 512GB, Logic Board Assy Mid System, ROW</v>
      </c>
      <c r="Q59" s="22">
        <f>IFERROR(__xludf.DUMMYFUNCTION("""COMPUTED_VALUE"""),2.0)</f>
        <v>2</v>
      </c>
      <c r="R59" s="2"/>
      <c r="S59" s="2"/>
      <c r="T59" s="2" t="str">
        <f>IFERROR(__xludf.DUMMYFUNCTION("""COMPUTED_VALUE"""),"PP661-23454")</f>
        <v>PP661-23454</v>
      </c>
      <c r="U59" s="2" t="str">
        <f>IFERROR(__xludf.DUMMYFUNCTION("""COMPUTED_VALUE"""),"iPhone 13, Midnight, 128GB, Logic Board Assy Rear System, ROW")</f>
        <v>iPhone 13, Midnight, 128GB, Logic Board Assy Rear System, ROW</v>
      </c>
      <c r="V59" s="2">
        <f>IFERROR(__xludf.DUMMYFUNCTION("""COMPUTED_VALUE"""),13.0)</f>
        <v>13</v>
      </c>
      <c r="W59" s="2"/>
      <c r="X59" s="2"/>
      <c r="Y59" s="2"/>
      <c r="Z59" s="20" t="s">
        <v>892</v>
      </c>
      <c r="AA59" s="21" t="s">
        <v>328</v>
      </c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>
      <c r="A60" s="3" t="str">
        <f t="shared" si="1"/>
        <v>January</v>
      </c>
      <c r="B60" s="11">
        <f>IFERROR(__xludf.DUMMYFUNCTION("""COMPUTED_VALUE"""),46048.0)</f>
        <v>46048</v>
      </c>
      <c r="C60" s="2" t="str">
        <f>IFERROR(__xludf.DUMMYFUNCTION("""COMPUTED_VALUE"""),"MOBILECARE - NEWPOINT MALL")</f>
        <v>MOBILECARE - NEWPOINT MALL</v>
      </c>
      <c r="D60" s="2" t="str">
        <f>IFERROR(__xludf.DUMMYFUNCTION("""COMPUTED_VALUE"""),"PP661-23454")</f>
        <v>PP661-23454</v>
      </c>
      <c r="E60" s="2" t="str">
        <f>IFERROR(__xludf.DUMMYFUNCTION("""COMPUTED_VALUE"""),"iPhone 13, Midnight, 128GB, Logic Board Assy Rear System, ROW")</f>
        <v>iPhone 13, Midnight, 128GB, Logic Board Assy Rear System, ROW</v>
      </c>
      <c r="F60" s="2"/>
      <c r="G60" s="2" t="str">
        <f>IFERROR(__xludf.DUMMYFUNCTION("""COMPUTED_VALUE"""),"TA661-45234")</f>
        <v>TA661-45234</v>
      </c>
      <c r="H60" s="2" t="str">
        <f>IFERROR(__xludf.DUMMYFUNCTION("""COMPUTED_VALUE"""),"128GB, Ultramarine, ROW, iPhone 16 Plus, Logic Board Assy Mid System")</f>
        <v>128GB, Ultramarine, ROW, iPhone 16 Plus, Logic Board Assy Mid System</v>
      </c>
      <c r="I60" s="2">
        <f>IFERROR(__xludf.DUMMYFUNCTION("""COMPUTED_VALUE"""),2.0)</f>
        <v>2</v>
      </c>
      <c r="M60" s="2"/>
      <c r="O60" s="22" t="str">
        <f>IFERROR(__xludf.DUMMYFUNCTION("""COMPUTED_VALUE"""),"TA661-36699")</f>
        <v>TA661-36699</v>
      </c>
      <c r="P60" s="22" t="str">
        <f>IFERROR(__xludf.DUMMYFUNCTION("""COMPUTED_VALUE"""),"iPhone 15, Blue, 256GB, Logic Board Assy Mid System, ROW")</f>
        <v>iPhone 15, Blue, 256GB, Logic Board Assy Mid System, ROW</v>
      </c>
      <c r="Q60" s="22">
        <f>IFERROR(__xludf.DUMMYFUNCTION("""COMPUTED_VALUE"""),2.0)</f>
        <v>2</v>
      </c>
      <c r="R60" s="2"/>
      <c r="S60" s="2"/>
      <c r="T60" s="2" t="str">
        <f>IFERROR(__xludf.DUMMYFUNCTION("""COMPUTED_VALUE"""),"PP661-23467")</f>
        <v>PP661-23467</v>
      </c>
      <c r="U60" s="2" t="str">
        <f>IFERROR(__xludf.DUMMYFUNCTION("""COMPUTED_VALUE"""),"iPhone 13, Red, 512GB, Logic Board Assy Rear System, ROW")</f>
        <v>iPhone 13, Red, 512GB, Logic Board Assy Rear System, ROW</v>
      </c>
      <c r="V60" s="2">
        <f>IFERROR(__xludf.DUMMYFUNCTION("""COMPUTED_VALUE"""),1.0)</f>
        <v>1</v>
      </c>
      <c r="W60" s="2"/>
      <c r="X60" s="2"/>
      <c r="Y60" s="24" t="s">
        <v>2062</v>
      </c>
      <c r="Z60" s="2" t="str">
        <f>IFERROR(__xludf.DUMMYFUNCTION("IFERROR(LET(
  part, LOWER(TRIM(Y60)),
  col_e, ARRAYFORMULA(LOWER(E3:E1000)),
  part_match, ARRAYFORMULA(IF(OR(part=""all"", part=""""), E3:E1000&lt;&gt;"""", 
                IF(part=""front"", ISNUMBER(SEARCH(""front"", col_e)), 
                TRIM(E3:E100"&amp;"0)=TRIM(Y60)))),
  data, FILTER(C3:C1000, C3:C1000&lt;&gt;"""", part_match),
  u, UNIQUE(data),
  c, MAP(u, LAMBDA(x, COUNTA(FILTER(data, data=x)))),
  SORT(HSTACK(u, c), 2, FALSE)
), ""No data found"")"),"MOBILECARE - LIMA ESTATE")</f>
        <v>MOBILECARE - LIMA ESTATE</v>
      </c>
      <c r="AA60" s="2">
        <f>IFERROR(__xludf.DUMMYFUNCTION("""COMPUTED_VALUE"""),2.0)</f>
        <v>2</v>
      </c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>
      <c r="A61" s="3" t="str">
        <f t="shared" si="1"/>
        <v>January</v>
      </c>
      <c r="B61" s="11">
        <f>IFERROR(__xludf.DUMMYFUNCTION("""COMPUTED_VALUE"""),46048.0)</f>
        <v>46048</v>
      </c>
      <c r="C61" s="2" t="str">
        <f>IFERROR(__xludf.DUMMYFUNCTION("""COMPUTED_VALUE"""),"MOBILECARE - NEWPOINT MALL")</f>
        <v>MOBILECARE - NEWPOINT MALL</v>
      </c>
      <c r="D61" s="2" t="str">
        <f>IFERROR(__xludf.DUMMYFUNCTION("""COMPUTED_VALUE"""),"TA661-36695")</f>
        <v>TA661-36695</v>
      </c>
      <c r="E61" s="2" t="str">
        <f>IFERROR(__xludf.DUMMYFUNCTION("""COMPUTED_VALUE"""),"iPhone 15, Green, 128GB, Logic Board Assy Mid System, ROW")</f>
        <v>iPhone 15, Green, 128GB, Logic Board Assy Mid System, ROW</v>
      </c>
      <c r="F61" s="2"/>
      <c r="G61" s="2" t="str">
        <f>IFERROR(__xludf.DUMMYFUNCTION("""COMPUTED_VALUE"""),"661-56124")</f>
        <v>661-56124</v>
      </c>
      <c r="H61" s="2" t="str">
        <f>IFERROR(__xludf.DUMMYFUNCTION("""COMPUTED_VALUE"""),"Deep Blue, Back Glass, iPhone 17 Pro")</f>
        <v>Deep Blue, Back Glass, iPhone 17 Pro</v>
      </c>
      <c r="I61" s="2">
        <f>IFERROR(__xludf.DUMMYFUNCTION("""COMPUTED_VALUE"""),2.0)</f>
        <v>2</v>
      </c>
      <c r="M61" s="2"/>
      <c r="O61" s="22" t="str">
        <f>IFERROR(__xludf.DUMMYFUNCTION("""COMPUTED_VALUE"""),"TA661-43610")</f>
        <v>TA661-43610</v>
      </c>
      <c r="P61" s="22" t="str">
        <f>IFERROR(__xludf.DUMMYFUNCTION("""COMPUTED_VALUE"""),"256GB, Black, ROW, iPhone 16, Logic Board Assy Mid System")</f>
        <v>256GB, Black, ROW, iPhone 16, Logic Board Assy Mid System</v>
      </c>
      <c r="Q61" s="22">
        <f>IFERROR(__xludf.DUMMYFUNCTION("""COMPUTED_VALUE"""),2.0)</f>
        <v>2</v>
      </c>
      <c r="R61" s="2"/>
      <c r="S61" s="2"/>
      <c r="T61" s="2"/>
      <c r="U61" s="2"/>
      <c r="V61" s="2"/>
      <c r="W61" s="2"/>
      <c r="X61" s="2"/>
      <c r="Y61" s="2"/>
      <c r="Z61" s="2" t="str">
        <f>IFERROR(__xludf.DUMMYFUNCTION("""COMPUTED_VALUE"""),"MOBILECARE - ZAMBOANGA")</f>
        <v>MOBILECARE - ZAMBOANGA</v>
      </c>
      <c r="AA61" s="2">
        <f>IFERROR(__xludf.DUMMYFUNCTION("""COMPUTED_VALUE"""),1.0)</f>
        <v>1</v>
      </c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>
      <c r="A62" s="3" t="str">
        <f t="shared" si="1"/>
        <v>January</v>
      </c>
      <c r="B62" s="11">
        <f>IFERROR(__xludf.DUMMYFUNCTION("""COMPUTED_VALUE"""),46050.0)</f>
        <v>46050</v>
      </c>
      <c r="C62" s="2" t="str">
        <f>IFERROR(__xludf.DUMMYFUNCTION("""COMPUTED_VALUE"""),"MOBILECARE - NEWPOINT MALL")</f>
        <v>MOBILECARE - NEWPOINT MALL</v>
      </c>
      <c r="D62" s="2" t="str">
        <f>IFERROR(__xludf.DUMMYFUNCTION("""COMPUTED_VALUE"""),"PP661-23455")</f>
        <v>PP661-23455</v>
      </c>
      <c r="E62" s="2" t="str">
        <f>IFERROR(__xludf.DUMMYFUNCTION("""COMPUTED_VALUE"""),"iPhone 13, Starlight, 128GB, Logic Board Assy Rear System, ROW")</f>
        <v>iPhone 13, Starlight, 128GB, Logic Board Assy Rear System, ROW</v>
      </c>
      <c r="F62" s="2"/>
      <c r="G62" s="2" t="str">
        <f>IFERROR(__xludf.DUMMYFUNCTION("""COMPUTED_VALUE"""),"661-36913")</f>
        <v>661-36913</v>
      </c>
      <c r="H62" s="2" t="str">
        <f>IFERROR(__xludf.DUMMYFUNCTION("""COMPUTED_VALUE"""),"Natural Titanium, Millimeter Wave, Back Glass, iPhone 15 Pro Max")</f>
        <v>Natural Titanium, Millimeter Wave, Back Glass, iPhone 15 Pro Max</v>
      </c>
      <c r="I62" s="2">
        <f>IFERROR(__xludf.DUMMYFUNCTION("""COMPUTED_VALUE"""),1.0)</f>
        <v>1</v>
      </c>
      <c r="M62" s="2"/>
      <c r="O62" s="22" t="str">
        <f>IFERROR(__xludf.DUMMYFUNCTION("""COMPUTED_VALUE"""),"TA661-43614")</f>
        <v>TA661-43614</v>
      </c>
      <c r="P62" s="22" t="str">
        <f>IFERROR(__xludf.DUMMYFUNCTION("""COMPUTED_VALUE"""),"256GB, Teal, ROW, iPhone 16, Logic Board Assy Mid System")</f>
        <v>256GB, Teal, ROW, iPhone 16, Logic Board Assy Mid System</v>
      </c>
      <c r="Q62" s="22">
        <f>IFERROR(__xludf.DUMMYFUNCTION("""COMPUTED_VALUE"""),2.0)</f>
        <v>2</v>
      </c>
      <c r="R62" s="2"/>
      <c r="S62" s="2"/>
      <c r="T62" s="2"/>
      <c r="U62" s="2"/>
      <c r="V62" s="2"/>
      <c r="W62" s="2"/>
      <c r="X62" s="2"/>
      <c r="Y62" s="2"/>
      <c r="Z62" s="2" t="str">
        <f>IFERROR(__xludf.DUMMYFUNCTION("""COMPUTED_VALUE"""),"MOBILECARE - APP MALL OF ASIA")</f>
        <v>MOBILECARE - APP MALL OF ASIA</v>
      </c>
      <c r="AA62" s="2">
        <f>IFERROR(__xludf.DUMMYFUNCTION("""COMPUTED_VALUE"""),1.0)</f>
        <v>1</v>
      </c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>
      <c r="A63" s="3" t="str">
        <f t="shared" si="1"/>
        <v>January</v>
      </c>
      <c r="B63" s="11">
        <f>IFERROR(__xludf.DUMMYFUNCTION("""COMPUTED_VALUE"""),46049.0)</f>
        <v>46049</v>
      </c>
      <c r="C63" s="2" t="str">
        <f>IFERROR(__xludf.DUMMYFUNCTION("""COMPUTED_VALUE"""),"MOBILECARE - NEWPOINT MALL")</f>
        <v>MOBILECARE - NEWPOINT MALL</v>
      </c>
      <c r="D63" s="2" t="str">
        <f>IFERROR(__xludf.DUMMYFUNCTION("""COMPUTED_VALUE"""),"PP661-23455")</f>
        <v>PP661-23455</v>
      </c>
      <c r="E63" s="2" t="str">
        <f>IFERROR(__xludf.DUMMYFUNCTION("""COMPUTED_VALUE"""),"iPhone 13, Starlight, 128GB, Logic Board Assy Rear System, ROW")</f>
        <v>iPhone 13, Starlight, 128GB, Logic Board Assy Rear System, ROW</v>
      </c>
      <c r="F63" s="2"/>
      <c r="G63" s="2" t="str">
        <f>IFERROR(__xludf.DUMMYFUNCTION("""COMPUTED_VALUE"""),"661-36841")</f>
        <v>661-36841</v>
      </c>
      <c r="H63" s="2" t="str">
        <f>IFERROR(__xludf.DUMMYFUNCTION("""COMPUTED_VALUE"""),"Blue, Back Glass, iPhone 15")</f>
        <v>Blue, Back Glass, iPhone 15</v>
      </c>
      <c r="I63" s="2">
        <f>IFERROR(__xludf.DUMMYFUNCTION("""COMPUTED_VALUE"""),1.0)</f>
        <v>1</v>
      </c>
      <c r="M63" s="2"/>
      <c r="O63" s="22" t="str">
        <f>IFERROR(__xludf.DUMMYFUNCTION("""COMPUTED_VALUE"""),"TA661-44996")</f>
        <v>TA661-44996</v>
      </c>
      <c r="P63" s="22" t="str">
        <f>IFERROR(__xludf.DUMMYFUNCTION("""COMPUTED_VALUE"""),"128GB, White Titanium, ROW, iPhone 16 Pro, Logic Board Assy Mid System")</f>
        <v>128GB, White Titanium, ROW, iPhone 16 Pro, Logic Board Assy Mid System</v>
      </c>
      <c r="Q63" s="22">
        <f>IFERROR(__xludf.DUMMYFUNCTION("""COMPUTED_VALUE"""),2.0)</f>
        <v>2</v>
      </c>
      <c r="R63" s="2"/>
      <c r="S63" s="2"/>
      <c r="T63" s="2"/>
      <c r="U63" s="2"/>
      <c r="V63" s="2"/>
      <c r="W63" s="2"/>
      <c r="X63" s="2"/>
      <c r="Y63" s="2"/>
      <c r="Z63" s="2" t="str">
        <f>IFERROR(__xludf.DUMMYFUNCTION("""COMPUTED_VALUE"""),"MOBILECARE - S'MAISON")</f>
        <v>MOBILECARE - S'MAISON</v>
      </c>
      <c r="AA63" s="2">
        <f>IFERROR(__xludf.DUMMYFUNCTION("""COMPUTED_VALUE"""),1.0)</f>
        <v>1</v>
      </c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>
      <c r="A64" s="3" t="str">
        <f t="shared" si="1"/>
        <v>January</v>
      </c>
      <c r="B64" s="11">
        <f>IFERROR(__xludf.DUMMYFUNCTION("""COMPUTED_VALUE"""),46048.0)</f>
        <v>46048</v>
      </c>
      <c r="C64" s="2" t="str">
        <f>IFERROR(__xludf.DUMMYFUNCTION("""COMPUTED_VALUE"""),"MOBILECARE - NEWPOINT MALL")</f>
        <v>MOBILECARE - NEWPOINT MALL</v>
      </c>
      <c r="D64" s="2" t="str">
        <f>IFERROR(__xludf.DUMMYFUNCTION("""COMPUTED_VALUE"""),"TA661-36694")</f>
        <v>TA661-36694</v>
      </c>
      <c r="E64" s="2" t="str">
        <f>IFERROR(__xludf.DUMMYFUNCTION("""COMPUTED_VALUE"""),"iPhone 15, Blue, 128GB, Logic Board Assy Mid System, ROW")</f>
        <v>iPhone 15, Blue, 128GB, Logic Board Assy Mid System, ROW</v>
      </c>
      <c r="F64" s="2"/>
      <c r="G64" s="2" t="str">
        <f>IFERROR(__xludf.DUMMYFUNCTION("""COMPUTED_VALUE"""),"TA661-36700")</f>
        <v>TA661-36700</v>
      </c>
      <c r="H64" s="2" t="str">
        <f>IFERROR(__xludf.DUMMYFUNCTION("""COMPUTED_VALUE"""),"iPhone 15, Green, 256GB, Logic Board Assy Mid System, ROW")</f>
        <v>iPhone 15, Green, 256GB, Logic Board Assy Mid System, ROW</v>
      </c>
      <c r="I64" s="2">
        <f>IFERROR(__xludf.DUMMYFUNCTION("""COMPUTED_VALUE"""),1.0)</f>
        <v>1</v>
      </c>
      <c r="M64" s="2"/>
      <c r="O64" s="22" t="str">
        <f>IFERROR(__xludf.DUMMYFUNCTION("""COMPUTED_VALUE"""),"TA661-45234")</f>
        <v>TA661-45234</v>
      </c>
      <c r="P64" s="22" t="str">
        <f>IFERROR(__xludf.DUMMYFUNCTION("""COMPUTED_VALUE"""),"128GB, Ultramarine, ROW, iPhone 16 Plus, Logic Board Assy Mid System")</f>
        <v>128GB, Ultramarine, ROW, iPhone 16 Plus, Logic Board Assy Mid System</v>
      </c>
      <c r="Q64" s="22">
        <f>IFERROR(__xludf.DUMMYFUNCTION("""COMPUTED_VALUE"""),2.0)</f>
        <v>2</v>
      </c>
      <c r="R64" s="2"/>
      <c r="S64" s="2"/>
      <c r="T64" s="2"/>
      <c r="U64" s="2"/>
      <c r="V64" s="2"/>
      <c r="W64" s="2"/>
      <c r="X64" s="2"/>
      <c r="Y64" s="2"/>
      <c r="Z64" s="2" t="str">
        <f>IFERROR(__xludf.DUMMYFUNCTION("""COMPUTED_VALUE"""),"MOBILECARE - CEBU")</f>
        <v>MOBILECARE - CEBU</v>
      </c>
      <c r="AA64" s="2">
        <f>IFERROR(__xludf.DUMMYFUNCTION("""COMPUTED_VALUE"""),1.0)</f>
        <v>1</v>
      </c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>
      <c r="A65" s="3" t="str">
        <f t="shared" si="1"/>
        <v>January</v>
      </c>
      <c r="B65" s="11">
        <f>IFERROR(__xludf.DUMMYFUNCTION("""COMPUTED_VALUE"""),46047.0)</f>
        <v>46047</v>
      </c>
      <c r="C65" s="2" t="str">
        <f>IFERROR(__xludf.DUMMYFUNCTION("""COMPUTED_VALUE"""),"MOBILECARE - NEWPOINT MALL")</f>
        <v>MOBILECARE - NEWPOINT MALL</v>
      </c>
      <c r="D65" s="2" t="str">
        <f>IFERROR(__xludf.DUMMYFUNCTION("""COMPUTED_VALUE"""),"TA661-36692")</f>
        <v>TA661-36692</v>
      </c>
      <c r="E65" s="2" t="str">
        <f>IFERROR(__xludf.DUMMYFUNCTION("""COMPUTED_VALUE"""),"iPhone 15, Pink, 128GB, Logic Board Assy Mid System, ROW")</f>
        <v>iPhone 15, Pink, 128GB, Logic Board Assy Mid System, ROW</v>
      </c>
      <c r="F65" s="2"/>
      <c r="G65" s="2" t="str">
        <f>IFERROR(__xludf.DUMMYFUNCTION("""COMPUTED_VALUE"""),"661-36842")</f>
        <v>661-36842</v>
      </c>
      <c r="H65" s="2" t="str">
        <f>IFERROR(__xludf.DUMMYFUNCTION("""COMPUTED_VALUE"""),"Green, Back Glass, iPhone 15")</f>
        <v>Green, Back Glass, iPhone 15</v>
      </c>
      <c r="I65" s="2">
        <f>IFERROR(__xludf.DUMMYFUNCTION("""COMPUTED_VALUE"""),1.0)</f>
        <v>1</v>
      </c>
      <c r="M65" s="2"/>
      <c r="O65" s="22" t="str">
        <f>IFERROR(__xludf.DUMMYFUNCTION("""COMPUTED_VALUE"""),"TA661-49965")</f>
        <v>TA661-49965</v>
      </c>
      <c r="P65" s="22" t="str">
        <f>IFERROR(__xludf.DUMMYFUNCTION("""COMPUTED_VALUE"""),"White, 128GB, Logic Board Assy Mid System, iPhone 16e, ROW")</f>
        <v>White, 128GB, Logic Board Assy Mid System, iPhone 16e, ROW</v>
      </c>
      <c r="Q65" s="22">
        <f>IFERROR(__xludf.DUMMYFUNCTION("""COMPUTED_VALUE"""),2.0)</f>
        <v>2</v>
      </c>
      <c r="R65" s="2"/>
      <c r="S65" s="2"/>
      <c r="T65" s="2"/>
      <c r="U65" s="2"/>
      <c r="V65" s="2"/>
      <c r="W65" s="2"/>
      <c r="X65" s="2"/>
      <c r="Y65" s="2"/>
      <c r="Z65" s="2" t="str">
        <f>IFERROR(__xludf.DUMMYFUNCTION("""COMPUTED_VALUE"""),"MOBILECARE - NORTHEAST SQUARE")</f>
        <v>MOBILECARE - NORTHEAST SQUARE</v>
      </c>
      <c r="AA65" s="2">
        <f>IFERROR(__xludf.DUMMYFUNCTION("""COMPUTED_VALUE"""),1.0)</f>
        <v>1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>
      <c r="A66" s="3" t="str">
        <f t="shared" si="1"/>
        <v>January</v>
      </c>
      <c r="B66" s="11">
        <f>IFERROR(__xludf.DUMMYFUNCTION("""COMPUTED_VALUE"""),46052.0)</f>
        <v>46052</v>
      </c>
      <c r="C66" s="2" t="str">
        <f>IFERROR(__xludf.DUMMYFUNCTION("""COMPUTED_VALUE"""),"MOBILECARE - NEWPOINT MALL")</f>
        <v>MOBILECARE - NEWPOINT MALL</v>
      </c>
      <c r="D66" s="2" t="str">
        <f>IFERROR(__xludf.DUMMYFUNCTION("""COMPUTED_VALUE"""),"TA661-44999")</f>
        <v>TA661-44999</v>
      </c>
      <c r="E66" s="2" t="str">
        <f>IFERROR(__xludf.DUMMYFUNCTION("""COMPUTED_VALUE"""),"256GB, Black Titanium, ROW, iPhone 16 Pro, Logic Board Assy Mid System")</f>
        <v>256GB, Black Titanium, ROW, iPhone 16 Pro, Logic Board Assy Mid System</v>
      </c>
      <c r="F66" s="2"/>
      <c r="G66" s="2" t="str">
        <f>IFERROR(__xludf.DUMMYFUNCTION("""COMPUTED_VALUE"""),"PP661-23467")</f>
        <v>PP661-23467</v>
      </c>
      <c r="H66" s="2" t="str">
        <f>IFERROR(__xludf.DUMMYFUNCTION("""COMPUTED_VALUE"""),"iPhone 13, Red, 512GB, Logic Board Assy Rear System, ROW")</f>
        <v>iPhone 13, Red, 512GB, Logic Board Assy Rear System, ROW</v>
      </c>
      <c r="I66" s="2">
        <f>IFERROR(__xludf.DUMMYFUNCTION("""COMPUTED_VALUE"""),1.0)</f>
        <v>1</v>
      </c>
      <c r="M66" s="2"/>
      <c r="O66" s="22" t="str">
        <f>IFERROR(__xludf.DUMMYFUNCTION("""COMPUTED_VALUE"""),"TA661-49966")</f>
        <v>TA661-49966</v>
      </c>
      <c r="P66" s="22" t="str">
        <f>IFERROR(__xludf.DUMMYFUNCTION("""COMPUTED_VALUE"""),"Black, 256GB, Logic Board Assy Mid System, iPhone 16e, ROW")</f>
        <v>Black, 256GB, Logic Board Assy Mid System, iPhone 16e, ROW</v>
      </c>
      <c r="Q66" s="22">
        <f>IFERROR(__xludf.DUMMYFUNCTION("""COMPUTED_VALUE"""),2.0)</f>
        <v>2</v>
      </c>
      <c r="R66" s="2"/>
      <c r="S66" s="2"/>
      <c r="T66" s="2"/>
      <c r="U66" s="2"/>
      <c r="V66" s="2"/>
      <c r="W66" s="2"/>
      <c r="X66" s="2"/>
      <c r="Y66" s="2"/>
      <c r="Z66" s="2" t="str">
        <f>IFERROR(__xludf.DUMMYFUNCTION("""COMPUTED_VALUE"""),"MOBILECARE - APP GREENBELT 3")</f>
        <v>MOBILECARE - APP GREENBELT 3</v>
      </c>
      <c r="AA66" s="2">
        <f>IFERROR(__xludf.DUMMYFUNCTION("""COMPUTED_VALUE"""),1.0)</f>
        <v>1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>
      <c r="A67" s="3" t="str">
        <f t="shared" si="1"/>
        <v>February</v>
      </c>
      <c r="B67" s="11">
        <f>IFERROR(__xludf.DUMMYFUNCTION("""COMPUTED_VALUE"""),46061.0)</f>
        <v>46061</v>
      </c>
      <c r="C67" s="2" t="str">
        <f>IFERROR(__xludf.DUMMYFUNCTION("""COMPUTED_VALUE"""),"MOBILECARE - NEWPOINT MALL")</f>
        <v>MOBILECARE - NEWPOINT MALL</v>
      </c>
      <c r="D67" s="2" t="str">
        <f>IFERROR(__xludf.DUMMYFUNCTION("""COMPUTED_VALUE"""),"PP661-28868")</f>
        <v>PP661-28868</v>
      </c>
      <c r="E67" s="2" t="str">
        <f>IFERROR(__xludf.DUMMYFUNCTION("""COMPUTED_VALUE"""),"iPhone 14, Midnight, 128GB, Logic Board Assy Mid System, ROW")</f>
        <v>iPhone 14, Midnight, 128GB, Logic Board Assy Mid System, ROW</v>
      </c>
      <c r="F67" s="2"/>
      <c r="G67" s="2" t="str">
        <f>IFERROR(__xludf.DUMMYFUNCTION("""COMPUTED_VALUE"""),"661-42723")</f>
        <v>661-42723</v>
      </c>
      <c r="H67" s="2" t="str">
        <f>IFERROR(__xludf.DUMMYFUNCTION("""COMPUTED_VALUE"""),"White Titanium, Back Glass, iPhone 16 Pro")</f>
        <v>White Titanium, Back Glass, iPhone 16 Pro</v>
      </c>
      <c r="I67" s="2">
        <f>IFERROR(__xludf.DUMMYFUNCTION("""COMPUTED_VALUE"""),1.0)</f>
        <v>1</v>
      </c>
      <c r="M67" s="2"/>
      <c r="O67" s="22" t="str">
        <f>IFERROR(__xludf.DUMMYFUNCTION("""COMPUTED_VALUE"""),"PP661-28872")</f>
        <v>PP661-28872</v>
      </c>
      <c r="P67" s="22" t="str">
        <f>IFERROR(__xludf.DUMMYFUNCTION("""COMPUTED_VALUE"""),"iPhone 14, Purple, 128GB, Logic Board Assy Mid System, ROW")</f>
        <v>iPhone 14, Purple, 128GB, Logic Board Assy Mid System, ROW</v>
      </c>
      <c r="Q67" s="22">
        <f>IFERROR(__xludf.DUMMYFUNCTION("""COMPUTED_VALUE"""),1.0)</f>
        <v>1</v>
      </c>
      <c r="R67" s="2"/>
      <c r="S67" s="2"/>
      <c r="T67" s="2"/>
      <c r="U67" s="2"/>
      <c r="V67" s="2"/>
      <c r="W67" s="2"/>
      <c r="X67" s="2"/>
      <c r="Y67" s="2"/>
      <c r="Z67" s="2" t="str">
        <f>IFERROR(__xludf.DUMMYFUNCTION("""COMPUTED_VALUE"""),"MOBILECARE - APP TRINOMA")</f>
        <v>MOBILECARE - APP TRINOMA</v>
      </c>
      <c r="AA67" s="2">
        <f>IFERROR(__xludf.DUMMYFUNCTION("""COMPUTED_VALUE"""),1.0)</f>
        <v>1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>
      <c r="A68" s="3" t="str">
        <f t="shared" si="1"/>
        <v>February</v>
      </c>
      <c r="B68" s="11">
        <f>IFERROR(__xludf.DUMMYFUNCTION("""COMPUTED_VALUE"""),46054.0)</f>
        <v>46054</v>
      </c>
      <c r="C68" s="2" t="str">
        <f>IFERROR(__xludf.DUMMYFUNCTION("""COMPUTED_VALUE"""),"MOBILECARE - NEWPOINT MALL")</f>
        <v>MOBILECARE - NEWPOINT MALL</v>
      </c>
      <c r="D68" s="2" t="str">
        <f>IFERROR(__xludf.DUMMYFUNCTION("""COMPUTED_VALUE"""),"TA661-43611")</f>
        <v>TA661-43611</v>
      </c>
      <c r="E68" s="2" t="str">
        <f>IFERROR(__xludf.DUMMYFUNCTION("""COMPUTED_VALUE"""),"256GB, White, ROW, iPhone 16, Logic Board Assy Mid System")</f>
        <v>256GB, White, ROW, iPhone 16, Logic Board Assy Mid System</v>
      </c>
      <c r="F68" s="2"/>
      <c r="G68" s="2" t="str">
        <f>IFERROR(__xludf.DUMMYFUNCTION("""COMPUTED_VALUE"""),"661-35703")</f>
        <v>661-35703</v>
      </c>
      <c r="H68" s="2" t="str">
        <f>IFERROR(__xludf.DUMMYFUNCTION("""COMPUTED_VALUE"""),"Blue Titanium, Back Glass, iPhone 15 Pro")</f>
        <v>Blue Titanium, Back Glass, iPhone 15 Pro</v>
      </c>
      <c r="I68" s="2">
        <f>IFERROR(__xludf.DUMMYFUNCTION("""COMPUTED_VALUE"""),1.0)</f>
        <v>1</v>
      </c>
      <c r="M68" s="2"/>
      <c r="O68" s="22" t="str">
        <f>IFERROR(__xludf.DUMMYFUNCTION("""COMPUTED_VALUE"""),"PP661-28876")</f>
        <v>PP661-28876</v>
      </c>
      <c r="P68" s="22" t="str">
        <f>IFERROR(__xludf.DUMMYFUNCTION("""COMPUTED_VALUE"""),"iPhone 14, Blue, 256GB, Logic Board Assy Mid System, ROW")</f>
        <v>iPhone 14, Blue, 256GB, Logic Board Assy Mid System, ROW</v>
      </c>
      <c r="Q68" s="22">
        <f>IFERROR(__xludf.DUMMYFUNCTION("""COMPUTED_VALUE"""),1.0)</f>
        <v>1</v>
      </c>
      <c r="R68" s="2"/>
      <c r="S68" s="2"/>
      <c r="T68" s="2"/>
      <c r="U68" s="2"/>
      <c r="V68" s="2"/>
      <c r="W68" s="2"/>
      <c r="X68" s="2"/>
      <c r="Y68" s="2"/>
      <c r="Z68" s="2" t="str">
        <f>IFERROR(__xludf.DUMMYFUNCTION("""COMPUTED_VALUE"""),"MOBILECARE - NEWPOINT MALL")</f>
        <v>MOBILECARE - NEWPOINT MALL</v>
      </c>
      <c r="AA68" s="2">
        <f>IFERROR(__xludf.DUMMYFUNCTION("""COMPUTED_VALUE"""),1.0)</f>
        <v>1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>
      <c r="A69" s="3" t="str">
        <f t="shared" si="1"/>
        <v>January</v>
      </c>
      <c r="B69" s="11">
        <f>IFERROR(__xludf.DUMMYFUNCTION("""COMPUTED_VALUE"""),46052.0)</f>
        <v>46052</v>
      </c>
      <c r="C69" s="2" t="str">
        <f>IFERROR(__xludf.DUMMYFUNCTION("""COMPUTED_VALUE"""),"MOBILECARE - NEWPOINT MALL")</f>
        <v>MOBILECARE - NEWPOINT MALL</v>
      </c>
      <c r="D69" s="2" t="str">
        <f>IFERROR(__xludf.DUMMYFUNCTION("""COMPUTED_VALUE"""),"PP661-23454")</f>
        <v>PP661-23454</v>
      </c>
      <c r="E69" s="2" t="str">
        <f>IFERROR(__xludf.DUMMYFUNCTION("""COMPUTED_VALUE"""),"iPhone 13, Midnight, 128GB, Logic Board Assy Rear System, ROW")</f>
        <v>iPhone 13, Midnight, 128GB, Logic Board Assy Rear System, ROW</v>
      </c>
      <c r="F69" s="2"/>
      <c r="G69" s="2" t="str">
        <f>IFERROR(__xludf.DUMMYFUNCTION("""COMPUTED_VALUE"""),"661-36909")</f>
        <v>661-36909</v>
      </c>
      <c r="H69" s="2" t="str">
        <f>IFERROR(__xludf.DUMMYFUNCTION("""COMPUTED_VALUE"""),"Natural Titanium, Back Glass, iPhone 15 Pro Max")</f>
        <v>Natural Titanium, Back Glass, iPhone 15 Pro Max</v>
      </c>
      <c r="I69" s="2">
        <f>IFERROR(__xludf.DUMMYFUNCTION("""COMPUTED_VALUE"""),1.0)</f>
        <v>1</v>
      </c>
      <c r="M69" s="2"/>
      <c r="O69" s="22" t="str">
        <f>IFERROR(__xludf.DUMMYFUNCTION("""COMPUTED_VALUE"""),"TA661-36700")</f>
        <v>TA661-36700</v>
      </c>
      <c r="P69" s="22" t="str">
        <f>IFERROR(__xludf.DUMMYFUNCTION("""COMPUTED_VALUE"""),"iPhone 15, Green, 256GB, Logic Board Assy Mid System, ROW")</f>
        <v>iPhone 15, Green, 256GB, Logic Board Assy Mid System, ROW</v>
      </c>
      <c r="Q69" s="22">
        <f>IFERROR(__xludf.DUMMYFUNCTION("""COMPUTED_VALUE"""),1.0)</f>
        <v>1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>
      <c r="A70" s="3" t="str">
        <f t="shared" si="1"/>
        <v>January</v>
      </c>
      <c r="B70" s="11">
        <f>IFERROR(__xludf.DUMMYFUNCTION("""COMPUTED_VALUE"""),46053.0)</f>
        <v>46053</v>
      </c>
      <c r="C70" s="2" t="str">
        <f>IFERROR(__xludf.DUMMYFUNCTION("""COMPUTED_VALUE"""),"MOBILECARE - NEWPOINT MALL")</f>
        <v>MOBILECARE - NEWPOINT MALL</v>
      </c>
      <c r="D70" s="2" t="str">
        <f>IFERROR(__xludf.DUMMYFUNCTION("""COMPUTED_VALUE"""),"PP661-28869")</f>
        <v>PP661-28869</v>
      </c>
      <c r="E70" s="2" t="str">
        <f>IFERROR(__xludf.DUMMYFUNCTION("""COMPUTED_VALUE"""),"iPhone 14, Starlight, 128GB, Logic Board Assy Mid System, ROW")</f>
        <v>iPhone 14, Starlight, 128GB, Logic Board Assy Mid System, ROW</v>
      </c>
      <c r="F70" s="2"/>
      <c r="G70" s="2" t="str">
        <f>IFERROR(__xludf.DUMMYFUNCTION("""COMPUTED_VALUE"""),"661-56054")</f>
        <v>661-56054</v>
      </c>
      <c r="H70" s="2" t="str">
        <f>IFERROR(__xludf.DUMMYFUNCTION("""COMPUTED_VALUE"""),"Cosmic Orange, Back Glass, iPhone 17 Pro Max")</f>
        <v>Cosmic Orange, Back Glass, iPhone 17 Pro Max</v>
      </c>
      <c r="I70" s="2">
        <f>IFERROR(__xludf.DUMMYFUNCTION("""COMPUTED_VALUE"""),1.0)</f>
        <v>1</v>
      </c>
      <c r="M70" s="2"/>
      <c r="O70" s="22" t="str">
        <f>IFERROR(__xludf.DUMMYFUNCTION("""COMPUTED_VALUE"""),"TA661-43613")</f>
        <v>TA661-43613</v>
      </c>
      <c r="P70" s="22" t="str">
        <f>IFERROR(__xludf.DUMMYFUNCTION("""COMPUTED_VALUE"""),"256GB, Ultramarine, ROW, iPhone 16, Logic Board Assy Mid System")</f>
        <v>256GB, Ultramarine, ROW, iPhone 16, Logic Board Assy Mid System</v>
      </c>
      <c r="Q70" s="22">
        <f>IFERROR(__xludf.DUMMYFUNCTION("""COMPUTED_VALUE"""),1.0)</f>
        <v>1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>
      <c r="A71" s="3" t="str">
        <f t="shared" si="1"/>
        <v>February</v>
      </c>
      <c r="B71" s="11">
        <f>IFERROR(__xludf.DUMMYFUNCTION("""COMPUTED_VALUE"""),46060.0)</f>
        <v>46060</v>
      </c>
      <c r="C71" s="2" t="str">
        <f>IFERROR(__xludf.DUMMYFUNCTION("""COMPUTED_VALUE"""),"MOBILECARE - NEWPOINT MALL")</f>
        <v>MOBILECARE - NEWPOINT MALL</v>
      </c>
      <c r="D71" s="2" t="str">
        <f>IFERROR(__xludf.DUMMYFUNCTION("""COMPUTED_VALUE"""),"PP661-23455")</f>
        <v>PP661-23455</v>
      </c>
      <c r="E71" s="2" t="str">
        <f>IFERROR(__xludf.DUMMYFUNCTION("""COMPUTED_VALUE"""),"iPhone 13, Starlight, 128GB, Logic Board Assy Rear System, ROW")</f>
        <v>iPhone 13, Starlight, 128GB, Logic Board Assy Rear System, ROW</v>
      </c>
      <c r="F71" s="2"/>
      <c r="G71" s="2" t="str">
        <f>IFERROR(__xludf.DUMMYFUNCTION("""COMPUTED_VALUE"""),"661-49557")</f>
        <v>661-49557</v>
      </c>
      <c r="H71" s="2" t="str">
        <f>IFERROR(__xludf.DUMMYFUNCTION("""COMPUTED_VALUE"""),"Desert, Back Glass, iPhone 16 Pro")</f>
        <v>Desert, Back Glass, iPhone 16 Pro</v>
      </c>
      <c r="I71" s="2">
        <f>IFERROR(__xludf.DUMMYFUNCTION("""COMPUTED_VALUE"""),1.0)</f>
        <v>1</v>
      </c>
      <c r="M71" s="2"/>
      <c r="O71" s="22" t="str">
        <f>IFERROR(__xludf.DUMMYFUNCTION("""COMPUTED_VALUE"""),"TA661-43618")</f>
        <v>TA661-43618</v>
      </c>
      <c r="P71" s="22" t="str">
        <f>IFERROR(__xludf.DUMMYFUNCTION("""COMPUTED_VALUE"""),"512GB, Ultramarine, ROW, iPhone 16, Logic Board Assy Mid System")</f>
        <v>512GB, Ultramarine, ROW, iPhone 16, Logic Board Assy Mid System</v>
      </c>
      <c r="Q71" s="22">
        <f>IFERROR(__xludf.DUMMYFUNCTION("""COMPUTED_VALUE"""),1.0)</f>
        <v>1</v>
      </c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>
      <c r="A72" s="3" t="str">
        <f t="shared" si="1"/>
        <v>January</v>
      </c>
      <c r="B72" s="11">
        <f>IFERROR(__xludf.DUMMYFUNCTION("""COMPUTED_VALUE"""),46045.0)</f>
        <v>46045</v>
      </c>
      <c r="C72" s="2" t="str">
        <f>IFERROR(__xludf.DUMMYFUNCTION("""COMPUTED_VALUE"""),"MOBILECARE - NEWPOINT MALL")</f>
        <v>MOBILECARE - NEWPOINT MALL</v>
      </c>
      <c r="D72" s="2" t="str">
        <f>IFERROR(__xludf.DUMMYFUNCTION("""COMPUTED_VALUE"""),"TA661-43607")</f>
        <v>TA661-43607</v>
      </c>
      <c r="E72" s="2" t="str">
        <f>IFERROR(__xludf.DUMMYFUNCTION("""COMPUTED_VALUE"""),"128GB, Pink, ROW, iPhone 16, Logic Board Assy Mid System")</f>
        <v>128GB, Pink, ROW, iPhone 16, Logic Board Assy Mid System</v>
      </c>
      <c r="F72" s="2"/>
      <c r="G72" s="2" t="str">
        <f>IFERROR(__xludf.DUMMYFUNCTION("""COMPUTED_VALUE"""),"661-56060")</f>
        <v>661-56060</v>
      </c>
      <c r="H72" s="2" t="str">
        <f>IFERROR(__xludf.DUMMYFUNCTION("""COMPUTED_VALUE"""),"Lavender, Back Glass, iPhone 17")</f>
        <v>Lavender, Back Glass, iPhone 17</v>
      </c>
      <c r="I72" s="2">
        <f>IFERROR(__xludf.DUMMYFUNCTION("""COMPUTED_VALUE"""),1.0)</f>
        <v>1</v>
      </c>
      <c r="M72" s="2"/>
      <c r="O72" s="22" t="str">
        <f>IFERROR(__xludf.DUMMYFUNCTION("""COMPUTED_VALUE"""),"TA661-44998")</f>
        <v>TA661-44998</v>
      </c>
      <c r="P72" s="22" t="str">
        <f>IFERROR(__xludf.DUMMYFUNCTION("""COMPUTED_VALUE"""),"128GB, Natural Titanium, ROW, iPhone 16 Pro, Logic Board Assy Mid System")</f>
        <v>128GB, Natural Titanium, ROW, iPhone 16 Pro, Logic Board Assy Mid System</v>
      </c>
      <c r="Q72" s="22">
        <f>IFERROR(__xludf.DUMMYFUNCTION("""COMPUTED_VALUE"""),1.0)</f>
        <v>1</v>
      </c>
      <c r="R72" s="2"/>
      <c r="S72" s="2"/>
      <c r="T72" s="2"/>
      <c r="U72" s="2"/>
      <c r="V72" s="2"/>
      <c r="W72" s="2"/>
      <c r="X72" s="2"/>
      <c r="AI72" s="2"/>
      <c r="AJ72" s="2"/>
      <c r="AK72" s="2"/>
    </row>
    <row r="73">
      <c r="A73" s="3" t="str">
        <f t="shared" si="1"/>
        <v>January</v>
      </c>
      <c r="B73" s="11">
        <f>IFERROR(__xludf.DUMMYFUNCTION("""COMPUTED_VALUE"""),46050.0)</f>
        <v>46050</v>
      </c>
      <c r="C73" s="2" t="str">
        <f>IFERROR(__xludf.DUMMYFUNCTION("""COMPUTED_VALUE"""),"MOBILECARE - NEWPOINT MALL")</f>
        <v>MOBILECARE - NEWPOINT MALL</v>
      </c>
      <c r="D73" s="2" t="str">
        <f>IFERROR(__xludf.DUMMYFUNCTION("""COMPUTED_VALUE"""),"PP661-23454")</f>
        <v>PP661-23454</v>
      </c>
      <c r="E73" s="2" t="str">
        <f>IFERROR(__xludf.DUMMYFUNCTION("""COMPUTED_VALUE"""),"iPhone 13, Midnight, 128GB, Logic Board Assy Rear System, ROW")</f>
        <v>iPhone 13, Midnight, 128GB, Logic Board Assy Rear System, ROW</v>
      </c>
      <c r="F73" s="2"/>
      <c r="G73" s="2" t="str">
        <f>IFERROR(__xludf.DUMMYFUNCTION("""COMPUTED_VALUE"""),"661-36834")</f>
        <v>661-36834</v>
      </c>
      <c r="H73" s="2" t="str">
        <f>IFERROR(__xludf.DUMMYFUNCTION("""COMPUTED_VALUE"""),"Natural Titanium, Millimeter Wave, Back Glass, iPhone 15 Pro")</f>
        <v>Natural Titanium, Millimeter Wave, Back Glass, iPhone 15 Pro</v>
      </c>
      <c r="I73" s="2">
        <f>IFERROR(__xludf.DUMMYFUNCTION("""COMPUTED_VALUE"""),1.0)</f>
        <v>1</v>
      </c>
      <c r="M73" s="2"/>
      <c r="O73" s="22" t="str">
        <f>IFERROR(__xludf.DUMMYFUNCTION("""COMPUTED_VALUE"""),"TA661-45003")</f>
        <v>TA661-45003</v>
      </c>
      <c r="P73" s="22" t="str">
        <f>IFERROR(__xludf.DUMMYFUNCTION("""COMPUTED_VALUE"""),"512GB, Black Titanium, ROW, iPhone 16 Pro, Logic Board Assy Mid System")</f>
        <v>512GB, Black Titanium, ROW, iPhone 16 Pro, Logic Board Assy Mid System</v>
      </c>
      <c r="Q73" s="22">
        <f>IFERROR(__xludf.DUMMYFUNCTION("""COMPUTED_VALUE"""),1.0)</f>
        <v>1</v>
      </c>
      <c r="R73" s="2"/>
      <c r="S73" s="2"/>
      <c r="T73" s="2"/>
      <c r="U73" s="2"/>
      <c r="V73" s="2"/>
      <c r="W73" s="2"/>
      <c r="X73" s="2"/>
      <c r="AI73" s="2"/>
      <c r="AJ73" s="2"/>
      <c r="AK73" s="2"/>
    </row>
    <row r="74">
      <c r="A74" s="3" t="str">
        <f t="shared" si="1"/>
        <v>January</v>
      </c>
      <c r="B74" s="11">
        <f>IFERROR(__xludf.DUMMYFUNCTION("""COMPUTED_VALUE"""),46040.0)</f>
        <v>46040</v>
      </c>
      <c r="C74" s="2" t="str">
        <f>IFERROR(__xludf.DUMMYFUNCTION("""COMPUTED_VALUE"""),"MOBILECARE - NEWPOINT MALL")</f>
        <v>MOBILECARE - NEWPOINT MALL</v>
      </c>
      <c r="D74" s="2" t="str">
        <f>IFERROR(__xludf.DUMMYFUNCTION("""COMPUTED_VALUE"""),"TA661-45235")</f>
        <v>TA661-45235</v>
      </c>
      <c r="E74" s="2" t="str">
        <f>IFERROR(__xludf.DUMMYFUNCTION("""COMPUTED_VALUE"""),"128GB, Teal, ROW, iPhone 16 Plus, Logic Board Assy Mid System")</f>
        <v>128GB, Teal, ROW, iPhone 16 Plus, Logic Board Assy Mid System</v>
      </c>
      <c r="F74" s="2"/>
      <c r="G74" s="2" t="str">
        <f>IFERROR(__xludf.DUMMYFUNCTION("""COMPUTED_VALUE"""),"661-42722")</f>
        <v>661-42722</v>
      </c>
      <c r="H74" s="2" t="str">
        <f>IFERROR(__xludf.DUMMYFUNCTION("""COMPUTED_VALUE"""),"Black Titanium, Back Glass, iPhone 16 Pro")</f>
        <v>Black Titanium, Back Glass, iPhone 16 Pro</v>
      </c>
      <c r="I74" s="2">
        <f>IFERROR(__xludf.DUMMYFUNCTION("""COMPUTED_VALUE"""),1.0)</f>
        <v>1</v>
      </c>
      <c r="M74" s="2"/>
      <c r="O74" s="22" t="str">
        <f>IFERROR(__xludf.DUMMYFUNCTION("""COMPUTED_VALUE"""),"TA661-45006")</f>
        <v>TA661-45006</v>
      </c>
      <c r="P74" s="22" t="str">
        <f>IFERROR(__xludf.DUMMYFUNCTION("""COMPUTED_VALUE"""),"512GB, Natural Titanium, ROW, iPhone 16 Pro, Logic Board Assy Mid System")</f>
        <v>512GB, Natural Titanium, ROW, iPhone 16 Pro, Logic Board Assy Mid System</v>
      </c>
      <c r="Q74" s="22">
        <f>IFERROR(__xludf.DUMMYFUNCTION("""COMPUTED_VALUE"""),1.0)</f>
        <v>1</v>
      </c>
      <c r="R74" s="2"/>
      <c r="S74" s="2"/>
      <c r="T74" s="2"/>
      <c r="U74" s="2"/>
      <c r="V74" s="2"/>
      <c r="W74" s="2"/>
      <c r="X74" s="2"/>
      <c r="AI74" s="2"/>
      <c r="AJ74" s="2"/>
      <c r="AK74" s="2"/>
    </row>
    <row r="75">
      <c r="A75" s="3" t="str">
        <f t="shared" si="1"/>
        <v>January</v>
      </c>
      <c r="B75" s="11">
        <f>IFERROR(__xludf.DUMMYFUNCTION("""COMPUTED_VALUE"""),46036.0)</f>
        <v>46036</v>
      </c>
      <c r="C75" s="2" t="str">
        <f>IFERROR(__xludf.DUMMYFUNCTION("""COMPUTED_VALUE"""),"MOBILECARE - NEWPOINT MALL")</f>
        <v>MOBILECARE - NEWPOINT MALL</v>
      </c>
      <c r="D75" s="2" t="str">
        <f>IFERROR(__xludf.DUMMYFUNCTION("""COMPUTED_VALUE"""),"TA661-45233")</f>
        <v>TA661-45233</v>
      </c>
      <c r="E75" s="2" t="str">
        <f>IFERROR(__xludf.DUMMYFUNCTION("""COMPUTED_VALUE"""),"128GB, Pink, ROW, iPhone 16 Plus, Logic Board Assy Mid System")</f>
        <v>128GB, Pink, ROW, iPhone 16 Plus, Logic Board Assy Mid System</v>
      </c>
      <c r="F75" s="2"/>
      <c r="G75" s="2" t="str">
        <f>IFERROR(__xludf.DUMMYFUNCTION("""COMPUTED_VALUE"""),"661-44959")</f>
        <v>661-44959</v>
      </c>
      <c r="H75" s="2" t="str">
        <f>IFERROR(__xludf.DUMMYFUNCTION("""COMPUTED_VALUE"""),"White Titanium, Back Glass, iPhone 16 Pro Max")</f>
        <v>White Titanium, Back Glass, iPhone 16 Pro Max</v>
      </c>
      <c r="I75" s="2">
        <f>IFERROR(__xludf.DUMMYFUNCTION("""COMPUTED_VALUE"""),1.0)</f>
        <v>1</v>
      </c>
      <c r="M75" s="2"/>
      <c r="O75" s="22" t="str">
        <f>IFERROR(__xludf.DUMMYFUNCTION("""COMPUTED_VALUE"""),"TA661-45237")</f>
        <v>TA661-45237</v>
      </c>
      <c r="P75" s="22" t="str">
        <f>IFERROR(__xludf.DUMMYFUNCTION("""COMPUTED_VALUE"""),"256GB, White, ROW, iPhone 16 Plus, Logic Board Assy Mid System")</f>
        <v>256GB, White, ROW, iPhone 16 Plus, Logic Board Assy Mid System</v>
      </c>
      <c r="Q75" s="22">
        <f>IFERROR(__xludf.DUMMYFUNCTION("""COMPUTED_VALUE"""),1.0)</f>
        <v>1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I75" s="2"/>
      <c r="AJ75" s="2"/>
      <c r="AK75" s="2"/>
    </row>
    <row r="76">
      <c r="A76" s="3" t="str">
        <f t="shared" si="1"/>
        <v>January</v>
      </c>
      <c r="B76" s="11">
        <f>IFERROR(__xludf.DUMMYFUNCTION("""COMPUTED_VALUE"""),46043.0)</f>
        <v>46043</v>
      </c>
      <c r="C76" s="2" t="str">
        <f>IFERROR(__xludf.DUMMYFUNCTION("""COMPUTED_VALUE"""),"MOBILECARE - NEWPOINT MALL")</f>
        <v>MOBILECARE - NEWPOINT MALL</v>
      </c>
      <c r="D76" s="2" t="str">
        <f>IFERROR(__xludf.DUMMYFUNCTION("""COMPUTED_VALUE"""),"PP661-23455")</f>
        <v>PP661-23455</v>
      </c>
      <c r="E76" s="2" t="str">
        <f>IFERROR(__xludf.DUMMYFUNCTION("""COMPUTED_VALUE"""),"iPhone 13, Starlight, 128GB, Logic Board Assy Rear System, ROW")</f>
        <v>iPhone 13, Starlight, 128GB, Logic Board Assy Rear System, ROW</v>
      </c>
      <c r="F76" s="2"/>
      <c r="G76" s="2" t="str">
        <f>IFERROR(__xludf.DUMMYFUNCTION("""COMPUTED_VALUE"""),"661-36908")</f>
        <v>661-36908</v>
      </c>
      <c r="H76" s="2" t="str">
        <f>IFERROR(__xludf.DUMMYFUNCTION("""COMPUTED_VALUE"""),"White Titanium, Back Glass, iPhone 15 Pro Max")</f>
        <v>White Titanium, Back Glass, iPhone 15 Pro Max</v>
      </c>
      <c r="I76" s="2">
        <f>IFERROR(__xludf.DUMMYFUNCTION("""COMPUTED_VALUE"""),1.0)</f>
        <v>1</v>
      </c>
      <c r="M76" s="2"/>
      <c r="O76" s="22" t="str">
        <f>IFERROR(__xludf.DUMMYFUNCTION("""COMPUTED_VALUE"""),"TA661-45242")</f>
        <v>TA661-45242</v>
      </c>
      <c r="P76" s="22" t="str">
        <f>IFERROR(__xludf.DUMMYFUNCTION("""COMPUTED_VALUE"""),"512GB, White, ROW, iPhone 16 Plus, Logic Board Assy Mid System")</f>
        <v>512GB, White, ROW, iPhone 16 Plus, Logic Board Assy Mid System</v>
      </c>
      <c r="Q76" s="22">
        <f>IFERROR(__xludf.DUMMYFUNCTION("""COMPUTED_VALUE"""),1.0)</f>
        <v>1</v>
      </c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I76" s="2"/>
      <c r="AJ76" s="2"/>
      <c r="AK76" s="2"/>
    </row>
    <row r="77">
      <c r="A77" s="3" t="str">
        <f t="shared" si="1"/>
        <v>January</v>
      </c>
      <c r="B77" s="11">
        <f>IFERROR(__xludf.DUMMYFUNCTION("""COMPUTED_VALUE"""),46037.0)</f>
        <v>46037</v>
      </c>
      <c r="C77" s="2" t="str">
        <f>IFERROR(__xludf.DUMMYFUNCTION("""COMPUTED_VALUE"""),"MOBILECARE - NEWPOINT MALL")</f>
        <v>MOBILECARE - NEWPOINT MALL</v>
      </c>
      <c r="D77" s="2" t="str">
        <f>IFERROR(__xludf.DUMMYFUNCTION("""COMPUTED_VALUE"""),"PP661-23454")</f>
        <v>PP661-23454</v>
      </c>
      <c r="E77" s="2" t="str">
        <f>IFERROR(__xludf.DUMMYFUNCTION("""COMPUTED_VALUE"""),"iPhone 13, Midnight, 128GB, Logic Board Assy Rear System, ROW")</f>
        <v>iPhone 13, Midnight, 128GB, Logic Board Assy Rear System, ROW</v>
      </c>
      <c r="F77" s="2"/>
      <c r="G77" s="2" t="str">
        <f>IFERROR(__xludf.DUMMYFUNCTION("""COMPUTED_VALUE"""),"TA661-45237")</f>
        <v>TA661-45237</v>
      </c>
      <c r="H77" s="2" t="str">
        <f>IFERROR(__xludf.DUMMYFUNCTION("""COMPUTED_VALUE"""),"256GB, White, ROW, iPhone 16 Plus, Logic Board Assy Mid System")</f>
        <v>256GB, White, ROW, iPhone 16 Plus, Logic Board Assy Mid System</v>
      </c>
      <c r="I77" s="2">
        <f>IFERROR(__xludf.DUMMYFUNCTION("""COMPUTED_VALUE"""),1.0)</f>
        <v>1</v>
      </c>
      <c r="M77" s="2"/>
      <c r="O77" s="22" t="str">
        <f>IFERROR(__xludf.DUMMYFUNCTION("""COMPUTED_VALUE"""),"TA661-45243")</f>
        <v>TA661-45243</v>
      </c>
      <c r="P77" s="22" t="str">
        <f>IFERROR(__xludf.DUMMYFUNCTION("""COMPUTED_VALUE"""),"512GB, Pink, ROW, iPhone 16 Plus, Logic Board Assy Mid System")</f>
        <v>512GB, Pink, ROW, iPhone 16 Plus, Logic Board Assy Mid System</v>
      </c>
      <c r="Q77" s="22">
        <f>IFERROR(__xludf.DUMMYFUNCTION("""COMPUTED_VALUE"""),1.0)</f>
        <v>1</v>
      </c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I77" s="2"/>
      <c r="AJ77" s="2"/>
      <c r="AK77" s="2"/>
    </row>
    <row r="78">
      <c r="A78" s="3" t="str">
        <f t="shared" si="1"/>
        <v>January</v>
      </c>
      <c r="B78" s="11">
        <f>IFERROR(__xludf.DUMMYFUNCTION("""COMPUTED_VALUE"""),46036.0)</f>
        <v>46036</v>
      </c>
      <c r="C78" s="2" t="str">
        <f>IFERROR(__xludf.DUMMYFUNCTION("""COMPUTED_VALUE"""),"MOBILECARE - NEWPOINT MALL")</f>
        <v>MOBILECARE - NEWPOINT MALL</v>
      </c>
      <c r="D78" s="2" t="str">
        <f>IFERROR(__xludf.DUMMYFUNCTION("""COMPUTED_VALUE"""),"TA661-43607")</f>
        <v>TA661-43607</v>
      </c>
      <c r="E78" s="2" t="str">
        <f>IFERROR(__xludf.DUMMYFUNCTION("""COMPUTED_VALUE"""),"128GB, Pink, ROW, iPhone 16, Logic Board Assy Mid System")</f>
        <v>128GB, Pink, ROW, iPhone 16, Logic Board Assy Mid System</v>
      </c>
      <c r="F78" s="2"/>
      <c r="G78" s="2" t="str">
        <f>IFERROR(__xludf.DUMMYFUNCTION("""COMPUTED_VALUE"""),"TA661-44998")</f>
        <v>TA661-44998</v>
      </c>
      <c r="H78" s="2" t="str">
        <f>IFERROR(__xludf.DUMMYFUNCTION("""COMPUTED_VALUE"""),"128GB, Natural Titanium, ROW, iPhone 16 Pro, Logic Board Assy Mid System")</f>
        <v>128GB, Natural Titanium, ROW, iPhone 16 Pro, Logic Board Assy Mid System</v>
      </c>
      <c r="I78" s="2">
        <f>IFERROR(__xludf.DUMMYFUNCTION("""COMPUTED_VALUE"""),1.0)</f>
        <v>1</v>
      </c>
      <c r="M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I78" s="2"/>
      <c r="AJ78" s="2"/>
      <c r="AK78" s="2"/>
    </row>
    <row r="79">
      <c r="A79" s="3" t="str">
        <f t="shared" si="1"/>
        <v>January</v>
      </c>
      <c r="B79" s="11">
        <f>IFERROR(__xludf.DUMMYFUNCTION("""COMPUTED_VALUE"""),46030.0)</f>
        <v>46030</v>
      </c>
      <c r="C79" s="2" t="str">
        <f>IFERROR(__xludf.DUMMYFUNCTION("""COMPUTED_VALUE"""),"MOBILECARE - NEWPOINT MALL")</f>
        <v>MOBILECARE - NEWPOINT MALL</v>
      </c>
      <c r="D79" s="2" t="str">
        <f>IFERROR(__xludf.DUMMYFUNCTION("""COMPUTED_VALUE"""),"TA661-43606")</f>
        <v>TA661-43606</v>
      </c>
      <c r="E79" s="2" t="str">
        <f>IFERROR(__xludf.DUMMYFUNCTION("""COMPUTED_VALUE"""),"128GB, White, ROW, iPhone 16, Logic Board Assy Mid System")</f>
        <v>128GB, White, ROW, iPhone 16, Logic Board Assy Mid System</v>
      </c>
      <c r="F79" s="2"/>
      <c r="G79" s="2" t="str">
        <f>IFERROR(__xludf.DUMMYFUNCTION("""COMPUTED_VALUE"""),"TA661-43618")</f>
        <v>TA661-43618</v>
      </c>
      <c r="H79" s="2" t="str">
        <f>IFERROR(__xludf.DUMMYFUNCTION("""COMPUTED_VALUE"""),"512GB, Ultramarine, ROW, iPhone 16, Logic Board Assy Mid System")</f>
        <v>512GB, Ultramarine, ROW, iPhone 16, Logic Board Assy Mid System</v>
      </c>
      <c r="I79" s="2">
        <f>IFERROR(__xludf.DUMMYFUNCTION("""COMPUTED_VALUE"""),1.0)</f>
        <v>1</v>
      </c>
      <c r="M79" s="2"/>
      <c r="R79" s="2"/>
      <c r="S79" s="2"/>
      <c r="T79" s="2"/>
      <c r="U79" s="2"/>
      <c r="V79" s="2"/>
      <c r="W79" s="2"/>
      <c r="X79" s="24" t="s">
        <v>2426</v>
      </c>
      <c r="Y79" s="23" t="s">
        <v>23</v>
      </c>
      <c r="Z79" s="23" t="s">
        <v>24</v>
      </c>
      <c r="AA79" s="23" t="s">
        <v>328</v>
      </c>
      <c r="AB79" s="2"/>
      <c r="AI79" s="2"/>
      <c r="AJ79" s="2"/>
      <c r="AK79" s="2"/>
    </row>
    <row r="80">
      <c r="A80" s="3" t="str">
        <f t="shared" si="1"/>
        <v>January</v>
      </c>
      <c r="B80" s="11">
        <f>IFERROR(__xludf.DUMMYFUNCTION("""COMPUTED_VALUE"""),46037.0)</f>
        <v>46037</v>
      </c>
      <c r="C80" s="2" t="str">
        <f>IFERROR(__xludf.DUMMYFUNCTION("""COMPUTED_VALUE"""),"MOBILECARE - NEWPOINT MALL")</f>
        <v>MOBILECARE - NEWPOINT MALL</v>
      </c>
      <c r="D80" s="2" t="str">
        <f>IFERROR(__xludf.DUMMYFUNCTION("""COMPUTED_VALUE"""),"PP661-23455")</f>
        <v>PP661-23455</v>
      </c>
      <c r="E80" s="2" t="str">
        <f>IFERROR(__xludf.DUMMYFUNCTION("""COMPUTED_VALUE"""),"iPhone 13, Starlight, 128GB, Logic Board Assy Rear System, ROW")</f>
        <v>iPhone 13, Starlight, 128GB, Logic Board Assy Rear System, ROW</v>
      </c>
      <c r="F80" s="2"/>
      <c r="G80" s="2" t="str">
        <f>IFERROR(__xludf.DUMMYFUNCTION("""COMPUTED_VALUE"""),"TA661-45003")</f>
        <v>TA661-45003</v>
      </c>
      <c r="H80" s="2" t="str">
        <f>IFERROR(__xludf.DUMMYFUNCTION("""COMPUTED_VALUE"""),"512GB, Black Titanium, ROW, iPhone 16 Pro, Logic Board Assy Mid System")</f>
        <v>512GB, Black Titanium, ROW, iPhone 16 Pro, Logic Board Assy Mid System</v>
      </c>
      <c r="I80" s="2">
        <f>IFERROR(__xludf.DUMMYFUNCTION("""COMPUTED_VALUE"""),1.0)</f>
        <v>1</v>
      </c>
      <c r="M80" s="2"/>
      <c r="N80" s="2"/>
      <c r="S80" s="2"/>
      <c r="T80" s="24" t="s">
        <v>2443</v>
      </c>
      <c r="U80" s="20" t="s">
        <v>892</v>
      </c>
      <c r="V80" s="21" t="s">
        <v>328</v>
      </c>
      <c r="W80" s="2"/>
      <c r="X80" s="2"/>
      <c r="Y80" s="2" t="str">
        <f>IFERROR(__xludf.DUMMYFUNCTION("QUERY('Systems&amp;BackGlass'!A3:E1000, 
  ""SELECT D, E, COUNT(D) 
   WHERE lower(E) CONTAINS 'back glass' "" &amp; 
   IF(X79=""All"", """", ""AND lower(C) = '"" &amp; LOWER(TRIM(X79)) &amp; ""' "") &amp; 
  ""GROUP BY D, E 
   ORDER BY COUNT(D) DESC 
   LABEL COUNT(D) ''"&amp;""", 
0)"),"661-36838")</f>
        <v>661-36838</v>
      </c>
      <c r="Z80" s="2" t="str">
        <f>IFERROR(__xludf.DUMMYFUNCTION("""COMPUTED_VALUE"""),"Black, Back Glass, iPhone 15")</f>
        <v>Black, Back Glass, iPhone 15</v>
      </c>
      <c r="AA80" s="2">
        <f>IFERROR(__xludf.DUMMYFUNCTION("""COMPUTED_VALUE"""),2.0)</f>
        <v>2</v>
      </c>
      <c r="AB80" s="2"/>
      <c r="AI80" s="2"/>
      <c r="AJ80" s="2"/>
      <c r="AK80" s="2"/>
    </row>
    <row r="81">
      <c r="A81" s="3" t="str">
        <f t="shared" si="1"/>
        <v>January</v>
      </c>
      <c r="B81" s="11">
        <f>IFERROR(__xludf.DUMMYFUNCTION("""COMPUTED_VALUE"""),46034.0)</f>
        <v>46034</v>
      </c>
      <c r="C81" s="2" t="str">
        <f>IFERROR(__xludf.DUMMYFUNCTION("""COMPUTED_VALUE"""),"MOBILECARE - NEWPOINT MALL")</f>
        <v>MOBILECARE - NEWPOINT MALL</v>
      </c>
      <c r="D81" s="2" t="str">
        <f>IFERROR(__xludf.DUMMYFUNCTION("""COMPUTED_VALUE"""),"TA661-36691")</f>
        <v>TA661-36691</v>
      </c>
      <c r="E81" s="2" t="str">
        <f>IFERROR(__xludf.DUMMYFUNCTION("""COMPUTED_VALUE"""),"iPhone 15, Black, 128GB, Logic Board Assy Mid System, ROW")</f>
        <v>iPhone 15, Black, 128GB, Logic Board Assy Mid System, ROW</v>
      </c>
      <c r="F81" s="2"/>
      <c r="G81" s="2" t="str">
        <f>IFERROR(__xludf.DUMMYFUNCTION("""COMPUTED_VALUE"""),"PP661-28876")</f>
        <v>PP661-28876</v>
      </c>
      <c r="H81" s="2" t="str">
        <f>IFERROR(__xludf.DUMMYFUNCTION("""COMPUTED_VALUE"""),"iPhone 14, Blue, 256GB, Logic Board Assy Mid System, ROW")</f>
        <v>iPhone 14, Blue, 256GB, Logic Board Assy Mid System, ROW</v>
      </c>
      <c r="I81" s="2">
        <f>IFERROR(__xludf.DUMMYFUNCTION("""COMPUTED_VALUE"""),1.0)</f>
        <v>1</v>
      </c>
      <c r="M81" s="2"/>
      <c r="N81" s="24" t="s">
        <v>2471</v>
      </c>
      <c r="O81" s="23" t="s">
        <v>23</v>
      </c>
      <c r="P81" s="23" t="s">
        <v>24</v>
      </c>
      <c r="Q81" s="23" t="s">
        <v>328</v>
      </c>
      <c r="S81" s="2"/>
      <c r="T81" s="2"/>
      <c r="U81" s="2" t="str">
        <f>IFERROR(__xludf.DUMMYFUNCTION("IFERROR(LET(
  part, LOWER(TRIM(T80)),
  col_e, ARRAYFORMULA(LOWER(E3:E1000)),
  part_match, ARRAYFORMULA(IF(OR(part=""all"", part=""""), E3:E1000&lt;&gt;"""", 
                IF(part=""front"", ISNUMBER(SEARCH(""front"", col_e)), 
                TRIM(E3:E100"&amp;"0)=TRIM(T80)))),
  data, FILTER(C3:C1000, C3:C1000&lt;&gt;"""", part_match),
  u, UNIQUE(data),
  c, MAP(u, LAMBDA(x, COUNTA(FILTER(data, data=x)))),
  SORT(HSTACK(u, c), 2, FALSE)
), ""No data found"")"),"MOBILECARE - NAGA")</f>
        <v>MOBILECARE - NAGA</v>
      </c>
      <c r="V81" s="2">
        <f>IFERROR(__xludf.DUMMYFUNCTION("""COMPUTED_VALUE"""),1.0)</f>
        <v>1</v>
      </c>
      <c r="W81" s="2"/>
      <c r="X81" s="2"/>
      <c r="Y81" s="2" t="str">
        <f>IFERROR(__xludf.DUMMYFUNCTION("""COMPUTED_VALUE"""),"661-44960")</f>
        <v>661-44960</v>
      </c>
      <c r="Z81" s="2" t="str">
        <f>IFERROR(__xludf.DUMMYFUNCTION("""COMPUTED_VALUE"""),"Desert Titanium, Back Glass, iPhone 16 Pro Max")</f>
        <v>Desert Titanium, Back Glass, iPhone 16 Pro Max</v>
      </c>
      <c r="AA81" s="2">
        <f>IFERROR(__xludf.DUMMYFUNCTION("""COMPUTED_VALUE"""),2.0)</f>
        <v>2</v>
      </c>
      <c r="AB81" s="2"/>
      <c r="AI81" s="2"/>
      <c r="AJ81" s="2"/>
      <c r="AK81" s="2"/>
    </row>
    <row r="82">
      <c r="A82" s="3" t="str">
        <f t="shared" si="1"/>
        <v>January</v>
      </c>
      <c r="B82" s="11">
        <f>IFERROR(__xludf.DUMMYFUNCTION("""COMPUTED_VALUE"""),46027.0)</f>
        <v>46027</v>
      </c>
      <c r="C82" s="2" t="str">
        <f>IFERROR(__xludf.DUMMYFUNCTION("""COMPUTED_VALUE"""),"MOBILECARE - NEWPOINT MALL")</f>
        <v>MOBILECARE - NEWPOINT MALL</v>
      </c>
      <c r="D82" s="2" t="str">
        <f>IFERROR(__xludf.DUMMYFUNCTION("""COMPUTED_VALUE"""),"PP661-23455")</f>
        <v>PP661-23455</v>
      </c>
      <c r="E82" s="2" t="str">
        <f>IFERROR(__xludf.DUMMYFUNCTION("""COMPUTED_VALUE"""),"iPhone 13, Starlight, 128GB, Logic Board Assy Rear System, ROW")</f>
        <v>iPhone 13, Starlight, 128GB, Logic Board Assy Rear System, ROW</v>
      </c>
      <c r="F82" s="2"/>
      <c r="G82" s="2" t="str">
        <f>IFERROR(__xludf.DUMMYFUNCTION("""COMPUTED_VALUE"""),"PP661-28872")</f>
        <v>PP661-28872</v>
      </c>
      <c r="H82" s="2" t="str">
        <f>IFERROR(__xludf.DUMMYFUNCTION("""COMPUTED_VALUE"""),"iPhone 14, Purple, 128GB, Logic Board Assy Mid System, ROW")</f>
        <v>iPhone 14, Purple, 128GB, Logic Board Assy Mid System, ROW</v>
      </c>
      <c r="I82" s="2">
        <f>IFERROR(__xludf.DUMMYFUNCTION("""COMPUTED_VALUE"""),1.0)</f>
        <v>1</v>
      </c>
      <c r="M82" s="2"/>
      <c r="N82" s="2"/>
      <c r="O82" s="2" t="str">
        <f>IFERROR(__xludf.DUMMYFUNCTION("QUERY('Systems&amp;BackGlass'!A3:E1000, 
  ""SELECT D, E, COUNT(D) 
   WHERE lower(E) CONTAINS 'mid sys' "" &amp; 
   IF(N81=""All"", """", ""AND lower(C) = '"" &amp; LOWER(TRIM(N81)) &amp; ""' "") &amp; 
  ""GROUP BY D, E 
   ORDER BY COUNT(D) DESC 
   LABEL COUNT(D) ''"", "&amp;"
0)"),"PP661-28871")</f>
        <v>PP661-28871</v>
      </c>
      <c r="P82" s="2" t="str">
        <f>IFERROR(__xludf.DUMMYFUNCTION("""COMPUTED_VALUE"""),"iPhone 14, Blue, 128GB, Logic Board Assy Mid System, ROW")</f>
        <v>iPhone 14, Blue, 128GB, Logic Board Assy Mid System, ROW</v>
      </c>
      <c r="Q82" s="2">
        <f>IFERROR(__xludf.DUMMYFUNCTION("""COMPUTED_VALUE"""),3.0)</f>
        <v>3</v>
      </c>
      <c r="S82" s="2"/>
      <c r="T82" s="2"/>
      <c r="U82" s="2"/>
      <c r="V82" s="2"/>
      <c r="W82" s="2"/>
      <c r="X82" s="2"/>
      <c r="Y82" s="2" t="str">
        <f>IFERROR(__xludf.DUMMYFUNCTION("""COMPUTED_VALUE"""),"661-35703")</f>
        <v>661-35703</v>
      </c>
      <c r="Z82" s="2" t="str">
        <f>IFERROR(__xludf.DUMMYFUNCTION("""COMPUTED_VALUE"""),"Blue Titanium, Back Glass, iPhone 15 Pro")</f>
        <v>Blue Titanium, Back Glass, iPhone 15 Pro</v>
      </c>
      <c r="AA82" s="2">
        <f>IFERROR(__xludf.DUMMYFUNCTION("""COMPUTED_VALUE"""),1.0)</f>
        <v>1</v>
      </c>
      <c r="AB82" s="2"/>
      <c r="AI82" s="2"/>
      <c r="AJ82" s="2"/>
      <c r="AK82" s="2"/>
    </row>
    <row r="83">
      <c r="A83" s="3" t="str">
        <f t="shared" si="1"/>
        <v>January</v>
      </c>
      <c r="B83" s="11">
        <f>IFERROR(__xludf.DUMMYFUNCTION("""COMPUTED_VALUE"""),46026.0)</f>
        <v>46026</v>
      </c>
      <c r="C83" s="2" t="str">
        <f>IFERROR(__xludf.DUMMYFUNCTION("""COMPUTED_VALUE"""),"MOBILECARE - NEWPOINT MALL")</f>
        <v>MOBILECARE - NEWPOINT MALL</v>
      </c>
      <c r="D83" s="2" t="str">
        <f>IFERROR(__xludf.DUMMYFUNCTION("""COMPUTED_VALUE"""),"PP661-23455")</f>
        <v>PP661-23455</v>
      </c>
      <c r="E83" s="2" t="str">
        <f>IFERROR(__xludf.DUMMYFUNCTION("""COMPUTED_VALUE"""),"iPhone 13, Starlight, 128GB, Logic Board Assy Rear System, ROW")</f>
        <v>iPhone 13, Starlight, 128GB, Logic Board Assy Rear System, ROW</v>
      </c>
      <c r="F83" s="2"/>
      <c r="G83" s="2" t="str">
        <f>IFERROR(__xludf.DUMMYFUNCTION("""COMPUTED_VALUE"""),"661-37212")</f>
        <v>661-37212</v>
      </c>
      <c r="H83" s="2" t="str">
        <f>IFERROR(__xludf.DUMMYFUNCTION("""COMPUTED_VALUE"""),"Green, Back Glass, iPhone 15 Plus")</f>
        <v>Green, Back Glass, iPhone 15 Plus</v>
      </c>
      <c r="I83" s="2">
        <f>IFERROR(__xludf.DUMMYFUNCTION("""COMPUTED_VALUE"""),1.0)</f>
        <v>1</v>
      </c>
      <c r="M83" s="2"/>
      <c r="N83" s="2"/>
      <c r="O83" s="2" t="str">
        <f>IFERROR(__xludf.DUMMYFUNCTION("""COMPUTED_VALUE"""),"PP661-28868")</f>
        <v>PP661-28868</v>
      </c>
      <c r="P83" s="2" t="str">
        <f>IFERROR(__xludf.DUMMYFUNCTION("""COMPUTED_VALUE"""),"iPhone 14, Midnight, 128GB, Logic Board Assy Mid System, ROW")</f>
        <v>iPhone 14, Midnight, 128GB, Logic Board Assy Mid System, ROW</v>
      </c>
      <c r="Q83" s="2">
        <f>IFERROR(__xludf.DUMMYFUNCTION("""COMPUTED_VALUE"""),2.0)</f>
        <v>2</v>
      </c>
      <c r="S83" s="2"/>
      <c r="T83" s="2"/>
      <c r="U83" s="2"/>
      <c r="V83" s="2"/>
      <c r="W83" s="2"/>
      <c r="X83" s="2"/>
      <c r="Y83" s="2" t="str">
        <f>IFERROR(__xludf.DUMMYFUNCTION("""COMPUTED_VALUE"""),"661-42723")</f>
        <v>661-42723</v>
      </c>
      <c r="Z83" s="2" t="str">
        <f>IFERROR(__xludf.DUMMYFUNCTION("""COMPUTED_VALUE"""),"White Titanium, Back Glass, iPhone 16 Pro")</f>
        <v>White Titanium, Back Glass, iPhone 16 Pro</v>
      </c>
      <c r="AA83" s="2">
        <f>IFERROR(__xludf.DUMMYFUNCTION("""COMPUTED_VALUE"""),1.0)</f>
        <v>1</v>
      </c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>
      <c r="A84" s="3" t="str">
        <f t="shared" si="1"/>
        <v>January</v>
      </c>
      <c r="B84" s="11">
        <f>IFERROR(__xludf.DUMMYFUNCTION("""COMPUTED_VALUE"""),46028.0)</f>
        <v>46028</v>
      </c>
      <c r="C84" s="2" t="str">
        <f>IFERROR(__xludf.DUMMYFUNCTION("""COMPUTED_VALUE"""),"MOBILECARE - NEWPOINT MALL")</f>
        <v>MOBILECARE - NEWPOINT MALL</v>
      </c>
      <c r="D84" s="2" t="str">
        <f>IFERROR(__xludf.DUMMYFUNCTION("""COMPUTED_VALUE"""),"PP661-28871")</f>
        <v>PP661-28871</v>
      </c>
      <c r="E84" s="2" t="str">
        <f>IFERROR(__xludf.DUMMYFUNCTION("""COMPUTED_VALUE"""),"iPhone 14, Blue, 128GB, Logic Board Assy Mid System, ROW")</f>
        <v>iPhone 14, Blue, 128GB, Logic Board Assy Mid System, ROW</v>
      </c>
      <c r="F84" s="2"/>
      <c r="G84" s="2" t="str">
        <f>IFERROR(__xludf.DUMMYFUNCTION("""COMPUTED_VALUE"""),"TA661-45242")</f>
        <v>TA661-45242</v>
      </c>
      <c r="H84" s="2" t="str">
        <f>IFERROR(__xludf.DUMMYFUNCTION("""COMPUTED_VALUE"""),"512GB, White, ROW, iPhone 16 Plus, Logic Board Assy Mid System")</f>
        <v>512GB, White, ROW, iPhone 16 Plus, Logic Board Assy Mid System</v>
      </c>
      <c r="I84" s="2">
        <f>IFERROR(__xludf.DUMMYFUNCTION("""COMPUTED_VALUE"""),1.0)</f>
        <v>1</v>
      </c>
      <c r="M84" s="2"/>
      <c r="N84" s="2"/>
      <c r="O84" s="2" t="str">
        <f>IFERROR(__xludf.DUMMYFUNCTION("""COMPUTED_VALUE"""),"PP661-28869")</f>
        <v>PP661-28869</v>
      </c>
      <c r="P84" s="2" t="str">
        <f>IFERROR(__xludf.DUMMYFUNCTION("""COMPUTED_VALUE"""),"iPhone 14, Starlight, 128GB, Logic Board Assy Mid System, ROW")</f>
        <v>iPhone 14, Starlight, 128GB, Logic Board Assy Mid System, ROW</v>
      </c>
      <c r="Q84" s="2">
        <f>IFERROR(__xludf.DUMMYFUNCTION("""COMPUTED_VALUE"""),2.0)</f>
        <v>2</v>
      </c>
      <c r="S84" s="2"/>
      <c r="T84" s="2"/>
      <c r="U84" s="2"/>
      <c r="V84" s="2"/>
      <c r="W84" s="2"/>
      <c r="X84" s="2"/>
      <c r="Y84" s="2" t="str">
        <f>IFERROR(__xludf.DUMMYFUNCTION("""COMPUTED_VALUE"""),"661-56124")</f>
        <v>661-56124</v>
      </c>
      <c r="Z84" s="2" t="str">
        <f>IFERROR(__xludf.DUMMYFUNCTION("""COMPUTED_VALUE"""),"Deep Blue, Back Glass, iPhone 17 Pro")</f>
        <v>Deep Blue, Back Glass, iPhone 17 Pro</v>
      </c>
      <c r="AA84" s="2">
        <f>IFERROR(__xludf.DUMMYFUNCTION("""COMPUTED_VALUE"""),1.0)</f>
        <v>1</v>
      </c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>
      <c r="A85" s="3" t="str">
        <f t="shared" si="1"/>
        <v>January</v>
      </c>
      <c r="B85" s="11">
        <f>IFERROR(__xludf.DUMMYFUNCTION("""COMPUTED_VALUE"""),46027.0)</f>
        <v>46027</v>
      </c>
      <c r="C85" s="2" t="str">
        <f>IFERROR(__xludf.DUMMYFUNCTION("""COMPUTED_VALUE"""),"MOBILECARE - NEWPOINT MALL")</f>
        <v>MOBILECARE - NEWPOINT MALL</v>
      </c>
      <c r="D85" s="2" t="str">
        <f>IFERROR(__xludf.DUMMYFUNCTION("""COMPUTED_VALUE"""),"PP661-28871")</f>
        <v>PP661-28871</v>
      </c>
      <c r="E85" s="2" t="str">
        <f>IFERROR(__xludf.DUMMYFUNCTION("""COMPUTED_VALUE"""),"iPhone 14, Blue, 128GB, Logic Board Assy Mid System, ROW")</f>
        <v>iPhone 14, Blue, 128GB, Logic Board Assy Mid System, ROW</v>
      </c>
      <c r="F85" s="2"/>
      <c r="G85" s="2" t="str">
        <f>IFERROR(__xludf.DUMMYFUNCTION("""COMPUTED_VALUE"""),"661-56123")</f>
        <v>661-56123</v>
      </c>
      <c r="H85" s="2" t="str">
        <f>IFERROR(__xludf.DUMMYFUNCTION("""COMPUTED_VALUE"""),"Cosmic Orange, Back Glass, iPhone 17 Pro")</f>
        <v>Cosmic Orange, Back Glass, iPhone 17 Pro</v>
      </c>
      <c r="I85" s="2">
        <f>IFERROR(__xludf.DUMMYFUNCTION("""COMPUTED_VALUE"""),1.0)</f>
        <v>1</v>
      </c>
      <c r="M85" s="2"/>
      <c r="N85" s="2"/>
      <c r="O85" s="2" t="str">
        <f>IFERROR(__xludf.DUMMYFUNCTION("""COMPUTED_VALUE"""),"PP661-28873")</f>
        <v>PP661-28873</v>
      </c>
      <c r="P85" s="2" t="str">
        <f>IFERROR(__xludf.DUMMYFUNCTION("""COMPUTED_VALUE"""),"iPhone 14, Midnight, 256GB, Logic Board Assy Mid System, ROW")</f>
        <v>iPhone 14, Midnight, 256GB, Logic Board Assy Mid System, ROW</v>
      </c>
      <c r="Q85" s="2">
        <f>IFERROR(__xludf.DUMMYFUNCTION("""COMPUTED_VALUE"""),2.0)</f>
        <v>2</v>
      </c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>
      <c r="A86" s="3" t="str">
        <f t="shared" si="1"/>
        <v>January</v>
      </c>
      <c r="B86" s="11">
        <f>IFERROR(__xludf.DUMMYFUNCTION("""COMPUTED_VALUE"""),46025.0)</f>
        <v>46025</v>
      </c>
      <c r="C86" s="2" t="str">
        <f>IFERROR(__xludf.DUMMYFUNCTION("""COMPUTED_VALUE"""),"MOBILECARE - NEWPOINT MALL")</f>
        <v>MOBILECARE - NEWPOINT MALL</v>
      </c>
      <c r="D86" s="2" t="str">
        <f>IFERROR(__xludf.DUMMYFUNCTION("""COMPUTED_VALUE"""),"TA661-43607")</f>
        <v>TA661-43607</v>
      </c>
      <c r="E86" s="2" t="str">
        <f>IFERROR(__xludf.DUMMYFUNCTION("""COMPUTED_VALUE"""),"128GB, Pink, ROW, iPhone 16, Logic Board Assy Mid System")</f>
        <v>128GB, Pink, ROW, iPhone 16, Logic Board Assy Mid System</v>
      </c>
      <c r="F86" s="2"/>
      <c r="G86" s="2" t="str">
        <f>IFERROR(__xludf.DUMMYFUNCTION("""COMPUTED_VALUE"""),"661-56059")</f>
        <v>661-56059</v>
      </c>
      <c r="H86" s="2" t="str">
        <f>IFERROR(__xludf.DUMMYFUNCTION("""COMPUTED_VALUE"""),"Mist Blue, Back Glass, iPhone 17")</f>
        <v>Mist Blue, Back Glass, iPhone 17</v>
      </c>
      <c r="I86" s="2">
        <f>IFERROR(__xludf.DUMMYFUNCTION("""COMPUTED_VALUE"""),1.0)</f>
        <v>1</v>
      </c>
      <c r="M86" s="2"/>
      <c r="N86" s="2"/>
      <c r="O86" s="2" t="str">
        <f>IFERROR(__xludf.DUMMYFUNCTION("""COMPUTED_VALUE"""),"TA661-43609")</f>
        <v>TA661-43609</v>
      </c>
      <c r="P86" s="2" t="str">
        <f>IFERROR(__xludf.DUMMYFUNCTION("""COMPUTED_VALUE"""),"128GB, Teal, ROW, iPhone 16, Logic Board Assy Mid System")</f>
        <v>128GB, Teal, ROW, iPhone 16, Logic Board Assy Mid System</v>
      </c>
      <c r="Q86" s="2">
        <f>IFERROR(__xludf.DUMMYFUNCTION("""COMPUTED_VALUE"""),2.0)</f>
        <v>2</v>
      </c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>
      <c r="A87" s="3" t="str">
        <f t="shared" si="1"/>
        <v>June</v>
      </c>
      <c r="B87" s="11">
        <f>IFERROR(__xludf.DUMMYFUNCTION("""COMPUTED_VALUE"""),46181.0)</f>
        <v>46181</v>
      </c>
      <c r="C87" s="2" t="str">
        <f>IFERROR(__xludf.DUMMYFUNCTION("""COMPUTED_VALUE"""),"MOBILECARE - FESTIVE WALK ILOILO")</f>
        <v>MOBILECARE - FESTIVE WALK ILOILO</v>
      </c>
      <c r="D87" s="2" t="str">
        <f>IFERROR(__xludf.DUMMYFUNCTION("""COMPUTED_VALUE"""),"TA661-45235")</f>
        <v>TA661-45235</v>
      </c>
      <c r="E87" s="2" t="str">
        <f>IFERROR(__xludf.DUMMYFUNCTION("""COMPUTED_VALUE"""),"128GB, Teal, ROW, iPhone 16 Plus, Logic Board Assy Mid System")</f>
        <v>128GB, Teal, ROW, iPhone 16 Plus, Logic Board Assy Mid System</v>
      </c>
      <c r="F87" s="2"/>
      <c r="G87" s="2" t="str">
        <f>IFERROR(__xludf.DUMMYFUNCTION("""COMPUTED_VALUE"""),"661-55239")</f>
        <v>661-55239</v>
      </c>
      <c r="H87" s="2" t="str">
        <f>IFERROR(__xludf.DUMMYFUNCTION("""COMPUTED_VALUE"""),"Sky Blue, Back Glass, iPhone Air")</f>
        <v>Sky Blue, Back Glass, iPhone Air</v>
      </c>
      <c r="I87" s="2">
        <f>IFERROR(__xludf.DUMMYFUNCTION("""COMPUTED_VALUE"""),1.0)</f>
        <v>1</v>
      </c>
      <c r="M87" s="2"/>
      <c r="N87" s="2"/>
      <c r="O87" s="2" t="str">
        <f>IFERROR(__xludf.DUMMYFUNCTION("""COMPUTED_VALUE"""),"TA661-45231")</f>
        <v>TA661-45231</v>
      </c>
      <c r="P87" s="2" t="str">
        <f>IFERROR(__xludf.DUMMYFUNCTION("""COMPUTED_VALUE"""),"128GB, Black, ROW, iPhone 16 Plus, Logic Board Assy Mid System")</f>
        <v>128GB, Black, ROW, iPhone 16 Plus, Logic Board Assy Mid System</v>
      </c>
      <c r="Q87" s="2">
        <f>IFERROR(__xludf.DUMMYFUNCTION("""COMPUTED_VALUE"""),2.0)</f>
        <v>2</v>
      </c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>
      <c r="A88" s="3" t="str">
        <f t="shared" si="1"/>
        <v>February</v>
      </c>
      <c r="B88" s="11">
        <f>IFERROR(__xludf.DUMMYFUNCTION("""COMPUTED_VALUE"""),46057.0)</f>
        <v>46057</v>
      </c>
      <c r="C88" s="2" t="str">
        <f>IFERROR(__xludf.DUMMYFUNCTION("""COMPUTED_VALUE"""),"MOBILECARE - FESTIVE WALK ILOILO")</f>
        <v>MOBILECARE - FESTIVE WALK ILOILO</v>
      </c>
      <c r="D88" s="2" t="str">
        <f>IFERROR(__xludf.DUMMYFUNCTION("""COMPUTED_VALUE"""),"PP661-23455")</f>
        <v>PP661-23455</v>
      </c>
      <c r="E88" s="2" t="str">
        <f>IFERROR(__xludf.DUMMYFUNCTION("""COMPUTED_VALUE"""),"iPhone 13, Starlight, 128GB, Logic Board Assy Rear System, ROW")</f>
        <v>iPhone 13, Starlight, 128GB, Logic Board Assy Rear System, ROW</v>
      </c>
      <c r="F88" s="2"/>
      <c r="G88" s="2" t="str">
        <f>IFERROR(__xludf.DUMMYFUNCTION("""COMPUTED_VALUE"""),"661-30413")</f>
        <v>661-30413</v>
      </c>
      <c r="H88" s="2" t="str">
        <f>IFERROR(__xludf.DUMMYFUNCTION("""COMPUTED_VALUE"""),"Midnight, Back Glass, iPhone 14")</f>
        <v>Midnight, Back Glass, iPhone 14</v>
      </c>
      <c r="I88" s="2">
        <f>IFERROR(__xludf.DUMMYFUNCTION("""COMPUTED_VALUE"""),1.0)</f>
        <v>1</v>
      </c>
      <c r="M88" s="2"/>
      <c r="N88" s="2"/>
      <c r="O88" s="2" t="str">
        <f>IFERROR(__xludf.DUMMYFUNCTION("""COMPUTED_VALUE"""),"TA661-36691")</f>
        <v>TA661-36691</v>
      </c>
      <c r="P88" s="2" t="str">
        <f>IFERROR(__xludf.DUMMYFUNCTION("""COMPUTED_VALUE"""),"iPhone 15, Black, 128GB, Logic Board Assy Mid System, ROW")</f>
        <v>iPhone 15, Black, 128GB, Logic Board Assy Mid System, ROW</v>
      </c>
      <c r="Q88" s="2">
        <f>IFERROR(__xludf.DUMMYFUNCTION("""COMPUTED_VALUE"""),1.0)</f>
        <v>1</v>
      </c>
      <c r="S88" s="2"/>
      <c r="T88" s="2"/>
      <c r="U88" s="2"/>
      <c r="V88" s="2"/>
      <c r="W88" s="2"/>
      <c r="AC88" s="2"/>
      <c r="AD88" s="2"/>
      <c r="AE88" s="2"/>
      <c r="AF88" s="2"/>
      <c r="AG88" s="2"/>
      <c r="AH88" s="2"/>
      <c r="AI88" s="2"/>
      <c r="AJ88" s="2"/>
      <c r="AK88" s="2"/>
    </row>
    <row r="89">
      <c r="A89" s="3" t="str">
        <f t="shared" si="1"/>
        <v>January</v>
      </c>
      <c r="B89" s="11">
        <f>IFERROR(__xludf.DUMMYFUNCTION("""COMPUTED_VALUE"""),46053.0)</f>
        <v>46053</v>
      </c>
      <c r="C89" s="2" t="str">
        <f>IFERROR(__xludf.DUMMYFUNCTION("""COMPUTED_VALUE"""),"MOBILECARE - FESTIVE WALK ILOILO")</f>
        <v>MOBILECARE - FESTIVE WALK ILOILO</v>
      </c>
      <c r="D89" s="2" t="str">
        <f>IFERROR(__xludf.DUMMYFUNCTION("""COMPUTED_VALUE"""),"PP661-23454")</f>
        <v>PP661-23454</v>
      </c>
      <c r="E89" s="2" t="str">
        <f>IFERROR(__xludf.DUMMYFUNCTION("""COMPUTED_VALUE"""),"iPhone 13, Midnight, 128GB, Logic Board Assy Rear System, ROW")</f>
        <v>iPhone 13, Midnight, 128GB, Logic Board Assy Rear System, ROW</v>
      </c>
      <c r="F89" s="2"/>
      <c r="G89" s="2" t="str">
        <f>IFERROR(__xludf.DUMMYFUNCTION("""COMPUTED_VALUE"""),"661-56061")</f>
        <v>661-56061</v>
      </c>
      <c r="H89" s="2" t="str">
        <f>IFERROR(__xludf.DUMMYFUNCTION("""COMPUTED_VALUE"""),"Sage, Back Glass, iPhone 17")</f>
        <v>Sage, Back Glass, iPhone 17</v>
      </c>
      <c r="I89" s="2">
        <f>IFERROR(__xludf.DUMMYFUNCTION("""COMPUTED_VALUE"""),1.0)</f>
        <v>1</v>
      </c>
      <c r="M89" s="2"/>
      <c r="N89" s="2"/>
      <c r="O89" s="2" t="str">
        <f>IFERROR(__xludf.DUMMYFUNCTION("""COMPUTED_VALUE"""),"TA661-36695")</f>
        <v>TA661-36695</v>
      </c>
      <c r="P89" s="2" t="str">
        <f>IFERROR(__xludf.DUMMYFUNCTION("""COMPUTED_VALUE"""),"iPhone 15, Green, 128GB, Logic Board Assy Mid System, ROW")</f>
        <v>iPhone 15, Green, 128GB, Logic Board Assy Mid System, ROW</v>
      </c>
      <c r="Q89" s="2">
        <f>IFERROR(__xludf.DUMMYFUNCTION("""COMPUTED_VALUE"""),1.0)</f>
        <v>1</v>
      </c>
      <c r="S89" s="2"/>
      <c r="T89" s="2"/>
      <c r="U89" s="2"/>
      <c r="V89" s="2"/>
      <c r="W89" s="2"/>
      <c r="AC89" s="2"/>
      <c r="AD89" s="2"/>
      <c r="AE89" s="2"/>
      <c r="AF89" s="2"/>
      <c r="AG89" s="2"/>
      <c r="AH89" s="2"/>
      <c r="AI89" s="2"/>
      <c r="AJ89" s="2"/>
      <c r="AK89" s="2"/>
    </row>
    <row r="90">
      <c r="A90" s="3" t="str">
        <f t="shared" si="1"/>
        <v>January</v>
      </c>
      <c r="B90" s="11">
        <f>IFERROR(__xludf.DUMMYFUNCTION("""COMPUTED_VALUE"""),46043.0)</f>
        <v>46043</v>
      </c>
      <c r="C90" s="2" t="str">
        <f>IFERROR(__xludf.DUMMYFUNCTION("""COMPUTED_VALUE"""),"MOBILECARE - FESTIVE WALK ILOILO")</f>
        <v>MOBILECARE - FESTIVE WALK ILOILO</v>
      </c>
      <c r="D90" s="2" t="str">
        <f>IFERROR(__xludf.DUMMYFUNCTION("""COMPUTED_VALUE"""),"PP661-23455")</f>
        <v>PP661-23455</v>
      </c>
      <c r="E90" s="2" t="str">
        <f>IFERROR(__xludf.DUMMYFUNCTION("""COMPUTED_VALUE"""),"iPhone 13, Starlight, 128GB, Logic Board Assy Rear System, ROW")</f>
        <v>iPhone 13, Starlight, 128GB, Logic Board Assy Rear System, ROW</v>
      </c>
      <c r="F90" s="2"/>
      <c r="G90" s="2" t="str">
        <f>IFERROR(__xludf.DUMMYFUNCTION("""COMPUTED_VALUE"""),"661-30416")</f>
        <v>661-30416</v>
      </c>
      <c r="H90" s="2" t="str">
        <f>IFERROR(__xludf.DUMMYFUNCTION("""COMPUTED_VALUE"""),"Blue, Back Glass, iPhone 14")</f>
        <v>Blue, Back Glass, iPhone 14</v>
      </c>
      <c r="I90" s="2">
        <f>IFERROR(__xludf.DUMMYFUNCTION("""COMPUTED_VALUE"""),1.0)</f>
        <v>1</v>
      </c>
      <c r="M90" s="2"/>
      <c r="N90" s="2"/>
      <c r="O90" s="2" t="str">
        <f>IFERROR(__xludf.DUMMYFUNCTION("""COMPUTED_VALUE"""),"TA661-36699")</f>
        <v>TA661-36699</v>
      </c>
      <c r="P90" s="2" t="str">
        <f>IFERROR(__xludf.DUMMYFUNCTION("""COMPUTED_VALUE"""),"iPhone 15, Blue, 256GB, Logic Board Assy Mid System, ROW")</f>
        <v>iPhone 15, Blue, 256GB, Logic Board Assy Mid System, ROW</v>
      </c>
      <c r="Q90" s="2">
        <f>IFERROR(__xludf.DUMMYFUNCTION("""COMPUTED_VALUE"""),1.0)</f>
        <v>1</v>
      </c>
      <c r="S90" s="2"/>
      <c r="T90" s="2"/>
      <c r="U90" s="2"/>
      <c r="V90" s="2"/>
      <c r="W90" s="2"/>
      <c r="AC90" s="2"/>
      <c r="AD90" s="2"/>
      <c r="AE90" s="2"/>
      <c r="AF90" s="2"/>
      <c r="AG90" s="2"/>
      <c r="AH90" s="2"/>
      <c r="AI90" s="2"/>
      <c r="AJ90" s="2"/>
      <c r="AK90" s="2"/>
    </row>
    <row r="91">
      <c r="A91" s="3" t="str">
        <f t="shared" si="1"/>
        <v>January</v>
      </c>
      <c r="B91" s="11">
        <f>IFERROR(__xludf.DUMMYFUNCTION("""COMPUTED_VALUE"""),46043.0)</f>
        <v>46043</v>
      </c>
      <c r="C91" s="2" t="str">
        <f>IFERROR(__xludf.DUMMYFUNCTION("""COMPUTED_VALUE"""),"MOBILECARE - FESTIVE WALK ILOILO")</f>
        <v>MOBILECARE - FESTIVE WALK ILOILO</v>
      </c>
      <c r="D91" s="2" t="str">
        <f>IFERROR(__xludf.DUMMYFUNCTION("""COMPUTED_VALUE"""),"PP661-28868")</f>
        <v>PP661-28868</v>
      </c>
      <c r="E91" s="2" t="str">
        <f>IFERROR(__xludf.DUMMYFUNCTION("""COMPUTED_VALUE"""),"iPhone 14, Midnight, 128GB, Logic Board Assy Mid System, ROW")</f>
        <v>iPhone 14, Midnight, 128GB, Logic Board Assy Mid System, ROW</v>
      </c>
      <c r="F91" s="2"/>
      <c r="G91" s="2" t="str">
        <f>IFERROR(__xludf.DUMMYFUNCTION("""COMPUTED_VALUE"""),"TA661-45243")</f>
        <v>TA661-45243</v>
      </c>
      <c r="H91" s="2" t="str">
        <f>IFERROR(__xludf.DUMMYFUNCTION("""COMPUTED_VALUE"""),"512GB, Pink, ROW, iPhone 16 Plus, Logic Board Assy Mid System")</f>
        <v>512GB, Pink, ROW, iPhone 16 Plus, Logic Board Assy Mid System</v>
      </c>
      <c r="I91" s="2">
        <f>IFERROR(__xludf.DUMMYFUNCTION("""COMPUTED_VALUE"""),1.0)</f>
        <v>1</v>
      </c>
      <c r="M91" s="2"/>
      <c r="N91" s="2"/>
      <c r="O91" s="2" t="str">
        <f>IFERROR(__xludf.DUMMYFUNCTION("""COMPUTED_VALUE"""),"TA661-43605")</f>
        <v>TA661-43605</v>
      </c>
      <c r="P91" s="2" t="str">
        <f>IFERROR(__xludf.DUMMYFUNCTION("""COMPUTED_VALUE"""),"128GB, Black, ROW, iPhone 16, Logic Board Assy Mid System")</f>
        <v>128GB, Black, ROW, iPhone 16, Logic Board Assy Mid System</v>
      </c>
      <c r="Q91" s="2">
        <f>IFERROR(__xludf.DUMMYFUNCTION("""COMPUTED_VALUE"""),1.0)</f>
        <v>1</v>
      </c>
      <c r="S91" s="2"/>
      <c r="T91" s="2"/>
      <c r="U91" s="2"/>
      <c r="V91" s="2"/>
      <c r="W91" s="2"/>
      <c r="AC91" s="2"/>
      <c r="AD91" s="2"/>
      <c r="AE91" s="2"/>
      <c r="AF91" s="2"/>
      <c r="AG91" s="2"/>
      <c r="AH91" s="2"/>
      <c r="AI91" s="2"/>
      <c r="AJ91" s="2"/>
      <c r="AK91" s="2"/>
    </row>
    <row r="92">
      <c r="A92" s="3" t="str">
        <f t="shared" si="1"/>
        <v>January</v>
      </c>
      <c r="B92" s="11">
        <f>IFERROR(__xludf.DUMMYFUNCTION("""COMPUTED_VALUE"""),46050.0)</f>
        <v>46050</v>
      </c>
      <c r="C92" s="2" t="str">
        <f>IFERROR(__xludf.DUMMYFUNCTION("""COMPUTED_VALUE"""),"MOBILECARE - FESTIVE WALK ILOILO")</f>
        <v>MOBILECARE - FESTIVE WALK ILOILO</v>
      </c>
      <c r="D92" s="2" t="str">
        <f>IFERROR(__xludf.DUMMYFUNCTION("""COMPUTED_VALUE"""),"PP661-23454")</f>
        <v>PP661-23454</v>
      </c>
      <c r="E92" s="2" t="str">
        <f>IFERROR(__xludf.DUMMYFUNCTION("""COMPUTED_VALUE"""),"iPhone 13, Midnight, 128GB, Logic Board Assy Rear System, ROW")</f>
        <v>iPhone 13, Midnight, 128GB, Logic Board Assy Rear System, ROW</v>
      </c>
      <c r="F92" s="2"/>
      <c r="G92" s="2" t="str">
        <f>IFERROR(__xludf.DUMMYFUNCTION("""COMPUTED_VALUE"""),"661-30384")</f>
        <v>661-30384</v>
      </c>
      <c r="H92" s="2" t="str">
        <f>IFERROR(__xludf.DUMMYFUNCTION("""COMPUTED_VALUE"""),"Starlight, Back Glass, iPhone 14 Plus")</f>
        <v>Starlight, Back Glass, iPhone 14 Plus</v>
      </c>
      <c r="I92" s="2">
        <f>IFERROR(__xludf.DUMMYFUNCTION("""COMPUTED_VALUE"""),1.0)</f>
        <v>1</v>
      </c>
      <c r="M92" s="2"/>
      <c r="N92" s="2"/>
      <c r="O92" s="2" t="str">
        <f>IFERROR(__xludf.DUMMYFUNCTION("""COMPUTED_VALUE"""),"TA661-43606")</f>
        <v>TA661-43606</v>
      </c>
      <c r="P92" s="2" t="str">
        <f>IFERROR(__xludf.DUMMYFUNCTION("""COMPUTED_VALUE"""),"128GB, White, ROW, iPhone 16, Logic Board Assy Mid System")</f>
        <v>128GB, White, ROW, iPhone 16, Logic Board Assy Mid System</v>
      </c>
      <c r="Q92" s="2">
        <f>IFERROR(__xludf.DUMMYFUNCTION("""COMPUTED_VALUE"""),1.0)</f>
        <v>1</v>
      </c>
      <c r="S92" s="2"/>
      <c r="T92" s="2"/>
      <c r="U92" s="2"/>
      <c r="V92" s="2"/>
      <c r="W92" s="2"/>
      <c r="AC92" s="2"/>
      <c r="AD92" s="2"/>
      <c r="AE92" s="2"/>
      <c r="AF92" s="2"/>
      <c r="AG92" s="2"/>
      <c r="AH92" s="2"/>
      <c r="AI92" s="2"/>
      <c r="AJ92" s="2"/>
      <c r="AK92" s="2"/>
    </row>
    <row r="93">
      <c r="A93" s="3" t="str">
        <f t="shared" si="1"/>
        <v>January</v>
      </c>
      <c r="B93" s="11">
        <f>IFERROR(__xludf.DUMMYFUNCTION("""COMPUTED_VALUE"""),46046.0)</f>
        <v>46046</v>
      </c>
      <c r="C93" s="2" t="str">
        <f>IFERROR(__xludf.DUMMYFUNCTION("""COMPUTED_VALUE"""),"MOBILECARE - FESTIVE WALK ILOILO")</f>
        <v>MOBILECARE - FESTIVE WALK ILOILO</v>
      </c>
      <c r="D93" s="2" t="str">
        <f>IFERROR(__xludf.DUMMYFUNCTION("""COMPUTED_VALUE"""),"PP661-23455")</f>
        <v>PP661-23455</v>
      </c>
      <c r="E93" s="2" t="str">
        <f>IFERROR(__xludf.DUMMYFUNCTION("""COMPUTED_VALUE"""),"iPhone 13, Starlight, 128GB, Logic Board Assy Rear System, ROW")</f>
        <v>iPhone 13, Starlight, 128GB, Logic Board Assy Rear System, ROW</v>
      </c>
      <c r="F93" s="2"/>
      <c r="G93" s="2" t="str">
        <f>IFERROR(__xludf.DUMMYFUNCTION("""COMPUTED_VALUE"""),"TA661-43613")</f>
        <v>TA661-43613</v>
      </c>
      <c r="H93" s="2" t="str">
        <f>IFERROR(__xludf.DUMMYFUNCTION("""COMPUTED_VALUE"""),"256GB, Ultramarine, ROW, iPhone 16, Logic Board Assy Mid System")</f>
        <v>256GB, Ultramarine, ROW, iPhone 16, Logic Board Assy Mid System</v>
      </c>
      <c r="I93" s="2">
        <f>IFERROR(__xludf.DUMMYFUNCTION("""COMPUTED_VALUE"""),1.0)</f>
        <v>1</v>
      </c>
      <c r="M93" s="2"/>
      <c r="N93" s="2"/>
      <c r="O93" s="2" t="str">
        <f>IFERROR(__xludf.DUMMYFUNCTION("""COMPUTED_VALUE"""),"TA661-43608")</f>
        <v>TA661-43608</v>
      </c>
      <c r="P93" s="2" t="str">
        <f>IFERROR(__xludf.DUMMYFUNCTION("""COMPUTED_VALUE"""),"128GB, Ultramarine, ROW, iPhone 16, Logic Board Assy Mid System")</f>
        <v>128GB, Ultramarine, ROW, iPhone 16, Logic Board Assy Mid System</v>
      </c>
      <c r="Q93" s="2">
        <f>IFERROR(__xludf.DUMMYFUNCTION("""COMPUTED_VALUE"""),1.0)</f>
        <v>1</v>
      </c>
      <c r="S93" s="2"/>
      <c r="T93" s="2"/>
      <c r="U93" s="2"/>
      <c r="V93" s="2"/>
      <c r="W93" s="2"/>
      <c r="AC93" s="2"/>
      <c r="AD93" s="2"/>
      <c r="AE93" s="2"/>
      <c r="AF93" s="2"/>
      <c r="AG93" s="2"/>
      <c r="AH93" s="2"/>
      <c r="AI93" s="2"/>
      <c r="AJ93" s="2"/>
      <c r="AK93" s="2"/>
    </row>
    <row r="94">
      <c r="A94" s="3" t="str">
        <f t="shared" si="1"/>
        <v>January</v>
      </c>
      <c r="B94" s="11">
        <f>IFERROR(__xludf.DUMMYFUNCTION("""COMPUTED_VALUE"""),46043.0)</f>
        <v>46043</v>
      </c>
      <c r="C94" s="2" t="str">
        <f>IFERROR(__xludf.DUMMYFUNCTION("""COMPUTED_VALUE"""),"MOBILECARE - FESTIVE WALK ILOILO")</f>
        <v>MOBILECARE - FESTIVE WALK ILOILO</v>
      </c>
      <c r="D94" s="2" t="str">
        <f>IFERROR(__xludf.DUMMYFUNCTION("""COMPUTED_VALUE"""),"PP661-23455")</f>
        <v>PP661-23455</v>
      </c>
      <c r="E94" s="2" t="str">
        <f>IFERROR(__xludf.DUMMYFUNCTION("""COMPUTED_VALUE"""),"iPhone 13, Starlight, 128GB, Logic Board Assy Rear System, ROW")</f>
        <v>iPhone 13, Starlight, 128GB, Logic Board Assy Rear System, ROW</v>
      </c>
      <c r="F94" s="2"/>
      <c r="G94" s="2" t="str">
        <f>IFERROR(__xludf.DUMMYFUNCTION("""COMPUTED_VALUE"""),"TA661-45006")</f>
        <v>TA661-45006</v>
      </c>
      <c r="H94" s="2" t="str">
        <f>IFERROR(__xludf.DUMMYFUNCTION("""COMPUTED_VALUE"""),"512GB, Natural Titanium, ROW, iPhone 16 Pro, Logic Board Assy Mid System")</f>
        <v>512GB, Natural Titanium, ROW, iPhone 16 Pro, Logic Board Assy Mid System</v>
      </c>
      <c r="I94" s="2">
        <f>IFERROR(__xludf.DUMMYFUNCTION("""COMPUTED_VALUE"""),1.0)</f>
        <v>1</v>
      </c>
      <c r="M94" s="2"/>
      <c r="N94" s="2"/>
      <c r="O94" s="2" t="str">
        <f>IFERROR(__xludf.DUMMYFUNCTION("""COMPUTED_VALUE"""),"TA661-43611")</f>
        <v>TA661-43611</v>
      </c>
      <c r="P94" s="2" t="str">
        <f>IFERROR(__xludf.DUMMYFUNCTION("""COMPUTED_VALUE"""),"256GB, White, ROW, iPhone 16, Logic Board Assy Mid System")</f>
        <v>256GB, White, ROW, iPhone 16, Logic Board Assy Mid System</v>
      </c>
      <c r="Q94" s="2">
        <f>IFERROR(__xludf.DUMMYFUNCTION("""COMPUTED_VALUE"""),1.0)</f>
        <v>1</v>
      </c>
      <c r="S94" s="2"/>
      <c r="T94" s="2"/>
      <c r="U94" s="2"/>
      <c r="V94" s="2"/>
      <c r="W94" s="2"/>
      <c r="AC94" s="2"/>
      <c r="AD94" s="2"/>
      <c r="AE94" s="2"/>
      <c r="AF94" s="2"/>
      <c r="AG94" s="2"/>
      <c r="AH94" s="2"/>
      <c r="AI94" s="2"/>
      <c r="AJ94" s="2"/>
      <c r="AK94" s="2"/>
    </row>
    <row r="95">
      <c r="A95" s="3" t="str">
        <f t="shared" si="1"/>
        <v>January</v>
      </c>
      <c r="B95" s="11">
        <f>IFERROR(__xludf.DUMMYFUNCTION("""COMPUTED_VALUE"""),46042.0)</f>
        <v>46042</v>
      </c>
      <c r="C95" s="2" t="str">
        <f>IFERROR(__xludf.DUMMYFUNCTION("""COMPUTED_VALUE"""),"MOBILECARE - FESTIVE WALK ILOILO")</f>
        <v>MOBILECARE - FESTIVE WALK ILOILO</v>
      </c>
      <c r="D95" s="2" t="str">
        <f>IFERROR(__xludf.DUMMYFUNCTION("""COMPUTED_VALUE"""),"PP661-28868")</f>
        <v>PP661-28868</v>
      </c>
      <c r="E95" s="2" t="str">
        <f>IFERROR(__xludf.DUMMYFUNCTION("""COMPUTED_VALUE"""),"iPhone 14, Midnight, 128GB, Logic Board Assy Mid System, ROW")</f>
        <v>iPhone 14, Midnight, 128GB, Logic Board Assy Mid System, ROW</v>
      </c>
      <c r="F95" s="2"/>
      <c r="G95" s="2" t="str">
        <f>IFERROR(__xludf.DUMMYFUNCTION("""COMPUTED_VALUE"""),"661-37211")</f>
        <v>661-37211</v>
      </c>
      <c r="H95" s="2" t="str">
        <f>IFERROR(__xludf.DUMMYFUNCTION("""COMPUTED_VALUE"""),"Blue, Back Glass, iPhone 15 Plus")</f>
        <v>Blue, Back Glass, iPhone 15 Plus</v>
      </c>
      <c r="I95" s="2">
        <f>IFERROR(__xludf.DUMMYFUNCTION("""COMPUTED_VALUE"""),1.0)</f>
        <v>1</v>
      </c>
      <c r="M95" s="2"/>
      <c r="N95" s="2"/>
      <c r="O95" s="2" t="str">
        <f>IFERROR(__xludf.DUMMYFUNCTION("""COMPUTED_VALUE"""),"TA661-43612")</f>
        <v>TA661-43612</v>
      </c>
      <c r="P95" s="2" t="str">
        <f>IFERROR(__xludf.DUMMYFUNCTION("""COMPUTED_VALUE"""),"256GB, Pink, ROW, iPhone 16, Logic Board Assy Mid System")</f>
        <v>256GB, Pink, ROW, iPhone 16, Logic Board Assy Mid System</v>
      </c>
      <c r="Q95" s="2">
        <f>IFERROR(__xludf.DUMMYFUNCTION("""COMPUTED_VALUE"""),1.0)</f>
        <v>1</v>
      </c>
      <c r="S95" s="2"/>
      <c r="T95" s="2"/>
      <c r="U95" s="2"/>
      <c r="V95" s="2"/>
      <c r="W95" s="2"/>
      <c r="AC95" s="2"/>
      <c r="AD95" s="2"/>
      <c r="AE95" s="2"/>
      <c r="AF95" s="2"/>
      <c r="AG95" s="2"/>
      <c r="AH95" s="2"/>
      <c r="AI95" s="2"/>
      <c r="AJ95" s="2"/>
      <c r="AK95" s="2"/>
    </row>
    <row r="96">
      <c r="A96" s="3" t="str">
        <f t="shared" si="1"/>
        <v>January</v>
      </c>
      <c r="B96" s="11">
        <f>IFERROR(__xludf.DUMMYFUNCTION("""COMPUTED_VALUE"""),46046.0)</f>
        <v>46046</v>
      </c>
      <c r="C96" s="2" t="str">
        <f>IFERROR(__xludf.DUMMYFUNCTION("""COMPUTED_VALUE"""),"MOBILECARE - FESTIVE WALK ILOILO")</f>
        <v>MOBILECARE - FESTIVE WALK ILOILO</v>
      </c>
      <c r="D96" s="2" t="str">
        <f>IFERROR(__xludf.DUMMYFUNCTION("""COMPUTED_VALUE"""),"PP661-23454")</f>
        <v>PP661-23454</v>
      </c>
      <c r="E96" s="2" t="str">
        <f>IFERROR(__xludf.DUMMYFUNCTION("""COMPUTED_VALUE"""),"iPhone 13, Midnight, 128GB, Logic Board Assy Rear System, ROW")</f>
        <v>iPhone 13, Midnight, 128GB, Logic Board Assy Rear System, ROW</v>
      </c>
      <c r="F96" s="2"/>
      <c r="G96" s="2"/>
      <c r="H96" s="2"/>
      <c r="I96" s="2"/>
      <c r="J96" s="2"/>
      <c r="K96" s="2"/>
      <c r="L96" s="2"/>
      <c r="M96" s="2"/>
      <c r="N96" s="2"/>
      <c r="O96" s="2" t="str">
        <f>IFERROR(__xludf.DUMMYFUNCTION("""COMPUTED_VALUE"""),"TA661-43618")</f>
        <v>TA661-43618</v>
      </c>
      <c r="P96" s="2" t="str">
        <f>IFERROR(__xludf.DUMMYFUNCTION("""COMPUTED_VALUE"""),"512GB, Ultramarine, ROW, iPhone 16, Logic Board Assy Mid System")</f>
        <v>512GB, Ultramarine, ROW, iPhone 16, Logic Board Assy Mid System</v>
      </c>
      <c r="Q96" s="2">
        <f>IFERROR(__xludf.DUMMYFUNCTION("""COMPUTED_VALUE"""),1.0)</f>
        <v>1</v>
      </c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>
      <c r="A97" s="3" t="str">
        <f t="shared" si="1"/>
        <v>January</v>
      </c>
      <c r="B97" s="11">
        <f>IFERROR(__xludf.DUMMYFUNCTION("""COMPUTED_VALUE"""),46049.0)</f>
        <v>46049</v>
      </c>
      <c r="C97" s="2" t="str">
        <f>IFERROR(__xludf.DUMMYFUNCTION("""COMPUTED_VALUE"""),"MOBILECARE - FESTIVE WALK ILOILO")</f>
        <v>MOBILECARE - FESTIVE WALK ILOILO</v>
      </c>
      <c r="D97" s="2" t="str">
        <f>IFERROR(__xludf.DUMMYFUNCTION("""COMPUTED_VALUE"""),"PP661-28869")</f>
        <v>PP661-28869</v>
      </c>
      <c r="E97" s="2" t="str">
        <f>IFERROR(__xludf.DUMMYFUNCTION("""COMPUTED_VALUE"""),"iPhone 14, Starlight, 128GB, Logic Board Assy Mid System, ROW")</f>
        <v>iPhone 14, Starlight, 128GB, Logic Board Assy Mid System, ROW</v>
      </c>
      <c r="F97" s="2"/>
      <c r="G97" s="2"/>
      <c r="H97" s="2"/>
      <c r="I97" s="2"/>
      <c r="J97" s="2"/>
      <c r="K97" s="2"/>
      <c r="L97" s="2"/>
      <c r="M97" s="2"/>
      <c r="N97" s="2"/>
      <c r="O97" s="2" t="str">
        <f>IFERROR(__xludf.DUMMYFUNCTION("""COMPUTED_VALUE"""),"TA661-44996")</f>
        <v>TA661-44996</v>
      </c>
      <c r="P97" s="2" t="str">
        <f>IFERROR(__xludf.DUMMYFUNCTION("""COMPUTED_VALUE"""),"128GB, White Titanium, ROW, iPhone 16 Pro, Logic Board Assy Mid System")</f>
        <v>128GB, White Titanium, ROW, iPhone 16 Pro, Logic Board Assy Mid System</v>
      </c>
      <c r="Q97" s="2">
        <f>IFERROR(__xludf.DUMMYFUNCTION("""COMPUTED_VALUE"""),1.0)</f>
        <v>1</v>
      </c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>
      <c r="A98" s="3" t="str">
        <f t="shared" si="1"/>
        <v>January</v>
      </c>
      <c r="B98" s="11">
        <f>IFERROR(__xludf.DUMMYFUNCTION("""COMPUTED_VALUE"""),46040.0)</f>
        <v>46040</v>
      </c>
      <c r="C98" s="2" t="str">
        <f>IFERROR(__xludf.DUMMYFUNCTION("""COMPUTED_VALUE"""),"MOBILECARE - FESTIVE WALK ILOILO")</f>
        <v>MOBILECARE - FESTIVE WALK ILOILO</v>
      </c>
      <c r="D98" s="2" t="str">
        <f>IFERROR(__xludf.DUMMYFUNCTION("""COMPUTED_VALUE"""),"TA661-36700")</f>
        <v>TA661-36700</v>
      </c>
      <c r="E98" s="2" t="str">
        <f>IFERROR(__xludf.DUMMYFUNCTION("""COMPUTED_VALUE"""),"iPhone 15, Green, 256GB, Logic Board Assy Mid System, ROW")</f>
        <v>iPhone 15, Green, 256GB, Logic Board Assy Mid System, ROW</v>
      </c>
      <c r="F98" s="2"/>
      <c r="G98" s="2"/>
      <c r="H98" s="2"/>
      <c r="I98" s="2"/>
      <c r="J98" s="2"/>
      <c r="K98" s="2"/>
      <c r="L98" s="2"/>
      <c r="M98" s="2"/>
      <c r="N98" s="2"/>
      <c r="O98" s="2" t="str">
        <f>IFERROR(__xludf.DUMMYFUNCTION("""COMPUTED_VALUE"""),"TA661-44998")</f>
        <v>TA661-44998</v>
      </c>
      <c r="P98" s="2" t="str">
        <f>IFERROR(__xludf.DUMMYFUNCTION("""COMPUTED_VALUE"""),"128GB, Natural Titanium, ROW, iPhone 16 Pro, Logic Board Assy Mid System")</f>
        <v>128GB, Natural Titanium, ROW, iPhone 16 Pro, Logic Board Assy Mid System</v>
      </c>
      <c r="Q98" s="2">
        <f>IFERROR(__xludf.DUMMYFUNCTION("""COMPUTED_VALUE"""),1.0)</f>
        <v>1</v>
      </c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>
      <c r="A99" s="3" t="str">
        <f t="shared" si="1"/>
        <v>January</v>
      </c>
      <c r="B99" s="11">
        <f>IFERROR(__xludf.DUMMYFUNCTION("""COMPUTED_VALUE"""),46039.0)</f>
        <v>46039</v>
      </c>
      <c r="C99" s="2" t="str">
        <f>IFERROR(__xludf.DUMMYFUNCTION("""COMPUTED_VALUE"""),"MOBILECARE - FESTIVE WALK ILOILO")</f>
        <v>MOBILECARE - FESTIVE WALK ILOILO</v>
      </c>
      <c r="D99" s="2" t="str">
        <f>IFERROR(__xludf.DUMMYFUNCTION("""COMPUTED_VALUE"""),"PP661-23454")</f>
        <v>PP661-23454</v>
      </c>
      <c r="E99" s="2" t="str">
        <f>IFERROR(__xludf.DUMMYFUNCTION("""COMPUTED_VALUE"""),"iPhone 13, Midnight, 128GB, Logic Board Assy Rear System, ROW")</f>
        <v>iPhone 13, Midnight, 128GB, Logic Board Assy Rear System, ROW</v>
      </c>
      <c r="F99" s="2"/>
      <c r="G99" s="2"/>
      <c r="H99" s="2"/>
      <c r="I99" s="2"/>
      <c r="J99" s="2"/>
      <c r="K99" s="2"/>
      <c r="L99" s="2"/>
      <c r="M99" s="2"/>
      <c r="N99" s="2"/>
      <c r="O99" s="2" t="str">
        <f>IFERROR(__xludf.DUMMYFUNCTION("""COMPUTED_VALUE"""),"TA661-44999")</f>
        <v>TA661-44999</v>
      </c>
      <c r="P99" s="2" t="str">
        <f>IFERROR(__xludf.DUMMYFUNCTION("""COMPUTED_VALUE"""),"256GB, Black Titanium, ROW, iPhone 16 Pro, Logic Board Assy Mid System")</f>
        <v>256GB, Black Titanium, ROW, iPhone 16 Pro, Logic Board Assy Mid System</v>
      </c>
      <c r="Q99" s="2">
        <f>IFERROR(__xludf.DUMMYFUNCTION("""COMPUTED_VALUE"""),1.0)</f>
        <v>1</v>
      </c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>
      <c r="A100" s="3" t="str">
        <f t="shared" si="1"/>
        <v>January</v>
      </c>
      <c r="B100" s="11">
        <f>IFERROR(__xludf.DUMMYFUNCTION("""COMPUTED_VALUE"""),46042.0)</f>
        <v>46042</v>
      </c>
      <c r="C100" s="2" t="str">
        <f>IFERROR(__xludf.DUMMYFUNCTION("""COMPUTED_VALUE"""),"MOBILECARE - FESTIVE WALK ILOILO")</f>
        <v>MOBILECARE - FESTIVE WALK ILOILO</v>
      </c>
      <c r="D100" s="2" t="str">
        <f>IFERROR(__xludf.DUMMYFUNCTION("""COMPUTED_VALUE"""),"PP661-23455")</f>
        <v>PP661-23455</v>
      </c>
      <c r="E100" s="2" t="str">
        <f>IFERROR(__xludf.DUMMYFUNCTION("""COMPUTED_VALUE"""),"iPhone 13, Starlight, 128GB, Logic Board Assy Rear System, ROW")</f>
        <v>iPhone 13, Starlight, 128GB, Logic Board Assy Rear System, ROW</v>
      </c>
      <c r="F100" s="2"/>
      <c r="G100" s="2"/>
      <c r="H100" s="2"/>
      <c r="I100" s="2"/>
      <c r="J100" s="2"/>
      <c r="K100" s="2"/>
      <c r="L100" s="2"/>
      <c r="M100" s="2"/>
      <c r="N100" s="2"/>
      <c r="O100" s="2" t="str">
        <f>IFERROR(__xludf.DUMMYFUNCTION("""COMPUTED_VALUE"""),"TA661-45001")</f>
        <v>TA661-45001</v>
      </c>
      <c r="P100" s="2" t="str">
        <f>IFERROR(__xludf.DUMMYFUNCTION("""COMPUTED_VALUE"""),"256GB, Desert Titanium, ROW, iPhone 16 Pro, Logic Board Assy Mid System")</f>
        <v>256GB, Desert Titanium, ROW, iPhone 16 Pro, Logic Board Assy Mid System</v>
      </c>
      <c r="Q100" s="2">
        <f>IFERROR(__xludf.DUMMYFUNCTION("""COMPUTED_VALUE"""),1.0)</f>
        <v>1</v>
      </c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>
      <c r="A101" s="3" t="str">
        <f t="shared" si="1"/>
        <v>January</v>
      </c>
      <c r="B101" s="11">
        <f>IFERROR(__xludf.DUMMYFUNCTION("""COMPUTED_VALUE"""),46043.0)</f>
        <v>46043</v>
      </c>
      <c r="C101" s="2" t="str">
        <f>IFERROR(__xludf.DUMMYFUNCTION("""COMPUTED_VALUE"""),"MOBILECARE - FESTIVE WALK ILOILO")</f>
        <v>MOBILECARE - FESTIVE WALK ILOILO</v>
      </c>
      <c r="D101" s="2" t="str">
        <f>IFERROR(__xludf.DUMMYFUNCTION("""COMPUTED_VALUE"""),"PP661-23455")</f>
        <v>PP661-23455</v>
      </c>
      <c r="E101" s="2" t="str">
        <f>IFERROR(__xludf.DUMMYFUNCTION("""COMPUTED_VALUE"""),"iPhone 13, Starlight, 128GB, Logic Board Assy Rear System, ROW")</f>
        <v>iPhone 13, Starlight, 128GB, Logic Board Assy Rear System, ROW</v>
      </c>
      <c r="F101" s="2"/>
      <c r="G101" s="2"/>
      <c r="H101" s="2"/>
      <c r="I101" s="2"/>
      <c r="J101" s="2"/>
      <c r="K101" s="2"/>
      <c r="L101" s="2"/>
      <c r="M101" s="2"/>
      <c r="N101" s="2"/>
      <c r="O101" s="2" t="str">
        <f>IFERROR(__xludf.DUMMYFUNCTION("""COMPUTED_VALUE"""),"TA661-45232")</f>
        <v>TA661-45232</v>
      </c>
      <c r="P101" s="2" t="str">
        <f>IFERROR(__xludf.DUMMYFUNCTION("""COMPUTED_VALUE"""),"128GB, White, ROW, iPhone 16 Plus, Logic Board Assy Mid System")</f>
        <v>128GB, White, ROW, iPhone 16 Plus, Logic Board Assy Mid System</v>
      </c>
      <c r="Q101" s="2">
        <f>IFERROR(__xludf.DUMMYFUNCTION("""COMPUTED_VALUE"""),1.0)</f>
        <v>1</v>
      </c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>
      <c r="A102" s="3" t="str">
        <f t="shared" si="1"/>
        <v>January</v>
      </c>
      <c r="B102" s="11">
        <f>IFERROR(__xludf.DUMMYFUNCTION("""COMPUTED_VALUE"""),46039.0)</f>
        <v>46039</v>
      </c>
      <c r="C102" s="2" t="str">
        <f>IFERROR(__xludf.DUMMYFUNCTION("""COMPUTED_VALUE"""),"MOBILECARE - FESTIVE WALK ILOILO")</f>
        <v>MOBILECARE - FESTIVE WALK ILOILO</v>
      </c>
      <c r="D102" s="2" t="str">
        <f>IFERROR(__xludf.DUMMYFUNCTION("""COMPUTED_VALUE"""),"PP661-23454")</f>
        <v>PP661-23454</v>
      </c>
      <c r="E102" s="2" t="str">
        <f>IFERROR(__xludf.DUMMYFUNCTION("""COMPUTED_VALUE"""),"iPhone 13, Midnight, 128GB, Logic Board Assy Rear System, ROW")</f>
        <v>iPhone 13, Midnight, 128GB, Logic Board Assy Rear System, ROW</v>
      </c>
      <c r="F102" s="2"/>
      <c r="G102" s="2"/>
      <c r="H102" s="2"/>
      <c r="I102" s="2"/>
      <c r="J102" s="2"/>
      <c r="K102" s="2"/>
      <c r="L102" s="2"/>
      <c r="M102" s="2"/>
      <c r="N102" s="2"/>
      <c r="O102" s="2" t="str">
        <f>IFERROR(__xludf.DUMMYFUNCTION("""COMPUTED_VALUE"""),"TA661-45237")</f>
        <v>TA661-45237</v>
      </c>
      <c r="P102" s="2" t="str">
        <f>IFERROR(__xludf.DUMMYFUNCTION("""COMPUTED_VALUE"""),"256GB, White, ROW, iPhone 16 Plus, Logic Board Assy Mid System")</f>
        <v>256GB, White, ROW, iPhone 16 Plus, Logic Board Assy Mid System</v>
      </c>
      <c r="Q102" s="2">
        <f>IFERROR(__xludf.DUMMYFUNCTION("""COMPUTED_VALUE"""),1.0)</f>
        <v>1</v>
      </c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>
      <c r="A103" s="3" t="str">
        <f t="shared" si="1"/>
        <v>January</v>
      </c>
      <c r="B103" s="11">
        <f>IFERROR(__xludf.DUMMYFUNCTION("""COMPUTED_VALUE"""),46036.0)</f>
        <v>46036</v>
      </c>
      <c r="C103" s="2" t="str">
        <f>IFERROR(__xludf.DUMMYFUNCTION("""COMPUTED_VALUE"""),"MOBILECARE - FESTIVE WALK ILOILO")</f>
        <v>MOBILECARE - FESTIVE WALK ILOILO</v>
      </c>
      <c r="D103" s="2" t="str">
        <f>IFERROR(__xludf.DUMMYFUNCTION("""COMPUTED_VALUE"""),"PP661-23454")</f>
        <v>PP661-23454</v>
      </c>
      <c r="E103" s="2" t="str">
        <f>IFERROR(__xludf.DUMMYFUNCTION("""COMPUTED_VALUE"""),"iPhone 13, Midnight, 128GB, Logic Board Assy Rear System, ROW")</f>
        <v>iPhone 13, Midnight, 128GB, Logic Board Assy Rear System, ROW</v>
      </c>
      <c r="F103" s="2"/>
      <c r="G103" s="2"/>
      <c r="H103" s="2"/>
      <c r="I103" s="2"/>
      <c r="J103" s="2"/>
      <c r="K103" s="2"/>
      <c r="L103" s="2"/>
      <c r="M103" s="2"/>
      <c r="N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>
      <c r="A104" s="3" t="str">
        <f t="shared" si="1"/>
        <v>January</v>
      </c>
      <c r="B104" s="11">
        <f>IFERROR(__xludf.DUMMYFUNCTION("""COMPUTED_VALUE"""),46042.0)</f>
        <v>46042</v>
      </c>
      <c r="C104" s="2" t="str">
        <f>IFERROR(__xludf.DUMMYFUNCTION("""COMPUTED_VALUE"""),"MOBILECARE - FESTIVE WALK ILOILO")</f>
        <v>MOBILECARE - FESTIVE WALK ILOILO</v>
      </c>
      <c r="D104" s="2" t="str">
        <f>IFERROR(__xludf.DUMMYFUNCTION("""COMPUTED_VALUE"""),"PP661-23455")</f>
        <v>PP661-23455</v>
      </c>
      <c r="E104" s="2" t="str">
        <f>IFERROR(__xludf.DUMMYFUNCTION("""COMPUTED_VALUE"""),"iPhone 13, Starlight, 128GB, Logic Board Assy Rear System, ROW")</f>
        <v>iPhone 13, Starlight, 128GB, Logic Board Assy Rear System, ROW</v>
      </c>
      <c r="F104" s="2"/>
      <c r="G104" s="2"/>
      <c r="H104" s="2"/>
      <c r="I104" s="2"/>
      <c r="J104" s="2"/>
      <c r="K104" s="2"/>
      <c r="L104" s="2"/>
      <c r="M104" s="2"/>
      <c r="N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>
      <c r="A105" s="3" t="str">
        <f t="shared" si="1"/>
        <v>January</v>
      </c>
      <c r="B105" s="11">
        <f>IFERROR(__xludf.DUMMYFUNCTION("""COMPUTED_VALUE"""),46038.0)</f>
        <v>46038</v>
      </c>
      <c r="C105" s="2" t="str">
        <f>IFERROR(__xludf.DUMMYFUNCTION("""COMPUTED_VALUE"""),"MOBILECARE - FESTIVE WALK ILOILO")</f>
        <v>MOBILECARE - FESTIVE WALK ILOILO</v>
      </c>
      <c r="D105" s="2" t="str">
        <f>IFERROR(__xludf.DUMMYFUNCTION("""COMPUTED_VALUE"""),"PP661-23455")</f>
        <v>PP661-23455</v>
      </c>
      <c r="E105" s="2" t="str">
        <f>IFERROR(__xludf.DUMMYFUNCTION("""COMPUTED_VALUE"""),"iPhone 13, Starlight, 128GB, Logic Board Assy Rear System, ROW")</f>
        <v>iPhone 13, Starlight, 128GB, Logic Board Assy Rear System, ROW</v>
      </c>
      <c r="F105" s="2"/>
      <c r="G105" s="2"/>
      <c r="H105" s="2"/>
      <c r="I105" s="2"/>
      <c r="J105" s="2"/>
      <c r="K105" s="2"/>
      <c r="L105" s="2"/>
      <c r="M105" s="2"/>
      <c r="N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>
      <c r="A106" s="3" t="str">
        <f t="shared" si="1"/>
        <v>January</v>
      </c>
      <c r="B106" s="11">
        <f>IFERROR(__xludf.DUMMYFUNCTION("""COMPUTED_VALUE"""),46037.0)</f>
        <v>46037</v>
      </c>
      <c r="C106" s="2" t="str">
        <f>IFERROR(__xludf.DUMMYFUNCTION("""COMPUTED_VALUE"""),"MOBILECARE - FESTIVE WALK ILOILO")</f>
        <v>MOBILECARE - FESTIVE WALK ILOILO</v>
      </c>
      <c r="D106" s="2" t="str">
        <f>IFERROR(__xludf.DUMMYFUNCTION("""COMPUTED_VALUE"""),"PP661-23455")</f>
        <v>PP661-23455</v>
      </c>
      <c r="E106" s="2" t="str">
        <f>IFERROR(__xludf.DUMMYFUNCTION("""COMPUTED_VALUE"""),"iPhone 13, Starlight, 128GB, Logic Board Assy Rear System, ROW")</f>
        <v>iPhone 13, Starlight, 128GB, Logic Board Assy Rear System, ROW</v>
      </c>
      <c r="F106" s="2"/>
      <c r="G106" s="2"/>
      <c r="H106" s="2"/>
      <c r="I106" s="2"/>
      <c r="J106" s="2"/>
      <c r="K106" s="2"/>
      <c r="L106" s="2"/>
      <c r="M106" s="2"/>
      <c r="N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>
      <c r="A107" s="3" t="str">
        <f t="shared" si="1"/>
        <v>January</v>
      </c>
      <c r="B107" s="11">
        <f>IFERROR(__xludf.DUMMYFUNCTION("""COMPUTED_VALUE"""),46038.0)</f>
        <v>46038</v>
      </c>
      <c r="C107" s="2" t="str">
        <f>IFERROR(__xludf.DUMMYFUNCTION("""COMPUTED_VALUE"""),"MOBILECARE - FESTIVE WALK ILOILO")</f>
        <v>MOBILECARE - FESTIVE WALK ILOILO</v>
      </c>
      <c r="D107" s="2" t="str">
        <f>IFERROR(__xludf.DUMMYFUNCTION("""COMPUTED_VALUE"""),"TA661-36696")</f>
        <v>TA661-36696</v>
      </c>
      <c r="E107" s="2" t="str">
        <f>IFERROR(__xludf.DUMMYFUNCTION("""COMPUTED_VALUE"""),"iPhone 15, Black, 256GB, Logic Board Assy Mid System, ROW")</f>
        <v>iPhone 15, Black, 256GB, Logic Board Assy Mid System, ROW</v>
      </c>
      <c r="F107" s="2"/>
      <c r="G107" s="2"/>
      <c r="H107" s="2"/>
      <c r="I107" s="2"/>
      <c r="J107" s="2"/>
      <c r="K107" s="2"/>
      <c r="L107" s="2"/>
      <c r="M107" s="2"/>
      <c r="N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>
      <c r="A108" s="3" t="str">
        <f t="shared" si="1"/>
        <v>January</v>
      </c>
      <c r="B108" s="11">
        <f>IFERROR(__xludf.DUMMYFUNCTION("""COMPUTED_VALUE"""),46033.0)</f>
        <v>46033</v>
      </c>
      <c r="C108" s="2" t="str">
        <f>IFERROR(__xludf.DUMMYFUNCTION("""COMPUTED_VALUE"""),"MOBILECARE - FESTIVE WALK ILOILO")</f>
        <v>MOBILECARE - FESTIVE WALK ILOILO</v>
      </c>
      <c r="D108" s="2" t="str">
        <f>IFERROR(__xludf.DUMMYFUNCTION("""COMPUTED_VALUE"""),"PP661-28868")</f>
        <v>PP661-28868</v>
      </c>
      <c r="E108" s="2" t="str">
        <f>IFERROR(__xludf.DUMMYFUNCTION("""COMPUTED_VALUE"""),"iPhone 14, Midnight, 128GB, Logic Board Assy Mid System, ROW")</f>
        <v>iPhone 14, Midnight, 128GB, Logic Board Assy Mid System, ROW</v>
      </c>
      <c r="F108" s="2"/>
      <c r="G108" s="2"/>
      <c r="H108" s="2"/>
      <c r="I108" s="2"/>
      <c r="J108" s="2"/>
      <c r="K108" s="2"/>
      <c r="L108" s="2"/>
      <c r="M108" s="2"/>
      <c r="O108" s="24" t="s">
        <v>722</v>
      </c>
      <c r="P108" s="20" t="s">
        <v>892</v>
      </c>
      <c r="Q108" s="21" t="s">
        <v>328</v>
      </c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>
      <c r="A109" s="3" t="str">
        <f t="shared" si="1"/>
        <v>January</v>
      </c>
      <c r="B109" s="11">
        <f>IFERROR(__xludf.DUMMYFUNCTION("""COMPUTED_VALUE"""),46031.0)</f>
        <v>46031</v>
      </c>
      <c r="C109" s="2" t="str">
        <f>IFERROR(__xludf.DUMMYFUNCTION("""COMPUTED_VALUE"""),"MOBILECARE - FESTIVE WALK ILOILO")</f>
        <v>MOBILECARE - FESTIVE WALK ILOILO</v>
      </c>
      <c r="D109" s="2" t="str">
        <f>IFERROR(__xludf.DUMMYFUNCTION("""COMPUTED_VALUE"""),"PP661-23455")</f>
        <v>PP661-23455</v>
      </c>
      <c r="E109" s="2" t="str">
        <f>IFERROR(__xludf.DUMMYFUNCTION("""COMPUTED_VALUE"""),"iPhone 13, Starlight, 128GB, Logic Board Assy Rear System, ROW")</f>
        <v>iPhone 13, Starlight, 128GB, Logic Board Assy Rear System, ROW</v>
      </c>
      <c r="F109" s="2"/>
      <c r="G109" s="2"/>
      <c r="H109" s="2"/>
      <c r="I109" s="2"/>
      <c r="J109" s="2"/>
      <c r="K109" s="2"/>
      <c r="L109" s="2"/>
      <c r="M109" s="2"/>
      <c r="N109" s="2"/>
      <c r="P109" s="22" t="str">
        <f>IFERROR(__xludf.DUMMYFUNCTION("IFERROR(LET(
  part, LOWER(TRIM(O108)),
  col_e, ARRAYFORMULA(LOWER(E3:E1000)),
  part_match, ARRAYFORMULA(IF(OR(part=""all"", part=""""), E3:E1000&lt;&gt;"""", 
                IF(part=""front"", ISNUMBER(SEARCH(""front"", col_e)), 
                TRIM(E3:E10"&amp;"00)=TRIM(O108)))),
  data, FILTER(C3:C1000, C3:C1000&lt;&gt;"""", part_match),
  u, UNIQUE(data),
  c, MAP(u, LAMBDA(x, COUNTA(FILTER(data, data=x)))),
  SORT(HSTACK(u, c), 2, FALSE)
), ""No data found"")"),"MOBILECARE - DAVAO")</f>
        <v>MOBILECARE - DAVAO</v>
      </c>
      <c r="Q109" s="22">
        <f>IFERROR(__xludf.DUMMYFUNCTION("""COMPUTED_VALUE"""),4.0)</f>
        <v>4</v>
      </c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>
      <c r="A110" s="3" t="str">
        <f t="shared" si="1"/>
        <v>January</v>
      </c>
      <c r="B110" s="11">
        <f>IFERROR(__xludf.DUMMYFUNCTION("""COMPUTED_VALUE"""),46025.0)</f>
        <v>46025</v>
      </c>
      <c r="C110" s="2" t="str">
        <f>IFERROR(__xludf.DUMMYFUNCTION("""COMPUTED_VALUE"""),"MOBILECARE - FESTIVE WALK ILOILO")</f>
        <v>MOBILECARE - FESTIVE WALK ILOILO</v>
      </c>
      <c r="D110" s="2" t="str">
        <f>IFERROR(__xludf.DUMMYFUNCTION("""COMPUTED_VALUE"""),"PP661-23454")</f>
        <v>PP661-23454</v>
      </c>
      <c r="E110" s="2" t="str">
        <f>IFERROR(__xludf.DUMMYFUNCTION("""COMPUTED_VALUE"""),"iPhone 13, Midnight, 128GB, Logic Board Assy Rear System, ROW")</f>
        <v>iPhone 13, Midnight, 128GB, Logic Board Assy Rear System, ROW</v>
      </c>
      <c r="F110" s="2"/>
      <c r="G110" s="2"/>
      <c r="H110" s="2"/>
      <c r="I110" s="2"/>
      <c r="J110" s="2"/>
      <c r="K110" s="2"/>
      <c r="L110" s="2"/>
      <c r="M110" s="2"/>
      <c r="N110" s="2"/>
      <c r="P110" s="22" t="str">
        <f>IFERROR(__xludf.DUMMYFUNCTION("""COMPUTED_VALUE"""),"MOBILECARE - NEWPOINT MALL")</f>
        <v>MOBILECARE - NEWPOINT MALL</v>
      </c>
      <c r="Q110" s="22">
        <f>IFERROR(__xludf.DUMMYFUNCTION("""COMPUTED_VALUE"""),4.0)</f>
        <v>4</v>
      </c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>
      <c r="A111" s="3" t="str">
        <f t="shared" si="1"/>
        <v>January</v>
      </c>
      <c r="B111" s="11">
        <f>IFERROR(__xludf.DUMMYFUNCTION("""COMPUTED_VALUE"""),46027.0)</f>
        <v>46027</v>
      </c>
      <c r="C111" s="2" t="str">
        <f>IFERROR(__xludf.DUMMYFUNCTION("""COMPUTED_VALUE"""),"MOBILECARE - FESTIVE WALK ILOILO")</f>
        <v>MOBILECARE - FESTIVE WALK ILOILO</v>
      </c>
      <c r="D111" s="2" t="str">
        <f>IFERROR(__xludf.DUMMYFUNCTION("""COMPUTED_VALUE"""),"PP661-23454")</f>
        <v>PP661-23454</v>
      </c>
      <c r="E111" s="2" t="str">
        <f>IFERROR(__xludf.DUMMYFUNCTION("""COMPUTED_VALUE"""),"iPhone 13, Midnight, 128GB, Logic Board Assy Rear System, ROW")</f>
        <v>iPhone 13, Midnight, 128GB, Logic Board Assy Rear System, ROW</v>
      </c>
      <c r="F111" s="2"/>
      <c r="G111" s="2"/>
      <c r="H111" s="2"/>
      <c r="I111" s="2"/>
      <c r="J111" s="2"/>
      <c r="K111" s="2"/>
      <c r="L111" s="2"/>
      <c r="M111" s="2"/>
      <c r="N111" s="2"/>
      <c r="P111" s="22" t="str">
        <f>IFERROR(__xludf.DUMMYFUNCTION("""COMPUTED_VALUE"""),"MOBILECARE - CEBU")</f>
        <v>MOBILECARE - CEBU</v>
      </c>
      <c r="Q111" s="22">
        <f>IFERROR(__xludf.DUMMYFUNCTION("""COMPUTED_VALUE"""),3.0)</f>
        <v>3</v>
      </c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>
      <c r="A112" s="3" t="str">
        <f t="shared" si="1"/>
        <v>January</v>
      </c>
      <c r="B112" s="11">
        <f>IFERROR(__xludf.DUMMYFUNCTION("""COMPUTED_VALUE"""),46025.0)</f>
        <v>46025</v>
      </c>
      <c r="C112" s="2" t="str">
        <f>IFERROR(__xludf.DUMMYFUNCTION("""COMPUTED_VALUE"""),"MOBILECARE - FESTIVE WALK ILOILO")</f>
        <v>MOBILECARE - FESTIVE WALK ILOILO</v>
      </c>
      <c r="D112" s="2" t="str">
        <f>IFERROR(__xludf.DUMMYFUNCTION("""COMPUTED_VALUE"""),"PP661-23455")</f>
        <v>PP661-23455</v>
      </c>
      <c r="E112" s="2" t="str">
        <f>IFERROR(__xludf.DUMMYFUNCTION("""COMPUTED_VALUE"""),"iPhone 13, Starlight, 128GB, Logic Board Assy Rear System, ROW")</f>
        <v>iPhone 13, Starlight, 128GB, Logic Board Assy Rear System, ROW</v>
      </c>
      <c r="F112" s="2"/>
      <c r="G112" s="2"/>
      <c r="H112" s="2"/>
      <c r="I112" s="2"/>
      <c r="J112" s="2"/>
      <c r="K112" s="2"/>
      <c r="L112" s="2"/>
      <c r="M112" s="2"/>
      <c r="N112" s="2"/>
      <c r="P112" s="22" t="str">
        <f>IFERROR(__xludf.DUMMYFUNCTION("""COMPUTED_VALUE"""),"MOBILECARE - CAGAYAN DE ORO")</f>
        <v>MOBILECARE - CAGAYAN DE ORO</v>
      </c>
      <c r="Q112" s="22">
        <f>IFERROR(__xludf.DUMMYFUNCTION("""COMPUTED_VALUE"""),2.0)</f>
        <v>2</v>
      </c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>
      <c r="A113" s="3" t="str">
        <f t="shared" si="1"/>
        <v>January</v>
      </c>
      <c r="B113" s="11">
        <f>IFERROR(__xludf.DUMMYFUNCTION("""COMPUTED_VALUE"""),46028.0)</f>
        <v>46028</v>
      </c>
      <c r="C113" s="2" t="str">
        <f>IFERROR(__xludf.DUMMYFUNCTION("""COMPUTED_VALUE"""),"MOBILECARE - FESTIVE WALK ILOILO")</f>
        <v>MOBILECARE - FESTIVE WALK ILOILO</v>
      </c>
      <c r="D113" s="2" t="str">
        <f>IFERROR(__xludf.DUMMYFUNCTION("""COMPUTED_VALUE"""),"PP661-23455")</f>
        <v>PP661-23455</v>
      </c>
      <c r="E113" s="2" t="str">
        <f>IFERROR(__xludf.DUMMYFUNCTION("""COMPUTED_VALUE"""),"iPhone 13, Starlight, 128GB, Logic Board Assy Rear System, ROW")</f>
        <v>iPhone 13, Starlight, 128GB, Logic Board Assy Rear System, ROW</v>
      </c>
      <c r="F113" s="2"/>
      <c r="G113" s="2"/>
      <c r="H113" s="2"/>
      <c r="I113" s="2"/>
      <c r="J113" s="2"/>
      <c r="K113" s="2"/>
      <c r="L113" s="2"/>
      <c r="M113" s="2"/>
      <c r="N113" s="2"/>
      <c r="P113" s="22" t="str">
        <f>IFERROR(__xludf.DUMMYFUNCTION("""COMPUTED_VALUE"""),"MOBILECARE - FESTIVE WALK ILOILO")</f>
        <v>MOBILECARE - FESTIVE WALK ILOILO</v>
      </c>
      <c r="Q113" s="22">
        <f>IFERROR(__xludf.DUMMYFUNCTION("""COMPUTED_VALUE"""),2.0)</f>
        <v>2</v>
      </c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>
      <c r="A114" s="3" t="str">
        <f t="shared" si="1"/>
        <v>January</v>
      </c>
      <c r="B114" s="11">
        <f>IFERROR(__xludf.DUMMYFUNCTION("""COMPUTED_VALUE"""),46028.0)</f>
        <v>46028</v>
      </c>
      <c r="C114" s="2" t="str">
        <f>IFERROR(__xludf.DUMMYFUNCTION("""COMPUTED_VALUE"""),"MOBILECARE - FESTIVE WALK ILOILO")</f>
        <v>MOBILECARE - FESTIVE WALK ILOILO</v>
      </c>
      <c r="D114" s="2" t="str">
        <f>IFERROR(__xludf.DUMMYFUNCTION("""COMPUTED_VALUE"""),"PP661-23455")</f>
        <v>PP661-23455</v>
      </c>
      <c r="E114" s="2" t="str">
        <f>IFERROR(__xludf.DUMMYFUNCTION("""COMPUTED_VALUE"""),"iPhone 13, Starlight, 128GB, Logic Board Assy Rear System, ROW")</f>
        <v>iPhone 13, Starlight, 128GB, Logic Board Assy Rear System, ROW</v>
      </c>
      <c r="F114" s="2"/>
      <c r="G114" s="2"/>
      <c r="H114" s="2"/>
      <c r="I114" s="2"/>
      <c r="J114" s="2"/>
      <c r="K114" s="2"/>
      <c r="L114" s="2"/>
      <c r="M114" s="2"/>
      <c r="N114" s="2"/>
      <c r="P114" s="22" t="str">
        <f>IFERROR(__xludf.DUMMYFUNCTION("""COMPUTED_VALUE"""),"MOBILECARE - LIMA ESTATE")</f>
        <v>MOBILECARE - LIMA ESTATE</v>
      </c>
      <c r="Q114" s="22">
        <f>IFERROR(__xludf.DUMMYFUNCTION("""COMPUTED_VALUE"""),1.0)</f>
        <v>1</v>
      </c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>
      <c r="A115" s="3" t="str">
        <f t="shared" si="1"/>
        <v>January</v>
      </c>
      <c r="B115" s="11">
        <f>IFERROR(__xludf.DUMMYFUNCTION("""COMPUTED_VALUE"""),46028.0)</f>
        <v>46028</v>
      </c>
      <c r="C115" s="2" t="str">
        <f>IFERROR(__xludf.DUMMYFUNCTION("""COMPUTED_VALUE"""),"MOBILECARE - FESTIVE WALK ILOILO")</f>
        <v>MOBILECARE - FESTIVE WALK ILOILO</v>
      </c>
      <c r="D115" s="2" t="str">
        <f>IFERROR(__xludf.DUMMYFUNCTION("""COMPUTED_VALUE"""),"TA661-36697")</f>
        <v>TA661-36697</v>
      </c>
      <c r="E115" s="2" t="str">
        <f>IFERROR(__xludf.DUMMYFUNCTION("""COMPUTED_VALUE"""),"iPhone 15, Pink, 256GB, Logic Board Assy Mid System, ROW")</f>
        <v>iPhone 15, Pink, 256GB, Logic Board Assy Mid System, ROW</v>
      </c>
      <c r="F115" s="2"/>
      <c r="G115" s="2"/>
      <c r="H115" s="2"/>
      <c r="I115" s="2"/>
      <c r="J115" s="2"/>
      <c r="K115" s="2"/>
      <c r="L115" s="2"/>
      <c r="M115" s="2"/>
      <c r="N115" s="2"/>
      <c r="P115" s="22" t="str">
        <f>IFERROR(__xludf.DUMMYFUNCTION("""COMPUTED_VALUE"""),"MOBILECARE - NAGA")</f>
        <v>MOBILECARE - NAGA</v>
      </c>
      <c r="Q115" s="22">
        <f>IFERROR(__xludf.DUMMYFUNCTION("""COMPUTED_VALUE"""),1.0)</f>
        <v>1</v>
      </c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>
      <c r="A116" s="3" t="str">
        <f t="shared" si="1"/>
        <v>January</v>
      </c>
      <c r="B116" s="11">
        <f>IFERROR(__xludf.DUMMYFUNCTION("""COMPUTED_VALUE"""),46028.0)</f>
        <v>46028</v>
      </c>
      <c r="C116" s="2" t="str">
        <f>IFERROR(__xludf.DUMMYFUNCTION("""COMPUTED_VALUE"""),"MOBILECARE - FESTIVE WALK ILOILO")</f>
        <v>MOBILECARE - FESTIVE WALK ILOILO</v>
      </c>
      <c r="D116" s="2" t="str">
        <f>IFERROR(__xludf.DUMMYFUNCTION("""COMPUTED_VALUE"""),"TA661-36697")</f>
        <v>TA661-36697</v>
      </c>
      <c r="E116" s="2" t="str">
        <f>IFERROR(__xludf.DUMMYFUNCTION("""COMPUTED_VALUE"""),"iPhone 15, Pink, 256GB, Logic Board Assy Mid System, ROW")</f>
        <v>iPhone 15, Pink, 256GB, Logic Board Assy Mid System, ROW</v>
      </c>
      <c r="F116" s="2"/>
      <c r="G116" s="2"/>
      <c r="H116" s="2"/>
      <c r="I116" s="2"/>
      <c r="J116" s="2"/>
      <c r="K116" s="2"/>
      <c r="L116" s="2"/>
      <c r="M116" s="2"/>
      <c r="N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>
      <c r="A117" s="3" t="str">
        <f t="shared" si="1"/>
        <v>January</v>
      </c>
      <c r="B117" s="11">
        <f>IFERROR(__xludf.DUMMYFUNCTION("""COMPUTED_VALUE"""),46033.0)</f>
        <v>46033</v>
      </c>
      <c r="C117" s="2" t="str">
        <f>IFERROR(__xludf.DUMMYFUNCTION("""COMPUTED_VALUE"""),"MOBILECARE - APP MALL OF ASIA")</f>
        <v>MOBILECARE - APP MALL OF ASIA</v>
      </c>
      <c r="D117" s="2" t="str">
        <f>IFERROR(__xludf.DUMMYFUNCTION("""COMPUTED_VALUE"""),"661-35702")</f>
        <v>661-35702</v>
      </c>
      <c r="E117" s="2" t="str">
        <f>IFERROR(__xludf.DUMMYFUNCTION("""COMPUTED_VALUE"""),"Natural Titanium, Back Glass, iPhone 15 Pro")</f>
        <v>Natural Titanium, Back Glass, iPhone 15 Pro</v>
      </c>
      <c r="F117" s="2"/>
      <c r="G117" s="2"/>
      <c r="H117" s="2"/>
      <c r="I117" s="2"/>
      <c r="J117" s="2"/>
      <c r="K117" s="2"/>
      <c r="L117" s="2"/>
      <c r="M117" s="2"/>
      <c r="N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>
      <c r="A118" s="3" t="str">
        <f t="shared" si="1"/>
        <v>June</v>
      </c>
      <c r="B118" s="11">
        <f>IFERROR(__xludf.DUMMYFUNCTION("""COMPUTED_VALUE"""),46182.0)</f>
        <v>46182</v>
      </c>
      <c r="C118" s="2" t="str">
        <f>IFERROR(__xludf.DUMMYFUNCTION("""COMPUTED_VALUE"""),"MOBILECARE - CEBU")</f>
        <v>MOBILECARE - CEBU</v>
      </c>
      <c r="D118" s="2" t="str">
        <f>IFERROR(__xludf.DUMMYFUNCTION("""COMPUTED_VALUE"""),"PP661-28873")</f>
        <v>PP661-28873</v>
      </c>
      <c r="E118" s="2" t="str">
        <f>IFERROR(__xludf.DUMMYFUNCTION("""COMPUTED_VALUE"""),"iPhone 14, Midnight, 256GB, Logic Board Assy Mid System, ROW")</f>
        <v>iPhone 14, Midnight, 256GB, Logic Board Assy Mid System, ROW</v>
      </c>
      <c r="F118" s="2"/>
      <c r="G118" s="2"/>
      <c r="H118" s="2"/>
      <c r="I118" s="2"/>
      <c r="J118" s="2"/>
      <c r="K118" s="2"/>
      <c r="L118" s="2"/>
      <c r="M118" s="2"/>
      <c r="N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>
      <c r="A119" s="3" t="str">
        <f t="shared" si="1"/>
        <v>March</v>
      </c>
      <c r="B119" s="11">
        <f>IFERROR(__xludf.DUMMYFUNCTION("""COMPUTED_VALUE"""),46083.0)</f>
        <v>46083</v>
      </c>
      <c r="C119" s="2" t="str">
        <f>IFERROR(__xludf.DUMMYFUNCTION("""COMPUTED_VALUE"""),"MOBILECARE - CEBU")</f>
        <v>MOBILECARE - CEBU</v>
      </c>
      <c r="D119" s="2" t="str">
        <f>IFERROR(__xludf.DUMMYFUNCTION("""COMPUTED_VALUE"""),"PP661-23454")</f>
        <v>PP661-23454</v>
      </c>
      <c r="E119" s="2" t="str">
        <f>IFERROR(__xludf.DUMMYFUNCTION("""COMPUTED_VALUE"""),"iPhone 13, Midnight, 128GB, Logic Board Assy Rear System, ROW")</f>
        <v>iPhone 13, Midnight, 128GB, Logic Board Assy Rear System, ROW</v>
      </c>
      <c r="F119" s="2"/>
      <c r="G119" s="2"/>
      <c r="H119" s="2"/>
      <c r="I119" s="2"/>
      <c r="J119" s="2"/>
      <c r="K119" s="2"/>
      <c r="L119" s="2"/>
      <c r="M119" s="2"/>
      <c r="N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>
      <c r="A120" s="3" t="str">
        <f t="shared" si="1"/>
        <v>March</v>
      </c>
      <c r="B120" s="11">
        <f>IFERROR(__xludf.DUMMYFUNCTION("""COMPUTED_VALUE"""),46102.0)</f>
        <v>46102</v>
      </c>
      <c r="C120" s="2" t="str">
        <f>IFERROR(__xludf.DUMMYFUNCTION("""COMPUTED_VALUE"""),"MOBILECARE - NAGA")</f>
        <v>MOBILECARE - NAGA</v>
      </c>
      <c r="D120" s="2" t="str">
        <f>IFERROR(__xludf.DUMMYFUNCTION("""COMPUTED_VALUE"""),"PP661-23455")</f>
        <v>PP661-23455</v>
      </c>
      <c r="E120" s="2" t="str">
        <f>IFERROR(__xludf.DUMMYFUNCTION("""COMPUTED_VALUE"""),"iPhone 13, Starlight, 128GB, Logic Board Assy Rear System, ROW")</f>
        <v>iPhone 13, Starlight, 128GB, Logic Board Assy Rear System, ROW</v>
      </c>
      <c r="F120" s="2"/>
      <c r="G120" s="2"/>
      <c r="H120" s="2"/>
      <c r="I120" s="2"/>
      <c r="J120" s="2"/>
      <c r="K120" s="2"/>
      <c r="L120" s="2"/>
      <c r="M120" s="2"/>
      <c r="N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>
      <c r="A121" s="3" t="str">
        <f t="shared" si="1"/>
        <v>February</v>
      </c>
      <c r="B121" s="11">
        <f>IFERROR(__xludf.DUMMYFUNCTION("""COMPUTED_VALUE"""),46054.0)</f>
        <v>46054</v>
      </c>
      <c r="C121" s="2" t="str">
        <f>IFERROR(__xludf.DUMMYFUNCTION("""COMPUTED_VALUE"""),"MOBILECARE - NAGA")</f>
        <v>MOBILECARE - NAGA</v>
      </c>
      <c r="D121" s="2" t="str">
        <f>IFERROR(__xludf.DUMMYFUNCTION("""COMPUTED_VALUE"""),"TA661-36692")</f>
        <v>TA661-36692</v>
      </c>
      <c r="E121" s="2" t="str">
        <f>IFERROR(__xludf.DUMMYFUNCTION("""COMPUTED_VALUE"""),"iPhone 15, Pink, 128GB, Logic Board Assy Mid System, ROW")</f>
        <v>iPhone 15, Pink, 128GB, Logic Board Assy Mid System, ROW</v>
      </c>
      <c r="F121" s="2"/>
      <c r="G121" s="2"/>
      <c r="H121" s="2"/>
      <c r="I121" s="2"/>
      <c r="J121" s="2"/>
      <c r="K121" s="2"/>
      <c r="L121" s="2"/>
      <c r="M121" s="2"/>
      <c r="N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>
      <c r="A122" s="3" t="str">
        <f t="shared" si="1"/>
        <v>January</v>
      </c>
      <c r="B122" s="11">
        <f>IFERROR(__xludf.DUMMYFUNCTION("""COMPUTED_VALUE"""),46049.0)</f>
        <v>46049</v>
      </c>
      <c r="C122" s="2" t="str">
        <f>IFERROR(__xludf.DUMMYFUNCTION("""COMPUTED_VALUE"""),"MOBILECARE - NAGA")</f>
        <v>MOBILECARE - NAGA</v>
      </c>
      <c r="D122" s="2" t="str">
        <f>IFERROR(__xludf.DUMMYFUNCTION("""COMPUTED_VALUE"""),"PP661-23454")</f>
        <v>PP661-23454</v>
      </c>
      <c r="E122" s="2" t="str">
        <f>IFERROR(__xludf.DUMMYFUNCTION("""COMPUTED_VALUE"""),"iPhone 13, Midnight, 128GB, Logic Board Assy Rear System, ROW")</f>
        <v>iPhone 13, Midnight, 128GB, Logic Board Assy Rear System, ROW</v>
      </c>
      <c r="F122" s="2"/>
      <c r="G122" s="2"/>
      <c r="H122" s="2"/>
      <c r="I122" s="2"/>
      <c r="J122" s="2"/>
      <c r="K122" s="2"/>
      <c r="L122" s="2"/>
      <c r="M122" s="2"/>
      <c r="N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>
      <c r="A123" s="3" t="str">
        <f t="shared" si="1"/>
        <v>February</v>
      </c>
      <c r="B123" s="11">
        <f>IFERROR(__xludf.DUMMYFUNCTION("""COMPUTED_VALUE"""),46056.0)</f>
        <v>46056</v>
      </c>
      <c r="C123" s="2" t="str">
        <f>IFERROR(__xludf.DUMMYFUNCTION("""COMPUTED_VALUE"""),"MOBILECARE - NAGA")</f>
        <v>MOBILECARE - NAGA</v>
      </c>
      <c r="D123" s="2" t="str">
        <f>IFERROR(__xludf.DUMMYFUNCTION("""COMPUTED_VALUE"""),"TA661-36691")</f>
        <v>TA661-36691</v>
      </c>
      <c r="E123" s="2" t="str">
        <f>IFERROR(__xludf.DUMMYFUNCTION("""COMPUTED_VALUE"""),"iPhone 15, Black, 128GB, Logic Board Assy Mid System, ROW")</f>
        <v>iPhone 15, Black, 128GB, Logic Board Assy Mid System, ROW</v>
      </c>
      <c r="F123" s="2"/>
      <c r="G123" s="2"/>
      <c r="H123" s="2"/>
      <c r="I123" s="2"/>
      <c r="J123" s="2"/>
      <c r="K123" s="2"/>
      <c r="L123" s="2"/>
      <c r="M123" s="2"/>
      <c r="N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>
      <c r="A124" s="3" t="str">
        <f t="shared" si="1"/>
        <v>January</v>
      </c>
      <c r="B124" s="11">
        <f>IFERROR(__xludf.DUMMYFUNCTION("""COMPUTED_VALUE"""),46047.0)</f>
        <v>46047</v>
      </c>
      <c r="C124" s="2" t="str">
        <f>IFERROR(__xludf.DUMMYFUNCTION("""COMPUTED_VALUE"""),"MOBILECARE - NAGA")</f>
        <v>MOBILECARE - NAGA</v>
      </c>
      <c r="D124" s="2" t="str">
        <f>IFERROR(__xludf.DUMMYFUNCTION("""COMPUTED_VALUE"""),"PP661-23455")</f>
        <v>PP661-23455</v>
      </c>
      <c r="E124" s="2" t="str">
        <f>IFERROR(__xludf.DUMMYFUNCTION("""COMPUTED_VALUE"""),"iPhone 13, Starlight, 128GB, Logic Board Assy Rear System, ROW")</f>
        <v>iPhone 13, Starlight, 128GB, Logic Board Assy Rear System, ROW</v>
      </c>
      <c r="F124" s="2"/>
      <c r="G124" s="2"/>
      <c r="H124" s="2"/>
      <c r="I124" s="2"/>
      <c r="J124" s="2"/>
      <c r="K124" s="2"/>
      <c r="L124" s="2"/>
      <c r="M124" s="2"/>
      <c r="N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>
      <c r="A125" s="3" t="str">
        <f t="shared" si="1"/>
        <v>January</v>
      </c>
      <c r="B125" s="11">
        <f>IFERROR(__xludf.DUMMYFUNCTION("""COMPUTED_VALUE"""),46046.0)</f>
        <v>46046</v>
      </c>
      <c r="C125" s="2" t="str">
        <f>IFERROR(__xludf.DUMMYFUNCTION("""COMPUTED_VALUE"""),"MOBILECARE - NAGA")</f>
        <v>MOBILECARE - NAGA</v>
      </c>
      <c r="D125" s="2" t="str">
        <f>IFERROR(__xludf.DUMMYFUNCTION("""COMPUTED_VALUE"""),"PP661-28873")</f>
        <v>PP661-28873</v>
      </c>
      <c r="E125" s="2" t="str">
        <f>IFERROR(__xludf.DUMMYFUNCTION("""COMPUTED_VALUE"""),"iPhone 14, Midnight, 256GB, Logic Board Assy Mid System, ROW")</f>
        <v>iPhone 14, Midnight, 256GB, Logic Board Assy Mid System, ROW</v>
      </c>
      <c r="F125" s="2"/>
      <c r="G125" s="2"/>
      <c r="H125" s="2"/>
      <c r="I125" s="2"/>
      <c r="J125" s="2"/>
      <c r="K125" s="2"/>
      <c r="L125" s="2"/>
      <c r="M125" s="2"/>
      <c r="N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>
      <c r="A126" s="3" t="str">
        <f t="shared" si="1"/>
        <v>February</v>
      </c>
      <c r="B126" s="11">
        <f>IFERROR(__xludf.DUMMYFUNCTION("""COMPUTED_VALUE"""),46054.0)</f>
        <v>46054</v>
      </c>
      <c r="C126" s="2" t="str">
        <f>IFERROR(__xludf.DUMMYFUNCTION("""COMPUTED_VALUE"""),"MOBILECARE - NAGA")</f>
        <v>MOBILECARE - NAGA</v>
      </c>
      <c r="D126" s="2" t="str">
        <f>IFERROR(__xludf.DUMMYFUNCTION("""COMPUTED_VALUE"""),"PP661-23454")</f>
        <v>PP661-23454</v>
      </c>
      <c r="E126" s="2" t="str">
        <f>IFERROR(__xludf.DUMMYFUNCTION("""COMPUTED_VALUE"""),"iPhone 13, Midnight, 128GB, Logic Board Assy Rear System, ROW")</f>
        <v>iPhone 13, Midnight, 128GB, Logic Board Assy Rear System, ROW</v>
      </c>
      <c r="F126" s="2"/>
      <c r="G126" s="2"/>
      <c r="H126" s="2"/>
      <c r="I126" s="2"/>
      <c r="J126" s="2"/>
      <c r="K126" s="2"/>
      <c r="L126" s="2"/>
      <c r="M126" s="2"/>
      <c r="N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>
      <c r="A127" s="3" t="str">
        <f t="shared" si="1"/>
        <v>January</v>
      </c>
      <c r="B127" s="11">
        <f>IFERROR(__xludf.DUMMYFUNCTION("""COMPUTED_VALUE"""),46046.0)</f>
        <v>46046</v>
      </c>
      <c r="C127" s="2" t="str">
        <f>IFERROR(__xludf.DUMMYFUNCTION("""COMPUTED_VALUE"""),"MOBILECARE - NAGA")</f>
        <v>MOBILECARE - NAGA</v>
      </c>
      <c r="D127" s="2" t="str">
        <f>IFERROR(__xludf.DUMMYFUNCTION("""COMPUTED_VALUE"""),"TA661-36694")</f>
        <v>TA661-36694</v>
      </c>
      <c r="E127" s="2" t="str">
        <f>IFERROR(__xludf.DUMMYFUNCTION("""COMPUTED_VALUE"""),"iPhone 15, Blue, 128GB, Logic Board Assy Mid System, ROW")</f>
        <v>iPhone 15, Blue, 128GB, Logic Board Assy Mid System, ROW</v>
      </c>
      <c r="F127" s="2"/>
      <c r="G127" s="2"/>
      <c r="H127" s="2"/>
      <c r="I127" s="2"/>
      <c r="J127" s="2"/>
      <c r="K127" s="2"/>
      <c r="L127" s="2"/>
      <c r="M127" s="2"/>
      <c r="N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>
      <c r="A128" s="3" t="str">
        <f t="shared" si="1"/>
        <v>January</v>
      </c>
      <c r="B128" s="11">
        <f>IFERROR(__xludf.DUMMYFUNCTION("""COMPUTED_VALUE"""),46037.0)</f>
        <v>46037</v>
      </c>
      <c r="C128" s="2" t="str">
        <f>IFERROR(__xludf.DUMMYFUNCTION("""COMPUTED_VALUE"""),"MOBILECARE - NAGA")</f>
        <v>MOBILECARE - NAGA</v>
      </c>
      <c r="D128" s="2" t="str">
        <f>IFERROR(__xludf.DUMMYFUNCTION("""COMPUTED_VALUE"""),"661-36842")</f>
        <v>661-36842</v>
      </c>
      <c r="E128" s="2" t="str">
        <f>IFERROR(__xludf.DUMMYFUNCTION("""COMPUTED_VALUE"""),"Green, Back Glass, iPhone 15")</f>
        <v>Green, Back Glass, iPhone 15</v>
      </c>
      <c r="F128" s="2"/>
      <c r="G128" s="2"/>
      <c r="H128" s="2"/>
      <c r="I128" s="2"/>
      <c r="J128" s="2"/>
      <c r="K128" s="2"/>
      <c r="L128" s="2"/>
      <c r="M128" s="2"/>
      <c r="N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>
      <c r="A129" s="3" t="str">
        <f t="shared" si="1"/>
        <v>January</v>
      </c>
      <c r="B129" s="11">
        <f>IFERROR(__xludf.DUMMYFUNCTION("""COMPUTED_VALUE"""),46046.0)</f>
        <v>46046</v>
      </c>
      <c r="C129" s="2" t="str">
        <f>IFERROR(__xludf.DUMMYFUNCTION("""COMPUTED_VALUE"""),"MOBILECARE - NAGA")</f>
        <v>MOBILECARE - NAGA</v>
      </c>
      <c r="D129" s="2" t="str">
        <f>IFERROR(__xludf.DUMMYFUNCTION("""COMPUTED_VALUE"""),"PP661-28869")</f>
        <v>PP661-28869</v>
      </c>
      <c r="E129" s="2" t="str">
        <f>IFERROR(__xludf.DUMMYFUNCTION("""COMPUTED_VALUE"""),"iPhone 14, Starlight, 128GB, Logic Board Assy Mid System, ROW")</f>
        <v>iPhone 14, Starlight, 128GB, Logic Board Assy Mid System, ROW</v>
      </c>
      <c r="F129" s="2"/>
      <c r="G129" s="2"/>
      <c r="H129" s="2"/>
      <c r="I129" s="2"/>
      <c r="J129" s="2"/>
      <c r="K129" s="2"/>
      <c r="L129" s="2"/>
      <c r="M129" s="2"/>
      <c r="N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>
      <c r="A130" s="3" t="str">
        <f t="shared" si="1"/>
        <v>January</v>
      </c>
      <c r="B130" s="11">
        <f>IFERROR(__xludf.DUMMYFUNCTION("""COMPUTED_VALUE"""),46049.0)</f>
        <v>46049</v>
      </c>
      <c r="C130" s="2" t="str">
        <f>IFERROR(__xludf.DUMMYFUNCTION("""COMPUTED_VALUE"""),"MOBILECARE - NAGA")</f>
        <v>MOBILECARE - NAGA</v>
      </c>
      <c r="D130" s="2" t="str">
        <f>IFERROR(__xludf.DUMMYFUNCTION("""COMPUTED_VALUE"""),"PP661-23454")</f>
        <v>PP661-23454</v>
      </c>
      <c r="E130" s="2" t="str">
        <f>IFERROR(__xludf.DUMMYFUNCTION("""COMPUTED_VALUE"""),"iPhone 13, Midnight, 128GB, Logic Board Assy Rear System, ROW")</f>
        <v>iPhone 13, Midnight, 128GB, Logic Board Assy Rear System, ROW</v>
      </c>
      <c r="F130" s="2"/>
      <c r="G130" s="2"/>
      <c r="H130" s="2"/>
      <c r="I130" s="2"/>
      <c r="J130" s="2"/>
      <c r="K130" s="2"/>
      <c r="L130" s="2"/>
      <c r="M130" s="2"/>
      <c r="N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>
      <c r="A131" s="3" t="str">
        <f t="shared" si="1"/>
        <v>January</v>
      </c>
      <c r="B131" s="11">
        <f>IFERROR(__xludf.DUMMYFUNCTION("""COMPUTED_VALUE"""),46044.0)</f>
        <v>46044</v>
      </c>
      <c r="C131" s="2" t="str">
        <f>IFERROR(__xludf.DUMMYFUNCTION("""COMPUTED_VALUE"""),"MOBILECARE - NAGA")</f>
        <v>MOBILECARE - NAGA</v>
      </c>
      <c r="D131" s="2" t="str">
        <f>IFERROR(__xludf.DUMMYFUNCTION("""COMPUTED_VALUE"""),"TA661-36691")</f>
        <v>TA661-36691</v>
      </c>
      <c r="E131" s="2" t="str">
        <f>IFERROR(__xludf.DUMMYFUNCTION("""COMPUTED_VALUE"""),"iPhone 15, Black, 128GB, Logic Board Assy Mid System, ROW")</f>
        <v>iPhone 15, Black, 128GB, Logic Board Assy Mid System, ROW</v>
      </c>
      <c r="F131" s="2"/>
      <c r="G131" s="2"/>
      <c r="H131" s="2"/>
      <c r="I131" s="2"/>
      <c r="J131" s="2"/>
      <c r="K131" s="2"/>
      <c r="L131" s="2"/>
      <c r="M131" s="2"/>
      <c r="N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>
      <c r="A132" s="3" t="str">
        <f t="shared" si="1"/>
        <v>January</v>
      </c>
      <c r="B132" s="11">
        <f>IFERROR(__xludf.DUMMYFUNCTION("""COMPUTED_VALUE"""),46042.0)</f>
        <v>46042</v>
      </c>
      <c r="C132" s="2" t="str">
        <f>IFERROR(__xludf.DUMMYFUNCTION("""COMPUTED_VALUE"""),"MOBILECARE - NAGA")</f>
        <v>MOBILECARE - NAGA</v>
      </c>
      <c r="D132" s="2" t="str">
        <f>IFERROR(__xludf.DUMMYFUNCTION("""COMPUTED_VALUE"""),"TA661-43607")</f>
        <v>TA661-43607</v>
      </c>
      <c r="E132" s="2" t="str">
        <f>IFERROR(__xludf.DUMMYFUNCTION("""COMPUTED_VALUE"""),"128GB, Pink, ROW, iPhone 16, Logic Board Assy Mid System")</f>
        <v>128GB, Pink, ROW, iPhone 16, Logic Board Assy Mid System</v>
      </c>
      <c r="F132" s="2"/>
      <c r="G132" s="2"/>
      <c r="H132" s="2"/>
      <c r="I132" s="2"/>
      <c r="J132" s="2"/>
      <c r="K132" s="2"/>
      <c r="L132" s="2"/>
      <c r="M132" s="2"/>
      <c r="N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>
      <c r="A133" s="3" t="str">
        <f t="shared" si="1"/>
        <v>January</v>
      </c>
      <c r="B133" s="11">
        <f>IFERROR(__xludf.DUMMYFUNCTION("""COMPUTED_VALUE"""),46040.0)</f>
        <v>46040</v>
      </c>
      <c r="C133" s="2" t="str">
        <f>IFERROR(__xludf.DUMMYFUNCTION("""COMPUTED_VALUE"""),"MOBILECARE - NAGA")</f>
        <v>MOBILECARE - NAGA</v>
      </c>
      <c r="D133" s="2" t="str">
        <f>IFERROR(__xludf.DUMMYFUNCTION("""COMPUTED_VALUE"""),"TA661-36691")</f>
        <v>TA661-36691</v>
      </c>
      <c r="E133" s="2" t="str">
        <f>IFERROR(__xludf.DUMMYFUNCTION("""COMPUTED_VALUE"""),"iPhone 15, Black, 128GB, Logic Board Assy Mid System, ROW")</f>
        <v>iPhone 15, Black, 128GB, Logic Board Assy Mid System, ROW</v>
      </c>
      <c r="F133" s="2"/>
      <c r="G133" s="2"/>
      <c r="H133" s="2"/>
      <c r="I133" s="2"/>
      <c r="J133" s="2"/>
      <c r="K133" s="2"/>
      <c r="L133" s="2"/>
      <c r="M133" s="2"/>
      <c r="N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>
      <c r="A134" s="3" t="str">
        <f t="shared" si="1"/>
        <v>January</v>
      </c>
      <c r="B134" s="11">
        <f>IFERROR(__xludf.DUMMYFUNCTION("""COMPUTED_VALUE"""),46040.0)</f>
        <v>46040</v>
      </c>
      <c r="C134" s="2" t="str">
        <f>IFERROR(__xludf.DUMMYFUNCTION("""COMPUTED_VALUE"""),"MOBILECARE - NAGA")</f>
        <v>MOBILECARE - NAGA</v>
      </c>
      <c r="D134" s="2" t="str">
        <f>IFERROR(__xludf.DUMMYFUNCTION("""COMPUTED_VALUE"""),"PP661-23455")</f>
        <v>PP661-23455</v>
      </c>
      <c r="E134" s="2" t="str">
        <f>IFERROR(__xludf.DUMMYFUNCTION("""COMPUTED_VALUE"""),"iPhone 13, Starlight, 128GB, Logic Board Assy Rear System, ROW")</f>
        <v>iPhone 13, Starlight, 128GB, Logic Board Assy Rear System, ROW</v>
      </c>
      <c r="F134" s="2"/>
      <c r="G134" s="2"/>
      <c r="H134" s="2"/>
      <c r="I134" s="2"/>
      <c r="J134" s="2"/>
      <c r="K134" s="2"/>
      <c r="L134" s="2"/>
      <c r="M134" s="2"/>
      <c r="N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>
      <c r="A135" s="3" t="str">
        <f t="shared" si="1"/>
        <v>January</v>
      </c>
      <c r="B135" s="11">
        <f>IFERROR(__xludf.DUMMYFUNCTION("""COMPUTED_VALUE"""),46041.0)</f>
        <v>46041</v>
      </c>
      <c r="C135" s="2" t="str">
        <f>IFERROR(__xludf.DUMMYFUNCTION("""COMPUTED_VALUE"""),"MOBILECARE - NAGA")</f>
        <v>MOBILECARE - NAGA</v>
      </c>
      <c r="D135" s="2" t="str">
        <f>IFERROR(__xludf.DUMMYFUNCTION("""COMPUTED_VALUE"""),"TA661-45002")</f>
        <v>TA661-45002</v>
      </c>
      <c r="E135" s="2" t="str">
        <f>IFERROR(__xludf.DUMMYFUNCTION("""COMPUTED_VALUE"""),"256GB, Natural Titanium, ROW, iPhone 16 Pro, Logic Board Assy Mid System")</f>
        <v>256GB, Natural Titanium, ROW, iPhone 16 Pro, Logic Board Assy Mid System</v>
      </c>
      <c r="F135" s="2"/>
      <c r="G135" s="2"/>
      <c r="H135" s="2"/>
      <c r="I135" s="2"/>
      <c r="J135" s="2"/>
      <c r="K135" s="2"/>
      <c r="L135" s="2"/>
      <c r="M135" s="2"/>
      <c r="N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>
      <c r="A136" s="3" t="str">
        <f t="shared" si="1"/>
        <v>January</v>
      </c>
      <c r="B136" s="11">
        <f>IFERROR(__xludf.DUMMYFUNCTION("""COMPUTED_VALUE"""),46028.0)</f>
        <v>46028</v>
      </c>
      <c r="C136" s="2" t="str">
        <f>IFERROR(__xludf.DUMMYFUNCTION("""COMPUTED_VALUE"""),"MOBILECARE - NAGA")</f>
        <v>MOBILECARE - NAGA</v>
      </c>
      <c r="D136" s="2" t="str">
        <f>IFERROR(__xludf.DUMMYFUNCTION("""COMPUTED_VALUE"""),"PP661-23467")</f>
        <v>PP661-23467</v>
      </c>
      <c r="E136" s="2" t="str">
        <f>IFERROR(__xludf.DUMMYFUNCTION("""COMPUTED_VALUE"""),"iPhone 13, Red, 512GB, Logic Board Assy Rear System, ROW")</f>
        <v>iPhone 13, Red, 512GB, Logic Board Assy Rear System, ROW</v>
      </c>
      <c r="F136" s="2"/>
      <c r="G136" s="2"/>
      <c r="H136" s="2"/>
      <c r="I136" s="2"/>
      <c r="J136" s="2"/>
      <c r="K136" s="2"/>
      <c r="L136" s="2"/>
      <c r="M136" s="2"/>
      <c r="N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>
      <c r="A137" s="3" t="str">
        <f t="shared" si="1"/>
        <v>January</v>
      </c>
      <c r="B137" s="11">
        <f>IFERROR(__xludf.DUMMYFUNCTION("""COMPUTED_VALUE"""),46025.0)</f>
        <v>46025</v>
      </c>
      <c r="C137" s="2" t="str">
        <f>IFERROR(__xludf.DUMMYFUNCTION("""COMPUTED_VALUE"""),"MOBILECARE - NAGA")</f>
        <v>MOBILECARE - NAGA</v>
      </c>
      <c r="D137" s="2" t="str">
        <f>IFERROR(__xludf.DUMMYFUNCTION("""COMPUTED_VALUE"""),"PP661-28869")</f>
        <v>PP661-28869</v>
      </c>
      <c r="E137" s="2" t="str">
        <f>IFERROR(__xludf.DUMMYFUNCTION("""COMPUTED_VALUE"""),"iPhone 14, Starlight, 128GB, Logic Board Assy Mid System, ROW")</f>
        <v>iPhone 14, Starlight, 128GB, Logic Board Assy Mid System, ROW</v>
      </c>
      <c r="F137" s="2"/>
      <c r="G137" s="2"/>
      <c r="H137" s="2"/>
      <c r="I137" s="2"/>
      <c r="J137" s="2"/>
      <c r="K137" s="2"/>
      <c r="L137" s="2"/>
      <c r="M137" s="2"/>
      <c r="N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>
      <c r="A138" s="3" t="str">
        <f t="shared" si="1"/>
        <v>January</v>
      </c>
      <c r="B138" s="11">
        <f>IFERROR(__xludf.DUMMYFUNCTION("""COMPUTED_VALUE"""),46042.0)</f>
        <v>46042</v>
      </c>
      <c r="C138" s="2" t="str">
        <f>IFERROR(__xludf.DUMMYFUNCTION("""COMPUTED_VALUE"""),"MOBILECARE - NAGA")</f>
        <v>MOBILECARE - NAGA</v>
      </c>
      <c r="D138" s="2" t="str">
        <f>IFERROR(__xludf.DUMMYFUNCTION("""COMPUTED_VALUE"""),"PP661-23454")</f>
        <v>PP661-23454</v>
      </c>
      <c r="E138" s="2" t="str">
        <f>IFERROR(__xludf.DUMMYFUNCTION("""COMPUTED_VALUE"""),"iPhone 13, Midnight, 128GB, Logic Board Assy Rear System, ROW")</f>
        <v>iPhone 13, Midnight, 128GB, Logic Board Assy Rear System, ROW</v>
      </c>
      <c r="F138" s="2"/>
      <c r="G138" s="2"/>
      <c r="H138" s="2"/>
      <c r="I138" s="2"/>
      <c r="J138" s="2"/>
      <c r="K138" s="2"/>
      <c r="L138" s="2"/>
      <c r="M138" s="2"/>
      <c r="N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>
      <c r="A139" s="3" t="str">
        <f t="shared" si="1"/>
        <v>January</v>
      </c>
      <c r="B139" s="11">
        <f>IFERROR(__xludf.DUMMYFUNCTION("""COMPUTED_VALUE"""),46042.0)</f>
        <v>46042</v>
      </c>
      <c r="C139" s="2" t="str">
        <f>IFERROR(__xludf.DUMMYFUNCTION("""COMPUTED_VALUE"""),"MOBILECARE - NAGA")</f>
        <v>MOBILECARE - NAGA</v>
      </c>
      <c r="D139" s="2" t="str">
        <f>IFERROR(__xludf.DUMMYFUNCTION("""COMPUTED_VALUE"""),"PP661-23454")</f>
        <v>PP661-23454</v>
      </c>
      <c r="E139" s="2" t="str">
        <f>IFERROR(__xludf.DUMMYFUNCTION("""COMPUTED_VALUE"""),"iPhone 13, Midnight, 128GB, Logic Board Assy Rear System, ROW")</f>
        <v>iPhone 13, Midnight, 128GB, Logic Board Assy Rear System, ROW</v>
      </c>
      <c r="F139" s="2"/>
      <c r="G139" s="2"/>
      <c r="H139" s="2"/>
      <c r="I139" s="2"/>
      <c r="J139" s="2"/>
      <c r="K139" s="2"/>
      <c r="L139" s="2"/>
      <c r="M139" s="2"/>
      <c r="N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>
      <c r="A140" s="3" t="str">
        <f t="shared" si="1"/>
        <v>January</v>
      </c>
      <c r="B140" s="11">
        <f>IFERROR(__xludf.DUMMYFUNCTION("""COMPUTED_VALUE"""),46030.0)</f>
        <v>46030</v>
      </c>
      <c r="C140" s="2" t="str">
        <f>IFERROR(__xludf.DUMMYFUNCTION("""COMPUTED_VALUE"""),"MOBILECARE - NAGA")</f>
        <v>MOBILECARE - NAGA</v>
      </c>
      <c r="D140" s="2" t="str">
        <f>IFERROR(__xludf.DUMMYFUNCTION("""COMPUTED_VALUE"""),"PP661-23455")</f>
        <v>PP661-23455</v>
      </c>
      <c r="E140" s="2" t="str">
        <f>IFERROR(__xludf.DUMMYFUNCTION("""COMPUTED_VALUE"""),"iPhone 13, Starlight, 128GB, Logic Board Assy Rear System, ROW")</f>
        <v>iPhone 13, Starlight, 128GB, Logic Board Assy Rear System, ROW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>
      <c r="A141" s="3" t="str">
        <f t="shared" si="1"/>
        <v>January</v>
      </c>
      <c r="B141" s="11">
        <f>IFERROR(__xludf.DUMMYFUNCTION("""COMPUTED_VALUE"""),46024.0)</f>
        <v>46024</v>
      </c>
      <c r="C141" s="2" t="str">
        <f>IFERROR(__xludf.DUMMYFUNCTION("""COMPUTED_VALUE"""),"MOBILECARE - NAGA")</f>
        <v>MOBILECARE - NAGA</v>
      </c>
      <c r="D141" s="2" t="str">
        <f>IFERROR(__xludf.DUMMYFUNCTION("""COMPUTED_VALUE"""),"PP661-23454")</f>
        <v>PP661-23454</v>
      </c>
      <c r="E141" s="2" t="str">
        <f>IFERROR(__xludf.DUMMYFUNCTION("""COMPUTED_VALUE"""),"iPhone 13, Midnight, 128GB, Logic Board Assy Rear System, ROW")</f>
        <v>iPhone 13, Midnight, 128GB, Logic Board Assy Rear System, ROW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>
      <c r="A142" s="3" t="str">
        <f t="shared" si="1"/>
        <v>January</v>
      </c>
      <c r="B142" s="11">
        <f>IFERROR(__xludf.DUMMYFUNCTION("""COMPUTED_VALUE"""),46024.0)</f>
        <v>46024</v>
      </c>
      <c r="C142" s="2" t="str">
        <f>IFERROR(__xludf.DUMMYFUNCTION("""COMPUTED_VALUE"""),"MOBILECARE - NAGA")</f>
        <v>MOBILECARE - NAGA</v>
      </c>
      <c r="D142" s="2" t="str">
        <f>IFERROR(__xludf.DUMMYFUNCTION("""COMPUTED_VALUE"""),"TA661-43611")</f>
        <v>TA661-43611</v>
      </c>
      <c r="E142" s="2" t="str">
        <f>IFERROR(__xludf.DUMMYFUNCTION("""COMPUTED_VALUE"""),"256GB, White, ROW, iPhone 16, Logic Board Assy Mid System")</f>
        <v>256GB, White, ROW, iPhone 16, Logic Board Assy Mid System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>
      <c r="A143" s="3" t="str">
        <f t="shared" si="1"/>
        <v>January</v>
      </c>
      <c r="B143" s="11">
        <f>IFERROR(__xludf.DUMMYFUNCTION("""COMPUTED_VALUE"""),46025.0)</f>
        <v>46025</v>
      </c>
      <c r="C143" s="2" t="str">
        <f>IFERROR(__xludf.DUMMYFUNCTION("""COMPUTED_VALUE"""),"MOBILECARE - NAGA")</f>
        <v>MOBILECARE - NAGA</v>
      </c>
      <c r="D143" s="2" t="str">
        <f>IFERROR(__xludf.DUMMYFUNCTION("""COMPUTED_VALUE"""),"PP661-23455")</f>
        <v>PP661-23455</v>
      </c>
      <c r="E143" s="2" t="str">
        <f>IFERROR(__xludf.DUMMYFUNCTION("""COMPUTED_VALUE"""),"iPhone 13, Starlight, 128GB, Logic Board Assy Rear System, ROW")</f>
        <v>iPhone 13, Starlight, 128GB, Logic Board Assy Rear System, ROW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>
      <c r="A144" s="3" t="str">
        <f t="shared" si="1"/>
        <v>February</v>
      </c>
      <c r="B144" s="11">
        <f>IFERROR(__xludf.DUMMYFUNCTION("""COMPUTED_VALUE"""),46078.0)</f>
        <v>46078</v>
      </c>
      <c r="C144" s="2" t="str">
        <f>IFERROR(__xludf.DUMMYFUNCTION("""COMPUTED_VALUE"""),"MOBILECARE - LIMA ESTATE")</f>
        <v>MOBILECARE - LIMA ESTATE</v>
      </c>
      <c r="D144" s="2" t="str">
        <f>IFERROR(__xludf.DUMMYFUNCTION("""COMPUTED_VALUE"""),"PP661-23454")</f>
        <v>PP661-23454</v>
      </c>
      <c r="E144" s="2" t="str">
        <f>IFERROR(__xludf.DUMMYFUNCTION("""COMPUTED_VALUE"""),"iPhone 13, Midnight, 128GB, Logic Board Assy Rear System, ROW")</f>
        <v>iPhone 13, Midnight, 128GB, Logic Board Assy Rear System, ROW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>
      <c r="A145" s="3" t="str">
        <f t="shared" si="1"/>
        <v>January</v>
      </c>
      <c r="B145" s="11">
        <f>IFERROR(__xludf.DUMMYFUNCTION("""COMPUTED_VALUE"""),46053.0)</f>
        <v>46053</v>
      </c>
      <c r="C145" s="2" t="str">
        <f>IFERROR(__xludf.DUMMYFUNCTION("""COMPUTED_VALUE"""),"MOBILECARE - LIMA ESTATE")</f>
        <v>MOBILECARE - LIMA ESTATE</v>
      </c>
      <c r="D145" s="2" t="str">
        <f>IFERROR(__xludf.DUMMYFUNCTION("""COMPUTED_VALUE"""),"PP661-23454")</f>
        <v>PP661-23454</v>
      </c>
      <c r="E145" s="2" t="str">
        <f>IFERROR(__xludf.DUMMYFUNCTION("""COMPUTED_VALUE"""),"iPhone 13, Midnight, 128GB, Logic Board Assy Rear System, ROW")</f>
        <v>iPhone 13, Midnight, 128GB, Logic Board Assy Rear System, ROW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>
      <c r="A146" s="3" t="str">
        <f t="shared" si="1"/>
        <v>January</v>
      </c>
      <c r="B146" s="11">
        <f>IFERROR(__xludf.DUMMYFUNCTION("""COMPUTED_VALUE"""),46040.0)</f>
        <v>46040</v>
      </c>
      <c r="C146" s="2" t="str">
        <f>IFERROR(__xludf.DUMMYFUNCTION("""COMPUTED_VALUE"""),"MOBILECARE - LIMA ESTATE")</f>
        <v>MOBILECARE - LIMA ESTATE</v>
      </c>
      <c r="D146" s="2" t="str">
        <f>IFERROR(__xludf.DUMMYFUNCTION("""COMPUTED_VALUE"""),"661-42723")</f>
        <v>661-42723</v>
      </c>
      <c r="E146" s="2" t="str">
        <f>IFERROR(__xludf.DUMMYFUNCTION("""COMPUTED_VALUE"""),"White Titanium, Back Glass, iPhone 16 Pro")</f>
        <v>White Titanium, Back Glass, iPhone 16 Pro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>
      <c r="A147" s="3" t="str">
        <f t="shared" si="1"/>
        <v>January</v>
      </c>
      <c r="B147" s="11">
        <f>IFERROR(__xludf.DUMMYFUNCTION("""COMPUTED_VALUE"""),46046.0)</f>
        <v>46046</v>
      </c>
      <c r="C147" s="2" t="str">
        <f>IFERROR(__xludf.DUMMYFUNCTION("""COMPUTED_VALUE"""),"MOBILECARE - LIMA ESTATE")</f>
        <v>MOBILECARE - LIMA ESTATE</v>
      </c>
      <c r="D147" s="2" t="str">
        <f>IFERROR(__xludf.DUMMYFUNCTION("""COMPUTED_VALUE"""),"PP661-23455")</f>
        <v>PP661-23455</v>
      </c>
      <c r="E147" s="2" t="str">
        <f>IFERROR(__xludf.DUMMYFUNCTION("""COMPUTED_VALUE"""),"iPhone 13, Starlight, 128GB, Logic Board Assy Rear System, ROW")</f>
        <v>iPhone 13, Starlight, 128GB, Logic Board Assy Rear System, ROW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>
      <c r="A148" s="3" t="str">
        <f t="shared" si="1"/>
        <v>January</v>
      </c>
      <c r="B148" s="11">
        <f>IFERROR(__xludf.DUMMYFUNCTION("""COMPUTED_VALUE"""),46044.0)</f>
        <v>46044</v>
      </c>
      <c r="C148" s="2" t="str">
        <f>IFERROR(__xludf.DUMMYFUNCTION("""COMPUTED_VALUE"""),"MOBILECARE - LIMA ESTATE")</f>
        <v>MOBILECARE - LIMA ESTATE</v>
      </c>
      <c r="D148" s="2" t="str">
        <f>IFERROR(__xludf.DUMMYFUNCTION("""COMPUTED_VALUE"""),"TA661-45233")</f>
        <v>TA661-45233</v>
      </c>
      <c r="E148" s="2" t="str">
        <f>IFERROR(__xludf.DUMMYFUNCTION("""COMPUTED_VALUE"""),"128GB, Pink, ROW, iPhone 16 Plus, Logic Board Assy Mid System")</f>
        <v>128GB, Pink, ROW, iPhone 16 Plus, Logic Board Assy Mid System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>
      <c r="A149" s="3" t="str">
        <f t="shared" si="1"/>
        <v>January</v>
      </c>
      <c r="B149" s="11">
        <f>IFERROR(__xludf.DUMMYFUNCTION("""COMPUTED_VALUE"""),46045.0)</f>
        <v>46045</v>
      </c>
      <c r="C149" s="2" t="str">
        <f>IFERROR(__xludf.DUMMYFUNCTION("""COMPUTED_VALUE"""),"MOBILECARE - LIMA ESTATE")</f>
        <v>MOBILECARE - LIMA ESTATE</v>
      </c>
      <c r="D149" s="2" t="str">
        <f>IFERROR(__xludf.DUMMYFUNCTION("""COMPUTED_VALUE"""),"TA661-43606")</f>
        <v>TA661-43606</v>
      </c>
      <c r="E149" s="2" t="str">
        <f>IFERROR(__xludf.DUMMYFUNCTION("""COMPUTED_VALUE"""),"128GB, White, ROW, iPhone 16, Logic Board Assy Mid System")</f>
        <v>128GB, White, ROW, iPhone 16, Logic Board Assy Mid System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>
      <c r="A150" s="3" t="str">
        <f t="shared" si="1"/>
        <v>January</v>
      </c>
      <c r="B150" s="11">
        <f>IFERROR(__xludf.DUMMYFUNCTION("""COMPUTED_VALUE"""),46045.0)</f>
        <v>46045</v>
      </c>
      <c r="C150" s="2" t="str">
        <f>IFERROR(__xludf.DUMMYFUNCTION("""COMPUTED_VALUE"""),"MOBILECARE - LIMA ESTATE")</f>
        <v>MOBILECARE - LIMA ESTATE</v>
      </c>
      <c r="D150" s="2" t="str">
        <f>IFERROR(__xludf.DUMMYFUNCTION("""COMPUTED_VALUE"""),"PP661-23454")</f>
        <v>PP661-23454</v>
      </c>
      <c r="E150" s="2" t="str">
        <f>IFERROR(__xludf.DUMMYFUNCTION("""COMPUTED_VALUE"""),"iPhone 13, Midnight, 128GB, Logic Board Assy Rear System, ROW")</f>
        <v>iPhone 13, Midnight, 128GB, Logic Board Assy Rear System, ROW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>
      <c r="A151" s="3" t="str">
        <f t="shared" si="1"/>
        <v>January</v>
      </c>
      <c r="B151" s="11">
        <f>IFERROR(__xludf.DUMMYFUNCTION("""COMPUTED_VALUE"""),46043.0)</f>
        <v>46043</v>
      </c>
      <c r="C151" s="2" t="str">
        <f>IFERROR(__xludf.DUMMYFUNCTION("""COMPUTED_VALUE"""),"MOBILECARE - LIMA ESTATE")</f>
        <v>MOBILECARE - LIMA ESTATE</v>
      </c>
      <c r="D151" s="2" t="str">
        <f>IFERROR(__xludf.DUMMYFUNCTION("""COMPUTED_VALUE"""),"TA661-36692")</f>
        <v>TA661-36692</v>
      </c>
      <c r="E151" s="2" t="str">
        <f>IFERROR(__xludf.DUMMYFUNCTION("""COMPUTED_VALUE"""),"iPhone 15, Pink, 128GB, Logic Board Assy Mid System, ROW")</f>
        <v>iPhone 15, Pink, 128GB, Logic Board Assy Mid System, ROW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>
      <c r="A152" s="3" t="str">
        <f t="shared" si="1"/>
        <v>January</v>
      </c>
      <c r="B152" s="11">
        <f>IFERROR(__xludf.DUMMYFUNCTION("""COMPUTED_VALUE"""),46031.0)</f>
        <v>46031</v>
      </c>
      <c r="C152" s="2" t="str">
        <f>IFERROR(__xludf.DUMMYFUNCTION("""COMPUTED_VALUE"""),"MOBILECARE - LIMA ESTATE")</f>
        <v>MOBILECARE - LIMA ESTATE</v>
      </c>
      <c r="D152" s="2" t="str">
        <f>IFERROR(__xludf.DUMMYFUNCTION("""COMPUTED_VALUE"""),"661-35703")</f>
        <v>661-35703</v>
      </c>
      <c r="E152" s="2" t="str">
        <f>IFERROR(__xludf.DUMMYFUNCTION("""COMPUTED_VALUE"""),"Blue Titanium, Back Glass, iPhone 15 Pro")</f>
        <v>Blue Titanium, Back Glass, iPhone 15 Pro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>
      <c r="A153" s="3" t="str">
        <f t="shared" si="1"/>
        <v>January</v>
      </c>
      <c r="B153" s="11">
        <f>IFERROR(__xludf.DUMMYFUNCTION("""COMPUTED_VALUE"""),46044.0)</f>
        <v>46044</v>
      </c>
      <c r="C153" s="2" t="str">
        <f>IFERROR(__xludf.DUMMYFUNCTION("""COMPUTED_VALUE"""),"MOBILECARE - LIMA ESTATE")</f>
        <v>MOBILECARE - LIMA ESTATE</v>
      </c>
      <c r="D153" s="2" t="str">
        <f>IFERROR(__xludf.DUMMYFUNCTION("""COMPUTED_VALUE"""),"TA661-43606")</f>
        <v>TA661-43606</v>
      </c>
      <c r="E153" s="2" t="str">
        <f>IFERROR(__xludf.DUMMYFUNCTION("""COMPUTED_VALUE"""),"128GB, White, ROW, iPhone 16, Logic Board Assy Mid System")</f>
        <v>128GB, White, ROW, iPhone 16, Logic Board Assy Mid System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>
      <c r="A154" s="3" t="str">
        <f t="shared" si="1"/>
        <v>January</v>
      </c>
      <c r="B154" s="11">
        <f>IFERROR(__xludf.DUMMYFUNCTION("""COMPUTED_VALUE"""),46046.0)</f>
        <v>46046</v>
      </c>
      <c r="C154" s="2" t="str">
        <f>IFERROR(__xludf.DUMMYFUNCTION("""COMPUTED_VALUE"""),"MOBILECARE - LIMA ESTATE")</f>
        <v>MOBILECARE - LIMA ESTATE</v>
      </c>
      <c r="D154" s="2" t="str">
        <f>IFERROR(__xludf.DUMMYFUNCTION("""COMPUTED_VALUE"""),"PP661-23455")</f>
        <v>PP661-23455</v>
      </c>
      <c r="E154" s="2" t="str">
        <f>IFERROR(__xludf.DUMMYFUNCTION("""COMPUTED_VALUE"""),"iPhone 13, Starlight, 128GB, Logic Board Assy Rear System, ROW")</f>
        <v>iPhone 13, Starlight, 128GB, Logic Board Assy Rear System, ROW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>
      <c r="A155" s="3" t="str">
        <f t="shared" si="1"/>
        <v>January</v>
      </c>
      <c r="B155" s="11">
        <f>IFERROR(__xludf.DUMMYFUNCTION("""COMPUTED_VALUE"""),46039.0)</f>
        <v>46039</v>
      </c>
      <c r="C155" s="2" t="str">
        <f>IFERROR(__xludf.DUMMYFUNCTION("""COMPUTED_VALUE"""),"MOBILECARE - LIMA ESTATE")</f>
        <v>MOBILECARE - LIMA ESTATE</v>
      </c>
      <c r="D155" s="2" t="str">
        <f>IFERROR(__xludf.DUMMYFUNCTION("""COMPUTED_VALUE"""),"TA661-43612")</f>
        <v>TA661-43612</v>
      </c>
      <c r="E155" s="2" t="str">
        <f>IFERROR(__xludf.DUMMYFUNCTION("""COMPUTED_VALUE"""),"256GB, Pink, ROW, iPhone 16, Logic Board Assy Mid System")</f>
        <v>256GB, Pink, ROW, iPhone 16, Logic Board Assy Mid System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>
      <c r="A156" s="3" t="str">
        <f t="shared" si="1"/>
        <v>January</v>
      </c>
      <c r="B156" s="11">
        <f>IFERROR(__xludf.DUMMYFUNCTION("""COMPUTED_VALUE"""),46039.0)</f>
        <v>46039</v>
      </c>
      <c r="C156" s="2" t="str">
        <f>IFERROR(__xludf.DUMMYFUNCTION("""COMPUTED_VALUE"""),"MOBILECARE - LIMA ESTATE")</f>
        <v>MOBILECARE - LIMA ESTATE</v>
      </c>
      <c r="D156" s="2" t="str">
        <f>IFERROR(__xludf.DUMMYFUNCTION("""COMPUTED_VALUE"""),"PP661-23454")</f>
        <v>PP661-23454</v>
      </c>
      <c r="E156" s="2" t="str">
        <f>IFERROR(__xludf.DUMMYFUNCTION("""COMPUTED_VALUE"""),"iPhone 13, Midnight, 128GB, Logic Board Assy Rear System, ROW")</f>
        <v>iPhone 13, Midnight, 128GB, Logic Board Assy Rear System, ROW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>
      <c r="A157" s="3" t="str">
        <f t="shared" si="1"/>
        <v>January</v>
      </c>
      <c r="B157" s="11">
        <f>IFERROR(__xludf.DUMMYFUNCTION("""COMPUTED_VALUE"""),46026.0)</f>
        <v>46026</v>
      </c>
      <c r="C157" s="2" t="str">
        <f>IFERROR(__xludf.DUMMYFUNCTION("""COMPUTED_VALUE"""),"MOBILECARE - LIMA ESTATE")</f>
        <v>MOBILECARE - LIMA ESTATE</v>
      </c>
      <c r="D157" s="2" t="str">
        <f>IFERROR(__xludf.DUMMYFUNCTION("""COMPUTED_VALUE"""),"661-36838")</f>
        <v>661-36838</v>
      </c>
      <c r="E157" s="2" t="str">
        <f>IFERROR(__xludf.DUMMYFUNCTION("""COMPUTED_VALUE"""),"Black, Back Glass, iPhone 15")</f>
        <v>Black, Back Glass, iPhone 15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>
      <c r="A158" s="3" t="str">
        <f t="shared" si="1"/>
        <v>January</v>
      </c>
      <c r="B158" s="11">
        <f>IFERROR(__xludf.DUMMYFUNCTION("""COMPUTED_VALUE"""),46026.0)</f>
        <v>46026</v>
      </c>
      <c r="C158" s="2" t="str">
        <f>IFERROR(__xludf.DUMMYFUNCTION("""COMPUTED_VALUE"""),"MOBILECARE - LIMA ESTATE")</f>
        <v>MOBILECARE - LIMA ESTATE</v>
      </c>
      <c r="D158" s="2" t="str">
        <f>IFERROR(__xludf.DUMMYFUNCTION("""COMPUTED_VALUE"""),"TA661-45238")</f>
        <v>TA661-45238</v>
      </c>
      <c r="E158" s="2" t="str">
        <f>IFERROR(__xludf.DUMMYFUNCTION("""COMPUTED_VALUE"""),"256GB, Pink, ROW, iPhone 16 Plus, Logic Board Assy Mid System")</f>
        <v>256GB, Pink, ROW, iPhone 16 Plus, Logic Board Assy Mid System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>
      <c r="A159" s="3" t="str">
        <f t="shared" si="1"/>
        <v>January</v>
      </c>
      <c r="B159" s="11">
        <f>IFERROR(__xludf.DUMMYFUNCTION("""COMPUTED_VALUE"""),46024.0)</f>
        <v>46024</v>
      </c>
      <c r="C159" s="2" t="str">
        <f>IFERROR(__xludf.DUMMYFUNCTION("""COMPUTED_VALUE"""),"MOBILECARE - LIMA ESTATE")</f>
        <v>MOBILECARE - LIMA ESTATE</v>
      </c>
      <c r="D159" s="2" t="str">
        <f>IFERROR(__xludf.DUMMYFUNCTION("""COMPUTED_VALUE"""),"PP661-23455")</f>
        <v>PP661-23455</v>
      </c>
      <c r="E159" s="2" t="str">
        <f>IFERROR(__xludf.DUMMYFUNCTION("""COMPUTED_VALUE"""),"iPhone 13, Starlight, 128GB, Logic Board Assy Rear System, ROW")</f>
        <v>iPhone 13, Starlight, 128GB, Logic Board Assy Rear System, ROW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>
      <c r="A160" s="3" t="str">
        <f t="shared" si="1"/>
        <v>January</v>
      </c>
      <c r="B160" s="11">
        <f>IFERROR(__xludf.DUMMYFUNCTION("""COMPUTED_VALUE"""),46026.0)</f>
        <v>46026</v>
      </c>
      <c r="C160" s="2" t="str">
        <f>IFERROR(__xludf.DUMMYFUNCTION("""COMPUTED_VALUE"""),"MOBILECARE - LIMA ESTATE")</f>
        <v>MOBILECARE - LIMA ESTATE</v>
      </c>
      <c r="D160" s="2" t="str">
        <f>IFERROR(__xludf.DUMMYFUNCTION("""COMPUTED_VALUE"""),"PP661-23455")</f>
        <v>PP661-23455</v>
      </c>
      <c r="E160" s="2" t="str">
        <f>IFERROR(__xludf.DUMMYFUNCTION("""COMPUTED_VALUE"""),"iPhone 13, Starlight, 128GB, Logic Board Assy Rear System, ROW")</f>
        <v>iPhone 13, Starlight, 128GB, Logic Board Assy Rear System, ROW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>
      <c r="A161" s="3" t="str">
        <f t="shared" si="1"/>
        <v>January</v>
      </c>
      <c r="B161" s="11">
        <f>IFERROR(__xludf.DUMMYFUNCTION("""COMPUTED_VALUE"""),46024.0)</f>
        <v>46024</v>
      </c>
      <c r="C161" s="2" t="str">
        <f>IFERROR(__xludf.DUMMYFUNCTION("""COMPUTED_VALUE"""),"MOBILECARE - LIMA ESTATE")</f>
        <v>MOBILECARE - LIMA ESTATE</v>
      </c>
      <c r="D161" s="2" t="str">
        <f>IFERROR(__xludf.DUMMYFUNCTION("""COMPUTED_VALUE"""),"PP661-23454")</f>
        <v>PP661-23454</v>
      </c>
      <c r="E161" s="2" t="str">
        <f>IFERROR(__xludf.DUMMYFUNCTION("""COMPUTED_VALUE"""),"iPhone 13, Midnight, 128GB, Logic Board Assy Rear System, ROW")</f>
        <v>iPhone 13, Midnight, 128GB, Logic Board Assy Rear System, ROW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>
      <c r="A162" s="3" t="str">
        <f t="shared" si="1"/>
        <v>January</v>
      </c>
      <c r="B162" s="11">
        <f>IFERROR(__xludf.DUMMYFUNCTION("""COMPUTED_VALUE"""),46024.0)</f>
        <v>46024</v>
      </c>
      <c r="C162" s="2" t="str">
        <f>IFERROR(__xludf.DUMMYFUNCTION("""COMPUTED_VALUE"""),"MOBILECARE - LIMA ESTATE")</f>
        <v>MOBILECARE - LIMA ESTATE</v>
      </c>
      <c r="D162" s="2" t="str">
        <f>IFERROR(__xludf.DUMMYFUNCTION("""COMPUTED_VALUE"""),"PP661-23454")</f>
        <v>PP661-23454</v>
      </c>
      <c r="E162" s="2" t="str">
        <f>IFERROR(__xludf.DUMMYFUNCTION("""COMPUTED_VALUE"""),"iPhone 13, Midnight, 128GB, Logic Board Assy Rear System, ROW")</f>
        <v>iPhone 13, Midnight, 128GB, Logic Board Assy Rear System, ROW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>
      <c r="A163" s="3" t="str">
        <f t="shared" si="1"/>
        <v>January</v>
      </c>
      <c r="B163" s="11">
        <f>IFERROR(__xludf.DUMMYFUNCTION("""COMPUTED_VALUE"""),46029.0)</f>
        <v>46029</v>
      </c>
      <c r="C163" s="2" t="str">
        <f>IFERROR(__xludf.DUMMYFUNCTION("""COMPUTED_VALUE"""),"MOBILECARE - LIMA ESTATE")</f>
        <v>MOBILECARE - LIMA ESTATE</v>
      </c>
      <c r="D163" s="2" t="str">
        <f>IFERROR(__xludf.DUMMYFUNCTION("""COMPUTED_VALUE"""),"PP661-23455")</f>
        <v>PP661-23455</v>
      </c>
      <c r="E163" s="2" t="str">
        <f>IFERROR(__xludf.DUMMYFUNCTION("""COMPUTED_VALUE"""),"iPhone 13, Starlight, 128GB, Logic Board Assy Rear System, ROW")</f>
        <v>iPhone 13, Starlight, 128GB, Logic Board Assy Rear System, ROW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>
      <c r="A164" s="3" t="str">
        <f t="shared" si="1"/>
        <v>January</v>
      </c>
      <c r="B164" s="11">
        <f>IFERROR(__xludf.DUMMYFUNCTION("""COMPUTED_VALUE"""),46024.0)</f>
        <v>46024</v>
      </c>
      <c r="C164" s="2" t="str">
        <f>IFERROR(__xludf.DUMMYFUNCTION("""COMPUTED_VALUE"""),"MOBILECARE - LIMA ESTATE")</f>
        <v>MOBILECARE - LIMA ESTATE</v>
      </c>
      <c r="D164" s="2" t="str">
        <f>IFERROR(__xludf.DUMMYFUNCTION("""COMPUTED_VALUE"""),"TA661-36691")</f>
        <v>TA661-36691</v>
      </c>
      <c r="E164" s="2" t="str">
        <f>IFERROR(__xludf.DUMMYFUNCTION("""COMPUTED_VALUE"""),"iPhone 15, Black, 128GB, Logic Board Assy Mid System, ROW")</f>
        <v>iPhone 15, Black, 128GB, Logic Board Assy Mid System, ROW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>
      <c r="A165" s="3" t="str">
        <f t="shared" si="1"/>
        <v>January</v>
      </c>
      <c r="B165" s="11">
        <f>IFERROR(__xludf.DUMMYFUNCTION("""COMPUTED_VALUE"""),46029.0)</f>
        <v>46029</v>
      </c>
      <c r="C165" s="2" t="str">
        <f>IFERROR(__xludf.DUMMYFUNCTION("""COMPUTED_VALUE"""),"MOBILECARE - LIMA ESTATE")</f>
        <v>MOBILECARE - LIMA ESTATE</v>
      </c>
      <c r="D165" s="2" t="str">
        <f>IFERROR(__xludf.DUMMYFUNCTION("""COMPUTED_VALUE"""),"TA661-45236")</f>
        <v>TA661-45236</v>
      </c>
      <c r="E165" s="2" t="str">
        <f>IFERROR(__xludf.DUMMYFUNCTION("""COMPUTED_VALUE"""),"256GB, Black, ROW, iPhone 16 Plus, Logic Board Assy Mid System")</f>
        <v>256GB, Black, ROW, iPhone 16 Plus, Logic Board Assy Mid System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>
      <c r="A166" s="3" t="str">
        <f t="shared" si="1"/>
        <v>January</v>
      </c>
      <c r="B166" s="11">
        <f>IFERROR(__xludf.DUMMYFUNCTION("""COMPUTED_VALUE"""),46036.0)</f>
        <v>46036</v>
      </c>
      <c r="C166" s="2" t="str">
        <f>IFERROR(__xludf.DUMMYFUNCTION("""COMPUTED_VALUE"""),"MOBILECARE - LIMA ESTATE")</f>
        <v>MOBILECARE - LIMA ESTATE</v>
      </c>
      <c r="D166" s="2" t="str">
        <f>IFERROR(__xludf.DUMMYFUNCTION("""COMPUTED_VALUE"""),"PP661-23454")</f>
        <v>PP661-23454</v>
      </c>
      <c r="E166" s="2" t="str">
        <f>IFERROR(__xludf.DUMMYFUNCTION("""COMPUTED_VALUE"""),"iPhone 13, Midnight, 128GB, Logic Board Assy Rear System, ROW")</f>
        <v>iPhone 13, Midnight, 128GB, Logic Board Assy Rear System, ROW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>
      <c r="A167" s="3" t="str">
        <f t="shared" si="1"/>
        <v>January</v>
      </c>
      <c r="B167" s="11">
        <f>IFERROR(__xludf.DUMMYFUNCTION("""COMPUTED_VALUE"""),46036.0)</f>
        <v>46036</v>
      </c>
      <c r="C167" s="2" t="str">
        <f>IFERROR(__xludf.DUMMYFUNCTION("""COMPUTED_VALUE"""),"MOBILECARE - LIMA ESTATE")</f>
        <v>MOBILECARE - LIMA ESTATE</v>
      </c>
      <c r="D167" s="2" t="str">
        <f>IFERROR(__xludf.DUMMYFUNCTION("""COMPUTED_VALUE"""),"PP661-23454")</f>
        <v>PP661-23454</v>
      </c>
      <c r="E167" s="2" t="str">
        <f>IFERROR(__xludf.DUMMYFUNCTION("""COMPUTED_VALUE"""),"iPhone 13, Midnight, 128GB, Logic Board Assy Rear System, ROW")</f>
        <v>iPhone 13, Midnight, 128GB, Logic Board Assy Rear System, ROW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>
      <c r="A168" s="3" t="str">
        <f t="shared" si="1"/>
        <v>February</v>
      </c>
      <c r="B168" s="11">
        <f>IFERROR(__xludf.DUMMYFUNCTION("""COMPUTED_VALUE"""),46062.0)</f>
        <v>46062</v>
      </c>
      <c r="C168" s="2" t="str">
        <f>IFERROR(__xludf.DUMMYFUNCTION("""COMPUTED_VALUE"""),"MOBILECARE - CAGAYAN DE ORO")</f>
        <v>MOBILECARE - CAGAYAN DE ORO</v>
      </c>
      <c r="D168" s="2" t="str">
        <f>IFERROR(__xludf.DUMMYFUNCTION("""COMPUTED_VALUE"""),"TA661-45001")</f>
        <v>TA661-45001</v>
      </c>
      <c r="E168" s="2" t="str">
        <f>IFERROR(__xludf.DUMMYFUNCTION("""COMPUTED_VALUE"""),"256GB, Desert Titanium, ROW, iPhone 16 Pro, Logic Board Assy Mid System")</f>
        <v>256GB, Desert Titanium, ROW, iPhone 16 Pro, Logic Board Assy Mid System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>
      <c r="A169" s="3" t="str">
        <f t="shared" si="1"/>
        <v>January</v>
      </c>
      <c r="B169" s="11">
        <f>IFERROR(__xludf.DUMMYFUNCTION("""COMPUTED_VALUE"""),46042.0)</f>
        <v>46042</v>
      </c>
      <c r="C169" s="2" t="str">
        <f>IFERROR(__xludf.DUMMYFUNCTION("""COMPUTED_VALUE"""),"MOBILECARE - CAGAYAN DE ORO")</f>
        <v>MOBILECARE - CAGAYAN DE ORO</v>
      </c>
      <c r="D169" s="2" t="str">
        <f>IFERROR(__xludf.DUMMYFUNCTION("""COMPUTED_VALUE"""),"661-42725")</f>
        <v>661-42725</v>
      </c>
      <c r="E169" s="2" t="str">
        <f>IFERROR(__xludf.DUMMYFUNCTION("""COMPUTED_VALUE"""),"Natural Titanium, Back Glass, iPhone 16 Pro")</f>
        <v>Natural Titanium, Back Glass, iPhone 16 Pro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>
      <c r="A170" s="3" t="str">
        <f t="shared" si="1"/>
        <v>January</v>
      </c>
      <c r="B170" s="11">
        <f>IFERROR(__xludf.DUMMYFUNCTION("""COMPUTED_VALUE"""),46050.0)</f>
        <v>46050</v>
      </c>
      <c r="C170" s="2" t="str">
        <f>IFERROR(__xludf.DUMMYFUNCTION("""COMPUTED_VALUE"""),"MOBILECARE - CAGAYAN DE ORO")</f>
        <v>MOBILECARE - CAGAYAN DE ORO</v>
      </c>
      <c r="D170" s="2" t="str">
        <f>IFERROR(__xludf.DUMMYFUNCTION("""COMPUTED_VALUE"""),"PP661-23455")</f>
        <v>PP661-23455</v>
      </c>
      <c r="E170" s="2" t="str">
        <f>IFERROR(__xludf.DUMMYFUNCTION("""COMPUTED_VALUE"""),"iPhone 13, Starlight, 128GB, Logic Board Assy Rear System, ROW")</f>
        <v>iPhone 13, Starlight, 128GB, Logic Board Assy Rear System, ROW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>
      <c r="A171" s="3" t="str">
        <f t="shared" si="1"/>
        <v>January</v>
      </c>
      <c r="B171" s="11">
        <f>IFERROR(__xludf.DUMMYFUNCTION("""COMPUTED_VALUE"""),46047.0)</f>
        <v>46047</v>
      </c>
      <c r="C171" s="2" t="str">
        <f>IFERROR(__xludf.DUMMYFUNCTION("""COMPUTED_VALUE"""),"MOBILECARE - CAGAYAN DE ORO")</f>
        <v>MOBILECARE - CAGAYAN DE ORO</v>
      </c>
      <c r="D171" s="2" t="str">
        <f>IFERROR(__xludf.DUMMYFUNCTION("""COMPUTED_VALUE"""),"TA661-36694")</f>
        <v>TA661-36694</v>
      </c>
      <c r="E171" s="2" t="str">
        <f>IFERROR(__xludf.DUMMYFUNCTION("""COMPUTED_VALUE"""),"iPhone 15, Blue, 128GB, Logic Board Assy Mid System, ROW")</f>
        <v>iPhone 15, Blue, 128GB, Logic Board Assy Mid System, ROW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>
      <c r="A172" s="3" t="str">
        <f t="shared" si="1"/>
        <v>January</v>
      </c>
      <c r="B172" s="11">
        <f>IFERROR(__xludf.DUMMYFUNCTION("""COMPUTED_VALUE"""),46053.0)</f>
        <v>46053</v>
      </c>
      <c r="C172" s="2" t="str">
        <f>IFERROR(__xludf.DUMMYFUNCTION("""COMPUTED_VALUE"""),"MOBILECARE - CAGAYAN DE ORO")</f>
        <v>MOBILECARE - CAGAYAN DE ORO</v>
      </c>
      <c r="D172" s="2" t="str">
        <f>IFERROR(__xludf.DUMMYFUNCTION("""COMPUTED_VALUE"""),"PP661-28874")</f>
        <v>PP661-28874</v>
      </c>
      <c r="E172" s="2" t="str">
        <f>IFERROR(__xludf.DUMMYFUNCTION("""COMPUTED_VALUE"""),"iPhone 14, Starlight, 256GB, Logic Board Assy Mid System, ROW")</f>
        <v>iPhone 14, Starlight, 256GB, Logic Board Assy Mid System, ROW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>
      <c r="A173" s="3" t="str">
        <f t="shared" si="1"/>
        <v>January</v>
      </c>
      <c r="B173" s="11">
        <f>IFERROR(__xludf.DUMMYFUNCTION("""COMPUTED_VALUE"""),46045.0)</f>
        <v>46045</v>
      </c>
      <c r="C173" s="2" t="str">
        <f>IFERROR(__xludf.DUMMYFUNCTION("""COMPUTED_VALUE"""),"MOBILECARE - CAGAYAN DE ORO")</f>
        <v>MOBILECARE - CAGAYAN DE ORO</v>
      </c>
      <c r="D173" s="2" t="str">
        <f>IFERROR(__xludf.DUMMYFUNCTION("""COMPUTED_VALUE"""),"TA661-36692")</f>
        <v>TA661-36692</v>
      </c>
      <c r="E173" s="2" t="str">
        <f>IFERROR(__xludf.DUMMYFUNCTION("""COMPUTED_VALUE"""),"iPhone 15, Pink, 128GB, Logic Board Assy Mid System, ROW")</f>
        <v>iPhone 15, Pink, 128GB, Logic Board Assy Mid System, ROW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>
      <c r="A174" s="3" t="str">
        <f t="shared" si="1"/>
        <v>January</v>
      </c>
      <c r="B174" s="11">
        <f>IFERROR(__xludf.DUMMYFUNCTION("""COMPUTED_VALUE"""),46039.0)</f>
        <v>46039</v>
      </c>
      <c r="C174" s="2" t="str">
        <f>IFERROR(__xludf.DUMMYFUNCTION("""COMPUTED_VALUE"""),"MOBILECARE - CAGAYAN DE ORO")</f>
        <v>MOBILECARE - CAGAYAN DE ORO</v>
      </c>
      <c r="D174" s="2" t="str">
        <f>IFERROR(__xludf.DUMMYFUNCTION("""COMPUTED_VALUE"""),"TA661-36695")</f>
        <v>TA661-36695</v>
      </c>
      <c r="E174" s="2" t="str">
        <f>IFERROR(__xludf.DUMMYFUNCTION("""COMPUTED_VALUE"""),"iPhone 15, Green, 128GB, Logic Board Assy Mid System, ROW")</f>
        <v>iPhone 15, Green, 128GB, Logic Board Assy Mid System, ROW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>
      <c r="A175" s="3" t="str">
        <f t="shared" si="1"/>
        <v>January</v>
      </c>
      <c r="B175" s="11">
        <f>IFERROR(__xludf.DUMMYFUNCTION("""COMPUTED_VALUE"""),46032.0)</f>
        <v>46032</v>
      </c>
      <c r="C175" s="2" t="str">
        <f>IFERROR(__xludf.DUMMYFUNCTION("""COMPUTED_VALUE"""),"MOBILECARE - CAGAYAN DE ORO")</f>
        <v>MOBILECARE - CAGAYAN DE ORO</v>
      </c>
      <c r="D175" s="2" t="str">
        <f>IFERROR(__xludf.DUMMYFUNCTION("""COMPUTED_VALUE"""),"TA661-45000")</f>
        <v>TA661-45000</v>
      </c>
      <c r="E175" s="2" t="str">
        <f>IFERROR(__xludf.DUMMYFUNCTION("""COMPUTED_VALUE"""),"256GB, White Titanium, ROW, iPhone 16 Pro, Logic Board Assy Mid System")</f>
        <v>256GB, White Titanium, ROW, iPhone 16 Pro, Logic Board Assy Mid System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>
      <c r="A176" s="3" t="str">
        <f t="shared" si="1"/>
        <v>January</v>
      </c>
      <c r="B176" s="11">
        <f>IFERROR(__xludf.DUMMYFUNCTION("""COMPUTED_VALUE"""),46029.0)</f>
        <v>46029</v>
      </c>
      <c r="C176" s="2" t="str">
        <f>IFERROR(__xludf.DUMMYFUNCTION("""COMPUTED_VALUE"""),"MOBILECARE - CAGAYAN DE ORO")</f>
        <v>MOBILECARE - CAGAYAN DE ORO</v>
      </c>
      <c r="D176" s="2" t="str">
        <f>IFERROR(__xludf.DUMMYFUNCTION("""COMPUTED_VALUE"""),"PP661-23455")</f>
        <v>PP661-23455</v>
      </c>
      <c r="E176" s="2" t="str">
        <f>IFERROR(__xludf.DUMMYFUNCTION("""COMPUTED_VALUE"""),"iPhone 13, Starlight, 128GB, Logic Board Assy Rear System, ROW")</f>
        <v>iPhone 13, Starlight, 128GB, Logic Board Assy Rear System, ROW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>
      <c r="A177" s="3" t="str">
        <f t="shared" si="1"/>
        <v>January</v>
      </c>
      <c r="B177" s="11">
        <f>IFERROR(__xludf.DUMMYFUNCTION("""COMPUTED_VALUE"""),46026.0)</f>
        <v>46026</v>
      </c>
      <c r="C177" s="2" t="str">
        <f>IFERROR(__xludf.DUMMYFUNCTION("""COMPUTED_VALUE"""),"MOBILECARE - CAGAYAN DE ORO")</f>
        <v>MOBILECARE - CAGAYAN DE ORO</v>
      </c>
      <c r="D177" s="2" t="str">
        <f>IFERROR(__xludf.DUMMYFUNCTION("""COMPUTED_VALUE"""),"PP661-23455")</f>
        <v>PP661-23455</v>
      </c>
      <c r="E177" s="2" t="str">
        <f>IFERROR(__xludf.DUMMYFUNCTION("""COMPUTED_VALUE"""),"iPhone 13, Starlight, 128GB, Logic Board Assy Rear System, ROW")</f>
        <v>iPhone 13, Starlight, 128GB, Logic Board Assy Rear System, ROW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>
      <c r="A178" s="3" t="str">
        <f t="shared" si="1"/>
        <v>January</v>
      </c>
      <c r="B178" s="11">
        <f>IFERROR(__xludf.DUMMYFUNCTION("""COMPUTED_VALUE"""),46033.0)</f>
        <v>46033</v>
      </c>
      <c r="C178" s="2" t="str">
        <f>IFERROR(__xludf.DUMMYFUNCTION("""COMPUTED_VALUE"""),"MOBILECARE - VERTIS NORTH")</f>
        <v>MOBILECARE - VERTIS NORTH</v>
      </c>
      <c r="D178" s="2" t="str">
        <f>IFERROR(__xludf.DUMMYFUNCTION("""COMPUTED_VALUE"""),"661-36909")</f>
        <v>661-36909</v>
      </c>
      <c r="E178" s="2" t="str">
        <f>IFERROR(__xludf.DUMMYFUNCTION("""COMPUTED_VALUE"""),"Natural Titanium, Back Glass, iPhone 15 Pro Max")</f>
        <v>Natural Titanium, Back Glass, iPhone 15 Pro Max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>
      <c r="A179" s="3" t="str">
        <f t="shared" si="1"/>
        <v>January</v>
      </c>
      <c r="B179" s="11">
        <f>IFERROR(__xludf.DUMMYFUNCTION("""COMPUTED_VALUE"""),46048.0)</f>
        <v>46048</v>
      </c>
      <c r="C179" s="2" t="str">
        <f>IFERROR(__xludf.DUMMYFUNCTION("""COMPUTED_VALUE"""),"MOBILECARE - VERTIS NORTH")</f>
        <v>MOBILECARE - VERTIS NORTH</v>
      </c>
      <c r="D179" s="2" t="str">
        <f>IFERROR(__xludf.DUMMYFUNCTION("""COMPUTED_VALUE"""),"661-36838")</f>
        <v>661-36838</v>
      </c>
      <c r="E179" s="2" t="str">
        <f>IFERROR(__xludf.DUMMYFUNCTION("""COMPUTED_VALUE"""),"Black, Back Glass, iPhone 15")</f>
        <v>Black, Back Glass, iPhone 15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>
      <c r="A180" s="3" t="str">
        <f t="shared" si="1"/>
        <v>May</v>
      </c>
      <c r="B180" s="11">
        <f>IFERROR(__xludf.DUMMYFUNCTION("""COMPUTED_VALUE"""),46158.0)</f>
        <v>46158</v>
      </c>
      <c r="C180" s="2" t="str">
        <f>IFERROR(__xludf.DUMMYFUNCTION("""COMPUTED_VALUE"""),"MOBILECARE - LA UNION")</f>
        <v>MOBILECARE - LA UNION</v>
      </c>
      <c r="D180" s="2" t="str">
        <f>IFERROR(__xludf.DUMMYFUNCTION("""COMPUTED_VALUE"""),"661-56054")</f>
        <v>661-56054</v>
      </c>
      <c r="E180" s="2" t="str">
        <f>IFERROR(__xludf.DUMMYFUNCTION("""COMPUTED_VALUE"""),"Cosmic Orange, Back Glass, iPhone 17 Pro Max")</f>
        <v>Cosmic Orange, Back Glass, iPhone 17 Pro Max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>
      <c r="A181" s="3" t="str">
        <f t="shared" si="1"/>
        <v>March</v>
      </c>
      <c r="B181" s="11">
        <f>IFERROR(__xludf.DUMMYFUNCTION("""COMPUTED_VALUE"""),46089.0)</f>
        <v>46089</v>
      </c>
      <c r="C181" s="2" t="str">
        <f>IFERROR(__xludf.DUMMYFUNCTION("""COMPUTED_VALUE"""),"MOBILECARE - LA UNION")</f>
        <v>MOBILECARE - LA UNION</v>
      </c>
      <c r="D181" s="2" t="str">
        <f>IFERROR(__xludf.DUMMYFUNCTION("""COMPUTED_VALUE"""),"TA661-36692")</f>
        <v>TA661-36692</v>
      </c>
      <c r="E181" s="2" t="str">
        <f>IFERROR(__xludf.DUMMYFUNCTION("""COMPUTED_VALUE"""),"iPhone 15, Pink, 128GB, Logic Board Assy Mid System, ROW")</f>
        <v>iPhone 15, Pink, 128GB, Logic Board Assy Mid System, ROW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>
      <c r="A182" s="3" t="str">
        <f t="shared" si="1"/>
        <v>January</v>
      </c>
      <c r="B182" s="11">
        <f>IFERROR(__xludf.DUMMYFUNCTION("""COMPUTED_VALUE"""),46052.0)</f>
        <v>46052</v>
      </c>
      <c r="C182" s="2" t="str">
        <f>IFERROR(__xludf.DUMMYFUNCTION("""COMPUTED_VALUE"""),"MOBILECARE - LA UNION")</f>
        <v>MOBILECARE - LA UNION</v>
      </c>
      <c r="D182" s="2" t="str">
        <f>IFERROR(__xludf.DUMMYFUNCTION("""COMPUTED_VALUE"""),"PP661-23455")</f>
        <v>PP661-23455</v>
      </c>
      <c r="E182" s="2" t="str">
        <f>IFERROR(__xludf.DUMMYFUNCTION("""COMPUTED_VALUE"""),"iPhone 13, Starlight, 128GB, Logic Board Assy Rear System, ROW")</f>
        <v>iPhone 13, Starlight, 128GB, Logic Board Assy Rear System, ROW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>
      <c r="A183" s="3" t="str">
        <f t="shared" si="1"/>
        <v>January</v>
      </c>
      <c r="B183" s="11">
        <f>IFERROR(__xludf.DUMMYFUNCTION("""COMPUTED_VALUE"""),46049.0)</f>
        <v>46049</v>
      </c>
      <c r="C183" s="2" t="str">
        <f>IFERROR(__xludf.DUMMYFUNCTION("""COMPUTED_VALUE"""),"MOBILECARE - LA UNION")</f>
        <v>MOBILECARE - LA UNION</v>
      </c>
      <c r="D183" s="2" t="str">
        <f>IFERROR(__xludf.DUMMYFUNCTION("""COMPUTED_VALUE"""),"PP661-23454")</f>
        <v>PP661-23454</v>
      </c>
      <c r="E183" s="2" t="str">
        <f>IFERROR(__xludf.DUMMYFUNCTION("""COMPUTED_VALUE"""),"iPhone 13, Midnight, 128GB, Logic Board Assy Rear System, ROW")</f>
        <v>iPhone 13, Midnight, 128GB, Logic Board Assy Rear System, ROW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>
      <c r="A184" s="3" t="str">
        <f t="shared" si="1"/>
        <v>January</v>
      </c>
      <c r="B184" s="11">
        <f>IFERROR(__xludf.DUMMYFUNCTION("""COMPUTED_VALUE"""),46049.0)</f>
        <v>46049</v>
      </c>
      <c r="C184" s="2" t="str">
        <f>IFERROR(__xludf.DUMMYFUNCTION("""COMPUTED_VALUE"""),"MOBILECARE - LA UNION")</f>
        <v>MOBILECARE - LA UNION</v>
      </c>
      <c r="D184" s="2" t="str">
        <f>IFERROR(__xludf.DUMMYFUNCTION("""COMPUTED_VALUE"""),"PP661-28868")</f>
        <v>PP661-28868</v>
      </c>
      <c r="E184" s="2" t="str">
        <f>IFERROR(__xludf.DUMMYFUNCTION("""COMPUTED_VALUE"""),"iPhone 14, Midnight, 128GB, Logic Board Assy Mid System, ROW")</f>
        <v>iPhone 14, Midnight, 128GB, Logic Board Assy Mid System, ROW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>
      <c r="A185" s="3" t="str">
        <f t="shared" si="1"/>
        <v>January</v>
      </c>
      <c r="B185" s="11">
        <f>IFERROR(__xludf.DUMMYFUNCTION("""COMPUTED_VALUE"""),46044.0)</f>
        <v>46044</v>
      </c>
      <c r="C185" s="2" t="str">
        <f>IFERROR(__xludf.DUMMYFUNCTION("""COMPUTED_VALUE"""),"MOBILECARE - LA UNION")</f>
        <v>MOBILECARE - LA UNION</v>
      </c>
      <c r="D185" s="2" t="str">
        <f>IFERROR(__xludf.DUMMYFUNCTION("""COMPUTED_VALUE"""),"PP661-23455")</f>
        <v>PP661-23455</v>
      </c>
      <c r="E185" s="2" t="str">
        <f>IFERROR(__xludf.DUMMYFUNCTION("""COMPUTED_VALUE"""),"iPhone 13, Starlight, 128GB, Logic Board Assy Rear System, ROW")</f>
        <v>iPhone 13, Starlight, 128GB, Logic Board Assy Rear System, ROW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>
      <c r="A186" s="3" t="str">
        <f t="shared" si="1"/>
        <v>January</v>
      </c>
      <c r="B186" s="11">
        <f>IFERROR(__xludf.DUMMYFUNCTION("""COMPUTED_VALUE"""),46042.0)</f>
        <v>46042</v>
      </c>
      <c r="C186" s="2" t="str">
        <f>IFERROR(__xludf.DUMMYFUNCTION("""COMPUTED_VALUE"""),"MOBILECARE - LA UNION")</f>
        <v>MOBILECARE - LA UNION</v>
      </c>
      <c r="D186" s="2" t="str">
        <f>IFERROR(__xludf.DUMMYFUNCTION("""COMPUTED_VALUE"""),"PP661-23455")</f>
        <v>PP661-23455</v>
      </c>
      <c r="E186" s="2" t="str">
        <f>IFERROR(__xludf.DUMMYFUNCTION("""COMPUTED_VALUE"""),"iPhone 13, Starlight, 128GB, Logic Board Assy Rear System, ROW")</f>
        <v>iPhone 13, Starlight, 128GB, Logic Board Assy Rear System, ROW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>
      <c r="A187" s="3" t="str">
        <f t="shared" si="1"/>
        <v>January</v>
      </c>
      <c r="B187" s="11">
        <f>IFERROR(__xludf.DUMMYFUNCTION("""COMPUTED_VALUE"""),46043.0)</f>
        <v>46043</v>
      </c>
      <c r="C187" s="2" t="str">
        <f>IFERROR(__xludf.DUMMYFUNCTION("""COMPUTED_VALUE"""),"MOBILECARE - LA UNION")</f>
        <v>MOBILECARE - LA UNION</v>
      </c>
      <c r="D187" s="2" t="str">
        <f>IFERROR(__xludf.DUMMYFUNCTION("""COMPUTED_VALUE"""),"PP661-23455")</f>
        <v>PP661-23455</v>
      </c>
      <c r="E187" s="2" t="str">
        <f>IFERROR(__xludf.DUMMYFUNCTION("""COMPUTED_VALUE"""),"iPhone 13, Starlight, 128GB, Logic Board Assy Rear System, ROW")</f>
        <v>iPhone 13, Starlight, 128GB, Logic Board Assy Rear System, ROW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>
      <c r="A188" s="3" t="str">
        <f t="shared" si="1"/>
        <v>January</v>
      </c>
      <c r="B188" s="11">
        <f>IFERROR(__xludf.DUMMYFUNCTION("""COMPUTED_VALUE"""),46048.0)</f>
        <v>46048</v>
      </c>
      <c r="C188" s="2" t="str">
        <f>IFERROR(__xludf.DUMMYFUNCTION("""COMPUTED_VALUE"""),"MOBILECARE - LA UNION")</f>
        <v>MOBILECARE - LA UNION</v>
      </c>
      <c r="D188" s="2" t="str">
        <f>IFERROR(__xludf.DUMMYFUNCTION("""COMPUTED_VALUE"""),"TA661-45232")</f>
        <v>TA661-45232</v>
      </c>
      <c r="E188" s="2" t="str">
        <f>IFERROR(__xludf.DUMMYFUNCTION("""COMPUTED_VALUE"""),"128GB, White, ROW, iPhone 16 Plus, Logic Board Assy Mid System")</f>
        <v>128GB, White, ROW, iPhone 16 Plus, Logic Board Assy Mid System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>
      <c r="A189" s="3" t="str">
        <f t="shared" si="1"/>
        <v>January</v>
      </c>
      <c r="B189" s="11">
        <f>IFERROR(__xludf.DUMMYFUNCTION("""COMPUTED_VALUE"""),46035.0)</f>
        <v>46035</v>
      </c>
      <c r="C189" s="2" t="str">
        <f>IFERROR(__xludf.DUMMYFUNCTION("""COMPUTED_VALUE"""),"MOBILECARE - LA UNION")</f>
        <v>MOBILECARE - LA UNION</v>
      </c>
      <c r="D189" s="2" t="str">
        <f>IFERROR(__xludf.DUMMYFUNCTION("""COMPUTED_VALUE"""),"PP661-23455")</f>
        <v>PP661-23455</v>
      </c>
      <c r="E189" s="2" t="str">
        <f>IFERROR(__xludf.DUMMYFUNCTION("""COMPUTED_VALUE"""),"iPhone 13, Starlight, 128GB, Logic Board Assy Rear System, ROW")</f>
        <v>iPhone 13, Starlight, 128GB, Logic Board Assy Rear System, ROW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>
      <c r="A190" s="3" t="str">
        <f t="shared" si="1"/>
        <v>January</v>
      </c>
      <c r="B190" s="11">
        <f>IFERROR(__xludf.DUMMYFUNCTION("""COMPUTED_VALUE"""),46039.0)</f>
        <v>46039</v>
      </c>
      <c r="C190" s="2" t="str">
        <f>IFERROR(__xludf.DUMMYFUNCTION("""COMPUTED_VALUE"""),"MOBILECARE - LA UNION")</f>
        <v>MOBILECARE - LA UNION</v>
      </c>
      <c r="D190" s="2" t="str">
        <f>IFERROR(__xludf.DUMMYFUNCTION("""COMPUTED_VALUE"""),"TA661-36696")</f>
        <v>TA661-36696</v>
      </c>
      <c r="E190" s="2" t="str">
        <f>IFERROR(__xludf.DUMMYFUNCTION("""COMPUTED_VALUE"""),"iPhone 15, Black, 256GB, Logic Board Assy Mid System, ROW")</f>
        <v>iPhone 15, Black, 256GB, Logic Board Assy Mid System, ROW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>
      <c r="A191" s="3" t="str">
        <f t="shared" si="1"/>
        <v>January</v>
      </c>
      <c r="B191" s="11">
        <f>IFERROR(__xludf.DUMMYFUNCTION("""COMPUTED_VALUE"""),46024.0)</f>
        <v>46024</v>
      </c>
      <c r="C191" s="2" t="str">
        <f>IFERROR(__xludf.DUMMYFUNCTION("""COMPUTED_VALUE"""),"MOBILECARE - LA UNION")</f>
        <v>MOBILECARE - LA UNION</v>
      </c>
      <c r="D191" s="2" t="str">
        <f>IFERROR(__xludf.DUMMYFUNCTION("""COMPUTED_VALUE"""),"TA661-43606")</f>
        <v>TA661-43606</v>
      </c>
      <c r="E191" s="2" t="str">
        <f>IFERROR(__xludf.DUMMYFUNCTION("""COMPUTED_VALUE"""),"128GB, White, ROW, iPhone 16, Logic Board Assy Mid System")</f>
        <v>128GB, White, ROW, iPhone 16, Logic Board Assy Mid System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>
      <c r="A192" s="3" t="str">
        <f t="shared" si="1"/>
        <v>January</v>
      </c>
      <c r="B192" s="11">
        <f>IFERROR(__xludf.DUMMYFUNCTION("""COMPUTED_VALUE"""),46024.0)</f>
        <v>46024</v>
      </c>
      <c r="C192" s="2" t="str">
        <f>IFERROR(__xludf.DUMMYFUNCTION("""COMPUTED_VALUE"""),"MOBILECARE - LA UNION")</f>
        <v>MOBILECARE - LA UNION</v>
      </c>
      <c r="D192" s="2" t="str">
        <f>IFERROR(__xludf.DUMMYFUNCTION("""COMPUTED_VALUE"""),"TA661-36697")</f>
        <v>TA661-36697</v>
      </c>
      <c r="E192" s="2" t="str">
        <f>IFERROR(__xludf.DUMMYFUNCTION("""COMPUTED_VALUE"""),"iPhone 15, Pink, 256GB, Logic Board Assy Mid System, ROW")</f>
        <v>iPhone 15, Pink, 256GB, Logic Board Assy Mid System, ROW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>
      <c r="A193" s="3" t="str">
        <f t="shared" si="1"/>
        <v>January</v>
      </c>
      <c r="B193" s="11">
        <f>IFERROR(__xludf.DUMMYFUNCTION("""COMPUTED_VALUE"""),46028.0)</f>
        <v>46028</v>
      </c>
      <c r="C193" s="2" t="str">
        <f>IFERROR(__xludf.DUMMYFUNCTION("""COMPUTED_VALUE"""),"MOBILECARE - LA UNION")</f>
        <v>MOBILECARE - LA UNION</v>
      </c>
      <c r="D193" s="2" t="str">
        <f>IFERROR(__xludf.DUMMYFUNCTION("""COMPUTED_VALUE"""),"PP661-28879")</f>
        <v>PP661-28879</v>
      </c>
      <c r="E193" s="2" t="str">
        <f>IFERROR(__xludf.DUMMYFUNCTION("""COMPUTED_VALUE"""),"iPhone 14, Starlight, 512GB, Logic Board Assy Mid System, ROW")</f>
        <v>iPhone 14, Starlight, 512GB, Logic Board Assy Mid System, ROW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>
      <c r="A194" s="3" t="str">
        <f t="shared" si="1"/>
        <v>January</v>
      </c>
      <c r="B194" s="11">
        <f>IFERROR(__xludf.DUMMYFUNCTION("""COMPUTED_VALUE"""),46028.0)</f>
        <v>46028</v>
      </c>
      <c r="C194" s="2" t="str">
        <f>IFERROR(__xludf.DUMMYFUNCTION("""COMPUTED_VALUE"""),"MOBILECARE - APP MAGNOLIA")</f>
        <v>MOBILECARE - APP MAGNOLIA</v>
      </c>
      <c r="D194" s="2" t="str">
        <f>IFERROR(__xludf.DUMMYFUNCTION("""COMPUTED_VALUE"""),"661-49557")</f>
        <v>661-49557</v>
      </c>
      <c r="E194" s="2" t="str">
        <f>IFERROR(__xludf.DUMMYFUNCTION("""COMPUTED_VALUE"""),"Desert, Back Glass, iPhone 16 Pro")</f>
        <v>Desert, Back Glass, iPhone 16 Pro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>
      <c r="A195" s="3" t="str">
        <f t="shared" si="1"/>
        <v>April</v>
      </c>
      <c r="B195" s="11">
        <f>IFERROR(__xludf.DUMMYFUNCTION("""COMPUTED_VALUE"""),46122.0)</f>
        <v>46122</v>
      </c>
      <c r="C195" s="2" t="str">
        <f>IFERROR(__xludf.DUMMYFUNCTION("""COMPUTED_VALUE"""),"MOBILECARE - ZAMBOANGA")</f>
        <v>MOBILECARE - ZAMBOANGA</v>
      </c>
      <c r="D195" s="2" t="str">
        <f>IFERROR(__xludf.DUMMYFUNCTION("""COMPUTED_VALUE"""),"661-44960")</f>
        <v>661-44960</v>
      </c>
      <c r="E195" s="2" t="str">
        <f>IFERROR(__xludf.DUMMYFUNCTION("""COMPUTED_VALUE"""),"Desert Titanium, Back Glass, iPhone 16 Pro Max")</f>
        <v>Desert Titanium, Back Glass, iPhone 16 Pro Max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>
      <c r="A196" s="3" t="str">
        <f t="shared" si="1"/>
        <v>February</v>
      </c>
      <c r="B196" s="11">
        <f>IFERROR(__xludf.DUMMYFUNCTION("""COMPUTED_VALUE"""),46057.0)</f>
        <v>46057</v>
      </c>
      <c r="C196" s="2" t="str">
        <f>IFERROR(__xludf.DUMMYFUNCTION("""COMPUTED_VALUE"""),"MOBILECARE - ZAMBOANGA")</f>
        <v>MOBILECARE - ZAMBOANGA</v>
      </c>
      <c r="D196" s="2" t="str">
        <f>IFERROR(__xludf.DUMMYFUNCTION("""COMPUTED_VALUE"""),"PP661-23454")</f>
        <v>PP661-23454</v>
      </c>
      <c r="E196" s="2" t="str">
        <f>IFERROR(__xludf.DUMMYFUNCTION("""COMPUTED_VALUE"""),"iPhone 13, Midnight, 128GB, Logic Board Assy Rear System, ROW")</f>
        <v>iPhone 13, Midnight, 128GB, Logic Board Assy Rear System, ROW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>
      <c r="A197" s="3" t="str">
        <f t="shared" si="1"/>
        <v>January</v>
      </c>
      <c r="B197" s="11">
        <f>IFERROR(__xludf.DUMMYFUNCTION("""COMPUTED_VALUE"""),46047.0)</f>
        <v>46047</v>
      </c>
      <c r="C197" s="2" t="str">
        <f>IFERROR(__xludf.DUMMYFUNCTION("""COMPUTED_VALUE"""),"MOBILECARE - ZAMBOANGA")</f>
        <v>MOBILECARE - ZAMBOANGA</v>
      </c>
      <c r="D197" s="2" t="str">
        <f>IFERROR(__xludf.DUMMYFUNCTION("""COMPUTED_VALUE"""),"PP661-23454")</f>
        <v>PP661-23454</v>
      </c>
      <c r="E197" s="2" t="str">
        <f>IFERROR(__xludf.DUMMYFUNCTION("""COMPUTED_VALUE"""),"iPhone 13, Midnight, 128GB, Logic Board Assy Rear System, ROW")</f>
        <v>iPhone 13, Midnight, 128GB, Logic Board Assy Rear System, ROW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>
      <c r="A198" s="3" t="str">
        <f t="shared" si="1"/>
        <v>January</v>
      </c>
      <c r="B198" s="11">
        <f>IFERROR(__xludf.DUMMYFUNCTION("""COMPUTED_VALUE"""),46040.0)</f>
        <v>46040</v>
      </c>
      <c r="C198" s="2" t="str">
        <f>IFERROR(__xludf.DUMMYFUNCTION("""COMPUTED_VALUE"""),"MOBILECARE - ZAMBOANGA")</f>
        <v>MOBILECARE - ZAMBOANGA</v>
      </c>
      <c r="D198" s="2" t="str">
        <f>IFERROR(__xludf.DUMMYFUNCTION("""COMPUTED_VALUE"""),"PP661-23455")</f>
        <v>PP661-23455</v>
      </c>
      <c r="E198" s="2" t="str">
        <f>IFERROR(__xludf.DUMMYFUNCTION("""COMPUTED_VALUE"""),"iPhone 13, Starlight, 128GB, Logic Board Assy Rear System, ROW")</f>
        <v>iPhone 13, Starlight, 128GB, Logic Board Assy Rear System, ROW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>
      <c r="A199" s="3" t="str">
        <f t="shared" si="1"/>
        <v>January</v>
      </c>
      <c r="B199" s="11">
        <f>IFERROR(__xludf.DUMMYFUNCTION("""COMPUTED_VALUE"""),46040.0)</f>
        <v>46040</v>
      </c>
      <c r="C199" s="2" t="str">
        <f>IFERROR(__xludf.DUMMYFUNCTION("""COMPUTED_VALUE"""),"MOBILECARE - ZAMBOANGA")</f>
        <v>MOBILECARE - ZAMBOANGA</v>
      </c>
      <c r="D199" s="2" t="str">
        <f>IFERROR(__xludf.DUMMYFUNCTION("""COMPUTED_VALUE"""),"PP661-23455")</f>
        <v>PP661-23455</v>
      </c>
      <c r="E199" s="2" t="str">
        <f>IFERROR(__xludf.DUMMYFUNCTION("""COMPUTED_VALUE"""),"iPhone 13, Starlight, 128GB, Logic Board Assy Rear System, ROW")</f>
        <v>iPhone 13, Starlight, 128GB, Logic Board Assy Rear System, ROW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>
      <c r="A200" s="3" t="str">
        <f t="shared" si="1"/>
        <v>January</v>
      </c>
      <c r="B200" s="11">
        <f>IFERROR(__xludf.DUMMYFUNCTION("""COMPUTED_VALUE"""),46040.0)</f>
        <v>46040</v>
      </c>
      <c r="C200" s="2" t="str">
        <f>IFERROR(__xludf.DUMMYFUNCTION("""COMPUTED_VALUE"""),"MOBILECARE - ZAMBOANGA")</f>
        <v>MOBILECARE - ZAMBOANGA</v>
      </c>
      <c r="D200" s="2" t="str">
        <f>IFERROR(__xludf.DUMMYFUNCTION("""COMPUTED_VALUE"""),"PP661-23455")</f>
        <v>PP661-23455</v>
      </c>
      <c r="E200" s="2" t="str">
        <f>IFERROR(__xludf.DUMMYFUNCTION("""COMPUTED_VALUE"""),"iPhone 13, Starlight, 128GB, Logic Board Assy Rear System, ROW")</f>
        <v>iPhone 13, Starlight, 128GB, Logic Board Assy Rear System, ROW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>
      <c r="A201" s="3" t="str">
        <f t="shared" si="1"/>
        <v>January</v>
      </c>
      <c r="B201" s="11">
        <f>IFERROR(__xludf.DUMMYFUNCTION("""COMPUTED_VALUE"""),46027.0)</f>
        <v>46027</v>
      </c>
      <c r="C201" s="2" t="str">
        <f>IFERROR(__xludf.DUMMYFUNCTION("""COMPUTED_VALUE"""),"MOBILECARE - ZAMBOANGA")</f>
        <v>MOBILECARE - ZAMBOANGA</v>
      </c>
      <c r="D201" s="2" t="str">
        <f>IFERROR(__xludf.DUMMYFUNCTION("""COMPUTED_VALUE"""),"PP661-23454")</f>
        <v>PP661-23454</v>
      </c>
      <c r="E201" s="2" t="str">
        <f>IFERROR(__xludf.DUMMYFUNCTION("""COMPUTED_VALUE"""),"iPhone 13, Midnight, 128GB, Logic Board Assy Rear System, ROW")</f>
        <v>iPhone 13, Midnight, 128GB, Logic Board Assy Rear System, ROW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>
      <c r="A202" s="3" t="str">
        <f t="shared" si="1"/>
        <v>June</v>
      </c>
      <c r="B202" s="11">
        <f>IFERROR(__xludf.DUMMYFUNCTION("""COMPUTED_VALUE"""),46185.0)</f>
        <v>46185</v>
      </c>
      <c r="C202" s="2" t="str">
        <f>IFERROR(__xludf.DUMMYFUNCTION("""COMPUTED_VALUE"""),"MOBILECARE - APP SM LANANG")</f>
        <v>MOBILECARE - APP SM LANANG</v>
      </c>
      <c r="D202" s="2" t="str">
        <f>IFERROR(__xludf.DUMMYFUNCTION("""COMPUTED_VALUE"""),"TA661-36691")</f>
        <v>TA661-36691</v>
      </c>
      <c r="E202" s="2" t="str">
        <f>IFERROR(__xludf.DUMMYFUNCTION("""COMPUTED_VALUE"""),"iPhone 15, Black, 128GB, Logic Board Assy Mid System, ROW")</f>
        <v>iPhone 15, Black, 128GB, Logic Board Assy Mid System, ROW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>
      <c r="A203" s="3" t="str">
        <f t="shared" si="1"/>
        <v>June</v>
      </c>
      <c r="B203" s="11">
        <f>IFERROR(__xludf.DUMMYFUNCTION("""COMPUTED_VALUE"""),46193.0)</f>
        <v>46193</v>
      </c>
      <c r="C203" s="2" t="str">
        <f>IFERROR(__xludf.DUMMYFUNCTION("""COMPUTED_VALUE"""),"MOBILECARE - APP SM LANANG")</f>
        <v>MOBILECARE - APP SM LANANG</v>
      </c>
      <c r="D203" s="2" t="str">
        <f>IFERROR(__xludf.DUMMYFUNCTION("""COMPUTED_VALUE"""),"PP661-23454")</f>
        <v>PP661-23454</v>
      </c>
      <c r="E203" s="2" t="str">
        <f>IFERROR(__xludf.DUMMYFUNCTION("""COMPUTED_VALUE"""),"iPhone 13, Midnight, 128GB, Logic Board Assy Rear System, ROW")</f>
        <v>iPhone 13, Midnight, 128GB, Logic Board Assy Rear System, ROW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>
      <c r="A204" s="3" t="str">
        <f t="shared" si="1"/>
        <v>June</v>
      </c>
      <c r="B204" s="11">
        <f>IFERROR(__xludf.DUMMYFUNCTION("""COMPUTED_VALUE"""),46193.0)</f>
        <v>46193</v>
      </c>
      <c r="C204" s="2" t="str">
        <f>IFERROR(__xludf.DUMMYFUNCTION("""COMPUTED_VALUE"""),"MOBILECARE - APP SM LANANG")</f>
        <v>MOBILECARE - APP SM LANANG</v>
      </c>
      <c r="D204" s="2" t="str">
        <f>IFERROR(__xludf.DUMMYFUNCTION("""COMPUTED_VALUE"""),"PP661-23454")</f>
        <v>PP661-23454</v>
      </c>
      <c r="E204" s="2" t="str">
        <f>IFERROR(__xludf.DUMMYFUNCTION("""COMPUTED_VALUE"""),"iPhone 13, Midnight, 128GB, Logic Board Assy Rear System, ROW")</f>
        <v>iPhone 13, Midnight, 128GB, Logic Board Assy Rear System, ROW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>
      <c r="A205" s="3" t="str">
        <f t="shared" si="1"/>
        <v>June</v>
      </c>
      <c r="B205" s="11">
        <f>IFERROR(__xludf.DUMMYFUNCTION("""COMPUTED_VALUE"""),46180.0)</f>
        <v>46180</v>
      </c>
      <c r="C205" s="2" t="str">
        <f>IFERROR(__xludf.DUMMYFUNCTION("""COMPUTED_VALUE"""),"MOBILECARE - APP SM LANANG")</f>
        <v>MOBILECARE - APP SM LANANG</v>
      </c>
      <c r="D205" s="2" t="str">
        <f>IFERROR(__xludf.DUMMYFUNCTION("""COMPUTED_VALUE"""),"PP661-23454")</f>
        <v>PP661-23454</v>
      </c>
      <c r="E205" s="2" t="str">
        <f>IFERROR(__xludf.DUMMYFUNCTION("""COMPUTED_VALUE"""),"iPhone 13, Midnight, 128GB, Logic Board Assy Rear System, ROW")</f>
        <v>iPhone 13, Midnight, 128GB, Logic Board Assy Rear System, ROW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>
      <c r="A206" s="3" t="str">
        <f t="shared" si="1"/>
        <v>April</v>
      </c>
      <c r="B206" s="11">
        <f>IFERROR(__xludf.DUMMYFUNCTION("""COMPUTED_VALUE"""),46117.0)</f>
        <v>46117</v>
      </c>
      <c r="C206" s="2" t="str">
        <f>IFERROR(__xludf.DUMMYFUNCTION("""COMPUTED_VALUE"""),"MOBILECARE - APP MALL OF ASIA")</f>
        <v>MOBILECARE - APP MALL OF ASIA</v>
      </c>
      <c r="D206" s="2" t="str">
        <f>IFERROR(__xludf.DUMMYFUNCTION("""COMPUTED_VALUE"""),"661-44960")</f>
        <v>661-44960</v>
      </c>
      <c r="E206" s="2" t="str">
        <f>IFERROR(__xludf.DUMMYFUNCTION("""COMPUTED_VALUE"""),"Desert Titanium, Back Glass, iPhone 16 Pro Max")</f>
        <v>Desert Titanium, Back Glass, iPhone 16 Pro Max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>
      <c r="A207" s="3" t="str">
        <f t="shared" si="1"/>
        <v>March</v>
      </c>
      <c r="B207" s="11">
        <f>IFERROR(__xludf.DUMMYFUNCTION("""COMPUTED_VALUE"""),46108.0)</f>
        <v>46108</v>
      </c>
      <c r="C207" s="2" t="str">
        <f>IFERROR(__xludf.DUMMYFUNCTION("""COMPUTED_VALUE"""),"MOBILECARE - S'MAISON")</f>
        <v>MOBILECARE - S'MAISON</v>
      </c>
      <c r="D207" s="2" t="str">
        <f>IFERROR(__xludf.DUMMYFUNCTION("""COMPUTED_VALUE"""),"661-56060")</f>
        <v>661-56060</v>
      </c>
      <c r="E207" s="2" t="str">
        <f>IFERROR(__xludf.DUMMYFUNCTION("""COMPUTED_VALUE"""),"Lavender, Back Glass, iPhone 17")</f>
        <v>Lavender, Back Glass, iPhone 17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>
      <c r="A208" s="3" t="str">
        <f t="shared" si="1"/>
        <v>February</v>
      </c>
      <c r="B208" s="11">
        <f>IFERROR(__xludf.DUMMYFUNCTION("""COMPUTED_VALUE"""),46064.0)</f>
        <v>46064</v>
      </c>
      <c r="C208" s="2" t="str">
        <f>IFERROR(__xludf.DUMMYFUNCTION("""COMPUTED_VALUE"""),"MOBILECARE - S'MAISON")</f>
        <v>MOBILECARE - S'MAISON</v>
      </c>
      <c r="D208" s="2" t="str">
        <f>IFERROR(__xludf.DUMMYFUNCTION("""COMPUTED_VALUE"""),"661-44960")</f>
        <v>661-44960</v>
      </c>
      <c r="E208" s="2" t="str">
        <f>IFERROR(__xludf.DUMMYFUNCTION("""COMPUTED_VALUE"""),"Desert Titanium, Back Glass, iPhone 16 Pro Max")</f>
        <v>Desert Titanium, Back Glass, iPhone 16 Pro Max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>
      <c r="A209" s="3" t="str">
        <f t="shared" si="1"/>
        <v>March</v>
      </c>
      <c r="B209" s="11">
        <f>IFERROR(__xludf.DUMMYFUNCTION("""COMPUTED_VALUE"""),46106.0)</f>
        <v>46106</v>
      </c>
      <c r="C209" s="2" t="str">
        <f>IFERROR(__xludf.DUMMYFUNCTION("""COMPUTED_VALUE"""),"MOBILECARE - S'MAISON")</f>
        <v>MOBILECARE - S'MAISON</v>
      </c>
      <c r="D209" s="2" t="str">
        <f>IFERROR(__xludf.DUMMYFUNCTION("""COMPUTED_VALUE"""),"661-36834")</f>
        <v>661-36834</v>
      </c>
      <c r="E209" s="2" t="str">
        <f>IFERROR(__xludf.DUMMYFUNCTION("""COMPUTED_VALUE"""),"Natural Titanium, Millimeter Wave, Back Glass, iPhone 15 Pro")</f>
        <v>Natural Titanium, Millimeter Wave, Back Glass, iPhone 15 Pro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>
      <c r="A210" s="3" t="str">
        <f t="shared" si="1"/>
        <v>April</v>
      </c>
      <c r="B210" s="11">
        <f>IFERROR(__xludf.DUMMYFUNCTION("""COMPUTED_VALUE"""),46127.0)</f>
        <v>46127</v>
      </c>
      <c r="C210" s="2" t="str">
        <f>IFERROR(__xludf.DUMMYFUNCTION("""COMPUTED_VALUE"""),"MOBILECARE - APP THE ANNEX")</f>
        <v>MOBILECARE - APP THE ANNEX</v>
      </c>
      <c r="D210" s="2" t="str">
        <f>IFERROR(__xludf.DUMMYFUNCTION("""COMPUTED_VALUE"""),"PP661-23455")</f>
        <v>PP661-23455</v>
      </c>
      <c r="E210" s="2" t="str">
        <f>IFERROR(__xludf.DUMMYFUNCTION("""COMPUTED_VALUE"""),"iPhone 13, Starlight, 128GB, Logic Board Assy Rear System, ROW")</f>
        <v>iPhone 13, Starlight, 128GB, Logic Board Assy Rear System, ROW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>
      <c r="A211" s="3" t="str">
        <f t="shared" si="1"/>
        <v>May</v>
      </c>
      <c r="B211" s="11">
        <f>IFERROR(__xludf.DUMMYFUNCTION("""COMPUTED_VALUE"""),46159.0)</f>
        <v>46159</v>
      </c>
      <c r="C211" s="2" t="str">
        <f>IFERROR(__xludf.DUMMYFUNCTION("""COMPUTED_VALUE"""),"MOBILECARE - APP THE ANNEX")</f>
        <v>MOBILECARE - APP THE ANNEX</v>
      </c>
      <c r="D211" s="2" t="str">
        <f>IFERROR(__xludf.DUMMYFUNCTION("""COMPUTED_VALUE"""),"661-56122")</f>
        <v>661-56122</v>
      </c>
      <c r="E211" s="2" t="str">
        <f>IFERROR(__xludf.DUMMYFUNCTION("""COMPUTED_VALUE"""),"Silver, Back Glass, iPhone 17 Pro")</f>
        <v>Silver, Back Glass, iPhone 17 Pro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>
      <c r="A212" s="3" t="str">
        <f t="shared" si="1"/>
        <v>March</v>
      </c>
      <c r="B212" s="11">
        <f>IFERROR(__xludf.DUMMYFUNCTION("""COMPUTED_VALUE"""),46108.0)</f>
        <v>46108</v>
      </c>
      <c r="C212" s="2" t="str">
        <f>IFERROR(__xludf.DUMMYFUNCTION("""COMPUTED_VALUE"""),"MOBILECARE - APP THE ANNEX")</f>
        <v>MOBILECARE - APP THE ANNEX</v>
      </c>
      <c r="D212" s="2" t="str">
        <f>IFERROR(__xludf.DUMMYFUNCTION("""COMPUTED_VALUE"""),"661-35700")</f>
        <v>661-35700</v>
      </c>
      <c r="E212" s="2" t="str">
        <f>IFERROR(__xludf.DUMMYFUNCTION("""COMPUTED_VALUE"""),"Black Titanium, Back Glass, iPhone 15 Pro")</f>
        <v>Black Titanium, Back Glass, iPhone 15 Pro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>
      <c r="A213" s="3" t="str">
        <f t="shared" si="1"/>
        <v>May</v>
      </c>
      <c r="B213" s="11">
        <f>IFERROR(__xludf.DUMMYFUNCTION("""COMPUTED_VALUE"""),46160.0)</f>
        <v>46160</v>
      </c>
      <c r="C213" s="2" t="str">
        <f>IFERROR(__xludf.DUMMYFUNCTION("""COMPUTED_VALUE"""),"MOBILECARE - APP THE ANNEX")</f>
        <v>MOBILECARE - APP THE ANNEX</v>
      </c>
      <c r="D213" s="2" t="str">
        <f>IFERROR(__xludf.DUMMYFUNCTION("""COMPUTED_VALUE"""),"661-42842")</f>
        <v>661-42842</v>
      </c>
      <c r="E213" s="2" t="str">
        <f>IFERROR(__xludf.DUMMYFUNCTION("""COMPUTED_VALUE"""),"TealBack Glass, iPhone 16 Plus")</f>
        <v>TealBack Glass, iPhone 16 Plus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>
      <c r="A214" s="3" t="str">
        <f t="shared" si="1"/>
        <v>May</v>
      </c>
      <c r="B214" s="11">
        <f>IFERROR(__xludf.DUMMYFUNCTION("""COMPUTED_VALUE"""),46153.0)</f>
        <v>46153</v>
      </c>
      <c r="C214" s="2" t="str">
        <f>IFERROR(__xludf.DUMMYFUNCTION("""COMPUTED_VALUE"""),"MOBILECARE - APP THE ANNEX")</f>
        <v>MOBILECARE - APP THE ANNEX</v>
      </c>
      <c r="D214" s="2" t="str">
        <f>IFERROR(__xludf.DUMMYFUNCTION("""COMPUTED_VALUE"""),"661-56122")</f>
        <v>661-56122</v>
      </c>
      <c r="E214" s="2" t="str">
        <f>IFERROR(__xludf.DUMMYFUNCTION("""COMPUTED_VALUE"""),"Silver, Back Glass, iPhone 17 Pro")</f>
        <v>Silver, Back Glass, iPhone 17 Pro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>
      <c r="A215" s="3" t="str">
        <f t="shared" si="1"/>
        <v>April</v>
      </c>
      <c r="B215" s="11">
        <f>IFERROR(__xludf.DUMMYFUNCTION("""COMPUTED_VALUE"""),46121.0)</f>
        <v>46121</v>
      </c>
      <c r="C215" s="2" t="str">
        <f>IFERROR(__xludf.DUMMYFUNCTION("""COMPUTED_VALUE"""),"MOBILECARE - DAVAO")</f>
        <v>MOBILECARE - DAVAO</v>
      </c>
      <c r="D215" s="2" t="str">
        <f>IFERROR(__xludf.DUMMYFUNCTION("""COMPUTED_VALUE"""),"PP661-23454")</f>
        <v>PP661-23454</v>
      </c>
      <c r="E215" s="2" t="str">
        <f>IFERROR(__xludf.DUMMYFUNCTION("""COMPUTED_VALUE"""),"iPhone 13, Midnight, 128GB, Logic Board Assy Rear System, ROW")</f>
        <v>iPhone 13, Midnight, 128GB, Logic Board Assy Rear System, ROW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>
      <c r="A216" s="3" t="str">
        <f t="shared" si="1"/>
        <v>April</v>
      </c>
      <c r="B216" s="11">
        <f>IFERROR(__xludf.DUMMYFUNCTION("""COMPUTED_VALUE"""),46117.0)</f>
        <v>46117</v>
      </c>
      <c r="C216" s="2" t="str">
        <f>IFERROR(__xludf.DUMMYFUNCTION("""COMPUTED_VALUE"""),"MOBILECARE - DAVAO")</f>
        <v>MOBILECARE - DAVAO</v>
      </c>
      <c r="D216" s="2" t="str">
        <f>IFERROR(__xludf.DUMMYFUNCTION("""COMPUTED_VALUE"""),"TA661-36691")</f>
        <v>TA661-36691</v>
      </c>
      <c r="E216" s="2" t="str">
        <f>IFERROR(__xludf.DUMMYFUNCTION("""COMPUTED_VALUE"""),"iPhone 15, Black, 128GB, Logic Board Assy Mid System, ROW")</f>
        <v>iPhone 15, Black, 128GB, Logic Board Assy Mid System, ROW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>
      <c r="A217" s="3" t="str">
        <f t="shared" si="1"/>
        <v>March</v>
      </c>
      <c r="B217" s="11">
        <f>IFERROR(__xludf.DUMMYFUNCTION("""COMPUTED_VALUE"""),46096.0)</f>
        <v>46096</v>
      </c>
      <c r="C217" s="2" t="str">
        <f>IFERROR(__xludf.DUMMYFUNCTION("""COMPUTED_VALUE"""),"MOBILECARE - DAVAO")</f>
        <v>MOBILECARE - DAVAO</v>
      </c>
      <c r="D217" s="2" t="str">
        <f>IFERROR(__xludf.DUMMYFUNCTION("""COMPUTED_VALUE"""),"TA661-43605")</f>
        <v>TA661-43605</v>
      </c>
      <c r="E217" s="2" t="str">
        <f>IFERROR(__xludf.DUMMYFUNCTION("""COMPUTED_VALUE"""),"128GB, Black, ROW, iPhone 16, Logic Board Assy Mid System")</f>
        <v>128GB, Black, ROW, iPhone 16, Logic Board Assy Mid System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>
      <c r="A218" s="3" t="str">
        <f t="shared" si="1"/>
        <v>March</v>
      </c>
      <c r="B218" s="11">
        <f>IFERROR(__xludf.DUMMYFUNCTION("""COMPUTED_VALUE"""),46084.0)</f>
        <v>46084</v>
      </c>
      <c r="C218" s="2" t="str">
        <f>IFERROR(__xludf.DUMMYFUNCTION("""COMPUTED_VALUE"""),"MOBILECARE - DAVAO")</f>
        <v>MOBILECARE - DAVAO</v>
      </c>
      <c r="D218" s="2" t="str">
        <f>IFERROR(__xludf.DUMMYFUNCTION("""COMPUTED_VALUE"""),"PP661-23455")</f>
        <v>PP661-23455</v>
      </c>
      <c r="E218" s="2" t="str">
        <f>IFERROR(__xludf.DUMMYFUNCTION("""COMPUTED_VALUE"""),"iPhone 13, Starlight, 128GB, Logic Board Assy Rear System, ROW")</f>
        <v>iPhone 13, Starlight, 128GB, Logic Board Assy Rear System, ROW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>
      <c r="A219" s="3" t="str">
        <f t="shared" si="1"/>
        <v>May</v>
      </c>
      <c r="B219" s="11">
        <f>IFERROR(__xludf.DUMMYFUNCTION("""COMPUTED_VALUE"""),46153.0)</f>
        <v>46153</v>
      </c>
      <c r="C219" s="2" t="str">
        <f>IFERROR(__xludf.DUMMYFUNCTION("""COMPUTED_VALUE"""),"MOBILECARE - DAVAO")</f>
        <v>MOBILECARE - DAVAO</v>
      </c>
      <c r="D219" s="2" t="str">
        <f>IFERROR(__xludf.DUMMYFUNCTION("""COMPUTED_VALUE"""),"TA661-36695")</f>
        <v>TA661-36695</v>
      </c>
      <c r="E219" s="2" t="str">
        <f>IFERROR(__xludf.DUMMYFUNCTION("""COMPUTED_VALUE"""),"iPhone 15, Green, 128GB, Logic Board Assy Mid System, ROW")</f>
        <v>iPhone 15, Green, 128GB, Logic Board Assy Mid System, ROW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>
      <c r="A220" s="3" t="str">
        <f t="shared" si="1"/>
        <v>March</v>
      </c>
      <c r="B220" s="11">
        <f>IFERROR(__xludf.DUMMYFUNCTION("""COMPUTED_VALUE"""),46109.0)</f>
        <v>46109</v>
      </c>
      <c r="C220" s="2" t="str">
        <f>IFERROR(__xludf.DUMMYFUNCTION("""COMPUTED_VALUE"""),"MOBILECARE - DAVAO")</f>
        <v>MOBILECARE - DAVAO</v>
      </c>
      <c r="D220" s="2" t="str">
        <f>IFERROR(__xludf.DUMMYFUNCTION("""COMPUTED_VALUE"""),"PP661-28871")</f>
        <v>PP661-28871</v>
      </c>
      <c r="E220" s="2" t="str">
        <f>IFERROR(__xludf.DUMMYFUNCTION("""COMPUTED_VALUE"""),"iPhone 14, Blue, 128GB, Logic Board Assy Mid System, ROW")</f>
        <v>iPhone 14, Blue, 128GB, Logic Board Assy Mid System, ROW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>
      <c r="A221" s="3" t="str">
        <f t="shared" si="1"/>
        <v>June</v>
      </c>
      <c r="B221" s="11">
        <f>IFERROR(__xludf.DUMMYFUNCTION("""COMPUTED_VALUE"""),46190.0)</f>
        <v>46190</v>
      </c>
      <c r="C221" s="2" t="str">
        <f>IFERROR(__xludf.DUMMYFUNCTION("""COMPUTED_VALUE"""),"MOBILECARE - DAVAO")</f>
        <v>MOBILECARE - DAVAO</v>
      </c>
      <c r="D221" s="2" t="str">
        <f>IFERROR(__xludf.DUMMYFUNCTION("""COMPUTED_VALUE"""),"PP661-28869")</f>
        <v>PP661-28869</v>
      </c>
      <c r="E221" s="2" t="str">
        <f>IFERROR(__xludf.DUMMYFUNCTION("""COMPUTED_VALUE"""),"iPhone 14, Starlight, 128GB, Logic Board Assy Mid System, ROW")</f>
        <v>iPhone 14, Starlight, 128GB, Logic Board Assy Mid System, ROW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>
      <c r="A222" s="3" t="str">
        <f t="shared" si="1"/>
        <v>April</v>
      </c>
      <c r="B222" s="11">
        <f>IFERROR(__xludf.DUMMYFUNCTION("""COMPUTED_VALUE"""),46138.0)</f>
        <v>46138</v>
      </c>
      <c r="C222" s="2" t="str">
        <f>IFERROR(__xludf.DUMMYFUNCTION("""COMPUTED_VALUE"""),"MOBILECARE - DAVAO")</f>
        <v>MOBILECARE - DAVAO</v>
      </c>
      <c r="D222" s="2" t="str">
        <f>IFERROR(__xludf.DUMMYFUNCTION("""COMPUTED_VALUE"""),"TA661-36694")</f>
        <v>TA661-36694</v>
      </c>
      <c r="E222" s="2" t="str">
        <f>IFERROR(__xludf.DUMMYFUNCTION("""COMPUTED_VALUE"""),"iPhone 15, Blue, 128GB, Logic Board Assy Mid System, ROW")</f>
        <v>iPhone 15, Blue, 128GB, Logic Board Assy Mid System, ROW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>
      <c r="A223" s="3" t="str">
        <f t="shared" si="1"/>
        <v>April</v>
      </c>
      <c r="B223" s="11">
        <f>IFERROR(__xludf.DUMMYFUNCTION("""COMPUTED_VALUE"""),46138.0)</f>
        <v>46138</v>
      </c>
      <c r="C223" s="2" t="str">
        <f>IFERROR(__xludf.DUMMYFUNCTION("""COMPUTED_VALUE"""),"MOBILECARE - DAVAO")</f>
        <v>MOBILECARE - DAVAO</v>
      </c>
      <c r="D223" s="2" t="str">
        <f>IFERROR(__xludf.DUMMYFUNCTION("""COMPUTED_VALUE"""),"TA661-43608")</f>
        <v>TA661-43608</v>
      </c>
      <c r="E223" s="2" t="str">
        <f>IFERROR(__xludf.DUMMYFUNCTION("""COMPUTED_VALUE"""),"128GB, Ultramarine, ROW, iPhone 16, Logic Board Assy Mid System")</f>
        <v>128GB, Ultramarine, ROW, iPhone 16, Logic Board Assy Mid System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>
      <c r="A224" s="3" t="str">
        <f t="shared" si="1"/>
        <v>February</v>
      </c>
      <c r="B224" s="11">
        <f>IFERROR(__xludf.DUMMYFUNCTION("""COMPUTED_VALUE"""),46081.0)</f>
        <v>46081</v>
      </c>
      <c r="C224" s="2" t="str">
        <f>IFERROR(__xludf.DUMMYFUNCTION("""COMPUTED_VALUE"""),"MOBILECARE - DAVAO")</f>
        <v>MOBILECARE - DAVAO</v>
      </c>
      <c r="D224" s="2" t="str">
        <f>IFERROR(__xludf.DUMMYFUNCTION("""COMPUTED_VALUE"""),"TA661-36692")</f>
        <v>TA661-36692</v>
      </c>
      <c r="E224" s="2" t="str">
        <f>IFERROR(__xludf.DUMMYFUNCTION("""COMPUTED_VALUE"""),"iPhone 15, Pink, 128GB, Logic Board Assy Mid System, ROW")</f>
        <v>iPhone 15, Pink, 128GB, Logic Board Assy Mid System, ROW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>
      <c r="A225" s="3" t="str">
        <f t="shared" si="1"/>
        <v>March</v>
      </c>
      <c r="B225" s="11">
        <f>IFERROR(__xludf.DUMMYFUNCTION("""COMPUTED_VALUE"""),46093.0)</f>
        <v>46093</v>
      </c>
      <c r="C225" s="2" t="str">
        <f>IFERROR(__xludf.DUMMYFUNCTION("""COMPUTED_VALUE"""),"MOBILECARE - DAVAO")</f>
        <v>MOBILECARE - DAVAO</v>
      </c>
      <c r="D225" s="2" t="str">
        <f>IFERROR(__xludf.DUMMYFUNCTION("""COMPUTED_VALUE"""),"TA661-43607")</f>
        <v>TA661-43607</v>
      </c>
      <c r="E225" s="2" t="str">
        <f>IFERROR(__xludf.DUMMYFUNCTION("""COMPUTED_VALUE"""),"128GB, Pink, ROW, iPhone 16, Logic Board Assy Mid System")</f>
        <v>128GB, Pink, ROW, iPhone 16, Logic Board Assy Mid System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>
      <c r="A226" s="3" t="str">
        <f t="shared" si="1"/>
        <v>May</v>
      </c>
      <c r="B226" s="11">
        <f>IFERROR(__xludf.DUMMYFUNCTION("""COMPUTED_VALUE"""),46146.0)</f>
        <v>46146</v>
      </c>
      <c r="C226" s="2" t="str">
        <f>IFERROR(__xludf.DUMMYFUNCTION("""COMPUTED_VALUE"""),"MOBILECARE - DAVAO")</f>
        <v>MOBILECARE - DAVAO</v>
      </c>
      <c r="D226" s="2" t="str">
        <f>IFERROR(__xludf.DUMMYFUNCTION("""COMPUTED_VALUE"""),"PP661-28868")</f>
        <v>PP661-28868</v>
      </c>
      <c r="E226" s="2" t="str">
        <f>IFERROR(__xludf.DUMMYFUNCTION("""COMPUTED_VALUE"""),"iPhone 14, Midnight, 128GB, Logic Board Assy Mid System, ROW")</f>
        <v>iPhone 14, Midnight, 128GB, Logic Board Assy Mid System, ROW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>
      <c r="A227" s="3" t="str">
        <f t="shared" si="1"/>
        <v>March</v>
      </c>
      <c r="B227" s="11">
        <f>IFERROR(__xludf.DUMMYFUNCTION("""COMPUTED_VALUE"""),46103.0)</f>
        <v>46103</v>
      </c>
      <c r="C227" s="2" t="str">
        <f>IFERROR(__xludf.DUMMYFUNCTION("""COMPUTED_VALUE"""),"MOBILECARE - DAVAO")</f>
        <v>MOBILECARE - DAVAO</v>
      </c>
      <c r="D227" s="2" t="str">
        <f>IFERROR(__xludf.DUMMYFUNCTION("""COMPUTED_VALUE"""),"PP661-23455")</f>
        <v>PP661-23455</v>
      </c>
      <c r="E227" s="2" t="str">
        <f>IFERROR(__xludf.DUMMYFUNCTION("""COMPUTED_VALUE"""),"iPhone 13, Starlight, 128GB, Logic Board Assy Rear System, ROW")</f>
        <v>iPhone 13, Starlight, 128GB, Logic Board Assy Rear System, ROW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>
      <c r="A228" s="3" t="str">
        <f t="shared" si="1"/>
        <v>March</v>
      </c>
      <c r="B228" s="11">
        <f>IFERROR(__xludf.DUMMYFUNCTION("""COMPUTED_VALUE"""),46082.0)</f>
        <v>46082</v>
      </c>
      <c r="C228" s="2" t="str">
        <f>IFERROR(__xludf.DUMMYFUNCTION("""COMPUTED_VALUE"""),"MOBILECARE - DAVAO")</f>
        <v>MOBILECARE - DAVAO</v>
      </c>
      <c r="D228" s="2" t="str">
        <f>IFERROR(__xludf.DUMMYFUNCTION("""COMPUTED_VALUE"""),"PP661-23454")</f>
        <v>PP661-23454</v>
      </c>
      <c r="E228" s="2" t="str">
        <f>IFERROR(__xludf.DUMMYFUNCTION("""COMPUTED_VALUE"""),"iPhone 13, Midnight, 128GB, Logic Board Assy Rear System, ROW")</f>
        <v>iPhone 13, Midnight, 128GB, Logic Board Assy Rear System, ROW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>
      <c r="A229" s="3" t="str">
        <f t="shared" si="1"/>
        <v>April</v>
      </c>
      <c r="B229" s="11">
        <f>IFERROR(__xludf.DUMMYFUNCTION("""COMPUTED_VALUE"""),46127.0)</f>
        <v>46127</v>
      </c>
      <c r="C229" s="2" t="str">
        <f>IFERROR(__xludf.DUMMYFUNCTION("""COMPUTED_VALUE"""),"MOBILECARE - DAVAO")</f>
        <v>MOBILECARE - DAVAO</v>
      </c>
      <c r="D229" s="2" t="str">
        <f>IFERROR(__xludf.DUMMYFUNCTION("""COMPUTED_VALUE"""),"661-56057")</f>
        <v>661-56057</v>
      </c>
      <c r="E229" s="2" t="str">
        <f>IFERROR(__xludf.DUMMYFUNCTION("""COMPUTED_VALUE"""),"Black, Back Glass, iPhone 17")</f>
        <v>Black, Back Glass, iPhone 17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>
      <c r="A230" s="3" t="str">
        <f t="shared" si="1"/>
        <v>February</v>
      </c>
      <c r="B230" s="11">
        <f>IFERROR(__xludf.DUMMYFUNCTION("""COMPUTED_VALUE"""),46080.0)</f>
        <v>46080</v>
      </c>
      <c r="C230" s="2" t="str">
        <f>IFERROR(__xludf.DUMMYFUNCTION("""COMPUTED_VALUE"""),"MOBILECARE - DAVAO")</f>
        <v>MOBILECARE - DAVAO</v>
      </c>
      <c r="D230" s="2" t="str">
        <f>IFERROR(__xludf.DUMMYFUNCTION("""COMPUTED_VALUE"""),"PP661-23454")</f>
        <v>PP661-23454</v>
      </c>
      <c r="E230" s="2" t="str">
        <f>IFERROR(__xludf.DUMMYFUNCTION("""COMPUTED_VALUE"""),"iPhone 13, Midnight, 128GB, Logic Board Assy Rear System, ROW")</f>
        <v>iPhone 13, Midnight, 128GB, Logic Board Assy Rear System, ROW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>
      <c r="A231" s="3" t="str">
        <f t="shared" si="1"/>
        <v>June</v>
      </c>
      <c r="B231" s="11">
        <f>IFERROR(__xludf.DUMMYFUNCTION("""COMPUTED_VALUE"""),46188.0)</f>
        <v>46188</v>
      </c>
      <c r="C231" s="2" t="str">
        <f>IFERROR(__xludf.DUMMYFUNCTION("""COMPUTED_VALUE"""),"MOBILECARE - DAVAO")</f>
        <v>MOBILECARE - DAVAO</v>
      </c>
      <c r="D231" s="2" t="str">
        <f>IFERROR(__xludf.DUMMYFUNCTION("""COMPUTED_VALUE"""),"TA661-36691")</f>
        <v>TA661-36691</v>
      </c>
      <c r="E231" s="2" t="str">
        <f>IFERROR(__xludf.DUMMYFUNCTION("""COMPUTED_VALUE"""),"iPhone 15, Black, 128GB, Logic Board Assy Mid System, ROW")</f>
        <v>iPhone 15, Black, 128GB, Logic Board Assy Mid System, ROW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>
      <c r="A232" s="3" t="str">
        <f t="shared" si="1"/>
        <v>May</v>
      </c>
      <c r="B232" s="11">
        <f>IFERROR(__xludf.DUMMYFUNCTION("""COMPUTED_VALUE"""),46148.0)</f>
        <v>46148</v>
      </c>
      <c r="C232" s="2" t="str">
        <f>IFERROR(__xludf.DUMMYFUNCTION("""COMPUTED_VALUE"""),"MOBILECARE - DAVAO")</f>
        <v>MOBILECARE - DAVAO</v>
      </c>
      <c r="D232" s="2" t="str">
        <f>IFERROR(__xludf.DUMMYFUNCTION("""COMPUTED_VALUE"""),"PP661-28868")</f>
        <v>PP661-28868</v>
      </c>
      <c r="E232" s="2" t="str">
        <f>IFERROR(__xludf.DUMMYFUNCTION("""COMPUTED_VALUE"""),"iPhone 14, Midnight, 128GB, Logic Board Assy Mid System, ROW")</f>
        <v>iPhone 14, Midnight, 128GB, Logic Board Assy Mid System, ROW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>
      <c r="A233" s="3" t="str">
        <f t="shared" si="1"/>
        <v>March</v>
      </c>
      <c r="B233" s="11">
        <f>IFERROR(__xludf.DUMMYFUNCTION("""COMPUTED_VALUE"""),46093.0)</f>
        <v>46093</v>
      </c>
      <c r="C233" s="2" t="str">
        <f>IFERROR(__xludf.DUMMYFUNCTION("""COMPUTED_VALUE"""),"MOBILECARE - DAVAO")</f>
        <v>MOBILECARE - DAVAO</v>
      </c>
      <c r="D233" s="2" t="str">
        <f>IFERROR(__xludf.DUMMYFUNCTION("""COMPUTED_VALUE"""),"PP661-23454")</f>
        <v>PP661-23454</v>
      </c>
      <c r="E233" s="2" t="str">
        <f>IFERROR(__xludf.DUMMYFUNCTION("""COMPUTED_VALUE"""),"iPhone 13, Midnight, 128GB, Logic Board Assy Rear System, ROW")</f>
        <v>iPhone 13, Midnight, 128GB, Logic Board Assy Rear System, ROW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>
      <c r="A234" s="3" t="str">
        <f t="shared" si="1"/>
        <v>April</v>
      </c>
      <c r="B234" s="11">
        <f>IFERROR(__xludf.DUMMYFUNCTION("""COMPUTED_VALUE"""),46120.0)</f>
        <v>46120</v>
      </c>
      <c r="C234" s="2" t="str">
        <f>IFERROR(__xludf.DUMMYFUNCTION("""COMPUTED_VALUE"""),"MOBILECARE - DAVAO")</f>
        <v>MOBILECARE - DAVAO</v>
      </c>
      <c r="D234" s="2" t="str">
        <f>IFERROR(__xludf.DUMMYFUNCTION("""COMPUTED_VALUE"""),"PP661-23454")</f>
        <v>PP661-23454</v>
      </c>
      <c r="E234" s="2" t="str">
        <f>IFERROR(__xludf.DUMMYFUNCTION("""COMPUTED_VALUE"""),"iPhone 13, Midnight, 128GB, Logic Board Assy Rear System, ROW")</f>
        <v>iPhone 13, Midnight, 128GB, Logic Board Assy Rear System, ROW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>
      <c r="A235" s="3" t="str">
        <f t="shared" si="1"/>
        <v>June</v>
      </c>
      <c r="B235" s="11">
        <f>IFERROR(__xludf.DUMMYFUNCTION("""COMPUTED_VALUE"""),46185.0)</f>
        <v>46185</v>
      </c>
      <c r="C235" s="2" t="str">
        <f>IFERROR(__xludf.DUMMYFUNCTION("""COMPUTED_VALUE"""),"MOBILECARE - DAVAO")</f>
        <v>MOBILECARE - DAVAO</v>
      </c>
      <c r="D235" s="2" t="str">
        <f>IFERROR(__xludf.DUMMYFUNCTION("""COMPUTED_VALUE"""),"TA661-44996")</f>
        <v>TA661-44996</v>
      </c>
      <c r="E235" s="2" t="str">
        <f>IFERROR(__xludf.DUMMYFUNCTION("""COMPUTED_VALUE"""),"128GB, White Titanium, ROW, iPhone 16 Pro, Logic Board Assy Mid System")</f>
        <v>128GB, White Titanium, ROW, iPhone 16 Pro, Logic Board Assy Mid System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>
      <c r="A236" s="3" t="str">
        <f t="shared" si="1"/>
        <v>April</v>
      </c>
      <c r="B236" s="11">
        <f>IFERROR(__xludf.DUMMYFUNCTION("""COMPUTED_VALUE"""),46123.0)</f>
        <v>46123</v>
      </c>
      <c r="C236" s="2" t="str">
        <f>IFERROR(__xludf.DUMMYFUNCTION("""COMPUTED_VALUE"""),"MOBILECARE - DAVAO")</f>
        <v>MOBILECARE - DAVAO</v>
      </c>
      <c r="D236" s="2" t="str">
        <f>IFERROR(__xludf.DUMMYFUNCTION("""COMPUTED_VALUE"""),"TA661-36694")</f>
        <v>TA661-36694</v>
      </c>
      <c r="E236" s="2" t="str">
        <f>IFERROR(__xludf.DUMMYFUNCTION("""COMPUTED_VALUE"""),"iPhone 15, Blue, 128GB, Logic Board Assy Mid System, ROW")</f>
        <v>iPhone 15, Blue, 128GB, Logic Board Assy Mid System, ROW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>
      <c r="A237" s="3" t="str">
        <f t="shared" si="1"/>
        <v>April</v>
      </c>
      <c r="B237" s="11">
        <f>IFERROR(__xludf.DUMMYFUNCTION("""COMPUTED_VALUE"""),46117.0)</f>
        <v>46117</v>
      </c>
      <c r="C237" s="2" t="str">
        <f>IFERROR(__xludf.DUMMYFUNCTION("""COMPUTED_VALUE"""),"MOBILECARE - DAVAO")</f>
        <v>MOBILECARE - DAVAO</v>
      </c>
      <c r="D237" s="2" t="str">
        <f>IFERROR(__xludf.DUMMYFUNCTION("""COMPUTED_VALUE"""),"TA661-43609")</f>
        <v>TA661-43609</v>
      </c>
      <c r="E237" s="2" t="str">
        <f>IFERROR(__xludf.DUMMYFUNCTION("""COMPUTED_VALUE"""),"128GB, Teal, ROW, iPhone 16, Logic Board Assy Mid System")</f>
        <v>128GB, Teal, ROW, iPhone 16, Logic Board Assy Mid System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>
      <c r="A238" s="3" t="str">
        <f t="shared" si="1"/>
        <v>March</v>
      </c>
      <c r="B238" s="11">
        <f>IFERROR(__xludf.DUMMYFUNCTION("""COMPUTED_VALUE"""),46094.0)</f>
        <v>46094</v>
      </c>
      <c r="C238" s="2" t="str">
        <f>IFERROR(__xludf.DUMMYFUNCTION("""COMPUTED_VALUE"""),"MOBILECARE - DAVAO")</f>
        <v>MOBILECARE - DAVAO</v>
      </c>
      <c r="D238" s="2" t="str">
        <f>IFERROR(__xludf.DUMMYFUNCTION("""COMPUTED_VALUE"""),"PP661-23460")</f>
        <v>PP661-23460</v>
      </c>
      <c r="E238" s="2" t="str">
        <f>IFERROR(__xludf.DUMMYFUNCTION("""COMPUTED_VALUE"""),"iPhone 13, Starlight, 256GB, Logic Board Assy Rear System, ROW")</f>
        <v>iPhone 13, Starlight, 256GB, Logic Board Assy Rear System, ROW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>
      <c r="A239" s="3" t="str">
        <f t="shared" si="1"/>
        <v>March</v>
      </c>
      <c r="B239" s="11">
        <f>IFERROR(__xludf.DUMMYFUNCTION("""COMPUTED_VALUE"""),46094.0)</f>
        <v>46094</v>
      </c>
      <c r="C239" s="2" t="str">
        <f>IFERROR(__xludf.DUMMYFUNCTION("""COMPUTED_VALUE"""),"MOBILECARE - DAVAO")</f>
        <v>MOBILECARE - DAVAO</v>
      </c>
      <c r="D239" s="2" t="str">
        <f>IFERROR(__xludf.DUMMYFUNCTION("""COMPUTED_VALUE"""),"PP661-23455")</f>
        <v>PP661-23455</v>
      </c>
      <c r="E239" s="2" t="str">
        <f>IFERROR(__xludf.DUMMYFUNCTION("""COMPUTED_VALUE"""),"iPhone 13, Starlight, 128GB, Logic Board Assy Rear System, ROW")</f>
        <v>iPhone 13, Starlight, 128GB, Logic Board Assy Rear System, ROW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>
      <c r="A240" s="3" t="str">
        <f t="shared" si="1"/>
        <v>April</v>
      </c>
      <c r="B240" s="11">
        <f>IFERROR(__xludf.DUMMYFUNCTION("""COMPUTED_VALUE"""),46120.0)</f>
        <v>46120</v>
      </c>
      <c r="C240" s="2" t="str">
        <f>IFERROR(__xludf.DUMMYFUNCTION("""COMPUTED_VALUE"""),"MOBILECARE - DAVAO")</f>
        <v>MOBILECARE - DAVAO</v>
      </c>
      <c r="D240" s="2" t="str">
        <f>IFERROR(__xludf.DUMMYFUNCTION("""COMPUTED_VALUE"""),"PP661-23455")</f>
        <v>PP661-23455</v>
      </c>
      <c r="E240" s="2" t="str">
        <f>IFERROR(__xludf.DUMMYFUNCTION("""COMPUTED_VALUE"""),"iPhone 13, Starlight, 128GB, Logic Board Assy Rear System, ROW")</f>
        <v>iPhone 13, Starlight, 128GB, Logic Board Assy Rear System, ROW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>
      <c r="A241" s="3" t="str">
        <f t="shared" si="1"/>
        <v>February</v>
      </c>
      <c r="B241" s="11">
        <f>IFERROR(__xludf.DUMMYFUNCTION("""COMPUTED_VALUE"""),46076.0)</f>
        <v>46076</v>
      </c>
      <c r="C241" s="2" t="str">
        <f>IFERROR(__xludf.DUMMYFUNCTION("""COMPUTED_VALUE"""),"MOBILECARE - DAVAO")</f>
        <v>MOBILECARE - DAVAO</v>
      </c>
      <c r="D241" s="2" t="str">
        <f>IFERROR(__xludf.DUMMYFUNCTION("""COMPUTED_VALUE"""),"PP661-23455")</f>
        <v>PP661-23455</v>
      </c>
      <c r="E241" s="2" t="str">
        <f>IFERROR(__xludf.DUMMYFUNCTION("""COMPUTED_VALUE"""),"iPhone 13, Starlight, 128GB, Logic Board Assy Rear System, ROW")</f>
        <v>iPhone 13, Starlight, 128GB, Logic Board Assy Rear System, ROW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>
      <c r="A242" s="3" t="str">
        <f t="shared" si="1"/>
        <v>February</v>
      </c>
      <c r="B242" s="11">
        <f>IFERROR(__xludf.DUMMYFUNCTION("""COMPUTED_VALUE"""),46081.0)</f>
        <v>46081</v>
      </c>
      <c r="C242" s="2" t="str">
        <f>IFERROR(__xludf.DUMMYFUNCTION("""COMPUTED_VALUE"""),"MOBILECARE - DAVAO")</f>
        <v>MOBILECARE - DAVAO</v>
      </c>
      <c r="D242" s="2" t="str">
        <f>IFERROR(__xludf.DUMMYFUNCTION("""COMPUTED_VALUE"""),"PP661-28871")</f>
        <v>PP661-28871</v>
      </c>
      <c r="E242" s="2" t="str">
        <f>IFERROR(__xludf.DUMMYFUNCTION("""COMPUTED_VALUE"""),"iPhone 14, Blue, 128GB, Logic Board Assy Mid System, ROW")</f>
        <v>iPhone 14, Blue, 128GB, Logic Board Assy Mid System, ROW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>
      <c r="A243" s="3" t="str">
        <f t="shared" si="1"/>
        <v>April</v>
      </c>
      <c r="B243" s="11">
        <f>IFERROR(__xludf.DUMMYFUNCTION("""COMPUTED_VALUE"""),46113.0)</f>
        <v>46113</v>
      </c>
      <c r="C243" s="2" t="str">
        <f>IFERROR(__xludf.DUMMYFUNCTION("""COMPUTED_VALUE"""),"MOBILECARE - DAVAO")</f>
        <v>MOBILECARE - DAVAO</v>
      </c>
      <c r="D243" s="2" t="str">
        <f>IFERROR(__xludf.DUMMYFUNCTION("""COMPUTED_VALUE"""),"PP661-23455")</f>
        <v>PP661-23455</v>
      </c>
      <c r="E243" s="2" t="str">
        <f>IFERROR(__xludf.DUMMYFUNCTION("""COMPUTED_VALUE"""),"iPhone 13, Starlight, 128GB, Logic Board Assy Rear System, ROW")</f>
        <v>iPhone 13, Starlight, 128GB, Logic Board Assy Rear System, ROW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>
      <c r="A244" s="3" t="str">
        <f t="shared" si="1"/>
        <v>March</v>
      </c>
      <c r="B244" s="11">
        <f>IFERROR(__xludf.DUMMYFUNCTION("""COMPUTED_VALUE"""),46096.0)</f>
        <v>46096</v>
      </c>
      <c r="C244" s="2" t="str">
        <f>IFERROR(__xludf.DUMMYFUNCTION("""COMPUTED_VALUE"""),"MOBILECARE - DAVAO")</f>
        <v>MOBILECARE - DAVAO</v>
      </c>
      <c r="D244" s="2" t="str">
        <f>IFERROR(__xludf.DUMMYFUNCTION("""COMPUTED_VALUE"""),"PP661-23455")</f>
        <v>PP661-23455</v>
      </c>
      <c r="E244" s="2" t="str">
        <f>IFERROR(__xludf.DUMMYFUNCTION("""COMPUTED_VALUE"""),"iPhone 13, Starlight, 128GB, Logic Board Assy Rear System, ROW")</f>
        <v>iPhone 13, Starlight, 128GB, Logic Board Assy Rear System, ROW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>
      <c r="A245" s="3" t="str">
        <f t="shared" si="1"/>
        <v>April</v>
      </c>
      <c r="B245" s="11">
        <f>IFERROR(__xludf.DUMMYFUNCTION("""COMPUTED_VALUE"""),46129.0)</f>
        <v>46129</v>
      </c>
      <c r="C245" s="2" t="str">
        <f>IFERROR(__xludf.DUMMYFUNCTION("""COMPUTED_VALUE"""),"MOBILECARE - DAVAO")</f>
        <v>MOBILECARE - DAVAO</v>
      </c>
      <c r="D245" s="2" t="str">
        <f>IFERROR(__xludf.DUMMYFUNCTION("""COMPUTED_VALUE"""),"PP661-23455")</f>
        <v>PP661-23455</v>
      </c>
      <c r="E245" s="2" t="str">
        <f>IFERROR(__xludf.DUMMYFUNCTION("""COMPUTED_VALUE"""),"iPhone 13, Starlight, 128GB, Logic Board Assy Rear System, ROW")</f>
        <v>iPhone 13, Starlight, 128GB, Logic Board Assy Rear System, ROW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>
      <c r="A246" s="3" t="str">
        <f t="shared" si="1"/>
        <v>April</v>
      </c>
      <c r="B246" s="11">
        <f>IFERROR(__xludf.DUMMYFUNCTION("""COMPUTED_VALUE"""),46116.0)</f>
        <v>46116</v>
      </c>
      <c r="C246" s="2" t="str">
        <f>IFERROR(__xludf.DUMMYFUNCTION("""COMPUTED_VALUE"""),"MOBILECARE - DAVAO")</f>
        <v>MOBILECARE - DAVAO</v>
      </c>
      <c r="D246" s="2" t="str">
        <f>IFERROR(__xludf.DUMMYFUNCTION("""COMPUTED_VALUE"""),"TA661-36697")</f>
        <v>TA661-36697</v>
      </c>
      <c r="E246" s="2" t="str">
        <f>IFERROR(__xludf.DUMMYFUNCTION("""COMPUTED_VALUE"""),"iPhone 15, Pink, 256GB, Logic Board Assy Mid System, ROW")</f>
        <v>iPhone 15, Pink, 256GB, Logic Board Assy Mid System, ROW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>
      <c r="A247" s="3" t="str">
        <f t="shared" si="1"/>
        <v>March</v>
      </c>
      <c r="B247" s="11">
        <f>IFERROR(__xludf.DUMMYFUNCTION("""COMPUTED_VALUE"""),46099.0)</f>
        <v>46099</v>
      </c>
      <c r="C247" s="2" t="str">
        <f>IFERROR(__xludf.DUMMYFUNCTION("""COMPUTED_VALUE"""),"MOBILECARE - DAVAO")</f>
        <v>MOBILECARE - DAVAO</v>
      </c>
      <c r="D247" s="2" t="str">
        <f>IFERROR(__xludf.DUMMYFUNCTION("""COMPUTED_VALUE"""),"PP661-23455")</f>
        <v>PP661-23455</v>
      </c>
      <c r="E247" s="2" t="str">
        <f>IFERROR(__xludf.DUMMYFUNCTION("""COMPUTED_VALUE"""),"iPhone 13, Starlight, 128GB, Logic Board Assy Rear System, ROW")</f>
        <v>iPhone 13, Starlight, 128GB, Logic Board Assy Rear System, ROW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>
      <c r="A248" s="3" t="str">
        <f t="shared" si="1"/>
        <v>February</v>
      </c>
      <c r="B248" s="11">
        <f>IFERROR(__xludf.DUMMYFUNCTION("""COMPUTED_VALUE"""),46076.0)</f>
        <v>46076</v>
      </c>
      <c r="C248" s="2" t="str">
        <f>IFERROR(__xludf.DUMMYFUNCTION("""COMPUTED_VALUE"""),"MOBILECARE - DAVAO")</f>
        <v>MOBILECARE - DAVAO</v>
      </c>
      <c r="D248" s="2" t="str">
        <f>IFERROR(__xludf.DUMMYFUNCTION("""COMPUTED_VALUE"""),"PP661-23454")</f>
        <v>PP661-23454</v>
      </c>
      <c r="E248" s="2" t="str">
        <f>IFERROR(__xludf.DUMMYFUNCTION("""COMPUTED_VALUE"""),"iPhone 13, Midnight, 128GB, Logic Board Assy Rear System, ROW")</f>
        <v>iPhone 13, Midnight, 128GB, Logic Board Assy Rear System, ROW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>
      <c r="A249" s="3" t="str">
        <f t="shared" si="1"/>
        <v>June</v>
      </c>
      <c r="B249" s="11">
        <f>IFERROR(__xludf.DUMMYFUNCTION("""COMPUTED_VALUE"""),46188.0)</f>
        <v>46188</v>
      </c>
      <c r="C249" s="2" t="str">
        <f>IFERROR(__xludf.DUMMYFUNCTION("""COMPUTED_VALUE"""),"MOBILECARE - DAVAO")</f>
        <v>MOBILECARE - DAVAO</v>
      </c>
      <c r="D249" s="2" t="str">
        <f>IFERROR(__xludf.DUMMYFUNCTION("""COMPUTED_VALUE"""),"PP661-23454")</f>
        <v>PP661-23454</v>
      </c>
      <c r="E249" s="2" t="str">
        <f>IFERROR(__xludf.DUMMYFUNCTION("""COMPUTED_VALUE"""),"iPhone 13, Midnight, 128GB, Logic Board Assy Rear System, ROW")</f>
        <v>iPhone 13, Midnight, 128GB, Logic Board Assy Rear System, ROW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>
      <c r="A250" s="3" t="str">
        <f t="shared" si="1"/>
        <v>May</v>
      </c>
      <c r="B250" s="11">
        <f>IFERROR(__xludf.DUMMYFUNCTION("""COMPUTED_VALUE"""),46151.0)</f>
        <v>46151</v>
      </c>
      <c r="C250" s="2" t="str">
        <f>IFERROR(__xludf.DUMMYFUNCTION("""COMPUTED_VALUE"""),"MOBILECARE - DAVAO")</f>
        <v>MOBILECARE - DAVAO</v>
      </c>
      <c r="D250" s="2" t="str">
        <f>IFERROR(__xludf.DUMMYFUNCTION("""COMPUTED_VALUE"""),"TA661-36694")</f>
        <v>TA661-36694</v>
      </c>
      <c r="E250" s="2" t="str">
        <f>IFERROR(__xludf.DUMMYFUNCTION("""COMPUTED_VALUE"""),"iPhone 15, Blue, 128GB, Logic Board Assy Mid System, ROW")</f>
        <v>iPhone 15, Blue, 128GB, Logic Board Assy Mid System, ROW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>
      <c r="A251" s="3" t="str">
        <f t="shared" si="1"/>
        <v>May</v>
      </c>
      <c r="B251" s="11">
        <f>IFERROR(__xludf.DUMMYFUNCTION("""COMPUTED_VALUE"""),46147.0)</f>
        <v>46147</v>
      </c>
      <c r="C251" s="2" t="str">
        <f>IFERROR(__xludf.DUMMYFUNCTION("""COMPUTED_VALUE"""),"MOBILECARE - DAVAO")</f>
        <v>MOBILECARE - DAVAO</v>
      </c>
      <c r="D251" s="2" t="str">
        <f>IFERROR(__xludf.DUMMYFUNCTION("""COMPUTED_VALUE"""),"PP661-28868")</f>
        <v>PP661-28868</v>
      </c>
      <c r="E251" s="2" t="str">
        <f>IFERROR(__xludf.DUMMYFUNCTION("""COMPUTED_VALUE"""),"iPhone 14, Midnight, 128GB, Logic Board Assy Mid System, ROW")</f>
        <v>iPhone 14, Midnight, 128GB, Logic Board Assy Mid System, ROW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>
      <c r="A252" s="3" t="str">
        <f t="shared" si="1"/>
        <v>May</v>
      </c>
      <c r="B252" s="11">
        <f>IFERROR(__xludf.DUMMYFUNCTION("""COMPUTED_VALUE"""),46145.0)</f>
        <v>46145</v>
      </c>
      <c r="C252" s="2" t="str">
        <f>IFERROR(__xludf.DUMMYFUNCTION("""COMPUTED_VALUE"""),"MOBILECARE - DAVAO")</f>
        <v>MOBILECARE - DAVAO</v>
      </c>
      <c r="D252" s="2" t="str">
        <f>IFERROR(__xludf.DUMMYFUNCTION("""COMPUTED_VALUE"""),"PP661-23454")</f>
        <v>PP661-23454</v>
      </c>
      <c r="E252" s="2" t="str">
        <f>IFERROR(__xludf.DUMMYFUNCTION("""COMPUTED_VALUE"""),"iPhone 13, Midnight, 128GB, Logic Board Assy Rear System, ROW")</f>
        <v>iPhone 13, Midnight, 128GB, Logic Board Assy Rear System, ROW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>
      <c r="A253" s="3" t="str">
        <f t="shared" si="1"/>
        <v>March</v>
      </c>
      <c r="B253" s="11">
        <f>IFERROR(__xludf.DUMMYFUNCTION("""COMPUTED_VALUE"""),46102.0)</f>
        <v>46102</v>
      </c>
      <c r="C253" s="2" t="str">
        <f>IFERROR(__xludf.DUMMYFUNCTION("""COMPUTED_VALUE"""),"MOBILECARE - DAVAO")</f>
        <v>MOBILECARE - DAVAO</v>
      </c>
      <c r="D253" s="2" t="str">
        <f>IFERROR(__xludf.DUMMYFUNCTION("""COMPUTED_VALUE"""),"TA661-43605")</f>
        <v>TA661-43605</v>
      </c>
      <c r="E253" s="2" t="str">
        <f>IFERROR(__xludf.DUMMYFUNCTION("""COMPUTED_VALUE"""),"128GB, Black, ROW, iPhone 16, Logic Board Assy Mid System")</f>
        <v>128GB, Black, ROW, iPhone 16, Logic Board Assy Mid System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>
      <c r="A254" s="3" t="str">
        <f t="shared" si="1"/>
        <v>June</v>
      </c>
      <c r="B254" s="11">
        <f>IFERROR(__xludf.DUMMYFUNCTION("""COMPUTED_VALUE"""),46192.0)</f>
        <v>46192</v>
      </c>
      <c r="C254" s="2" t="str">
        <f>IFERROR(__xludf.DUMMYFUNCTION("""COMPUTED_VALUE"""),"MOBILECARE - DAVAO")</f>
        <v>MOBILECARE - DAVAO</v>
      </c>
      <c r="D254" s="2" t="str">
        <f>IFERROR(__xludf.DUMMYFUNCTION("""COMPUTED_VALUE"""),"PP661-23455")</f>
        <v>PP661-23455</v>
      </c>
      <c r="E254" s="2" t="str">
        <f>IFERROR(__xludf.DUMMYFUNCTION("""COMPUTED_VALUE"""),"iPhone 13, Starlight, 128GB, Logic Board Assy Rear System, ROW")</f>
        <v>iPhone 13, Starlight, 128GB, Logic Board Assy Rear System, ROW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>
      <c r="A255" s="3" t="str">
        <f t="shared" si="1"/>
        <v>June</v>
      </c>
      <c r="B255" s="11">
        <f>IFERROR(__xludf.DUMMYFUNCTION("""COMPUTED_VALUE"""),46187.0)</f>
        <v>46187</v>
      </c>
      <c r="C255" s="2" t="str">
        <f>IFERROR(__xludf.DUMMYFUNCTION("""COMPUTED_VALUE"""),"MOBILECARE - DAVAO")</f>
        <v>MOBILECARE - DAVAO</v>
      </c>
      <c r="D255" s="2" t="str">
        <f>IFERROR(__xludf.DUMMYFUNCTION("""COMPUTED_VALUE"""),"TA661-36694")</f>
        <v>TA661-36694</v>
      </c>
      <c r="E255" s="2" t="str">
        <f>IFERROR(__xludf.DUMMYFUNCTION("""COMPUTED_VALUE"""),"iPhone 15, Blue, 128GB, Logic Board Assy Mid System, ROW")</f>
        <v>iPhone 15, Blue, 128GB, Logic Board Assy Mid System, ROW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>
      <c r="A256" s="3" t="str">
        <f t="shared" si="1"/>
        <v>January</v>
      </c>
      <c r="B256" s="11">
        <f>IFERROR(__xludf.DUMMYFUNCTION("""COMPUTED_VALUE"""),46051.0)</f>
        <v>46051</v>
      </c>
      <c r="C256" s="2" t="str">
        <f>IFERROR(__xludf.DUMMYFUNCTION("""COMPUTED_VALUE"""),"MOBILECARE - DAVAO")</f>
        <v>MOBILECARE - DAVAO</v>
      </c>
      <c r="D256" s="2" t="str">
        <f>IFERROR(__xludf.DUMMYFUNCTION("""COMPUTED_VALUE"""),"PP661-23454")</f>
        <v>PP661-23454</v>
      </c>
      <c r="E256" s="2" t="str">
        <f>IFERROR(__xludf.DUMMYFUNCTION("""COMPUTED_VALUE"""),"iPhone 13, Midnight, 128GB, Logic Board Assy Rear System, ROW")</f>
        <v>iPhone 13, Midnight, 128GB, Logic Board Assy Rear System, ROW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>
      <c r="A257" s="3" t="str">
        <f t="shared" si="1"/>
        <v>April</v>
      </c>
      <c r="B257" s="11">
        <f>IFERROR(__xludf.DUMMYFUNCTION("""COMPUTED_VALUE"""),46123.0)</f>
        <v>46123</v>
      </c>
      <c r="C257" s="2" t="str">
        <f>IFERROR(__xludf.DUMMYFUNCTION("""COMPUTED_VALUE"""),"MOBILECARE - DAVAO")</f>
        <v>MOBILECARE - DAVAO</v>
      </c>
      <c r="D257" s="2" t="str">
        <f>IFERROR(__xludf.DUMMYFUNCTION("""COMPUTED_VALUE"""),"PP661-23455")</f>
        <v>PP661-23455</v>
      </c>
      <c r="E257" s="2" t="str">
        <f>IFERROR(__xludf.DUMMYFUNCTION("""COMPUTED_VALUE"""),"iPhone 13, Starlight, 128GB, Logic Board Assy Rear System, ROW")</f>
        <v>iPhone 13, Starlight, 128GB, Logic Board Assy Rear System, ROW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>
      <c r="A258" s="3" t="str">
        <f t="shared" si="1"/>
        <v>February</v>
      </c>
      <c r="B258" s="11">
        <f>IFERROR(__xludf.DUMMYFUNCTION("""COMPUTED_VALUE"""),46059.0)</f>
        <v>46059</v>
      </c>
      <c r="C258" s="2" t="str">
        <f>IFERROR(__xludf.DUMMYFUNCTION("""COMPUTED_VALUE"""),"MOBILECARE - DAVAO")</f>
        <v>MOBILECARE - DAVAO</v>
      </c>
      <c r="D258" s="2" t="str">
        <f>IFERROR(__xludf.DUMMYFUNCTION("""COMPUTED_VALUE"""),"PP661-23454")</f>
        <v>PP661-23454</v>
      </c>
      <c r="E258" s="2" t="str">
        <f>IFERROR(__xludf.DUMMYFUNCTION("""COMPUTED_VALUE"""),"iPhone 13, Midnight, 128GB, Logic Board Assy Rear System, ROW")</f>
        <v>iPhone 13, Midnight, 128GB, Logic Board Assy Rear System, ROW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>
      <c r="A259" s="3" t="str">
        <f t="shared" si="1"/>
        <v>June</v>
      </c>
      <c r="B259" s="11">
        <f>IFERROR(__xludf.DUMMYFUNCTION("""COMPUTED_VALUE"""),46192.0)</f>
        <v>46192</v>
      </c>
      <c r="C259" s="2" t="str">
        <f>IFERROR(__xludf.DUMMYFUNCTION("""COMPUTED_VALUE"""),"MOBILECARE - DAVAO")</f>
        <v>MOBILECARE - DAVAO</v>
      </c>
      <c r="D259" s="2" t="str">
        <f>IFERROR(__xludf.DUMMYFUNCTION("""COMPUTED_VALUE"""),"TA661-49965")</f>
        <v>TA661-49965</v>
      </c>
      <c r="E259" s="2" t="str">
        <f>IFERROR(__xludf.DUMMYFUNCTION("""COMPUTED_VALUE"""),"White, 128GB, Logic Board Assy Mid System, iPhone 16e, ROW")</f>
        <v>White, 128GB, Logic Board Assy Mid System, iPhone 16e, ROW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>
      <c r="A260" s="3" t="str">
        <f t="shared" si="1"/>
        <v>February</v>
      </c>
      <c r="B260" s="11">
        <f>IFERROR(__xludf.DUMMYFUNCTION("""COMPUTED_VALUE"""),46073.0)</f>
        <v>46073</v>
      </c>
      <c r="C260" s="2" t="str">
        <f>IFERROR(__xludf.DUMMYFUNCTION("""COMPUTED_VALUE"""),"MOBILECARE - DAVAO")</f>
        <v>MOBILECARE - DAVAO</v>
      </c>
      <c r="D260" s="2" t="str">
        <f>IFERROR(__xludf.DUMMYFUNCTION("""COMPUTED_VALUE"""),"PP661-23460")</f>
        <v>PP661-23460</v>
      </c>
      <c r="E260" s="2" t="str">
        <f>IFERROR(__xludf.DUMMYFUNCTION("""COMPUTED_VALUE"""),"iPhone 13, Starlight, 256GB, Logic Board Assy Rear System, ROW")</f>
        <v>iPhone 13, Starlight, 256GB, Logic Board Assy Rear System, ROW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>
      <c r="A261" s="3" t="str">
        <f t="shared" si="1"/>
        <v>April</v>
      </c>
      <c r="B261" s="11">
        <f>IFERROR(__xludf.DUMMYFUNCTION("""COMPUTED_VALUE"""),46117.0)</f>
        <v>46117</v>
      </c>
      <c r="C261" s="2" t="str">
        <f>IFERROR(__xludf.DUMMYFUNCTION("""COMPUTED_VALUE"""),"MOBILECARE - DAVAO")</f>
        <v>MOBILECARE - DAVAO</v>
      </c>
      <c r="D261" s="2" t="str">
        <f>IFERROR(__xludf.DUMMYFUNCTION("""COMPUTED_VALUE"""),"TA661-36696")</f>
        <v>TA661-36696</v>
      </c>
      <c r="E261" s="2" t="str">
        <f>IFERROR(__xludf.DUMMYFUNCTION("""COMPUTED_VALUE"""),"iPhone 15, Black, 256GB, Logic Board Assy Mid System, ROW")</f>
        <v>iPhone 15, Black, 256GB, Logic Board Assy Mid System, ROW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>
      <c r="A262" s="3" t="str">
        <f t="shared" si="1"/>
        <v>March</v>
      </c>
      <c r="B262" s="11">
        <f>IFERROR(__xludf.DUMMYFUNCTION("""COMPUTED_VALUE"""),46095.0)</f>
        <v>46095</v>
      </c>
      <c r="C262" s="2" t="str">
        <f>IFERROR(__xludf.DUMMYFUNCTION("""COMPUTED_VALUE"""),"MOBILECARE - DAVAO")</f>
        <v>MOBILECARE - DAVAO</v>
      </c>
      <c r="D262" s="2" t="str">
        <f>IFERROR(__xludf.DUMMYFUNCTION("""COMPUTED_VALUE"""),"PP661-23455")</f>
        <v>PP661-23455</v>
      </c>
      <c r="E262" s="2" t="str">
        <f>IFERROR(__xludf.DUMMYFUNCTION("""COMPUTED_VALUE"""),"iPhone 13, Starlight, 128GB, Logic Board Assy Rear System, ROW")</f>
        <v>iPhone 13, Starlight, 128GB, Logic Board Assy Rear System, ROW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>
      <c r="A263" s="3" t="str">
        <f t="shared" si="1"/>
        <v>February</v>
      </c>
      <c r="B263" s="11">
        <f>IFERROR(__xludf.DUMMYFUNCTION("""COMPUTED_VALUE"""),46067.0)</f>
        <v>46067</v>
      </c>
      <c r="C263" s="2" t="str">
        <f>IFERROR(__xludf.DUMMYFUNCTION("""COMPUTED_VALUE"""),"MOBILECARE - DAVAO")</f>
        <v>MOBILECARE - DAVAO</v>
      </c>
      <c r="D263" s="2" t="str">
        <f>IFERROR(__xludf.DUMMYFUNCTION("""COMPUTED_VALUE"""),"PP661-23454")</f>
        <v>PP661-23454</v>
      </c>
      <c r="E263" s="2" t="str">
        <f>IFERROR(__xludf.DUMMYFUNCTION("""COMPUTED_VALUE"""),"iPhone 13, Midnight, 128GB, Logic Board Assy Rear System, ROW")</f>
        <v>iPhone 13, Midnight, 128GB, Logic Board Assy Rear System, ROW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>
      <c r="A264" s="3" t="str">
        <f t="shared" si="1"/>
        <v>May</v>
      </c>
      <c r="B264" s="11">
        <f>IFERROR(__xludf.DUMMYFUNCTION("""COMPUTED_VALUE"""),46149.0)</f>
        <v>46149</v>
      </c>
      <c r="C264" s="2" t="str">
        <f>IFERROR(__xludf.DUMMYFUNCTION("""COMPUTED_VALUE"""),"MOBILECARE - DAVAO")</f>
        <v>MOBILECARE - DAVAO</v>
      </c>
      <c r="D264" s="2" t="str">
        <f>IFERROR(__xludf.DUMMYFUNCTION("""COMPUTED_VALUE"""),"PP661-23454")</f>
        <v>PP661-23454</v>
      </c>
      <c r="E264" s="2" t="str">
        <f>IFERROR(__xludf.DUMMYFUNCTION("""COMPUTED_VALUE"""),"iPhone 13, Midnight, 128GB, Logic Board Assy Rear System, ROW")</f>
        <v>iPhone 13, Midnight, 128GB, Logic Board Assy Rear System, ROW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>
      <c r="A265" s="3" t="str">
        <f t="shared" si="1"/>
        <v>March</v>
      </c>
      <c r="B265" s="11">
        <f>IFERROR(__xludf.DUMMYFUNCTION("""COMPUTED_VALUE"""),46088.0)</f>
        <v>46088</v>
      </c>
      <c r="C265" s="2" t="str">
        <f>IFERROR(__xludf.DUMMYFUNCTION("""COMPUTED_VALUE"""),"MOBILECARE - DAVAO")</f>
        <v>MOBILECARE - DAVAO</v>
      </c>
      <c r="D265" s="2" t="str">
        <f>IFERROR(__xludf.DUMMYFUNCTION("""COMPUTED_VALUE"""),"PP661-28868")</f>
        <v>PP661-28868</v>
      </c>
      <c r="E265" s="2" t="str">
        <f>IFERROR(__xludf.DUMMYFUNCTION("""COMPUTED_VALUE"""),"iPhone 14, Midnight, 128GB, Logic Board Assy Mid System, ROW")</f>
        <v>iPhone 14, Midnight, 128GB, Logic Board Assy Mid System, ROW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>
      <c r="A266" s="3" t="str">
        <f t="shared" si="1"/>
        <v>February</v>
      </c>
      <c r="B266" s="11">
        <f>IFERROR(__xludf.DUMMYFUNCTION("""COMPUTED_VALUE"""),46061.0)</f>
        <v>46061</v>
      </c>
      <c r="C266" s="2" t="str">
        <f>IFERROR(__xludf.DUMMYFUNCTION("""COMPUTED_VALUE"""),"MOBILECARE - DAVAO")</f>
        <v>MOBILECARE - DAVAO</v>
      </c>
      <c r="D266" s="2" t="str">
        <f>IFERROR(__xludf.DUMMYFUNCTION("""COMPUTED_VALUE"""),"TA661-43608")</f>
        <v>TA661-43608</v>
      </c>
      <c r="E266" s="2" t="str">
        <f>IFERROR(__xludf.DUMMYFUNCTION("""COMPUTED_VALUE"""),"128GB, Ultramarine, ROW, iPhone 16, Logic Board Assy Mid System")</f>
        <v>128GB, Ultramarine, ROW, iPhone 16, Logic Board Assy Mid System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>
      <c r="A267" s="3" t="str">
        <f t="shared" si="1"/>
        <v>February</v>
      </c>
      <c r="B267" s="11">
        <f>IFERROR(__xludf.DUMMYFUNCTION("""COMPUTED_VALUE"""),46054.0)</f>
        <v>46054</v>
      </c>
      <c r="C267" s="2" t="str">
        <f>IFERROR(__xludf.DUMMYFUNCTION("""COMPUTED_VALUE"""),"MOBILECARE - DAVAO")</f>
        <v>MOBILECARE - DAVAO</v>
      </c>
      <c r="D267" s="2" t="str">
        <f>IFERROR(__xludf.DUMMYFUNCTION("""COMPUTED_VALUE"""),"PP661-23454")</f>
        <v>PP661-23454</v>
      </c>
      <c r="E267" s="2" t="str">
        <f>IFERROR(__xludf.DUMMYFUNCTION("""COMPUTED_VALUE"""),"iPhone 13, Midnight, 128GB, Logic Board Assy Rear System, ROW")</f>
        <v>iPhone 13, Midnight, 128GB, Logic Board Assy Rear System, ROW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>
      <c r="A268" s="3" t="str">
        <f t="shared" si="1"/>
        <v>June</v>
      </c>
      <c r="B268" s="11">
        <f>IFERROR(__xludf.DUMMYFUNCTION("""COMPUTED_VALUE"""),46185.0)</f>
        <v>46185</v>
      </c>
      <c r="C268" s="2" t="str">
        <f>IFERROR(__xludf.DUMMYFUNCTION("""COMPUTED_VALUE"""),"MOBILECARE - DAVAO")</f>
        <v>MOBILECARE - DAVAO</v>
      </c>
      <c r="D268" s="2" t="str">
        <f>IFERROR(__xludf.DUMMYFUNCTION("""COMPUTED_VALUE"""),"661-42725")</f>
        <v>661-42725</v>
      </c>
      <c r="E268" s="2" t="str">
        <f>IFERROR(__xludf.DUMMYFUNCTION("""COMPUTED_VALUE"""),"Natural Titanium, Back Glass, iPhone 16 Pro")</f>
        <v>Natural Titanium, Back Glass, iPhone 16 Pro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>
      <c r="A269" s="3" t="str">
        <f t="shared" si="1"/>
        <v>June</v>
      </c>
      <c r="B269" s="11">
        <f>IFERROR(__xludf.DUMMYFUNCTION("""COMPUTED_VALUE"""),46190.0)</f>
        <v>46190</v>
      </c>
      <c r="C269" s="2" t="str">
        <f>IFERROR(__xludf.DUMMYFUNCTION("""COMPUTED_VALUE"""),"MOBILECARE - DAVAO")</f>
        <v>MOBILECARE - DAVAO</v>
      </c>
      <c r="D269" s="2" t="str">
        <f>IFERROR(__xludf.DUMMYFUNCTION("""COMPUTED_VALUE"""),"PP661-23455")</f>
        <v>PP661-23455</v>
      </c>
      <c r="E269" s="2" t="str">
        <f>IFERROR(__xludf.DUMMYFUNCTION("""COMPUTED_VALUE"""),"iPhone 13, Starlight, 128GB, Logic Board Assy Rear System, ROW")</f>
        <v>iPhone 13, Starlight, 128GB, Logic Board Assy Rear System, ROW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>
      <c r="A270" s="3" t="str">
        <f t="shared" si="1"/>
        <v>April</v>
      </c>
      <c r="B270" s="11">
        <f>IFERROR(__xludf.DUMMYFUNCTION("""COMPUTED_VALUE"""),46116.0)</f>
        <v>46116</v>
      </c>
      <c r="C270" s="2" t="str">
        <f>IFERROR(__xludf.DUMMYFUNCTION("""COMPUTED_VALUE"""),"MOBILECARE - DAVAO")</f>
        <v>MOBILECARE - DAVAO</v>
      </c>
      <c r="D270" s="2" t="str">
        <f>IFERROR(__xludf.DUMMYFUNCTION("""COMPUTED_VALUE"""),"661-56122")</f>
        <v>661-56122</v>
      </c>
      <c r="E270" s="2" t="str">
        <f>IFERROR(__xludf.DUMMYFUNCTION("""COMPUTED_VALUE"""),"Silver, Back Glass, iPhone 17 Pro")</f>
        <v>Silver, Back Glass, iPhone 17 Pro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>
      <c r="A271" s="3" t="str">
        <f t="shared" si="1"/>
        <v>June</v>
      </c>
      <c r="B271" s="11">
        <f>IFERROR(__xludf.DUMMYFUNCTION("""COMPUTED_VALUE"""),46187.0)</f>
        <v>46187</v>
      </c>
      <c r="C271" s="2" t="str">
        <f>IFERROR(__xludf.DUMMYFUNCTION("""COMPUTED_VALUE"""),"MOBILECARE - DAVAO")</f>
        <v>MOBILECARE - DAVAO</v>
      </c>
      <c r="D271" s="2" t="str">
        <f>IFERROR(__xludf.DUMMYFUNCTION("""COMPUTED_VALUE"""),"TA661-36694")</f>
        <v>TA661-36694</v>
      </c>
      <c r="E271" s="2" t="str">
        <f>IFERROR(__xludf.DUMMYFUNCTION("""COMPUTED_VALUE"""),"iPhone 15, Blue, 128GB, Logic Board Assy Mid System, ROW")</f>
        <v>iPhone 15, Blue, 128GB, Logic Board Assy Mid System, ROW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>
      <c r="A272" s="3" t="str">
        <f t="shared" si="1"/>
        <v>April</v>
      </c>
      <c r="B272" s="11">
        <f>IFERROR(__xludf.DUMMYFUNCTION("""COMPUTED_VALUE"""),46120.0)</f>
        <v>46120</v>
      </c>
      <c r="C272" s="2" t="str">
        <f>IFERROR(__xludf.DUMMYFUNCTION("""COMPUTED_VALUE"""),"MOBILECARE - DAVAO")</f>
        <v>MOBILECARE - DAVAO</v>
      </c>
      <c r="D272" s="2" t="str">
        <f>IFERROR(__xludf.DUMMYFUNCTION("""COMPUTED_VALUE"""),"PP661-23454")</f>
        <v>PP661-23454</v>
      </c>
      <c r="E272" s="2" t="str">
        <f>IFERROR(__xludf.DUMMYFUNCTION("""COMPUTED_VALUE"""),"iPhone 13, Midnight, 128GB, Logic Board Assy Rear System, ROW")</f>
        <v>iPhone 13, Midnight, 128GB, Logic Board Assy Rear System, ROW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>
      <c r="A273" s="3" t="str">
        <f t="shared" si="1"/>
        <v>February</v>
      </c>
      <c r="B273" s="11">
        <f>IFERROR(__xludf.DUMMYFUNCTION("""COMPUTED_VALUE"""),46076.0)</f>
        <v>46076</v>
      </c>
      <c r="C273" s="2" t="str">
        <f>IFERROR(__xludf.DUMMYFUNCTION("""COMPUTED_VALUE"""),"MOBILECARE - DAVAO")</f>
        <v>MOBILECARE - DAVAO</v>
      </c>
      <c r="D273" s="2" t="str">
        <f>IFERROR(__xludf.DUMMYFUNCTION("""COMPUTED_VALUE"""),"TA661-36694")</f>
        <v>TA661-36694</v>
      </c>
      <c r="E273" s="2" t="str">
        <f>IFERROR(__xludf.DUMMYFUNCTION("""COMPUTED_VALUE"""),"iPhone 15, Blue, 128GB, Logic Board Assy Mid System, ROW")</f>
        <v>iPhone 15, Blue, 128GB, Logic Board Assy Mid System, ROW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>
      <c r="A274" s="3" t="str">
        <f t="shared" si="1"/>
        <v>March</v>
      </c>
      <c r="B274" s="11">
        <f>IFERROR(__xludf.DUMMYFUNCTION("""COMPUTED_VALUE"""),46110.0)</f>
        <v>46110</v>
      </c>
      <c r="C274" s="2" t="str">
        <f>IFERROR(__xludf.DUMMYFUNCTION("""COMPUTED_VALUE"""),"MOBILECARE - DAVAO")</f>
        <v>MOBILECARE - DAVAO</v>
      </c>
      <c r="D274" s="2" t="str">
        <f>IFERROR(__xludf.DUMMYFUNCTION("""COMPUTED_VALUE"""),"PP661-28868")</f>
        <v>PP661-28868</v>
      </c>
      <c r="E274" s="2" t="str">
        <f>IFERROR(__xludf.DUMMYFUNCTION("""COMPUTED_VALUE"""),"iPhone 14, Midnight, 128GB, Logic Board Assy Mid System, ROW")</f>
        <v>iPhone 14, Midnight, 128GB, Logic Board Assy Mid System, ROW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>
      <c r="A275" s="3" t="str">
        <f t="shared" si="1"/>
        <v>April</v>
      </c>
      <c r="B275" s="11">
        <f>IFERROR(__xludf.DUMMYFUNCTION("""COMPUTED_VALUE"""),46131.0)</f>
        <v>46131</v>
      </c>
      <c r="C275" s="2" t="str">
        <f>IFERROR(__xludf.DUMMYFUNCTION("""COMPUTED_VALUE"""),"MOBILECARE - DAVAO")</f>
        <v>MOBILECARE - DAVAO</v>
      </c>
      <c r="D275" s="2" t="str">
        <f>IFERROR(__xludf.DUMMYFUNCTION("""COMPUTED_VALUE"""),"TA661-49966")</f>
        <v>TA661-49966</v>
      </c>
      <c r="E275" s="2" t="str">
        <f>IFERROR(__xludf.DUMMYFUNCTION("""COMPUTED_VALUE"""),"Black, 256GB, Logic Board Assy Mid System, iPhone 16e, ROW")</f>
        <v>Black, 256GB, Logic Board Assy Mid System, iPhone 16e, ROW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>
      <c r="A276" s="3" t="str">
        <f t="shared" si="1"/>
        <v>April</v>
      </c>
      <c r="B276" s="11">
        <f>IFERROR(__xludf.DUMMYFUNCTION("""COMPUTED_VALUE"""),46130.0)</f>
        <v>46130</v>
      </c>
      <c r="C276" s="2" t="str">
        <f>IFERROR(__xludf.DUMMYFUNCTION("""COMPUTED_VALUE"""),"MOBILECARE - DAVAO")</f>
        <v>MOBILECARE - DAVAO</v>
      </c>
      <c r="D276" s="2" t="str">
        <f>IFERROR(__xludf.DUMMYFUNCTION("""COMPUTED_VALUE"""),"PP661-23455")</f>
        <v>PP661-23455</v>
      </c>
      <c r="E276" s="2" t="str">
        <f>IFERROR(__xludf.DUMMYFUNCTION("""COMPUTED_VALUE"""),"iPhone 13, Starlight, 128GB, Logic Board Assy Rear System, ROW")</f>
        <v>iPhone 13, Starlight, 128GB, Logic Board Assy Rear System, ROW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>
      <c r="A277" s="3" t="str">
        <f t="shared" si="1"/>
        <v>March</v>
      </c>
      <c r="B277" s="11">
        <f>IFERROR(__xludf.DUMMYFUNCTION("""COMPUTED_VALUE"""),46099.0)</f>
        <v>46099</v>
      </c>
      <c r="C277" s="2" t="str">
        <f>IFERROR(__xludf.DUMMYFUNCTION("""COMPUTED_VALUE"""),"MOBILECARE - DAVAO")</f>
        <v>MOBILECARE - DAVAO</v>
      </c>
      <c r="D277" s="2" t="str">
        <f>IFERROR(__xludf.DUMMYFUNCTION("""COMPUTED_VALUE"""),"TA661-36694")</f>
        <v>TA661-36694</v>
      </c>
      <c r="E277" s="2" t="str">
        <f>IFERROR(__xludf.DUMMYFUNCTION("""COMPUTED_VALUE"""),"iPhone 15, Blue, 128GB, Logic Board Assy Mid System, ROW")</f>
        <v>iPhone 15, Blue, 128GB, Logic Board Assy Mid System, ROW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>
      <c r="A278" s="3" t="str">
        <f t="shared" si="1"/>
        <v>February</v>
      </c>
      <c r="B278" s="11">
        <f>IFERROR(__xludf.DUMMYFUNCTION("""COMPUTED_VALUE"""),46073.0)</f>
        <v>46073</v>
      </c>
      <c r="C278" s="2" t="str">
        <f>IFERROR(__xludf.DUMMYFUNCTION("""COMPUTED_VALUE"""),"MOBILECARE - DAVAO")</f>
        <v>MOBILECARE - DAVAO</v>
      </c>
      <c r="D278" s="2" t="str">
        <f>IFERROR(__xludf.DUMMYFUNCTION("""COMPUTED_VALUE"""),"TA661-45231")</f>
        <v>TA661-45231</v>
      </c>
      <c r="E278" s="2" t="str">
        <f>IFERROR(__xludf.DUMMYFUNCTION("""COMPUTED_VALUE"""),"128GB, Black, ROW, iPhone 16 Plus, Logic Board Assy Mid System")</f>
        <v>128GB, Black, ROW, iPhone 16 Plus, Logic Board Assy Mid System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>
      <c r="A279" s="3" t="str">
        <f t="shared" si="1"/>
        <v>February</v>
      </c>
      <c r="B279" s="11">
        <f>IFERROR(__xludf.DUMMYFUNCTION("""COMPUTED_VALUE"""),46055.0)</f>
        <v>46055</v>
      </c>
      <c r="C279" s="2" t="str">
        <f>IFERROR(__xludf.DUMMYFUNCTION("""COMPUTED_VALUE"""),"MOBILECARE - DAVAO")</f>
        <v>MOBILECARE - DAVAO</v>
      </c>
      <c r="D279" s="2" t="str">
        <f>IFERROR(__xludf.DUMMYFUNCTION("""COMPUTED_VALUE"""),"TA661-36694")</f>
        <v>TA661-36694</v>
      </c>
      <c r="E279" s="2" t="str">
        <f>IFERROR(__xludf.DUMMYFUNCTION("""COMPUTED_VALUE"""),"iPhone 15, Blue, 128GB, Logic Board Assy Mid System, ROW")</f>
        <v>iPhone 15, Blue, 128GB, Logic Board Assy Mid System, ROW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>
      <c r="A280" s="3" t="str">
        <f t="shared" si="1"/>
        <v>June</v>
      </c>
      <c r="B280" s="11">
        <f>IFERROR(__xludf.DUMMYFUNCTION("""COMPUTED_VALUE"""),46180.0)</f>
        <v>46180</v>
      </c>
      <c r="C280" s="2" t="str">
        <f>IFERROR(__xludf.DUMMYFUNCTION("""COMPUTED_VALUE"""),"MOBILECARE - DAVAO")</f>
        <v>MOBILECARE - DAVAO</v>
      </c>
      <c r="D280" s="2" t="str">
        <f>IFERROR(__xludf.DUMMYFUNCTION("""COMPUTED_VALUE"""),"PP661-23454")</f>
        <v>PP661-23454</v>
      </c>
      <c r="E280" s="2" t="str">
        <f>IFERROR(__xludf.DUMMYFUNCTION("""COMPUTED_VALUE"""),"iPhone 13, Midnight, 128GB, Logic Board Assy Rear System, ROW")</f>
        <v>iPhone 13, Midnight, 128GB, Logic Board Assy Rear System, ROW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>
      <c r="A281" s="3" t="str">
        <f t="shared" si="1"/>
        <v>June</v>
      </c>
      <c r="B281" s="11">
        <f>IFERROR(__xludf.DUMMYFUNCTION("""COMPUTED_VALUE"""),46187.0)</f>
        <v>46187</v>
      </c>
      <c r="C281" s="2" t="str">
        <f>IFERROR(__xludf.DUMMYFUNCTION("""COMPUTED_VALUE"""),"MOBILECARE - DAVAO")</f>
        <v>MOBILECARE - DAVAO</v>
      </c>
      <c r="D281" s="2" t="str">
        <f>IFERROR(__xludf.DUMMYFUNCTION("""COMPUTED_VALUE"""),"PP661-28869")</f>
        <v>PP661-28869</v>
      </c>
      <c r="E281" s="2" t="str">
        <f>IFERROR(__xludf.DUMMYFUNCTION("""COMPUTED_VALUE"""),"iPhone 14, Starlight, 128GB, Logic Board Assy Mid System, ROW")</f>
        <v>iPhone 14, Starlight, 128GB, Logic Board Assy Mid System, ROW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>
      <c r="A282" s="3" t="str">
        <f t="shared" si="1"/>
        <v>June</v>
      </c>
      <c r="B282" s="11">
        <f>IFERROR(__xludf.DUMMYFUNCTION("""COMPUTED_VALUE"""),46185.0)</f>
        <v>46185</v>
      </c>
      <c r="C282" s="2" t="str">
        <f>IFERROR(__xludf.DUMMYFUNCTION("""COMPUTED_VALUE"""),"MOBILECARE - DAVAO")</f>
        <v>MOBILECARE - DAVAO</v>
      </c>
      <c r="D282" s="2" t="str">
        <f>IFERROR(__xludf.DUMMYFUNCTION("""COMPUTED_VALUE"""),"PP661-23455")</f>
        <v>PP661-23455</v>
      </c>
      <c r="E282" s="2" t="str">
        <f>IFERROR(__xludf.DUMMYFUNCTION("""COMPUTED_VALUE"""),"iPhone 13, Starlight, 128GB, Logic Board Assy Rear System, ROW")</f>
        <v>iPhone 13, Starlight, 128GB, Logic Board Assy Rear System, ROW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>
      <c r="A283" s="3" t="str">
        <f t="shared" si="1"/>
        <v>May</v>
      </c>
      <c r="B283" s="11">
        <f>IFERROR(__xludf.DUMMYFUNCTION("""COMPUTED_VALUE"""),46156.0)</f>
        <v>46156</v>
      </c>
      <c r="C283" s="2" t="str">
        <f>IFERROR(__xludf.DUMMYFUNCTION("""COMPUTED_VALUE"""),"MOBILECARE - DAVAO")</f>
        <v>MOBILECARE - DAVAO</v>
      </c>
      <c r="D283" s="2" t="str">
        <f>IFERROR(__xludf.DUMMYFUNCTION("""COMPUTED_VALUE"""),"PP661-28874")</f>
        <v>PP661-28874</v>
      </c>
      <c r="E283" s="2" t="str">
        <f>IFERROR(__xludf.DUMMYFUNCTION("""COMPUTED_VALUE"""),"iPhone 14, Starlight, 256GB, Logic Board Assy Mid System, ROW")</f>
        <v>iPhone 14, Starlight, 256GB, Logic Board Assy Mid System, ROW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>
      <c r="A284" s="3" t="str">
        <f t="shared" si="1"/>
        <v>May</v>
      </c>
      <c r="B284" s="11">
        <f>IFERROR(__xludf.DUMMYFUNCTION("""COMPUTED_VALUE"""),46148.0)</f>
        <v>46148</v>
      </c>
      <c r="C284" s="2" t="str">
        <f>IFERROR(__xludf.DUMMYFUNCTION("""COMPUTED_VALUE"""),"MOBILECARE - DAVAO")</f>
        <v>MOBILECARE - DAVAO</v>
      </c>
      <c r="D284" s="2" t="str">
        <f>IFERROR(__xludf.DUMMYFUNCTION("""COMPUTED_VALUE"""),"PP661-23455")</f>
        <v>PP661-23455</v>
      </c>
      <c r="E284" s="2" t="str">
        <f>IFERROR(__xludf.DUMMYFUNCTION("""COMPUTED_VALUE"""),"iPhone 13, Starlight, 128GB, Logic Board Assy Rear System, ROW")</f>
        <v>iPhone 13, Starlight, 128GB, Logic Board Assy Rear System, ROW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>
      <c r="A285" s="3" t="str">
        <f t="shared" si="1"/>
        <v>May</v>
      </c>
      <c r="B285" s="11">
        <f>IFERROR(__xludf.DUMMYFUNCTION("""COMPUTED_VALUE"""),46148.0)</f>
        <v>46148</v>
      </c>
      <c r="C285" s="2" t="str">
        <f>IFERROR(__xludf.DUMMYFUNCTION("""COMPUTED_VALUE"""),"MOBILECARE - DAVAO")</f>
        <v>MOBILECARE - DAVAO</v>
      </c>
      <c r="D285" s="2" t="str">
        <f>IFERROR(__xludf.DUMMYFUNCTION("""COMPUTED_VALUE"""),"PP661-23455")</f>
        <v>PP661-23455</v>
      </c>
      <c r="E285" s="2" t="str">
        <f>IFERROR(__xludf.DUMMYFUNCTION("""COMPUTED_VALUE"""),"iPhone 13, Starlight, 128GB, Logic Board Assy Rear System, ROW")</f>
        <v>iPhone 13, Starlight, 128GB, Logic Board Assy Rear System, ROW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>
      <c r="A286" s="3" t="str">
        <f t="shared" si="1"/>
        <v>March</v>
      </c>
      <c r="B286" s="11">
        <f>IFERROR(__xludf.DUMMYFUNCTION("""COMPUTED_VALUE"""),46088.0)</f>
        <v>46088</v>
      </c>
      <c r="C286" s="2" t="str">
        <f>IFERROR(__xludf.DUMMYFUNCTION("""COMPUTED_VALUE"""),"MOBILECARE - DAVAO")</f>
        <v>MOBILECARE - DAVAO</v>
      </c>
      <c r="D286" s="2" t="str">
        <f>IFERROR(__xludf.DUMMYFUNCTION("""COMPUTED_VALUE"""),"PP661-23455")</f>
        <v>PP661-23455</v>
      </c>
      <c r="E286" s="2" t="str">
        <f>IFERROR(__xludf.DUMMYFUNCTION("""COMPUTED_VALUE"""),"iPhone 13, Starlight, 128GB, Logic Board Assy Rear System, ROW")</f>
        <v>iPhone 13, Starlight, 128GB, Logic Board Assy Rear System, ROW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>
      <c r="A287" s="3" t="str">
        <f t="shared" si="1"/>
        <v>March</v>
      </c>
      <c r="B287" s="11">
        <f>IFERROR(__xludf.DUMMYFUNCTION("""COMPUTED_VALUE"""),46090.0)</f>
        <v>46090</v>
      </c>
      <c r="C287" s="2" t="str">
        <f>IFERROR(__xludf.DUMMYFUNCTION("""COMPUTED_VALUE"""),"MOBILECARE - DAVAO")</f>
        <v>MOBILECARE - DAVAO</v>
      </c>
      <c r="D287" s="2" t="str">
        <f>IFERROR(__xludf.DUMMYFUNCTION("""COMPUTED_VALUE"""),"PP661-23455")</f>
        <v>PP661-23455</v>
      </c>
      <c r="E287" s="2" t="str">
        <f>IFERROR(__xludf.DUMMYFUNCTION("""COMPUTED_VALUE"""),"iPhone 13, Starlight, 128GB, Logic Board Assy Rear System, ROW")</f>
        <v>iPhone 13, Starlight, 128GB, Logic Board Assy Rear System, ROW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>
      <c r="A288" s="3" t="str">
        <f t="shared" si="1"/>
        <v>June</v>
      </c>
      <c r="B288" s="11">
        <f>IFERROR(__xludf.DUMMYFUNCTION("""COMPUTED_VALUE"""),46187.0)</f>
        <v>46187</v>
      </c>
      <c r="C288" s="2" t="str">
        <f>IFERROR(__xludf.DUMMYFUNCTION("""COMPUTED_VALUE"""),"MOBILECARE - DAVAO")</f>
        <v>MOBILECARE - DAVAO</v>
      </c>
      <c r="D288" s="2" t="str">
        <f>IFERROR(__xludf.DUMMYFUNCTION("""COMPUTED_VALUE"""),"PP661-28871")</f>
        <v>PP661-28871</v>
      </c>
      <c r="E288" s="2" t="str">
        <f>IFERROR(__xludf.DUMMYFUNCTION("""COMPUTED_VALUE"""),"iPhone 14, Blue, 128GB, Logic Board Assy Mid System, ROW")</f>
        <v>iPhone 14, Blue, 128GB, Logic Board Assy Mid System, ROW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>
      <c r="A289" s="3" t="str">
        <f t="shared" si="1"/>
        <v>April</v>
      </c>
      <c r="B289" s="11">
        <f>IFERROR(__xludf.DUMMYFUNCTION("""COMPUTED_VALUE"""),46127.0)</f>
        <v>46127</v>
      </c>
      <c r="C289" s="2" t="str">
        <f>IFERROR(__xludf.DUMMYFUNCTION("""COMPUTED_VALUE"""),"MOBILECARE - DAVAO")</f>
        <v>MOBILECARE - DAVAO</v>
      </c>
      <c r="D289" s="2" t="str">
        <f>IFERROR(__xludf.DUMMYFUNCTION("""COMPUTED_VALUE"""),"PP661-23455")</f>
        <v>PP661-23455</v>
      </c>
      <c r="E289" s="2" t="str">
        <f>IFERROR(__xludf.DUMMYFUNCTION("""COMPUTED_VALUE"""),"iPhone 13, Starlight, 128GB, Logic Board Assy Rear System, ROW")</f>
        <v>iPhone 13, Starlight, 128GB, Logic Board Assy Rear System, ROW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>
      <c r="A290" s="3" t="str">
        <f t="shared" si="1"/>
        <v>March</v>
      </c>
      <c r="B290" s="11">
        <f>IFERROR(__xludf.DUMMYFUNCTION("""COMPUTED_VALUE"""),46101.0)</f>
        <v>46101</v>
      </c>
      <c r="C290" s="2" t="str">
        <f>IFERROR(__xludf.DUMMYFUNCTION("""COMPUTED_VALUE"""),"MOBILECARE - DAVAO")</f>
        <v>MOBILECARE - DAVAO</v>
      </c>
      <c r="D290" s="2" t="str">
        <f>IFERROR(__xludf.DUMMYFUNCTION("""COMPUTED_VALUE"""),"PP661-28868")</f>
        <v>PP661-28868</v>
      </c>
      <c r="E290" s="2" t="str">
        <f>IFERROR(__xludf.DUMMYFUNCTION("""COMPUTED_VALUE"""),"iPhone 14, Midnight, 128GB, Logic Board Assy Mid System, ROW")</f>
        <v>iPhone 14, Midnight, 128GB, Logic Board Assy Mid System, ROW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>
      <c r="A291" s="3" t="str">
        <f t="shared" si="1"/>
        <v>April</v>
      </c>
      <c r="B291" s="11">
        <f>IFERROR(__xludf.DUMMYFUNCTION("""COMPUTED_VALUE"""),46116.0)</f>
        <v>46116</v>
      </c>
      <c r="C291" s="2" t="str">
        <f>IFERROR(__xludf.DUMMYFUNCTION("""COMPUTED_VALUE"""),"MOBILECARE - VERTIS NORTH")</f>
        <v>MOBILECARE - VERTIS NORTH</v>
      </c>
      <c r="D291" s="2" t="str">
        <f>IFERROR(__xludf.DUMMYFUNCTION("""COMPUTED_VALUE"""),"661-42722")</f>
        <v>661-42722</v>
      </c>
      <c r="E291" s="2" t="str">
        <f>IFERROR(__xludf.DUMMYFUNCTION("""COMPUTED_VALUE"""),"Black Titanium, Back Glass, iPhone 16 Pro")</f>
        <v>Black Titanium, Back Glass, iPhone 16 Pro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>
      <c r="A292" s="3" t="str">
        <f t="shared" si="1"/>
        <v>May</v>
      </c>
      <c r="B292" s="11">
        <f>IFERROR(__xludf.DUMMYFUNCTION("""COMPUTED_VALUE"""),46159.0)</f>
        <v>46159</v>
      </c>
      <c r="C292" s="2" t="str">
        <f>IFERROR(__xludf.DUMMYFUNCTION("""COMPUTED_VALUE"""),"MOBILECARE - VERTIS NORTH")</f>
        <v>MOBILECARE - VERTIS NORTH</v>
      </c>
      <c r="D292" s="2" t="str">
        <f>IFERROR(__xludf.DUMMYFUNCTION("""COMPUTED_VALUE"""),"661-44961")</f>
        <v>661-44961</v>
      </c>
      <c r="E292" s="2" t="str">
        <f>IFERROR(__xludf.DUMMYFUNCTION("""COMPUTED_VALUE"""),"Natural Titanium, Back Glass, iPhone 16 Pro Max")</f>
        <v>Natural Titanium, Back Glass, iPhone 16 Pro Max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>
      <c r="A293" s="3" t="str">
        <f t="shared" si="1"/>
        <v>January</v>
      </c>
      <c r="B293" s="11">
        <f>IFERROR(__xludf.DUMMYFUNCTION("""COMPUTED_VALUE"""),46037.0)</f>
        <v>46037</v>
      </c>
      <c r="C293" s="2" t="str">
        <f>IFERROR(__xludf.DUMMYFUNCTION("""COMPUTED_VALUE"""),"MOBILECARE - VERTIS NORTH")</f>
        <v>MOBILECARE - VERTIS NORTH</v>
      </c>
      <c r="D293" s="2" t="str">
        <f>IFERROR(__xludf.DUMMYFUNCTION("""COMPUTED_VALUE"""),"661-44959")</f>
        <v>661-44959</v>
      </c>
      <c r="E293" s="2" t="str">
        <f>IFERROR(__xludf.DUMMYFUNCTION("""COMPUTED_VALUE"""),"White Titanium, Back Glass, iPhone 16 Pro Max")</f>
        <v>White Titanium, Back Glass, iPhone 16 Pro Max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>
      <c r="A294" s="3" t="str">
        <f t="shared" si="1"/>
        <v>February</v>
      </c>
      <c r="B294" s="11">
        <f>IFERROR(__xludf.DUMMYFUNCTION("""COMPUTED_VALUE"""),46065.0)</f>
        <v>46065</v>
      </c>
      <c r="C294" s="2" t="str">
        <f>IFERROR(__xludf.DUMMYFUNCTION("""COMPUTED_VALUE"""),"MOBILECARE - CAGAYAN DE ORO")</f>
        <v>MOBILECARE - CAGAYAN DE ORO</v>
      </c>
      <c r="D294" s="2" t="str">
        <f>IFERROR(__xludf.DUMMYFUNCTION("""COMPUTED_VALUE"""),"PP661-23455")</f>
        <v>PP661-23455</v>
      </c>
      <c r="E294" s="2" t="str">
        <f>IFERROR(__xludf.DUMMYFUNCTION("""COMPUTED_VALUE"""),"iPhone 13, Starlight, 128GB, Logic Board Assy Rear System, ROW")</f>
        <v>iPhone 13, Starlight, 128GB, Logic Board Assy Rear System, ROW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>
      <c r="A295" s="3" t="str">
        <f t="shared" si="1"/>
        <v>March</v>
      </c>
      <c r="B295" s="11">
        <f>IFERROR(__xludf.DUMMYFUNCTION("""COMPUTED_VALUE"""),46112.0)</f>
        <v>46112</v>
      </c>
      <c r="C295" s="2" t="str">
        <f>IFERROR(__xludf.DUMMYFUNCTION("""COMPUTED_VALUE"""),"MOBILECARE - CAGAYAN DE ORO")</f>
        <v>MOBILECARE - CAGAYAN DE ORO</v>
      </c>
      <c r="D295" s="2" t="str">
        <f>IFERROR(__xludf.DUMMYFUNCTION("""COMPUTED_VALUE"""),"TA661-36694")</f>
        <v>TA661-36694</v>
      </c>
      <c r="E295" s="2" t="str">
        <f>IFERROR(__xludf.DUMMYFUNCTION("""COMPUTED_VALUE"""),"iPhone 15, Blue, 128GB, Logic Board Assy Mid System, ROW")</f>
        <v>iPhone 15, Blue, 128GB, Logic Board Assy Mid System, ROW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>
      <c r="A296" s="3" t="str">
        <f t="shared" si="1"/>
        <v>February</v>
      </c>
      <c r="B296" s="11">
        <f>IFERROR(__xludf.DUMMYFUNCTION("""COMPUTED_VALUE"""),46065.0)</f>
        <v>46065</v>
      </c>
      <c r="C296" s="2" t="str">
        <f>IFERROR(__xludf.DUMMYFUNCTION("""COMPUTED_VALUE"""),"MOBILECARE - CAGAYAN DE ORO")</f>
        <v>MOBILECARE - CAGAYAN DE ORO</v>
      </c>
      <c r="D296" s="2" t="str">
        <f>IFERROR(__xludf.DUMMYFUNCTION("""COMPUTED_VALUE"""),"661-42840")</f>
        <v>661-42840</v>
      </c>
      <c r="E296" s="2" t="str">
        <f>IFERROR(__xludf.DUMMYFUNCTION("""COMPUTED_VALUE"""),"PinkBack Glass, iPhone 16 Plus")</f>
        <v>PinkBack Glass, iPhone 16 Plus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>
      <c r="A297" s="3" t="str">
        <f t="shared" si="1"/>
        <v>March</v>
      </c>
      <c r="B297" s="11">
        <f>IFERROR(__xludf.DUMMYFUNCTION("""COMPUTED_VALUE"""),46101.0)</f>
        <v>46101</v>
      </c>
      <c r="C297" s="2" t="str">
        <f>IFERROR(__xludf.DUMMYFUNCTION("""COMPUTED_VALUE"""),"MOBILECARE - CAGAYAN DE ORO")</f>
        <v>MOBILECARE - CAGAYAN DE ORO</v>
      </c>
      <c r="D297" s="2" t="str">
        <f>IFERROR(__xludf.DUMMYFUNCTION("""COMPUTED_VALUE"""),"PP661-28868")</f>
        <v>PP661-28868</v>
      </c>
      <c r="E297" s="2" t="str">
        <f>IFERROR(__xludf.DUMMYFUNCTION("""COMPUTED_VALUE"""),"iPhone 14, Midnight, 128GB, Logic Board Assy Mid System, ROW")</f>
        <v>iPhone 14, Midnight, 128GB, Logic Board Assy Mid System, ROW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>
      <c r="A298" s="3" t="str">
        <f t="shared" si="1"/>
        <v>June</v>
      </c>
      <c r="B298" s="11">
        <f>IFERROR(__xludf.DUMMYFUNCTION("""COMPUTED_VALUE"""),46193.0)</f>
        <v>46193</v>
      </c>
      <c r="C298" s="2" t="str">
        <f>IFERROR(__xludf.DUMMYFUNCTION("""COMPUTED_VALUE"""),"MOBILECARE - CAGAYAN DE ORO")</f>
        <v>MOBILECARE - CAGAYAN DE ORO</v>
      </c>
      <c r="D298" s="2" t="str">
        <f>IFERROR(__xludf.DUMMYFUNCTION("""COMPUTED_VALUE"""),"TA661-36694")</f>
        <v>TA661-36694</v>
      </c>
      <c r="E298" s="2" t="str">
        <f>IFERROR(__xludf.DUMMYFUNCTION("""COMPUTED_VALUE"""),"iPhone 15, Blue, 128GB, Logic Board Assy Mid System, ROW")</f>
        <v>iPhone 15, Blue, 128GB, Logic Board Assy Mid System, ROW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>
      <c r="A299" s="3" t="str">
        <f t="shared" si="1"/>
        <v>March</v>
      </c>
      <c r="B299" s="11">
        <f>IFERROR(__xludf.DUMMYFUNCTION("""COMPUTED_VALUE"""),46102.0)</f>
        <v>46102</v>
      </c>
      <c r="C299" s="2" t="str">
        <f>IFERROR(__xludf.DUMMYFUNCTION("""COMPUTED_VALUE"""),"MOBILECARE - CAGAYAN DE ORO")</f>
        <v>MOBILECARE - CAGAYAN DE ORO</v>
      </c>
      <c r="D299" s="2" t="str">
        <f>IFERROR(__xludf.DUMMYFUNCTION("""COMPUTED_VALUE"""),"TA661-36692")</f>
        <v>TA661-36692</v>
      </c>
      <c r="E299" s="2" t="str">
        <f>IFERROR(__xludf.DUMMYFUNCTION("""COMPUTED_VALUE"""),"iPhone 15, Pink, 128GB, Logic Board Assy Mid System, ROW")</f>
        <v>iPhone 15, Pink, 128GB, Logic Board Assy Mid System, ROW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>
      <c r="A300" s="3" t="str">
        <f t="shared" si="1"/>
        <v>February</v>
      </c>
      <c r="B300" s="11">
        <f>IFERROR(__xludf.DUMMYFUNCTION("""COMPUTED_VALUE"""),46064.0)</f>
        <v>46064</v>
      </c>
      <c r="C300" s="2" t="str">
        <f>IFERROR(__xludf.DUMMYFUNCTION("""COMPUTED_VALUE"""),"MOBILECARE - CAGAYAN DE ORO")</f>
        <v>MOBILECARE - CAGAYAN DE ORO</v>
      </c>
      <c r="D300" s="2" t="str">
        <f>IFERROR(__xludf.DUMMYFUNCTION("""COMPUTED_VALUE"""),"PP661-28882")</f>
        <v>PP661-28882</v>
      </c>
      <c r="E300" s="2" t="str">
        <f>IFERROR(__xludf.DUMMYFUNCTION("""COMPUTED_VALUE"""),"iPhone 14, Purple, 512GB, Logic Board Assy Mid System, ROW")</f>
        <v>iPhone 14, Purple, 512GB, Logic Board Assy Mid System, ROW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>
      <c r="A301" s="3" t="str">
        <f t="shared" si="1"/>
        <v>April</v>
      </c>
      <c r="B301" s="11">
        <f>IFERROR(__xludf.DUMMYFUNCTION("""COMPUTED_VALUE"""),46139.0)</f>
        <v>46139</v>
      </c>
      <c r="C301" s="2" t="str">
        <f>IFERROR(__xludf.DUMMYFUNCTION("""COMPUTED_VALUE"""),"MOBILECARE - CAGAYAN DE ORO")</f>
        <v>MOBILECARE - CAGAYAN DE ORO</v>
      </c>
      <c r="D301" s="2" t="str">
        <f>IFERROR(__xludf.DUMMYFUNCTION("""COMPUTED_VALUE"""),"TA661-36696")</f>
        <v>TA661-36696</v>
      </c>
      <c r="E301" s="2" t="str">
        <f>IFERROR(__xludf.DUMMYFUNCTION("""COMPUTED_VALUE"""),"iPhone 15, Black, 256GB, Logic Board Assy Mid System, ROW")</f>
        <v>iPhone 15, Black, 256GB, Logic Board Assy Mid System, ROW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>
      <c r="A302" s="3" t="str">
        <f t="shared" si="1"/>
        <v>March</v>
      </c>
      <c r="B302" s="11">
        <f>IFERROR(__xludf.DUMMYFUNCTION("""COMPUTED_VALUE"""),46090.0)</f>
        <v>46090</v>
      </c>
      <c r="C302" s="2" t="str">
        <f>IFERROR(__xludf.DUMMYFUNCTION("""COMPUTED_VALUE"""),"MOBILECARE - CAGAYAN DE ORO")</f>
        <v>MOBILECARE - CAGAYAN DE ORO</v>
      </c>
      <c r="D302" s="2" t="str">
        <f>IFERROR(__xludf.DUMMYFUNCTION("""COMPUTED_VALUE"""),"PP661-23455")</f>
        <v>PP661-23455</v>
      </c>
      <c r="E302" s="2" t="str">
        <f>IFERROR(__xludf.DUMMYFUNCTION("""COMPUTED_VALUE"""),"iPhone 13, Starlight, 128GB, Logic Board Assy Rear System, ROW")</f>
        <v>iPhone 13, Starlight, 128GB, Logic Board Assy Rear System, ROW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>
      <c r="A303" s="3" t="str">
        <f t="shared" si="1"/>
        <v>May</v>
      </c>
      <c r="B303" s="11">
        <f>IFERROR(__xludf.DUMMYFUNCTION("""COMPUTED_VALUE"""),46151.0)</f>
        <v>46151</v>
      </c>
      <c r="C303" s="2" t="str">
        <f>IFERROR(__xludf.DUMMYFUNCTION("""COMPUTED_VALUE"""),"MOBILECARE - CAGAYAN DE ORO")</f>
        <v>MOBILECARE - CAGAYAN DE ORO</v>
      </c>
      <c r="D303" s="2" t="str">
        <f>IFERROR(__xludf.DUMMYFUNCTION("""COMPUTED_VALUE"""),"TA661-36694")</f>
        <v>TA661-36694</v>
      </c>
      <c r="E303" s="2" t="str">
        <f>IFERROR(__xludf.DUMMYFUNCTION("""COMPUTED_VALUE"""),"iPhone 15, Blue, 128GB, Logic Board Assy Mid System, ROW")</f>
        <v>iPhone 15, Blue, 128GB, Logic Board Assy Mid System, ROW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>
      <c r="A304" s="3" t="str">
        <f t="shared" si="1"/>
        <v>April</v>
      </c>
      <c r="B304" s="11">
        <f>IFERROR(__xludf.DUMMYFUNCTION("""COMPUTED_VALUE"""),46116.0)</f>
        <v>46116</v>
      </c>
      <c r="C304" s="2" t="str">
        <f>IFERROR(__xludf.DUMMYFUNCTION("""COMPUTED_VALUE"""),"MOBILECARE - CAGAYAN DE ORO")</f>
        <v>MOBILECARE - CAGAYAN DE ORO</v>
      </c>
      <c r="D304" s="2" t="str">
        <f>IFERROR(__xludf.DUMMYFUNCTION("""COMPUTED_VALUE"""),"PP661-23455")</f>
        <v>PP661-23455</v>
      </c>
      <c r="E304" s="2" t="str">
        <f>IFERROR(__xludf.DUMMYFUNCTION("""COMPUTED_VALUE"""),"iPhone 13, Starlight, 128GB, Logic Board Assy Rear System, ROW")</f>
        <v>iPhone 13, Starlight, 128GB, Logic Board Assy Rear System, ROW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>
      <c r="A305" s="3" t="str">
        <f t="shared" si="1"/>
        <v>March</v>
      </c>
      <c r="B305" s="11">
        <f>IFERROR(__xludf.DUMMYFUNCTION("""COMPUTED_VALUE"""),46091.0)</f>
        <v>46091</v>
      </c>
      <c r="C305" s="2" t="str">
        <f>IFERROR(__xludf.DUMMYFUNCTION("""COMPUTED_VALUE"""),"MOBILECARE - CAGAYAN DE ORO")</f>
        <v>MOBILECARE - CAGAYAN DE ORO</v>
      </c>
      <c r="D305" s="2" t="str">
        <f>IFERROR(__xludf.DUMMYFUNCTION("""COMPUTED_VALUE"""),"PP661-23455")</f>
        <v>PP661-23455</v>
      </c>
      <c r="E305" s="2" t="str">
        <f>IFERROR(__xludf.DUMMYFUNCTION("""COMPUTED_VALUE"""),"iPhone 13, Starlight, 128GB, Logic Board Assy Rear System, ROW")</f>
        <v>iPhone 13, Starlight, 128GB, Logic Board Assy Rear System, ROW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>
      <c r="A306" s="3" t="str">
        <f t="shared" si="1"/>
        <v>April</v>
      </c>
      <c r="B306" s="11">
        <f>IFERROR(__xludf.DUMMYFUNCTION("""COMPUTED_VALUE"""),46131.0)</f>
        <v>46131</v>
      </c>
      <c r="C306" s="2" t="str">
        <f>IFERROR(__xludf.DUMMYFUNCTION("""COMPUTED_VALUE"""),"MOBILECARE - CAGAYAN DE ORO")</f>
        <v>MOBILECARE - CAGAYAN DE ORO</v>
      </c>
      <c r="D306" s="2" t="str">
        <f>IFERROR(__xludf.DUMMYFUNCTION("""COMPUTED_VALUE"""),"PP661-28871")</f>
        <v>PP661-28871</v>
      </c>
      <c r="E306" s="2" t="str">
        <f>IFERROR(__xludf.DUMMYFUNCTION("""COMPUTED_VALUE"""),"iPhone 14, Blue, 128GB, Logic Board Assy Mid System, ROW")</f>
        <v>iPhone 14, Blue, 128GB, Logic Board Assy Mid System, ROW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>
      <c r="A307" s="3" t="str">
        <f t="shared" si="1"/>
        <v>February</v>
      </c>
      <c r="B307" s="11">
        <f>IFERROR(__xludf.DUMMYFUNCTION("""COMPUTED_VALUE"""),46066.0)</f>
        <v>46066</v>
      </c>
      <c r="C307" s="2" t="str">
        <f>IFERROR(__xludf.DUMMYFUNCTION("""COMPUTED_VALUE"""),"MOBILECARE - CAGAYAN DE ORO")</f>
        <v>MOBILECARE - CAGAYAN DE ORO</v>
      </c>
      <c r="D307" s="2" t="str">
        <f>IFERROR(__xludf.DUMMYFUNCTION("""COMPUTED_VALUE"""),"PP661-28869")</f>
        <v>PP661-28869</v>
      </c>
      <c r="E307" s="2" t="str">
        <f>IFERROR(__xludf.DUMMYFUNCTION("""COMPUTED_VALUE"""),"iPhone 14, Starlight, 128GB, Logic Board Assy Mid System, ROW")</f>
        <v>iPhone 14, Starlight, 128GB, Logic Board Assy Mid System, ROW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>
      <c r="A308" s="3" t="str">
        <f t="shared" si="1"/>
        <v>January</v>
      </c>
      <c r="B308" s="11">
        <f>IFERROR(__xludf.DUMMYFUNCTION("""COMPUTED_VALUE"""),46050.0)</f>
        <v>46050</v>
      </c>
      <c r="C308" s="2" t="str">
        <f>IFERROR(__xludf.DUMMYFUNCTION("""COMPUTED_VALUE"""),"MOBILECARE - CAGAYAN DE ORO")</f>
        <v>MOBILECARE - CAGAYAN DE ORO</v>
      </c>
      <c r="D308" s="2" t="str">
        <f>IFERROR(__xludf.DUMMYFUNCTION("""COMPUTED_VALUE"""),"PP661-23455")</f>
        <v>PP661-23455</v>
      </c>
      <c r="E308" s="2" t="str">
        <f>IFERROR(__xludf.DUMMYFUNCTION("""COMPUTED_VALUE"""),"iPhone 13, Starlight, 128GB, Logic Board Assy Rear System, ROW")</f>
        <v>iPhone 13, Starlight, 128GB, Logic Board Assy Rear System, ROW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>
      <c r="A309" s="3" t="str">
        <f t="shared" si="1"/>
        <v>February</v>
      </c>
      <c r="B309" s="11">
        <f>IFERROR(__xludf.DUMMYFUNCTION("""COMPUTED_VALUE"""),46065.0)</f>
        <v>46065</v>
      </c>
      <c r="C309" s="2" t="str">
        <f>IFERROR(__xludf.DUMMYFUNCTION("""COMPUTED_VALUE"""),"MOBILECARE - CAGAYAN DE ORO")</f>
        <v>MOBILECARE - CAGAYAN DE ORO</v>
      </c>
      <c r="D309" s="2" t="str">
        <f>IFERROR(__xludf.DUMMYFUNCTION("""COMPUTED_VALUE"""),"TA661-36694")</f>
        <v>TA661-36694</v>
      </c>
      <c r="E309" s="2" t="str">
        <f>IFERROR(__xludf.DUMMYFUNCTION("""COMPUTED_VALUE"""),"iPhone 15, Blue, 128GB, Logic Board Assy Mid System, ROW")</f>
        <v>iPhone 15, Blue, 128GB, Logic Board Assy Mid System, ROW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>
      <c r="A310" s="3" t="str">
        <f t="shared" si="1"/>
        <v>May</v>
      </c>
      <c r="B310" s="11">
        <f>IFERROR(__xludf.DUMMYFUNCTION("""COMPUTED_VALUE"""),46154.0)</f>
        <v>46154</v>
      </c>
      <c r="C310" s="2" t="str">
        <f>IFERROR(__xludf.DUMMYFUNCTION("""COMPUTED_VALUE"""),"MOBILECARE - CAGAYAN DE ORO")</f>
        <v>MOBILECARE - CAGAYAN DE ORO</v>
      </c>
      <c r="D310" s="2" t="str">
        <f>IFERROR(__xludf.DUMMYFUNCTION("""COMPUTED_VALUE"""),"TA661-45001")</f>
        <v>TA661-45001</v>
      </c>
      <c r="E310" s="2" t="str">
        <f>IFERROR(__xludf.DUMMYFUNCTION("""COMPUTED_VALUE"""),"256GB, Desert Titanium, ROW, iPhone 16 Pro, Logic Board Assy Mid System")</f>
        <v>256GB, Desert Titanium, ROW, iPhone 16 Pro, Logic Board Assy Mid System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>
      <c r="A311" s="3" t="str">
        <f t="shared" si="1"/>
        <v>April</v>
      </c>
      <c r="B311" s="11">
        <f>IFERROR(__xludf.DUMMYFUNCTION("""COMPUTED_VALUE"""),46117.0)</f>
        <v>46117</v>
      </c>
      <c r="C311" s="2" t="str">
        <f>IFERROR(__xludf.DUMMYFUNCTION("""COMPUTED_VALUE"""),"MOBILECARE - CAGAYAN DE ORO")</f>
        <v>MOBILECARE - CAGAYAN DE ORO</v>
      </c>
      <c r="D311" s="2" t="str">
        <f>IFERROR(__xludf.DUMMYFUNCTION("""COMPUTED_VALUE"""),"PP661-23454")</f>
        <v>PP661-23454</v>
      </c>
      <c r="E311" s="2" t="str">
        <f>IFERROR(__xludf.DUMMYFUNCTION("""COMPUTED_VALUE"""),"iPhone 13, Midnight, 128GB, Logic Board Assy Rear System, ROW")</f>
        <v>iPhone 13, Midnight, 128GB, Logic Board Assy Rear System, ROW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>
      <c r="A312" s="3" t="str">
        <f t="shared" si="1"/>
        <v>March</v>
      </c>
      <c r="B312" s="11">
        <f>IFERROR(__xludf.DUMMYFUNCTION("""COMPUTED_VALUE"""),46112.0)</f>
        <v>46112</v>
      </c>
      <c r="C312" s="2" t="str">
        <f>IFERROR(__xludf.DUMMYFUNCTION("""COMPUTED_VALUE"""),"MOBILECARE - CAGAYAN DE ORO")</f>
        <v>MOBILECARE - CAGAYAN DE ORO</v>
      </c>
      <c r="D312" s="2" t="str">
        <f>IFERROR(__xludf.DUMMYFUNCTION("""COMPUTED_VALUE"""),"TA661-36692")</f>
        <v>TA661-36692</v>
      </c>
      <c r="E312" s="2" t="str">
        <f>IFERROR(__xludf.DUMMYFUNCTION("""COMPUTED_VALUE"""),"iPhone 15, Pink, 128GB, Logic Board Assy Mid System, ROW")</f>
        <v>iPhone 15, Pink, 128GB, Logic Board Assy Mid System, ROW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>
      <c r="A313" s="3" t="str">
        <f t="shared" si="1"/>
        <v>February</v>
      </c>
      <c r="B313" s="11">
        <f>IFERROR(__xludf.DUMMYFUNCTION("""COMPUTED_VALUE"""),46077.0)</f>
        <v>46077</v>
      </c>
      <c r="C313" s="2" t="str">
        <f>IFERROR(__xludf.DUMMYFUNCTION("""COMPUTED_VALUE"""),"MOBILECARE - CAGAYAN DE ORO")</f>
        <v>MOBILECARE - CAGAYAN DE ORO</v>
      </c>
      <c r="D313" s="2" t="str">
        <f>IFERROR(__xludf.DUMMYFUNCTION("""COMPUTED_VALUE"""),"PP661-28868")</f>
        <v>PP661-28868</v>
      </c>
      <c r="E313" s="2" t="str">
        <f>IFERROR(__xludf.DUMMYFUNCTION("""COMPUTED_VALUE"""),"iPhone 14, Midnight, 128GB, Logic Board Assy Mid System, ROW")</f>
        <v>iPhone 14, Midnight, 128GB, Logic Board Assy Mid System, ROW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>
      <c r="A314" s="3" t="str">
        <f t="shared" si="1"/>
        <v>May</v>
      </c>
      <c r="B314" s="11">
        <f>IFERROR(__xludf.DUMMYFUNCTION("""COMPUTED_VALUE"""),46161.0)</f>
        <v>46161</v>
      </c>
      <c r="C314" s="2" t="str">
        <f>IFERROR(__xludf.DUMMYFUNCTION("""COMPUTED_VALUE"""),"MOBILECARE - CAGAYAN DE ORO")</f>
        <v>MOBILECARE - CAGAYAN DE ORO</v>
      </c>
      <c r="D314" s="2" t="str">
        <f>IFERROR(__xludf.DUMMYFUNCTION("""COMPUTED_VALUE"""),"PP661-28874")</f>
        <v>PP661-28874</v>
      </c>
      <c r="E314" s="2" t="str">
        <f>IFERROR(__xludf.DUMMYFUNCTION("""COMPUTED_VALUE"""),"iPhone 14, Starlight, 256GB, Logic Board Assy Mid System, ROW")</f>
        <v>iPhone 14, Starlight, 256GB, Logic Board Assy Mid System, ROW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>
      <c r="A315" s="3" t="str">
        <f t="shared" si="1"/>
        <v>April</v>
      </c>
      <c r="B315" s="11">
        <f>IFERROR(__xludf.DUMMYFUNCTION("""COMPUTED_VALUE"""),46131.0)</f>
        <v>46131</v>
      </c>
      <c r="C315" s="2" t="str">
        <f>IFERROR(__xludf.DUMMYFUNCTION("""COMPUTED_VALUE"""),"MOBILECARE - CAGAYAN DE ORO")</f>
        <v>MOBILECARE - CAGAYAN DE ORO</v>
      </c>
      <c r="D315" s="2" t="str">
        <f>IFERROR(__xludf.DUMMYFUNCTION("""COMPUTED_VALUE"""),"TA661-45236")</f>
        <v>TA661-45236</v>
      </c>
      <c r="E315" s="2" t="str">
        <f>IFERROR(__xludf.DUMMYFUNCTION("""COMPUTED_VALUE"""),"256GB, Black, ROW, iPhone 16 Plus, Logic Board Assy Mid System")</f>
        <v>256GB, Black, ROW, iPhone 16 Plus, Logic Board Assy Mid System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>
      <c r="A316" s="3" t="str">
        <f t="shared" si="1"/>
        <v>June</v>
      </c>
      <c r="B316" s="11">
        <f>IFERROR(__xludf.DUMMYFUNCTION("""COMPUTED_VALUE"""),46191.0)</f>
        <v>46191</v>
      </c>
      <c r="C316" s="2" t="str">
        <f>IFERROR(__xludf.DUMMYFUNCTION("""COMPUTED_VALUE"""),"MOBILECARE - CAGAYAN DE ORO")</f>
        <v>MOBILECARE - CAGAYAN DE ORO</v>
      </c>
      <c r="D316" s="2" t="str">
        <f>IFERROR(__xludf.DUMMYFUNCTION("""COMPUTED_VALUE"""),"PP661-23454")</f>
        <v>PP661-23454</v>
      </c>
      <c r="E316" s="2" t="str">
        <f>IFERROR(__xludf.DUMMYFUNCTION("""COMPUTED_VALUE"""),"iPhone 13, Midnight, 128GB, Logic Board Assy Rear System, ROW")</f>
        <v>iPhone 13, Midnight, 128GB, Logic Board Assy Rear System, ROW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>
      <c r="A317" s="3" t="str">
        <f t="shared" si="1"/>
        <v>February</v>
      </c>
      <c r="B317" s="11">
        <f>IFERROR(__xludf.DUMMYFUNCTION("""COMPUTED_VALUE"""),46068.0)</f>
        <v>46068</v>
      </c>
      <c r="C317" s="2" t="str">
        <f>IFERROR(__xludf.DUMMYFUNCTION("""COMPUTED_VALUE"""),"MOBILECARE - CAGAYAN DE ORO")</f>
        <v>MOBILECARE - CAGAYAN DE ORO</v>
      </c>
      <c r="D317" s="2" t="str">
        <f>IFERROR(__xludf.DUMMYFUNCTION("""COMPUTED_VALUE"""),"PP661-23454")</f>
        <v>PP661-23454</v>
      </c>
      <c r="E317" s="2" t="str">
        <f>IFERROR(__xludf.DUMMYFUNCTION("""COMPUTED_VALUE"""),"iPhone 13, Midnight, 128GB, Logic Board Assy Rear System, ROW")</f>
        <v>iPhone 13, Midnight, 128GB, Logic Board Assy Rear System, ROW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>
      <c r="A318" s="3" t="str">
        <f t="shared" si="1"/>
        <v>February</v>
      </c>
      <c r="B318" s="11">
        <f>IFERROR(__xludf.DUMMYFUNCTION("""COMPUTED_VALUE"""),46060.0)</f>
        <v>46060</v>
      </c>
      <c r="C318" s="2" t="str">
        <f>IFERROR(__xludf.DUMMYFUNCTION("""COMPUTED_VALUE"""),"MOBILECARE - CAGAYAN DE ORO")</f>
        <v>MOBILECARE - CAGAYAN DE ORO</v>
      </c>
      <c r="D318" s="2" t="str">
        <f>IFERROR(__xludf.DUMMYFUNCTION("""COMPUTED_VALUE"""),"TA661-43612")</f>
        <v>TA661-43612</v>
      </c>
      <c r="E318" s="2" t="str">
        <f>IFERROR(__xludf.DUMMYFUNCTION("""COMPUTED_VALUE"""),"256GB, Pink, ROW, iPhone 16, Logic Board Assy Mid System")</f>
        <v>256GB, Pink, ROW, iPhone 16, Logic Board Assy Mid System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>
      <c r="A319" s="3" t="str">
        <f t="shared" si="1"/>
        <v>March</v>
      </c>
      <c r="B319" s="11">
        <f>IFERROR(__xludf.DUMMYFUNCTION("""COMPUTED_VALUE"""),46101.0)</f>
        <v>46101</v>
      </c>
      <c r="C319" s="2" t="str">
        <f>IFERROR(__xludf.DUMMYFUNCTION("""COMPUTED_VALUE"""),"MOBILECARE - CAGAYAN DE ORO")</f>
        <v>MOBILECARE - CAGAYAN DE ORO</v>
      </c>
      <c r="D319" s="2" t="str">
        <f>IFERROR(__xludf.DUMMYFUNCTION("""COMPUTED_VALUE"""),"PP661-23455")</f>
        <v>PP661-23455</v>
      </c>
      <c r="E319" s="2" t="str">
        <f>IFERROR(__xludf.DUMMYFUNCTION("""COMPUTED_VALUE"""),"iPhone 13, Starlight, 128GB, Logic Board Assy Rear System, ROW")</f>
        <v>iPhone 13, Starlight, 128GB, Logic Board Assy Rear System, ROW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>
      <c r="A320" s="3" t="str">
        <f t="shared" si="1"/>
        <v>March</v>
      </c>
      <c r="B320" s="11">
        <f>IFERROR(__xludf.DUMMYFUNCTION("""COMPUTED_VALUE"""),46091.0)</f>
        <v>46091</v>
      </c>
      <c r="C320" s="2" t="str">
        <f>IFERROR(__xludf.DUMMYFUNCTION("""COMPUTED_VALUE"""),"MOBILECARE - CAGAYAN DE ORO")</f>
        <v>MOBILECARE - CAGAYAN DE ORO</v>
      </c>
      <c r="D320" s="2" t="str">
        <f>IFERROR(__xludf.DUMMYFUNCTION("""COMPUTED_VALUE"""),"TA661-36694")</f>
        <v>TA661-36694</v>
      </c>
      <c r="E320" s="2" t="str">
        <f>IFERROR(__xludf.DUMMYFUNCTION("""COMPUTED_VALUE"""),"iPhone 15, Blue, 128GB, Logic Board Assy Mid System, ROW")</f>
        <v>iPhone 15, Blue, 128GB, Logic Board Assy Mid System, ROW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>
      <c r="A321" s="3" t="str">
        <f t="shared" si="1"/>
        <v>April</v>
      </c>
      <c r="B321" s="11">
        <f>IFERROR(__xludf.DUMMYFUNCTION("""COMPUTED_VALUE"""),46141.0)</f>
        <v>46141</v>
      </c>
      <c r="C321" s="2" t="str">
        <f>IFERROR(__xludf.DUMMYFUNCTION("""COMPUTED_VALUE"""),"MOBILECARE - CAGAYAN DE ORO")</f>
        <v>MOBILECARE - CAGAYAN DE ORO</v>
      </c>
      <c r="D321" s="2" t="str">
        <f>IFERROR(__xludf.DUMMYFUNCTION("""COMPUTED_VALUE"""),"TA661-36694")</f>
        <v>TA661-36694</v>
      </c>
      <c r="E321" s="2" t="str">
        <f>IFERROR(__xludf.DUMMYFUNCTION("""COMPUTED_VALUE"""),"iPhone 15, Blue, 128GB, Logic Board Assy Mid System, ROW")</f>
        <v>iPhone 15, Blue, 128GB, Logic Board Assy Mid System, ROW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>
      <c r="A322" s="3" t="str">
        <f t="shared" si="1"/>
        <v>April</v>
      </c>
      <c r="B322" s="11">
        <f>IFERROR(__xludf.DUMMYFUNCTION("""COMPUTED_VALUE"""),46119.0)</f>
        <v>46119</v>
      </c>
      <c r="C322" s="2" t="str">
        <f>IFERROR(__xludf.DUMMYFUNCTION("""COMPUTED_VALUE"""),"MOBILECARE - CAGAYAN DE ORO")</f>
        <v>MOBILECARE - CAGAYAN DE ORO</v>
      </c>
      <c r="D322" s="2" t="str">
        <f>IFERROR(__xludf.DUMMYFUNCTION("""COMPUTED_VALUE"""),"TA661-36694")</f>
        <v>TA661-36694</v>
      </c>
      <c r="E322" s="2" t="str">
        <f>IFERROR(__xludf.DUMMYFUNCTION("""COMPUTED_VALUE"""),"iPhone 15, Blue, 128GB, Logic Board Assy Mid System, ROW")</f>
        <v>iPhone 15, Blue, 128GB, Logic Board Assy Mid System, ROW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>
      <c r="A323" s="3" t="str">
        <f t="shared" si="1"/>
        <v>February</v>
      </c>
      <c r="B323" s="11">
        <f>IFERROR(__xludf.DUMMYFUNCTION("""COMPUTED_VALUE"""),46061.0)</f>
        <v>46061</v>
      </c>
      <c r="C323" s="2" t="str">
        <f>IFERROR(__xludf.DUMMYFUNCTION("""COMPUTED_VALUE"""),"MOBILECARE - CAGAYAN DE ORO")</f>
        <v>MOBILECARE - CAGAYAN DE ORO</v>
      </c>
      <c r="D323" s="2" t="str">
        <f>IFERROR(__xludf.DUMMYFUNCTION("""COMPUTED_VALUE"""),"PP661-28871")</f>
        <v>PP661-28871</v>
      </c>
      <c r="E323" s="2" t="str">
        <f>IFERROR(__xludf.DUMMYFUNCTION("""COMPUTED_VALUE"""),"iPhone 14, Blue, 128GB, Logic Board Assy Mid System, ROW")</f>
        <v>iPhone 14, Blue, 128GB, Logic Board Assy Mid System, ROW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>
      <c r="A324" s="3" t="str">
        <f t="shared" si="1"/>
        <v>April</v>
      </c>
      <c r="B324" s="11">
        <f>IFERROR(__xludf.DUMMYFUNCTION("""COMPUTED_VALUE"""),46130.0)</f>
        <v>46130</v>
      </c>
      <c r="C324" s="2" t="str">
        <f>IFERROR(__xludf.DUMMYFUNCTION("""COMPUTED_VALUE"""),"MOBILECARE - CAGAYAN DE ORO")</f>
        <v>MOBILECARE - CAGAYAN DE ORO</v>
      </c>
      <c r="D324" s="2" t="str">
        <f>IFERROR(__xludf.DUMMYFUNCTION("""COMPUTED_VALUE"""),"PP661-28869")</f>
        <v>PP661-28869</v>
      </c>
      <c r="E324" s="2" t="str">
        <f>IFERROR(__xludf.DUMMYFUNCTION("""COMPUTED_VALUE"""),"iPhone 14, Starlight, 128GB, Logic Board Assy Mid System, ROW")</f>
        <v>iPhone 14, Starlight, 128GB, Logic Board Assy Mid System, ROW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>
      <c r="A325" s="3" t="str">
        <f t="shared" si="1"/>
        <v>April</v>
      </c>
      <c r="B325" s="11">
        <f>IFERROR(__xludf.DUMMYFUNCTION("""COMPUTED_VALUE"""),46124.0)</f>
        <v>46124</v>
      </c>
      <c r="C325" s="2" t="str">
        <f>IFERROR(__xludf.DUMMYFUNCTION("""COMPUTED_VALUE"""),"MOBILECARE - APP FESTIVAL MALL")</f>
        <v>MOBILECARE - APP FESTIVAL MALL</v>
      </c>
      <c r="D325" s="2" t="str">
        <f>IFERROR(__xludf.DUMMYFUNCTION("""COMPUTED_VALUE"""),"661-36908")</f>
        <v>661-36908</v>
      </c>
      <c r="E325" s="2" t="str">
        <f>IFERROR(__xludf.DUMMYFUNCTION("""COMPUTED_VALUE"""),"White Titanium, Back Glass, iPhone 15 Pro Max")</f>
        <v>White Titanium, Back Glass, iPhone 15 Pro Max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>
      <c r="A326" s="3" t="str">
        <f t="shared" si="1"/>
        <v>June</v>
      </c>
      <c r="B326" s="11">
        <f>IFERROR(__xludf.DUMMYFUNCTION("""COMPUTED_VALUE"""),46193.0)</f>
        <v>46193</v>
      </c>
      <c r="C326" s="2" t="str">
        <f>IFERROR(__xludf.DUMMYFUNCTION("""COMPUTED_VALUE"""),"MOBILECARE - APP FESTIVAL MALL")</f>
        <v>MOBILECARE - APP FESTIVAL MALL</v>
      </c>
      <c r="D326" s="2" t="str">
        <f>IFERROR(__xludf.DUMMYFUNCTION("""COMPUTED_VALUE"""),"661-30387")</f>
        <v>661-30387</v>
      </c>
      <c r="E326" s="2" t="str">
        <f>IFERROR(__xludf.DUMMYFUNCTION("""COMPUTED_VALUE"""),"Purple, Back Glass, iPhone 14 Plus")</f>
        <v>Purple, Back Glass, iPhone 14 Plus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>
      <c r="A327" s="3" t="str">
        <f t="shared" si="1"/>
        <v>April</v>
      </c>
      <c r="B327" s="11">
        <f>IFERROR(__xludf.DUMMYFUNCTION("""COMPUTED_VALUE"""),46122.0)</f>
        <v>46122</v>
      </c>
      <c r="C327" s="2" t="str">
        <f>IFERROR(__xludf.DUMMYFUNCTION("""COMPUTED_VALUE"""),"MOBILECARE - APP FESTIVAL MALL")</f>
        <v>MOBILECARE - APP FESTIVAL MALL</v>
      </c>
      <c r="D327" s="2" t="str">
        <f>IFERROR(__xludf.DUMMYFUNCTION("""COMPUTED_VALUE"""),"661-30383")</f>
        <v>661-30383</v>
      </c>
      <c r="E327" s="2" t="str">
        <f>IFERROR(__xludf.DUMMYFUNCTION("""COMPUTED_VALUE"""),"Midnight, Back Glass, iPhone 14 Plus")</f>
        <v>Midnight, Back Glass, iPhone 14 Plus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>
      <c r="A328" s="3" t="str">
        <f t="shared" si="1"/>
        <v>March</v>
      </c>
      <c r="B328" s="11">
        <f>IFERROR(__xludf.DUMMYFUNCTION("""COMPUTED_VALUE"""),46104.0)</f>
        <v>46104</v>
      </c>
      <c r="C328" s="2" t="str">
        <f>IFERROR(__xludf.DUMMYFUNCTION("""COMPUTED_VALUE"""),"MOBILECARE - APP FESTIVAL MALL")</f>
        <v>MOBILECARE - APP FESTIVAL MALL</v>
      </c>
      <c r="D328" s="2" t="str">
        <f>IFERROR(__xludf.DUMMYFUNCTION("""COMPUTED_VALUE"""),"661-56057")</f>
        <v>661-56057</v>
      </c>
      <c r="E328" s="2" t="str">
        <f>IFERROR(__xludf.DUMMYFUNCTION("""COMPUTED_VALUE"""),"Black, Back Glass, iPhone 17")</f>
        <v>Black, Back Glass, iPhone 17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>
      <c r="A329" s="3" t="str">
        <f t="shared" si="1"/>
        <v>June</v>
      </c>
      <c r="B329" s="11">
        <f>IFERROR(__xludf.DUMMYFUNCTION("""COMPUTED_VALUE"""),46186.0)</f>
        <v>46186</v>
      </c>
      <c r="C329" s="2" t="str">
        <f>IFERROR(__xludf.DUMMYFUNCTION("""COMPUTED_VALUE"""),"MOBILECARE - CEBU")</f>
        <v>MOBILECARE - CEBU</v>
      </c>
      <c r="D329" s="2" t="str">
        <f>IFERROR(__xludf.DUMMYFUNCTION("""COMPUTED_VALUE"""),"661-56058")</f>
        <v>661-56058</v>
      </c>
      <c r="E329" s="2" t="str">
        <f>IFERROR(__xludf.DUMMYFUNCTION("""COMPUTED_VALUE"""),"White, Back Glass, iPhone 17")</f>
        <v>White, Back Glass, iPhone 17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>
      <c r="A330" s="3" t="str">
        <f t="shared" si="1"/>
        <v>April</v>
      </c>
      <c r="B330" s="11">
        <f>IFERROR(__xludf.DUMMYFUNCTION("""COMPUTED_VALUE"""),46120.0)</f>
        <v>46120</v>
      </c>
      <c r="C330" s="2" t="str">
        <f>IFERROR(__xludf.DUMMYFUNCTION("""COMPUTED_VALUE"""),"MOBILECARE - CEBU")</f>
        <v>MOBILECARE - CEBU</v>
      </c>
      <c r="D330" s="2" t="str">
        <f>IFERROR(__xludf.DUMMYFUNCTION("""COMPUTED_VALUE"""),"PP661-23454")</f>
        <v>PP661-23454</v>
      </c>
      <c r="E330" s="2" t="str">
        <f>IFERROR(__xludf.DUMMYFUNCTION("""COMPUTED_VALUE"""),"iPhone 13, Midnight, 128GB, Logic Board Assy Rear System, ROW")</f>
        <v>iPhone 13, Midnight, 128GB, Logic Board Assy Rear System, ROW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>
      <c r="A331" s="3" t="str">
        <f t="shared" si="1"/>
        <v>March</v>
      </c>
      <c r="B331" s="11">
        <f>IFERROR(__xludf.DUMMYFUNCTION("""COMPUTED_VALUE"""),46110.0)</f>
        <v>46110</v>
      </c>
      <c r="C331" s="2" t="str">
        <f>IFERROR(__xludf.DUMMYFUNCTION("""COMPUTED_VALUE"""),"MOBILECARE - CEBU")</f>
        <v>MOBILECARE - CEBU</v>
      </c>
      <c r="D331" s="2" t="str">
        <f>IFERROR(__xludf.DUMMYFUNCTION("""COMPUTED_VALUE"""),"PP661-23454")</f>
        <v>PP661-23454</v>
      </c>
      <c r="E331" s="2" t="str">
        <f>IFERROR(__xludf.DUMMYFUNCTION("""COMPUTED_VALUE"""),"iPhone 13, Midnight, 128GB, Logic Board Assy Rear System, ROW")</f>
        <v>iPhone 13, Midnight, 128GB, Logic Board Assy Rear System, ROW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>
      <c r="A332" s="3" t="str">
        <f t="shared" si="1"/>
        <v>April</v>
      </c>
      <c r="B332" s="11">
        <f>IFERROR(__xludf.DUMMYFUNCTION("""COMPUTED_VALUE"""),46113.0)</f>
        <v>46113</v>
      </c>
      <c r="C332" s="2" t="str">
        <f>IFERROR(__xludf.DUMMYFUNCTION("""COMPUTED_VALUE"""),"MOBILECARE - CEBU")</f>
        <v>MOBILECARE - CEBU</v>
      </c>
      <c r="D332" s="2" t="str">
        <f>IFERROR(__xludf.DUMMYFUNCTION("""COMPUTED_VALUE"""),"TA661-36691")</f>
        <v>TA661-36691</v>
      </c>
      <c r="E332" s="2" t="str">
        <f>IFERROR(__xludf.DUMMYFUNCTION("""COMPUTED_VALUE"""),"iPhone 15, Black, 128GB, Logic Board Assy Mid System, ROW")</f>
        <v>iPhone 15, Black, 128GB, Logic Board Assy Mid System, ROW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>
      <c r="A333" s="3" t="str">
        <f t="shared" si="1"/>
        <v>June</v>
      </c>
      <c r="B333" s="11">
        <f>IFERROR(__xludf.DUMMYFUNCTION("""COMPUTED_VALUE"""),46187.0)</f>
        <v>46187</v>
      </c>
      <c r="C333" s="2" t="str">
        <f>IFERROR(__xludf.DUMMYFUNCTION("""COMPUTED_VALUE"""),"MOBILECARE - CEBU")</f>
        <v>MOBILECARE - CEBU</v>
      </c>
      <c r="D333" s="2" t="str">
        <f>IFERROR(__xludf.DUMMYFUNCTION("""COMPUTED_VALUE"""),"PP661-28868")</f>
        <v>PP661-28868</v>
      </c>
      <c r="E333" s="2" t="str">
        <f>IFERROR(__xludf.DUMMYFUNCTION("""COMPUTED_VALUE"""),"iPhone 14, Midnight, 128GB, Logic Board Assy Mid System, ROW")</f>
        <v>iPhone 14, Midnight, 128GB, Logic Board Assy Mid System, ROW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>
      <c r="A334" s="3" t="str">
        <f t="shared" si="1"/>
        <v>April</v>
      </c>
      <c r="B334" s="11">
        <f>IFERROR(__xludf.DUMMYFUNCTION("""COMPUTED_VALUE"""),46124.0)</f>
        <v>46124</v>
      </c>
      <c r="C334" s="2" t="str">
        <f>IFERROR(__xludf.DUMMYFUNCTION("""COMPUTED_VALUE"""),"MOBILECARE - CEBU")</f>
        <v>MOBILECARE - CEBU</v>
      </c>
      <c r="D334" s="2" t="str">
        <f>IFERROR(__xludf.DUMMYFUNCTION("""COMPUTED_VALUE"""),"TA661-45231")</f>
        <v>TA661-45231</v>
      </c>
      <c r="E334" s="2" t="str">
        <f>IFERROR(__xludf.DUMMYFUNCTION("""COMPUTED_VALUE"""),"128GB, Black, ROW, iPhone 16 Plus, Logic Board Assy Mid System")</f>
        <v>128GB, Black, ROW, iPhone 16 Plus, Logic Board Assy Mid System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>
      <c r="A335" s="3" t="str">
        <f t="shared" si="1"/>
        <v>April</v>
      </c>
      <c r="B335" s="11">
        <f>IFERROR(__xludf.DUMMYFUNCTION("""COMPUTED_VALUE"""),46124.0)</f>
        <v>46124</v>
      </c>
      <c r="C335" s="2" t="str">
        <f>IFERROR(__xludf.DUMMYFUNCTION("""COMPUTED_VALUE"""),"MOBILECARE - CEBU")</f>
        <v>MOBILECARE - CEBU</v>
      </c>
      <c r="D335" s="2" t="str">
        <f>IFERROR(__xludf.DUMMYFUNCTION("""COMPUTED_VALUE"""),"PP661-23455")</f>
        <v>PP661-23455</v>
      </c>
      <c r="E335" s="2" t="str">
        <f>IFERROR(__xludf.DUMMYFUNCTION("""COMPUTED_VALUE"""),"iPhone 13, Starlight, 128GB, Logic Board Assy Rear System, ROW")</f>
        <v>iPhone 13, Starlight, 128GB, Logic Board Assy Rear System, ROW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>
      <c r="A336" s="3" t="str">
        <f t="shared" si="1"/>
        <v>May</v>
      </c>
      <c r="B336" s="11">
        <f>IFERROR(__xludf.DUMMYFUNCTION("""COMPUTED_VALUE"""),46149.0)</f>
        <v>46149</v>
      </c>
      <c r="C336" s="2" t="str">
        <f>IFERROR(__xludf.DUMMYFUNCTION("""COMPUTED_VALUE"""),"MOBILECARE - CEBU")</f>
        <v>MOBILECARE - CEBU</v>
      </c>
      <c r="D336" s="2" t="str">
        <f>IFERROR(__xludf.DUMMYFUNCTION("""COMPUTED_VALUE"""),"PP661-23454")</f>
        <v>PP661-23454</v>
      </c>
      <c r="E336" s="2" t="str">
        <f>IFERROR(__xludf.DUMMYFUNCTION("""COMPUTED_VALUE"""),"iPhone 13, Midnight, 128GB, Logic Board Assy Rear System, ROW")</f>
        <v>iPhone 13, Midnight, 128GB, Logic Board Assy Rear System, ROW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>
      <c r="A337" s="3" t="str">
        <f t="shared" si="1"/>
        <v>June</v>
      </c>
      <c r="B337" s="11">
        <f>IFERROR(__xludf.DUMMYFUNCTION("""COMPUTED_VALUE"""),46187.0)</f>
        <v>46187</v>
      </c>
      <c r="C337" s="2" t="str">
        <f>IFERROR(__xludf.DUMMYFUNCTION("""COMPUTED_VALUE"""),"MOBILECARE - CEBU")</f>
        <v>MOBILECARE - CEBU</v>
      </c>
      <c r="D337" s="2" t="str">
        <f>IFERROR(__xludf.DUMMYFUNCTION("""COMPUTED_VALUE"""),"PP661-23454")</f>
        <v>PP661-23454</v>
      </c>
      <c r="E337" s="2" t="str">
        <f>IFERROR(__xludf.DUMMYFUNCTION("""COMPUTED_VALUE"""),"iPhone 13, Midnight, 128GB, Logic Board Assy Rear System, ROW")</f>
        <v>iPhone 13, Midnight, 128GB, Logic Board Assy Rear System, ROW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>
      <c r="A338" s="3" t="str">
        <f t="shared" si="1"/>
        <v>March</v>
      </c>
      <c r="B338" s="11">
        <f>IFERROR(__xludf.DUMMYFUNCTION("""COMPUTED_VALUE"""),46082.0)</f>
        <v>46082</v>
      </c>
      <c r="C338" s="2" t="str">
        <f>IFERROR(__xludf.DUMMYFUNCTION("""COMPUTED_VALUE"""),"MOBILECARE - CEBU")</f>
        <v>MOBILECARE - CEBU</v>
      </c>
      <c r="D338" s="2" t="str">
        <f>IFERROR(__xludf.DUMMYFUNCTION("""COMPUTED_VALUE"""),"TA661-45237")</f>
        <v>TA661-45237</v>
      </c>
      <c r="E338" s="2" t="str">
        <f>IFERROR(__xludf.DUMMYFUNCTION("""COMPUTED_VALUE"""),"256GB, White, ROW, iPhone 16 Plus, Logic Board Assy Mid System")</f>
        <v>256GB, White, ROW, iPhone 16 Plus, Logic Board Assy Mid System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>
      <c r="A339" s="3" t="str">
        <f t="shared" si="1"/>
        <v>February</v>
      </c>
      <c r="B339" s="11">
        <f>IFERROR(__xludf.DUMMYFUNCTION("""COMPUTED_VALUE"""),46065.0)</f>
        <v>46065</v>
      </c>
      <c r="C339" s="2" t="str">
        <f>IFERROR(__xludf.DUMMYFUNCTION("""COMPUTED_VALUE"""),"MOBILECARE - CEBU")</f>
        <v>MOBILECARE - CEBU</v>
      </c>
      <c r="D339" s="2" t="str">
        <f>IFERROR(__xludf.DUMMYFUNCTION("""COMPUTED_VALUE"""),"PP661-23455")</f>
        <v>PP661-23455</v>
      </c>
      <c r="E339" s="2" t="str">
        <f>IFERROR(__xludf.DUMMYFUNCTION("""COMPUTED_VALUE"""),"iPhone 13, Starlight, 128GB, Logic Board Assy Rear System, ROW")</f>
        <v>iPhone 13, Starlight, 128GB, Logic Board Assy Rear System, ROW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>
      <c r="A340" s="3" t="str">
        <f t="shared" si="1"/>
        <v>March</v>
      </c>
      <c r="B340" s="11">
        <f>IFERROR(__xludf.DUMMYFUNCTION("""COMPUTED_VALUE"""),46109.0)</f>
        <v>46109</v>
      </c>
      <c r="C340" s="2" t="str">
        <f>IFERROR(__xludf.DUMMYFUNCTION("""COMPUTED_VALUE"""),"MOBILECARE - CEBU")</f>
        <v>MOBILECARE - CEBU</v>
      </c>
      <c r="D340" s="2" t="str">
        <f>IFERROR(__xludf.DUMMYFUNCTION("""COMPUTED_VALUE"""),"PP661-23455")</f>
        <v>PP661-23455</v>
      </c>
      <c r="E340" s="2" t="str">
        <f>IFERROR(__xludf.DUMMYFUNCTION("""COMPUTED_VALUE"""),"iPhone 13, Starlight, 128GB, Logic Board Assy Rear System, ROW")</f>
        <v>iPhone 13, Starlight, 128GB, Logic Board Assy Rear System, ROW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>
      <c r="A341" s="3" t="str">
        <f t="shared" si="1"/>
        <v>February</v>
      </c>
      <c r="B341" s="11">
        <f>IFERROR(__xludf.DUMMYFUNCTION("""COMPUTED_VALUE"""),46058.0)</f>
        <v>46058</v>
      </c>
      <c r="C341" s="2" t="str">
        <f>IFERROR(__xludf.DUMMYFUNCTION("""COMPUTED_VALUE"""),"MOBILECARE - CEBU")</f>
        <v>MOBILECARE - CEBU</v>
      </c>
      <c r="D341" s="2" t="str">
        <f>IFERROR(__xludf.DUMMYFUNCTION("""COMPUTED_VALUE"""),"TA661-36695")</f>
        <v>TA661-36695</v>
      </c>
      <c r="E341" s="2" t="str">
        <f>IFERROR(__xludf.DUMMYFUNCTION("""COMPUTED_VALUE"""),"iPhone 15, Green, 128GB, Logic Board Assy Mid System, ROW")</f>
        <v>iPhone 15, Green, 128GB, Logic Board Assy Mid System, ROW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>
      <c r="A342" s="3" t="str">
        <f t="shared" si="1"/>
        <v>April</v>
      </c>
      <c r="B342" s="11">
        <f>IFERROR(__xludf.DUMMYFUNCTION("""COMPUTED_VALUE"""),46137.0)</f>
        <v>46137</v>
      </c>
      <c r="C342" s="2" t="str">
        <f>IFERROR(__xludf.DUMMYFUNCTION("""COMPUTED_VALUE"""),"MOBILECARE - CEBU")</f>
        <v>MOBILECARE - CEBU</v>
      </c>
      <c r="D342" s="2" t="str">
        <f>IFERROR(__xludf.DUMMYFUNCTION("""COMPUTED_VALUE"""),"PP661-23455")</f>
        <v>PP661-23455</v>
      </c>
      <c r="E342" s="2" t="str">
        <f>IFERROR(__xludf.DUMMYFUNCTION("""COMPUTED_VALUE"""),"iPhone 13, Starlight, 128GB, Logic Board Assy Rear System, ROW")</f>
        <v>iPhone 13, Starlight, 128GB, Logic Board Assy Rear System, ROW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>
      <c r="A343" s="3" t="str">
        <f t="shared" si="1"/>
        <v>April</v>
      </c>
      <c r="B343" s="11">
        <f>IFERROR(__xludf.DUMMYFUNCTION("""COMPUTED_VALUE"""),46135.0)</f>
        <v>46135</v>
      </c>
      <c r="C343" s="2" t="str">
        <f>IFERROR(__xludf.DUMMYFUNCTION("""COMPUTED_VALUE"""),"MOBILECARE - CEBU")</f>
        <v>MOBILECARE - CEBU</v>
      </c>
      <c r="D343" s="2" t="str">
        <f>IFERROR(__xludf.DUMMYFUNCTION("""COMPUTED_VALUE"""),"PP661-23455")</f>
        <v>PP661-23455</v>
      </c>
      <c r="E343" s="2" t="str">
        <f>IFERROR(__xludf.DUMMYFUNCTION("""COMPUTED_VALUE"""),"iPhone 13, Starlight, 128GB, Logic Board Assy Rear System, ROW")</f>
        <v>iPhone 13, Starlight, 128GB, Logic Board Assy Rear System, ROW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>
      <c r="A344" s="3" t="str">
        <f t="shared" si="1"/>
        <v>April</v>
      </c>
      <c r="B344" s="11">
        <f>IFERROR(__xludf.DUMMYFUNCTION("""COMPUTED_VALUE"""),46123.0)</f>
        <v>46123</v>
      </c>
      <c r="C344" s="2" t="str">
        <f>IFERROR(__xludf.DUMMYFUNCTION("""COMPUTED_VALUE"""),"MOBILECARE - CEBU")</f>
        <v>MOBILECARE - CEBU</v>
      </c>
      <c r="D344" s="2" t="str">
        <f>IFERROR(__xludf.DUMMYFUNCTION("""COMPUTED_VALUE"""),"PP661-23461")</f>
        <v>PP661-23461</v>
      </c>
      <c r="E344" s="2" t="str">
        <f>IFERROR(__xludf.DUMMYFUNCTION("""COMPUTED_VALUE"""),"iPhone 13, Pink, 256GB, Logic Board Assy Rear System, ROW")</f>
        <v>iPhone 13, Pink, 256GB, Logic Board Assy Rear System, ROW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>
      <c r="A345" s="3" t="str">
        <f t="shared" si="1"/>
        <v>March</v>
      </c>
      <c r="B345" s="11">
        <f>IFERROR(__xludf.DUMMYFUNCTION("""COMPUTED_VALUE"""),46108.0)</f>
        <v>46108</v>
      </c>
      <c r="C345" s="2" t="str">
        <f>IFERROR(__xludf.DUMMYFUNCTION("""COMPUTED_VALUE"""),"MOBILECARE - CEBU")</f>
        <v>MOBILECARE - CEBU</v>
      </c>
      <c r="D345" s="2" t="str">
        <f>IFERROR(__xludf.DUMMYFUNCTION("""COMPUTED_VALUE"""),"PP661-23455")</f>
        <v>PP661-23455</v>
      </c>
      <c r="E345" s="2" t="str">
        <f>IFERROR(__xludf.DUMMYFUNCTION("""COMPUTED_VALUE"""),"iPhone 13, Starlight, 128GB, Logic Board Assy Rear System, ROW")</f>
        <v>iPhone 13, Starlight, 128GB, Logic Board Assy Rear System, ROW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>
      <c r="A346" s="3" t="str">
        <f t="shared" si="1"/>
        <v>April</v>
      </c>
      <c r="B346" s="11">
        <f>IFERROR(__xludf.DUMMYFUNCTION("""COMPUTED_VALUE"""),46121.0)</f>
        <v>46121</v>
      </c>
      <c r="C346" s="2" t="str">
        <f>IFERROR(__xludf.DUMMYFUNCTION("""COMPUTED_VALUE"""),"MOBILECARE - CEBU")</f>
        <v>MOBILECARE - CEBU</v>
      </c>
      <c r="D346" s="2" t="str">
        <f>IFERROR(__xludf.DUMMYFUNCTION("""COMPUTED_VALUE"""),"661-44960")</f>
        <v>661-44960</v>
      </c>
      <c r="E346" s="2" t="str">
        <f>IFERROR(__xludf.DUMMYFUNCTION("""COMPUTED_VALUE"""),"Desert Titanium, Back Glass, iPhone 16 Pro Max")</f>
        <v>Desert Titanium, Back Glass, iPhone 16 Pro Max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>
      <c r="A347" s="3" t="str">
        <f t="shared" si="1"/>
        <v>June</v>
      </c>
      <c r="B347" s="11">
        <f>IFERROR(__xludf.DUMMYFUNCTION("""COMPUTED_VALUE"""),46192.0)</f>
        <v>46192</v>
      </c>
      <c r="C347" s="2" t="str">
        <f>IFERROR(__xludf.DUMMYFUNCTION("""COMPUTED_VALUE"""),"MOBILECARE - CEBU")</f>
        <v>MOBILECARE - CEBU</v>
      </c>
      <c r="D347" s="2" t="str">
        <f>IFERROR(__xludf.DUMMYFUNCTION("""COMPUTED_VALUE"""),"PP661-28869")</f>
        <v>PP661-28869</v>
      </c>
      <c r="E347" s="2" t="str">
        <f>IFERROR(__xludf.DUMMYFUNCTION("""COMPUTED_VALUE"""),"iPhone 14, Starlight, 128GB, Logic Board Assy Mid System, ROW")</f>
        <v>iPhone 14, Starlight, 128GB, Logic Board Assy Mid System, ROW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>
      <c r="A348" s="3" t="str">
        <f t="shared" si="1"/>
        <v>June</v>
      </c>
      <c r="B348" s="11">
        <f>IFERROR(__xludf.DUMMYFUNCTION("""COMPUTED_VALUE"""),46185.0)</f>
        <v>46185</v>
      </c>
      <c r="C348" s="2" t="str">
        <f>IFERROR(__xludf.DUMMYFUNCTION("""COMPUTED_VALUE"""),"MOBILECARE - CEBU")</f>
        <v>MOBILECARE - CEBU</v>
      </c>
      <c r="D348" s="2" t="str">
        <f>IFERROR(__xludf.DUMMYFUNCTION("""COMPUTED_VALUE"""),"PP661-23455")</f>
        <v>PP661-23455</v>
      </c>
      <c r="E348" s="2" t="str">
        <f>IFERROR(__xludf.DUMMYFUNCTION("""COMPUTED_VALUE"""),"iPhone 13, Starlight, 128GB, Logic Board Assy Rear System, ROW")</f>
        <v>iPhone 13, Starlight, 128GB, Logic Board Assy Rear System, ROW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>
      <c r="A349" s="3" t="str">
        <f t="shared" si="1"/>
        <v>May</v>
      </c>
      <c r="B349" s="11">
        <f>IFERROR(__xludf.DUMMYFUNCTION("""COMPUTED_VALUE"""),46143.0)</f>
        <v>46143</v>
      </c>
      <c r="C349" s="2" t="str">
        <f>IFERROR(__xludf.DUMMYFUNCTION("""COMPUTED_VALUE"""),"MOBILECARE - CEBU")</f>
        <v>MOBILECARE - CEBU</v>
      </c>
      <c r="D349" s="2" t="str">
        <f>IFERROR(__xludf.DUMMYFUNCTION("""COMPUTED_VALUE"""),"PP661-28871")</f>
        <v>PP661-28871</v>
      </c>
      <c r="E349" s="2" t="str">
        <f>IFERROR(__xludf.DUMMYFUNCTION("""COMPUTED_VALUE"""),"iPhone 14, Blue, 128GB, Logic Board Assy Mid System, ROW")</f>
        <v>iPhone 14, Blue, 128GB, Logic Board Assy Mid System, ROW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>
      <c r="A350" s="3" t="str">
        <f t="shared" si="1"/>
        <v>April</v>
      </c>
      <c r="B350" s="11">
        <f>IFERROR(__xludf.DUMMYFUNCTION("""COMPUTED_VALUE"""),46116.0)</f>
        <v>46116</v>
      </c>
      <c r="C350" s="2" t="str">
        <f>IFERROR(__xludf.DUMMYFUNCTION("""COMPUTED_VALUE"""),"MOBILECARE - CEBU")</f>
        <v>MOBILECARE - CEBU</v>
      </c>
      <c r="D350" s="2" t="str">
        <f>IFERROR(__xludf.DUMMYFUNCTION("""COMPUTED_VALUE"""),"PP661-23455")</f>
        <v>PP661-23455</v>
      </c>
      <c r="E350" s="2" t="str">
        <f>IFERROR(__xludf.DUMMYFUNCTION("""COMPUTED_VALUE"""),"iPhone 13, Starlight, 128GB, Logic Board Assy Rear System, ROW")</f>
        <v>iPhone 13, Starlight, 128GB, Logic Board Assy Rear System, ROW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>
      <c r="A351" s="3" t="str">
        <f t="shared" si="1"/>
        <v>February</v>
      </c>
      <c r="B351" s="11">
        <f>IFERROR(__xludf.DUMMYFUNCTION("""COMPUTED_VALUE"""),46074.0)</f>
        <v>46074</v>
      </c>
      <c r="C351" s="2" t="str">
        <f>IFERROR(__xludf.DUMMYFUNCTION("""COMPUTED_VALUE"""),"MOBILECARE - CEBU")</f>
        <v>MOBILECARE - CEBU</v>
      </c>
      <c r="D351" s="2" t="str">
        <f>IFERROR(__xludf.DUMMYFUNCTION("""COMPUTED_VALUE"""),"TA661-44996")</f>
        <v>TA661-44996</v>
      </c>
      <c r="E351" s="2" t="str">
        <f>IFERROR(__xludf.DUMMYFUNCTION("""COMPUTED_VALUE"""),"128GB, White Titanium, ROW, iPhone 16 Pro, Logic Board Assy Mid System")</f>
        <v>128GB, White Titanium, ROW, iPhone 16 Pro, Logic Board Assy Mid System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>
      <c r="A352" s="3" t="str">
        <f t="shared" si="1"/>
        <v>June</v>
      </c>
      <c r="B352" s="11">
        <f>IFERROR(__xludf.DUMMYFUNCTION("""COMPUTED_VALUE"""),46193.0)</f>
        <v>46193</v>
      </c>
      <c r="C352" s="2" t="str">
        <f>IFERROR(__xludf.DUMMYFUNCTION("""COMPUTED_VALUE"""),"MOBILECARE - CEBU")</f>
        <v>MOBILECARE - CEBU</v>
      </c>
      <c r="D352" s="2" t="str">
        <f>IFERROR(__xludf.DUMMYFUNCTION("""COMPUTED_VALUE"""),"TA661-43609")</f>
        <v>TA661-43609</v>
      </c>
      <c r="E352" s="2" t="str">
        <f>IFERROR(__xludf.DUMMYFUNCTION("""COMPUTED_VALUE"""),"128GB, Teal, ROW, iPhone 16, Logic Board Assy Mid System")</f>
        <v>128GB, Teal, ROW, iPhone 16, Logic Board Assy Mid System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>
      <c r="A353" s="3" t="str">
        <f t="shared" si="1"/>
        <v>February</v>
      </c>
      <c r="B353" s="11">
        <f>IFERROR(__xludf.DUMMYFUNCTION("""COMPUTED_VALUE"""),46074.0)</f>
        <v>46074</v>
      </c>
      <c r="C353" s="2" t="str">
        <f>IFERROR(__xludf.DUMMYFUNCTION("""COMPUTED_VALUE"""),"MOBILECARE - CEBU")</f>
        <v>MOBILECARE - CEBU</v>
      </c>
      <c r="D353" s="2" t="str">
        <f>IFERROR(__xludf.DUMMYFUNCTION("""COMPUTED_VALUE"""),"TA661-45001")</f>
        <v>TA661-45001</v>
      </c>
      <c r="E353" s="2" t="str">
        <f>IFERROR(__xludf.DUMMYFUNCTION("""COMPUTED_VALUE"""),"256GB, Desert Titanium, ROW, iPhone 16 Pro, Logic Board Assy Mid System")</f>
        <v>256GB, Desert Titanium, ROW, iPhone 16 Pro, Logic Board Assy Mid System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>
      <c r="A354" s="3" t="str">
        <f t="shared" si="1"/>
        <v>April</v>
      </c>
      <c r="B354" s="11">
        <f>IFERROR(__xludf.DUMMYFUNCTION("""COMPUTED_VALUE"""),46123.0)</f>
        <v>46123</v>
      </c>
      <c r="C354" s="2" t="str">
        <f>IFERROR(__xludf.DUMMYFUNCTION("""COMPUTED_VALUE"""),"MOBILECARE - CEBU")</f>
        <v>MOBILECARE - CEBU</v>
      </c>
      <c r="D354" s="2" t="str">
        <f>IFERROR(__xludf.DUMMYFUNCTION("""COMPUTED_VALUE"""),"PP661-28873")</f>
        <v>PP661-28873</v>
      </c>
      <c r="E354" s="2" t="str">
        <f>IFERROR(__xludf.DUMMYFUNCTION("""COMPUTED_VALUE"""),"iPhone 14, Midnight, 256GB, Logic Board Assy Mid System, ROW")</f>
        <v>iPhone 14, Midnight, 256GB, Logic Board Assy Mid System, ROW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>
      <c r="A355" s="3" t="str">
        <f t="shared" si="1"/>
        <v>March</v>
      </c>
      <c r="B355" s="11">
        <f>IFERROR(__xludf.DUMMYFUNCTION("""COMPUTED_VALUE"""),46095.0)</f>
        <v>46095</v>
      </c>
      <c r="C355" s="2" t="str">
        <f>IFERROR(__xludf.DUMMYFUNCTION("""COMPUTED_VALUE"""),"MOBILECARE - CEBU")</f>
        <v>MOBILECARE - CEBU</v>
      </c>
      <c r="D355" s="2" t="str">
        <f>IFERROR(__xludf.DUMMYFUNCTION("""COMPUTED_VALUE"""),"PP661-23455")</f>
        <v>PP661-23455</v>
      </c>
      <c r="E355" s="2" t="str">
        <f>IFERROR(__xludf.DUMMYFUNCTION("""COMPUTED_VALUE"""),"iPhone 13, Starlight, 128GB, Logic Board Assy Rear System, ROW")</f>
        <v>iPhone 13, Starlight, 128GB, Logic Board Assy Rear System, ROW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>
      <c r="A356" s="3" t="str">
        <f t="shared" si="1"/>
        <v>February</v>
      </c>
      <c r="B356" s="11">
        <f>IFERROR(__xludf.DUMMYFUNCTION("""COMPUTED_VALUE"""),46081.0)</f>
        <v>46081</v>
      </c>
      <c r="C356" s="2" t="str">
        <f>IFERROR(__xludf.DUMMYFUNCTION("""COMPUTED_VALUE"""),"MOBILECARE - CEBU")</f>
        <v>MOBILECARE - CEBU</v>
      </c>
      <c r="D356" s="2" t="str">
        <f>IFERROR(__xludf.DUMMYFUNCTION("""COMPUTED_VALUE"""),"PP661-23455")</f>
        <v>PP661-23455</v>
      </c>
      <c r="E356" s="2" t="str">
        <f>IFERROR(__xludf.DUMMYFUNCTION("""COMPUTED_VALUE"""),"iPhone 13, Starlight, 128GB, Logic Board Assy Rear System, ROW")</f>
        <v>iPhone 13, Starlight, 128GB, Logic Board Assy Rear System, ROW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>
      <c r="A357" s="3" t="str">
        <f t="shared" si="1"/>
        <v>February</v>
      </c>
      <c r="B357" s="11">
        <f>IFERROR(__xludf.DUMMYFUNCTION("""COMPUTED_VALUE"""),46070.0)</f>
        <v>46070</v>
      </c>
      <c r="C357" s="2" t="str">
        <f>IFERROR(__xludf.DUMMYFUNCTION("""COMPUTED_VALUE"""),"MOBILECARE - CEBU")</f>
        <v>MOBILECARE - CEBU</v>
      </c>
      <c r="D357" s="2" t="str">
        <f>IFERROR(__xludf.DUMMYFUNCTION("""COMPUTED_VALUE"""),"PP661-23461")</f>
        <v>PP661-23461</v>
      </c>
      <c r="E357" s="2" t="str">
        <f>IFERROR(__xludf.DUMMYFUNCTION("""COMPUTED_VALUE"""),"iPhone 13, Pink, 256GB, Logic Board Assy Rear System, ROW")</f>
        <v>iPhone 13, Pink, 256GB, Logic Board Assy Rear System, ROW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>
      <c r="A358" s="3" t="str">
        <f t="shared" si="1"/>
        <v>April</v>
      </c>
      <c r="B358" s="11">
        <f>IFERROR(__xludf.DUMMYFUNCTION("""COMPUTED_VALUE"""),46138.0)</f>
        <v>46138</v>
      </c>
      <c r="C358" s="2" t="str">
        <f>IFERROR(__xludf.DUMMYFUNCTION("""COMPUTED_VALUE"""),"MOBILECARE - CEBU")</f>
        <v>MOBILECARE - CEBU</v>
      </c>
      <c r="D358" s="2" t="str">
        <f>IFERROR(__xludf.DUMMYFUNCTION("""COMPUTED_VALUE"""),"TA661-43612")</f>
        <v>TA661-43612</v>
      </c>
      <c r="E358" s="2" t="str">
        <f>IFERROR(__xludf.DUMMYFUNCTION("""COMPUTED_VALUE"""),"256GB, Pink, ROW, iPhone 16, Logic Board Assy Mid System")</f>
        <v>256GB, Pink, ROW, iPhone 16, Logic Board Assy Mid System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>
      <c r="A359" s="3" t="str">
        <f t="shared" si="1"/>
        <v>April</v>
      </c>
      <c r="B359" s="11">
        <f>IFERROR(__xludf.DUMMYFUNCTION("""COMPUTED_VALUE"""),46132.0)</f>
        <v>46132</v>
      </c>
      <c r="C359" s="2" t="str">
        <f>IFERROR(__xludf.DUMMYFUNCTION("""COMPUTED_VALUE"""),"MOBILECARE - CEBU")</f>
        <v>MOBILECARE - CEBU</v>
      </c>
      <c r="D359" s="2" t="str">
        <f>IFERROR(__xludf.DUMMYFUNCTION("""COMPUTED_VALUE"""),"TA661-43608")</f>
        <v>TA661-43608</v>
      </c>
      <c r="E359" s="2" t="str">
        <f>IFERROR(__xludf.DUMMYFUNCTION("""COMPUTED_VALUE"""),"128GB, Ultramarine, ROW, iPhone 16, Logic Board Assy Mid System")</f>
        <v>128GB, Ultramarine, ROW, iPhone 16, Logic Board Assy Mid System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>
      <c r="A360" s="3" t="str">
        <f t="shared" si="1"/>
        <v>April</v>
      </c>
      <c r="B360" s="11">
        <f>IFERROR(__xludf.DUMMYFUNCTION("""COMPUTED_VALUE"""),46123.0)</f>
        <v>46123</v>
      </c>
      <c r="C360" s="2" t="str">
        <f>IFERROR(__xludf.DUMMYFUNCTION("""COMPUTED_VALUE"""),"MOBILECARE - CEBU")</f>
        <v>MOBILECARE - CEBU</v>
      </c>
      <c r="D360" s="2" t="str">
        <f>IFERROR(__xludf.DUMMYFUNCTION("""COMPUTED_VALUE"""),"TA661-36699")</f>
        <v>TA661-36699</v>
      </c>
      <c r="E360" s="2" t="str">
        <f>IFERROR(__xludf.DUMMYFUNCTION("""COMPUTED_VALUE"""),"iPhone 15, Blue, 256GB, Logic Board Assy Mid System, ROW")</f>
        <v>iPhone 15, Blue, 256GB, Logic Board Assy Mid System, ROW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>
      <c r="A361" s="3" t="str">
        <f t="shared" si="1"/>
        <v>March</v>
      </c>
      <c r="B361" s="11">
        <f>IFERROR(__xludf.DUMMYFUNCTION("""COMPUTED_VALUE"""),46096.0)</f>
        <v>46096</v>
      </c>
      <c r="C361" s="2" t="str">
        <f>IFERROR(__xludf.DUMMYFUNCTION("""COMPUTED_VALUE"""),"MOBILECARE - CEBU")</f>
        <v>MOBILECARE - CEBU</v>
      </c>
      <c r="D361" s="2" t="str">
        <f>IFERROR(__xludf.DUMMYFUNCTION("""COMPUTED_VALUE"""),"PP661-28869")</f>
        <v>PP661-28869</v>
      </c>
      <c r="E361" s="2" t="str">
        <f>IFERROR(__xludf.DUMMYFUNCTION("""COMPUTED_VALUE"""),"iPhone 14, Starlight, 128GB, Logic Board Assy Mid System, ROW")</f>
        <v>iPhone 14, Starlight, 128GB, Logic Board Assy Mid System, ROW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>
      <c r="A362" s="3" t="str">
        <f t="shared" si="1"/>
        <v>February</v>
      </c>
      <c r="B362" s="11">
        <f>IFERROR(__xludf.DUMMYFUNCTION("""COMPUTED_VALUE"""),46074.0)</f>
        <v>46074</v>
      </c>
      <c r="C362" s="2" t="str">
        <f>IFERROR(__xludf.DUMMYFUNCTION("""COMPUTED_VALUE"""),"MOBILECARE - CEBU")</f>
        <v>MOBILECARE - CEBU</v>
      </c>
      <c r="D362" s="2" t="str">
        <f>IFERROR(__xludf.DUMMYFUNCTION("""COMPUTED_VALUE"""),"PP661-23455")</f>
        <v>PP661-23455</v>
      </c>
      <c r="E362" s="2" t="str">
        <f>IFERROR(__xludf.DUMMYFUNCTION("""COMPUTED_VALUE"""),"iPhone 13, Starlight, 128GB, Logic Board Assy Rear System, ROW")</f>
        <v>iPhone 13, Starlight, 128GB, Logic Board Assy Rear System, ROW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>
      <c r="A363" s="3" t="str">
        <f t="shared" si="1"/>
        <v>February</v>
      </c>
      <c r="B363" s="11">
        <f>IFERROR(__xludf.DUMMYFUNCTION("""COMPUTED_VALUE"""),46058.0)</f>
        <v>46058</v>
      </c>
      <c r="C363" s="2" t="str">
        <f>IFERROR(__xludf.DUMMYFUNCTION("""COMPUTED_VALUE"""),"MOBILECARE - CEBU")</f>
        <v>MOBILECARE - CEBU</v>
      </c>
      <c r="D363" s="2" t="str">
        <f>IFERROR(__xludf.DUMMYFUNCTION("""COMPUTED_VALUE"""),"TA661-45231")</f>
        <v>TA661-45231</v>
      </c>
      <c r="E363" s="2" t="str">
        <f>IFERROR(__xludf.DUMMYFUNCTION("""COMPUTED_VALUE"""),"128GB, Black, ROW, iPhone 16 Plus, Logic Board Assy Mid System")</f>
        <v>128GB, Black, ROW, iPhone 16 Plus, Logic Board Assy Mid System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>
      <c r="A364" s="3" t="str">
        <f t="shared" si="1"/>
        <v>June</v>
      </c>
      <c r="B364" s="11">
        <f>IFERROR(__xludf.DUMMYFUNCTION("""COMPUTED_VALUE"""),46188.0)</f>
        <v>46188</v>
      </c>
      <c r="C364" s="2" t="str">
        <f>IFERROR(__xludf.DUMMYFUNCTION("""COMPUTED_VALUE"""),"MOBILECARE - CEBU")</f>
        <v>MOBILECARE - CEBU</v>
      </c>
      <c r="D364" s="2" t="str">
        <f>IFERROR(__xludf.DUMMYFUNCTION("""COMPUTED_VALUE"""),"TA661-43611")</f>
        <v>TA661-43611</v>
      </c>
      <c r="E364" s="2" t="str">
        <f>IFERROR(__xludf.DUMMYFUNCTION("""COMPUTED_VALUE"""),"256GB, White, ROW, iPhone 16, Logic Board Assy Mid System")</f>
        <v>256GB, White, ROW, iPhone 16, Logic Board Assy Mid System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>
      <c r="A365" s="3" t="str">
        <f t="shared" si="1"/>
        <v>June</v>
      </c>
      <c r="B365" s="11">
        <f>IFERROR(__xludf.DUMMYFUNCTION("""COMPUTED_VALUE"""),46184.0)</f>
        <v>46184</v>
      </c>
      <c r="C365" s="2" t="str">
        <f>IFERROR(__xludf.DUMMYFUNCTION("""COMPUTED_VALUE"""),"MOBILECARE - CEBU")</f>
        <v>MOBILECARE - CEBU</v>
      </c>
      <c r="D365" s="2" t="str">
        <f>IFERROR(__xludf.DUMMYFUNCTION("""COMPUTED_VALUE"""),"PP661-23455")</f>
        <v>PP661-23455</v>
      </c>
      <c r="E365" s="2" t="str">
        <f>IFERROR(__xludf.DUMMYFUNCTION("""COMPUTED_VALUE"""),"iPhone 13, Starlight, 128GB, Logic Board Assy Rear System, ROW")</f>
        <v>iPhone 13, Starlight, 128GB, Logic Board Assy Rear System, ROW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>
      <c r="A366" s="3" t="str">
        <f t="shared" si="1"/>
        <v>April</v>
      </c>
      <c r="B366" s="11">
        <f>IFERROR(__xludf.DUMMYFUNCTION("""COMPUTED_VALUE"""),46136.0)</f>
        <v>46136</v>
      </c>
      <c r="C366" s="2" t="str">
        <f>IFERROR(__xludf.DUMMYFUNCTION("""COMPUTED_VALUE"""),"MOBILECARE - CEBU")</f>
        <v>MOBILECARE - CEBU</v>
      </c>
      <c r="D366" s="2" t="str">
        <f>IFERROR(__xludf.DUMMYFUNCTION("""COMPUTED_VALUE"""),"PP661-28868")</f>
        <v>PP661-28868</v>
      </c>
      <c r="E366" s="2" t="str">
        <f>IFERROR(__xludf.DUMMYFUNCTION("""COMPUTED_VALUE"""),"iPhone 14, Midnight, 128GB, Logic Board Assy Mid System, ROW")</f>
        <v>iPhone 14, Midnight, 128GB, Logic Board Assy Mid System, ROW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>
      <c r="A367" s="3" t="str">
        <f t="shared" si="1"/>
        <v>February</v>
      </c>
      <c r="B367" s="11">
        <f>IFERROR(__xludf.DUMMYFUNCTION("""COMPUTED_VALUE"""),46080.0)</f>
        <v>46080</v>
      </c>
      <c r="C367" s="2" t="str">
        <f>IFERROR(__xludf.DUMMYFUNCTION("""COMPUTED_VALUE"""),"MOBILECARE - CEBU")</f>
        <v>MOBILECARE - CEBU</v>
      </c>
      <c r="D367" s="2" t="str">
        <f>IFERROR(__xludf.DUMMYFUNCTION("""COMPUTED_VALUE"""),"TA661-44998")</f>
        <v>TA661-44998</v>
      </c>
      <c r="E367" s="2" t="str">
        <f>IFERROR(__xludf.DUMMYFUNCTION("""COMPUTED_VALUE"""),"128GB, Natural Titanium, ROW, iPhone 16 Pro, Logic Board Assy Mid System")</f>
        <v>128GB, Natural Titanium, ROW, iPhone 16 Pro, Logic Board Assy Mid System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>
      <c r="A368" s="3" t="str">
        <f t="shared" si="1"/>
        <v>May</v>
      </c>
      <c r="B368" s="11">
        <f>IFERROR(__xludf.DUMMYFUNCTION("""COMPUTED_VALUE"""),46151.0)</f>
        <v>46151</v>
      </c>
      <c r="C368" s="2" t="str">
        <f>IFERROR(__xludf.DUMMYFUNCTION("""COMPUTED_VALUE"""),"MOBILECARE - CEBU")</f>
        <v>MOBILECARE - CEBU</v>
      </c>
      <c r="D368" s="2" t="str">
        <f>IFERROR(__xludf.DUMMYFUNCTION("""COMPUTED_VALUE"""),"TA661-44999")</f>
        <v>TA661-44999</v>
      </c>
      <c r="E368" s="2" t="str">
        <f>IFERROR(__xludf.DUMMYFUNCTION("""COMPUTED_VALUE"""),"256GB, Black Titanium, ROW, iPhone 16 Pro, Logic Board Assy Mid System")</f>
        <v>256GB, Black Titanium, ROW, iPhone 16 Pro, Logic Board Assy Mid System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>
      <c r="A369" s="3" t="str">
        <f t="shared" si="1"/>
        <v>May</v>
      </c>
      <c r="B369" s="11">
        <f>IFERROR(__xludf.DUMMYFUNCTION("""COMPUTED_VALUE"""),46156.0)</f>
        <v>46156</v>
      </c>
      <c r="C369" s="2" t="str">
        <f>IFERROR(__xludf.DUMMYFUNCTION("""COMPUTED_VALUE"""),"MOBILECARE - CEBU")</f>
        <v>MOBILECARE - CEBU</v>
      </c>
      <c r="D369" s="2" t="str">
        <f>IFERROR(__xludf.DUMMYFUNCTION("""COMPUTED_VALUE"""),"PP661-23454")</f>
        <v>PP661-23454</v>
      </c>
      <c r="E369" s="2" t="str">
        <f>IFERROR(__xludf.DUMMYFUNCTION("""COMPUTED_VALUE"""),"iPhone 13, Midnight, 128GB, Logic Board Assy Rear System, ROW")</f>
        <v>iPhone 13, Midnight, 128GB, Logic Board Assy Rear System, ROW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>
      <c r="A370" s="3" t="str">
        <f t="shared" si="1"/>
        <v>March</v>
      </c>
      <c r="B370" s="11">
        <f>IFERROR(__xludf.DUMMYFUNCTION("""COMPUTED_VALUE"""),46102.0)</f>
        <v>46102</v>
      </c>
      <c r="C370" s="2" t="str">
        <f>IFERROR(__xludf.DUMMYFUNCTION("""COMPUTED_VALUE"""),"MOBILECARE - CEBU")</f>
        <v>MOBILECARE - CEBU</v>
      </c>
      <c r="D370" s="2" t="str">
        <f>IFERROR(__xludf.DUMMYFUNCTION("""COMPUTED_VALUE"""),"PP661-28871")</f>
        <v>PP661-28871</v>
      </c>
      <c r="E370" s="2" t="str">
        <f>IFERROR(__xludf.DUMMYFUNCTION("""COMPUTED_VALUE"""),"iPhone 14, Blue, 128GB, Logic Board Assy Mid System, ROW")</f>
        <v>iPhone 14, Blue, 128GB, Logic Board Assy Mid System, ROW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>
      <c r="A371" s="3" t="str">
        <f t="shared" si="1"/>
        <v>February</v>
      </c>
      <c r="B371" s="11">
        <f>IFERROR(__xludf.DUMMYFUNCTION("""COMPUTED_VALUE"""),46080.0)</f>
        <v>46080</v>
      </c>
      <c r="C371" s="2" t="str">
        <f>IFERROR(__xludf.DUMMYFUNCTION("""COMPUTED_VALUE"""),"MOBILECARE - CEBU")</f>
        <v>MOBILECARE - CEBU</v>
      </c>
      <c r="D371" s="2" t="str">
        <f>IFERROR(__xludf.DUMMYFUNCTION("""COMPUTED_VALUE"""),"PP661-23454")</f>
        <v>PP661-23454</v>
      </c>
      <c r="E371" s="2" t="str">
        <f>IFERROR(__xludf.DUMMYFUNCTION("""COMPUTED_VALUE"""),"iPhone 13, Midnight, 128GB, Logic Board Assy Rear System, ROW")</f>
        <v>iPhone 13, Midnight, 128GB, Logic Board Assy Rear System, ROW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>
      <c r="A372" s="3" t="str">
        <f t="shared" si="1"/>
        <v>April</v>
      </c>
      <c r="B372" s="11">
        <f>IFERROR(__xludf.DUMMYFUNCTION("""COMPUTED_VALUE"""),46141.0)</f>
        <v>46141</v>
      </c>
      <c r="C372" s="2" t="str">
        <f>IFERROR(__xludf.DUMMYFUNCTION("""COMPUTED_VALUE"""),"MOBILECARE - CEBU")</f>
        <v>MOBILECARE - CEBU</v>
      </c>
      <c r="D372" s="2" t="str">
        <f>IFERROR(__xludf.DUMMYFUNCTION("""COMPUTED_VALUE"""),"TA661-45232")</f>
        <v>TA661-45232</v>
      </c>
      <c r="E372" s="2" t="str">
        <f>IFERROR(__xludf.DUMMYFUNCTION("""COMPUTED_VALUE"""),"128GB, White, ROW, iPhone 16 Plus, Logic Board Assy Mid System")</f>
        <v>128GB, White, ROW, iPhone 16 Plus, Logic Board Assy Mid System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>
      <c r="A373" s="3" t="str">
        <f t="shared" si="1"/>
        <v>March</v>
      </c>
      <c r="B373" s="11">
        <f>IFERROR(__xludf.DUMMYFUNCTION("""COMPUTED_VALUE"""),46091.0)</f>
        <v>46091</v>
      </c>
      <c r="C373" s="2" t="str">
        <f>IFERROR(__xludf.DUMMYFUNCTION("""COMPUTED_VALUE"""),"MOBILECARE - CEBU")</f>
        <v>MOBILECARE - CEBU</v>
      </c>
      <c r="D373" s="2" t="str">
        <f>IFERROR(__xludf.DUMMYFUNCTION("""COMPUTED_VALUE"""),"PP661-23454")</f>
        <v>PP661-23454</v>
      </c>
      <c r="E373" s="2" t="str">
        <f>IFERROR(__xludf.DUMMYFUNCTION("""COMPUTED_VALUE"""),"iPhone 13, Midnight, 128GB, Logic Board Assy Rear System, ROW")</f>
        <v>iPhone 13, Midnight, 128GB, Logic Board Assy Rear System, ROW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>
      <c r="A374" s="3" t="str">
        <f t="shared" si="1"/>
        <v>June</v>
      </c>
      <c r="B374" s="11">
        <f>IFERROR(__xludf.DUMMYFUNCTION("""COMPUTED_VALUE"""),46182.0)</f>
        <v>46182</v>
      </c>
      <c r="C374" s="2" t="str">
        <f>IFERROR(__xludf.DUMMYFUNCTION("""COMPUTED_VALUE"""),"MOBILECARE - CEBU")</f>
        <v>MOBILECARE - CEBU</v>
      </c>
      <c r="D374" s="2" t="str">
        <f>IFERROR(__xludf.DUMMYFUNCTION("""COMPUTED_VALUE"""),"PP661-28871")</f>
        <v>PP661-28871</v>
      </c>
      <c r="E374" s="2" t="str">
        <f>IFERROR(__xludf.DUMMYFUNCTION("""COMPUTED_VALUE"""),"iPhone 14, Blue, 128GB, Logic Board Assy Mid System, ROW")</f>
        <v>iPhone 14, Blue, 128GB, Logic Board Assy Mid System, ROW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>
      <c r="A375" s="3" t="str">
        <f t="shared" si="1"/>
        <v>May</v>
      </c>
      <c r="B375" s="11">
        <f>IFERROR(__xludf.DUMMYFUNCTION("""COMPUTED_VALUE"""),46144.0)</f>
        <v>46144</v>
      </c>
      <c r="C375" s="2" t="str">
        <f>IFERROR(__xludf.DUMMYFUNCTION("""COMPUTED_VALUE"""),"MOBILECARE - CEBU")</f>
        <v>MOBILECARE - CEBU</v>
      </c>
      <c r="D375" s="2" t="str">
        <f>IFERROR(__xludf.DUMMYFUNCTION("""COMPUTED_VALUE"""),"TA661-43618")</f>
        <v>TA661-43618</v>
      </c>
      <c r="E375" s="2" t="str">
        <f>IFERROR(__xludf.DUMMYFUNCTION("""COMPUTED_VALUE"""),"512GB, Ultramarine, ROW, iPhone 16, Logic Board Assy Mid System")</f>
        <v>512GB, Ultramarine, ROW, iPhone 16, Logic Board Assy Mid System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>
      <c r="A376" s="3" t="str">
        <f t="shared" si="1"/>
        <v>April</v>
      </c>
      <c r="B376" s="11">
        <f>IFERROR(__xludf.DUMMYFUNCTION("""COMPUTED_VALUE"""),46129.0)</f>
        <v>46129</v>
      </c>
      <c r="C376" s="2" t="str">
        <f>IFERROR(__xludf.DUMMYFUNCTION("""COMPUTED_VALUE"""),"MOBILECARE - CEBU")</f>
        <v>MOBILECARE - CEBU</v>
      </c>
      <c r="D376" s="2" t="str">
        <f>IFERROR(__xludf.DUMMYFUNCTION("""COMPUTED_VALUE"""),"PP661-23455")</f>
        <v>PP661-23455</v>
      </c>
      <c r="E376" s="2" t="str">
        <f>IFERROR(__xludf.DUMMYFUNCTION("""COMPUTED_VALUE"""),"iPhone 13, Starlight, 128GB, Logic Board Assy Rear System, ROW")</f>
        <v>iPhone 13, Starlight, 128GB, Logic Board Assy Rear System, ROW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>
      <c r="A377" s="3" t="str">
        <f t="shared" si="1"/>
        <v>March</v>
      </c>
      <c r="B377" s="11">
        <f>IFERROR(__xludf.DUMMYFUNCTION("""COMPUTED_VALUE"""),46109.0)</f>
        <v>46109</v>
      </c>
      <c r="C377" s="2" t="str">
        <f>IFERROR(__xludf.DUMMYFUNCTION("""COMPUTED_VALUE"""),"MOBILECARE - CEBU")</f>
        <v>MOBILECARE - CEBU</v>
      </c>
      <c r="D377" s="2" t="str">
        <f>IFERROR(__xludf.DUMMYFUNCTION("""COMPUTED_VALUE"""),"TA661-43606")</f>
        <v>TA661-43606</v>
      </c>
      <c r="E377" s="2" t="str">
        <f>IFERROR(__xludf.DUMMYFUNCTION("""COMPUTED_VALUE"""),"128GB, White, ROW, iPhone 16, Logic Board Assy Mid System")</f>
        <v>128GB, White, ROW, iPhone 16, Logic Board Assy Mid System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>
      <c r="A378" s="3" t="str">
        <f t="shared" si="1"/>
        <v>February</v>
      </c>
      <c r="B378" s="11">
        <f>IFERROR(__xludf.DUMMYFUNCTION("""COMPUTED_VALUE"""),46061.0)</f>
        <v>46061</v>
      </c>
      <c r="C378" s="2" t="str">
        <f>IFERROR(__xludf.DUMMYFUNCTION("""COMPUTED_VALUE"""),"MOBILECARE - CEBU")</f>
        <v>MOBILECARE - CEBU</v>
      </c>
      <c r="D378" s="2" t="str">
        <f>IFERROR(__xludf.DUMMYFUNCTION("""COMPUTED_VALUE"""),"PP661-23455")</f>
        <v>PP661-23455</v>
      </c>
      <c r="E378" s="2" t="str">
        <f>IFERROR(__xludf.DUMMYFUNCTION("""COMPUTED_VALUE"""),"iPhone 13, Starlight, 128GB, Logic Board Assy Rear System, ROW")</f>
        <v>iPhone 13, Starlight, 128GB, Logic Board Assy Rear System, ROW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>
      <c r="A379" s="3" t="str">
        <f t="shared" si="1"/>
        <v>June</v>
      </c>
      <c r="B379" s="11">
        <f>IFERROR(__xludf.DUMMYFUNCTION("""COMPUTED_VALUE"""),46186.0)</f>
        <v>46186</v>
      </c>
      <c r="C379" s="2" t="str">
        <f>IFERROR(__xludf.DUMMYFUNCTION("""COMPUTED_VALUE"""),"MOBILECARE - CEBU")</f>
        <v>MOBILECARE - CEBU</v>
      </c>
      <c r="D379" s="2" t="str">
        <f>IFERROR(__xludf.DUMMYFUNCTION("""COMPUTED_VALUE"""),"PP661-23455")</f>
        <v>PP661-23455</v>
      </c>
      <c r="E379" s="2" t="str">
        <f>IFERROR(__xludf.DUMMYFUNCTION("""COMPUTED_VALUE"""),"iPhone 13, Starlight, 128GB, Logic Board Assy Rear System, ROW")</f>
        <v>iPhone 13, Starlight, 128GB, Logic Board Assy Rear System, ROW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>
      <c r="A380" s="3" t="str">
        <f t="shared" si="1"/>
        <v>February</v>
      </c>
      <c r="B380" s="11">
        <f>IFERROR(__xludf.DUMMYFUNCTION("""COMPUTED_VALUE"""),46077.0)</f>
        <v>46077</v>
      </c>
      <c r="C380" s="2" t="str">
        <f>IFERROR(__xludf.DUMMYFUNCTION("""COMPUTED_VALUE"""),"MOBILECARE - CEBU")</f>
        <v>MOBILECARE - CEBU</v>
      </c>
      <c r="D380" s="2" t="str">
        <f>IFERROR(__xludf.DUMMYFUNCTION("""COMPUTED_VALUE"""),"PP661-23455")</f>
        <v>PP661-23455</v>
      </c>
      <c r="E380" s="2" t="str">
        <f>IFERROR(__xludf.DUMMYFUNCTION("""COMPUTED_VALUE"""),"iPhone 13, Starlight, 128GB, Logic Board Assy Rear System, ROW")</f>
        <v>iPhone 13, Starlight, 128GB, Logic Board Assy Rear System, ROW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>
      <c r="A381" s="3" t="str">
        <f t="shared" si="1"/>
        <v>May</v>
      </c>
      <c r="B381" s="11">
        <f>IFERROR(__xludf.DUMMYFUNCTION("""COMPUTED_VALUE"""),46148.0)</f>
        <v>46148</v>
      </c>
      <c r="C381" s="2" t="str">
        <f>IFERROR(__xludf.DUMMYFUNCTION("""COMPUTED_VALUE"""),"MOBILECARE - CEBU")</f>
        <v>MOBILECARE - CEBU</v>
      </c>
      <c r="D381" s="2" t="str">
        <f>IFERROR(__xludf.DUMMYFUNCTION("""COMPUTED_VALUE"""),"PP661-23454")</f>
        <v>PP661-23454</v>
      </c>
      <c r="E381" s="2" t="str">
        <f>IFERROR(__xludf.DUMMYFUNCTION("""COMPUTED_VALUE"""),"iPhone 13, Midnight, 128GB, Logic Board Assy Rear System, ROW")</f>
        <v>iPhone 13, Midnight, 128GB, Logic Board Assy Rear System, ROW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>
      <c r="A382" s="3" t="str">
        <f t="shared" si="1"/>
        <v>April</v>
      </c>
      <c r="B382" s="11">
        <f>IFERROR(__xludf.DUMMYFUNCTION("""COMPUTED_VALUE"""),46124.0)</f>
        <v>46124</v>
      </c>
      <c r="C382" s="2" t="str">
        <f>IFERROR(__xludf.DUMMYFUNCTION("""COMPUTED_VALUE"""),"MOBILECARE - CEBU")</f>
        <v>MOBILECARE - CEBU</v>
      </c>
      <c r="D382" s="2" t="str">
        <f>IFERROR(__xludf.DUMMYFUNCTION("""COMPUTED_VALUE"""),"PP661-23455")</f>
        <v>PP661-23455</v>
      </c>
      <c r="E382" s="2" t="str">
        <f>IFERROR(__xludf.DUMMYFUNCTION("""COMPUTED_VALUE"""),"iPhone 13, Starlight, 128GB, Logic Board Assy Rear System, ROW")</f>
        <v>iPhone 13, Starlight, 128GB, Logic Board Assy Rear System, ROW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>
      <c r="A383" s="3" t="str">
        <f t="shared" si="1"/>
        <v>February</v>
      </c>
      <c r="B383" s="11">
        <f>IFERROR(__xludf.DUMMYFUNCTION("""COMPUTED_VALUE"""),46081.0)</f>
        <v>46081</v>
      </c>
      <c r="C383" s="2" t="str">
        <f>IFERROR(__xludf.DUMMYFUNCTION("""COMPUTED_VALUE"""),"MOBILECARE - CEBU")</f>
        <v>MOBILECARE - CEBU</v>
      </c>
      <c r="D383" s="2" t="str">
        <f>IFERROR(__xludf.DUMMYFUNCTION("""COMPUTED_VALUE"""),"TA661-43605")</f>
        <v>TA661-43605</v>
      </c>
      <c r="E383" s="2" t="str">
        <f>IFERROR(__xludf.DUMMYFUNCTION("""COMPUTED_VALUE"""),"128GB, Black, ROW, iPhone 16, Logic Board Assy Mid System")</f>
        <v>128GB, Black, ROW, iPhone 16, Logic Board Assy Mid System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>
      <c r="A384" s="3" t="str">
        <f t="shared" si="1"/>
        <v>February</v>
      </c>
      <c r="B384" s="11">
        <f>IFERROR(__xludf.DUMMYFUNCTION("""COMPUTED_VALUE"""),46058.0)</f>
        <v>46058</v>
      </c>
      <c r="C384" s="2" t="str">
        <f>IFERROR(__xludf.DUMMYFUNCTION("""COMPUTED_VALUE"""),"MOBILECARE - CEBU")</f>
        <v>MOBILECARE - CEBU</v>
      </c>
      <c r="D384" s="2" t="str">
        <f>IFERROR(__xludf.DUMMYFUNCTION("""COMPUTED_VALUE"""),"PP661-23454")</f>
        <v>PP661-23454</v>
      </c>
      <c r="E384" s="2" t="str">
        <f>IFERROR(__xludf.DUMMYFUNCTION("""COMPUTED_VALUE"""),"iPhone 13, Midnight, 128GB, Logic Board Assy Rear System, ROW")</f>
        <v>iPhone 13, Midnight, 128GB, Logic Board Assy Rear System, ROW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>
      <c r="A385" s="3" t="str">
        <f t="shared" si="1"/>
        <v>February</v>
      </c>
      <c r="B385" s="11">
        <f>IFERROR(__xludf.DUMMYFUNCTION("""COMPUTED_VALUE"""),46058.0)</f>
        <v>46058</v>
      </c>
      <c r="C385" s="2" t="str">
        <f>IFERROR(__xludf.DUMMYFUNCTION("""COMPUTED_VALUE"""),"MOBILECARE - CEBU")</f>
        <v>MOBILECARE - CEBU</v>
      </c>
      <c r="D385" s="2" t="str">
        <f>IFERROR(__xludf.DUMMYFUNCTION("""COMPUTED_VALUE"""),"TA661-43609")</f>
        <v>TA661-43609</v>
      </c>
      <c r="E385" s="2" t="str">
        <f>IFERROR(__xludf.DUMMYFUNCTION("""COMPUTED_VALUE"""),"128GB, Teal, ROW, iPhone 16, Logic Board Assy Mid System")</f>
        <v>128GB, Teal, ROW, iPhone 16, Logic Board Assy Mid System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>
      <c r="A386" s="3" t="str">
        <f t="shared" si="1"/>
        <v>April</v>
      </c>
      <c r="B386" s="11">
        <f>IFERROR(__xludf.DUMMYFUNCTION("""COMPUTED_VALUE"""),46135.0)</f>
        <v>46135</v>
      </c>
      <c r="C386" s="2" t="str">
        <f>IFERROR(__xludf.DUMMYFUNCTION("""COMPUTED_VALUE"""),"MOBILECARE - FESTIVE WALK ILOILO")</f>
        <v>MOBILECARE - FESTIVE WALK ILOILO</v>
      </c>
      <c r="D386" s="2" t="str">
        <f>IFERROR(__xludf.DUMMYFUNCTION("""COMPUTED_VALUE"""),"PP661-23455")</f>
        <v>PP661-23455</v>
      </c>
      <c r="E386" s="2" t="str">
        <f>IFERROR(__xludf.DUMMYFUNCTION("""COMPUTED_VALUE"""),"iPhone 13, Starlight, 128GB, Logic Board Assy Rear System, ROW")</f>
        <v>iPhone 13, Starlight, 128GB, Logic Board Assy Rear System, ROW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>
      <c r="A387" s="3" t="str">
        <f t="shared" si="1"/>
        <v>March</v>
      </c>
      <c r="B387" s="11">
        <f>IFERROR(__xludf.DUMMYFUNCTION("""COMPUTED_VALUE"""),46083.0)</f>
        <v>46083</v>
      </c>
      <c r="C387" s="2" t="str">
        <f>IFERROR(__xludf.DUMMYFUNCTION("""COMPUTED_VALUE"""),"MOBILECARE - FESTIVE WALK ILOILO")</f>
        <v>MOBILECARE - FESTIVE WALK ILOILO</v>
      </c>
      <c r="D387" s="2" t="str">
        <f>IFERROR(__xludf.DUMMYFUNCTION("""COMPUTED_VALUE"""),"PP661-23454")</f>
        <v>PP661-23454</v>
      </c>
      <c r="E387" s="2" t="str">
        <f>IFERROR(__xludf.DUMMYFUNCTION("""COMPUTED_VALUE"""),"iPhone 13, Midnight, 128GB, Logic Board Assy Rear System, ROW")</f>
        <v>iPhone 13, Midnight, 128GB, Logic Board Assy Rear System, ROW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>
      <c r="A388" s="3" t="str">
        <f t="shared" si="1"/>
        <v>June</v>
      </c>
      <c r="B388" s="11">
        <f>IFERROR(__xludf.DUMMYFUNCTION("""COMPUTED_VALUE"""),46184.0)</f>
        <v>46184</v>
      </c>
      <c r="C388" s="2" t="str">
        <f>IFERROR(__xludf.DUMMYFUNCTION("""COMPUTED_VALUE"""),"MOBILECARE - FESTIVE WALK ILOILO")</f>
        <v>MOBILECARE - FESTIVE WALK ILOILO</v>
      </c>
      <c r="D388" s="2" t="str">
        <f>IFERROR(__xludf.DUMMYFUNCTION("""COMPUTED_VALUE"""),"PP661-23454")</f>
        <v>PP661-23454</v>
      </c>
      <c r="E388" s="2" t="str">
        <f>IFERROR(__xludf.DUMMYFUNCTION("""COMPUTED_VALUE"""),"iPhone 13, Midnight, 128GB, Logic Board Assy Rear System, ROW")</f>
        <v>iPhone 13, Midnight, 128GB, Logic Board Assy Rear System, ROW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>
      <c r="A389" s="3" t="str">
        <f t="shared" si="1"/>
        <v>February</v>
      </c>
      <c r="B389" s="11">
        <f>IFERROR(__xludf.DUMMYFUNCTION("""COMPUTED_VALUE"""),46074.0)</f>
        <v>46074</v>
      </c>
      <c r="C389" s="2" t="str">
        <f>IFERROR(__xludf.DUMMYFUNCTION("""COMPUTED_VALUE"""),"MOBILECARE - FESTIVE WALK ILOILO")</f>
        <v>MOBILECARE - FESTIVE WALK ILOILO</v>
      </c>
      <c r="D389" s="2" t="str">
        <f>IFERROR(__xludf.DUMMYFUNCTION("""COMPUTED_VALUE"""),"PP661-23455")</f>
        <v>PP661-23455</v>
      </c>
      <c r="E389" s="2" t="str">
        <f>IFERROR(__xludf.DUMMYFUNCTION("""COMPUTED_VALUE"""),"iPhone 13, Starlight, 128GB, Logic Board Assy Rear System, ROW")</f>
        <v>iPhone 13, Starlight, 128GB, Logic Board Assy Rear System, ROW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>
      <c r="A390" s="3" t="str">
        <f t="shared" si="1"/>
        <v>March</v>
      </c>
      <c r="B390" s="11">
        <f>IFERROR(__xludf.DUMMYFUNCTION("""COMPUTED_VALUE"""),46094.0)</f>
        <v>46094</v>
      </c>
      <c r="C390" s="2" t="str">
        <f>IFERROR(__xludf.DUMMYFUNCTION("""COMPUTED_VALUE"""),"MOBILECARE - FESTIVE WALK ILOILO")</f>
        <v>MOBILECARE - FESTIVE WALK ILOILO</v>
      </c>
      <c r="D390" s="2" t="str">
        <f>IFERROR(__xludf.DUMMYFUNCTION("""COMPUTED_VALUE"""),"PP661-23454")</f>
        <v>PP661-23454</v>
      </c>
      <c r="E390" s="2" t="str">
        <f>IFERROR(__xludf.DUMMYFUNCTION("""COMPUTED_VALUE"""),"iPhone 13, Midnight, 128GB, Logic Board Assy Rear System, ROW")</f>
        <v>iPhone 13, Midnight, 128GB, Logic Board Assy Rear System, ROW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>
      <c r="A391" s="3" t="str">
        <f t="shared" si="1"/>
        <v>February</v>
      </c>
      <c r="B391" s="11">
        <f>IFERROR(__xludf.DUMMYFUNCTION("""COMPUTED_VALUE"""),46067.0)</f>
        <v>46067</v>
      </c>
      <c r="C391" s="2" t="str">
        <f>IFERROR(__xludf.DUMMYFUNCTION("""COMPUTED_VALUE"""),"MOBILECARE - FESTIVE WALK ILOILO")</f>
        <v>MOBILECARE - FESTIVE WALK ILOILO</v>
      </c>
      <c r="D391" s="2" t="str">
        <f>IFERROR(__xludf.DUMMYFUNCTION("""COMPUTED_VALUE"""),"PP661-23454")</f>
        <v>PP661-23454</v>
      </c>
      <c r="E391" s="2" t="str">
        <f>IFERROR(__xludf.DUMMYFUNCTION("""COMPUTED_VALUE"""),"iPhone 13, Midnight, 128GB, Logic Board Assy Rear System, ROW")</f>
        <v>iPhone 13, Midnight, 128GB, Logic Board Assy Rear System, ROW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>
      <c r="A392" s="3" t="str">
        <f t="shared" si="1"/>
        <v>April</v>
      </c>
      <c r="B392" s="11">
        <f>IFERROR(__xludf.DUMMYFUNCTION("""COMPUTED_VALUE"""),46123.0)</f>
        <v>46123</v>
      </c>
      <c r="C392" s="2" t="str">
        <f>IFERROR(__xludf.DUMMYFUNCTION("""COMPUTED_VALUE"""),"MOBILECARE - FESTIVE WALK ILOILO")</f>
        <v>MOBILECARE - FESTIVE WALK ILOILO</v>
      </c>
      <c r="D392" s="2" t="str">
        <f>IFERROR(__xludf.DUMMYFUNCTION("""COMPUTED_VALUE"""),"PP661-23455")</f>
        <v>PP661-23455</v>
      </c>
      <c r="E392" s="2" t="str">
        <f>IFERROR(__xludf.DUMMYFUNCTION("""COMPUTED_VALUE"""),"iPhone 13, Starlight, 128GB, Logic Board Assy Rear System, ROW")</f>
        <v>iPhone 13, Starlight, 128GB, Logic Board Assy Rear System, ROW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>
      <c r="A393" s="3" t="str">
        <f t="shared" si="1"/>
        <v>February</v>
      </c>
      <c r="B393" s="11">
        <f>IFERROR(__xludf.DUMMYFUNCTION("""COMPUTED_VALUE"""),46079.0)</f>
        <v>46079</v>
      </c>
      <c r="C393" s="2" t="str">
        <f>IFERROR(__xludf.DUMMYFUNCTION("""COMPUTED_VALUE"""),"MOBILECARE - FESTIVE WALK ILOILO")</f>
        <v>MOBILECARE - FESTIVE WALK ILOILO</v>
      </c>
      <c r="D393" s="2" t="str">
        <f>IFERROR(__xludf.DUMMYFUNCTION("""COMPUTED_VALUE"""),"PP661-23455")</f>
        <v>PP661-23455</v>
      </c>
      <c r="E393" s="2" t="str">
        <f>IFERROR(__xludf.DUMMYFUNCTION("""COMPUTED_VALUE"""),"iPhone 13, Starlight, 128GB, Logic Board Assy Rear System, ROW")</f>
        <v>iPhone 13, Starlight, 128GB, Logic Board Assy Rear System, ROW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>
      <c r="A394" s="3" t="str">
        <f t="shared" si="1"/>
        <v>April</v>
      </c>
      <c r="B394" s="11">
        <f>IFERROR(__xludf.DUMMYFUNCTION("""COMPUTED_VALUE"""),46137.0)</f>
        <v>46137</v>
      </c>
      <c r="C394" s="2" t="str">
        <f>IFERROR(__xludf.DUMMYFUNCTION("""COMPUTED_VALUE"""),"MOBILECARE - FESTIVE WALK ILOILO")</f>
        <v>MOBILECARE - FESTIVE WALK ILOILO</v>
      </c>
      <c r="D394" s="2" t="str">
        <f>IFERROR(__xludf.DUMMYFUNCTION("""COMPUTED_VALUE"""),"TA661-45003")</f>
        <v>TA661-45003</v>
      </c>
      <c r="E394" s="2" t="str">
        <f>IFERROR(__xludf.DUMMYFUNCTION("""COMPUTED_VALUE"""),"512GB, Black Titanium, ROW, iPhone 16 Pro, Logic Board Assy Mid System")</f>
        <v>512GB, Black Titanium, ROW, iPhone 16 Pro, Logic Board Assy Mid System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>
      <c r="A395" s="3" t="str">
        <f t="shared" si="1"/>
        <v>March</v>
      </c>
      <c r="B395" s="11">
        <f>IFERROR(__xludf.DUMMYFUNCTION("""COMPUTED_VALUE"""),46083.0)</f>
        <v>46083</v>
      </c>
      <c r="C395" s="2" t="str">
        <f>IFERROR(__xludf.DUMMYFUNCTION("""COMPUTED_VALUE"""),"MOBILECARE - FESTIVE WALK ILOILO")</f>
        <v>MOBILECARE - FESTIVE WALK ILOILO</v>
      </c>
      <c r="D395" s="2" t="str">
        <f>IFERROR(__xludf.DUMMYFUNCTION("""COMPUTED_VALUE"""),"PP661-23454")</f>
        <v>PP661-23454</v>
      </c>
      <c r="E395" s="2" t="str">
        <f>IFERROR(__xludf.DUMMYFUNCTION("""COMPUTED_VALUE"""),"iPhone 13, Midnight, 128GB, Logic Board Assy Rear System, ROW")</f>
        <v>iPhone 13, Midnight, 128GB, Logic Board Assy Rear System, ROW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>
      <c r="A396" s="3" t="str">
        <f t="shared" si="1"/>
        <v>February</v>
      </c>
      <c r="B396" s="11">
        <f>IFERROR(__xludf.DUMMYFUNCTION("""COMPUTED_VALUE"""),46062.0)</f>
        <v>46062</v>
      </c>
      <c r="C396" s="2" t="str">
        <f>IFERROR(__xludf.DUMMYFUNCTION("""COMPUTED_VALUE"""),"MOBILECARE - FESTIVE WALK ILOILO")</f>
        <v>MOBILECARE - FESTIVE WALK ILOILO</v>
      </c>
      <c r="D396" s="2" t="str">
        <f>IFERROR(__xludf.DUMMYFUNCTION("""COMPUTED_VALUE"""),"PP661-23455")</f>
        <v>PP661-23455</v>
      </c>
      <c r="E396" s="2" t="str">
        <f>IFERROR(__xludf.DUMMYFUNCTION("""COMPUTED_VALUE"""),"iPhone 13, Starlight, 128GB, Logic Board Assy Rear System, ROW")</f>
        <v>iPhone 13, Starlight, 128GB, Logic Board Assy Rear System, ROW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>
      <c r="A397" s="3" t="str">
        <f t="shared" si="1"/>
        <v>February</v>
      </c>
      <c r="B397" s="11">
        <f>IFERROR(__xludf.DUMMYFUNCTION("""COMPUTED_VALUE"""),46057.0)</f>
        <v>46057</v>
      </c>
      <c r="C397" s="2" t="str">
        <f>IFERROR(__xludf.DUMMYFUNCTION("""COMPUTED_VALUE"""),"MOBILECARE - FESTIVE WALK ILOILO")</f>
        <v>MOBILECARE - FESTIVE WALK ILOILO</v>
      </c>
      <c r="D397" s="2" t="str">
        <f>IFERROR(__xludf.DUMMYFUNCTION("""COMPUTED_VALUE"""),"PP661-28876")</f>
        <v>PP661-28876</v>
      </c>
      <c r="E397" s="2" t="str">
        <f>IFERROR(__xludf.DUMMYFUNCTION("""COMPUTED_VALUE"""),"iPhone 14, Blue, 256GB, Logic Board Assy Mid System, ROW")</f>
        <v>iPhone 14, Blue, 256GB, Logic Board Assy Mid System, ROW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>
      <c r="A398" s="3" t="str">
        <f t="shared" si="1"/>
        <v>June</v>
      </c>
      <c r="B398" s="11">
        <f>IFERROR(__xludf.DUMMYFUNCTION("""COMPUTED_VALUE"""),46183.0)</f>
        <v>46183</v>
      </c>
      <c r="C398" s="2" t="str">
        <f>IFERROR(__xludf.DUMMYFUNCTION("""COMPUTED_VALUE"""),"MOBILECARE - FESTIVE WALK ILOILO")</f>
        <v>MOBILECARE - FESTIVE WALK ILOILO</v>
      </c>
      <c r="D398" s="2" t="str">
        <f>IFERROR(__xludf.DUMMYFUNCTION("""COMPUTED_VALUE"""),"TA661-45002")</f>
        <v>TA661-45002</v>
      </c>
      <c r="E398" s="2" t="str">
        <f>IFERROR(__xludf.DUMMYFUNCTION("""COMPUTED_VALUE"""),"256GB, Natural Titanium, ROW, iPhone 16 Pro, Logic Board Assy Mid System")</f>
        <v>256GB, Natural Titanium, ROW, iPhone 16 Pro, Logic Board Assy Mid System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>
      <c r="A399" s="3" t="str">
        <f t="shared" si="1"/>
        <v>March</v>
      </c>
      <c r="B399" s="11">
        <f>IFERROR(__xludf.DUMMYFUNCTION("""COMPUTED_VALUE"""),46094.0)</f>
        <v>46094</v>
      </c>
      <c r="C399" s="2" t="str">
        <f>IFERROR(__xludf.DUMMYFUNCTION("""COMPUTED_VALUE"""),"MOBILECARE - FESTIVE WALK ILOILO")</f>
        <v>MOBILECARE - FESTIVE WALK ILOILO</v>
      </c>
      <c r="D399" s="2" t="str">
        <f>IFERROR(__xludf.DUMMYFUNCTION("""COMPUTED_VALUE"""),"PP661-23454")</f>
        <v>PP661-23454</v>
      </c>
      <c r="E399" s="2" t="str">
        <f>IFERROR(__xludf.DUMMYFUNCTION("""COMPUTED_VALUE"""),"iPhone 13, Midnight, 128GB, Logic Board Assy Rear System, ROW")</f>
        <v>iPhone 13, Midnight, 128GB, Logic Board Assy Rear System, ROW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>
      <c r="A400" s="3" t="str">
        <f t="shared" si="1"/>
        <v>February</v>
      </c>
      <c r="B400" s="11">
        <f>IFERROR(__xludf.DUMMYFUNCTION("""COMPUTED_VALUE"""),46078.0)</f>
        <v>46078</v>
      </c>
      <c r="C400" s="2" t="str">
        <f>IFERROR(__xludf.DUMMYFUNCTION("""COMPUTED_VALUE"""),"MOBILECARE - FESTIVE WALK ILOILO")</f>
        <v>MOBILECARE - FESTIVE WALK ILOILO</v>
      </c>
      <c r="D400" s="2" t="str">
        <f>IFERROR(__xludf.DUMMYFUNCTION("""COMPUTED_VALUE"""),"PP661-23455")</f>
        <v>PP661-23455</v>
      </c>
      <c r="E400" s="2" t="str">
        <f>IFERROR(__xludf.DUMMYFUNCTION("""COMPUTED_VALUE"""),"iPhone 13, Starlight, 128GB, Logic Board Assy Rear System, ROW")</f>
        <v>iPhone 13, Starlight, 128GB, Logic Board Assy Rear System, ROW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>
      <c r="A401" s="3" t="str">
        <f t="shared" si="1"/>
        <v>June</v>
      </c>
      <c r="B401" s="11">
        <f>IFERROR(__xludf.DUMMYFUNCTION("""COMPUTED_VALUE"""),46186.0)</f>
        <v>46186</v>
      </c>
      <c r="C401" s="2" t="str">
        <f>IFERROR(__xludf.DUMMYFUNCTION("""COMPUTED_VALUE"""),"MOBILECARE - FESTIVE WALK ILOILO")</f>
        <v>MOBILECARE - FESTIVE WALK ILOILO</v>
      </c>
      <c r="D401" s="2" t="str">
        <f>IFERROR(__xludf.DUMMYFUNCTION("""COMPUTED_VALUE"""),"PP661-28869")</f>
        <v>PP661-28869</v>
      </c>
      <c r="E401" s="2" t="str">
        <f>IFERROR(__xludf.DUMMYFUNCTION("""COMPUTED_VALUE"""),"iPhone 14, Starlight, 128GB, Logic Board Assy Mid System, ROW")</f>
        <v>iPhone 14, Starlight, 128GB, Logic Board Assy Mid System, ROW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>
      <c r="A402" s="3" t="str">
        <f t="shared" si="1"/>
        <v>April</v>
      </c>
      <c r="B402" s="11">
        <f>IFERROR(__xludf.DUMMYFUNCTION("""COMPUTED_VALUE"""),46123.0)</f>
        <v>46123</v>
      </c>
      <c r="C402" s="2" t="str">
        <f>IFERROR(__xludf.DUMMYFUNCTION("""COMPUTED_VALUE"""),"MOBILECARE - FESTIVE WALK ILOILO")</f>
        <v>MOBILECARE - FESTIVE WALK ILOILO</v>
      </c>
      <c r="D402" s="2" t="str">
        <f>IFERROR(__xludf.DUMMYFUNCTION("""COMPUTED_VALUE"""),"PP661-23455")</f>
        <v>PP661-23455</v>
      </c>
      <c r="E402" s="2" t="str">
        <f>IFERROR(__xludf.DUMMYFUNCTION("""COMPUTED_VALUE"""),"iPhone 13, Starlight, 128GB, Logic Board Assy Rear System, ROW")</f>
        <v>iPhone 13, Starlight, 128GB, Logic Board Assy Rear System, ROW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>
      <c r="A403" s="3" t="str">
        <f t="shared" si="1"/>
        <v>March</v>
      </c>
      <c r="B403" s="11">
        <f>IFERROR(__xludf.DUMMYFUNCTION("""COMPUTED_VALUE"""),46105.0)</f>
        <v>46105</v>
      </c>
      <c r="C403" s="2" t="str">
        <f>IFERROR(__xludf.DUMMYFUNCTION("""COMPUTED_VALUE"""),"MOBILECARE - FESTIVE WALK ILOILO")</f>
        <v>MOBILECARE - FESTIVE WALK ILOILO</v>
      </c>
      <c r="D403" s="2" t="str">
        <f>IFERROR(__xludf.DUMMYFUNCTION("""COMPUTED_VALUE"""),"TA661-49966")</f>
        <v>TA661-49966</v>
      </c>
      <c r="E403" s="2" t="str">
        <f>IFERROR(__xludf.DUMMYFUNCTION("""COMPUTED_VALUE"""),"Black, 256GB, Logic Board Assy Mid System, iPhone 16e, ROW")</f>
        <v>Black, 256GB, Logic Board Assy Mid System, iPhone 16e, ROW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>
      <c r="A404" s="3" t="str">
        <f t="shared" si="1"/>
        <v>March</v>
      </c>
      <c r="B404" s="11">
        <f>IFERROR(__xludf.DUMMYFUNCTION("""COMPUTED_VALUE"""),46101.0)</f>
        <v>46101</v>
      </c>
      <c r="C404" s="2" t="str">
        <f>IFERROR(__xludf.DUMMYFUNCTION("""COMPUTED_VALUE"""),"MOBILECARE - FESTIVE WALK ILOILO")</f>
        <v>MOBILECARE - FESTIVE WALK ILOILO</v>
      </c>
      <c r="D404" s="2" t="str">
        <f>IFERROR(__xludf.DUMMYFUNCTION("""COMPUTED_VALUE"""),"PP661-23454")</f>
        <v>PP661-23454</v>
      </c>
      <c r="E404" s="2" t="str">
        <f>IFERROR(__xludf.DUMMYFUNCTION("""COMPUTED_VALUE"""),"iPhone 13, Midnight, 128GB, Logic Board Assy Rear System, ROW")</f>
        <v>iPhone 13, Midnight, 128GB, Logic Board Assy Rear System, ROW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>
      <c r="A405" s="3" t="str">
        <f t="shared" si="1"/>
        <v>February</v>
      </c>
      <c r="B405" s="11">
        <f>IFERROR(__xludf.DUMMYFUNCTION("""COMPUTED_VALUE"""),46078.0)</f>
        <v>46078</v>
      </c>
      <c r="C405" s="2" t="str">
        <f>IFERROR(__xludf.DUMMYFUNCTION("""COMPUTED_VALUE"""),"MOBILECARE - FESTIVE WALK ILOILO")</f>
        <v>MOBILECARE - FESTIVE WALK ILOILO</v>
      </c>
      <c r="D405" s="2" t="str">
        <f>IFERROR(__xludf.DUMMYFUNCTION("""COMPUTED_VALUE"""),"PP661-28871")</f>
        <v>PP661-28871</v>
      </c>
      <c r="E405" s="2" t="str">
        <f>IFERROR(__xludf.DUMMYFUNCTION("""COMPUTED_VALUE"""),"iPhone 14, Blue, 128GB, Logic Board Assy Mid System, ROW")</f>
        <v>iPhone 14, Blue, 128GB, Logic Board Assy Mid System, ROW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>
      <c r="A406" s="3" t="str">
        <f t="shared" si="1"/>
        <v>June</v>
      </c>
      <c r="B406" s="11">
        <f>IFERROR(__xludf.DUMMYFUNCTION("""COMPUTED_VALUE"""),46184.0)</f>
        <v>46184</v>
      </c>
      <c r="C406" s="2" t="str">
        <f>IFERROR(__xludf.DUMMYFUNCTION("""COMPUTED_VALUE"""),"MOBILECARE - FESTIVE WALK ILOILO")</f>
        <v>MOBILECARE - FESTIVE WALK ILOILO</v>
      </c>
      <c r="D406" s="2" t="str">
        <f>IFERROR(__xludf.DUMMYFUNCTION("""COMPUTED_VALUE"""),"PP661-28869")</f>
        <v>PP661-28869</v>
      </c>
      <c r="E406" s="2" t="str">
        <f>IFERROR(__xludf.DUMMYFUNCTION("""COMPUTED_VALUE"""),"iPhone 14, Starlight, 128GB, Logic Board Assy Mid System, ROW")</f>
        <v>iPhone 14, Starlight, 128GB, Logic Board Assy Mid System, ROW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>
      <c r="A407" s="3" t="str">
        <f t="shared" si="1"/>
        <v>June</v>
      </c>
      <c r="B407" s="11">
        <f>IFERROR(__xludf.DUMMYFUNCTION("""COMPUTED_VALUE"""),46181.0)</f>
        <v>46181</v>
      </c>
      <c r="C407" s="2" t="str">
        <f>IFERROR(__xludf.DUMMYFUNCTION("""COMPUTED_VALUE"""),"MOBILECARE - FESTIVE WALK ILOILO")</f>
        <v>MOBILECARE - FESTIVE WALK ILOILO</v>
      </c>
      <c r="D407" s="2" t="str">
        <f>IFERROR(__xludf.DUMMYFUNCTION("""COMPUTED_VALUE"""),"PP661-23454")</f>
        <v>PP661-23454</v>
      </c>
      <c r="E407" s="2" t="str">
        <f>IFERROR(__xludf.DUMMYFUNCTION("""COMPUTED_VALUE"""),"iPhone 13, Midnight, 128GB, Logic Board Assy Rear System, ROW")</f>
        <v>iPhone 13, Midnight, 128GB, Logic Board Assy Rear System, ROW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>
      <c r="A408" s="3" t="str">
        <f t="shared" si="1"/>
        <v>June</v>
      </c>
      <c r="B408" s="11">
        <f>IFERROR(__xludf.DUMMYFUNCTION("""COMPUTED_VALUE"""),46181.0)</f>
        <v>46181</v>
      </c>
      <c r="C408" s="2" t="str">
        <f>IFERROR(__xludf.DUMMYFUNCTION("""COMPUTED_VALUE"""),"MOBILECARE - FESTIVE WALK ILOILO")</f>
        <v>MOBILECARE - FESTIVE WALK ILOILO</v>
      </c>
      <c r="D408" s="2" t="str">
        <f>IFERROR(__xludf.DUMMYFUNCTION("""COMPUTED_VALUE"""),"PP661-23454")</f>
        <v>PP661-23454</v>
      </c>
      <c r="E408" s="2" t="str">
        <f>IFERROR(__xludf.DUMMYFUNCTION("""COMPUTED_VALUE"""),"iPhone 13, Midnight, 128GB, Logic Board Assy Rear System, ROW")</f>
        <v>iPhone 13, Midnight, 128GB, Logic Board Assy Rear System, ROW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>
      <c r="A409" s="3" t="str">
        <f t="shared" si="1"/>
        <v>March</v>
      </c>
      <c r="B409" s="11">
        <f>IFERROR(__xludf.DUMMYFUNCTION("""COMPUTED_VALUE"""),46103.0)</f>
        <v>46103</v>
      </c>
      <c r="C409" s="2" t="str">
        <f>IFERROR(__xludf.DUMMYFUNCTION("""COMPUTED_VALUE"""),"MOBILECARE - FESTIVE WALK ILOILO")</f>
        <v>MOBILECARE - FESTIVE WALK ILOILO</v>
      </c>
      <c r="D409" s="2" t="str">
        <f>IFERROR(__xludf.DUMMYFUNCTION("""COMPUTED_VALUE"""),"PP661-23455")</f>
        <v>PP661-23455</v>
      </c>
      <c r="E409" s="2" t="str">
        <f>IFERROR(__xludf.DUMMYFUNCTION("""COMPUTED_VALUE"""),"iPhone 13, Starlight, 128GB, Logic Board Assy Rear System, ROW")</f>
        <v>iPhone 13, Starlight, 128GB, Logic Board Assy Rear System, ROW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>
      <c r="A410" s="3" t="str">
        <f t="shared" si="1"/>
        <v>February</v>
      </c>
      <c r="B410" s="11">
        <f>IFERROR(__xludf.DUMMYFUNCTION("""COMPUTED_VALUE"""),46081.0)</f>
        <v>46081</v>
      </c>
      <c r="C410" s="2" t="str">
        <f>IFERROR(__xludf.DUMMYFUNCTION("""COMPUTED_VALUE"""),"MOBILECARE - FESTIVE WALK ILOILO")</f>
        <v>MOBILECARE - FESTIVE WALK ILOILO</v>
      </c>
      <c r="D410" s="2" t="str">
        <f>IFERROR(__xludf.DUMMYFUNCTION("""COMPUTED_VALUE"""),"PP661-28869")</f>
        <v>PP661-28869</v>
      </c>
      <c r="E410" s="2" t="str">
        <f>IFERROR(__xludf.DUMMYFUNCTION("""COMPUTED_VALUE"""),"iPhone 14, Starlight, 128GB, Logic Board Assy Mid System, ROW")</f>
        <v>iPhone 14, Starlight, 128GB, Logic Board Assy Mid System, ROW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>
      <c r="A411" s="3" t="str">
        <f t="shared" si="1"/>
        <v>March</v>
      </c>
      <c r="B411" s="11">
        <f>IFERROR(__xludf.DUMMYFUNCTION("""COMPUTED_VALUE"""),46097.0)</f>
        <v>46097</v>
      </c>
      <c r="C411" s="2" t="str">
        <f>IFERROR(__xludf.DUMMYFUNCTION("""COMPUTED_VALUE"""),"MOBILECARE - FESTIVE WALK ILOILO")</f>
        <v>MOBILECARE - FESTIVE WALK ILOILO</v>
      </c>
      <c r="D411" s="2" t="str">
        <f>IFERROR(__xludf.DUMMYFUNCTION("""COMPUTED_VALUE"""),"PP661-23455")</f>
        <v>PP661-23455</v>
      </c>
      <c r="E411" s="2" t="str">
        <f>IFERROR(__xludf.DUMMYFUNCTION("""COMPUTED_VALUE"""),"iPhone 13, Starlight, 128GB, Logic Board Assy Rear System, ROW")</f>
        <v>iPhone 13, Starlight, 128GB, Logic Board Assy Rear System, ROW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>
      <c r="A412" s="3" t="str">
        <f t="shared" si="1"/>
        <v>March</v>
      </c>
      <c r="B412" s="11">
        <f>IFERROR(__xludf.DUMMYFUNCTION("""COMPUTED_VALUE"""),46097.0)</f>
        <v>46097</v>
      </c>
      <c r="C412" s="2" t="str">
        <f>IFERROR(__xludf.DUMMYFUNCTION("""COMPUTED_VALUE"""),"MOBILECARE - FESTIVE WALK ILOILO")</f>
        <v>MOBILECARE - FESTIVE WALK ILOILO</v>
      </c>
      <c r="D412" s="2" t="str">
        <f>IFERROR(__xludf.DUMMYFUNCTION("""COMPUTED_VALUE"""),"PP661-23455")</f>
        <v>PP661-23455</v>
      </c>
      <c r="E412" s="2" t="str">
        <f>IFERROR(__xludf.DUMMYFUNCTION("""COMPUTED_VALUE"""),"iPhone 13, Starlight, 128GB, Logic Board Assy Rear System, ROW")</f>
        <v>iPhone 13, Starlight, 128GB, Logic Board Assy Rear System, ROW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>
      <c r="A413" s="3" t="str">
        <f t="shared" si="1"/>
        <v>March</v>
      </c>
      <c r="B413" s="11">
        <f>IFERROR(__xludf.DUMMYFUNCTION("""COMPUTED_VALUE"""),46088.0)</f>
        <v>46088</v>
      </c>
      <c r="C413" s="2" t="str">
        <f>IFERROR(__xludf.DUMMYFUNCTION("""COMPUTED_VALUE"""),"MOBILECARE - FESTIVE WALK ILOILO")</f>
        <v>MOBILECARE - FESTIVE WALK ILOILO</v>
      </c>
      <c r="D413" s="2" t="str">
        <f>IFERROR(__xludf.DUMMYFUNCTION("""COMPUTED_VALUE"""),"PP661-23455")</f>
        <v>PP661-23455</v>
      </c>
      <c r="E413" s="2" t="str">
        <f>IFERROR(__xludf.DUMMYFUNCTION("""COMPUTED_VALUE"""),"iPhone 13, Starlight, 128GB, Logic Board Assy Rear System, ROW")</f>
        <v>iPhone 13, Starlight, 128GB, Logic Board Assy Rear System, ROW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>
      <c r="A414" s="3" t="str">
        <f t="shared" si="1"/>
        <v>March</v>
      </c>
      <c r="B414" s="11">
        <f>IFERROR(__xludf.DUMMYFUNCTION("""COMPUTED_VALUE"""),46088.0)</f>
        <v>46088</v>
      </c>
      <c r="C414" s="2" t="str">
        <f>IFERROR(__xludf.DUMMYFUNCTION("""COMPUTED_VALUE"""),"MOBILECARE - FESTIVE WALK ILOILO")</f>
        <v>MOBILECARE - FESTIVE WALK ILOILO</v>
      </c>
      <c r="D414" s="2" t="str">
        <f>IFERROR(__xludf.DUMMYFUNCTION("""COMPUTED_VALUE"""),"PP661-23455")</f>
        <v>PP661-23455</v>
      </c>
      <c r="E414" s="2" t="str">
        <f>IFERROR(__xludf.DUMMYFUNCTION("""COMPUTED_VALUE"""),"iPhone 13, Starlight, 128GB, Logic Board Assy Rear System, ROW")</f>
        <v>iPhone 13, Starlight, 128GB, Logic Board Assy Rear System, ROW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>
      <c r="A415" s="3" t="str">
        <f t="shared" si="1"/>
        <v>January</v>
      </c>
      <c r="B415" s="11">
        <f>IFERROR(__xludf.DUMMYFUNCTION("""COMPUTED_VALUE"""),46052.0)</f>
        <v>46052</v>
      </c>
      <c r="C415" s="2" t="str">
        <f>IFERROR(__xludf.DUMMYFUNCTION("""COMPUTED_VALUE"""),"MOBILECARE - FESTIVE WALK ILOILO")</f>
        <v>MOBILECARE - FESTIVE WALK ILOILO</v>
      </c>
      <c r="D415" s="2" t="str">
        <f>IFERROR(__xludf.DUMMYFUNCTION("""COMPUTED_VALUE"""),"TA661-44995")</f>
        <v>TA661-44995</v>
      </c>
      <c r="E415" s="2" t="str">
        <f>IFERROR(__xludf.DUMMYFUNCTION("""COMPUTED_VALUE"""),"128GB, Black Titanium, ROW, iPhone 16 Pro, Logic Board Assy Mid System")</f>
        <v>128GB, Black Titanium, ROW, iPhone 16 Pro, Logic Board Assy Mid System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>
      <c r="A416" s="3" t="str">
        <f t="shared" si="1"/>
        <v>June</v>
      </c>
      <c r="B416" s="11">
        <f>IFERROR(__xludf.DUMMYFUNCTION("""COMPUTED_VALUE"""),46183.0)</f>
        <v>46183</v>
      </c>
      <c r="C416" s="2" t="str">
        <f>IFERROR(__xludf.DUMMYFUNCTION("""COMPUTED_VALUE"""),"MOBILECARE - FESTIVE WALK ILOILO")</f>
        <v>MOBILECARE - FESTIVE WALK ILOILO</v>
      </c>
      <c r="D416" s="2" t="str">
        <f>IFERROR(__xludf.DUMMYFUNCTION("""COMPUTED_VALUE"""),"PP661-23454")</f>
        <v>PP661-23454</v>
      </c>
      <c r="E416" s="2" t="str">
        <f>IFERROR(__xludf.DUMMYFUNCTION("""COMPUTED_VALUE"""),"iPhone 13, Midnight, 128GB, Logic Board Assy Rear System, ROW")</f>
        <v>iPhone 13, Midnight, 128GB, Logic Board Assy Rear System, ROW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>
      <c r="A417" s="3" t="str">
        <f t="shared" si="1"/>
        <v>June</v>
      </c>
      <c r="B417" s="11">
        <f>IFERROR(__xludf.DUMMYFUNCTION("""COMPUTED_VALUE"""),46183.0)</f>
        <v>46183</v>
      </c>
      <c r="C417" s="2" t="str">
        <f>IFERROR(__xludf.DUMMYFUNCTION("""COMPUTED_VALUE"""),"MOBILECARE - FESTIVE WALK ILOILO")</f>
        <v>MOBILECARE - FESTIVE WALK ILOILO</v>
      </c>
      <c r="D417" s="2" t="str">
        <f>IFERROR(__xludf.DUMMYFUNCTION("""COMPUTED_VALUE"""),"PP661-23454")</f>
        <v>PP661-23454</v>
      </c>
      <c r="E417" s="2" t="str">
        <f>IFERROR(__xludf.DUMMYFUNCTION("""COMPUTED_VALUE"""),"iPhone 13, Midnight, 128GB, Logic Board Assy Rear System, ROW")</f>
        <v>iPhone 13, Midnight, 128GB, Logic Board Assy Rear System, ROW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>
      <c r="A418" s="3" t="str">
        <f t="shared" si="1"/>
        <v>June</v>
      </c>
      <c r="B418" s="11">
        <f>IFERROR(__xludf.DUMMYFUNCTION("""COMPUTED_VALUE"""),46192.0)</f>
        <v>46192</v>
      </c>
      <c r="C418" s="2" t="str">
        <f>IFERROR(__xludf.DUMMYFUNCTION("""COMPUTED_VALUE"""),"MOBILECARE - FESTIVE WALK ILOILO")</f>
        <v>MOBILECARE - FESTIVE WALK ILOILO</v>
      </c>
      <c r="D418" s="2" t="str">
        <f>IFERROR(__xludf.DUMMYFUNCTION("""COMPUTED_VALUE"""),"PP661-23455")</f>
        <v>PP661-23455</v>
      </c>
      <c r="E418" s="2" t="str">
        <f>IFERROR(__xludf.DUMMYFUNCTION("""COMPUTED_VALUE"""),"iPhone 13, Starlight, 128GB, Logic Board Assy Rear System, ROW")</f>
        <v>iPhone 13, Starlight, 128GB, Logic Board Assy Rear System, ROW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>
      <c r="A419" s="3" t="str">
        <f t="shared" si="1"/>
        <v>April</v>
      </c>
      <c r="B419" s="11">
        <f>IFERROR(__xludf.DUMMYFUNCTION("""COMPUTED_VALUE"""),46113.0)</f>
        <v>46113</v>
      </c>
      <c r="C419" s="2" t="str">
        <f>IFERROR(__xludf.DUMMYFUNCTION("""COMPUTED_VALUE"""),"MOBILECARE - FESTIVE WALK ILOILO")</f>
        <v>MOBILECARE - FESTIVE WALK ILOILO</v>
      </c>
      <c r="D419" s="2" t="str">
        <f>IFERROR(__xludf.DUMMYFUNCTION("""COMPUTED_VALUE"""),"PP661-23454")</f>
        <v>PP661-23454</v>
      </c>
      <c r="E419" s="2" t="str">
        <f>IFERROR(__xludf.DUMMYFUNCTION("""COMPUTED_VALUE"""),"iPhone 13, Midnight, 128GB, Logic Board Assy Rear System, ROW")</f>
        <v>iPhone 13, Midnight, 128GB, Logic Board Assy Rear System, ROW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>
      <c r="A420" s="3" t="str">
        <f t="shared" si="1"/>
        <v>February</v>
      </c>
      <c r="B420" s="11">
        <f>IFERROR(__xludf.DUMMYFUNCTION("""COMPUTED_VALUE"""),46067.0)</f>
        <v>46067</v>
      </c>
      <c r="C420" s="2" t="str">
        <f>IFERROR(__xludf.DUMMYFUNCTION("""COMPUTED_VALUE"""),"MOBILECARE - FESTIVE WALK ILOILO")</f>
        <v>MOBILECARE - FESTIVE WALK ILOILO</v>
      </c>
      <c r="D420" s="2" t="str">
        <f>IFERROR(__xludf.DUMMYFUNCTION("""COMPUTED_VALUE"""),"TA661-43605")</f>
        <v>TA661-43605</v>
      </c>
      <c r="E420" s="2" t="str">
        <f>IFERROR(__xludf.DUMMYFUNCTION("""COMPUTED_VALUE"""),"128GB, Black, ROW, iPhone 16, Logic Board Assy Mid System")</f>
        <v>128GB, Black, ROW, iPhone 16, Logic Board Assy Mid System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>
      <c r="A421" s="3" t="str">
        <f t="shared" si="1"/>
        <v>June</v>
      </c>
      <c r="B421" s="11">
        <f>IFERROR(__xludf.DUMMYFUNCTION("""COMPUTED_VALUE"""),46180.0)</f>
        <v>46180</v>
      </c>
      <c r="C421" s="2" t="str">
        <f>IFERROR(__xludf.DUMMYFUNCTION("""COMPUTED_VALUE"""),"MOBILECARE - FESTIVE WALK ILOILO")</f>
        <v>MOBILECARE - FESTIVE WALK ILOILO</v>
      </c>
      <c r="D421" s="2" t="str">
        <f>IFERROR(__xludf.DUMMYFUNCTION("""COMPUTED_VALUE"""),"PP661-28868")</f>
        <v>PP661-28868</v>
      </c>
      <c r="E421" s="2" t="str">
        <f>IFERROR(__xludf.DUMMYFUNCTION("""COMPUTED_VALUE"""),"iPhone 14, Midnight, 128GB, Logic Board Assy Mid System, ROW")</f>
        <v>iPhone 14, Midnight, 128GB, Logic Board Assy Mid System, ROW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>
      <c r="A422" s="3" t="str">
        <f t="shared" si="1"/>
        <v>May</v>
      </c>
      <c r="B422" s="11">
        <f>IFERROR(__xludf.DUMMYFUNCTION("""COMPUTED_VALUE"""),46154.0)</f>
        <v>46154</v>
      </c>
      <c r="C422" s="2" t="str">
        <f>IFERROR(__xludf.DUMMYFUNCTION("""COMPUTED_VALUE"""),"MOBILECARE - FESTIVE WALK ILOILO")</f>
        <v>MOBILECARE - FESTIVE WALK ILOILO</v>
      </c>
      <c r="D422" s="2" t="str">
        <f>IFERROR(__xludf.DUMMYFUNCTION("""COMPUTED_VALUE"""),"PP661-23455")</f>
        <v>PP661-23455</v>
      </c>
      <c r="E422" s="2" t="str">
        <f>IFERROR(__xludf.DUMMYFUNCTION("""COMPUTED_VALUE"""),"iPhone 13, Starlight, 128GB, Logic Board Assy Rear System, ROW")</f>
        <v>iPhone 13, Starlight, 128GB, Logic Board Assy Rear System, ROW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>
      <c r="A423" s="3" t="str">
        <f t="shared" si="1"/>
        <v>May</v>
      </c>
      <c r="B423" s="11">
        <f>IFERROR(__xludf.DUMMYFUNCTION("""COMPUTED_VALUE"""),46144.0)</f>
        <v>46144</v>
      </c>
      <c r="C423" s="2" t="str">
        <f>IFERROR(__xludf.DUMMYFUNCTION("""COMPUTED_VALUE"""),"MOBILECARE - FESTIVE WALK ILOILO")</f>
        <v>MOBILECARE - FESTIVE WALK ILOILO</v>
      </c>
      <c r="D423" s="2" t="str">
        <f>IFERROR(__xludf.DUMMYFUNCTION("""COMPUTED_VALUE"""),"PP661-23455")</f>
        <v>PP661-23455</v>
      </c>
      <c r="E423" s="2" t="str">
        <f>IFERROR(__xludf.DUMMYFUNCTION("""COMPUTED_VALUE"""),"iPhone 13, Starlight, 128GB, Logic Board Assy Rear System, ROW")</f>
        <v>iPhone 13, Starlight, 128GB, Logic Board Assy Rear System, ROW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>
      <c r="A424" s="3" t="str">
        <f t="shared" si="1"/>
        <v>February</v>
      </c>
      <c r="B424" s="11">
        <f>IFERROR(__xludf.DUMMYFUNCTION("""COMPUTED_VALUE"""),46080.0)</f>
        <v>46080</v>
      </c>
      <c r="C424" s="2" t="str">
        <f>IFERROR(__xludf.DUMMYFUNCTION("""COMPUTED_VALUE"""),"MOBILECARE - FESTIVE WALK ILOILO")</f>
        <v>MOBILECARE - FESTIVE WALK ILOILO</v>
      </c>
      <c r="D424" s="2" t="str">
        <f>IFERROR(__xludf.DUMMYFUNCTION("""COMPUTED_VALUE"""),"PP661-23455")</f>
        <v>PP661-23455</v>
      </c>
      <c r="E424" s="2" t="str">
        <f>IFERROR(__xludf.DUMMYFUNCTION("""COMPUTED_VALUE"""),"iPhone 13, Starlight, 128GB, Logic Board Assy Rear System, ROW")</f>
        <v>iPhone 13, Starlight, 128GB, Logic Board Assy Rear System, ROW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>
      <c r="A425" s="3" t="str">
        <f t="shared" si="1"/>
        <v>June</v>
      </c>
      <c r="B425" s="11">
        <f>IFERROR(__xludf.DUMMYFUNCTION("""COMPUTED_VALUE"""),46183.0)</f>
        <v>46183</v>
      </c>
      <c r="C425" s="2" t="str">
        <f>IFERROR(__xludf.DUMMYFUNCTION("""COMPUTED_VALUE"""),"MOBILECARE - FESTIVE WALK ILOILO")</f>
        <v>MOBILECARE - FESTIVE WALK ILOILO</v>
      </c>
      <c r="D425" s="2" t="str">
        <f>IFERROR(__xludf.DUMMYFUNCTION("""COMPUTED_VALUE"""),"TA661-43609")</f>
        <v>TA661-43609</v>
      </c>
      <c r="E425" s="2" t="str">
        <f>IFERROR(__xludf.DUMMYFUNCTION("""COMPUTED_VALUE"""),"128GB, Teal, ROW, iPhone 16, Logic Board Assy Mid System")</f>
        <v>128GB, Teal, ROW, iPhone 16, Logic Board Assy Mid System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>
      <c r="A426" s="3" t="str">
        <f t="shared" si="1"/>
        <v>May</v>
      </c>
      <c r="B426" s="11">
        <f>IFERROR(__xludf.DUMMYFUNCTION("""COMPUTED_VALUE"""),46155.0)</f>
        <v>46155</v>
      </c>
      <c r="C426" s="2" t="str">
        <f>IFERROR(__xludf.DUMMYFUNCTION("""COMPUTED_VALUE"""),"MOBILECARE - FESTIVE WALK ILOILO")</f>
        <v>MOBILECARE - FESTIVE WALK ILOILO</v>
      </c>
      <c r="D426" s="2" t="str">
        <f>IFERROR(__xludf.DUMMYFUNCTION("""COMPUTED_VALUE"""),"TA661-36694")</f>
        <v>TA661-36694</v>
      </c>
      <c r="E426" s="2" t="str">
        <f>IFERROR(__xludf.DUMMYFUNCTION("""COMPUTED_VALUE"""),"iPhone 15, Blue, 128GB, Logic Board Assy Mid System, ROW")</f>
        <v>iPhone 15, Blue, 128GB, Logic Board Assy Mid System, ROW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>
      <c r="A427" s="3" t="str">
        <f t="shared" si="1"/>
        <v>April</v>
      </c>
      <c r="B427" s="11">
        <f>IFERROR(__xludf.DUMMYFUNCTION("""COMPUTED_VALUE"""),46136.0)</f>
        <v>46136</v>
      </c>
      <c r="C427" s="2" t="str">
        <f>IFERROR(__xludf.DUMMYFUNCTION("""COMPUTED_VALUE"""),"MOBILECARE - FESTIVE WALK ILOILO")</f>
        <v>MOBILECARE - FESTIVE WALK ILOILO</v>
      </c>
      <c r="D427" s="2" t="str">
        <f>IFERROR(__xludf.DUMMYFUNCTION("""COMPUTED_VALUE"""),"TA661-36691")</f>
        <v>TA661-36691</v>
      </c>
      <c r="E427" s="2" t="str">
        <f>IFERROR(__xludf.DUMMYFUNCTION("""COMPUTED_VALUE"""),"iPhone 15, Black, 128GB, Logic Board Assy Mid System, ROW")</f>
        <v>iPhone 15, Black, 128GB, Logic Board Assy Mid System, ROW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>
      <c r="A428" s="3" t="str">
        <f t="shared" si="1"/>
        <v>April</v>
      </c>
      <c r="B428" s="11">
        <f>IFERROR(__xludf.DUMMYFUNCTION("""COMPUTED_VALUE"""),46136.0)</f>
        <v>46136</v>
      </c>
      <c r="C428" s="2" t="str">
        <f>IFERROR(__xludf.DUMMYFUNCTION("""COMPUTED_VALUE"""),"MOBILECARE - FESTIVE WALK ILOILO")</f>
        <v>MOBILECARE - FESTIVE WALK ILOILO</v>
      </c>
      <c r="D428" s="2" t="str">
        <f>IFERROR(__xludf.DUMMYFUNCTION("""COMPUTED_VALUE"""),"TA661-36691")</f>
        <v>TA661-36691</v>
      </c>
      <c r="E428" s="2" t="str">
        <f>IFERROR(__xludf.DUMMYFUNCTION("""COMPUTED_VALUE"""),"iPhone 15, Black, 128GB, Logic Board Assy Mid System, ROW")</f>
        <v>iPhone 15, Black, 128GB, Logic Board Assy Mid System, ROW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>
      <c r="A429" s="3" t="str">
        <f t="shared" si="1"/>
        <v>February</v>
      </c>
      <c r="B429" s="11">
        <f>IFERROR(__xludf.DUMMYFUNCTION("""COMPUTED_VALUE"""),46081.0)</f>
        <v>46081</v>
      </c>
      <c r="C429" s="2" t="str">
        <f>IFERROR(__xludf.DUMMYFUNCTION("""COMPUTED_VALUE"""),"MOBILECARE - FESTIVE WALK ILOILO")</f>
        <v>MOBILECARE - FESTIVE WALK ILOILO</v>
      </c>
      <c r="D429" s="2" t="str">
        <f>IFERROR(__xludf.DUMMYFUNCTION("""COMPUTED_VALUE"""),"PP661-23455")</f>
        <v>PP661-23455</v>
      </c>
      <c r="E429" s="2" t="str">
        <f>IFERROR(__xludf.DUMMYFUNCTION("""COMPUTED_VALUE"""),"iPhone 13, Starlight, 128GB, Logic Board Assy Rear System, ROW")</f>
        <v>iPhone 13, Starlight, 128GB, Logic Board Assy Rear System, ROW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>
      <c r="A430" s="3" t="str">
        <f t="shared" si="1"/>
        <v>March</v>
      </c>
      <c r="B430" s="11">
        <f>IFERROR(__xludf.DUMMYFUNCTION("""COMPUTED_VALUE"""),46100.0)</f>
        <v>46100</v>
      </c>
      <c r="C430" s="2" t="str">
        <f>IFERROR(__xludf.DUMMYFUNCTION("""COMPUTED_VALUE"""),"MOBILECARE - FESTIVE WALK ILOILO")</f>
        <v>MOBILECARE - FESTIVE WALK ILOILO</v>
      </c>
      <c r="D430" s="2" t="str">
        <f>IFERROR(__xludf.DUMMYFUNCTION("""COMPUTED_VALUE"""),"PP661-23455")</f>
        <v>PP661-23455</v>
      </c>
      <c r="E430" s="2" t="str">
        <f>IFERROR(__xludf.DUMMYFUNCTION("""COMPUTED_VALUE"""),"iPhone 13, Starlight, 128GB, Logic Board Assy Rear System, ROW")</f>
        <v>iPhone 13, Starlight, 128GB, Logic Board Assy Rear System, ROW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>
      <c r="A431" s="3" t="str">
        <f t="shared" si="1"/>
        <v>February</v>
      </c>
      <c r="B431" s="11">
        <f>IFERROR(__xludf.DUMMYFUNCTION("""COMPUTED_VALUE"""),46070.0)</f>
        <v>46070</v>
      </c>
      <c r="C431" s="2" t="str">
        <f>IFERROR(__xludf.DUMMYFUNCTION("""COMPUTED_VALUE"""),"MOBILECARE - FESTIVE WALK ILOILO")</f>
        <v>MOBILECARE - FESTIVE WALK ILOILO</v>
      </c>
      <c r="D431" s="2" t="str">
        <f>IFERROR(__xludf.DUMMYFUNCTION("""COMPUTED_VALUE"""),"PP661-23454")</f>
        <v>PP661-23454</v>
      </c>
      <c r="E431" s="2" t="str">
        <f>IFERROR(__xludf.DUMMYFUNCTION("""COMPUTED_VALUE"""),"iPhone 13, Midnight, 128GB, Logic Board Assy Rear System, ROW")</f>
        <v>iPhone 13, Midnight, 128GB, Logic Board Assy Rear System, ROW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>
      <c r="A432" s="3" t="str">
        <f t="shared" si="1"/>
        <v>April</v>
      </c>
      <c r="B432" s="11">
        <f>IFERROR(__xludf.DUMMYFUNCTION("""COMPUTED_VALUE"""),46118.0)</f>
        <v>46118</v>
      </c>
      <c r="C432" s="2" t="str">
        <f>IFERROR(__xludf.DUMMYFUNCTION("""COMPUTED_VALUE"""),"MOBILECARE - FESTIVE WALK ILOILO")</f>
        <v>MOBILECARE - FESTIVE WALK ILOILO</v>
      </c>
      <c r="D432" s="2" t="str">
        <f>IFERROR(__xludf.DUMMYFUNCTION("""COMPUTED_VALUE"""),"PP661-23455")</f>
        <v>PP661-23455</v>
      </c>
      <c r="E432" s="2" t="str">
        <f>IFERROR(__xludf.DUMMYFUNCTION("""COMPUTED_VALUE"""),"iPhone 13, Starlight, 128GB, Logic Board Assy Rear System, ROW")</f>
        <v>iPhone 13, Starlight, 128GB, Logic Board Assy Rear System, ROW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>
      <c r="A433" s="3" t="str">
        <f t="shared" si="1"/>
        <v>March</v>
      </c>
      <c r="B433" s="11">
        <f>IFERROR(__xludf.DUMMYFUNCTION("""COMPUTED_VALUE"""),46094.0)</f>
        <v>46094</v>
      </c>
      <c r="C433" s="2" t="str">
        <f>IFERROR(__xludf.DUMMYFUNCTION("""COMPUTED_VALUE"""),"MOBILECARE - FESTIVE WALK ILOILO")</f>
        <v>MOBILECARE - FESTIVE WALK ILOILO</v>
      </c>
      <c r="D433" s="2" t="str">
        <f>IFERROR(__xludf.DUMMYFUNCTION("""COMPUTED_VALUE"""),"TA661-43605")</f>
        <v>TA661-43605</v>
      </c>
      <c r="E433" s="2" t="str">
        <f>IFERROR(__xludf.DUMMYFUNCTION("""COMPUTED_VALUE"""),"128GB, Black, ROW, iPhone 16, Logic Board Assy Mid System")</f>
        <v>128GB, Black, ROW, iPhone 16, Logic Board Assy Mid System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>
      <c r="A434" s="3" t="str">
        <f t="shared" si="1"/>
        <v>March</v>
      </c>
      <c r="B434" s="11">
        <f>IFERROR(__xludf.DUMMYFUNCTION("""COMPUTED_VALUE"""),46088.0)</f>
        <v>46088</v>
      </c>
      <c r="C434" s="2" t="str">
        <f>IFERROR(__xludf.DUMMYFUNCTION("""COMPUTED_VALUE"""),"MOBILECARE - FESTIVE WALK ILOILO")</f>
        <v>MOBILECARE - FESTIVE WALK ILOILO</v>
      </c>
      <c r="D434" s="2" t="str">
        <f>IFERROR(__xludf.DUMMYFUNCTION("""COMPUTED_VALUE"""),"PP661-23454")</f>
        <v>PP661-23454</v>
      </c>
      <c r="E434" s="2" t="str">
        <f>IFERROR(__xludf.DUMMYFUNCTION("""COMPUTED_VALUE"""),"iPhone 13, Midnight, 128GB, Logic Board Assy Rear System, ROW")</f>
        <v>iPhone 13, Midnight, 128GB, Logic Board Assy Rear System, ROW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>
      <c r="A435" s="3" t="str">
        <f t="shared" si="1"/>
        <v>April</v>
      </c>
      <c r="B435" s="11">
        <f>IFERROR(__xludf.DUMMYFUNCTION("""COMPUTED_VALUE"""),46132.0)</f>
        <v>46132</v>
      </c>
      <c r="C435" s="2" t="str">
        <f>IFERROR(__xludf.DUMMYFUNCTION("""COMPUTED_VALUE"""),"MOBILECARE - FESTIVE WALK ILOILO")</f>
        <v>MOBILECARE - FESTIVE WALK ILOILO</v>
      </c>
      <c r="D435" s="2" t="str">
        <f>IFERROR(__xludf.DUMMYFUNCTION("""COMPUTED_VALUE"""),"TA661-36694")</f>
        <v>TA661-36694</v>
      </c>
      <c r="E435" s="2" t="str">
        <f>IFERROR(__xludf.DUMMYFUNCTION("""COMPUTED_VALUE"""),"iPhone 15, Blue, 128GB, Logic Board Assy Mid System, ROW")</f>
        <v>iPhone 15, Blue, 128GB, Logic Board Assy Mid System, ROW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>
      <c r="A436" s="3" t="str">
        <f t="shared" si="1"/>
        <v>February</v>
      </c>
      <c r="B436" s="11">
        <f>IFERROR(__xludf.DUMMYFUNCTION("""COMPUTED_VALUE"""),46060.0)</f>
        <v>46060</v>
      </c>
      <c r="C436" s="2" t="str">
        <f>IFERROR(__xludf.DUMMYFUNCTION("""COMPUTED_VALUE"""),"MOBILECARE - FESTIVE WALK ILOILO")</f>
        <v>MOBILECARE - FESTIVE WALK ILOILO</v>
      </c>
      <c r="D436" s="2" t="str">
        <f>IFERROR(__xludf.DUMMYFUNCTION("""COMPUTED_VALUE"""),"PP661-28872")</f>
        <v>PP661-28872</v>
      </c>
      <c r="E436" s="2" t="str">
        <f>IFERROR(__xludf.DUMMYFUNCTION("""COMPUTED_VALUE"""),"iPhone 14, Purple, 128GB, Logic Board Assy Mid System, ROW")</f>
        <v>iPhone 14, Purple, 128GB, Logic Board Assy Mid System, ROW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>
      <c r="A437" s="3" t="str">
        <f t="shared" si="1"/>
        <v>February</v>
      </c>
      <c r="B437" s="11">
        <f>IFERROR(__xludf.DUMMYFUNCTION("""COMPUTED_VALUE"""),46056.0)</f>
        <v>46056</v>
      </c>
      <c r="C437" s="2" t="str">
        <f>IFERROR(__xludf.DUMMYFUNCTION("""COMPUTED_VALUE"""),"MOBILECARE - FESTIVE WALK ILOILO")</f>
        <v>MOBILECARE - FESTIVE WALK ILOILO</v>
      </c>
      <c r="D437" s="2" t="str">
        <f>IFERROR(__xludf.DUMMYFUNCTION("""COMPUTED_VALUE"""),"661-37212")</f>
        <v>661-37212</v>
      </c>
      <c r="E437" s="2" t="str">
        <f>IFERROR(__xludf.DUMMYFUNCTION("""COMPUTED_VALUE"""),"Green, Back Glass, iPhone 15 Plus")</f>
        <v>Green, Back Glass, iPhone 15 Plus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>
      <c r="A438" s="3" t="str">
        <f t="shared" si="1"/>
        <v>April</v>
      </c>
      <c r="B438" s="11">
        <f>IFERROR(__xludf.DUMMYFUNCTION("""COMPUTED_VALUE"""),46134.0)</f>
        <v>46134</v>
      </c>
      <c r="C438" s="2" t="str">
        <f>IFERROR(__xludf.DUMMYFUNCTION("""COMPUTED_VALUE"""),"MOBILECARE - FESTIVE WALK ILOILO")</f>
        <v>MOBILECARE - FESTIVE WALK ILOILO</v>
      </c>
      <c r="D438" s="2" t="str">
        <f>IFERROR(__xludf.DUMMYFUNCTION("""COMPUTED_VALUE"""),"PP661-23454")</f>
        <v>PP661-23454</v>
      </c>
      <c r="E438" s="2" t="str">
        <f>IFERROR(__xludf.DUMMYFUNCTION("""COMPUTED_VALUE"""),"iPhone 13, Midnight, 128GB, Logic Board Assy Rear System, ROW")</f>
        <v>iPhone 13, Midnight, 128GB, Logic Board Assy Rear System, ROW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>
      <c r="A439" s="3" t="str">
        <f t="shared" si="1"/>
        <v>April</v>
      </c>
      <c r="B439" s="11">
        <f>IFERROR(__xludf.DUMMYFUNCTION("""COMPUTED_VALUE"""),46116.0)</f>
        <v>46116</v>
      </c>
      <c r="C439" s="2" t="str">
        <f>IFERROR(__xludf.DUMMYFUNCTION("""COMPUTED_VALUE"""),"MOBILECARE - FESTIVE WALK ILOILO")</f>
        <v>MOBILECARE - FESTIVE WALK ILOILO</v>
      </c>
      <c r="D439" s="2" t="str">
        <f>IFERROR(__xludf.DUMMYFUNCTION("""COMPUTED_VALUE"""),"PP661-23454")</f>
        <v>PP661-23454</v>
      </c>
      <c r="E439" s="2" t="str">
        <f>IFERROR(__xludf.DUMMYFUNCTION("""COMPUTED_VALUE"""),"iPhone 13, Midnight, 128GB, Logic Board Assy Rear System, ROW")</f>
        <v>iPhone 13, Midnight, 128GB, Logic Board Assy Rear System, ROW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>
      <c r="A440" s="3" t="str">
        <f t="shared" si="1"/>
        <v>March</v>
      </c>
      <c r="B440" s="11">
        <f>IFERROR(__xludf.DUMMYFUNCTION("""COMPUTED_VALUE"""),46097.0)</f>
        <v>46097</v>
      </c>
      <c r="C440" s="2" t="str">
        <f>IFERROR(__xludf.DUMMYFUNCTION("""COMPUTED_VALUE"""),"MOBILECARE - FESTIVE WALK ILOILO")</f>
        <v>MOBILECARE - FESTIVE WALK ILOILO</v>
      </c>
      <c r="D440" s="2" t="str">
        <f>IFERROR(__xludf.DUMMYFUNCTION("""COMPUTED_VALUE"""),"PP661-23455")</f>
        <v>PP661-23455</v>
      </c>
      <c r="E440" s="2" t="str">
        <f>IFERROR(__xludf.DUMMYFUNCTION("""COMPUTED_VALUE"""),"iPhone 13, Starlight, 128GB, Logic Board Assy Rear System, ROW")</f>
        <v>iPhone 13, Starlight, 128GB, Logic Board Assy Rear System, ROW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>
      <c r="A441" s="3" t="str">
        <f t="shared" si="1"/>
        <v>March</v>
      </c>
      <c r="B441" s="11">
        <f>IFERROR(__xludf.DUMMYFUNCTION("""COMPUTED_VALUE"""),46110.0)</f>
        <v>46110</v>
      </c>
      <c r="C441" s="2" t="str">
        <f>IFERROR(__xludf.DUMMYFUNCTION("""COMPUTED_VALUE"""),"MOBILECARE - FESTIVE WALK ILOILO")</f>
        <v>MOBILECARE - FESTIVE WALK ILOILO</v>
      </c>
      <c r="D441" s="2" t="str">
        <f>IFERROR(__xludf.DUMMYFUNCTION("""COMPUTED_VALUE"""),"TA661-43606")</f>
        <v>TA661-43606</v>
      </c>
      <c r="E441" s="2" t="str">
        <f>IFERROR(__xludf.DUMMYFUNCTION("""COMPUTED_VALUE"""),"128GB, White, ROW, iPhone 16, Logic Board Assy Mid System")</f>
        <v>128GB, White, ROW, iPhone 16, Logic Board Assy Mid System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>
      <c r="A442" s="3" t="str">
        <f t="shared" si="1"/>
        <v>April</v>
      </c>
      <c r="B442" s="11">
        <f>IFERROR(__xludf.DUMMYFUNCTION("""COMPUTED_VALUE"""),46123.0)</f>
        <v>46123</v>
      </c>
      <c r="C442" s="2" t="str">
        <f>IFERROR(__xludf.DUMMYFUNCTION("""COMPUTED_VALUE"""),"MOBILECARE - FESTIVE WALK ILOILO")</f>
        <v>MOBILECARE - FESTIVE WALK ILOILO</v>
      </c>
      <c r="D442" s="2" t="str">
        <f>IFERROR(__xludf.DUMMYFUNCTION("""COMPUTED_VALUE"""),"PP661-23455")</f>
        <v>PP661-23455</v>
      </c>
      <c r="E442" s="2" t="str">
        <f>IFERROR(__xludf.DUMMYFUNCTION("""COMPUTED_VALUE"""),"iPhone 13, Starlight, 128GB, Logic Board Assy Rear System, ROW")</f>
        <v>iPhone 13, Starlight, 128GB, Logic Board Assy Rear System, ROW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>
      <c r="A443" s="3" t="str">
        <f t="shared" si="1"/>
        <v>April</v>
      </c>
      <c r="B443" s="11">
        <f>IFERROR(__xludf.DUMMYFUNCTION("""COMPUTED_VALUE"""),46123.0)</f>
        <v>46123</v>
      </c>
      <c r="C443" s="2" t="str">
        <f>IFERROR(__xludf.DUMMYFUNCTION("""COMPUTED_VALUE"""),"MOBILECARE - FESTIVE WALK ILOILO")</f>
        <v>MOBILECARE - FESTIVE WALK ILOILO</v>
      </c>
      <c r="D443" s="2" t="str">
        <f>IFERROR(__xludf.DUMMYFUNCTION("""COMPUTED_VALUE"""),"PP661-23455")</f>
        <v>PP661-23455</v>
      </c>
      <c r="E443" s="2" t="str">
        <f>IFERROR(__xludf.DUMMYFUNCTION("""COMPUTED_VALUE"""),"iPhone 13, Starlight, 128GB, Logic Board Assy Rear System, ROW")</f>
        <v>iPhone 13, Starlight, 128GB, Logic Board Assy Rear System, ROW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>
      <c r="A444" s="3" t="str">
        <f t="shared" si="1"/>
        <v>April</v>
      </c>
      <c r="B444" s="11">
        <f>IFERROR(__xludf.DUMMYFUNCTION("""COMPUTED_VALUE"""),46134.0)</f>
        <v>46134</v>
      </c>
      <c r="C444" s="2" t="str">
        <f>IFERROR(__xludf.DUMMYFUNCTION("""COMPUTED_VALUE"""),"MOBILECARE - FESTIVE WALK ILOILO")</f>
        <v>MOBILECARE - FESTIVE WALK ILOILO</v>
      </c>
      <c r="D444" s="2" t="str">
        <f>IFERROR(__xludf.DUMMYFUNCTION("""COMPUTED_VALUE"""),"PP661-23454")</f>
        <v>PP661-23454</v>
      </c>
      <c r="E444" s="2" t="str">
        <f>IFERROR(__xludf.DUMMYFUNCTION("""COMPUTED_VALUE"""),"iPhone 13, Midnight, 128GB, Logic Board Assy Rear System, ROW")</f>
        <v>iPhone 13, Midnight, 128GB, Logic Board Assy Rear System, ROW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>
      <c r="A445" s="3" t="str">
        <f t="shared" si="1"/>
        <v>April</v>
      </c>
      <c r="B445" s="11">
        <f>IFERROR(__xludf.DUMMYFUNCTION("""COMPUTED_VALUE"""),46134.0)</f>
        <v>46134</v>
      </c>
      <c r="C445" s="2" t="str">
        <f>IFERROR(__xludf.DUMMYFUNCTION("""COMPUTED_VALUE"""),"MOBILECARE - FESTIVE WALK ILOILO")</f>
        <v>MOBILECARE - FESTIVE WALK ILOILO</v>
      </c>
      <c r="D445" s="2" t="str">
        <f>IFERROR(__xludf.DUMMYFUNCTION("""COMPUTED_VALUE"""),"PP661-23454")</f>
        <v>PP661-23454</v>
      </c>
      <c r="E445" s="2" t="str">
        <f>IFERROR(__xludf.DUMMYFUNCTION("""COMPUTED_VALUE"""),"iPhone 13, Midnight, 128GB, Logic Board Assy Rear System, ROW")</f>
        <v>iPhone 13, Midnight, 128GB, Logic Board Assy Rear System, ROW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>
      <c r="A446" s="3" t="str">
        <f t="shared" si="1"/>
        <v>April</v>
      </c>
      <c r="B446" s="11">
        <f>IFERROR(__xludf.DUMMYFUNCTION("""COMPUTED_VALUE"""),46140.0)</f>
        <v>46140</v>
      </c>
      <c r="C446" s="2" t="str">
        <f>IFERROR(__xludf.DUMMYFUNCTION("""COMPUTED_VALUE"""),"MOBILECARE - FESTIVE WALK ILOILO")</f>
        <v>MOBILECARE - FESTIVE WALK ILOILO</v>
      </c>
      <c r="D446" s="2" t="str">
        <f>IFERROR(__xludf.DUMMYFUNCTION("""COMPUTED_VALUE"""),"TA661-45242")</f>
        <v>TA661-45242</v>
      </c>
      <c r="E446" s="2" t="str">
        <f>IFERROR(__xludf.DUMMYFUNCTION("""COMPUTED_VALUE"""),"512GB, White, ROW, iPhone 16 Plus, Logic Board Assy Mid System")</f>
        <v>512GB, White, ROW, iPhone 16 Plus, Logic Board Assy Mid System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>
      <c r="A447" s="3" t="str">
        <f t="shared" si="1"/>
        <v>February</v>
      </c>
      <c r="B447" s="11">
        <f>IFERROR(__xludf.DUMMYFUNCTION("""COMPUTED_VALUE"""),46077.0)</f>
        <v>46077</v>
      </c>
      <c r="C447" s="2" t="str">
        <f>IFERROR(__xludf.DUMMYFUNCTION("""COMPUTED_VALUE"""),"MOBILECARE - FESTIVE WALK ILOILO")</f>
        <v>MOBILECARE - FESTIVE WALK ILOILO</v>
      </c>
      <c r="D447" s="2" t="str">
        <f>IFERROR(__xludf.DUMMYFUNCTION("""COMPUTED_VALUE"""),"PP661-23454")</f>
        <v>PP661-23454</v>
      </c>
      <c r="E447" s="2" t="str">
        <f>IFERROR(__xludf.DUMMYFUNCTION("""COMPUTED_VALUE"""),"iPhone 13, Midnight, 128GB, Logic Board Assy Rear System, ROW")</f>
        <v>iPhone 13, Midnight, 128GB, Logic Board Assy Rear System, ROW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>
      <c r="A448" s="3" t="str">
        <f t="shared" si="1"/>
        <v>February</v>
      </c>
      <c r="B448" s="11">
        <f>IFERROR(__xludf.DUMMYFUNCTION("""COMPUTED_VALUE"""),46066.0)</f>
        <v>46066</v>
      </c>
      <c r="C448" s="2" t="str">
        <f>IFERROR(__xludf.DUMMYFUNCTION("""COMPUTED_VALUE"""),"MOBILECARE - FESTIVE WALK ILOILO")</f>
        <v>MOBILECARE - FESTIVE WALK ILOILO</v>
      </c>
      <c r="D448" s="2" t="str">
        <f>IFERROR(__xludf.DUMMYFUNCTION("""COMPUTED_VALUE"""),"TA661-44997")</f>
        <v>TA661-44997</v>
      </c>
      <c r="E448" s="2" t="str">
        <f>IFERROR(__xludf.DUMMYFUNCTION("""COMPUTED_VALUE"""),"128GB, Desert Titanium, ROW, iPhone 16 Pro, Logic Board Assy Mid System")</f>
        <v>128GB, Desert Titanium, ROW, iPhone 16 Pro, Logic Board Assy Mid System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>
      <c r="A449" s="3" t="str">
        <f t="shared" si="1"/>
        <v>June</v>
      </c>
      <c r="B449" s="11">
        <f>IFERROR(__xludf.DUMMYFUNCTION("""COMPUTED_VALUE"""),46185.0)</f>
        <v>46185</v>
      </c>
      <c r="C449" s="2" t="str">
        <f>IFERROR(__xludf.DUMMYFUNCTION("""COMPUTED_VALUE"""),"MOBILECARE - FESTIVE WALK ILOILO")</f>
        <v>MOBILECARE - FESTIVE WALK ILOILO</v>
      </c>
      <c r="D449" s="2" t="str">
        <f>IFERROR(__xludf.DUMMYFUNCTION("""COMPUTED_VALUE"""),"PP661-23455")</f>
        <v>PP661-23455</v>
      </c>
      <c r="E449" s="2" t="str">
        <f>IFERROR(__xludf.DUMMYFUNCTION("""COMPUTED_VALUE"""),"iPhone 13, Starlight, 128GB, Logic Board Assy Rear System, ROW")</f>
        <v>iPhone 13, Starlight, 128GB, Logic Board Assy Rear System, ROW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>
      <c r="A450" s="3" t="str">
        <f t="shared" si="1"/>
        <v>April</v>
      </c>
      <c r="B450" s="11">
        <f>IFERROR(__xludf.DUMMYFUNCTION("""COMPUTED_VALUE"""),46118.0)</f>
        <v>46118</v>
      </c>
      <c r="C450" s="2" t="str">
        <f>IFERROR(__xludf.DUMMYFUNCTION("""COMPUTED_VALUE"""),"MOBILECARE - FESTIVE WALK ILOILO")</f>
        <v>MOBILECARE - FESTIVE WALK ILOILO</v>
      </c>
      <c r="D450" s="2" t="str">
        <f>IFERROR(__xludf.DUMMYFUNCTION("""COMPUTED_VALUE"""),"PP661-23455")</f>
        <v>PP661-23455</v>
      </c>
      <c r="E450" s="2" t="str">
        <f>IFERROR(__xludf.DUMMYFUNCTION("""COMPUTED_VALUE"""),"iPhone 13, Starlight, 128GB, Logic Board Assy Rear System, ROW")</f>
        <v>iPhone 13, Starlight, 128GB, Logic Board Assy Rear System, ROW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>
      <c r="A451" s="3" t="str">
        <f t="shared" si="1"/>
        <v>June</v>
      </c>
      <c r="B451" s="11">
        <f>IFERROR(__xludf.DUMMYFUNCTION("""COMPUTED_VALUE"""),46183.0)</f>
        <v>46183</v>
      </c>
      <c r="C451" s="2" t="str">
        <f>IFERROR(__xludf.DUMMYFUNCTION("""COMPUTED_VALUE"""),"MOBILECARE - FESTIVE WALK ILOILO")</f>
        <v>MOBILECARE - FESTIVE WALK ILOILO</v>
      </c>
      <c r="D451" s="2" t="str">
        <f>IFERROR(__xludf.DUMMYFUNCTION("""COMPUTED_VALUE"""),"PP661-28869")</f>
        <v>PP661-28869</v>
      </c>
      <c r="E451" s="2" t="str">
        <f>IFERROR(__xludf.DUMMYFUNCTION("""COMPUTED_VALUE"""),"iPhone 14, Starlight, 128GB, Logic Board Assy Mid System, ROW")</f>
        <v>iPhone 14, Starlight, 128GB, Logic Board Assy Mid System, ROW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>
      <c r="A452" s="3" t="str">
        <f t="shared" si="1"/>
        <v>March</v>
      </c>
      <c r="B452" s="11">
        <f>IFERROR(__xludf.DUMMYFUNCTION("""COMPUTED_VALUE"""),46108.0)</f>
        <v>46108</v>
      </c>
      <c r="C452" s="2" t="str">
        <f>IFERROR(__xludf.DUMMYFUNCTION("""COMPUTED_VALUE"""),"MOBILECARE - FESTIVE WALK ILOILO")</f>
        <v>MOBILECARE - FESTIVE WALK ILOILO</v>
      </c>
      <c r="D452" s="2" t="str">
        <f>IFERROR(__xludf.DUMMYFUNCTION("""COMPUTED_VALUE"""),"PP661-23455")</f>
        <v>PP661-23455</v>
      </c>
      <c r="E452" s="2" t="str">
        <f>IFERROR(__xludf.DUMMYFUNCTION("""COMPUTED_VALUE"""),"iPhone 13, Starlight, 128GB, Logic Board Assy Rear System, ROW")</f>
        <v>iPhone 13, Starlight, 128GB, Logic Board Assy Rear System, ROW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>
      <c r="A453" s="3" t="str">
        <f t="shared" si="1"/>
        <v>March</v>
      </c>
      <c r="B453" s="11">
        <f>IFERROR(__xludf.DUMMYFUNCTION("""COMPUTED_VALUE"""),46098.0)</f>
        <v>46098</v>
      </c>
      <c r="C453" s="2" t="str">
        <f>IFERROR(__xludf.DUMMYFUNCTION("""COMPUTED_VALUE"""),"MOBILECARE - FESTIVE WALK ILOILO")</f>
        <v>MOBILECARE - FESTIVE WALK ILOILO</v>
      </c>
      <c r="D453" s="2" t="str">
        <f>IFERROR(__xludf.DUMMYFUNCTION("""COMPUTED_VALUE"""),"PP661-23454")</f>
        <v>PP661-23454</v>
      </c>
      <c r="E453" s="2" t="str">
        <f>IFERROR(__xludf.DUMMYFUNCTION("""COMPUTED_VALUE"""),"iPhone 13, Midnight, 128GB, Logic Board Assy Rear System, ROW")</f>
        <v>iPhone 13, Midnight, 128GB, Logic Board Assy Rear System, ROW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>
      <c r="A454" s="3" t="str">
        <f t="shared" si="1"/>
        <v>February</v>
      </c>
      <c r="B454" s="11">
        <f>IFERROR(__xludf.DUMMYFUNCTION("""COMPUTED_VALUE"""),46057.0)</f>
        <v>46057</v>
      </c>
      <c r="C454" s="2" t="str">
        <f>IFERROR(__xludf.DUMMYFUNCTION("""COMPUTED_VALUE"""),"MOBILECARE - FESTIVE WALK ILOILO")</f>
        <v>MOBILECARE - FESTIVE WALK ILOILO</v>
      </c>
      <c r="D454" s="2" t="str">
        <f>IFERROR(__xludf.DUMMYFUNCTION("""COMPUTED_VALUE"""),"PP661-28868")</f>
        <v>PP661-28868</v>
      </c>
      <c r="E454" s="2" t="str">
        <f>IFERROR(__xludf.DUMMYFUNCTION("""COMPUTED_VALUE"""),"iPhone 14, Midnight, 128GB, Logic Board Assy Mid System, ROW")</f>
        <v>iPhone 14, Midnight, 128GB, Logic Board Assy Mid System, ROW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>
      <c r="A455" s="3" t="str">
        <f t="shared" si="1"/>
        <v>June</v>
      </c>
      <c r="B455" s="11">
        <f>IFERROR(__xludf.DUMMYFUNCTION("""COMPUTED_VALUE"""),46183.0)</f>
        <v>46183</v>
      </c>
      <c r="C455" s="2" t="str">
        <f>IFERROR(__xludf.DUMMYFUNCTION("""COMPUTED_VALUE"""),"MOBILECARE - FESTIVE WALK ILOILO")</f>
        <v>MOBILECARE - FESTIVE WALK ILOILO</v>
      </c>
      <c r="D455" s="2" t="str">
        <f>IFERROR(__xludf.DUMMYFUNCTION("""COMPUTED_VALUE"""),"PP661-23454")</f>
        <v>PP661-23454</v>
      </c>
      <c r="E455" s="2" t="str">
        <f>IFERROR(__xludf.DUMMYFUNCTION("""COMPUTED_VALUE"""),"iPhone 13, Midnight, 128GB, Logic Board Assy Rear System, ROW")</f>
        <v>iPhone 13, Midnight, 128GB, Logic Board Assy Rear System, ROW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>
      <c r="A456" s="3" t="str">
        <f t="shared" si="1"/>
        <v>April</v>
      </c>
      <c r="B456" s="11">
        <f>IFERROR(__xludf.DUMMYFUNCTION("""COMPUTED_VALUE"""),46141.0)</f>
        <v>46141</v>
      </c>
      <c r="C456" s="2" t="str">
        <f>IFERROR(__xludf.DUMMYFUNCTION("""COMPUTED_VALUE"""),"MOBILECARE - FESTIVE WALK ILOILO")</f>
        <v>MOBILECARE - FESTIVE WALK ILOILO</v>
      </c>
      <c r="D456" s="2" t="str">
        <f>IFERROR(__xludf.DUMMYFUNCTION("""COMPUTED_VALUE"""),"PP661-28871")</f>
        <v>PP661-28871</v>
      </c>
      <c r="E456" s="2" t="str">
        <f>IFERROR(__xludf.DUMMYFUNCTION("""COMPUTED_VALUE"""),"iPhone 14, Blue, 128GB, Logic Board Assy Mid System, ROW")</f>
        <v>iPhone 14, Blue, 128GB, Logic Board Assy Mid System, ROW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>
      <c r="A457" s="3" t="str">
        <f t="shared" si="1"/>
        <v>April</v>
      </c>
      <c r="B457" s="11">
        <f>IFERROR(__xludf.DUMMYFUNCTION("""COMPUTED_VALUE"""),46116.0)</f>
        <v>46116</v>
      </c>
      <c r="C457" s="2" t="str">
        <f>IFERROR(__xludf.DUMMYFUNCTION("""COMPUTED_VALUE"""),"MOBILECARE - FESTIVE WALK ILOILO")</f>
        <v>MOBILECARE - FESTIVE WALK ILOILO</v>
      </c>
      <c r="D457" s="2" t="str">
        <f>IFERROR(__xludf.DUMMYFUNCTION("""COMPUTED_VALUE"""),"TA661-45235")</f>
        <v>TA661-45235</v>
      </c>
      <c r="E457" s="2" t="str">
        <f>IFERROR(__xludf.DUMMYFUNCTION("""COMPUTED_VALUE"""),"128GB, Teal, ROW, iPhone 16 Plus, Logic Board Assy Mid System")</f>
        <v>128GB, Teal, ROW, iPhone 16 Plus, Logic Board Assy Mid System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>
      <c r="A458" s="3" t="str">
        <f t="shared" si="1"/>
        <v>February</v>
      </c>
      <c r="B458" s="11">
        <f>IFERROR(__xludf.DUMMYFUNCTION("""COMPUTED_VALUE"""),46062.0)</f>
        <v>46062</v>
      </c>
      <c r="C458" s="2" t="str">
        <f>IFERROR(__xludf.DUMMYFUNCTION("""COMPUTED_VALUE"""),"MOBILECARE - FESTIVE WALK ILOILO")</f>
        <v>MOBILECARE - FESTIVE WALK ILOILO</v>
      </c>
      <c r="D458" s="2" t="str">
        <f>IFERROR(__xludf.DUMMYFUNCTION("""COMPUTED_VALUE"""),"PP661-23455")</f>
        <v>PP661-23455</v>
      </c>
      <c r="E458" s="2" t="str">
        <f>IFERROR(__xludf.DUMMYFUNCTION("""COMPUTED_VALUE"""),"iPhone 13, Starlight, 128GB, Logic Board Assy Rear System, ROW")</f>
        <v>iPhone 13, Starlight, 128GB, Logic Board Assy Rear System, ROW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>
      <c r="A459" s="3" t="str">
        <f t="shared" si="1"/>
        <v>January</v>
      </c>
      <c r="B459" s="11">
        <f>IFERROR(__xludf.DUMMYFUNCTION("""COMPUTED_VALUE"""),46050.0)</f>
        <v>46050</v>
      </c>
      <c r="C459" s="2" t="str">
        <f>IFERROR(__xludf.DUMMYFUNCTION("""COMPUTED_VALUE"""),"MOBILECARE - FESTIVE WALK ILOILO")</f>
        <v>MOBILECARE - FESTIVE WALK ILOILO</v>
      </c>
      <c r="D459" s="2" t="str">
        <f>IFERROR(__xludf.DUMMYFUNCTION("""COMPUTED_VALUE"""),"PP661-28869")</f>
        <v>PP661-28869</v>
      </c>
      <c r="E459" s="2" t="str">
        <f>IFERROR(__xludf.DUMMYFUNCTION("""COMPUTED_VALUE"""),"iPhone 14, Starlight, 128GB, Logic Board Assy Mid System, ROW")</f>
        <v>iPhone 14, Starlight, 128GB, Logic Board Assy Mid System, ROW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>
      <c r="A460" s="3" t="str">
        <f t="shared" si="1"/>
        <v>April</v>
      </c>
      <c r="B460" s="11">
        <f>IFERROR(__xludf.DUMMYFUNCTION("""COMPUTED_VALUE"""),46118.0)</f>
        <v>46118</v>
      </c>
      <c r="C460" s="2" t="str">
        <f>IFERROR(__xludf.DUMMYFUNCTION("""COMPUTED_VALUE"""),"MOBILECARE - FESTIVE WALK ILOILO")</f>
        <v>MOBILECARE - FESTIVE WALK ILOILO</v>
      </c>
      <c r="D460" s="2" t="str">
        <f>IFERROR(__xludf.DUMMYFUNCTION("""COMPUTED_VALUE"""),"TA661-43614")</f>
        <v>TA661-43614</v>
      </c>
      <c r="E460" s="2" t="str">
        <f>IFERROR(__xludf.DUMMYFUNCTION("""COMPUTED_VALUE"""),"256GB, Teal, ROW, iPhone 16, Logic Board Assy Mid System")</f>
        <v>256GB, Teal, ROW, iPhone 16, Logic Board Assy Mid System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>
      <c r="A461" s="3" t="str">
        <f t="shared" si="1"/>
        <v>February</v>
      </c>
      <c r="B461" s="11">
        <f>IFERROR(__xludf.DUMMYFUNCTION("""COMPUTED_VALUE"""),46078.0)</f>
        <v>46078</v>
      </c>
      <c r="C461" s="2" t="str">
        <f>IFERROR(__xludf.DUMMYFUNCTION("""COMPUTED_VALUE"""),"MOBILECARE - FESTIVE WALK ILOILO")</f>
        <v>MOBILECARE - FESTIVE WALK ILOILO</v>
      </c>
      <c r="D461" s="2" t="str">
        <f>IFERROR(__xludf.DUMMYFUNCTION("""COMPUTED_VALUE"""),"PP661-23455")</f>
        <v>PP661-23455</v>
      </c>
      <c r="E461" s="2" t="str">
        <f>IFERROR(__xludf.DUMMYFUNCTION("""COMPUTED_VALUE"""),"iPhone 13, Starlight, 128GB, Logic Board Assy Rear System, ROW")</f>
        <v>iPhone 13, Starlight, 128GB, Logic Board Assy Rear System, ROW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>
      <c r="A462" s="3" t="str">
        <f t="shared" si="1"/>
        <v>April</v>
      </c>
      <c r="B462" s="11">
        <f>IFERROR(__xludf.DUMMYFUNCTION("""COMPUTED_VALUE"""),46117.0)</f>
        <v>46117</v>
      </c>
      <c r="C462" s="2" t="str">
        <f>IFERROR(__xludf.DUMMYFUNCTION("""COMPUTED_VALUE"""),"MOBILECARE - FESTIVE WALK ILOILO")</f>
        <v>MOBILECARE - FESTIVE WALK ILOILO</v>
      </c>
      <c r="D462" s="2" t="str">
        <f>IFERROR(__xludf.DUMMYFUNCTION("""COMPUTED_VALUE"""),"PP661-23454")</f>
        <v>PP661-23454</v>
      </c>
      <c r="E462" s="2" t="str">
        <f>IFERROR(__xludf.DUMMYFUNCTION("""COMPUTED_VALUE"""),"iPhone 13, Midnight, 128GB, Logic Board Assy Rear System, ROW")</f>
        <v>iPhone 13, Midnight, 128GB, Logic Board Assy Rear System, ROW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>
      <c r="A463" s="3" t="str">
        <f t="shared" si="1"/>
        <v>February</v>
      </c>
      <c r="B463" s="11">
        <f>IFERROR(__xludf.DUMMYFUNCTION("""COMPUTED_VALUE"""),46057.0)</f>
        <v>46057</v>
      </c>
      <c r="C463" s="2" t="str">
        <f>IFERROR(__xludf.DUMMYFUNCTION("""COMPUTED_VALUE"""),"MOBILECARE - FESTIVE WALK ILOILO")</f>
        <v>MOBILECARE - FESTIVE WALK ILOILO</v>
      </c>
      <c r="D463" s="2" t="str">
        <f>IFERROR(__xludf.DUMMYFUNCTION("""COMPUTED_VALUE"""),"PP661-23455")</f>
        <v>PP661-23455</v>
      </c>
      <c r="E463" s="2" t="str">
        <f>IFERROR(__xludf.DUMMYFUNCTION("""COMPUTED_VALUE"""),"iPhone 13, Starlight, 128GB, Logic Board Assy Rear System, ROW")</f>
        <v>iPhone 13, Starlight, 128GB, Logic Board Assy Rear System, ROW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>
      <c r="A464" s="3" t="str">
        <f t="shared" si="1"/>
        <v>April</v>
      </c>
      <c r="B464" s="11">
        <f>IFERROR(__xludf.DUMMYFUNCTION("""COMPUTED_VALUE"""),46126.0)</f>
        <v>46126</v>
      </c>
      <c r="C464" s="2" t="str">
        <f>IFERROR(__xludf.DUMMYFUNCTION("""COMPUTED_VALUE"""),"MOBILECARE - FESTIVE WALK ILOILO")</f>
        <v>MOBILECARE - FESTIVE WALK ILOILO</v>
      </c>
      <c r="D464" s="2" t="str">
        <f>IFERROR(__xludf.DUMMYFUNCTION("""COMPUTED_VALUE"""),"PP661-23455")</f>
        <v>PP661-23455</v>
      </c>
      <c r="E464" s="2" t="str">
        <f>IFERROR(__xludf.DUMMYFUNCTION("""COMPUTED_VALUE"""),"iPhone 13, Starlight, 128GB, Logic Board Assy Rear System, ROW")</f>
        <v>iPhone 13, Starlight, 128GB, Logic Board Assy Rear System, ROW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>
      <c r="A465" s="3" t="str">
        <f t="shared" si="1"/>
        <v>March</v>
      </c>
      <c r="B465" s="11">
        <f>IFERROR(__xludf.DUMMYFUNCTION("""COMPUTED_VALUE"""),46100.0)</f>
        <v>46100</v>
      </c>
      <c r="C465" s="2" t="str">
        <f>IFERROR(__xludf.DUMMYFUNCTION("""COMPUTED_VALUE"""),"MOBILECARE - FESTIVE WALK ILOILO")</f>
        <v>MOBILECARE - FESTIVE WALK ILOILO</v>
      </c>
      <c r="D465" s="2" t="str">
        <f>IFERROR(__xludf.DUMMYFUNCTION("""COMPUTED_VALUE"""),"PP661-23455")</f>
        <v>PP661-23455</v>
      </c>
      <c r="E465" s="2" t="str">
        <f>IFERROR(__xludf.DUMMYFUNCTION("""COMPUTED_VALUE"""),"iPhone 13, Starlight, 128GB, Logic Board Assy Rear System, ROW")</f>
        <v>iPhone 13, Starlight, 128GB, Logic Board Assy Rear System, ROW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>
      <c r="A466" s="3" t="str">
        <f t="shared" si="1"/>
        <v>March</v>
      </c>
      <c r="B466" s="11">
        <f>IFERROR(__xludf.DUMMYFUNCTION("""COMPUTED_VALUE"""),46102.0)</f>
        <v>46102</v>
      </c>
      <c r="C466" s="2" t="str">
        <f>IFERROR(__xludf.DUMMYFUNCTION("""COMPUTED_VALUE"""),"MOBILECARE - FESTIVE WALK ILOILO")</f>
        <v>MOBILECARE - FESTIVE WALK ILOILO</v>
      </c>
      <c r="D466" s="2" t="str">
        <f>IFERROR(__xludf.DUMMYFUNCTION("""COMPUTED_VALUE"""),"TA661-44997")</f>
        <v>TA661-44997</v>
      </c>
      <c r="E466" s="2" t="str">
        <f>IFERROR(__xludf.DUMMYFUNCTION("""COMPUTED_VALUE"""),"128GB, Desert Titanium, ROW, iPhone 16 Pro, Logic Board Assy Mid System")</f>
        <v>128GB, Desert Titanium, ROW, iPhone 16 Pro, Logic Board Assy Mid System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>
      <c r="A467" s="3" t="str">
        <f t="shared" si="1"/>
        <v>March</v>
      </c>
      <c r="B467" s="11">
        <f>IFERROR(__xludf.DUMMYFUNCTION("""COMPUTED_VALUE"""),46103.0)</f>
        <v>46103</v>
      </c>
      <c r="C467" s="2" t="str">
        <f>IFERROR(__xludf.DUMMYFUNCTION("""COMPUTED_VALUE"""),"MOBILECARE - APP MAGNOLIA")</f>
        <v>MOBILECARE - APP MAGNOLIA</v>
      </c>
      <c r="D467" s="2" t="str">
        <f>IFERROR(__xludf.DUMMYFUNCTION("""COMPUTED_VALUE"""),"661-56123")</f>
        <v>661-56123</v>
      </c>
      <c r="E467" s="2" t="str">
        <f>IFERROR(__xludf.DUMMYFUNCTION("""COMPUTED_VALUE"""),"Cosmic Orange, Back Glass, iPhone 17 Pro")</f>
        <v>Cosmic Orange, Back Glass, iPhone 17 Pro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>
      <c r="A468" s="3" t="str">
        <f t="shared" si="1"/>
        <v>May</v>
      </c>
      <c r="B468" s="11">
        <f>IFERROR(__xludf.DUMMYFUNCTION("""COMPUTED_VALUE"""),46155.0)</f>
        <v>46155</v>
      </c>
      <c r="C468" s="2" t="str">
        <f>IFERROR(__xludf.DUMMYFUNCTION("""COMPUTED_VALUE"""),"MOBILECARE - APP MAGNOLIA")</f>
        <v>MOBILECARE - APP MAGNOLIA</v>
      </c>
      <c r="D468" s="2" t="str">
        <f>IFERROR(__xludf.DUMMYFUNCTION("""COMPUTED_VALUE"""),"661-35702")</f>
        <v>661-35702</v>
      </c>
      <c r="E468" s="2" t="str">
        <f>IFERROR(__xludf.DUMMYFUNCTION("""COMPUTED_VALUE"""),"Natural Titanium, Back Glass, iPhone 15 Pro")</f>
        <v>Natural Titanium, Back Glass, iPhone 15 Pro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>
      <c r="A469" s="3" t="str">
        <f t="shared" si="1"/>
        <v>May</v>
      </c>
      <c r="B469" s="11">
        <f>IFERROR(__xludf.DUMMYFUNCTION("""COMPUTED_VALUE"""),46146.0)</f>
        <v>46146</v>
      </c>
      <c r="C469" s="2" t="str">
        <f>IFERROR(__xludf.DUMMYFUNCTION("""COMPUTED_VALUE"""),"MOBILECARE - APP MAGNOLIA")</f>
        <v>MOBILECARE - APP MAGNOLIA</v>
      </c>
      <c r="D469" s="2" t="str">
        <f>IFERROR(__xludf.DUMMYFUNCTION("""COMPUTED_VALUE"""),"661-56059")</f>
        <v>661-56059</v>
      </c>
      <c r="E469" s="2" t="str">
        <f>IFERROR(__xludf.DUMMYFUNCTION("""COMPUTED_VALUE"""),"Mist Blue, Back Glass, iPhone 17")</f>
        <v>Mist Blue, Back Glass, iPhone 17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>
      <c r="A470" s="3" t="str">
        <f t="shared" si="1"/>
        <v>February</v>
      </c>
      <c r="B470" s="11">
        <f>IFERROR(__xludf.DUMMYFUNCTION("""COMPUTED_VALUE"""),46065.0)</f>
        <v>46065</v>
      </c>
      <c r="C470" s="2" t="str">
        <f>IFERROR(__xludf.DUMMYFUNCTION("""COMPUTED_VALUE"""),"MOBILECARE - GLORIETTA 5")</f>
        <v>MOBILECARE - GLORIETTA 5</v>
      </c>
      <c r="D470" s="2" t="str">
        <f>IFERROR(__xludf.DUMMYFUNCTION("""COMPUTED_VALUE"""),"661-55239")</f>
        <v>661-55239</v>
      </c>
      <c r="E470" s="2" t="str">
        <f>IFERROR(__xludf.DUMMYFUNCTION("""COMPUTED_VALUE"""),"Sky Blue, Back Glass, iPhone Air")</f>
        <v>Sky Blue, Back Glass, iPhone Air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>
      <c r="A471" s="3" t="str">
        <f t="shared" si="1"/>
        <v>April</v>
      </c>
      <c r="B471" s="11">
        <f>IFERROR(__xludf.DUMMYFUNCTION("""COMPUTED_VALUE"""),46135.0)</f>
        <v>46135</v>
      </c>
      <c r="C471" s="2" t="str">
        <f>IFERROR(__xludf.DUMMYFUNCTION("""COMPUTED_VALUE"""),"MOBILECARE - GLORIETTA 5")</f>
        <v>MOBILECARE - GLORIETTA 5</v>
      </c>
      <c r="D471" s="2" t="str">
        <f>IFERROR(__xludf.DUMMYFUNCTION("""COMPUTED_VALUE"""),"661-56122")</f>
        <v>661-56122</v>
      </c>
      <c r="E471" s="2" t="str">
        <f>IFERROR(__xludf.DUMMYFUNCTION("""COMPUTED_VALUE"""),"Silver, Back Glass, iPhone 17 Pro")</f>
        <v>Silver, Back Glass, iPhone 17 Pro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>
      <c r="A472" s="3" t="str">
        <f t="shared" si="1"/>
        <v>March</v>
      </c>
      <c r="B472" s="11">
        <f>IFERROR(__xludf.DUMMYFUNCTION("""COMPUTED_VALUE"""),46106.0)</f>
        <v>46106</v>
      </c>
      <c r="C472" s="2" t="str">
        <f>IFERROR(__xludf.DUMMYFUNCTION("""COMPUTED_VALUE"""),"MOBILECARE - GLORIETTA 5")</f>
        <v>MOBILECARE - GLORIETTA 5</v>
      </c>
      <c r="D472" s="2" t="str">
        <f>IFERROR(__xludf.DUMMYFUNCTION("""COMPUTED_VALUE"""),"661-42840")</f>
        <v>661-42840</v>
      </c>
      <c r="E472" s="2" t="str">
        <f>IFERROR(__xludf.DUMMYFUNCTION("""COMPUTED_VALUE"""),"PinkBack Glass, iPhone 16 Plus")</f>
        <v>PinkBack Glass, iPhone 16 Plus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>
      <c r="A473" s="3" t="str">
        <f t="shared" si="1"/>
        <v>April</v>
      </c>
      <c r="B473" s="11">
        <f>IFERROR(__xludf.DUMMYFUNCTION("""COMPUTED_VALUE"""),46135.0)</f>
        <v>46135</v>
      </c>
      <c r="C473" s="2" t="str">
        <f>IFERROR(__xludf.DUMMYFUNCTION("""COMPUTED_VALUE"""),"MOBILECARE - GLORIETTA 5")</f>
        <v>MOBILECARE - GLORIETTA 5</v>
      </c>
      <c r="D473" s="2" t="str">
        <f>IFERROR(__xludf.DUMMYFUNCTION("""COMPUTED_VALUE"""),"661-30387")</f>
        <v>661-30387</v>
      </c>
      <c r="E473" s="2" t="str">
        <f>IFERROR(__xludf.DUMMYFUNCTION("""COMPUTED_VALUE"""),"Purple, Back Glass, iPhone 14 Plus")</f>
        <v>Purple, Back Glass, iPhone 14 Plus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>
      <c r="A474" s="3" t="str">
        <f t="shared" si="1"/>
        <v>March</v>
      </c>
      <c r="B474" s="11">
        <f>IFERROR(__xludf.DUMMYFUNCTION("""COMPUTED_VALUE"""),46088.0)</f>
        <v>46088</v>
      </c>
      <c r="C474" s="2" t="str">
        <f>IFERROR(__xludf.DUMMYFUNCTION("""COMPUTED_VALUE"""),"MOBILECARE - GLORIETTA 5")</f>
        <v>MOBILECARE - GLORIETTA 5</v>
      </c>
      <c r="D474" s="2" t="str">
        <f>IFERROR(__xludf.DUMMYFUNCTION("""COMPUTED_VALUE"""),"661-30383")</f>
        <v>661-30383</v>
      </c>
      <c r="E474" s="2" t="str">
        <f>IFERROR(__xludf.DUMMYFUNCTION("""COMPUTED_VALUE"""),"Midnight, Back Glass, iPhone 14 Plus")</f>
        <v>Midnight, Back Glass, iPhone 14 Plus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>
      <c r="A475" s="3" t="str">
        <f t="shared" si="1"/>
        <v>May</v>
      </c>
      <c r="B475" s="11">
        <f>IFERROR(__xludf.DUMMYFUNCTION("""COMPUTED_VALUE"""),46161.0)</f>
        <v>46161</v>
      </c>
      <c r="C475" s="2" t="str">
        <f>IFERROR(__xludf.DUMMYFUNCTION("""COMPUTED_VALUE"""),"MOBILECARE - NORTHEAST SQUARE")</f>
        <v>MOBILECARE - NORTHEAST SQUARE</v>
      </c>
      <c r="D475" s="2" t="str">
        <f>IFERROR(__xludf.DUMMYFUNCTION("""COMPUTED_VALUE"""),"661-56058")</f>
        <v>661-56058</v>
      </c>
      <c r="E475" s="2" t="str">
        <f>IFERROR(__xludf.DUMMYFUNCTION("""COMPUTED_VALUE"""),"White, Back Glass, iPhone 17")</f>
        <v>White, Back Glass, iPhone 17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>
      <c r="A476" s="3" t="str">
        <f t="shared" si="1"/>
        <v>May</v>
      </c>
      <c r="B476" s="11">
        <f>IFERROR(__xludf.DUMMYFUNCTION("""COMPUTED_VALUE"""),46171.0)</f>
        <v>46171</v>
      </c>
      <c r="C476" s="2" t="str">
        <f>IFERROR(__xludf.DUMMYFUNCTION("""COMPUTED_VALUE"""),"MOBILECARE - NORTHEAST SQUARE")</f>
        <v>MOBILECARE - NORTHEAST SQUARE</v>
      </c>
      <c r="D476" s="2" t="str">
        <f>IFERROR(__xludf.DUMMYFUNCTION("""COMPUTED_VALUE"""),"661-44960")</f>
        <v>661-44960</v>
      </c>
      <c r="E476" s="2" t="str">
        <f>IFERROR(__xludf.DUMMYFUNCTION("""COMPUTED_VALUE"""),"Desert Titanium, Back Glass, iPhone 16 Pro Max")</f>
        <v>Desert Titanium, Back Glass, iPhone 16 Pro Max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>
      <c r="A477" s="3" t="str">
        <f t="shared" si="1"/>
        <v>April</v>
      </c>
      <c r="B477" s="11">
        <f>IFERROR(__xludf.DUMMYFUNCTION("""COMPUTED_VALUE"""),46139.0)</f>
        <v>46139</v>
      </c>
      <c r="C477" s="2" t="str">
        <f>IFERROR(__xludf.DUMMYFUNCTION("""COMPUTED_VALUE"""),"MOBILECARE - NORTHEAST SQUARE")</f>
        <v>MOBILECARE - NORTHEAST SQUARE</v>
      </c>
      <c r="D477" s="2" t="str">
        <f>IFERROR(__xludf.DUMMYFUNCTION("""COMPUTED_VALUE"""),"661-35700")</f>
        <v>661-35700</v>
      </c>
      <c r="E477" s="2" t="str">
        <f>IFERROR(__xludf.DUMMYFUNCTION("""COMPUTED_VALUE"""),"Black Titanium, Back Glass, iPhone 15 Pro")</f>
        <v>Black Titanium, Back Glass, iPhone 15 Pro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>
      <c r="A478" s="3" t="str">
        <f t="shared" si="1"/>
        <v>April</v>
      </c>
      <c r="B478" s="11">
        <f>IFERROR(__xludf.DUMMYFUNCTION("""COMPUTED_VALUE"""),46136.0)</f>
        <v>46136</v>
      </c>
      <c r="C478" s="2" t="str">
        <f>IFERROR(__xludf.DUMMYFUNCTION("""COMPUTED_VALUE"""),"MOBILECARE - APP MEGAMALL")</f>
        <v>MOBILECARE - APP MEGAMALL</v>
      </c>
      <c r="D478" s="2" t="str">
        <f>IFERROR(__xludf.DUMMYFUNCTION("""COMPUTED_VALUE"""),"661-56122")</f>
        <v>661-56122</v>
      </c>
      <c r="E478" s="2" t="str">
        <f>IFERROR(__xludf.DUMMYFUNCTION("""COMPUTED_VALUE"""),"Silver, Back Glass, iPhone 17 Pro")</f>
        <v>Silver, Back Glass, iPhone 17 Pro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>
      <c r="A479" s="3" t="str">
        <f t="shared" si="1"/>
        <v>March</v>
      </c>
      <c r="B479" s="11">
        <f>IFERROR(__xludf.DUMMYFUNCTION("""COMPUTED_VALUE"""),46107.0)</f>
        <v>46107</v>
      </c>
      <c r="C479" s="2" t="str">
        <f>IFERROR(__xludf.DUMMYFUNCTION("""COMPUTED_VALUE"""),"MOBILECARE - APP GREENBELT 3")</f>
        <v>MOBILECARE - APP GREENBELT 3</v>
      </c>
      <c r="D479" s="2" t="str">
        <f>IFERROR(__xludf.DUMMYFUNCTION("""COMPUTED_VALUE"""),"661-44960")</f>
        <v>661-44960</v>
      </c>
      <c r="E479" s="2" t="str">
        <f>IFERROR(__xludf.DUMMYFUNCTION("""COMPUTED_VALUE"""),"Desert Titanium, Back Glass, iPhone 16 Pro Max")</f>
        <v>Desert Titanium, Back Glass, iPhone 16 Pro Max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>
      <c r="A480" s="3" t="str">
        <f t="shared" si="1"/>
        <v>June</v>
      </c>
      <c r="B480" s="11">
        <f>IFERROR(__xludf.DUMMYFUNCTION("""COMPUTED_VALUE"""),46182.0)</f>
        <v>46182</v>
      </c>
      <c r="C480" s="2" t="str">
        <f>IFERROR(__xludf.DUMMYFUNCTION("""COMPUTED_VALUE"""),"MOBILECARE - APP TRINOMA")</f>
        <v>MOBILECARE - APP TRINOMA</v>
      </c>
      <c r="D480" s="2" t="str">
        <f>IFERROR(__xludf.DUMMYFUNCTION("""COMPUTED_VALUE"""),"661-56122")</f>
        <v>661-56122</v>
      </c>
      <c r="E480" s="2" t="str">
        <f>IFERROR(__xludf.DUMMYFUNCTION("""COMPUTED_VALUE"""),"Silver, Back Glass, iPhone 17 Pro")</f>
        <v>Silver, Back Glass, iPhone 17 Pro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>
      <c r="A481" s="3" t="str">
        <f t="shared" si="1"/>
        <v>June</v>
      </c>
      <c r="B481" s="11">
        <f>IFERROR(__xludf.DUMMYFUNCTION("""COMPUTED_VALUE"""),46186.0)</f>
        <v>46186</v>
      </c>
      <c r="C481" s="2" t="str">
        <f>IFERROR(__xludf.DUMMYFUNCTION("""COMPUTED_VALUE"""),"MOBILECARE - APP TRINOMA")</f>
        <v>MOBILECARE - APP TRINOMA</v>
      </c>
      <c r="D481" s="2" t="str">
        <f>IFERROR(__xludf.DUMMYFUNCTION("""COMPUTED_VALUE"""),"661-44960")</f>
        <v>661-44960</v>
      </c>
      <c r="E481" s="2" t="str">
        <f>IFERROR(__xludf.DUMMYFUNCTION("""COMPUTED_VALUE"""),"Desert Titanium, Back Glass, iPhone 16 Pro Max")</f>
        <v>Desert Titanium, Back Glass, iPhone 16 Pro Max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>
      <c r="A482" s="3" t="str">
        <f t="shared" si="1"/>
        <v>March</v>
      </c>
      <c r="B482" s="11">
        <f>IFERROR(__xludf.DUMMYFUNCTION("""COMPUTED_VALUE"""),46088.0)</f>
        <v>46088</v>
      </c>
      <c r="C482" s="2" t="str">
        <f>IFERROR(__xludf.DUMMYFUNCTION("""COMPUTED_VALUE"""),"MOBILECARE - APP TRINOMA")</f>
        <v>MOBILECARE - APP TRINOMA</v>
      </c>
      <c r="D482" s="2" t="str">
        <f>IFERROR(__xludf.DUMMYFUNCTION("""COMPUTED_VALUE"""),"661-30413")</f>
        <v>661-30413</v>
      </c>
      <c r="E482" s="2" t="str">
        <f>IFERROR(__xludf.DUMMYFUNCTION("""COMPUTED_VALUE"""),"Midnight, Back Glass, iPhone 14")</f>
        <v>Midnight, Back Glass, iPhone 14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>
      <c r="A483" s="3" t="str">
        <f t="shared" si="1"/>
        <v>February</v>
      </c>
      <c r="B483" s="11">
        <f>IFERROR(__xludf.DUMMYFUNCTION("""COMPUTED_VALUE"""),46068.0)</f>
        <v>46068</v>
      </c>
      <c r="C483" s="2" t="str">
        <f>IFERROR(__xludf.DUMMYFUNCTION("""COMPUTED_VALUE"""),"MOBILECARE - APP TRINOMA")</f>
        <v>MOBILECARE - APP TRINOMA</v>
      </c>
      <c r="D483" s="2" t="str">
        <f>IFERROR(__xludf.DUMMYFUNCTION("""COMPUTED_VALUE"""),"661-56061")</f>
        <v>661-56061</v>
      </c>
      <c r="E483" s="2" t="str">
        <f>IFERROR(__xludf.DUMMYFUNCTION("""COMPUTED_VALUE"""),"Sage, Back Glass, iPhone 17")</f>
        <v>Sage, Back Glass, iPhone 17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>
      <c r="A484" s="3" t="str">
        <f t="shared" si="1"/>
        <v>January</v>
      </c>
      <c r="B484" s="11">
        <f>IFERROR(__xludf.DUMMYFUNCTION("""COMPUTED_VALUE"""),46050.0)</f>
        <v>46050</v>
      </c>
      <c r="C484" s="2" t="str">
        <f>IFERROR(__xludf.DUMMYFUNCTION("""COMPUTED_VALUE"""),"MOBILECARE - THE PODIUM")</f>
        <v>MOBILECARE - THE PODIUM</v>
      </c>
      <c r="D484" s="2" t="str">
        <f>IFERROR(__xludf.DUMMYFUNCTION("""COMPUTED_VALUE"""),"661-30383")</f>
        <v>661-30383</v>
      </c>
      <c r="E484" s="2" t="str">
        <f>IFERROR(__xludf.DUMMYFUNCTION("""COMPUTED_VALUE"""),"Midnight, Back Glass, iPhone 14 Plus")</f>
        <v>Midnight, Back Glass, iPhone 14 Plus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>
      <c r="A485" s="3" t="str">
        <f t="shared" si="1"/>
        <v>June</v>
      </c>
      <c r="B485" s="11">
        <f>IFERROR(__xludf.DUMMYFUNCTION("""COMPUTED_VALUE"""),46179.0)</f>
        <v>46179</v>
      </c>
      <c r="C485" s="2" t="str">
        <f>IFERROR(__xludf.DUMMYFUNCTION("""COMPUTED_VALUE"""),"MOBILECARE - ZAMBOANGA")</f>
        <v>MOBILECARE - ZAMBOANGA</v>
      </c>
      <c r="D485" s="2" t="str">
        <f>IFERROR(__xludf.DUMMYFUNCTION("""COMPUTED_VALUE"""),"PP661-23455")</f>
        <v>PP661-23455</v>
      </c>
      <c r="E485" s="2" t="str">
        <f>IFERROR(__xludf.DUMMYFUNCTION("""COMPUTED_VALUE"""),"iPhone 13, Starlight, 128GB, Logic Board Assy Rear System, ROW")</f>
        <v>iPhone 13, Starlight, 128GB, Logic Board Assy Rear System, ROW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>
      <c r="A486" s="3" t="str">
        <f t="shared" si="1"/>
        <v>March</v>
      </c>
      <c r="B486" s="11">
        <f>IFERROR(__xludf.DUMMYFUNCTION("""COMPUTED_VALUE"""),46083.0)</f>
        <v>46083</v>
      </c>
      <c r="C486" s="2" t="str">
        <f>IFERROR(__xludf.DUMMYFUNCTION("""COMPUTED_VALUE"""),"MOBILECARE - ZAMBOANGA")</f>
        <v>MOBILECARE - ZAMBOANGA</v>
      </c>
      <c r="D486" s="2" t="str">
        <f>IFERROR(__xludf.DUMMYFUNCTION("""COMPUTED_VALUE"""),"PP661-23455")</f>
        <v>PP661-23455</v>
      </c>
      <c r="E486" s="2" t="str">
        <f>IFERROR(__xludf.DUMMYFUNCTION("""COMPUTED_VALUE"""),"iPhone 13, Starlight, 128GB, Logic Board Assy Rear System, ROW")</f>
        <v>iPhone 13, Starlight, 128GB, Logic Board Assy Rear System, ROW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>
      <c r="A487" s="3" t="str">
        <f t="shared" si="1"/>
        <v>June</v>
      </c>
      <c r="B487" s="11">
        <f>IFERROR(__xludf.DUMMYFUNCTION("""COMPUTED_VALUE"""),46189.0)</f>
        <v>46189</v>
      </c>
      <c r="C487" s="2" t="str">
        <f>IFERROR(__xludf.DUMMYFUNCTION("""COMPUTED_VALUE"""),"MOBILECARE - ZAMBOANGA")</f>
        <v>MOBILECARE - ZAMBOANGA</v>
      </c>
      <c r="D487" s="2" t="str">
        <f>IFERROR(__xludf.DUMMYFUNCTION("""COMPUTED_VALUE"""),"661-56055")</f>
        <v>661-56055</v>
      </c>
      <c r="E487" s="2" t="str">
        <f>IFERROR(__xludf.DUMMYFUNCTION("""COMPUTED_VALUE"""),"Deep Blue, Back Glass, iPhone 17 Pro Max")</f>
        <v>Deep Blue, Back Glass, iPhone 17 Pro Max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>
      <c r="A488" s="3" t="str">
        <f t="shared" si="1"/>
        <v>February</v>
      </c>
      <c r="B488" s="11">
        <f>IFERROR(__xludf.DUMMYFUNCTION("""COMPUTED_VALUE"""),46078.0)</f>
        <v>46078</v>
      </c>
      <c r="C488" s="2" t="str">
        <f>IFERROR(__xludf.DUMMYFUNCTION("""COMPUTED_VALUE"""),"MOBILECARE - ZAMBOANGA")</f>
        <v>MOBILECARE - ZAMBOANGA</v>
      </c>
      <c r="D488" s="2" t="str">
        <f>IFERROR(__xludf.DUMMYFUNCTION("""COMPUTED_VALUE"""),"TA661-36694")</f>
        <v>TA661-36694</v>
      </c>
      <c r="E488" s="2" t="str">
        <f>IFERROR(__xludf.DUMMYFUNCTION("""COMPUTED_VALUE"""),"iPhone 15, Blue, 128GB, Logic Board Assy Mid System, ROW")</f>
        <v>iPhone 15, Blue, 128GB, Logic Board Assy Mid System, ROW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>
      <c r="A489" s="3" t="str">
        <f t="shared" si="1"/>
        <v>February</v>
      </c>
      <c r="B489" s="11">
        <f>IFERROR(__xludf.DUMMYFUNCTION("""COMPUTED_VALUE"""),46059.0)</f>
        <v>46059</v>
      </c>
      <c r="C489" s="2" t="str">
        <f>IFERROR(__xludf.DUMMYFUNCTION("""COMPUTED_VALUE"""),"MOBILECARE - ZAMBOANGA")</f>
        <v>MOBILECARE - ZAMBOANGA</v>
      </c>
      <c r="D489" s="2" t="str">
        <f>IFERROR(__xludf.DUMMYFUNCTION("""COMPUTED_VALUE"""),"661-56055")</f>
        <v>661-56055</v>
      </c>
      <c r="E489" s="2" t="str">
        <f>IFERROR(__xludf.DUMMYFUNCTION("""COMPUTED_VALUE"""),"Deep Blue, Back Glass, iPhone 17 Pro Max")</f>
        <v>Deep Blue, Back Glass, iPhone 17 Pro Max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>
      <c r="A490" s="3" t="str">
        <f t="shared" si="1"/>
        <v>February</v>
      </c>
      <c r="B490" s="11">
        <f>IFERROR(__xludf.DUMMYFUNCTION("""COMPUTED_VALUE"""),46062.0)</f>
        <v>46062</v>
      </c>
      <c r="C490" s="2" t="str">
        <f>IFERROR(__xludf.DUMMYFUNCTION("""COMPUTED_VALUE"""),"MOBILECARE - ZAMBOANGA")</f>
        <v>MOBILECARE - ZAMBOANGA</v>
      </c>
      <c r="D490" s="2" t="str">
        <f>IFERROR(__xludf.DUMMYFUNCTION("""COMPUTED_VALUE"""),"TA661-36695")</f>
        <v>TA661-36695</v>
      </c>
      <c r="E490" s="2" t="str">
        <f>IFERROR(__xludf.DUMMYFUNCTION("""COMPUTED_VALUE"""),"iPhone 15, Green, 128GB, Logic Board Assy Mid System, ROW")</f>
        <v>iPhone 15, Green, 128GB, Logic Board Assy Mid System, ROW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>
      <c r="A491" s="3" t="str">
        <f t="shared" si="1"/>
        <v>March</v>
      </c>
      <c r="B491" s="11">
        <f>IFERROR(__xludf.DUMMYFUNCTION("""COMPUTED_VALUE"""),46097.0)</f>
        <v>46097</v>
      </c>
      <c r="C491" s="2" t="str">
        <f>IFERROR(__xludf.DUMMYFUNCTION("""COMPUTED_VALUE"""),"MOBILECARE - ZAMBOANGA")</f>
        <v>MOBILECARE - ZAMBOANGA</v>
      </c>
      <c r="D491" s="2" t="str">
        <f>IFERROR(__xludf.DUMMYFUNCTION("""COMPUTED_VALUE"""),"PP661-23455")</f>
        <v>PP661-23455</v>
      </c>
      <c r="E491" s="2" t="str">
        <f>IFERROR(__xludf.DUMMYFUNCTION("""COMPUTED_VALUE"""),"iPhone 13, Starlight, 128GB, Logic Board Assy Rear System, ROW")</f>
        <v>iPhone 13, Starlight, 128GB, Logic Board Assy Rear System, ROW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>
      <c r="A492" s="3" t="str">
        <f t="shared" si="1"/>
        <v>March</v>
      </c>
      <c r="B492" s="11">
        <f>IFERROR(__xludf.DUMMYFUNCTION("""COMPUTED_VALUE"""),46098.0)</f>
        <v>46098</v>
      </c>
      <c r="C492" s="2" t="str">
        <f>IFERROR(__xludf.DUMMYFUNCTION("""COMPUTED_VALUE"""),"MOBILECARE - ZAMBOANGA")</f>
        <v>MOBILECARE - ZAMBOANGA</v>
      </c>
      <c r="D492" s="2" t="str">
        <f>IFERROR(__xludf.DUMMYFUNCTION("""COMPUTED_VALUE"""),"PP661-23455")</f>
        <v>PP661-23455</v>
      </c>
      <c r="E492" s="2" t="str">
        <f>IFERROR(__xludf.DUMMYFUNCTION("""COMPUTED_VALUE"""),"iPhone 13, Starlight, 128GB, Logic Board Assy Rear System, ROW")</f>
        <v>iPhone 13, Starlight, 128GB, Logic Board Assy Rear System, ROW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>
      <c r="A493" s="3" t="str">
        <f t="shared" si="1"/>
        <v>February</v>
      </c>
      <c r="B493" s="11">
        <f>IFERROR(__xludf.DUMMYFUNCTION("""COMPUTED_VALUE"""),46062.0)</f>
        <v>46062</v>
      </c>
      <c r="C493" s="2" t="str">
        <f>IFERROR(__xludf.DUMMYFUNCTION("""COMPUTED_VALUE"""),"MOBILECARE - ZAMBOANGA")</f>
        <v>MOBILECARE - ZAMBOANGA</v>
      </c>
      <c r="D493" s="2" t="str">
        <f>IFERROR(__xludf.DUMMYFUNCTION("""COMPUTED_VALUE"""),"TA661-36691")</f>
        <v>TA661-36691</v>
      </c>
      <c r="E493" s="2" t="str">
        <f>IFERROR(__xludf.DUMMYFUNCTION("""COMPUTED_VALUE"""),"iPhone 15, Black, 128GB, Logic Board Assy Mid System, ROW")</f>
        <v>iPhone 15, Black, 128GB, Logic Board Assy Mid System, ROW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>
      <c r="A494" s="3" t="str">
        <f t="shared" si="1"/>
        <v>June</v>
      </c>
      <c r="B494" s="11">
        <f>IFERROR(__xludf.DUMMYFUNCTION("""COMPUTED_VALUE"""),46192.0)</f>
        <v>46192</v>
      </c>
      <c r="C494" s="2" t="str">
        <f>IFERROR(__xludf.DUMMYFUNCTION("""COMPUTED_VALUE"""),"MOBILECARE - ZAMBOANGA")</f>
        <v>MOBILECARE - ZAMBOANGA</v>
      </c>
      <c r="D494" s="2" t="str">
        <f>IFERROR(__xludf.DUMMYFUNCTION("""COMPUTED_VALUE"""),"PP661-23455")</f>
        <v>PP661-23455</v>
      </c>
      <c r="E494" s="2" t="str">
        <f>IFERROR(__xludf.DUMMYFUNCTION("""COMPUTED_VALUE"""),"iPhone 13, Starlight, 128GB, Logic Board Assy Rear System, ROW")</f>
        <v>iPhone 13, Starlight, 128GB, Logic Board Assy Rear System, ROW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>
      <c r="A495" s="3" t="str">
        <f t="shared" si="1"/>
        <v>June</v>
      </c>
      <c r="B495" s="11">
        <f>IFERROR(__xludf.DUMMYFUNCTION("""COMPUTED_VALUE"""),46179.0)</f>
        <v>46179</v>
      </c>
      <c r="C495" s="2" t="str">
        <f>IFERROR(__xludf.DUMMYFUNCTION("""COMPUTED_VALUE"""),"MOBILECARE - ZAMBOANGA")</f>
        <v>MOBILECARE - ZAMBOANGA</v>
      </c>
      <c r="D495" s="2" t="str">
        <f>IFERROR(__xludf.DUMMYFUNCTION("""COMPUTED_VALUE"""),"PP661-23454")</f>
        <v>PP661-23454</v>
      </c>
      <c r="E495" s="2" t="str">
        <f>IFERROR(__xludf.DUMMYFUNCTION("""COMPUTED_VALUE"""),"iPhone 13, Midnight, 128GB, Logic Board Assy Rear System, ROW")</f>
        <v>iPhone 13, Midnight, 128GB, Logic Board Assy Rear System, ROW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>
      <c r="A496" s="3" t="str">
        <f t="shared" si="1"/>
        <v>June</v>
      </c>
      <c r="B496" s="11">
        <f>IFERROR(__xludf.DUMMYFUNCTION("""COMPUTED_VALUE"""),46179.0)</f>
        <v>46179</v>
      </c>
      <c r="C496" s="2" t="str">
        <f>IFERROR(__xludf.DUMMYFUNCTION("""COMPUTED_VALUE"""),"MOBILECARE - ZAMBOANGA")</f>
        <v>MOBILECARE - ZAMBOANGA</v>
      </c>
      <c r="D496" s="2" t="str">
        <f>IFERROR(__xludf.DUMMYFUNCTION("""COMPUTED_VALUE"""),"PP661-23454")</f>
        <v>PP661-23454</v>
      </c>
      <c r="E496" s="2" t="str">
        <f>IFERROR(__xludf.DUMMYFUNCTION("""COMPUTED_VALUE"""),"iPhone 13, Midnight, 128GB, Logic Board Assy Rear System, ROW")</f>
        <v>iPhone 13, Midnight, 128GB, Logic Board Assy Rear System, ROW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>
      <c r="A497" s="3" t="str">
        <f t="shared" si="1"/>
        <v>February</v>
      </c>
      <c r="B497" s="11">
        <f>IFERROR(__xludf.DUMMYFUNCTION("""COMPUTED_VALUE"""),46075.0)</f>
        <v>46075</v>
      </c>
      <c r="C497" s="2" t="str">
        <f>IFERROR(__xludf.DUMMYFUNCTION("""COMPUTED_VALUE"""),"MOBILECARE - ZAMBOANGA")</f>
        <v>MOBILECARE - ZAMBOANGA</v>
      </c>
      <c r="D497" s="2" t="str">
        <f>IFERROR(__xludf.DUMMYFUNCTION("""COMPUTED_VALUE"""),"PP661-28869")</f>
        <v>PP661-28869</v>
      </c>
      <c r="E497" s="2" t="str">
        <f>IFERROR(__xludf.DUMMYFUNCTION("""COMPUTED_VALUE"""),"iPhone 14, Starlight, 128GB, Logic Board Assy Mid System, ROW")</f>
        <v>iPhone 14, Starlight, 128GB, Logic Board Assy Mid System, ROW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>
      <c r="A498" s="3" t="str">
        <f t="shared" si="1"/>
        <v>February</v>
      </c>
      <c r="B498" s="11">
        <f>IFERROR(__xludf.DUMMYFUNCTION("""COMPUTED_VALUE"""),46059.0)</f>
        <v>46059</v>
      </c>
      <c r="C498" s="2" t="str">
        <f>IFERROR(__xludf.DUMMYFUNCTION("""COMPUTED_VALUE"""),"MOBILECARE - ZAMBOANGA")</f>
        <v>MOBILECARE - ZAMBOANGA</v>
      </c>
      <c r="D498" s="2" t="str">
        <f>IFERROR(__xludf.DUMMYFUNCTION("""COMPUTED_VALUE"""),"PP661-23454")</f>
        <v>PP661-23454</v>
      </c>
      <c r="E498" s="2" t="str">
        <f>IFERROR(__xludf.DUMMYFUNCTION("""COMPUTED_VALUE"""),"iPhone 13, Midnight, 128GB, Logic Board Assy Rear System, ROW")</f>
        <v>iPhone 13, Midnight, 128GB, Logic Board Assy Rear System, ROW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>
      <c r="A499" s="3" t="str">
        <f t="shared" si="1"/>
        <v>April</v>
      </c>
      <c r="B499" s="11">
        <f>IFERROR(__xludf.DUMMYFUNCTION("""COMPUTED_VALUE"""),46113.0)</f>
        <v>46113</v>
      </c>
      <c r="C499" s="2" t="str">
        <f>IFERROR(__xludf.DUMMYFUNCTION("""COMPUTED_VALUE"""),"MOBILECARE - ZAMBOANGA")</f>
        <v>MOBILECARE - ZAMBOANGA</v>
      </c>
      <c r="D499" s="2" t="str">
        <f>IFERROR(__xludf.DUMMYFUNCTION("""COMPUTED_VALUE"""),"PP661-28868")</f>
        <v>PP661-28868</v>
      </c>
      <c r="E499" s="2" t="str">
        <f>IFERROR(__xludf.DUMMYFUNCTION("""COMPUTED_VALUE"""),"iPhone 14, Midnight, 128GB, Logic Board Assy Mid System, ROW")</f>
        <v>iPhone 14, Midnight, 128GB, Logic Board Assy Mid System, ROW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>
      <c r="A500" s="3" t="str">
        <f t="shared" si="1"/>
        <v>March</v>
      </c>
      <c r="B500" s="11">
        <f>IFERROR(__xludf.DUMMYFUNCTION("""COMPUTED_VALUE"""),46099.0)</f>
        <v>46099</v>
      </c>
      <c r="C500" s="2" t="str">
        <f>IFERROR(__xludf.DUMMYFUNCTION("""COMPUTED_VALUE"""),"MOBILECARE - ZAMBOANGA")</f>
        <v>MOBILECARE - ZAMBOANGA</v>
      </c>
      <c r="D500" s="2" t="str">
        <f>IFERROR(__xludf.DUMMYFUNCTION("""COMPUTED_VALUE"""),"PP661-23454")</f>
        <v>PP661-23454</v>
      </c>
      <c r="E500" s="2" t="str">
        <f>IFERROR(__xludf.DUMMYFUNCTION("""COMPUTED_VALUE"""),"iPhone 13, Midnight, 128GB, Logic Board Assy Rear System, ROW")</f>
        <v>iPhone 13, Midnight, 128GB, Logic Board Assy Rear System, ROW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>
      <c r="A501" s="3" t="str">
        <f t="shared" si="1"/>
        <v>March</v>
      </c>
      <c r="B501" s="11">
        <f>IFERROR(__xludf.DUMMYFUNCTION("""COMPUTED_VALUE"""),46099.0)</f>
        <v>46099</v>
      </c>
      <c r="C501" s="2" t="str">
        <f>IFERROR(__xludf.DUMMYFUNCTION("""COMPUTED_VALUE"""),"MOBILECARE - ZAMBOANGA")</f>
        <v>MOBILECARE - ZAMBOANGA</v>
      </c>
      <c r="D501" s="2" t="str">
        <f>IFERROR(__xludf.DUMMYFUNCTION("""COMPUTED_VALUE"""),"PP661-23454")</f>
        <v>PP661-23454</v>
      </c>
      <c r="E501" s="2" t="str">
        <f>IFERROR(__xludf.DUMMYFUNCTION("""COMPUTED_VALUE"""),"iPhone 13, Midnight, 128GB, Logic Board Assy Rear System, ROW")</f>
        <v>iPhone 13, Midnight, 128GB, Logic Board Assy Rear System, ROW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>
      <c r="A502" s="3" t="str">
        <f t="shared" si="1"/>
        <v>June</v>
      </c>
      <c r="B502" s="11">
        <f>IFERROR(__xludf.DUMMYFUNCTION("""COMPUTED_VALUE"""),46190.0)</f>
        <v>46190</v>
      </c>
      <c r="C502" s="2" t="str">
        <f>IFERROR(__xludf.DUMMYFUNCTION("""COMPUTED_VALUE"""),"MOBILECARE - ZAMBOANGA")</f>
        <v>MOBILECARE - ZAMBOANGA</v>
      </c>
      <c r="D502" s="2" t="str">
        <f>IFERROR(__xludf.DUMMYFUNCTION("""COMPUTED_VALUE"""),"TA661-36697")</f>
        <v>TA661-36697</v>
      </c>
      <c r="E502" s="2" t="str">
        <f>IFERROR(__xludf.DUMMYFUNCTION("""COMPUTED_VALUE"""),"iPhone 15, Pink, 256GB, Logic Board Assy Mid System, ROW")</f>
        <v>iPhone 15, Pink, 256GB, Logic Board Assy Mid System, ROW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>
      <c r="A503" s="3" t="str">
        <f t="shared" si="1"/>
        <v>April</v>
      </c>
      <c r="B503" s="11">
        <f>IFERROR(__xludf.DUMMYFUNCTION("""COMPUTED_VALUE"""),46124.0)</f>
        <v>46124</v>
      </c>
      <c r="C503" s="2" t="str">
        <f>IFERROR(__xludf.DUMMYFUNCTION("""COMPUTED_VALUE"""),"MOBILECARE - ZAMBOANGA")</f>
        <v>MOBILECARE - ZAMBOANGA</v>
      </c>
      <c r="D503" s="2" t="str">
        <f>IFERROR(__xludf.DUMMYFUNCTION("""COMPUTED_VALUE"""),"PP661-23455")</f>
        <v>PP661-23455</v>
      </c>
      <c r="E503" s="2" t="str">
        <f>IFERROR(__xludf.DUMMYFUNCTION("""COMPUTED_VALUE"""),"iPhone 13, Starlight, 128GB, Logic Board Assy Rear System, ROW")</f>
        <v>iPhone 13, Starlight, 128GB, Logic Board Assy Rear System, ROW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>
      <c r="A504" s="3" t="str">
        <f t="shared" si="1"/>
        <v>April</v>
      </c>
      <c r="B504" s="11">
        <f>IFERROR(__xludf.DUMMYFUNCTION("""COMPUTED_VALUE"""),46121.0)</f>
        <v>46121</v>
      </c>
      <c r="C504" s="2" t="str">
        <f>IFERROR(__xludf.DUMMYFUNCTION("""COMPUTED_VALUE"""),"MOBILECARE - ZAMBOANGA")</f>
        <v>MOBILECARE - ZAMBOANGA</v>
      </c>
      <c r="D504" s="2" t="str">
        <f>IFERROR(__xludf.DUMMYFUNCTION("""COMPUTED_VALUE"""),"PP661-28869")</f>
        <v>PP661-28869</v>
      </c>
      <c r="E504" s="2" t="str">
        <f>IFERROR(__xludf.DUMMYFUNCTION("""COMPUTED_VALUE"""),"iPhone 14, Starlight, 128GB, Logic Board Assy Mid System, ROW")</f>
        <v>iPhone 14, Starlight, 128GB, Logic Board Assy Mid System, ROW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>
      <c r="A505" s="3" t="str">
        <f t="shared" si="1"/>
        <v>June</v>
      </c>
      <c r="B505" s="11">
        <f>IFERROR(__xludf.DUMMYFUNCTION("""COMPUTED_VALUE"""),46184.0)</f>
        <v>46184</v>
      </c>
      <c r="C505" s="2" t="str">
        <f>IFERROR(__xludf.DUMMYFUNCTION("""COMPUTED_VALUE"""),"MOBILECARE - ZAMBOANGA")</f>
        <v>MOBILECARE - ZAMBOANGA</v>
      </c>
      <c r="D505" s="2" t="str">
        <f>IFERROR(__xludf.DUMMYFUNCTION("""COMPUTED_VALUE"""),"TA661-36694")</f>
        <v>TA661-36694</v>
      </c>
      <c r="E505" s="2" t="str">
        <f>IFERROR(__xludf.DUMMYFUNCTION("""COMPUTED_VALUE"""),"iPhone 15, Blue, 128GB, Logic Board Assy Mid System, ROW")</f>
        <v>iPhone 15, Blue, 128GB, Logic Board Assy Mid System, ROW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>
      <c r="A506" s="3" t="str">
        <f t="shared" si="1"/>
        <v>June</v>
      </c>
      <c r="B506" s="11">
        <f>IFERROR(__xludf.DUMMYFUNCTION("""COMPUTED_VALUE"""),46179.0)</f>
        <v>46179</v>
      </c>
      <c r="C506" s="2" t="str">
        <f>IFERROR(__xludf.DUMMYFUNCTION("""COMPUTED_VALUE"""),"MOBILECARE - ZAMBOANGA")</f>
        <v>MOBILECARE - ZAMBOANGA</v>
      </c>
      <c r="D506" s="2" t="str">
        <f>IFERROR(__xludf.DUMMYFUNCTION("""COMPUTED_VALUE"""),"PP661-28869")</f>
        <v>PP661-28869</v>
      </c>
      <c r="E506" s="2" t="str">
        <f>IFERROR(__xludf.DUMMYFUNCTION("""COMPUTED_VALUE"""),"iPhone 14, Starlight, 128GB, Logic Board Assy Mid System, ROW")</f>
        <v>iPhone 14, Starlight, 128GB, Logic Board Assy Mid System, ROW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>
      <c r="A507" s="3" t="str">
        <f t="shared" si="1"/>
        <v>April</v>
      </c>
      <c r="B507" s="11">
        <f>IFERROR(__xludf.DUMMYFUNCTION("""COMPUTED_VALUE"""),46129.0)</f>
        <v>46129</v>
      </c>
      <c r="C507" s="2" t="str">
        <f>IFERROR(__xludf.DUMMYFUNCTION("""COMPUTED_VALUE"""),"MOBILECARE - ZAMBOANGA")</f>
        <v>MOBILECARE - ZAMBOANGA</v>
      </c>
      <c r="D507" s="2" t="str">
        <f>IFERROR(__xludf.DUMMYFUNCTION("""COMPUTED_VALUE"""),"PP661-28874")</f>
        <v>PP661-28874</v>
      </c>
      <c r="E507" s="2" t="str">
        <f>IFERROR(__xludf.DUMMYFUNCTION("""COMPUTED_VALUE"""),"iPhone 14, Starlight, 256GB, Logic Board Assy Mid System, ROW")</f>
        <v>iPhone 14, Starlight, 256GB, Logic Board Assy Mid System, ROW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>
      <c r="A508" s="3" t="str">
        <f t="shared" si="1"/>
        <v>April</v>
      </c>
      <c r="B508" s="11">
        <f>IFERROR(__xludf.DUMMYFUNCTION("""COMPUTED_VALUE"""),46113.0)</f>
        <v>46113</v>
      </c>
      <c r="C508" s="2" t="str">
        <f>IFERROR(__xludf.DUMMYFUNCTION("""COMPUTED_VALUE"""),"MOBILECARE - ZAMBOANGA")</f>
        <v>MOBILECARE - ZAMBOANGA</v>
      </c>
      <c r="D508" s="2" t="str">
        <f>IFERROR(__xludf.DUMMYFUNCTION("""COMPUTED_VALUE"""),"TA661-36697")</f>
        <v>TA661-36697</v>
      </c>
      <c r="E508" s="2" t="str">
        <f>IFERROR(__xludf.DUMMYFUNCTION("""COMPUTED_VALUE"""),"iPhone 15, Pink, 256GB, Logic Board Assy Mid System, ROW")</f>
        <v>iPhone 15, Pink, 256GB, Logic Board Assy Mid System, ROW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>
      <c r="A509" s="3" t="str">
        <f t="shared" si="1"/>
        <v>April</v>
      </c>
      <c r="B509" s="11">
        <f>IFERROR(__xludf.DUMMYFUNCTION("""COMPUTED_VALUE"""),46140.0)</f>
        <v>46140</v>
      </c>
      <c r="C509" s="2" t="str">
        <f>IFERROR(__xludf.DUMMYFUNCTION("""COMPUTED_VALUE"""),"MOBILECARE - ZAMBOANGA")</f>
        <v>MOBILECARE - ZAMBOANGA</v>
      </c>
      <c r="D509" s="2" t="str">
        <f>IFERROR(__xludf.DUMMYFUNCTION("""COMPUTED_VALUE"""),"TA661-36693")</f>
        <v>TA661-36693</v>
      </c>
      <c r="E509" s="2" t="str">
        <f>IFERROR(__xludf.DUMMYFUNCTION("""COMPUTED_VALUE"""),"iPhone 15, Yellow, 128GB, Logic Board Assy Mid System, ROW")</f>
        <v>iPhone 15, Yellow, 128GB, Logic Board Assy Mid System, ROW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>
      <c r="A510" s="3" t="str">
        <f t="shared" si="1"/>
        <v>June</v>
      </c>
      <c r="B510" s="11">
        <f>IFERROR(__xludf.DUMMYFUNCTION("""COMPUTED_VALUE"""),46178.0)</f>
        <v>46178</v>
      </c>
      <c r="C510" s="2" t="str">
        <f>IFERROR(__xludf.DUMMYFUNCTION("""COMPUTED_VALUE"""),"MOBILECARE - NEWPOINT MALL")</f>
        <v>MOBILECARE - NEWPOINT MALL</v>
      </c>
      <c r="D510" s="2" t="str">
        <f>IFERROR(__xludf.DUMMYFUNCTION("""COMPUTED_VALUE"""),"PP661-23455")</f>
        <v>PP661-23455</v>
      </c>
      <c r="E510" s="2" t="str">
        <f>IFERROR(__xludf.DUMMYFUNCTION("""COMPUTED_VALUE"""),"iPhone 13, Starlight, 128GB, Logic Board Assy Rear System, ROW")</f>
        <v>iPhone 13, Starlight, 128GB, Logic Board Assy Rear System, ROW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>
      <c r="A511" s="3" t="str">
        <f t="shared" si="1"/>
        <v>May</v>
      </c>
      <c r="B511" s="11">
        <f>IFERROR(__xludf.DUMMYFUNCTION("""COMPUTED_VALUE"""),46145.0)</f>
        <v>46145</v>
      </c>
      <c r="C511" s="2" t="str">
        <f>IFERROR(__xludf.DUMMYFUNCTION("""COMPUTED_VALUE"""),"MOBILECARE - NEWPOINT MALL")</f>
        <v>MOBILECARE - NEWPOINT MALL</v>
      </c>
      <c r="D511" s="2" t="str">
        <f>IFERROR(__xludf.DUMMYFUNCTION("""COMPUTED_VALUE"""),"TA661-36692")</f>
        <v>TA661-36692</v>
      </c>
      <c r="E511" s="2" t="str">
        <f>IFERROR(__xludf.DUMMYFUNCTION("""COMPUTED_VALUE"""),"iPhone 15, Pink, 128GB, Logic Board Assy Mid System, ROW")</f>
        <v>iPhone 15, Pink, 128GB, Logic Board Assy Mid System, ROW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>
      <c r="A512" s="3" t="str">
        <f t="shared" si="1"/>
        <v>February</v>
      </c>
      <c r="B512" s="11">
        <f>IFERROR(__xludf.DUMMYFUNCTION("""COMPUTED_VALUE"""),46064.0)</f>
        <v>46064</v>
      </c>
      <c r="C512" s="2" t="str">
        <f>IFERROR(__xludf.DUMMYFUNCTION("""COMPUTED_VALUE"""),"MOBILECARE - NEWPOINT MALL")</f>
        <v>MOBILECARE - NEWPOINT MALL</v>
      </c>
      <c r="D512" s="2" t="str">
        <f>IFERROR(__xludf.DUMMYFUNCTION("""COMPUTED_VALUE"""),"TA661-43605")</f>
        <v>TA661-43605</v>
      </c>
      <c r="E512" s="2" t="str">
        <f>IFERROR(__xludf.DUMMYFUNCTION("""COMPUTED_VALUE"""),"128GB, Black, ROW, iPhone 16, Logic Board Assy Mid System")</f>
        <v>128GB, Black, ROW, iPhone 16, Logic Board Assy Mid System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>
      <c r="A513" s="3" t="str">
        <f t="shared" si="1"/>
        <v>February</v>
      </c>
      <c r="B513" s="11">
        <f>IFERROR(__xludf.DUMMYFUNCTION("""COMPUTED_VALUE"""),46064.0)</f>
        <v>46064</v>
      </c>
      <c r="C513" s="2" t="str">
        <f>IFERROR(__xludf.DUMMYFUNCTION("""COMPUTED_VALUE"""),"MOBILECARE - NEWPOINT MALL")</f>
        <v>MOBILECARE - NEWPOINT MALL</v>
      </c>
      <c r="D513" s="2" t="str">
        <f>IFERROR(__xludf.DUMMYFUNCTION("""COMPUTED_VALUE"""),"PP661-23454")</f>
        <v>PP661-23454</v>
      </c>
      <c r="E513" s="2" t="str">
        <f>IFERROR(__xludf.DUMMYFUNCTION("""COMPUTED_VALUE"""),"iPhone 13, Midnight, 128GB, Logic Board Assy Rear System, ROW")</f>
        <v>iPhone 13, Midnight, 128GB, Logic Board Assy Rear System, ROW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>
      <c r="A514" s="3" t="str">
        <f t="shared" si="1"/>
        <v>February</v>
      </c>
      <c r="B514" s="11">
        <f>IFERROR(__xludf.DUMMYFUNCTION("""COMPUTED_VALUE"""),46056.0)</f>
        <v>46056</v>
      </c>
      <c r="C514" s="2" t="str">
        <f>IFERROR(__xludf.DUMMYFUNCTION("""COMPUTED_VALUE"""),"MOBILECARE - NEWPOINT MALL")</f>
        <v>MOBILECARE - NEWPOINT MALL</v>
      </c>
      <c r="D514" s="2" t="str">
        <f>IFERROR(__xludf.DUMMYFUNCTION("""COMPUTED_VALUE"""),"PP661-28871")</f>
        <v>PP661-28871</v>
      </c>
      <c r="E514" s="2" t="str">
        <f>IFERROR(__xludf.DUMMYFUNCTION("""COMPUTED_VALUE"""),"iPhone 14, Blue, 128GB, Logic Board Assy Mid System, ROW")</f>
        <v>iPhone 14, Blue, 128GB, Logic Board Assy Mid System, ROW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>
      <c r="A515" s="3" t="str">
        <f t="shared" si="1"/>
        <v>February</v>
      </c>
      <c r="B515" s="11">
        <f>IFERROR(__xludf.DUMMYFUNCTION("""COMPUTED_VALUE"""),46056.0)</f>
        <v>46056</v>
      </c>
      <c r="C515" s="2" t="str">
        <f>IFERROR(__xludf.DUMMYFUNCTION("""COMPUTED_VALUE"""),"MOBILECARE - NEWPOINT MALL")</f>
        <v>MOBILECARE - NEWPOINT MALL</v>
      </c>
      <c r="D515" s="2" t="str">
        <f>IFERROR(__xludf.DUMMYFUNCTION("""COMPUTED_VALUE"""),"661-30416")</f>
        <v>661-30416</v>
      </c>
      <c r="E515" s="2" t="str">
        <f>IFERROR(__xludf.DUMMYFUNCTION("""COMPUTED_VALUE"""),"Blue, Back Glass, iPhone 14")</f>
        <v>Blue, Back Glass, iPhone 14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>
      <c r="A516" s="3" t="str">
        <f t="shared" si="1"/>
        <v>May</v>
      </c>
      <c r="B516" s="11">
        <f>IFERROR(__xludf.DUMMYFUNCTION("""COMPUTED_VALUE"""),46150.0)</f>
        <v>46150</v>
      </c>
      <c r="C516" s="2" t="str">
        <f>IFERROR(__xludf.DUMMYFUNCTION("""COMPUTED_VALUE"""),"MOBILECARE - NEWPOINT MALL")</f>
        <v>MOBILECARE - NEWPOINT MALL</v>
      </c>
      <c r="D516" s="2" t="str">
        <f>IFERROR(__xludf.DUMMYFUNCTION("""COMPUTED_VALUE"""),"TA661-36694")</f>
        <v>TA661-36694</v>
      </c>
      <c r="E516" s="2" t="str">
        <f>IFERROR(__xludf.DUMMYFUNCTION("""COMPUTED_VALUE"""),"iPhone 15, Blue, 128GB, Logic Board Assy Mid System, ROW")</f>
        <v>iPhone 15, Blue, 128GB, Logic Board Assy Mid System, ROW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>
      <c r="A517" s="3" t="str">
        <f t="shared" si="1"/>
        <v>March</v>
      </c>
      <c r="B517" s="11">
        <f>IFERROR(__xludf.DUMMYFUNCTION("""COMPUTED_VALUE"""),46093.0)</f>
        <v>46093</v>
      </c>
      <c r="C517" s="2" t="str">
        <f>IFERROR(__xludf.DUMMYFUNCTION("""COMPUTED_VALUE"""),"MOBILECARE - NEWPOINT MALL")</f>
        <v>MOBILECARE - NEWPOINT MALL</v>
      </c>
      <c r="D517" s="2" t="str">
        <f>IFERROR(__xludf.DUMMYFUNCTION("""COMPUTED_VALUE"""),"TA661-36696")</f>
        <v>TA661-36696</v>
      </c>
      <c r="E517" s="2" t="str">
        <f>IFERROR(__xludf.DUMMYFUNCTION("""COMPUTED_VALUE"""),"iPhone 15, Black, 256GB, Logic Board Assy Mid System, ROW")</f>
        <v>iPhone 15, Black, 256GB, Logic Board Assy Mid System, ROW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>
      <c r="A518" s="3" t="str">
        <f t="shared" si="1"/>
        <v>February</v>
      </c>
      <c r="B518" s="11">
        <f>IFERROR(__xludf.DUMMYFUNCTION("""COMPUTED_VALUE"""),46061.0)</f>
        <v>46061</v>
      </c>
      <c r="C518" s="2" t="str">
        <f>IFERROR(__xludf.DUMMYFUNCTION("""COMPUTED_VALUE"""),"MOBILECARE - NEWPOINT MALL")</f>
        <v>MOBILECARE - NEWPOINT MALL</v>
      </c>
      <c r="D518" s="2" t="str">
        <f>IFERROR(__xludf.DUMMYFUNCTION("""COMPUTED_VALUE"""),"PP661-23454")</f>
        <v>PP661-23454</v>
      </c>
      <c r="E518" s="2" t="str">
        <f>IFERROR(__xludf.DUMMYFUNCTION("""COMPUTED_VALUE"""),"iPhone 13, Midnight, 128GB, Logic Board Assy Rear System, ROW")</f>
        <v>iPhone 13, Midnight, 128GB, Logic Board Assy Rear System, ROW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>
      <c r="A519" s="3" t="str">
        <f t="shared" si="1"/>
        <v>June</v>
      </c>
      <c r="B519" s="11">
        <f>IFERROR(__xludf.DUMMYFUNCTION("""COMPUTED_VALUE"""),46185.0)</f>
        <v>46185</v>
      </c>
      <c r="C519" s="2" t="str">
        <f>IFERROR(__xludf.DUMMYFUNCTION("""COMPUTED_VALUE"""),"MOBILECARE - NEWPOINT MALL")</f>
        <v>MOBILECARE - NEWPOINT MALL</v>
      </c>
      <c r="D519" s="2" t="str">
        <f>IFERROR(__xludf.DUMMYFUNCTION("""COMPUTED_VALUE"""),"PP661-28868")</f>
        <v>PP661-28868</v>
      </c>
      <c r="E519" s="2" t="str">
        <f>IFERROR(__xludf.DUMMYFUNCTION("""COMPUTED_VALUE"""),"iPhone 14, Midnight, 128GB, Logic Board Assy Mid System, ROW")</f>
        <v>iPhone 14, Midnight, 128GB, Logic Board Assy Mid System, ROW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>
      <c r="A520" s="3" t="str">
        <f t="shared" si="1"/>
        <v>February</v>
      </c>
      <c r="B520" s="11">
        <f>IFERROR(__xludf.DUMMYFUNCTION("""COMPUTED_VALUE"""),46070.0)</f>
        <v>46070</v>
      </c>
      <c r="C520" s="2" t="str">
        <f>IFERROR(__xludf.DUMMYFUNCTION("""COMPUTED_VALUE"""),"MOBILECARE - NEWPOINT MALL")</f>
        <v>MOBILECARE - NEWPOINT MALL</v>
      </c>
      <c r="D520" s="2" t="str">
        <f>IFERROR(__xludf.DUMMYFUNCTION("""COMPUTED_VALUE"""),"TA661-45232")</f>
        <v>TA661-45232</v>
      </c>
      <c r="E520" s="2" t="str">
        <f>IFERROR(__xludf.DUMMYFUNCTION("""COMPUTED_VALUE"""),"128GB, White, ROW, iPhone 16 Plus, Logic Board Assy Mid System")</f>
        <v>128GB, White, ROW, iPhone 16 Plus, Logic Board Assy Mid System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>
      <c r="A521" s="3" t="str">
        <f t="shared" si="1"/>
        <v>June</v>
      </c>
      <c r="B521" s="11">
        <f>IFERROR(__xludf.DUMMYFUNCTION("""COMPUTED_VALUE"""),46178.0)</f>
        <v>46178</v>
      </c>
      <c r="C521" s="2" t="str">
        <f>IFERROR(__xludf.DUMMYFUNCTION("""COMPUTED_VALUE"""),"MOBILECARE - NEWPOINT MALL")</f>
        <v>MOBILECARE - NEWPOINT MALL</v>
      </c>
      <c r="D521" s="2" t="str">
        <f>IFERROR(__xludf.DUMMYFUNCTION("""COMPUTED_VALUE"""),"PP661-28869")</f>
        <v>PP661-28869</v>
      </c>
      <c r="E521" s="2" t="str">
        <f>IFERROR(__xludf.DUMMYFUNCTION("""COMPUTED_VALUE"""),"iPhone 14, Starlight, 128GB, Logic Board Assy Mid System, ROW")</f>
        <v>iPhone 14, Starlight, 128GB, Logic Board Assy Mid System, ROW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>
      <c r="A522" s="3" t="str">
        <f t="shared" si="1"/>
        <v>March</v>
      </c>
      <c r="B522" s="11">
        <f>IFERROR(__xludf.DUMMYFUNCTION("""COMPUTED_VALUE"""),46095.0)</f>
        <v>46095</v>
      </c>
      <c r="C522" s="2" t="str">
        <f>IFERROR(__xludf.DUMMYFUNCTION("""COMPUTED_VALUE"""),"MOBILECARE - NEWPOINT MALL")</f>
        <v>MOBILECARE - NEWPOINT MALL</v>
      </c>
      <c r="D522" s="2" t="str">
        <f>IFERROR(__xludf.DUMMYFUNCTION("""COMPUTED_VALUE"""),"TA661-36691")</f>
        <v>TA661-36691</v>
      </c>
      <c r="E522" s="2" t="str">
        <f>IFERROR(__xludf.DUMMYFUNCTION("""COMPUTED_VALUE"""),"iPhone 15, Black, 128GB, Logic Board Assy Mid System, ROW")</f>
        <v>iPhone 15, Black, 128GB, Logic Board Assy Mid System, ROW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>
      <c r="A523" s="3" t="str">
        <f t="shared" si="1"/>
        <v>June</v>
      </c>
      <c r="B523" s="11">
        <f>IFERROR(__xludf.DUMMYFUNCTION("""COMPUTED_VALUE"""),46183.0)</f>
        <v>46183</v>
      </c>
      <c r="C523" s="2" t="str">
        <f>IFERROR(__xludf.DUMMYFUNCTION("""COMPUTED_VALUE"""),"MOBILECARE - NEWPOINT MALL")</f>
        <v>MOBILECARE - NEWPOINT MALL</v>
      </c>
      <c r="D523" s="2" t="str">
        <f>IFERROR(__xludf.DUMMYFUNCTION("""COMPUTED_VALUE"""),"TA661-36691")</f>
        <v>TA661-36691</v>
      </c>
      <c r="E523" s="2" t="str">
        <f>IFERROR(__xludf.DUMMYFUNCTION("""COMPUTED_VALUE"""),"iPhone 15, Black, 128GB, Logic Board Assy Mid System, ROW")</f>
        <v>iPhone 15, Black, 128GB, Logic Board Assy Mid System, ROW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>
      <c r="A524" s="3" t="str">
        <f t="shared" si="1"/>
        <v>April</v>
      </c>
      <c r="B524" s="11">
        <f>IFERROR(__xludf.DUMMYFUNCTION("""COMPUTED_VALUE"""),46138.0)</f>
        <v>46138</v>
      </c>
      <c r="C524" s="2" t="str">
        <f>IFERROR(__xludf.DUMMYFUNCTION("""COMPUTED_VALUE"""),"MOBILECARE - NEWPOINT MALL")</f>
        <v>MOBILECARE - NEWPOINT MALL</v>
      </c>
      <c r="D524" s="2" t="str">
        <f>IFERROR(__xludf.DUMMYFUNCTION("""COMPUTED_VALUE"""),"PP661-23455")</f>
        <v>PP661-23455</v>
      </c>
      <c r="E524" s="2" t="str">
        <f>IFERROR(__xludf.DUMMYFUNCTION("""COMPUTED_VALUE"""),"iPhone 13, Starlight, 128GB, Logic Board Assy Rear System, ROW")</f>
        <v>iPhone 13, Starlight, 128GB, Logic Board Assy Rear System, ROW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>
      <c r="A525" s="3" t="str">
        <f t="shared" si="1"/>
        <v>February</v>
      </c>
      <c r="B525" s="11">
        <f>IFERROR(__xludf.DUMMYFUNCTION("""COMPUTED_VALUE"""),46076.0)</f>
        <v>46076</v>
      </c>
      <c r="C525" s="2" t="str">
        <f>IFERROR(__xludf.DUMMYFUNCTION("""COMPUTED_VALUE"""),"MOBILECARE - NEWPOINT MALL")</f>
        <v>MOBILECARE - NEWPOINT MALL</v>
      </c>
      <c r="D525" s="2" t="str">
        <f>IFERROR(__xludf.DUMMYFUNCTION("""COMPUTED_VALUE"""),"PP661-23455")</f>
        <v>PP661-23455</v>
      </c>
      <c r="E525" s="2" t="str">
        <f>IFERROR(__xludf.DUMMYFUNCTION("""COMPUTED_VALUE"""),"iPhone 13, Starlight, 128GB, Logic Board Assy Rear System, ROW")</f>
        <v>iPhone 13, Starlight, 128GB, Logic Board Assy Rear System, ROW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>
      <c r="A526" s="3" t="str">
        <f t="shared" si="1"/>
        <v>March</v>
      </c>
      <c r="B526" s="11">
        <f>IFERROR(__xludf.DUMMYFUNCTION("""COMPUTED_VALUE"""),46096.0)</f>
        <v>46096</v>
      </c>
      <c r="C526" s="2" t="str">
        <f>IFERROR(__xludf.DUMMYFUNCTION("""COMPUTED_VALUE"""),"MOBILECARE - NEWPOINT MALL")</f>
        <v>MOBILECARE - NEWPOINT MALL</v>
      </c>
      <c r="D526" s="2" t="str">
        <f>IFERROR(__xludf.DUMMYFUNCTION("""COMPUTED_VALUE"""),"PP661-23455")</f>
        <v>PP661-23455</v>
      </c>
      <c r="E526" s="2" t="str">
        <f>IFERROR(__xludf.DUMMYFUNCTION("""COMPUTED_VALUE"""),"iPhone 13, Starlight, 128GB, Logic Board Assy Rear System, ROW")</f>
        <v>iPhone 13, Starlight, 128GB, Logic Board Assy Rear System, ROW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>
      <c r="A527" s="3" t="str">
        <f t="shared" si="1"/>
        <v>February</v>
      </c>
      <c r="B527" s="11">
        <f>IFERROR(__xludf.DUMMYFUNCTION("""COMPUTED_VALUE"""),46074.0)</f>
        <v>46074</v>
      </c>
      <c r="C527" s="2" t="str">
        <f>IFERROR(__xludf.DUMMYFUNCTION("""COMPUTED_VALUE"""),"MOBILECARE - NEWPOINT MALL")</f>
        <v>MOBILECARE - NEWPOINT MALL</v>
      </c>
      <c r="D527" s="2" t="str">
        <f>IFERROR(__xludf.DUMMYFUNCTION("""COMPUTED_VALUE"""),"PP661-28873")</f>
        <v>PP661-28873</v>
      </c>
      <c r="E527" s="2" t="str">
        <f>IFERROR(__xludf.DUMMYFUNCTION("""COMPUTED_VALUE"""),"iPhone 14, Midnight, 256GB, Logic Board Assy Mid System, ROW")</f>
        <v>iPhone 14, Midnight, 256GB, Logic Board Assy Mid System, ROW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>
      <c r="A528" s="3" t="str">
        <f t="shared" si="1"/>
        <v>February</v>
      </c>
      <c r="B528" s="11">
        <f>IFERROR(__xludf.DUMMYFUNCTION("""COMPUTED_VALUE"""),46071.0)</f>
        <v>46071</v>
      </c>
      <c r="C528" s="2" t="str">
        <f>IFERROR(__xludf.DUMMYFUNCTION("""COMPUTED_VALUE"""),"MOBILECARE - NEWPOINT MALL")</f>
        <v>MOBILECARE - NEWPOINT MALL</v>
      </c>
      <c r="D528" s="2" t="str">
        <f>IFERROR(__xludf.DUMMYFUNCTION("""COMPUTED_VALUE"""),"PP661-23455")</f>
        <v>PP661-23455</v>
      </c>
      <c r="E528" s="2" t="str">
        <f>IFERROR(__xludf.DUMMYFUNCTION("""COMPUTED_VALUE"""),"iPhone 13, Starlight, 128GB, Logic Board Assy Rear System, ROW")</f>
        <v>iPhone 13, Starlight, 128GB, Logic Board Assy Rear System, ROW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>
      <c r="A529" s="3" t="str">
        <f t="shared" si="1"/>
        <v>February</v>
      </c>
      <c r="B529" s="11">
        <f>IFERROR(__xludf.DUMMYFUNCTION("""COMPUTED_VALUE"""),46067.0)</f>
        <v>46067</v>
      </c>
      <c r="C529" s="2" t="str">
        <f>IFERROR(__xludf.DUMMYFUNCTION("""COMPUTED_VALUE"""),"MOBILECARE - NEWPOINT MALL")</f>
        <v>MOBILECARE - NEWPOINT MALL</v>
      </c>
      <c r="D529" s="2" t="str">
        <f>IFERROR(__xludf.DUMMYFUNCTION("""COMPUTED_VALUE"""),"TA661-44999")</f>
        <v>TA661-44999</v>
      </c>
      <c r="E529" s="2" t="str">
        <f>IFERROR(__xludf.DUMMYFUNCTION("""COMPUTED_VALUE"""),"256GB, Black Titanium, ROW, iPhone 16 Pro, Logic Board Assy Mid System")</f>
        <v>256GB, Black Titanium, ROW, iPhone 16 Pro, Logic Board Assy Mid System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>
      <c r="A530" s="3" t="str">
        <f t="shared" si="1"/>
        <v>May</v>
      </c>
      <c r="B530" s="11">
        <f>IFERROR(__xludf.DUMMYFUNCTION("""COMPUTED_VALUE"""),46145.0)</f>
        <v>46145</v>
      </c>
      <c r="C530" s="2" t="str">
        <f>IFERROR(__xludf.DUMMYFUNCTION("""COMPUTED_VALUE"""),"MOBILECARE - NEWPOINT MALL")</f>
        <v>MOBILECARE - NEWPOINT MALL</v>
      </c>
      <c r="D530" s="2" t="str">
        <f>IFERROR(__xludf.DUMMYFUNCTION("""COMPUTED_VALUE"""),"TA661-45000")</f>
        <v>TA661-45000</v>
      </c>
      <c r="E530" s="2" t="str">
        <f>IFERROR(__xludf.DUMMYFUNCTION("""COMPUTED_VALUE"""),"256GB, White Titanium, ROW, iPhone 16 Pro, Logic Board Assy Mid System")</f>
        <v>256GB, White Titanium, ROW, iPhone 16 Pro, Logic Board Assy Mid System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>
      <c r="A531" s="3" t="str">
        <f t="shared" si="1"/>
        <v>March</v>
      </c>
      <c r="B531" s="11">
        <f>IFERROR(__xludf.DUMMYFUNCTION("""COMPUTED_VALUE"""),46099.0)</f>
        <v>46099</v>
      </c>
      <c r="C531" s="2" t="str">
        <f>IFERROR(__xludf.DUMMYFUNCTION("""COMPUTED_VALUE"""),"MOBILECARE - NEWPOINT MALL")</f>
        <v>MOBILECARE - NEWPOINT MALL</v>
      </c>
      <c r="D531" s="2" t="str">
        <f>IFERROR(__xludf.DUMMYFUNCTION("""COMPUTED_VALUE"""),"TA661-45002")</f>
        <v>TA661-45002</v>
      </c>
      <c r="E531" s="2" t="str">
        <f>IFERROR(__xludf.DUMMYFUNCTION("""COMPUTED_VALUE"""),"256GB, Natural Titanium, ROW, iPhone 16 Pro, Logic Board Assy Mid System")</f>
        <v>256GB, Natural Titanium, ROW, iPhone 16 Pro, Logic Board Assy Mid System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>
      <c r="A532" s="3" t="str">
        <f t="shared" si="1"/>
        <v>February</v>
      </c>
      <c r="B532" s="11">
        <f>IFERROR(__xludf.DUMMYFUNCTION("""COMPUTED_VALUE"""),46069.0)</f>
        <v>46069</v>
      </c>
      <c r="C532" s="2" t="str">
        <f>IFERROR(__xludf.DUMMYFUNCTION("""COMPUTED_VALUE"""),"MOBILECARE - NEWPOINT MALL")</f>
        <v>MOBILECARE - NEWPOINT MALL</v>
      </c>
      <c r="D532" s="2" t="str">
        <f>IFERROR(__xludf.DUMMYFUNCTION("""COMPUTED_VALUE"""),"PP661-23455")</f>
        <v>PP661-23455</v>
      </c>
      <c r="E532" s="2" t="str">
        <f>IFERROR(__xludf.DUMMYFUNCTION("""COMPUTED_VALUE"""),"iPhone 13, Starlight, 128GB, Logic Board Assy Rear System, ROW")</f>
        <v>iPhone 13, Starlight, 128GB, Logic Board Assy Rear System, ROW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>
      <c r="A533" s="3" t="str">
        <f t="shared" si="1"/>
        <v>June</v>
      </c>
      <c r="B533" s="11">
        <f>IFERROR(__xludf.DUMMYFUNCTION("""COMPUTED_VALUE"""),46180.0)</f>
        <v>46180</v>
      </c>
      <c r="C533" s="2" t="str">
        <f>IFERROR(__xludf.DUMMYFUNCTION("""COMPUTED_VALUE"""),"MOBILECARE - NEWPOINT MALL")</f>
        <v>MOBILECARE - NEWPOINT MALL</v>
      </c>
      <c r="D533" s="2" t="str">
        <f>IFERROR(__xludf.DUMMYFUNCTION("""COMPUTED_VALUE"""),"PP661-28869")</f>
        <v>PP661-28869</v>
      </c>
      <c r="E533" s="2" t="str">
        <f>IFERROR(__xludf.DUMMYFUNCTION("""COMPUTED_VALUE"""),"iPhone 14, Starlight, 128GB, Logic Board Assy Mid System, ROW")</f>
        <v>iPhone 14, Starlight, 128GB, Logic Board Assy Mid System, ROW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>
      <c r="A534" s="3" t="str">
        <f t="shared" si="1"/>
        <v>April</v>
      </c>
      <c r="B534" s="11">
        <f>IFERROR(__xludf.DUMMYFUNCTION("""COMPUTED_VALUE"""),46139.0)</f>
        <v>46139</v>
      </c>
      <c r="C534" s="2" t="str">
        <f>IFERROR(__xludf.DUMMYFUNCTION("""COMPUTED_VALUE"""),"MOBILECARE - NEWPOINT MALL")</f>
        <v>MOBILECARE - NEWPOINT MALL</v>
      </c>
      <c r="D534" s="2" t="str">
        <f>IFERROR(__xludf.DUMMYFUNCTION("""COMPUTED_VALUE"""),"PP661-28869")</f>
        <v>PP661-28869</v>
      </c>
      <c r="E534" s="2" t="str">
        <f>IFERROR(__xludf.DUMMYFUNCTION("""COMPUTED_VALUE"""),"iPhone 14, Starlight, 128GB, Logic Board Assy Mid System, ROW")</f>
        <v>iPhone 14, Starlight, 128GB, Logic Board Assy Mid System, ROW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>
      <c r="A535" s="3" t="str">
        <f t="shared" si="1"/>
        <v>April</v>
      </c>
      <c r="B535" s="11">
        <f>IFERROR(__xludf.DUMMYFUNCTION("""COMPUTED_VALUE"""),46136.0)</f>
        <v>46136</v>
      </c>
      <c r="C535" s="2" t="str">
        <f>IFERROR(__xludf.DUMMYFUNCTION("""COMPUTED_VALUE"""),"MOBILECARE - NEWPOINT MALL")</f>
        <v>MOBILECARE - NEWPOINT MALL</v>
      </c>
      <c r="D535" s="2" t="str">
        <f>IFERROR(__xludf.DUMMYFUNCTION("""COMPUTED_VALUE"""),"TA661-45238")</f>
        <v>TA661-45238</v>
      </c>
      <c r="E535" s="2" t="str">
        <f>IFERROR(__xludf.DUMMYFUNCTION("""COMPUTED_VALUE"""),"256GB, Pink, ROW, iPhone 16 Plus, Logic Board Assy Mid System")</f>
        <v>256GB, Pink, ROW, iPhone 16 Plus, Logic Board Assy Mid System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>
      <c r="A536" s="3" t="str">
        <f t="shared" si="1"/>
        <v>February</v>
      </c>
      <c r="B536" s="11">
        <f>IFERROR(__xludf.DUMMYFUNCTION("""COMPUTED_VALUE"""),46075.0)</f>
        <v>46075</v>
      </c>
      <c r="C536" s="2" t="str">
        <f>IFERROR(__xludf.DUMMYFUNCTION("""COMPUTED_VALUE"""),"MOBILECARE - NEWPOINT MALL")</f>
        <v>MOBILECARE - NEWPOINT MALL</v>
      </c>
      <c r="D536" s="2" t="str">
        <f>IFERROR(__xludf.DUMMYFUNCTION("""COMPUTED_VALUE"""),"TA661-36692")</f>
        <v>TA661-36692</v>
      </c>
      <c r="E536" s="2" t="str">
        <f>IFERROR(__xludf.DUMMYFUNCTION("""COMPUTED_VALUE"""),"iPhone 15, Pink, 128GB, Logic Board Assy Mid System, ROW")</f>
        <v>iPhone 15, Pink, 128GB, Logic Board Assy Mid System, ROW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>
      <c r="A537" s="3" t="str">
        <f t="shared" si="1"/>
        <v>February</v>
      </c>
      <c r="B537" s="11">
        <f>IFERROR(__xludf.DUMMYFUNCTION("""COMPUTED_VALUE"""),46061.0)</f>
        <v>46061</v>
      </c>
      <c r="C537" s="2" t="str">
        <f>IFERROR(__xludf.DUMMYFUNCTION("""COMPUTED_VALUE"""),"MOBILECARE - NEWPOINT MALL")</f>
        <v>MOBILECARE - NEWPOINT MALL</v>
      </c>
      <c r="D537" s="2" t="str">
        <f>IFERROR(__xludf.DUMMYFUNCTION("""COMPUTED_VALUE"""),"TA661-36692")</f>
        <v>TA661-36692</v>
      </c>
      <c r="E537" s="2" t="str">
        <f>IFERROR(__xludf.DUMMYFUNCTION("""COMPUTED_VALUE"""),"iPhone 15, Pink, 128GB, Logic Board Assy Mid System, ROW")</f>
        <v>iPhone 15, Pink, 128GB, Logic Board Assy Mid System, ROW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>
      <c r="A538" s="3" t="str">
        <f t="shared" si="1"/>
        <v>April</v>
      </c>
      <c r="B538" s="11">
        <f>IFERROR(__xludf.DUMMYFUNCTION("""COMPUTED_VALUE"""),46116.0)</f>
        <v>46116</v>
      </c>
      <c r="C538" s="2" t="str">
        <f>IFERROR(__xludf.DUMMYFUNCTION("""COMPUTED_VALUE"""),"MOBILECARE - NEWPOINT MALL")</f>
        <v>MOBILECARE - NEWPOINT MALL</v>
      </c>
      <c r="D538" s="2" t="str">
        <f>IFERROR(__xludf.DUMMYFUNCTION("""COMPUTED_VALUE"""),"PP661-23454")</f>
        <v>PP661-23454</v>
      </c>
      <c r="E538" s="2" t="str">
        <f>IFERROR(__xludf.DUMMYFUNCTION("""COMPUTED_VALUE"""),"iPhone 13, Midnight, 128GB, Logic Board Assy Rear System, ROW")</f>
        <v>iPhone 13, Midnight, 128GB, Logic Board Assy Rear System, ROW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>
      <c r="A539" s="3" t="str">
        <f t="shared" si="1"/>
        <v>February</v>
      </c>
      <c r="B539" s="11">
        <f>IFERROR(__xludf.DUMMYFUNCTION("""COMPUTED_VALUE"""),46067.0)</f>
        <v>46067</v>
      </c>
      <c r="C539" s="2" t="str">
        <f>IFERROR(__xludf.DUMMYFUNCTION("""COMPUTED_VALUE"""),"MOBILECARE - NEWPOINT MALL")</f>
        <v>MOBILECARE - NEWPOINT MALL</v>
      </c>
      <c r="D539" s="2" t="str">
        <f>IFERROR(__xludf.DUMMYFUNCTION("""COMPUTED_VALUE"""),"PP661-23455")</f>
        <v>PP661-23455</v>
      </c>
      <c r="E539" s="2" t="str">
        <f>IFERROR(__xludf.DUMMYFUNCTION("""COMPUTED_VALUE"""),"iPhone 13, Starlight, 128GB, Logic Board Assy Rear System, ROW")</f>
        <v>iPhone 13, Starlight, 128GB, Logic Board Assy Rear System, ROW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>
      <c r="A540" s="3" t="str">
        <f t="shared" si="1"/>
        <v>February</v>
      </c>
      <c r="B540" s="11">
        <f>IFERROR(__xludf.DUMMYFUNCTION("""COMPUTED_VALUE"""),46061.0)</f>
        <v>46061</v>
      </c>
      <c r="C540" s="2" t="str">
        <f>IFERROR(__xludf.DUMMYFUNCTION("""COMPUTED_VALUE"""),"MOBILECARE - NEWPOINT MALL")</f>
        <v>MOBILECARE - NEWPOINT MALL</v>
      </c>
      <c r="D540" s="2" t="str">
        <f>IFERROR(__xludf.DUMMYFUNCTION("""COMPUTED_VALUE"""),"TA661-45000")</f>
        <v>TA661-45000</v>
      </c>
      <c r="E540" s="2" t="str">
        <f>IFERROR(__xludf.DUMMYFUNCTION("""COMPUTED_VALUE"""),"256GB, White Titanium, ROW, iPhone 16 Pro, Logic Board Assy Mid System")</f>
        <v>256GB, White Titanium, ROW, iPhone 16 Pro, Logic Board Assy Mid System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>
      <c r="A541" s="3" t="str">
        <f t="shared" si="1"/>
        <v>June</v>
      </c>
      <c r="B541" s="11">
        <f>IFERROR(__xludf.DUMMYFUNCTION("""COMPUTED_VALUE"""),46188.0)</f>
        <v>46188</v>
      </c>
      <c r="C541" s="2" t="str">
        <f>IFERROR(__xludf.DUMMYFUNCTION("""COMPUTED_VALUE"""),"MOBILECARE - NEWPOINT MALL")</f>
        <v>MOBILECARE - NEWPOINT MALL</v>
      </c>
      <c r="D541" s="2" t="str">
        <f>IFERROR(__xludf.DUMMYFUNCTION("""COMPUTED_VALUE"""),"PP661-28868")</f>
        <v>PP661-28868</v>
      </c>
      <c r="E541" s="2" t="str">
        <f>IFERROR(__xludf.DUMMYFUNCTION("""COMPUTED_VALUE"""),"iPhone 14, Midnight, 128GB, Logic Board Assy Mid System, ROW")</f>
        <v>iPhone 14, Midnight, 128GB, Logic Board Assy Mid System, ROW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>
      <c r="A542" s="3" t="str">
        <f t="shared" si="1"/>
        <v>April</v>
      </c>
      <c r="B542" s="11">
        <f>IFERROR(__xludf.DUMMYFUNCTION("""COMPUTED_VALUE"""),46139.0)</f>
        <v>46139</v>
      </c>
      <c r="C542" s="2" t="str">
        <f>IFERROR(__xludf.DUMMYFUNCTION("""COMPUTED_VALUE"""),"MOBILECARE - NEWPOINT MALL")</f>
        <v>MOBILECARE - NEWPOINT MALL</v>
      </c>
      <c r="D542" s="2" t="str">
        <f>IFERROR(__xludf.DUMMYFUNCTION("""COMPUTED_VALUE"""),"661-44961")</f>
        <v>661-44961</v>
      </c>
      <c r="E542" s="2" t="str">
        <f>IFERROR(__xludf.DUMMYFUNCTION("""COMPUTED_VALUE"""),"Natural Titanium, Back Glass, iPhone 16 Pro Max")</f>
        <v>Natural Titanium, Back Glass, iPhone 16 Pro Max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>
      <c r="A543" s="3" t="str">
        <f t="shared" si="1"/>
        <v>May</v>
      </c>
      <c r="B543" s="11">
        <f>IFERROR(__xludf.DUMMYFUNCTION("""COMPUTED_VALUE"""),46144.0)</f>
        <v>46144</v>
      </c>
      <c r="C543" s="2" t="str">
        <f>IFERROR(__xludf.DUMMYFUNCTION("""COMPUTED_VALUE"""),"MOBILECARE - NEWPOINT MALL")</f>
        <v>MOBILECARE - NEWPOINT MALL</v>
      </c>
      <c r="D543" s="2" t="str">
        <f>IFERROR(__xludf.DUMMYFUNCTION("""COMPUTED_VALUE"""),"PP661-23454")</f>
        <v>PP661-23454</v>
      </c>
      <c r="E543" s="2" t="str">
        <f>IFERROR(__xludf.DUMMYFUNCTION("""COMPUTED_VALUE"""),"iPhone 13, Midnight, 128GB, Logic Board Assy Rear System, ROW")</f>
        <v>iPhone 13, Midnight, 128GB, Logic Board Assy Rear System, ROW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>
      <c r="A544" s="3" t="str">
        <f t="shared" si="1"/>
        <v>April</v>
      </c>
      <c r="B544" s="11">
        <f>IFERROR(__xludf.DUMMYFUNCTION("""COMPUTED_VALUE"""),46130.0)</f>
        <v>46130</v>
      </c>
      <c r="C544" s="2" t="str">
        <f>IFERROR(__xludf.DUMMYFUNCTION("""COMPUTED_VALUE"""),"MOBILECARE - NEWPOINT MALL")</f>
        <v>MOBILECARE - NEWPOINT MALL</v>
      </c>
      <c r="D544" s="2" t="str">
        <f>IFERROR(__xludf.DUMMYFUNCTION("""COMPUTED_VALUE"""),"PP661-28868")</f>
        <v>PP661-28868</v>
      </c>
      <c r="E544" s="2" t="str">
        <f>IFERROR(__xludf.DUMMYFUNCTION("""COMPUTED_VALUE"""),"iPhone 14, Midnight, 128GB, Logic Board Assy Mid System, ROW")</f>
        <v>iPhone 14, Midnight, 128GB, Logic Board Assy Mid System, ROW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>
      <c r="A545" s="3" t="str">
        <f t="shared" si="1"/>
        <v>April</v>
      </c>
      <c r="B545" s="11">
        <f>IFERROR(__xludf.DUMMYFUNCTION("""COMPUTED_VALUE"""),46120.0)</f>
        <v>46120</v>
      </c>
      <c r="C545" s="2" t="str">
        <f>IFERROR(__xludf.DUMMYFUNCTION("""COMPUTED_VALUE"""),"MOBILECARE - NEWPOINT MALL")</f>
        <v>MOBILECARE - NEWPOINT MALL</v>
      </c>
      <c r="D545" s="2" t="str">
        <f>IFERROR(__xludf.DUMMYFUNCTION("""COMPUTED_VALUE"""),"PP661-23455")</f>
        <v>PP661-23455</v>
      </c>
      <c r="E545" s="2" t="str">
        <f>IFERROR(__xludf.DUMMYFUNCTION("""COMPUTED_VALUE"""),"iPhone 13, Starlight, 128GB, Logic Board Assy Rear System, ROW")</f>
        <v>iPhone 13, Starlight, 128GB, Logic Board Assy Rear System, ROW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>
      <c r="A546" s="3" t="str">
        <f t="shared" si="1"/>
        <v>February</v>
      </c>
      <c r="B546" s="11">
        <f>IFERROR(__xludf.DUMMYFUNCTION("""COMPUTED_VALUE"""),46075.0)</f>
        <v>46075</v>
      </c>
      <c r="C546" s="2" t="str">
        <f>IFERROR(__xludf.DUMMYFUNCTION("""COMPUTED_VALUE"""),"MOBILECARE - NEWPOINT MALL")</f>
        <v>MOBILECARE - NEWPOINT MALL</v>
      </c>
      <c r="D546" s="2" t="str">
        <f>IFERROR(__xludf.DUMMYFUNCTION("""COMPUTED_VALUE"""),"TA661-45236")</f>
        <v>TA661-45236</v>
      </c>
      <c r="E546" s="2" t="str">
        <f>IFERROR(__xludf.DUMMYFUNCTION("""COMPUTED_VALUE"""),"256GB, Black, ROW, iPhone 16 Plus, Logic Board Assy Mid System")</f>
        <v>256GB, Black, ROW, iPhone 16 Plus, Logic Board Assy Mid System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>
      <c r="A547" s="3" t="str">
        <f t="shared" si="1"/>
        <v>February</v>
      </c>
      <c r="B547" s="11">
        <f>IFERROR(__xludf.DUMMYFUNCTION("""COMPUTED_VALUE"""),46060.0)</f>
        <v>46060</v>
      </c>
      <c r="C547" s="2" t="str">
        <f>IFERROR(__xludf.DUMMYFUNCTION("""COMPUTED_VALUE"""),"MOBILECARE - NEWPOINT MALL")</f>
        <v>MOBILECARE - NEWPOINT MALL</v>
      </c>
      <c r="D547" s="2" t="str">
        <f>IFERROR(__xludf.DUMMYFUNCTION("""COMPUTED_VALUE"""),"PP661-23455")</f>
        <v>PP661-23455</v>
      </c>
      <c r="E547" s="2" t="str">
        <f>IFERROR(__xludf.DUMMYFUNCTION("""COMPUTED_VALUE"""),"iPhone 13, Starlight, 128GB, Logic Board Assy Rear System, ROW")</f>
        <v>iPhone 13, Starlight, 128GB, Logic Board Assy Rear System, ROW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>
      <c r="A548" s="3" t="str">
        <f t="shared" si="1"/>
        <v>March</v>
      </c>
      <c r="B548" s="11">
        <f>IFERROR(__xludf.DUMMYFUNCTION("""COMPUTED_VALUE"""),46082.0)</f>
        <v>46082</v>
      </c>
      <c r="C548" s="2" t="str">
        <f>IFERROR(__xludf.DUMMYFUNCTION("""COMPUTED_VALUE"""),"MOBILECARE - NEWPOINT MALL")</f>
        <v>MOBILECARE - NEWPOINT MALL</v>
      </c>
      <c r="D548" s="2" t="str">
        <f>IFERROR(__xludf.DUMMYFUNCTION("""COMPUTED_VALUE"""),"PP661-23455")</f>
        <v>PP661-23455</v>
      </c>
      <c r="E548" s="2" t="str">
        <f>IFERROR(__xludf.DUMMYFUNCTION("""COMPUTED_VALUE"""),"iPhone 13, Starlight, 128GB, Logic Board Assy Rear System, ROW")</f>
        <v>iPhone 13, Starlight, 128GB, Logic Board Assy Rear System, ROW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>
      <c r="A549" s="3" t="str">
        <f t="shared" si="1"/>
        <v>February</v>
      </c>
      <c r="B549" s="11">
        <f>IFERROR(__xludf.DUMMYFUNCTION("""COMPUTED_VALUE"""),46069.0)</f>
        <v>46069</v>
      </c>
      <c r="C549" s="2" t="str">
        <f>IFERROR(__xludf.DUMMYFUNCTION("""COMPUTED_VALUE"""),"MOBILECARE - NEWPOINT MALL")</f>
        <v>MOBILECARE - NEWPOINT MALL</v>
      </c>
      <c r="D549" s="2" t="str">
        <f>IFERROR(__xludf.DUMMYFUNCTION("""COMPUTED_VALUE"""),"661-44960")</f>
        <v>661-44960</v>
      </c>
      <c r="E549" s="2" t="str">
        <f>IFERROR(__xludf.DUMMYFUNCTION("""COMPUTED_VALUE"""),"Desert Titanium, Back Glass, iPhone 16 Pro Max")</f>
        <v>Desert Titanium, Back Glass, iPhone 16 Pro Max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>
      <c r="A550" s="3" t="str">
        <f t="shared" si="1"/>
        <v>April</v>
      </c>
      <c r="B550" s="11">
        <f>IFERROR(__xludf.DUMMYFUNCTION("""COMPUTED_VALUE"""),46121.0)</f>
        <v>46121</v>
      </c>
      <c r="C550" s="2" t="str">
        <f>IFERROR(__xludf.DUMMYFUNCTION("""COMPUTED_VALUE"""),"MOBILECARE - NEWPOINT MALL")</f>
        <v>MOBILECARE - NEWPOINT MALL</v>
      </c>
      <c r="D550" s="2" t="str">
        <f>IFERROR(__xludf.DUMMYFUNCTION("""COMPUTED_VALUE"""),"TA661-36699")</f>
        <v>TA661-36699</v>
      </c>
      <c r="E550" s="2" t="str">
        <f>IFERROR(__xludf.DUMMYFUNCTION("""COMPUTED_VALUE"""),"iPhone 15, Blue, 256GB, Logic Board Assy Mid System, ROW")</f>
        <v>iPhone 15, Blue, 256GB, Logic Board Assy Mid System, ROW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>
      <c r="A551" s="3" t="str">
        <f t="shared" si="1"/>
        <v>March</v>
      </c>
      <c r="B551" s="11">
        <f>IFERROR(__xludf.DUMMYFUNCTION("""COMPUTED_VALUE"""),46086.0)</f>
        <v>46086</v>
      </c>
      <c r="C551" s="2" t="str">
        <f>IFERROR(__xludf.DUMMYFUNCTION("""COMPUTED_VALUE"""),"MOBILECARE - NEWPOINT MALL")</f>
        <v>MOBILECARE - NEWPOINT MALL</v>
      </c>
      <c r="D551" s="2" t="str">
        <f>IFERROR(__xludf.DUMMYFUNCTION("""COMPUTED_VALUE"""),"PP661-23455")</f>
        <v>PP661-23455</v>
      </c>
      <c r="E551" s="2" t="str">
        <f>IFERROR(__xludf.DUMMYFUNCTION("""COMPUTED_VALUE"""),"iPhone 13, Starlight, 128GB, Logic Board Assy Rear System, ROW")</f>
        <v>iPhone 13, Starlight, 128GB, Logic Board Assy Rear System, ROW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>
      <c r="A552" s="3" t="str">
        <f t="shared" si="1"/>
        <v>April</v>
      </c>
      <c r="B552" s="11">
        <f>IFERROR(__xludf.DUMMYFUNCTION("""COMPUTED_VALUE"""),46121.0)</f>
        <v>46121</v>
      </c>
      <c r="C552" s="2" t="str">
        <f>IFERROR(__xludf.DUMMYFUNCTION("""COMPUTED_VALUE"""),"MOBILECARE - NEWPOINT MALL")</f>
        <v>MOBILECARE - NEWPOINT MALL</v>
      </c>
      <c r="D552" s="2" t="str">
        <f>IFERROR(__xludf.DUMMYFUNCTION("""COMPUTED_VALUE"""),"PP661-28869")</f>
        <v>PP661-28869</v>
      </c>
      <c r="E552" s="2" t="str">
        <f>IFERROR(__xludf.DUMMYFUNCTION("""COMPUTED_VALUE"""),"iPhone 14, Starlight, 128GB, Logic Board Assy Mid System, ROW")</f>
        <v>iPhone 14, Starlight, 128GB, Logic Board Assy Mid System, ROW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>
      <c r="A553" s="3" t="str">
        <f t="shared" si="1"/>
        <v>March</v>
      </c>
      <c r="B553" s="11">
        <f>IFERROR(__xludf.DUMMYFUNCTION("""COMPUTED_VALUE"""),46103.0)</f>
        <v>46103</v>
      </c>
      <c r="C553" s="2" t="str">
        <f>IFERROR(__xludf.DUMMYFUNCTION("""COMPUTED_VALUE"""),"MOBILECARE - NEWPOINT MALL")</f>
        <v>MOBILECARE - NEWPOINT MALL</v>
      </c>
      <c r="D553" s="2" t="str">
        <f>IFERROR(__xludf.DUMMYFUNCTION("""COMPUTED_VALUE"""),"661-44961")</f>
        <v>661-44961</v>
      </c>
      <c r="E553" s="2" t="str">
        <f>IFERROR(__xludf.DUMMYFUNCTION("""COMPUTED_VALUE"""),"Natural Titanium, Back Glass, iPhone 16 Pro Max")</f>
        <v>Natural Titanium, Back Glass, iPhone 16 Pro Max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>
      <c r="A554" s="3" t="str">
        <f t="shared" si="1"/>
        <v>March</v>
      </c>
      <c r="B554" s="11">
        <f>IFERROR(__xludf.DUMMYFUNCTION("""COMPUTED_VALUE"""),46108.0)</f>
        <v>46108</v>
      </c>
      <c r="C554" s="2" t="str">
        <f>IFERROR(__xludf.DUMMYFUNCTION("""COMPUTED_VALUE"""),"MOBILECARE - NEWPOINT MALL")</f>
        <v>MOBILECARE - NEWPOINT MALL</v>
      </c>
      <c r="D554" s="2" t="str">
        <f>IFERROR(__xludf.DUMMYFUNCTION("""COMPUTED_VALUE"""),"PP661-23454")</f>
        <v>PP661-23454</v>
      </c>
      <c r="E554" s="2" t="str">
        <f>IFERROR(__xludf.DUMMYFUNCTION("""COMPUTED_VALUE"""),"iPhone 13, Midnight, 128GB, Logic Board Assy Rear System, ROW")</f>
        <v>iPhone 13, Midnight, 128GB, Logic Board Assy Rear System, ROW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>
      <c r="A555" s="3" t="str">
        <f t="shared" si="1"/>
        <v>April</v>
      </c>
      <c r="B555" s="11">
        <f>IFERROR(__xludf.DUMMYFUNCTION("""COMPUTED_VALUE"""),46116.0)</f>
        <v>46116</v>
      </c>
      <c r="C555" s="2" t="str">
        <f>IFERROR(__xludf.DUMMYFUNCTION("""COMPUTED_VALUE"""),"MOBILECARE - NEWPOINT MALL")</f>
        <v>MOBILECARE - NEWPOINT MALL</v>
      </c>
      <c r="D555" s="2" t="str">
        <f>IFERROR(__xludf.DUMMYFUNCTION("""COMPUTED_VALUE"""),"TA661-44999")</f>
        <v>TA661-44999</v>
      </c>
      <c r="E555" s="2" t="str">
        <f>IFERROR(__xludf.DUMMYFUNCTION("""COMPUTED_VALUE"""),"256GB, Black Titanium, ROW, iPhone 16 Pro, Logic Board Assy Mid System")</f>
        <v>256GB, Black Titanium, ROW, iPhone 16 Pro, Logic Board Assy Mid System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>
      <c r="A556" s="3" t="str">
        <f t="shared" si="1"/>
        <v>March</v>
      </c>
      <c r="B556" s="11">
        <f>IFERROR(__xludf.DUMMYFUNCTION("""COMPUTED_VALUE"""),46109.0)</f>
        <v>46109</v>
      </c>
      <c r="C556" s="2" t="str">
        <f>IFERROR(__xludf.DUMMYFUNCTION("""COMPUTED_VALUE"""),"MOBILECARE - NEWPOINT MALL")</f>
        <v>MOBILECARE - NEWPOINT MALL</v>
      </c>
      <c r="D556" s="2" t="str">
        <f>IFERROR(__xludf.DUMMYFUNCTION("""COMPUTED_VALUE"""),"TA661-43609")</f>
        <v>TA661-43609</v>
      </c>
      <c r="E556" s="2" t="str">
        <f>IFERROR(__xludf.DUMMYFUNCTION("""COMPUTED_VALUE"""),"128GB, Teal, ROW, iPhone 16, Logic Board Assy Mid System")</f>
        <v>128GB, Teal, ROW, iPhone 16, Logic Board Assy Mid System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>
      <c r="A557" s="3" t="str">
        <f t="shared" si="1"/>
        <v>February</v>
      </c>
      <c r="B557" s="11">
        <f>IFERROR(__xludf.DUMMYFUNCTION("""COMPUTED_VALUE"""),46079.0)</f>
        <v>46079</v>
      </c>
      <c r="C557" s="2" t="str">
        <f>IFERROR(__xludf.DUMMYFUNCTION("""COMPUTED_VALUE"""),"MOBILECARE - NEWPOINT MALL")</f>
        <v>MOBILECARE - NEWPOINT MALL</v>
      </c>
      <c r="D557" s="2" t="str">
        <f>IFERROR(__xludf.DUMMYFUNCTION("""COMPUTED_VALUE"""),"PP661-23455")</f>
        <v>PP661-23455</v>
      </c>
      <c r="E557" s="2" t="str">
        <f>IFERROR(__xludf.DUMMYFUNCTION("""COMPUTED_VALUE"""),"iPhone 13, Starlight, 128GB, Logic Board Assy Rear System, ROW")</f>
        <v>iPhone 13, Starlight, 128GB, Logic Board Assy Rear System, ROW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>
      <c r="A558" s="3" t="str">
        <f t="shared" si="1"/>
        <v>February</v>
      </c>
      <c r="B558" s="11">
        <f>IFERROR(__xludf.DUMMYFUNCTION("""COMPUTED_VALUE"""),46062.0)</f>
        <v>46062</v>
      </c>
      <c r="C558" s="2" t="str">
        <f>IFERROR(__xludf.DUMMYFUNCTION("""COMPUTED_VALUE"""),"MOBILECARE - NEWPOINT MALL")</f>
        <v>MOBILECARE - NEWPOINT MALL</v>
      </c>
      <c r="D558" s="2" t="str">
        <f>IFERROR(__xludf.DUMMYFUNCTION("""COMPUTED_VALUE"""),"PP661-23454")</f>
        <v>PP661-23454</v>
      </c>
      <c r="E558" s="2" t="str">
        <f>IFERROR(__xludf.DUMMYFUNCTION("""COMPUTED_VALUE"""),"iPhone 13, Midnight, 128GB, Logic Board Assy Rear System, ROW")</f>
        <v>iPhone 13, Midnight, 128GB, Logic Board Assy Rear System, ROW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>
      <c r="A559" s="3" t="str">
        <f t="shared" si="1"/>
        <v>February</v>
      </c>
      <c r="B559" s="11">
        <f>IFERROR(__xludf.DUMMYFUNCTION("""COMPUTED_VALUE"""),46058.0)</f>
        <v>46058</v>
      </c>
      <c r="C559" s="2" t="str">
        <f>IFERROR(__xludf.DUMMYFUNCTION("""COMPUTED_VALUE"""),"MOBILECARE - NEWPOINT MALL")</f>
        <v>MOBILECARE - NEWPOINT MALL</v>
      </c>
      <c r="D559" s="2" t="str">
        <f>IFERROR(__xludf.DUMMYFUNCTION("""COMPUTED_VALUE"""),"PP661-28869")</f>
        <v>PP661-28869</v>
      </c>
      <c r="E559" s="2" t="str">
        <f>IFERROR(__xludf.DUMMYFUNCTION("""COMPUTED_VALUE"""),"iPhone 14, Starlight, 128GB, Logic Board Assy Mid System, ROW")</f>
        <v>iPhone 14, Starlight, 128GB, Logic Board Assy Mid System, ROW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>
      <c r="A560" s="3" t="str">
        <f t="shared" si="1"/>
        <v>April</v>
      </c>
      <c r="B560" s="11">
        <f>IFERROR(__xludf.DUMMYFUNCTION("""COMPUTED_VALUE"""),46126.0)</f>
        <v>46126</v>
      </c>
      <c r="C560" s="2" t="str">
        <f>IFERROR(__xludf.DUMMYFUNCTION("""COMPUTED_VALUE"""),"MOBILECARE - NEWPOINT MALL")</f>
        <v>MOBILECARE - NEWPOINT MALL</v>
      </c>
      <c r="D560" s="2" t="str">
        <f>IFERROR(__xludf.DUMMYFUNCTION("""COMPUTED_VALUE"""),"PP661-28869")</f>
        <v>PP661-28869</v>
      </c>
      <c r="E560" s="2" t="str">
        <f>IFERROR(__xludf.DUMMYFUNCTION("""COMPUTED_VALUE"""),"iPhone 14, Starlight, 128GB, Logic Board Assy Mid System, ROW")</f>
        <v>iPhone 14, Starlight, 128GB, Logic Board Assy Mid System, ROW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>
      <c r="A561" s="3" t="str">
        <f t="shared" si="1"/>
        <v>March</v>
      </c>
      <c r="B561" s="11">
        <f>IFERROR(__xludf.DUMMYFUNCTION("""COMPUTED_VALUE"""),46087.0)</f>
        <v>46087</v>
      </c>
      <c r="C561" s="2" t="str">
        <f>IFERROR(__xludf.DUMMYFUNCTION("""COMPUTED_VALUE"""),"MOBILECARE - NEWPOINT MALL")</f>
        <v>MOBILECARE - NEWPOINT MALL</v>
      </c>
      <c r="D561" s="2" t="str">
        <f>IFERROR(__xludf.DUMMYFUNCTION("""COMPUTED_VALUE"""),"TA661-43606")</f>
        <v>TA661-43606</v>
      </c>
      <c r="E561" s="2" t="str">
        <f>IFERROR(__xludf.DUMMYFUNCTION("""COMPUTED_VALUE"""),"128GB, White, ROW, iPhone 16, Logic Board Assy Mid System")</f>
        <v>128GB, White, ROW, iPhone 16, Logic Board Assy Mid System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>
      <c r="A562" s="3" t="str">
        <f t="shared" si="1"/>
        <v>February</v>
      </c>
      <c r="B562" s="11">
        <f>IFERROR(__xludf.DUMMYFUNCTION("""COMPUTED_VALUE"""),46076.0)</f>
        <v>46076</v>
      </c>
      <c r="C562" s="2" t="str">
        <f>IFERROR(__xludf.DUMMYFUNCTION("""COMPUTED_VALUE"""),"MOBILECARE - NEWPOINT MALL")</f>
        <v>MOBILECARE - NEWPOINT MALL</v>
      </c>
      <c r="D562" s="2" t="str">
        <f>IFERROR(__xludf.DUMMYFUNCTION("""COMPUTED_VALUE"""),"PP661-23455")</f>
        <v>PP661-23455</v>
      </c>
      <c r="E562" s="2" t="str">
        <f>IFERROR(__xludf.DUMMYFUNCTION("""COMPUTED_VALUE"""),"iPhone 13, Starlight, 128GB, Logic Board Assy Rear System, ROW")</f>
        <v>iPhone 13, Starlight, 128GB, Logic Board Assy Rear System, ROW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>
      <c r="A563" s="3" t="str">
        <f t="shared" si="1"/>
        <v>February</v>
      </c>
      <c r="B563" s="11">
        <f>IFERROR(__xludf.DUMMYFUNCTION("""COMPUTED_VALUE"""),46067.0)</f>
        <v>46067</v>
      </c>
      <c r="C563" s="2" t="str">
        <f>IFERROR(__xludf.DUMMYFUNCTION("""COMPUTED_VALUE"""),"MOBILECARE - NEWPOINT MALL")</f>
        <v>MOBILECARE - NEWPOINT MALL</v>
      </c>
      <c r="D563" s="2" t="str">
        <f>IFERROR(__xludf.DUMMYFUNCTION("""COMPUTED_VALUE"""),"PP661-23454")</f>
        <v>PP661-23454</v>
      </c>
      <c r="E563" s="2" t="str">
        <f>IFERROR(__xludf.DUMMYFUNCTION("""COMPUTED_VALUE"""),"iPhone 13, Midnight, 128GB, Logic Board Assy Rear System, ROW")</f>
        <v>iPhone 13, Midnight, 128GB, Logic Board Assy Rear System, ROW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>
      <c r="A564" s="3" t="str">
        <f t="shared" si="1"/>
        <v>February</v>
      </c>
      <c r="B564" s="11">
        <f>IFERROR(__xludf.DUMMYFUNCTION("""COMPUTED_VALUE"""),46064.0)</f>
        <v>46064</v>
      </c>
      <c r="C564" s="2" t="str">
        <f>IFERROR(__xludf.DUMMYFUNCTION("""COMPUTED_VALUE"""),"MOBILECARE - NEWPOINT MALL")</f>
        <v>MOBILECARE - NEWPOINT MALL</v>
      </c>
      <c r="D564" s="2" t="str">
        <f>IFERROR(__xludf.DUMMYFUNCTION("""COMPUTED_VALUE"""),"PP661-28868")</f>
        <v>PP661-28868</v>
      </c>
      <c r="E564" s="2" t="str">
        <f>IFERROR(__xludf.DUMMYFUNCTION("""COMPUTED_VALUE"""),"iPhone 14, Midnight, 128GB, Logic Board Assy Mid System, ROW")</f>
        <v>iPhone 14, Midnight, 128GB, Logic Board Assy Mid System, ROW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>
      <c r="A565" s="3" t="str">
        <f t="shared" si="1"/>
        <v>March</v>
      </c>
      <c r="B565" s="11">
        <f>IFERROR(__xludf.DUMMYFUNCTION("""COMPUTED_VALUE"""),46098.0)</f>
        <v>46098</v>
      </c>
      <c r="C565" s="2" t="str">
        <f>IFERROR(__xludf.DUMMYFUNCTION("""COMPUTED_VALUE"""),"MOBILECARE - NEWPOINT MALL")</f>
        <v>MOBILECARE - NEWPOINT MALL</v>
      </c>
      <c r="D565" s="2" t="str">
        <f>IFERROR(__xludf.DUMMYFUNCTION("""COMPUTED_VALUE"""),"PP661-23455")</f>
        <v>PP661-23455</v>
      </c>
      <c r="E565" s="2" t="str">
        <f>IFERROR(__xludf.DUMMYFUNCTION("""COMPUTED_VALUE"""),"iPhone 13, Starlight, 128GB, Logic Board Assy Rear System, ROW")</f>
        <v>iPhone 13, Starlight, 128GB, Logic Board Assy Rear System, ROW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>
      <c r="A566" s="3" t="str">
        <f t="shared" si="1"/>
        <v>March</v>
      </c>
      <c r="B566" s="11">
        <f>IFERROR(__xludf.DUMMYFUNCTION("""COMPUTED_VALUE"""),46092.0)</f>
        <v>46092</v>
      </c>
      <c r="C566" s="2" t="str">
        <f>IFERROR(__xludf.DUMMYFUNCTION("""COMPUTED_VALUE"""),"MOBILECARE - NEWPOINT MALL")</f>
        <v>MOBILECARE - NEWPOINT MALL</v>
      </c>
      <c r="D566" s="2" t="str">
        <f>IFERROR(__xludf.DUMMYFUNCTION("""COMPUTED_VALUE"""),"PP661-23455")</f>
        <v>PP661-23455</v>
      </c>
      <c r="E566" s="2" t="str">
        <f>IFERROR(__xludf.DUMMYFUNCTION("""COMPUTED_VALUE"""),"iPhone 13, Starlight, 128GB, Logic Board Assy Rear System, ROW")</f>
        <v>iPhone 13, Starlight, 128GB, Logic Board Assy Rear System, ROW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>
      <c r="A567" s="3" t="str">
        <f t="shared" si="1"/>
        <v>March</v>
      </c>
      <c r="B567" s="11">
        <f>IFERROR(__xludf.DUMMYFUNCTION("""COMPUTED_VALUE"""),46090.0)</f>
        <v>46090</v>
      </c>
      <c r="C567" s="2" t="str">
        <f>IFERROR(__xludf.DUMMYFUNCTION("""COMPUTED_VALUE"""),"MOBILECARE - NEWPOINT MALL")</f>
        <v>MOBILECARE - NEWPOINT MALL</v>
      </c>
      <c r="D567" s="2" t="str">
        <f>IFERROR(__xludf.DUMMYFUNCTION("""COMPUTED_VALUE"""),"PP661-23454")</f>
        <v>PP661-23454</v>
      </c>
      <c r="E567" s="2" t="str">
        <f>IFERROR(__xludf.DUMMYFUNCTION("""COMPUTED_VALUE"""),"iPhone 13, Midnight, 128GB, Logic Board Assy Rear System, ROW")</f>
        <v>iPhone 13, Midnight, 128GB, Logic Board Assy Rear System, ROW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>
      <c r="A568" s="3" t="str">
        <f t="shared" si="1"/>
        <v>February</v>
      </c>
      <c r="B568" s="11">
        <f>IFERROR(__xludf.DUMMYFUNCTION("""COMPUTED_VALUE"""),46069.0)</f>
        <v>46069</v>
      </c>
      <c r="C568" s="2" t="str">
        <f>IFERROR(__xludf.DUMMYFUNCTION("""COMPUTED_VALUE"""),"MOBILECARE - NEWPOINT MALL")</f>
        <v>MOBILECARE - NEWPOINT MALL</v>
      </c>
      <c r="D568" s="2" t="str">
        <f>IFERROR(__xludf.DUMMYFUNCTION("""COMPUTED_VALUE"""),"PP661-23455")</f>
        <v>PP661-23455</v>
      </c>
      <c r="E568" s="2" t="str">
        <f>IFERROR(__xludf.DUMMYFUNCTION("""COMPUTED_VALUE"""),"iPhone 13, Starlight, 128GB, Logic Board Assy Rear System, ROW")</f>
        <v>iPhone 13, Starlight, 128GB, Logic Board Assy Rear System, ROW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>
      <c r="A569" s="3" t="str">
        <f t="shared" si="1"/>
        <v>April</v>
      </c>
      <c r="B569" s="11">
        <f>IFERROR(__xludf.DUMMYFUNCTION("""COMPUTED_VALUE"""),46117.0)</f>
        <v>46117</v>
      </c>
      <c r="C569" s="2" t="str">
        <f>IFERROR(__xludf.DUMMYFUNCTION("""COMPUTED_VALUE"""),"MOBILECARE - NEWPOINT MALL")</f>
        <v>MOBILECARE - NEWPOINT MALL</v>
      </c>
      <c r="D569" s="2" t="str">
        <f>IFERROR(__xludf.DUMMYFUNCTION("""COMPUTED_VALUE"""),"PP661-23454")</f>
        <v>PP661-23454</v>
      </c>
      <c r="E569" s="2" t="str">
        <f>IFERROR(__xludf.DUMMYFUNCTION("""COMPUTED_VALUE"""),"iPhone 13, Midnight, 128GB, Logic Board Assy Rear System, ROW")</f>
        <v>iPhone 13, Midnight, 128GB, Logic Board Assy Rear System, ROW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>
      <c r="A570" s="3" t="str">
        <f t="shared" si="1"/>
        <v>April</v>
      </c>
      <c r="B570" s="11">
        <f>IFERROR(__xludf.DUMMYFUNCTION("""COMPUTED_VALUE"""),46116.0)</f>
        <v>46116</v>
      </c>
      <c r="C570" s="2" t="str">
        <f>IFERROR(__xludf.DUMMYFUNCTION("""COMPUTED_VALUE"""),"MOBILECARE - NEWPOINT MALL")</f>
        <v>MOBILECARE - NEWPOINT MALL</v>
      </c>
      <c r="D570" s="2" t="str">
        <f>IFERROR(__xludf.DUMMYFUNCTION("""COMPUTED_VALUE"""),"PP661-23455")</f>
        <v>PP661-23455</v>
      </c>
      <c r="E570" s="2" t="str">
        <f>IFERROR(__xludf.DUMMYFUNCTION("""COMPUTED_VALUE"""),"iPhone 13, Starlight, 128GB, Logic Board Assy Rear System, ROW")</f>
        <v>iPhone 13, Starlight, 128GB, Logic Board Assy Rear System, ROW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>
      <c r="A571" s="3" t="str">
        <f t="shared" si="1"/>
        <v>February</v>
      </c>
      <c r="B571" s="11">
        <f>IFERROR(__xludf.DUMMYFUNCTION("""COMPUTED_VALUE"""),46070.0)</f>
        <v>46070</v>
      </c>
      <c r="C571" s="2" t="str">
        <f>IFERROR(__xludf.DUMMYFUNCTION("""COMPUTED_VALUE"""),"MOBILECARE - NEWPOINT MALL")</f>
        <v>MOBILECARE - NEWPOINT MALL</v>
      </c>
      <c r="D571" s="2" t="str">
        <f>IFERROR(__xludf.DUMMYFUNCTION("""COMPUTED_VALUE"""),"PP661-23460")</f>
        <v>PP661-23460</v>
      </c>
      <c r="E571" s="2" t="str">
        <f>IFERROR(__xludf.DUMMYFUNCTION("""COMPUTED_VALUE"""),"iPhone 13, Starlight, 256GB, Logic Board Assy Rear System, ROW")</f>
        <v>iPhone 13, Starlight, 256GB, Logic Board Assy Rear System, ROW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>
      <c r="A572" s="3" t="str">
        <f t="shared" si="1"/>
        <v>February</v>
      </c>
      <c r="B572" s="11">
        <f>IFERROR(__xludf.DUMMYFUNCTION("""COMPUTED_VALUE"""),46064.0)</f>
        <v>46064</v>
      </c>
      <c r="C572" s="2" t="str">
        <f>IFERROR(__xludf.DUMMYFUNCTION("""COMPUTED_VALUE"""),"MOBILECARE - NEWPOINT MALL")</f>
        <v>MOBILECARE - NEWPOINT MALL</v>
      </c>
      <c r="D572" s="2" t="str">
        <f>IFERROR(__xludf.DUMMYFUNCTION("""COMPUTED_VALUE"""),"TA661-36696")</f>
        <v>TA661-36696</v>
      </c>
      <c r="E572" s="2" t="str">
        <f>IFERROR(__xludf.DUMMYFUNCTION("""COMPUTED_VALUE"""),"iPhone 15, Black, 256GB, Logic Board Assy Mid System, ROW")</f>
        <v>iPhone 15, Black, 256GB, Logic Board Assy Mid System, ROW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>
      <c r="A573" s="3" t="str">
        <f t="shared" si="1"/>
        <v>February</v>
      </c>
      <c r="B573" s="11">
        <f>IFERROR(__xludf.DUMMYFUNCTION("""COMPUTED_VALUE"""),46075.0)</f>
        <v>46075</v>
      </c>
      <c r="C573" s="2" t="str">
        <f>IFERROR(__xludf.DUMMYFUNCTION("""COMPUTED_VALUE"""),"MOBILECARE - NEWPOINT MALL")</f>
        <v>MOBILECARE - NEWPOINT MALL</v>
      </c>
      <c r="D573" s="2" t="str">
        <f>IFERROR(__xludf.DUMMYFUNCTION("""COMPUTED_VALUE"""),"TA661-36696")</f>
        <v>TA661-36696</v>
      </c>
      <c r="E573" s="2" t="str">
        <f>IFERROR(__xludf.DUMMYFUNCTION("""COMPUTED_VALUE"""),"iPhone 15, Black, 256GB, Logic Board Assy Mid System, ROW")</f>
        <v>iPhone 15, Black, 256GB, Logic Board Assy Mid System, ROW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>
      <c r="A574" s="3" t="str">
        <f t="shared" si="1"/>
        <v>March</v>
      </c>
      <c r="B574" s="11">
        <f>IFERROR(__xludf.DUMMYFUNCTION("""COMPUTED_VALUE"""),46084.0)</f>
        <v>46084</v>
      </c>
      <c r="C574" s="2" t="str">
        <f>IFERROR(__xludf.DUMMYFUNCTION("""COMPUTED_VALUE"""),"MOBILECARE - NEWPOINT MALL")</f>
        <v>MOBILECARE - NEWPOINT MALL</v>
      </c>
      <c r="D574" s="2" t="str">
        <f>IFERROR(__xludf.DUMMYFUNCTION("""COMPUTED_VALUE"""),"TA661-43607")</f>
        <v>TA661-43607</v>
      </c>
      <c r="E574" s="2" t="str">
        <f>IFERROR(__xludf.DUMMYFUNCTION("""COMPUTED_VALUE"""),"128GB, Pink, ROW, iPhone 16, Logic Board Assy Mid System")</f>
        <v>128GB, Pink, ROW, iPhone 16, Logic Board Assy Mid System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>
      <c r="A575" s="3" t="str">
        <f t="shared" si="1"/>
        <v>June</v>
      </c>
      <c r="B575" s="11">
        <f>IFERROR(__xludf.DUMMYFUNCTION("""COMPUTED_VALUE"""),46188.0)</f>
        <v>46188</v>
      </c>
      <c r="C575" s="2" t="str">
        <f>IFERROR(__xludf.DUMMYFUNCTION("""COMPUTED_VALUE"""),"MOBILECARE - NEWPOINT MALL")</f>
        <v>MOBILECARE - NEWPOINT MALL</v>
      </c>
      <c r="D575" s="2" t="str">
        <f>IFERROR(__xludf.DUMMYFUNCTION("""COMPUTED_VALUE"""),"TA661-45234")</f>
        <v>TA661-45234</v>
      </c>
      <c r="E575" s="2" t="str">
        <f>IFERROR(__xludf.DUMMYFUNCTION("""COMPUTED_VALUE"""),"128GB, Ultramarine, ROW, iPhone 16 Plus, Logic Board Assy Mid System")</f>
        <v>128GB, Ultramarine, ROW, iPhone 16 Plus, Logic Board Assy Mid System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>
      <c r="A576" s="3" t="str">
        <f t="shared" si="1"/>
        <v>March</v>
      </c>
      <c r="B576" s="11">
        <f>IFERROR(__xludf.DUMMYFUNCTION("""COMPUTED_VALUE"""),46109.0)</f>
        <v>46109</v>
      </c>
      <c r="C576" s="2" t="str">
        <f>IFERROR(__xludf.DUMMYFUNCTION("""COMPUTED_VALUE"""),"MOBILECARE - NEWPOINT MALL")</f>
        <v>MOBILECARE - NEWPOINT MALL</v>
      </c>
      <c r="D576" s="2" t="str">
        <f>IFERROR(__xludf.DUMMYFUNCTION("""COMPUTED_VALUE"""),"PP661-23455")</f>
        <v>PP661-23455</v>
      </c>
      <c r="E576" s="2" t="str">
        <f>IFERROR(__xludf.DUMMYFUNCTION("""COMPUTED_VALUE"""),"iPhone 13, Starlight, 128GB, Logic Board Assy Rear System, ROW")</f>
        <v>iPhone 13, Starlight, 128GB, Logic Board Assy Rear System, ROW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>
      <c r="A577" s="3" t="str">
        <f t="shared" si="1"/>
        <v>February</v>
      </c>
      <c r="B577" s="11">
        <f>IFERROR(__xludf.DUMMYFUNCTION("""COMPUTED_VALUE"""),46074.0)</f>
        <v>46074</v>
      </c>
      <c r="C577" s="2" t="str">
        <f>IFERROR(__xludf.DUMMYFUNCTION("""COMPUTED_VALUE"""),"MOBILECARE - NEWPOINT MALL")</f>
        <v>MOBILECARE - NEWPOINT MALL</v>
      </c>
      <c r="D577" s="2" t="str">
        <f>IFERROR(__xludf.DUMMYFUNCTION("""COMPUTED_VALUE"""),"TA661-43611")</f>
        <v>TA661-43611</v>
      </c>
      <c r="E577" s="2" t="str">
        <f>IFERROR(__xludf.DUMMYFUNCTION("""COMPUTED_VALUE"""),"256GB, White, ROW, iPhone 16, Logic Board Assy Mid System")</f>
        <v>256GB, White, ROW, iPhone 16, Logic Board Assy Mid System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>
      <c r="A578" s="3" t="str">
        <f t="shared" si="1"/>
        <v>February</v>
      </c>
      <c r="B578" s="11">
        <f>IFERROR(__xludf.DUMMYFUNCTION("""COMPUTED_VALUE"""),46075.0)</f>
        <v>46075</v>
      </c>
      <c r="C578" s="2" t="str">
        <f>IFERROR(__xludf.DUMMYFUNCTION("""COMPUTED_VALUE"""),"MOBILECARE - NEWPOINT MALL")</f>
        <v>MOBILECARE - NEWPOINT MALL</v>
      </c>
      <c r="D578" s="2" t="str">
        <f>IFERROR(__xludf.DUMMYFUNCTION("""COMPUTED_VALUE"""),"TA661-49965")</f>
        <v>TA661-49965</v>
      </c>
      <c r="E578" s="2" t="str">
        <f>IFERROR(__xludf.DUMMYFUNCTION("""COMPUTED_VALUE"""),"White, 128GB, Logic Board Assy Mid System, iPhone 16e, ROW")</f>
        <v>White, 128GB, Logic Board Assy Mid System, iPhone 16e, ROW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>
      <c r="A579" s="3" t="str">
        <f t="shared" si="1"/>
        <v>February</v>
      </c>
      <c r="B579" s="11">
        <f>IFERROR(__xludf.DUMMYFUNCTION("""COMPUTED_VALUE"""),46077.0)</f>
        <v>46077</v>
      </c>
      <c r="C579" s="2" t="str">
        <f>IFERROR(__xludf.DUMMYFUNCTION("""COMPUTED_VALUE"""),"MOBILECARE - NEWPOINT MALL")</f>
        <v>MOBILECARE - NEWPOINT MALL</v>
      </c>
      <c r="D579" s="2" t="str">
        <f>IFERROR(__xludf.DUMMYFUNCTION("""COMPUTED_VALUE"""),"PP661-23454")</f>
        <v>PP661-23454</v>
      </c>
      <c r="E579" s="2" t="str">
        <f>IFERROR(__xludf.DUMMYFUNCTION("""COMPUTED_VALUE"""),"iPhone 13, Midnight, 128GB, Logic Board Assy Rear System, ROW")</f>
        <v>iPhone 13, Midnight, 128GB, Logic Board Assy Rear System, ROW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>
      <c r="A580" s="3" t="str">
        <f t="shared" si="1"/>
        <v>February</v>
      </c>
      <c r="B580" s="11">
        <f>IFERROR(__xludf.DUMMYFUNCTION("""COMPUTED_VALUE"""),46067.0)</f>
        <v>46067</v>
      </c>
      <c r="C580" s="2" t="str">
        <f>IFERROR(__xludf.DUMMYFUNCTION("""COMPUTED_VALUE"""),"MOBILECARE - NEWPOINT MALL")</f>
        <v>MOBILECARE - NEWPOINT MALL</v>
      </c>
      <c r="D580" s="2" t="str">
        <f>IFERROR(__xludf.DUMMYFUNCTION("""COMPUTED_VALUE"""),"PP661-23454")</f>
        <v>PP661-23454</v>
      </c>
      <c r="E580" s="2" t="str">
        <f>IFERROR(__xludf.DUMMYFUNCTION("""COMPUTED_VALUE"""),"iPhone 13, Midnight, 128GB, Logic Board Assy Rear System, ROW")</f>
        <v>iPhone 13, Midnight, 128GB, Logic Board Assy Rear System, ROW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>
      <c r="A581" s="3" t="str">
        <f t="shared" si="1"/>
        <v>June</v>
      </c>
      <c r="B581" s="11">
        <f>IFERROR(__xludf.DUMMYFUNCTION("""COMPUTED_VALUE"""),46187.0)</f>
        <v>46187</v>
      </c>
      <c r="C581" s="2" t="str">
        <f>IFERROR(__xludf.DUMMYFUNCTION("""COMPUTED_VALUE"""),"MOBILECARE - NEWPOINT MALL")</f>
        <v>MOBILECARE - NEWPOINT MALL</v>
      </c>
      <c r="D581" s="2" t="str">
        <f>IFERROR(__xludf.DUMMYFUNCTION("""COMPUTED_VALUE"""),"PP661-23454")</f>
        <v>PP661-23454</v>
      </c>
      <c r="E581" s="2" t="str">
        <f>IFERROR(__xludf.DUMMYFUNCTION("""COMPUTED_VALUE"""),"iPhone 13, Midnight, 128GB, Logic Board Assy Rear System, ROW")</f>
        <v>iPhone 13, Midnight, 128GB, Logic Board Assy Rear System, ROW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>
      <c r="A582" s="3" t="str">
        <f t="shared" si="1"/>
        <v>June</v>
      </c>
      <c r="B582" s="11">
        <f>IFERROR(__xludf.DUMMYFUNCTION("""COMPUTED_VALUE"""),46186.0)</f>
        <v>46186</v>
      </c>
      <c r="C582" s="2" t="str">
        <f>IFERROR(__xludf.DUMMYFUNCTION("""COMPUTED_VALUE"""),"MOBILECARE - NEWPOINT MALL")</f>
        <v>MOBILECARE - NEWPOINT MALL</v>
      </c>
      <c r="D582" s="2" t="str">
        <f>IFERROR(__xludf.DUMMYFUNCTION("""COMPUTED_VALUE"""),"PP661-28868")</f>
        <v>PP661-28868</v>
      </c>
      <c r="E582" s="2" t="str">
        <f>IFERROR(__xludf.DUMMYFUNCTION("""COMPUTED_VALUE"""),"iPhone 14, Midnight, 128GB, Logic Board Assy Mid System, ROW")</f>
        <v>iPhone 14, Midnight, 128GB, Logic Board Assy Mid System, ROW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>
      <c r="A583" s="3" t="str">
        <f t="shared" si="1"/>
        <v>March</v>
      </c>
      <c r="B583" s="11">
        <f>IFERROR(__xludf.DUMMYFUNCTION("""COMPUTED_VALUE"""),46092.0)</f>
        <v>46092</v>
      </c>
      <c r="C583" s="2" t="str">
        <f>IFERROR(__xludf.DUMMYFUNCTION("""COMPUTED_VALUE"""),"MOBILECARE - NEWPOINT MALL")</f>
        <v>MOBILECARE - NEWPOINT MALL</v>
      </c>
      <c r="D583" s="2" t="str">
        <f>IFERROR(__xludf.DUMMYFUNCTION("""COMPUTED_VALUE"""),"PP661-23454")</f>
        <v>PP661-23454</v>
      </c>
      <c r="E583" s="2" t="str">
        <f>IFERROR(__xludf.DUMMYFUNCTION("""COMPUTED_VALUE"""),"iPhone 13, Midnight, 128GB, Logic Board Assy Rear System, ROW")</f>
        <v>iPhone 13, Midnight, 128GB, Logic Board Assy Rear System, ROW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>
      <c r="A584" s="3" t="str">
        <f t="shared" si="1"/>
        <v>February</v>
      </c>
      <c r="B584" s="11">
        <f>IFERROR(__xludf.DUMMYFUNCTION("""COMPUTED_VALUE"""),46074.0)</f>
        <v>46074</v>
      </c>
      <c r="C584" s="2" t="str">
        <f>IFERROR(__xludf.DUMMYFUNCTION("""COMPUTED_VALUE"""),"MOBILECARE - NEWPOINT MALL")</f>
        <v>MOBILECARE - NEWPOINT MALL</v>
      </c>
      <c r="D584" s="2" t="str">
        <f>IFERROR(__xludf.DUMMYFUNCTION("""COMPUTED_VALUE"""),"TA661-45232")</f>
        <v>TA661-45232</v>
      </c>
      <c r="E584" s="2" t="str">
        <f>IFERROR(__xludf.DUMMYFUNCTION("""COMPUTED_VALUE"""),"128GB, White, ROW, iPhone 16 Plus, Logic Board Assy Mid System")</f>
        <v>128GB, White, ROW, iPhone 16 Plus, Logic Board Assy Mid System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>
      <c r="A585" s="3" t="str">
        <f t="shared" si="1"/>
        <v>May</v>
      </c>
      <c r="B585" s="11">
        <f>IFERROR(__xludf.DUMMYFUNCTION("""COMPUTED_VALUE"""),46145.0)</f>
        <v>46145</v>
      </c>
      <c r="C585" s="2" t="str">
        <f>IFERROR(__xludf.DUMMYFUNCTION("""COMPUTED_VALUE"""),"MOBILECARE - NEWPOINT MALL")</f>
        <v>MOBILECARE - NEWPOINT MALL</v>
      </c>
      <c r="D585" s="2" t="str">
        <f>IFERROR(__xludf.DUMMYFUNCTION("""COMPUTED_VALUE"""),"PP661-23455")</f>
        <v>PP661-23455</v>
      </c>
      <c r="E585" s="2" t="str">
        <f>IFERROR(__xludf.DUMMYFUNCTION("""COMPUTED_VALUE"""),"iPhone 13, Starlight, 128GB, Logic Board Assy Rear System, ROW")</f>
        <v>iPhone 13, Starlight, 128GB, Logic Board Assy Rear System, ROW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>
      <c r="A586" s="3" t="str">
        <f t="shared" si="1"/>
        <v>June</v>
      </c>
      <c r="B586" s="11">
        <f>IFERROR(__xludf.DUMMYFUNCTION("""COMPUTED_VALUE"""),46182.0)</f>
        <v>46182</v>
      </c>
      <c r="C586" s="2" t="str">
        <f>IFERROR(__xludf.DUMMYFUNCTION("""COMPUTED_VALUE"""),"MOBILECARE - NEWPOINT MALL")</f>
        <v>MOBILECARE - NEWPOINT MALL</v>
      </c>
      <c r="D586" s="2" t="str">
        <f>IFERROR(__xludf.DUMMYFUNCTION("""COMPUTED_VALUE"""),"TA661-45238")</f>
        <v>TA661-45238</v>
      </c>
      <c r="E586" s="2" t="str">
        <f>IFERROR(__xludf.DUMMYFUNCTION("""COMPUTED_VALUE"""),"256GB, Pink, ROW, iPhone 16 Plus, Logic Board Assy Mid System")</f>
        <v>256GB, Pink, ROW, iPhone 16 Plus, Logic Board Assy Mid System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>
      <c r="A587" s="3" t="str">
        <f t="shared" si="1"/>
        <v>June</v>
      </c>
      <c r="B587" s="11">
        <f>IFERROR(__xludf.DUMMYFUNCTION("""COMPUTED_VALUE"""),46180.0)</f>
        <v>46180</v>
      </c>
      <c r="C587" s="2" t="str">
        <f>IFERROR(__xludf.DUMMYFUNCTION("""COMPUTED_VALUE"""),"MOBILECARE - NEWPOINT MALL")</f>
        <v>MOBILECARE - NEWPOINT MALL</v>
      </c>
      <c r="D587" s="2" t="str">
        <f>IFERROR(__xludf.DUMMYFUNCTION("""COMPUTED_VALUE"""),"TA661-43609")</f>
        <v>TA661-43609</v>
      </c>
      <c r="E587" s="2" t="str">
        <f>IFERROR(__xludf.DUMMYFUNCTION("""COMPUTED_VALUE"""),"128GB, Teal, ROW, iPhone 16, Logic Board Assy Mid System")</f>
        <v>128GB, Teal, ROW, iPhone 16, Logic Board Assy Mid System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>
      <c r="A588" s="3" t="str">
        <f t="shared" si="1"/>
        <v>February</v>
      </c>
      <c r="B588" s="11">
        <f>IFERROR(__xludf.DUMMYFUNCTION("""COMPUTED_VALUE"""),46061.0)</f>
        <v>46061</v>
      </c>
      <c r="C588" s="2" t="str">
        <f>IFERROR(__xludf.DUMMYFUNCTION("""COMPUTED_VALUE"""),"MOBILECARE - NEWPOINT MALL")</f>
        <v>MOBILECARE - NEWPOINT MALL</v>
      </c>
      <c r="D588" s="2" t="str">
        <f>IFERROR(__xludf.DUMMYFUNCTION("""COMPUTED_VALUE"""),"PP661-23455")</f>
        <v>PP661-23455</v>
      </c>
      <c r="E588" s="2" t="str">
        <f>IFERROR(__xludf.DUMMYFUNCTION("""COMPUTED_VALUE"""),"iPhone 13, Starlight, 128GB, Logic Board Assy Rear System, ROW")</f>
        <v>iPhone 13, Starlight, 128GB, Logic Board Assy Rear System, ROW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>
      <c r="A589" s="3" t="str">
        <f t="shared" si="1"/>
        <v>June</v>
      </c>
      <c r="B589" s="11">
        <f>IFERROR(__xludf.DUMMYFUNCTION("""COMPUTED_VALUE"""),46192.0)</f>
        <v>46192</v>
      </c>
      <c r="C589" s="2" t="str">
        <f>IFERROR(__xludf.DUMMYFUNCTION("""COMPUTED_VALUE"""),"MOBILECARE - NEWPOINT MALL")</f>
        <v>MOBILECARE - NEWPOINT MALL</v>
      </c>
      <c r="D589" s="2" t="str">
        <f>IFERROR(__xludf.DUMMYFUNCTION("""COMPUTED_VALUE"""),"TA661-43609")</f>
        <v>TA661-43609</v>
      </c>
      <c r="E589" s="2" t="str">
        <f>IFERROR(__xludf.DUMMYFUNCTION("""COMPUTED_VALUE"""),"128GB, Teal, ROW, iPhone 16, Logic Board Assy Mid System")</f>
        <v>128GB, Teal, ROW, iPhone 16, Logic Board Assy Mid System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>
      <c r="A590" s="3" t="str">
        <f t="shared" si="1"/>
        <v>April</v>
      </c>
      <c r="B590" s="11">
        <f>IFERROR(__xludf.DUMMYFUNCTION("""COMPUTED_VALUE"""),46136.0)</f>
        <v>46136</v>
      </c>
      <c r="C590" s="2" t="str">
        <f>IFERROR(__xludf.DUMMYFUNCTION("""COMPUTED_VALUE"""),"MOBILECARE - NEWPOINT MALL")</f>
        <v>MOBILECARE - NEWPOINT MALL</v>
      </c>
      <c r="D590" s="2" t="str">
        <f>IFERROR(__xludf.DUMMYFUNCTION("""COMPUTED_VALUE"""),"TA661-36692")</f>
        <v>TA661-36692</v>
      </c>
      <c r="E590" s="2" t="str">
        <f>IFERROR(__xludf.DUMMYFUNCTION("""COMPUTED_VALUE"""),"iPhone 15, Pink, 128GB, Logic Board Assy Mid System, ROW")</f>
        <v>iPhone 15, Pink, 128GB, Logic Board Assy Mid System, ROW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>
      <c r="A591" s="3" t="str">
        <f t="shared" si="1"/>
        <v>March</v>
      </c>
      <c r="B591" s="11">
        <f>IFERROR(__xludf.DUMMYFUNCTION("""COMPUTED_VALUE"""),46088.0)</f>
        <v>46088</v>
      </c>
      <c r="C591" s="2" t="str">
        <f>IFERROR(__xludf.DUMMYFUNCTION("""COMPUTED_VALUE"""),"MOBILECARE - NEWPOINT MALL")</f>
        <v>MOBILECARE - NEWPOINT MALL</v>
      </c>
      <c r="D591" s="2" t="str">
        <f>IFERROR(__xludf.DUMMYFUNCTION("""COMPUTED_VALUE"""),"PP661-28871")</f>
        <v>PP661-28871</v>
      </c>
      <c r="E591" s="2" t="str">
        <f>IFERROR(__xludf.DUMMYFUNCTION("""COMPUTED_VALUE"""),"iPhone 14, Blue, 128GB, Logic Board Assy Mid System, ROW")</f>
        <v>iPhone 14, Blue, 128GB, Logic Board Assy Mid System, ROW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>
      <c r="A592" s="3" t="str">
        <f t="shared" si="1"/>
        <v>February</v>
      </c>
      <c r="B592" s="11">
        <f>IFERROR(__xludf.DUMMYFUNCTION("""COMPUTED_VALUE"""),46058.0)</f>
        <v>46058</v>
      </c>
      <c r="C592" s="2" t="str">
        <f>IFERROR(__xludf.DUMMYFUNCTION("""COMPUTED_VALUE"""),"MOBILECARE - NEWPOINT MALL")</f>
        <v>MOBILECARE - NEWPOINT MALL</v>
      </c>
      <c r="D592" s="2" t="str">
        <f>IFERROR(__xludf.DUMMYFUNCTION("""COMPUTED_VALUE"""),"PP661-23455")</f>
        <v>PP661-23455</v>
      </c>
      <c r="E592" s="2" t="str">
        <f>IFERROR(__xludf.DUMMYFUNCTION("""COMPUTED_VALUE"""),"iPhone 13, Starlight, 128GB, Logic Board Assy Rear System, ROW")</f>
        <v>iPhone 13, Starlight, 128GB, Logic Board Assy Rear System, ROW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>
      <c r="A593" s="3" t="str">
        <f t="shared" si="1"/>
        <v>June</v>
      </c>
      <c r="B593" s="11">
        <f>IFERROR(__xludf.DUMMYFUNCTION("""COMPUTED_VALUE"""),46192.0)</f>
        <v>46192</v>
      </c>
      <c r="C593" s="2" t="str">
        <f>IFERROR(__xludf.DUMMYFUNCTION("""COMPUTED_VALUE"""),"MOBILECARE - NEWPOINT MALL")</f>
        <v>MOBILECARE - NEWPOINT MALL</v>
      </c>
      <c r="D593" s="2" t="str">
        <f>IFERROR(__xludf.DUMMYFUNCTION("""COMPUTED_VALUE"""),"TA661-45243")</f>
        <v>TA661-45243</v>
      </c>
      <c r="E593" s="2" t="str">
        <f>IFERROR(__xludf.DUMMYFUNCTION("""COMPUTED_VALUE"""),"512GB, Pink, ROW, iPhone 16 Plus, Logic Board Assy Mid System")</f>
        <v>512GB, Pink, ROW, iPhone 16 Plus, Logic Board Assy Mid System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>
      <c r="A594" s="3" t="str">
        <f t="shared" si="1"/>
        <v>April</v>
      </c>
      <c r="B594" s="11">
        <f>IFERROR(__xludf.DUMMYFUNCTION("""COMPUTED_VALUE"""),46124.0)</f>
        <v>46124</v>
      </c>
      <c r="C594" s="2" t="str">
        <f>IFERROR(__xludf.DUMMYFUNCTION("""COMPUTED_VALUE"""),"MOBILECARE - NEWPOINT MALL")</f>
        <v>MOBILECARE - NEWPOINT MALL</v>
      </c>
      <c r="D594" s="2" t="str">
        <f>IFERROR(__xludf.DUMMYFUNCTION("""COMPUTED_VALUE"""),"PP661-23455")</f>
        <v>PP661-23455</v>
      </c>
      <c r="E594" s="2" t="str">
        <f>IFERROR(__xludf.DUMMYFUNCTION("""COMPUTED_VALUE"""),"iPhone 13, Starlight, 128GB, Logic Board Assy Rear System, ROW")</f>
        <v>iPhone 13, Starlight, 128GB, Logic Board Assy Rear System, ROW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>
      <c r="A595" s="3" t="str">
        <f t="shared" si="1"/>
        <v>March</v>
      </c>
      <c r="B595" s="11">
        <f>IFERROR(__xludf.DUMMYFUNCTION("""COMPUTED_VALUE"""),46098.0)</f>
        <v>46098</v>
      </c>
      <c r="C595" s="2" t="str">
        <f>IFERROR(__xludf.DUMMYFUNCTION("""COMPUTED_VALUE"""),"MOBILECARE - NEWPOINT MALL")</f>
        <v>MOBILECARE - NEWPOINT MALL</v>
      </c>
      <c r="D595" s="2" t="str">
        <f>IFERROR(__xludf.DUMMYFUNCTION("""COMPUTED_VALUE"""),"PP661-28868")</f>
        <v>PP661-28868</v>
      </c>
      <c r="E595" s="2" t="str">
        <f>IFERROR(__xludf.DUMMYFUNCTION("""COMPUTED_VALUE"""),"iPhone 14, Midnight, 128GB, Logic Board Assy Mid System, ROW")</f>
        <v>iPhone 14, Midnight, 128GB, Logic Board Assy Mid System, ROW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>
      <c r="A596" s="3" t="str">
        <f t="shared" si="1"/>
        <v>February</v>
      </c>
      <c r="B596" s="11">
        <f>IFERROR(__xludf.DUMMYFUNCTION("""COMPUTED_VALUE"""),46072.0)</f>
        <v>46072</v>
      </c>
      <c r="C596" s="2" t="str">
        <f>IFERROR(__xludf.DUMMYFUNCTION("""COMPUTED_VALUE"""),"MOBILECARE - NEWPOINT MALL")</f>
        <v>MOBILECARE - NEWPOINT MALL</v>
      </c>
      <c r="D596" s="2" t="str">
        <f>IFERROR(__xludf.DUMMYFUNCTION("""COMPUTED_VALUE"""),"TA661-44995")</f>
        <v>TA661-44995</v>
      </c>
      <c r="E596" s="2" t="str">
        <f>IFERROR(__xludf.DUMMYFUNCTION("""COMPUTED_VALUE"""),"128GB, Black Titanium, ROW, iPhone 16 Pro, Logic Board Assy Mid System")</f>
        <v>128GB, Black Titanium, ROW, iPhone 16 Pro, Logic Board Assy Mid System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>
      <c r="A597" s="3" t="str">
        <f t="shared" si="1"/>
        <v>February</v>
      </c>
      <c r="B597" s="11">
        <f>IFERROR(__xludf.DUMMYFUNCTION("""COMPUTED_VALUE"""),46065.0)</f>
        <v>46065</v>
      </c>
      <c r="C597" s="2" t="str">
        <f>IFERROR(__xludf.DUMMYFUNCTION("""COMPUTED_VALUE"""),"MOBILECARE - NEWPOINT MALL")</f>
        <v>MOBILECARE - NEWPOINT MALL</v>
      </c>
      <c r="D597" s="2" t="str">
        <f>IFERROR(__xludf.DUMMYFUNCTION("""COMPUTED_VALUE"""),"TA661-36694")</f>
        <v>TA661-36694</v>
      </c>
      <c r="E597" s="2" t="str">
        <f>IFERROR(__xludf.DUMMYFUNCTION("""COMPUTED_VALUE"""),"iPhone 15, Blue, 128GB, Logic Board Assy Mid System, ROW")</f>
        <v>iPhone 15, Blue, 128GB, Logic Board Assy Mid System, ROW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>
      <c r="A598" s="3" t="str">
        <f t="shared" si="1"/>
        <v>April</v>
      </c>
      <c r="B598" s="11">
        <f>IFERROR(__xludf.DUMMYFUNCTION("""COMPUTED_VALUE"""),46140.0)</f>
        <v>46140</v>
      </c>
      <c r="C598" s="2" t="str">
        <f>IFERROR(__xludf.DUMMYFUNCTION("""COMPUTED_VALUE"""),"MOBILECARE - NEWPOINT MALL")</f>
        <v>MOBILECARE - NEWPOINT MALL</v>
      </c>
      <c r="D598" s="2" t="str">
        <f>IFERROR(__xludf.DUMMYFUNCTION("""COMPUTED_VALUE"""),"TA661-36691")</f>
        <v>TA661-36691</v>
      </c>
      <c r="E598" s="2" t="str">
        <f>IFERROR(__xludf.DUMMYFUNCTION("""COMPUTED_VALUE"""),"iPhone 15, Black, 128GB, Logic Board Assy Mid System, ROW")</f>
        <v>iPhone 15, Black, 128GB, Logic Board Assy Mid System, ROW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>
      <c r="A599" s="3" t="str">
        <f t="shared" si="1"/>
        <v>June</v>
      </c>
      <c r="B599" s="11">
        <f>IFERROR(__xludf.DUMMYFUNCTION("""COMPUTED_VALUE"""),46188.0)</f>
        <v>46188</v>
      </c>
      <c r="C599" s="2" t="str">
        <f>IFERROR(__xludf.DUMMYFUNCTION("""COMPUTED_VALUE"""),"MOBILECARE - NEWPOINT MALL")</f>
        <v>MOBILECARE - NEWPOINT MALL</v>
      </c>
      <c r="D599" s="2" t="str">
        <f>IFERROR(__xludf.DUMMYFUNCTION("""COMPUTED_VALUE"""),"TA661-36694")</f>
        <v>TA661-36694</v>
      </c>
      <c r="E599" s="2" t="str">
        <f>IFERROR(__xludf.DUMMYFUNCTION("""COMPUTED_VALUE"""),"iPhone 15, Blue, 128GB, Logic Board Assy Mid System, ROW")</f>
        <v>iPhone 15, Blue, 128GB, Logic Board Assy Mid System, ROW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>
      <c r="A600" s="3" t="str">
        <f t="shared" si="1"/>
        <v>March</v>
      </c>
      <c r="B600" s="11">
        <f>IFERROR(__xludf.DUMMYFUNCTION("""COMPUTED_VALUE"""),46093.0)</f>
        <v>46093</v>
      </c>
      <c r="C600" s="2" t="str">
        <f>IFERROR(__xludf.DUMMYFUNCTION("""COMPUTED_VALUE"""),"MOBILECARE - NEWPOINT MALL")</f>
        <v>MOBILECARE - NEWPOINT MALL</v>
      </c>
      <c r="D600" s="2" t="str">
        <f>IFERROR(__xludf.DUMMYFUNCTION("""COMPUTED_VALUE"""),"TA661-43606")</f>
        <v>TA661-43606</v>
      </c>
      <c r="E600" s="2" t="str">
        <f>IFERROR(__xludf.DUMMYFUNCTION("""COMPUTED_VALUE"""),"128GB, White, ROW, iPhone 16, Logic Board Assy Mid System")</f>
        <v>128GB, White, ROW, iPhone 16, Logic Board Assy Mid System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>
      <c r="A601" s="3" t="str">
        <f t="shared" si="1"/>
        <v>February</v>
      </c>
      <c r="B601" s="11">
        <f>IFERROR(__xludf.DUMMYFUNCTION("""COMPUTED_VALUE"""),46076.0)</f>
        <v>46076</v>
      </c>
      <c r="C601" s="2" t="str">
        <f>IFERROR(__xludf.DUMMYFUNCTION("""COMPUTED_VALUE"""),"MOBILECARE - NEWPOINT MALL")</f>
        <v>MOBILECARE - NEWPOINT MALL</v>
      </c>
      <c r="D601" s="2" t="str">
        <f>IFERROR(__xludf.DUMMYFUNCTION("""COMPUTED_VALUE"""),"661-44961")</f>
        <v>661-44961</v>
      </c>
      <c r="E601" s="2" t="str">
        <f>IFERROR(__xludf.DUMMYFUNCTION("""COMPUTED_VALUE"""),"Natural Titanium, Back Glass, iPhone 16 Pro Max")</f>
        <v>Natural Titanium, Back Glass, iPhone 16 Pro Max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>
      <c r="A602" s="3" t="str">
        <f t="shared" si="1"/>
        <v>March</v>
      </c>
      <c r="B602" s="11">
        <f>IFERROR(__xludf.DUMMYFUNCTION("""COMPUTED_VALUE"""),46086.0)</f>
        <v>46086</v>
      </c>
      <c r="C602" s="2" t="str">
        <f>IFERROR(__xludf.DUMMYFUNCTION("""COMPUTED_VALUE"""),"MOBILECARE - NEWPOINT MALL")</f>
        <v>MOBILECARE - NEWPOINT MALL</v>
      </c>
      <c r="D602" s="2" t="str">
        <f>IFERROR(__xludf.DUMMYFUNCTION("""COMPUTED_VALUE"""),"PP661-23455")</f>
        <v>PP661-23455</v>
      </c>
      <c r="E602" s="2" t="str">
        <f>IFERROR(__xludf.DUMMYFUNCTION("""COMPUTED_VALUE"""),"iPhone 13, Starlight, 128GB, Logic Board Assy Rear System, ROW")</f>
        <v>iPhone 13, Starlight, 128GB, Logic Board Assy Rear System, ROW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>
      <c r="A603" s="3" t="str">
        <f t="shared" si="1"/>
        <v>June</v>
      </c>
      <c r="B603" s="11">
        <f>IFERROR(__xludf.DUMMYFUNCTION("""COMPUTED_VALUE"""),46180.0)</f>
        <v>46180</v>
      </c>
      <c r="C603" s="2" t="str">
        <f>IFERROR(__xludf.DUMMYFUNCTION("""COMPUTED_VALUE"""),"MOBILECARE - LA UNION")</f>
        <v>MOBILECARE - LA UNION</v>
      </c>
      <c r="D603" s="2" t="str">
        <f>IFERROR(__xludf.DUMMYFUNCTION("""COMPUTED_VALUE"""),"TA661-44997")</f>
        <v>TA661-44997</v>
      </c>
      <c r="E603" s="2" t="str">
        <f>IFERROR(__xludf.DUMMYFUNCTION("""COMPUTED_VALUE"""),"128GB, Desert Titanium, ROW, iPhone 16 Pro, Logic Board Assy Mid System")</f>
        <v>128GB, Desert Titanium, ROW, iPhone 16 Pro, Logic Board Assy Mid System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>
      <c r="A604" s="3" t="str">
        <f t="shared" si="1"/>
        <v>April</v>
      </c>
      <c r="B604" s="11">
        <f>IFERROR(__xludf.DUMMYFUNCTION("""COMPUTED_VALUE"""),46138.0)</f>
        <v>46138</v>
      </c>
      <c r="C604" s="2" t="str">
        <f>IFERROR(__xludf.DUMMYFUNCTION("""COMPUTED_VALUE"""),"MOBILECARE - LA UNION")</f>
        <v>MOBILECARE - LA UNION</v>
      </c>
      <c r="D604" s="2" t="str">
        <f>IFERROR(__xludf.DUMMYFUNCTION("""COMPUTED_VALUE"""),"TA661-44995")</f>
        <v>TA661-44995</v>
      </c>
      <c r="E604" s="2" t="str">
        <f>IFERROR(__xludf.DUMMYFUNCTION("""COMPUTED_VALUE"""),"128GB, Black Titanium, ROW, iPhone 16 Pro, Logic Board Assy Mid System")</f>
        <v>128GB, Black Titanium, ROW, iPhone 16 Pro, Logic Board Assy Mid System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>
      <c r="A605" s="3" t="str">
        <f t="shared" si="1"/>
        <v>March</v>
      </c>
      <c r="B605" s="11">
        <f>IFERROR(__xludf.DUMMYFUNCTION("""COMPUTED_VALUE"""),46105.0)</f>
        <v>46105</v>
      </c>
      <c r="C605" s="2" t="str">
        <f>IFERROR(__xludf.DUMMYFUNCTION("""COMPUTED_VALUE"""),"MOBILECARE - LA UNION")</f>
        <v>MOBILECARE - LA UNION</v>
      </c>
      <c r="D605" s="2" t="str">
        <f>IFERROR(__xludf.DUMMYFUNCTION("""COMPUTED_VALUE"""),"PP661-23455")</f>
        <v>PP661-23455</v>
      </c>
      <c r="E605" s="2" t="str">
        <f>IFERROR(__xludf.DUMMYFUNCTION("""COMPUTED_VALUE"""),"iPhone 13, Starlight, 128GB, Logic Board Assy Rear System, ROW")</f>
        <v>iPhone 13, Starlight, 128GB, Logic Board Assy Rear System, ROW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>
      <c r="A606" s="3" t="str">
        <f t="shared" si="1"/>
        <v>May</v>
      </c>
      <c r="B606" s="11">
        <f>IFERROR(__xludf.DUMMYFUNCTION("""COMPUTED_VALUE"""),46155.0)</f>
        <v>46155</v>
      </c>
      <c r="C606" s="2" t="str">
        <f>IFERROR(__xludf.DUMMYFUNCTION("""COMPUTED_VALUE"""),"MOBILECARE - LA UNION")</f>
        <v>MOBILECARE - LA UNION</v>
      </c>
      <c r="D606" s="2" t="str">
        <f>IFERROR(__xludf.DUMMYFUNCTION("""COMPUTED_VALUE"""),"PP661-23455")</f>
        <v>PP661-23455</v>
      </c>
      <c r="E606" s="2" t="str">
        <f>IFERROR(__xludf.DUMMYFUNCTION("""COMPUTED_VALUE"""),"iPhone 13, Starlight, 128GB, Logic Board Assy Rear System, ROW")</f>
        <v>iPhone 13, Starlight, 128GB, Logic Board Assy Rear System, ROW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>
      <c r="A607" s="3" t="str">
        <f t="shared" si="1"/>
        <v>February</v>
      </c>
      <c r="B607" s="11">
        <f>IFERROR(__xludf.DUMMYFUNCTION("""COMPUTED_VALUE"""),46065.0)</f>
        <v>46065</v>
      </c>
      <c r="C607" s="2" t="str">
        <f>IFERROR(__xludf.DUMMYFUNCTION("""COMPUTED_VALUE"""),"MOBILECARE - LA UNION")</f>
        <v>MOBILECARE - LA UNION</v>
      </c>
      <c r="D607" s="2" t="str">
        <f>IFERROR(__xludf.DUMMYFUNCTION("""COMPUTED_VALUE"""),"661-30384")</f>
        <v>661-30384</v>
      </c>
      <c r="E607" s="2" t="str">
        <f>IFERROR(__xludf.DUMMYFUNCTION("""COMPUTED_VALUE"""),"Starlight, Back Glass, iPhone 14 Plus")</f>
        <v>Starlight, Back Glass, iPhone 14 Plus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>
      <c r="A608" s="3" t="str">
        <f t="shared" si="1"/>
        <v>February</v>
      </c>
      <c r="B608" s="11">
        <f>IFERROR(__xludf.DUMMYFUNCTION("""COMPUTED_VALUE"""),46071.0)</f>
        <v>46071</v>
      </c>
      <c r="C608" s="2" t="str">
        <f>IFERROR(__xludf.DUMMYFUNCTION("""COMPUTED_VALUE"""),"MOBILECARE - LA UNION")</f>
        <v>MOBILECARE - LA UNION</v>
      </c>
      <c r="D608" s="2" t="str">
        <f>IFERROR(__xludf.DUMMYFUNCTION("""COMPUTED_VALUE"""),"PP661-23455")</f>
        <v>PP661-23455</v>
      </c>
      <c r="E608" s="2" t="str">
        <f>IFERROR(__xludf.DUMMYFUNCTION("""COMPUTED_VALUE"""),"iPhone 13, Starlight, 128GB, Logic Board Assy Rear System, ROW")</f>
        <v>iPhone 13, Starlight, 128GB, Logic Board Assy Rear System, ROW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>
      <c r="A609" s="3" t="str">
        <f t="shared" si="1"/>
        <v>May</v>
      </c>
      <c r="B609" s="11">
        <f>IFERROR(__xludf.DUMMYFUNCTION("""COMPUTED_VALUE"""),46145.0)</f>
        <v>46145</v>
      </c>
      <c r="C609" s="2" t="str">
        <f>IFERROR(__xludf.DUMMYFUNCTION("""COMPUTED_VALUE"""),"MOBILECARE - LA UNION")</f>
        <v>MOBILECARE - LA UNION</v>
      </c>
      <c r="D609" s="2" t="str">
        <f>IFERROR(__xludf.DUMMYFUNCTION("""COMPUTED_VALUE"""),"TA661-43606")</f>
        <v>TA661-43606</v>
      </c>
      <c r="E609" s="2" t="str">
        <f>IFERROR(__xludf.DUMMYFUNCTION("""COMPUTED_VALUE"""),"128GB, White, ROW, iPhone 16, Logic Board Assy Mid System")</f>
        <v>128GB, White, ROW, iPhone 16, Logic Board Assy Mid System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>
      <c r="A610" s="3" t="str">
        <f t="shared" si="1"/>
        <v>March</v>
      </c>
      <c r="B610" s="11">
        <f>IFERROR(__xludf.DUMMYFUNCTION("""COMPUTED_VALUE"""),46110.0)</f>
        <v>46110</v>
      </c>
      <c r="C610" s="2" t="str">
        <f>IFERROR(__xludf.DUMMYFUNCTION("""COMPUTED_VALUE"""),"MOBILECARE - LA UNION")</f>
        <v>MOBILECARE - LA UNION</v>
      </c>
      <c r="D610" s="2" t="str">
        <f>IFERROR(__xludf.DUMMYFUNCTION("""COMPUTED_VALUE"""),"PP661-23454")</f>
        <v>PP661-23454</v>
      </c>
      <c r="E610" s="2" t="str">
        <f>IFERROR(__xludf.DUMMYFUNCTION("""COMPUTED_VALUE"""),"iPhone 13, Midnight, 128GB, Logic Board Assy Rear System, ROW")</f>
        <v>iPhone 13, Midnight, 128GB, Logic Board Assy Rear System, ROW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>
      <c r="A611" s="3" t="str">
        <f t="shared" si="1"/>
        <v>April</v>
      </c>
      <c r="B611" s="11">
        <f>IFERROR(__xludf.DUMMYFUNCTION("""COMPUTED_VALUE"""),46135.0)</f>
        <v>46135</v>
      </c>
      <c r="C611" s="2" t="str">
        <f>IFERROR(__xludf.DUMMYFUNCTION("""COMPUTED_VALUE"""),"MOBILECARE - LA UNION")</f>
        <v>MOBILECARE - LA UNION</v>
      </c>
      <c r="D611" s="2" t="str">
        <f>IFERROR(__xludf.DUMMYFUNCTION("""COMPUTED_VALUE"""),"PP661-23455")</f>
        <v>PP661-23455</v>
      </c>
      <c r="E611" s="2" t="str">
        <f>IFERROR(__xludf.DUMMYFUNCTION("""COMPUTED_VALUE"""),"iPhone 13, Starlight, 128GB, Logic Board Assy Rear System, ROW")</f>
        <v>iPhone 13, Starlight, 128GB, Logic Board Assy Rear System, ROW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>
      <c r="A612" s="3" t="str">
        <f t="shared" si="1"/>
        <v>February</v>
      </c>
      <c r="B612" s="11">
        <f>IFERROR(__xludf.DUMMYFUNCTION("""COMPUTED_VALUE"""),46054.0)</f>
        <v>46054</v>
      </c>
      <c r="C612" s="2" t="str">
        <f>IFERROR(__xludf.DUMMYFUNCTION("""COMPUTED_VALUE"""),"MOBILECARE - LA UNION")</f>
        <v>MOBILECARE - LA UNION</v>
      </c>
      <c r="D612" s="2" t="str">
        <f>IFERROR(__xludf.DUMMYFUNCTION("""COMPUTED_VALUE"""),"PP661-23455")</f>
        <v>PP661-23455</v>
      </c>
      <c r="E612" s="2" t="str">
        <f>IFERROR(__xludf.DUMMYFUNCTION("""COMPUTED_VALUE"""),"iPhone 13, Starlight, 128GB, Logic Board Assy Rear System, ROW")</f>
        <v>iPhone 13, Starlight, 128GB, Logic Board Assy Rear System, ROW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>
      <c r="A613" s="3" t="str">
        <f t="shared" si="1"/>
        <v>February</v>
      </c>
      <c r="B613" s="11">
        <f>IFERROR(__xludf.DUMMYFUNCTION("""COMPUTED_VALUE"""),46076.0)</f>
        <v>46076</v>
      </c>
      <c r="C613" s="2" t="str">
        <f>IFERROR(__xludf.DUMMYFUNCTION("""COMPUTED_VALUE"""),"MOBILECARE - LA UNION")</f>
        <v>MOBILECARE - LA UNION</v>
      </c>
      <c r="D613" s="2" t="str">
        <f>IFERROR(__xludf.DUMMYFUNCTION("""COMPUTED_VALUE"""),"PP661-23455")</f>
        <v>PP661-23455</v>
      </c>
      <c r="E613" s="2" t="str">
        <f>IFERROR(__xludf.DUMMYFUNCTION("""COMPUTED_VALUE"""),"iPhone 13, Starlight, 128GB, Logic Board Assy Rear System, ROW")</f>
        <v>iPhone 13, Starlight, 128GB, Logic Board Assy Rear System, ROW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>
      <c r="A614" s="3" t="str">
        <f t="shared" si="1"/>
        <v>March</v>
      </c>
      <c r="B614" s="11">
        <f>IFERROR(__xludf.DUMMYFUNCTION("""COMPUTED_VALUE"""),46091.0)</f>
        <v>46091</v>
      </c>
      <c r="C614" s="2" t="str">
        <f>IFERROR(__xludf.DUMMYFUNCTION("""COMPUTED_VALUE"""),"MOBILECARE - LA UNION")</f>
        <v>MOBILECARE - LA UNION</v>
      </c>
      <c r="D614" s="2" t="str">
        <f>IFERROR(__xludf.DUMMYFUNCTION("""COMPUTED_VALUE"""),"PP661-23455")</f>
        <v>PP661-23455</v>
      </c>
      <c r="E614" s="2" t="str">
        <f>IFERROR(__xludf.DUMMYFUNCTION("""COMPUTED_VALUE"""),"iPhone 13, Starlight, 128GB, Logic Board Assy Rear System, ROW")</f>
        <v>iPhone 13, Starlight, 128GB, Logic Board Assy Rear System, ROW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>
      <c r="A615" s="3" t="str">
        <f t="shared" si="1"/>
        <v>April</v>
      </c>
      <c r="B615" s="11">
        <f>IFERROR(__xludf.DUMMYFUNCTION("""COMPUTED_VALUE"""),46119.0)</f>
        <v>46119</v>
      </c>
      <c r="C615" s="2" t="str">
        <f>IFERROR(__xludf.DUMMYFUNCTION("""COMPUTED_VALUE"""),"MOBILECARE - LA UNION")</f>
        <v>MOBILECARE - LA UNION</v>
      </c>
      <c r="D615" s="2" t="str">
        <f>IFERROR(__xludf.DUMMYFUNCTION("""COMPUTED_VALUE"""),"PP661-23455")</f>
        <v>PP661-23455</v>
      </c>
      <c r="E615" s="2" t="str">
        <f>IFERROR(__xludf.DUMMYFUNCTION("""COMPUTED_VALUE"""),"iPhone 13, Starlight, 128GB, Logic Board Assy Rear System, ROW")</f>
        <v>iPhone 13, Starlight, 128GB, Logic Board Assy Rear System, ROW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>
      <c r="A616" s="3" t="str">
        <f t="shared" si="1"/>
        <v>June</v>
      </c>
      <c r="B616" s="11">
        <f>IFERROR(__xludf.DUMMYFUNCTION("""COMPUTED_VALUE"""),46180.0)</f>
        <v>46180</v>
      </c>
      <c r="C616" s="2" t="str">
        <f>IFERROR(__xludf.DUMMYFUNCTION("""COMPUTED_VALUE"""),"MOBILECARE - LA UNION")</f>
        <v>MOBILECARE - LA UNION</v>
      </c>
      <c r="D616" s="2" t="str">
        <f>IFERROR(__xludf.DUMMYFUNCTION("""COMPUTED_VALUE"""),"TA661-45233")</f>
        <v>TA661-45233</v>
      </c>
      <c r="E616" s="2" t="str">
        <f>IFERROR(__xludf.DUMMYFUNCTION("""COMPUTED_VALUE"""),"128GB, Pink, ROW, iPhone 16 Plus, Logic Board Assy Mid System")</f>
        <v>128GB, Pink, ROW, iPhone 16 Plus, Logic Board Assy Mid System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>
      <c r="A617" s="3" t="str">
        <f t="shared" si="1"/>
        <v>March</v>
      </c>
      <c r="B617" s="11">
        <f>IFERROR(__xludf.DUMMYFUNCTION("""COMPUTED_VALUE"""),46101.0)</f>
        <v>46101</v>
      </c>
      <c r="C617" s="2" t="str">
        <f>IFERROR(__xludf.DUMMYFUNCTION("""COMPUTED_VALUE"""),"MOBILECARE - LA UNION")</f>
        <v>MOBILECARE - LA UNION</v>
      </c>
      <c r="D617" s="2" t="str">
        <f>IFERROR(__xludf.DUMMYFUNCTION("""COMPUTED_VALUE"""),"PP661-23455")</f>
        <v>PP661-23455</v>
      </c>
      <c r="E617" s="2" t="str">
        <f>IFERROR(__xludf.DUMMYFUNCTION("""COMPUTED_VALUE"""),"iPhone 13, Starlight, 128GB, Logic Board Assy Rear System, ROW")</f>
        <v>iPhone 13, Starlight, 128GB, Logic Board Assy Rear System, ROW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>
      <c r="A618" s="3" t="str">
        <f t="shared" si="1"/>
        <v>February</v>
      </c>
      <c r="B618" s="11">
        <f>IFERROR(__xludf.DUMMYFUNCTION("""COMPUTED_VALUE"""),46060.0)</f>
        <v>46060</v>
      </c>
      <c r="C618" s="2" t="str">
        <f>IFERROR(__xludf.DUMMYFUNCTION("""COMPUTED_VALUE"""),"MOBILECARE - LA UNION")</f>
        <v>MOBILECARE - LA UNION</v>
      </c>
      <c r="D618" s="2" t="str">
        <f>IFERROR(__xludf.DUMMYFUNCTION("""COMPUTED_VALUE"""),"661-42842")</f>
        <v>661-42842</v>
      </c>
      <c r="E618" s="2" t="str">
        <f>IFERROR(__xludf.DUMMYFUNCTION("""COMPUTED_VALUE"""),"TealBack Glass, iPhone 16 Plus")</f>
        <v>TealBack Glass, iPhone 16 Plus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>
      <c r="A619" s="3" t="str">
        <f t="shared" si="1"/>
        <v>February</v>
      </c>
      <c r="B619" s="11">
        <f>IFERROR(__xludf.DUMMYFUNCTION("""COMPUTED_VALUE"""),46061.0)</f>
        <v>46061</v>
      </c>
      <c r="C619" s="2" t="str">
        <f>IFERROR(__xludf.DUMMYFUNCTION("""COMPUTED_VALUE"""),"MOBILECARE - LA UNION")</f>
        <v>MOBILECARE - LA UNION</v>
      </c>
      <c r="D619" s="2" t="str">
        <f>IFERROR(__xludf.DUMMYFUNCTION("""COMPUTED_VALUE"""),"PP661-23454")</f>
        <v>PP661-23454</v>
      </c>
      <c r="E619" s="2" t="str">
        <f>IFERROR(__xludf.DUMMYFUNCTION("""COMPUTED_VALUE"""),"iPhone 13, Midnight, 128GB, Logic Board Assy Rear System, ROW")</f>
        <v>iPhone 13, Midnight, 128GB, Logic Board Assy Rear System, ROW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>
      <c r="A620" s="3" t="str">
        <f t="shared" si="1"/>
        <v>February</v>
      </c>
      <c r="B620" s="11">
        <f>IFERROR(__xludf.DUMMYFUNCTION("""COMPUTED_VALUE"""),46057.0)</f>
        <v>46057</v>
      </c>
      <c r="C620" s="2" t="str">
        <f>IFERROR(__xludf.DUMMYFUNCTION("""COMPUTED_VALUE"""),"MOBILECARE - LA UNION")</f>
        <v>MOBILECARE - LA UNION</v>
      </c>
      <c r="D620" s="2" t="str">
        <f>IFERROR(__xludf.DUMMYFUNCTION("""COMPUTED_VALUE"""),"PP661-23455")</f>
        <v>PP661-23455</v>
      </c>
      <c r="E620" s="2" t="str">
        <f>IFERROR(__xludf.DUMMYFUNCTION("""COMPUTED_VALUE"""),"iPhone 13, Starlight, 128GB, Logic Board Assy Rear System, ROW")</f>
        <v>iPhone 13, Starlight, 128GB, Logic Board Assy Rear System, ROW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>
      <c r="A621" s="3" t="str">
        <f t="shared" si="1"/>
        <v>May</v>
      </c>
      <c r="B621" s="11">
        <f>IFERROR(__xludf.DUMMYFUNCTION("""COMPUTED_VALUE"""),46145.0)</f>
        <v>46145</v>
      </c>
      <c r="C621" s="2" t="str">
        <f>IFERROR(__xludf.DUMMYFUNCTION("""COMPUTED_VALUE"""),"MOBILECARE - LA UNION")</f>
        <v>MOBILECARE - LA UNION</v>
      </c>
      <c r="D621" s="2" t="str">
        <f>IFERROR(__xludf.DUMMYFUNCTION("""COMPUTED_VALUE"""),"TA661-44997")</f>
        <v>TA661-44997</v>
      </c>
      <c r="E621" s="2" t="str">
        <f>IFERROR(__xludf.DUMMYFUNCTION("""COMPUTED_VALUE"""),"128GB, Desert Titanium, ROW, iPhone 16 Pro, Logic Board Assy Mid System")</f>
        <v>128GB, Desert Titanium, ROW, iPhone 16 Pro, Logic Board Assy Mid System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>
      <c r="A622" s="3" t="str">
        <f t="shared" si="1"/>
        <v>March</v>
      </c>
      <c r="B622" s="11">
        <f>IFERROR(__xludf.DUMMYFUNCTION("""COMPUTED_VALUE"""),46084.0)</f>
        <v>46084</v>
      </c>
      <c r="C622" s="2" t="str">
        <f>IFERROR(__xludf.DUMMYFUNCTION("""COMPUTED_VALUE"""),"MOBILECARE - LA UNION")</f>
        <v>MOBILECARE - LA UNION</v>
      </c>
      <c r="D622" s="2" t="str">
        <f>IFERROR(__xludf.DUMMYFUNCTION("""COMPUTED_VALUE"""),"661-56124")</f>
        <v>661-56124</v>
      </c>
      <c r="E622" s="2" t="str">
        <f>IFERROR(__xludf.DUMMYFUNCTION("""COMPUTED_VALUE"""),"Deep Blue, Back Glass, iPhone 17 Pro")</f>
        <v>Deep Blue, Back Glass, iPhone 17 Pro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>
      <c r="A623" s="3" t="str">
        <f t="shared" si="1"/>
        <v>June</v>
      </c>
      <c r="B623" s="11">
        <f>IFERROR(__xludf.DUMMYFUNCTION("""COMPUTED_VALUE"""),46181.0)</f>
        <v>46181</v>
      </c>
      <c r="C623" s="2" t="str">
        <f>IFERROR(__xludf.DUMMYFUNCTION("""COMPUTED_VALUE"""),"MOBILECARE - LA UNION")</f>
        <v>MOBILECARE - LA UNION</v>
      </c>
      <c r="D623" s="2" t="str">
        <f>IFERROR(__xludf.DUMMYFUNCTION("""COMPUTED_VALUE"""),"PP661-28868")</f>
        <v>PP661-28868</v>
      </c>
      <c r="E623" s="2" t="str">
        <f>IFERROR(__xludf.DUMMYFUNCTION("""COMPUTED_VALUE"""),"iPhone 14, Midnight, 128GB, Logic Board Assy Mid System, ROW")</f>
        <v>iPhone 14, Midnight, 128GB, Logic Board Assy Mid System, ROW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>
      <c r="A624" s="3" t="str">
        <f t="shared" si="1"/>
        <v>February</v>
      </c>
      <c r="B624" s="11">
        <f>IFERROR(__xludf.DUMMYFUNCTION("""COMPUTED_VALUE"""),46077.0)</f>
        <v>46077</v>
      </c>
      <c r="C624" s="2" t="str">
        <f>IFERROR(__xludf.DUMMYFUNCTION("""COMPUTED_VALUE"""),"MOBILECARE - LA UNION")</f>
        <v>MOBILECARE - LA UNION</v>
      </c>
      <c r="D624" s="2" t="str">
        <f>IFERROR(__xludf.DUMMYFUNCTION("""COMPUTED_VALUE"""),"PP661-23455")</f>
        <v>PP661-23455</v>
      </c>
      <c r="E624" s="2" t="str">
        <f>IFERROR(__xludf.DUMMYFUNCTION("""COMPUTED_VALUE"""),"iPhone 13, Starlight, 128GB, Logic Board Assy Rear System, ROW")</f>
        <v>iPhone 13, Starlight, 128GB, Logic Board Assy Rear System, ROW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>
      <c r="A625" s="3" t="str">
        <f t="shared" si="1"/>
        <v>March</v>
      </c>
      <c r="B625" s="11">
        <f>IFERROR(__xludf.DUMMYFUNCTION("""COMPUTED_VALUE"""),46105.0)</f>
        <v>46105</v>
      </c>
      <c r="C625" s="2" t="str">
        <f>IFERROR(__xludf.DUMMYFUNCTION("""COMPUTED_VALUE"""),"MOBILECARE - LA UNION")</f>
        <v>MOBILECARE - LA UNION</v>
      </c>
      <c r="D625" s="2" t="str">
        <f>IFERROR(__xludf.DUMMYFUNCTION("""COMPUTED_VALUE"""),"TA661-36697")</f>
        <v>TA661-36697</v>
      </c>
      <c r="E625" s="2" t="str">
        <f>IFERROR(__xludf.DUMMYFUNCTION("""COMPUTED_VALUE"""),"iPhone 15, Pink, 256GB, Logic Board Assy Mid System, ROW")</f>
        <v>iPhone 15, Pink, 256GB, Logic Board Assy Mid System, ROW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>
      <c r="A626" s="3" t="str">
        <f t="shared" si="1"/>
        <v>June</v>
      </c>
      <c r="B626" s="11">
        <f>IFERROR(__xludf.DUMMYFUNCTION("""COMPUTED_VALUE"""),46188.0)</f>
        <v>46188</v>
      </c>
      <c r="C626" s="2" t="str">
        <f>IFERROR(__xludf.DUMMYFUNCTION("""COMPUTED_VALUE"""),"MOBILECARE - LA UNION")</f>
        <v>MOBILECARE - LA UNION</v>
      </c>
      <c r="D626" s="2" t="str">
        <f>IFERROR(__xludf.DUMMYFUNCTION("""COMPUTED_VALUE"""),"PP661-23455")</f>
        <v>PP661-23455</v>
      </c>
      <c r="E626" s="2" t="str">
        <f>IFERROR(__xludf.DUMMYFUNCTION("""COMPUTED_VALUE"""),"iPhone 13, Starlight, 128GB, Logic Board Assy Rear System, ROW")</f>
        <v>iPhone 13, Starlight, 128GB, Logic Board Assy Rear System, ROW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>
      <c r="A627" s="3" t="str">
        <f t="shared" si="1"/>
        <v>March</v>
      </c>
      <c r="B627" s="11">
        <f>IFERROR(__xludf.DUMMYFUNCTION("""COMPUTED_VALUE"""),46096.0)</f>
        <v>46096</v>
      </c>
      <c r="C627" s="2" t="str">
        <f>IFERROR(__xludf.DUMMYFUNCTION("""COMPUTED_VALUE"""),"MOBILECARE - LA UNION")</f>
        <v>MOBILECARE - LA UNION</v>
      </c>
      <c r="D627" s="2" t="str">
        <f>IFERROR(__xludf.DUMMYFUNCTION("""COMPUTED_VALUE"""),"PP661-23455")</f>
        <v>PP661-23455</v>
      </c>
      <c r="E627" s="2" t="str">
        <f>IFERROR(__xludf.DUMMYFUNCTION("""COMPUTED_VALUE"""),"iPhone 13, Starlight, 128GB, Logic Board Assy Rear System, ROW")</f>
        <v>iPhone 13, Starlight, 128GB, Logic Board Assy Rear System, ROW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>
      <c r="A628" s="3" t="str">
        <f t="shared" si="1"/>
        <v>February</v>
      </c>
      <c r="B628" s="11">
        <f>IFERROR(__xludf.DUMMYFUNCTION("""COMPUTED_VALUE"""),46069.0)</f>
        <v>46069</v>
      </c>
      <c r="C628" s="2" t="str">
        <f>IFERROR(__xludf.DUMMYFUNCTION("""COMPUTED_VALUE"""),"MOBILECARE - LA UNION")</f>
        <v>MOBILECARE - LA UNION</v>
      </c>
      <c r="D628" s="2" t="str">
        <f>IFERROR(__xludf.DUMMYFUNCTION("""COMPUTED_VALUE"""),"PP661-23455")</f>
        <v>PP661-23455</v>
      </c>
      <c r="E628" s="2" t="str">
        <f>IFERROR(__xludf.DUMMYFUNCTION("""COMPUTED_VALUE"""),"iPhone 13, Starlight, 128GB, Logic Board Assy Rear System, ROW")</f>
        <v>iPhone 13, Starlight, 128GB, Logic Board Assy Rear System, ROW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>
      <c r="A629" s="3" t="str">
        <f t="shared" si="1"/>
        <v>February</v>
      </c>
      <c r="B629" s="11">
        <f>IFERROR(__xludf.DUMMYFUNCTION("""COMPUTED_VALUE"""),46075.0)</f>
        <v>46075</v>
      </c>
      <c r="C629" s="2" t="str">
        <f>IFERROR(__xludf.DUMMYFUNCTION("""COMPUTED_VALUE"""),"MOBILECARE - LA UNION")</f>
        <v>MOBILECARE - LA UNION</v>
      </c>
      <c r="D629" s="2" t="str">
        <f>IFERROR(__xludf.DUMMYFUNCTION("""COMPUTED_VALUE"""),"TA661-44995")</f>
        <v>TA661-44995</v>
      </c>
      <c r="E629" s="2" t="str">
        <f>IFERROR(__xludf.DUMMYFUNCTION("""COMPUTED_VALUE"""),"128GB, Black Titanium, ROW, iPhone 16 Pro, Logic Board Assy Mid System")</f>
        <v>128GB, Black Titanium, ROW, iPhone 16 Pro, Logic Board Assy Mid System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>
      <c r="A630" s="3" t="str">
        <f t="shared" si="1"/>
        <v>February</v>
      </c>
      <c r="B630" s="11">
        <f>IFERROR(__xludf.DUMMYFUNCTION("""COMPUTED_VALUE"""),46057.0)</f>
        <v>46057</v>
      </c>
      <c r="C630" s="2" t="str">
        <f>IFERROR(__xludf.DUMMYFUNCTION("""COMPUTED_VALUE"""),"MOBILECARE - LA UNION")</f>
        <v>MOBILECARE - LA UNION</v>
      </c>
      <c r="D630" s="2" t="str">
        <f>IFERROR(__xludf.DUMMYFUNCTION("""COMPUTED_VALUE"""),"PP661-28868")</f>
        <v>PP661-28868</v>
      </c>
      <c r="E630" s="2" t="str">
        <f>IFERROR(__xludf.DUMMYFUNCTION("""COMPUTED_VALUE"""),"iPhone 14, Midnight, 128GB, Logic Board Assy Mid System, ROW")</f>
        <v>iPhone 14, Midnight, 128GB, Logic Board Assy Mid System, ROW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>
      <c r="A631" s="3" t="str">
        <f t="shared" si="1"/>
        <v>February</v>
      </c>
      <c r="B631" s="11">
        <f>IFERROR(__xludf.DUMMYFUNCTION("""COMPUTED_VALUE"""),46060.0)</f>
        <v>46060</v>
      </c>
      <c r="C631" s="2" t="str">
        <f>IFERROR(__xludf.DUMMYFUNCTION("""COMPUTED_VALUE"""),"MOBILECARE - LA UNION")</f>
        <v>MOBILECARE - LA UNION</v>
      </c>
      <c r="D631" s="2" t="str">
        <f>IFERROR(__xludf.DUMMYFUNCTION("""COMPUTED_VALUE"""),"PP661-23455")</f>
        <v>PP661-23455</v>
      </c>
      <c r="E631" s="2" t="str">
        <f>IFERROR(__xludf.DUMMYFUNCTION("""COMPUTED_VALUE"""),"iPhone 13, Starlight, 128GB, Logic Board Assy Rear System, ROW")</f>
        <v>iPhone 13, Starlight, 128GB, Logic Board Assy Rear System, ROW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>
      <c r="A632" s="3" t="str">
        <f t="shared" si="1"/>
        <v>February</v>
      </c>
      <c r="B632" s="11">
        <f>IFERROR(__xludf.DUMMYFUNCTION("""COMPUTED_VALUE"""),46075.0)</f>
        <v>46075</v>
      </c>
      <c r="C632" s="2" t="str">
        <f>IFERROR(__xludf.DUMMYFUNCTION("""COMPUTED_VALUE"""),"MOBILECARE - LA UNION")</f>
        <v>MOBILECARE - LA UNION</v>
      </c>
      <c r="D632" s="2" t="str">
        <f>IFERROR(__xludf.DUMMYFUNCTION("""COMPUTED_VALUE"""),"TA661-36696")</f>
        <v>TA661-36696</v>
      </c>
      <c r="E632" s="2" t="str">
        <f>IFERROR(__xludf.DUMMYFUNCTION("""COMPUTED_VALUE"""),"iPhone 15, Black, 256GB, Logic Board Assy Mid System, ROW")</f>
        <v>iPhone 15, Black, 256GB, Logic Board Assy Mid System, ROW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>
      <c r="A633" s="3" t="str">
        <f t="shared" si="1"/>
        <v>June</v>
      </c>
      <c r="B633" s="11">
        <f>IFERROR(__xludf.DUMMYFUNCTION("""COMPUTED_VALUE"""),46181.0)</f>
        <v>46181</v>
      </c>
      <c r="C633" s="2" t="str">
        <f>IFERROR(__xludf.DUMMYFUNCTION("""COMPUTED_VALUE"""),"MOBILECARE - LA UNION")</f>
        <v>MOBILECARE - LA UNION</v>
      </c>
      <c r="D633" s="2" t="str">
        <f>IFERROR(__xludf.DUMMYFUNCTION("""COMPUTED_VALUE"""),"PP661-23454")</f>
        <v>PP661-23454</v>
      </c>
      <c r="E633" s="2" t="str">
        <f>IFERROR(__xludf.DUMMYFUNCTION("""COMPUTED_VALUE"""),"iPhone 13, Midnight, 128GB, Logic Board Assy Rear System, ROW")</f>
        <v>iPhone 13, Midnight, 128GB, Logic Board Assy Rear System, ROW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>
      <c r="A634" s="3" t="str">
        <f t="shared" si="1"/>
        <v>May</v>
      </c>
      <c r="B634" s="11">
        <f>IFERROR(__xludf.DUMMYFUNCTION("""COMPUTED_VALUE"""),46147.0)</f>
        <v>46147</v>
      </c>
      <c r="C634" s="2" t="str">
        <f>IFERROR(__xludf.DUMMYFUNCTION("""COMPUTED_VALUE"""),"MOBILECARE - LA UNION")</f>
        <v>MOBILECARE - LA UNION</v>
      </c>
      <c r="D634" s="2" t="str">
        <f>IFERROR(__xludf.DUMMYFUNCTION("""COMPUTED_VALUE"""),"PP661-23455")</f>
        <v>PP661-23455</v>
      </c>
      <c r="E634" s="2" t="str">
        <f>IFERROR(__xludf.DUMMYFUNCTION("""COMPUTED_VALUE"""),"iPhone 13, Starlight, 128GB, Logic Board Assy Rear System, ROW")</f>
        <v>iPhone 13, Starlight, 128GB, Logic Board Assy Rear System, ROW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>
      <c r="A635" s="3" t="str">
        <f t="shared" si="1"/>
        <v>February</v>
      </c>
      <c r="B635" s="11">
        <f>IFERROR(__xludf.DUMMYFUNCTION("""COMPUTED_VALUE"""),46065.0)</f>
        <v>46065</v>
      </c>
      <c r="C635" s="2" t="str">
        <f>IFERROR(__xludf.DUMMYFUNCTION("""COMPUTED_VALUE"""),"MOBILECARE - LA UNION")</f>
        <v>MOBILECARE - LA UNION</v>
      </c>
      <c r="D635" s="2" t="str">
        <f>IFERROR(__xludf.DUMMYFUNCTION("""COMPUTED_VALUE"""),"PP661-28868")</f>
        <v>PP661-28868</v>
      </c>
      <c r="E635" s="2" t="str">
        <f>IFERROR(__xludf.DUMMYFUNCTION("""COMPUTED_VALUE"""),"iPhone 14, Midnight, 128GB, Logic Board Assy Mid System, ROW")</f>
        <v>iPhone 14, Midnight, 128GB, Logic Board Assy Mid System, ROW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>
      <c r="A636" s="3" t="str">
        <f t="shared" si="1"/>
        <v>June</v>
      </c>
      <c r="B636" s="11">
        <f>IFERROR(__xludf.DUMMYFUNCTION("""COMPUTED_VALUE"""),46179.0)</f>
        <v>46179</v>
      </c>
      <c r="C636" s="2" t="str">
        <f>IFERROR(__xludf.DUMMYFUNCTION("""COMPUTED_VALUE"""),"MOBILECARE - LIMA ESTATE")</f>
        <v>MOBILECARE - LIMA ESTATE</v>
      </c>
      <c r="D636" s="2" t="str">
        <f>IFERROR(__xludf.DUMMYFUNCTION("""COMPUTED_VALUE"""),"PP661-23454")</f>
        <v>PP661-23454</v>
      </c>
      <c r="E636" s="2" t="str">
        <f>IFERROR(__xludf.DUMMYFUNCTION("""COMPUTED_VALUE"""),"iPhone 13, Midnight, 128GB, Logic Board Assy Rear System, ROW")</f>
        <v>iPhone 13, Midnight, 128GB, Logic Board Assy Rear System, ROW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>
      <c r="A637" s="3" t="str">
        <f t="shared" si="1"/>
        <v>February</v>
      </c>
      <c r="B637" s="11">
        <f>IFERROR(__xludf.DUMMYFUNCTION("""COMPUTED_VALUE"""),46062.0)</f>
        <v>46062</v>
      </c>
      <c r="C637" s="2" t="str">
        <f>IFERROR(__xludf.DUMMYFUNCTION("""COMPUTED_VALUE"""),"MOBILECARE - LIMA ESTATE")</f>
        <v>MOBILECARE - LIMA ESTATE</v>
      </c>
      <c r="D637" s="2" t="str">
        <f>IFERROR(__xludf.DUMMYFUNCTION("""COMPUTED_VALUE"""),"TA661-36694")</f>
        <v>TA661-36694</v>
      </c>
      <c r="E637" s="2" t="str">
        <f>IFERROR(__xludf.DUMMYFUNCTION("""COMPUTED_VALUE"""),"iPhone 15, Blue, 128GB, Logic Board Assy Mid System, ROW")</f>
        <v>iPhone 15, Blue, 128GB, Logic Board Assy Mid System, ROW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>
      <c r="A638" s="3" t="str">
        <f t="shared" si="1"/>
        <v>February</v>
      </c>
      <c r="B638" s="11">
        <f>IFERROR(__xludf.DUMMYFUNCTION("""COMPUTED_VALUE"""),46057.0)</f>
        <v>46057</v>
      </c>
      <c r="C638" s="2" t="str">
        <f>IFERROR(__xludf.DUMMYFUNCTION("""COMPUTED_VALUE"""),"MOBILECARE - LIMA ESTATE")</f>
        <v>MOBILECARE - LIMA ESTATE</v>
      </c>
      <c r="D638" s="2" t="str">
        <f>IFERROR(__xludf.DUMMYFUNCTION("""COMPUTED_VALUE"""),"TA661-36691")</f>
        <v>TA661-36691</v>
      </c>
      <c r="E638" s="2" t="str">
        <f>IFERROR(__xludf.DUMMYFUNCTION("""COMPUTED_VALUE"""),"iPhone 15, Black, 128GB, Logic Board Assy Mid System, ROW")</f>
        <v>iPhone 15, Black, 128GB, Logic Board Assy Mid System, ROW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>
      <c r="A639" s="3" t="str">
        <f t="shared" si="1"/>
        <v>March</v>
      </c>
      <c r="B639" s="11">
        <f>IFERROR(__xludf.DUMMYFUNCTION("""COMPUTED_VALUE"""),46110.0)</f>
        <v>46110</v>
      </c>
      <c r="C639" s="2" t="str">
        <f>IFERROR(__xludf.DUMMYFUNCTION("""COMPUTED_VALUE"""),"MOBILECARE - LIMA ESTATE")</f>
        <v>MOBILECARE - LIMA ESTATE</v>
      </c>
      <c r="D639" s="2" t="str">
        <f>IFERROR(__xludf.DUMMYFUNCTION("""COMPUTED_VALUE"""),"TA661-44997")</f>
        <v>TA661-44997</v>
      </c>
      <c r="E639" s="2" t="str">
        <f>IFERROR(__xludf.DUMMYFUNCTION("""COMPUTED_VALUE"""),"128GB, Desert Titanium, ROW, iPhone 16 Pro, Logic Board Assy Mid System")</f>
        <v>128GB, Desert Titanium, ROW, iPhone 16 Pro, Logic Board Assy Mid System</v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>
      <c r="A640" s="3" t="str">
        <f t="shared" si="1"/>
        <v>February</v>
      </c>
      <c r="B640" s="11">
        <f>IFERROR(__xludf.DUMMYFUNCTION("""COMPUTED_VALUE"""),46062.0)</f>
        <v>46062</v>
      </c>
      <c r="C640" s="2" t="str">
        <f>IFERROR(__xludf.DUMMYFUNCTION("""COMPUTED_VALUE"""),"MOBILECARE - LIMA ESTATE")</f>
        <v>MOBILECARE - LIMA ESTATE</v>
      </c>
      <c r="D640" s="2" t="str">
        <f>IFERROR(__xludf.DUMMYFUNCTION("""COMPUTED_VALUE"""),"PP661-23455")</f>
        <v>PP661-23455</v>
      </c>
      <c r="E640" s="2" t="str">
        <f>IFERROR(__xludf.DUMMYFUNCTION("""COMPUTED_VALUE"""),"iPhone 13, Starlight, 128GB, Logic Board Assy Rear System, ROW")</f>
        <v>iPhone 13, Starlight, 128GB, Logic Board Assy Rear System, ROW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>
      <c r="A641" s="3" t="str">
        <f t="shared" si="1"/>
        <v>June</v>
      </c>
      <c r="B641" s="11">
        <f>IFERROR(__xludf.DUMMYFUNCTION("""COMPUTED_VALUE"""),46184.0)</f>
        <v>46184</v>
      </c>
      <c r="C641" s="2" t="str">
        <f>IFERROR(__xludf.DUMMYFUNCTION("""COMPUTED_VALUE"""),"MOBILECARE - LIMA ESTATE")</f>
        <v>MOBILECARE - LIMA ESTATE</v>
      </c>
      <c r="D641" s="2" t="str">
        <f>IFERROR(__xludf.DUMMYFUNCTION("""COMPUTED_VALUE"""),"PP661-23455")</f>
        <v>PP661-23455</v>
      </c>
      <c r="E641" s="2" t="str">
        <f>IFERROR(__xludf.DUMMYFUNCTION("""COMPUTED_VALUE"""),"iPhone 13, Starlight, 128GB, Logic Board Assy Rear System, ROW")</f>
        <v>iPhone 13, Starlight, 128GB, Logic Board Assy Rear System, ROW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>
      <c r="A642" s="3" t="str">
        <f t="shared" si="1"/>
        <v>March</v>
      </c>
      <c r="B642" s="11">
        <f>IFERROR(__xludf.DUMMYFUNCTION("""COMPUTED_VALUE"""),46106.0)</f>
        <v>46106</v>
      </c>
      <c r="C642" s="2" t="str">
        <f>IFERROR(__xludf.DUMMYFUNCTION("""COMPUTED_VALUE"""),"MOBILECARE - LIMA ESTATE")</f>
        <v>MOBILECARE - LIMA ESTATE</v>
      </c>
      <c r="D642" s="2" t="str">
        <f>IFERROR(__xludf.DUMMYFUNCTION("""COMPUTED_VALUE"""),"PP661-23454")</f>
        <v>PP661-23454</v>
      </c>
      <c r="E642" s="2" t="str">
        <f>IFERROR(__xludf.DUMMYFUNCTION("""COMPUTED_VALUE"""),"iPhone 13, Midnight, 128GB, Logic Board Assy Rear System, ROW")</f>
        <v>iPhone 13, Midnight, 128GB, Logic Board Assy Rear System, ROW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>
      <c r="A643" s="3" t="str">
        <f t="shared" si="1"/>
        <v>March</v>
      </c>
      <c r="B643" s="11">
        <f>IFERROR(__xludf.DUMMYFUNCTION("""COMPUTED_VALUE"""),46092.0)</f>
        <v>46092</v>
      </c>
      <c r="C643" s="2" t="str">
        <f>IFERROR(__xludf.DUMMYFUNCTION("""COMPUTED_VALUE"""),"MOBILECARE - LIMA ESTATE")</f>
        <v>MOBILECARE - LIMA ESTATE</v>
      </c>
      <c r="D643" s="2" t="str">
        <f>IFERROR(__xludf.DUMMYFUNCTION("""COMPUTED_VALUE"""),"TA661-36694")</f>
        <v>TA661-36694</v>
      </c>
      <c r="E643" s="2" t="str">
        <f>IFERROR(__xludf.DUMMYFUNCTION("""COMPUTED_VALUE"""),"iPhone 15, Blue, 128GB, Logic Board Assy Mid System, ROW")</f>
        <v>iPhone 15, Blue, 128GB, Logic Board Assy Mid System, ROW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>
      <c r="A644" s="3" t="str">
        <f t="shared" si="1"/>
        <v>April</v>
      </c>
      <c r="B644" s="11">
        <f>IFERROR(__xludf.DUMMYFUNCTION("""COMPUTED_VALUE"""),46128.0)</f>
        <v>46128</v>
      </c>
      <c r="C644" s="2" t="str">
        <f>IFERROR(__xludf.DUMMYFUNCTION("""COMPUTED_VALUE"""),"MOBILECARE - LIMA ESTATE")</f>
        <v>MOBILECARE - LIMA ESTATE</v>
      </c>
      <c r="D644" s="2" t="str">
        <f>IFERROR(__xludf.DUMMYFUNCTION("""COMPUTED_VALUE"""),"TA661-36691")</f>
        <v>TA661-36691</v>
      </c>
      <c r="E644" s="2" t="str">
        <f>IFERROR(__xludf.DUMMYFUNCTION("""COMPUTED_VALUE"""),"iPhone 15, Black, 128GB, Logic Board Assy Mid System, ROW")</f>
        <v>iPhone 15, Black, 128GB, Logic Board Assy Mid System, ROW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>
      <c r="A645" s="3" t="str">
        <f t="shared" si="1"/>
        <v>March</v>
      </c>
      <c r="B645" s="11">
        <f>IFERROR(__xludf.DUMMYFUNCTION("""COMPUTED_VALUE"""),46105.0)</f>
        <v>46105</v>
      </c>
      <c r="C645" s="2" t="str">
        <f>IFERROR(__xludf.DUMMYFUNCTION("""COMPUTED_VALUE"""),"MOBILECARE - LIMA ESTATE")</f>
        <v>MOBILECARE - LIMA ESTATE</v>
      </c>
      <c r="D645" s="2" t="str">
        <f>IFERROR(__xludf.DUMMYFUNCTION("""COMPUTED_VALUE"""),"TA661-45234")</f>
        <v>TA661-45234</v>
      </c>
      <c r="E645" s="2" t="str">
        <f>IFERROR(__xludf.DUMMYFUNCTION("""COMPUTED_VALUE"""),"128GB, Ultramarine, ROW, iPhone 16 Plus, Logic Board Assy Mid System")</f>
        <v>128GB, Ultramarine, ROW, iPhone 16 Plus, Logic Board Assy Mid System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>
      <c r="A646" s="3" t="str">
        <f t="shared" si="1"/>
        <v>March</v>
      </c>
      <c r="B646" s="11">
        <f>IFERROR(__xludf.DUMMYFUNCTION("""COMPUTED_VALUE"""),46100.0)</f>
        <v>46100</v>
      </c>
      <c r="C646" s="2" t="str">
        <f>IFERROR(__xludf.DUMMYFUNCTION("""COMPUTED_VALUE"""),"MOBILECARE - LIMA ESTATE")</f>
        <v>MOBILECARE - LIMA ESTATE</v>
      </c>
      <c r="D646" s="2" t="str">
        <f>IFERROR(__xludf.DUMMYFUNCTION("""COMPUTED_VALUE"""),"PP661-23455")</f>
        <v>PP661-23455</v>
      </c>
      <c r="E646" s="2" t="str">
        <f>IFERROR(__xludf.DUMMYFUNCTION("""COMPUTED_VALUE"""),"iPhone 13, Starlight, 128GB, Logic Board Assy Rear System, ROW")</f>
        <v>iPhone 13, Starlight, 128GB, Logic Board Assy Rear System, ROW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>
      <c r="A647" s="3" t="str">
        <f t="shared" si="1"/>
        <v>March</v>
      </c>
      <c r="B647" s="11">
        <f>IFERROR(__xludf.DUMMYFUNCTION("""COMPUTED_VALUE"""),46101.0)</f>
        <v>46101</v>
      </c>
      <c r="C647" s="2" t="str">
        <f>IFERROR(__xludf.DUMMYFUNCTION("""COMPUTED_VALUE"""),"MOBILECARE - LIMA ESTATE")</f>
        <v>MOBILECARE - LIMA ESTATE</v>
      </c>
      <c r="D647" s="2" t="str">
        <f>IFERROR(__xludf.DUMMYFUNCTION("""COMPUTED_VALUE"""),"TA661-36697")</f>
        <v>TA661-36697</v>
      </c>
      <c r="E647" s="2" t="str">
        <f>IFERROR(__xludf.DUMMYFUNCTION("""COMPUTED_VALUE"""),"iPhone 15, Pink, 256GB, Logic Board Assy Mid System, ROW")</f>
        <v>iPhone 15, Pink, 256GB, Logic Board Assy Mid System, ROW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>
      <c r="A648" s="3" t="str">
        <f t="shared" si="1"/>
        <v>February</v>
      </c>
      <c r="B648" s="11">
        <f>IFERROR(__xludf.DUMMYFUNCTION("""COMPUTED_VALUE"""),46070.0)</f>
        <v>46070</v>
      </c>
      <c r="C648" s="2" t="str">
        <f>IFERROR(__xludf.DUMMYFUNCTION("""COMPUTED_VALUE"""),"MOBILECARE - LIMA ESTATE")</f>
        <v>MOBILECARE - LIMA ESTATE</v>
      </c>
      <c r="D648" s="2" t="str">
        <f>IFERROR(__xludf.DUMMYFUNCTION("""COMPUTED_VALUE"""),"PP661-23454")</f>
        <v>PP661-23454</v>
      </c>
      <c r="E648" s="2" t="str">
        <f>IFERROR(__xludf.DUMMYFUNCTION("""COMPUTED_VALUE"""),"iPhone 13, Midnight, 128GB, Logic Board Assy Rear System, ROW")</f>
        <v>iPhone 13, Midnight, 128GB, Logic Board Assy Rear System, ROW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>
      <c r="A649" s="3" t="str">
        <f t="shared" si="1"/>
        <v>February</v>
      </c>
      <c r="B649" s="11">
        <f>IFERROR(__xludf.DUMMYFUNCTION("""COMPUTED_VALUE"""),46062.0)</f>
        <v>46062</v>
      </c>
      <c r="C649" s="2" t="str">
        <f>IFERROR(__xludf.DUMMYFUNCTION("""COMPUTED_VALUE"""),"MOBILECARE - LIMA ESTATE")</f>
        <v>MOBILECARE - LIMA ESTATE</v>
      </c>
      <c r="D649" s="2" t="str">
        <f>IFERROR(__xludf.DUMMYFUNCTION("""COMPUTED_VALUE"""),"PP661-23454")</f>
        <v>PP661-23454</v>
      </c>
      <c r="E649" s="2" t="str">
        <f>IFERROR(__xludf.DUMMYFUNCTION("""COMPUTED_VALUE"""),"iPhone 13, Midnight, 128GB, Logic Board Assy Rear System, ROW")</f>
        <v>iPhone 13, Midnight, 128GB, Logic Board Assy Rear System, ROW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>
      <c r="A650" s="3" t="str">
        <f t="shared" si="1"/>
        <v>June</v>
      </c>
      <c r="B650" s="11">
        <f>IFERROR(__xludf.DUMMYFUNCTION("""COMPUTED_VALUE"""),46182.0)</f>
        <v>46182</v>
      </c>
      <c r="C650" s="2" t="str">
        <f>IFERROR(__xludf.DUMMYFUNCTION("""COMPUTED_VALUE"""),"MOBILECARE - LIMA ESTATE")</f>
        <v>MOBILECARE - LIMA ESTATE</v>
      </c>
      <c r="D650" s="2" t="str">
        <f>IFERROR(__xludf.DUMMYFUNCTION("""COMPUTED_VALUE"""),"PP661-23455")</f>
        <v>PP661-23455</v>
      </c>
      <c r="E650" s="2" t="str">
        <f>IFERROR(__xludf.DUMMYFUNCTION("""COMPUTED_VALUE"""),"iPhone 13, Starlight, 128GB, Logic Board Assy Rear System, ROW")</f>
        <v>iPhone 13, Starlight, 128GB, Logic Board Assy Rear System, ROW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>
      <c r="A651" s="3" t="str">
        <f t="shared" si="1"/>
        <v>February</v>
      </c>
      <c r="B651" s="11">
        <f>IFERROR(__xludf.DUMMYFUNCTION("""COMPUTED_VALUE"""),46081.0)</f>
        <v>46081</v>
      </c>
      <c r="C651" s="2" t="str">
        <f>IFERROR(__xludf.DUMMYFUNCTION("""COMPUTED_VALUE"""),"MOBILECARE - LIMA ESTATE")</f>
        <v>MOBILECARE - LIMA ESTATE</v>
      </c>
      <c r="D651" s="2" t="str">
        <f>IFERROR(__xludf.DUMMYFUNCTION("""COMPUTED_VALUE"""),"PP661-23454")</f>
        <v>PP661-23454</v>
      </c>
      <c r="E651" s="2" t="str">
        <f>IFERROR(__xludf.DUMMYFUNCTION("""COMPUTED_VALUE"""),"iPhone 13, Midnight, 128GB, Logic Board Assy Rear System, ROW")</f>
        <v>iPhone 13, Midnight, 128GB, Logic Board Assy Rear System, ROW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>
      <c r="A652" s="3" t="str">
        <f t="shared" si="1"/>
        <v>February</v>
      </c>
      <c r="B652" s="11">
        <f>IFERROR(__xludf.DUMMYFUNCTION("""COMPUTED_VALUE"""),46069.0)</f>
        <v>46069</v>
      </c>
      <c r="C652" s="2" t="str">
        <f>IFERROR(__xludf.DUMMYFUNCTION("""COMPUTED_VALUE"""),"MOBILECARE - LIMA ESTATE")</f>
        <v>MOBILECARE - LIMA ESTATE</v>
      </c>
      <c r="D652" s="2" t="str">
        <f>IFERROR(__xludf.DUMMYFUNCTION("""COMPUTED_VALUE"""),"PP661-23454")</f>
        <v>PP661-23454</v>
      </c>
      <c r="E652" s="2" t="str">
        <f>IFERROR(__xludf.DUMMYFUNCTION("""COMPUTED_VALUE"""),"iPhone 13, Midnight, 128GB, Logic Board Assy Rear System, ROW")</f>
        <v>iPhone 13, Midnight, 128GB, Logic Board Assy Rear System, ROW</v>
      </c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>
      <c r="A653" s="3" t="str">
        <f t="shared" si="1"/>
        <v>February</v>
      </c>
      <c r="B653" s="11">
        <f>IFERROR(__xludf.DUMMYFUNCTION("""COMPUTED_VALUE"""),46074.0)</f>
        <v>46074</v>
      </c>
      <c r="C653" s="2" t="str">
        <f>IFERROR(__xludf.DUMMYFUNCTION("""COMPUTED_VALUE"""),"MOBILECARE - LIMA ESTATE")</f>
        <v>MOBILECARE - LIMA ESTATE</v>
      </c>
      <c r="D653" s="2" t="str">
        <f>IFERROR(__xludf.DUMMYFUNCTION("""COMPUTED_VALUE"""),"TA661-45231")</f>
        <v>TA661-45231</v>
      </c>
      <c r="E653" s="2" t="str">
        <f>IFERROR(__xludf.DUMMYFUNCTION("""COMPUTED_VALUE"""),"128GB, Black, ROW, iPhone 16 Plus, Logic Board Assy Mid System")</f>
        <v>128GB, Black, ROW, iPhone 16 Plus, Logic Board Assy Mid System</v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>
      <c r="A654" s="3" t="str">
        <f t="shared" si="1"/>
        <v>February</v>
      </c>
      <c r="B654" s="11">
        <f>IFERROR(__xludf.DUMMYFUNCTION("""COMPUTED_VALUE"""),46074.0)</f>
        <v>46074</v>
      </c>
      <c r="C654" s="2" t="str">
        <f>IFERROR(__xludf.DUMMYFUNCTION("""COMPUTED_VALUE"""),"MOBILECARE - LIMA ESTATE")</f>
        <v>MOBILECARE - LIMA ESTATE</v>
      </c>
      <c r="D654" s="2" t="str">
        <f>IFERROR(__xludf.DUMMYFUNCTION("""COMPUTED_VALUE"""),"TA661-45231")</f>
        <v>TA661-45231</v>
      </c>
      <c r="E654" s="2" t="str">
        <f>IFERROR(__xludf.DUMMYFUNCTION("""COMPUTED_VALUE"""),"128GB, Black, ROW, iPhone 16 Plus, Logic Board Assy Mid System")</f>
        <v>128GB, Black, ROW, iPhone 16 Plus, Logic Board Assy Mid System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>
      <c r="A655" s="3" t="str">
        <f t="shared" si="1"/>
        <v>May</v>
      </c>
      <c r="B655" s="11">
        <f>IFERROR(__xludf.DUMMYFUNCTION("""COMPUTED_VALUE"""),46145.0)</f>
        <v>46145</v>
      </c>
      <c r="C655" s="2" t="str">
        <f>IFERROR(__xludf.DUMMYFUNCTION("""COMPUTED_VALUE"""),"MOBILECARE - LIMA ESTATE")</f>
        <v>MOBILECARE - LIMA ESTATE</v>
      </c>
      <c r="D655" s="2" t="str">
        <f>IFERROR(__xludf.DUMMYFUNCTION("""COMPUTED_VALUE"""),"PP661-23455")</f>
        <v>PP661-23455</v>
      </c>
      <c r="E655" s="2" t="str">
        <f>IFERROR(__xludf.DUMMYFUNCTION("""COMPUTED_VALUE"""),"iPhone 13, Starlight, 128GB, Logic Board Assy Rear System, ROW")</f>
        <v>iPhone 13, Starlight, 128GB, Logic Board Assy Rear System, ROW</v>
      </c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>
      <c r="A656" s="3" t="str">
        <f t="shared" si="1"/>
        <v>April</v>
      </c>
      <c r="B656" s="11">
        <f>IFERROR(__xludf.DUMMYFUNCTION("""COMPUTED_VALUE"""),46121.0)</f>
        <v>46121</v>
      </c>
      <c r="C656" s="2" t="str">
        <f>IFERROR(__xludf.DUMMYFUNCTION("""COMPUTED_VALUE"""),"MOBILECARE - LIMA ESTATE")</f>
        <v>MOBILECARE - LIMA ESTATE</v>
      </c>
      <c r="D656" s="2" t="str">
        <f>IFERROR(__xludf.DUMMYFUNCTION("""COMPUTED_VALUE"""),"TA661-36693")</f>
        <v>TA661-36693</v>
      </c>
      <c r="E656" s="2" t="str">
        <f>IFERROR(__xludf.DUMMYFUNCTION("""COMPUTED_VALUE"""),"iPhone 15, Yellow, 128GB, Logic Board Assy Mid System, ROW")</f>
        <v>iPhone 15, Yellow, 128GB, Logic Board Assy Mid System, ROW</v>
      </c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>
      <c r="A657" s="3" t="str">
        <f t="shared" si="1"/>
        <v>March</v>
      </c>
      <c r="B657" s="11">
        <f>IFERROR(__xludf.DUMMYFUNCTION("""COMPUTED_VALUE"""),46096.0)</f>
        <v>46096</v>
      </c>
      <c r="C657" s="2" t="str">
        <f>IFERROR(__xludf.DUMMYFUNCTION("""COMPUTED_VALUE"""),"MOBILECARE - LIMA ESTATE")</f>
        <v>MOBILECARE - LIMA ESTATE</v>
      </c>
      <c r="D657" s="2" t="str">
        <f>IFERROR(__xludf.DUMMYFUNCTION("""COMPUTED_VALUE"""),"PP661-23455")</f>
        <v>PP661-23455</v>
      </c>
      <c r="E657" s="2" t="str">
        <f>IFERROR(__xludf.DUMMYFUNCTION("""COMPUTED_VALUE"""),"iPhone 13, Starlight, 128GB, Logic Board Assy Rear System, ROW")</f>
        <v>iPhone 13, Starlight, 128GB, Logic Board Assy Rear System, ROW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>
      <c r="A658" s="3" t="str">
        <f t="shared" si="1"/>
        <v>April</v>
      </c>
      <c r="B658" s="11">
        <f>IFERROR(__xludf.DUMMYFUNCTION("""COMPUTED_VALUE"""),46140.0)</f>
        <v>46140</v>
      </c>
      <c r="C658" s="2" t="str">
        <f>IFERROR(__xludf.DUMMYFUNCTION("""COMPUTED_VALUE"""),"MOBILECARE - LIMA ESTATE")</f>
        <v>MOBILECARE - LIMA ESTATE</v>
      </c>
      <c r="D658" s="2" t="str">
        <f>IFERROR(__xludf.DUMMYFUNCTION("""COMPUTED_VALUE"""),"PP661-23455")</f>
        <v>PP661-23455</v>
      </c>
      <c r="E658" s="2" t="str">
        <f>IFERROR(__xludf.DUMMYFUNCTION("""COMPUTED_VALUE"""),"iPhone 13, Starlight, 128GB, Logic Board Assy Rear System, ROW")</f>
        <v>iPhone 13, Starlight, 128GB, Logic Board Assy Rear System, ROW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>
      <c r="A659" s="3" t="str">
        <f t="shared" si="1"/>
        <v>April</v>
      </c>
      <c r="B659" s="11">
        <f>IFERROR(__xludf.DUMMYFUNCTION("""COMPUTED_VALUE"""),46123.0)</f>
        <v>46123</v>
      </c>
      <c r="C659" s="2" t="str">
        <f>IFERROR(__xludf.DUMMYFUNCTION("""COMPUTED_VALUE"""),"MOBILECARE - LIMA ESTATE")</f>
        <v>MOBILECARE - LIMA ESTATE</v>
      </c>
      <c r="D659" s="2" t="str">
        <f>IFERROR(__xludf.DUMMYFUNCTION("""COMPUTED_VALUE"""),"TA661-43605")</f>
        <v>TA661-43605</v>
      </c>
      <c r="E659" s="2" t="str">
        <f>IFERROR(__xludf.DUMMYFUNCTION("""COMPUTED_VALUE"""),"128GB, Black, ROW, iPhone 16, Logic Board Assy Mid System")</f>
        <v>128GB, Black, ROW, iPhone 16, Logic Board Assy Mid System</v>
      </c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>
      <c r="A660" s="3" t="str">
        <f t="shared" si="1"/>
        <v>June</v>
      </c>
      <c r="B660" s="11">
        <f>IFERROR(__xludf.DUMMYFUNCTION("""COMPUTED_VALUE"""),46192.0)</f>
        <v>46192</v>
      </c>
      <c r="C660" s="2" t="str">
        <f>IFERROR(__xludf.DUMMYFUNCTION("""COMPUTED_VALUE"""),"MOBILECARE - LIMA ESTATE")</f>
        <v>MOBILECARE - LIMA ESTATE</v>
      </c>
      <c r="D660" s="2" t="str">
        <f>IFERROR(__xludf.DUMMYFUNCTION("""COMPUTED_VALUE"""),"TA661-44997")</f>
        <v>TA661-44997</v>
      </c>
      <c r="E660" s="2" t="str">
        <f>IFERROR(__xludf.DUMMYFUNCTION("""COMPUTED_VALUE"""),"128GB, Desert Titanium, ROW, iPhone 16 Pro, Logic Board Assy Mid System")</f>
        <v>128GB, Desert Titanium, ROW, iPhone 16 Pro, Logic Board Assy Mid System</v>
      </c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>
      <c r="A661" s="3" t="str">
        <f t="shared" si="1"/>
        <v>February</v>
      </c>
      <c r="B661" s="11">
        <f>IFERROR(__xludf.DUMMYFUNCTION("""COMPUTED_VALUE"""),46079.0)</f>
        <v>46079</v>
      </c>
      <c r="C661" s="2" t="str">
        <f>IFERROR(__xludf.DUMMYFUNCTION("""COMPUTED_VALUE"""),"MOBILECARE - LIMA ESTATE")</f>
        <v>MOBILECARE - LIMA ESTATE</v>
      </c>
      <c r="D661" s="2" t="str">
        <f>IFERROR(__xludf.DUMMYFUNCTION("""COMPUTED_VALUE"""),"661-44960")</f>
        <v>661-44960</v>
      </c>
      <c r="E661" s="2" t="str">
        <f>IFERROR(__xludf.DUMMYFUNCTION("""COMPUTED_VALUE"""),"Desert Titanium, Back Glass, iPhone 16 Pro Max")</f>
        <v>Desert Titanium, Back Glass, iPhone 16 Pro Max</v>
      </c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>
      <c r="A662" s="3" t="str">
        <f t="shared" si="1"/>
        <v>March</v>
      </c>
      <c r="B662" s="11">
        <f>IFERROR(__xludf.DUMMYFUNCTION("""COMPUTED_VALUE"""),46088.0)</f>
        <v>46088</v>
      </c>
      <c r="C662" s="2" t="str">
        <f>IFERROR(__xludf.DUMMYFUNCTION("""COMPUTED_VALUE"""),"MOBILECARE - LIMA ESTATE")</f>
        <v>MOBILECARE - LIMA ESTATE</v>
      </c>
      <c r="D662" s="2" t="str">
        <f>IFERROR(__xludf.DUMMYFUNCTION("""COMPUTED_VALUE"""),"PP661-23455")</f>
        <v>PP661-23455</v>
      </c>
      <c r="E662" s="2" t="str">
        <f>IFERROR(__xludf.DUMMYFUNCTION("""COMPUTED_VALUE"""),"iPhone 13, Starlight, 128GB, Logic Board Assy Rear System, ROW")</f>
        <v>iPhone 13, Starlight, 128GB, Logic Board Assy Rear System, ROW</v>
      </c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>
      <c r="A663" s="3" t="str">
        <f t="shared" si="1"/>
        <v>February</v>
      </c>
      <c r="B663" s="11">
        <f>IFERROR(__xludf.DUMMYFUNCTION("""COMPUTED_VALUE"""),46062.0)</f>
        <v>46062</v>
      </c>
      <c r="C663" s="2" t="str">
        <f>IFERROR(__xludf.DUMMYFUNCTION("""COMPUTED_VALUE"""),"MOBILECARE - LIMA ESTATE")</f>
        <v>MOBILECARE - LIMA ESTATE</v>
      </c>
      <c r="D663" s="2" t="str">
        <f>IFERROR(__xludf.DUMMYFUNCTION("""COMPUTED_VALUE"""),"TA661-36694")</f>
        <v>TA661-36694</v>
      </c>
      <c r="E663" s="2" t="str">
        <f>IFERROR(__xludf.DUMMYFUNCTION("""COMPUTED_VALUE"""),"iPhone 15, Blue, 128GB, Logic Board Assy Mid System, ROW")</f>
        <v>iPhone 15, Blue, 128GB, Logic Board Assy Mid System, ROW</v>
      </c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>
      <c r="A664" s="3" t="str">
        <f t="shared" si="1"/>
        <v>February</v>
      </c>
      <c r="B664" s="11">
        <f>IFERROR(__xludf.DUMMYFUNCTION("""COMPUTED_VALUE"""),46075.0)</f>
        <v>46075</v>
      </c>
      <c r="C664" s="2" t="str">
        <f>IFERROR(__xludf.DUMMYFUNCTION("""COMPUTED_VALUE"""),"MOBILECARE - LIMA ESTATE")</f>
        <v>MOBILECARE - LIMA ESTATE</v>
      </c>
      <c r="D664" s="2" t="str">
        <f>IFERROR(__xludf.DUMMYFUNCTION("""COMPUTED_VALUE"""),"PP661-23455")</f>
        <v>PP661-23455</v>
      </c>
      <c r="E664" s="2" t="str">
        <f>IFERROR(__xludf.DUMMYFUNCTION("""COMPUTED_VALUE"""),"iPhone 13, Starlight, 128GB, Logic Board Assy Rear System, ROW")</f>
        <v>iPhone 13, Starlight, 128GB, Logic Board Assy Rear System, ROW</v>
      </c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>
      <c r="A665" s="3" t="str">
        <f t="shared" si="1"/>
        <v>June</v>
      </c>
      <c r="B665" s="11">
        <f>IFERROR(__xludf.DUMMYFUNCTION("""COMPUTED_VALUE"""),46185.0)</f>
        <v>46185</v>
      </c>
      <c r="C665" s="2" t="str">
        <f>IFERROR(__xludf.DUMMYFUNCTION("""COMPUTED_VALUE"""),"MOBILECARE - LIMA ESTATE")</f>
        <v>MOBILECARE - LIMA ESTATE</v>
      </c>
      <c r="D665" s="2" t="str">
        <f>IFERROR(__xludf.DUMMYFUNCTION("""COMPUTED_VALUE"""),"TA661-43614")</f>
        <v>TA661-43614</v>
      </c>
      <c r="E665" s="2" t="str">
        <f>IFERROR(__xludf.DUMMYFUNCTION("""COMPUTED_VALUE"""),"256GB, Teal, ROW, iPhone 16, Logic Board Assy Mid System")</f>
        <v>256GB, Teal, ROW, iPhone 16, Logic Board Assy Mid System</v>
      </c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>
      <c r="A666" s="3" t="str">
        <f t="shared" si="1"/>
        <v>April</v>
      </c>
      <c r="B666" s="11">
        <f>IFERROR(__xludf.DUMMYFUNCTION("""COMPUTED_VALUE"""),46141.0)</f>
        <v>46141</v>
      </c>
      <c r="C666" s="2" t="str">
        <f>IFERROR(__xludf.DUMMYFUNCTION("""COMPUTED_VALUE"""),"MOBILECARE - LIMA ESTATE")</f>
        <v>MOBILECARE - LIMA ESTATE</v>
      </c>
      <c r="D666" s="2" t="str">
        <f>IFERROR(__xludf.DUMMYFUNCTION("""COMPUTED_VALUE"""),"PP661-28868")</f>
        <v>PP661-28868</v>
      </c>
      <c r="E666" s="2" t="str">
        <f>IFERROR(__xludf.DUMMYFUNCTION("""COMPUTED_VALUE"""),"iPhone 14, Midnight, 128GB, Logic Board Assy Mid System, ROW")</f>
        <v>iPhone 14, Midnight, 128GB, Logic Board Assy Mid System, ROW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>
      <c r="A667" s="3" t="str">
        <f t="shared" si="1"/>
        <v>April</v>
      </c>
      <c r="B667" s="11">
        <f>IFERROR(__xludf.DUMMYFUNCTION("""COMPUTED_VALUE"""),46118.0)</f>
        <v>46118</v>
      </c>
      <c r="C667" s="2" t="str">
        <f>IFERROR(__xludf.DUMMYFUNCTION("""COMPUTED_VALUE"""),"MOBILECARE - LIMA ESTATE")</f>
        <v>MOBILECARE - LIMA ESTATE</v>
      </c>
      <c r="D667" s="2" t="str">
        <f>IFERROR(__xludf.DUMMYFUNCTION("""COMPUTED_VALUE"""),"PP661-23455")</f>
        <v>PP661-23455</v>
      </c>
      <c r="E667" s="2" t="str">
        <f>IFERROR(__xludf.DUMMYFUNCTION("""COMPUTED_VALUE"""),"iPhone 13, Starlight, 128GB, Logic Board Assy Rear System, ROW")</f>
        <v>iPhone 13, Starlight, 128GB, Logic Board Assy Rear System, ROW</v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>
      <c r="A668" s="3" t="str">
        <f t="shared" si="1"/>
        <v>June</v>
      </c>
      <c r="B668" s="11">
        <f>IFERROR(__xludf.DUMMYFUNCTION("""COMPUTED_VALUE"""),46193.0)</f>
        <v>46193</v>
      </c>
      <c r="C668" s="2" t="str">
        <f>IFERROR(__xludf.DUMMYFUNCTION("""COMPUTED_VALUE"""),"MOBILECARE - LIMA ESTATE")</f>
        <v>MOBILECARE - LIMA ESTATE</v>
      </c>
      <c r="D668" s="2" t="str">
        <f>IFERROR(__xludf.DUMMYFUNCTION("""COMPUTED_VALUE"""),"661-56124")</f>
        <v>661-56124</v>
      </c>
      <c r="E668" s="2" t="str">
        <f>IFERROR(__xludf.DUMMYFUNCTION("""COMPUTED_VALUE"""),"Deep Blue, Back Glass, iPhone 17 Pro")</f>
        <v>Deep Blue, Back Glass, iPhone 17 Pro</v>
      </c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>
      <c r="A669" s="3" t="str">
        <f t="shared" si="1"/>
        <v>June</v>
      </c>
      <c r="B669" s="11">
        <f>IFERROR(__xludf.DUMMYFUNCTION("""COMPUTED_VALUE"""),46183.0)</f>
        <v>46183</v>
      </c>
      <c r="C669" s="2" t="str">
        <f>IFERROR(__xludf.DUMMYFUNCTION("""COMPUTED_VALUE"""),"MOBILECARE - LIMA ESTATE")</f>
        <v>MOBILECARE - LIMA ESTATE</v>
      </c>
      <c r="D669" s="2" t="str">
        <f>IFERROR(__xludf.DUMMYFUNCTION("""COMPUTED_VALUE"""),"TA661-45236")</f>
        <v>TA661-45236</v>
      </c>
      <c r="E669" s="2" t="str">
        <f>IFERROR(__xludf.DUMMYFUNCTION("""COMPUTED_VALUE"""),"256GB, Black, ROW, iPhone 16 Plus, Logic Board Assy Mid System")</f>
        <v>256GB, Black, ROW, iPhone 16 Plus, Logic Board Assy Mid System</v>
      </c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>
      <c r="A670" s="3" t="str">
        <f t="shared" si="1"/>
        <v>June</v>
      </c>
      <c r="B670" s="11">
        <f>IFERROR(__xludf.DUMMYFUNCTION("""COMPUTED_VALUE"""),46185.0)</f>
        <v>46185</v>
      </c>
      <c r="C670" s="2" t="str">
        <f>IFERROR(__xludf.DUMMYFUNCTION("""COMPUTED_VALUE"""),"MOBILECARE - LIMA ESTATE")</f>
        <v>MOBILECARE - LIMA ESTATE</v>
      </c>
      <c r="D670" s="2" t="str">
        <f>IFERROR(__xludf.DUMMYFUNCTION("""COMPUTED_VALUE"""),"PP661-28871")</f>
        <v>PP661-28871</v>
      </c>
      <c r="E670" s="2" t="str">
        <f>IFERROR(__xludf.DUMMYFUNCTION("""COMPUTED_VALUE"""),"iPhone 14, Blue, 128GB, Logic Board Assy Mid System, ROW")</f>
        <v>iPhone 14, Blue, 128GB, Logic Board Assy Mid System, ROW</v>
      </c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>
      <c r="A671" s="3" t="str">
        <f t="shared" si="1"/>
        <v>February</v>
      </c>
      <c r="B671" s="11">
        <f>IFERROR(__xludf.DUMMYFUNCTION("""COMPUTED_VALUE"""),46058.0)</f>
        <v>46058</v>
      </c>
      <c r="C671" s="2" t="str">
        <f>IFERROR(__xludf.DUMMYFUNCTION("""COMPUTED_VALUE"""),"MOBILECARE - LIMA ESTATE")</f>
        <v>MOBILECARE - LIMA ESTATE</v>
      </c>
      <c r="D671" s="2" t="str">
        <f>IFERROR(__xludf.DUMMYFUNCTION("""COMPUTED_VALUE"""),"PP661-23454")</f>
        <v>PP661-23454</v>
      </c>
      <c r="E671" s="2" t="str">
        <f>IFERROR(__xludf.DUMMYFUNCTION("""COMPUTED_VALUE"""),"iPhone 13, Midnight, 128GB, Logic Board Assy Rear System, ROW")</f>
        <v>iPhone 13, Midnight, 128GB, Logic Board Assy Rear System, ROW</v>
      </c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>
      <c r="A672" s="3" t="str">
        <f t="shared" si="1"/>
        <v>March</v>
      </c>
      <c r="B672" s="11">
        <f>IFERROR(__xludf.DUMMYFUNCTION("""COMPUTED_VALUE"""),46091.0)</f>
        <v>46091</v>
      </c>
      <c r="C672" s="2" t="str">
        <f>IFERROR(__xludf.DUMMYFUNCTION("""COMPUTED_VALUE"""),"MOBILECARE - LIMA ESTATE")</f>
        <v>MOBILECARE - LIMA ESTATE</v>
      </c>
      <c r="D672" s="2" t="str">
        <f>IFERROR(__xludf.DUMMYFUNCTION("""COMPUTED_VALUE"""),"PP661-23455")</f>
        <v>PP661-23455</v>
      </c>
      <c r="E672" s="2" t="str">
        <f>IFERROR(__xludf.DUMMYFUNCTION("""COMPUTED_VALUE"""),"iPhone 13, Starlight, 128GB, Logic Board Assy Rear System, ROW")</f>
        <v>iPhone 13, Starlight, 128GB, Logic Board Assy Rear System, ROW</v>
      </c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>
      <c r="A673" s="3" t="str">
        <f t="shared" si="1"/>
        <v>February</v>
      </c>
      <c r="B673" s="11">
        <f>IFERROR(__xludf.DUMMYFUNCTION("""COMPUTED_VALUE"""),46062.0)</f>
        <v>46062</v>
      </c>
      <c r="C673" s="2" t="str">
        <f>IFERROR(__xludf.DUMMYFUNCTION("""COMPUTED_VALUE"""),"MOBILECARE - LIMA ESTATE")</f>
        <v>MOBILECARE - LIMA ESTATE</v>
      </c>
      <c r="D673" s="2" t="str">
        <f>IFERROR(__xludf.DUMMYFUNCTION("""COMPUTED_VALUE"""),"PP661-23455")</f>
        <v>PP661-23455</v>
      </c>
      <c r="E673" s="2" t="str">
        <f>IFERROR(__xludf.DUMMYFUNCTION("""COMPUTED_VALUE"""),"iPhone 13, Starlight, 128GB, Logic Board Assy Rear System, ROW")</f>
        <v>iPhone 13, Starlight, 128GB, Logic Board Assy Rear System, ROW</v>
      </c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>
      <c r="A674" s="3" t="str">
        <f t="shared" si="1"/>
        <v>June</v>
      </c>
      <c r="B674" s="11">
        <f>IFERROR(__xludf.DUMMYFUNCTION("""COMPUTED_VALUE"""),46183.0)</f>
        <v>46183</v>
      </c>
      <c r="C674" s="2" t="str">
        <f>IFERROR(__xludf.DUMMYFUNCTION("""COMPUTED_VALUE"""),"MOBILECARE - LIMA ESTATE")</f>
        <v>MOBILECARE - LIMA ESTATE</v>
      </c>
      <c r="D674" s="2" t="str">
        <f>IFERROR(__xludf.DUMMYFUNCTION("""COMPUTED_VALUE"""),"PP661-28868")</f>
        <v>PP661-28868</v>
      </c>
      <c r="E674" s="2" t="str">
        <f>IFERROR(__xludf.DUMMYFUNCTION("""COMPUTED_VALUE"""),"iPhone 14, Midnight, 128GB, Logic Board Assy Mid System, ROW")</f>
        <v>iPhone 14, Midnight, 128GB, Logic Board Assy Mid System, ROW</v>
      </c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>
      <c r="A675" s="3" t="str">
        <f t="shared" si="1"/>
        <v>February</v>
      </c>
      <c r="B675" s="11">
        <f>IFERROR(__xludf.DUMMYFUNCTION("""COMPUTED_VALUE"""),46062.0)</f>
        <v>46062</v>
      </c>
      <c r="C675" s="2" t="str">
        <f>IFERROR(__xludf.DUMMYFUNCTION("""COMPUTED_VALUE"""),"MOBILECARE - LIMA ESTATE")</f>
        <v>MOBILECARE - LIMA ESTATE</v>
      </c>
      <c r="D675" s="2" t="str">
        <f>IFERROR(__xludf.DUMMYFUNCTION("""COMPUTED_VALUE"""),"PP661-23454")</f>
        <v>PP661-23454</v>
      </c>
      <c r="E675" s="2" t="str">
        <f>IFERROR(__xludf.DUMMYFUNCTION("""COMPUTED_VALUE"""),"iPhone 13, Midnight, 128GB, Logic Board Assy Rear System, ROW")</f>
        <v>iPhone 13, Midnight, 128GB, Logic Board Assy Rear System, ROW</v>
      </c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>
      <c r="A676" s="3" t="str">
        <f t="shared" si="1"/>
        <v>February</v>
      </c>
      <c r="B676" s="11">
        <f>IFERROR(__xludf.DUMMYFUNCTION("""COMPUTED_VALUE"""),46059.0)</f>
        <v>46059</v>
      </c>
      <c r="C676" s="2" t="str">
        <f>IFERROR(__xludf.DUMMYFUNCTION("""COMPUTED_VALUE"""),"MOBILECARE - LIMA ESTATE")</f>
        <v>MOBILECARE - LIMA ESTATE</v>
      </c>
      <c r="D676" s="2" t="str">
        <f>IFERROR(__xludf.DUMMYFUNCTION("""COMPUTED_VALUE"""),"TA661-36696")</f>
        <v>TA661-36696</v>
      </c>
      <c r="E676" s="2" t="str">
        <f>IFERROR(__xludf.DUMMYFUNCTION("""COMPUTED_VALUE"""),"iPhone 15, Black, 256GB, Logic Board Assy Mid System, ROW")</f>
        <v>iPhone 15, Black, 256GB, Logic Board Assy Mid System, ROW</v>
      </c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>
      <c r="A677" s="3" t="str">
        <f t="shared" si="1"/>
        <v>June</v>
      </c>
      <c r="B677" s="11">
        <f>IFERROR(__xludf.DUMMYFUNCTION("""COMPUTED_VALUE"""),46190.0)</f>
        <v>46190</v>
      </c>
      <c r="C677" s="2" t="str">
        <f>IFERROR(__xludf.DUMMYFUNCTION("""COMPUTED_VALUE"""),"MOBILECARE - LIMA ESTATE")</f>
        <v>MOBILECARE - LIMA ESTATE</v>
      </c>
      <c r="D677" s="2" t="str">
        <f>IFERROR(__xludf.DUMMYFUNCTION("""COMPUTED_VALUE"""),"TA661-43606")</f>
        <v>TA661-43606</v>
      </c>
      <c r="E677" s="2" t="str">
        <f>IFERROR(__xludf.DUMMYFUNCTION("""COMPUTED_VALUE"""),"128GB, White, ROW, iPhone 16, Logic Board Assy Mid System")</f>
        <v>128GB, White, ROW, iPhone 16, Logic Board Assy Mid System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>
      <c r="A678" s="3" t="str">
        <f t="shared" si="1"/>
        <v>May</v>
      </c>
      <c r="B678" s="11">
        <f>IFERROR(__xludf.DUMMYFUNCTION("""COMPUTED_VALUE"""),46144.0)</f>
        <v>46144</v>
      </c>
      <c r="C678" s="2" t="str">
        <f>IFERROR(__xludf.DUMMYFUNCTION("""COMPUTED_VALUE"""),"MOBILECARE - LIMA ESTATE")</f>
        <v>MOBILECARE - LIMA ESTATE</v>
      </c>
      <c r="D678" s="2" t="str">
        <f>IFERROR(__xludf.DUMMYFUNCTION("""COMPUTED_VALUE"""),"PP661-28869")</f>
        <v>PP661-28869</v>
      </c>
      <c r="E678" s="2" t="str">
        <f>IFERROR(__xludf.DUMMYFUNCTION("""COMPUTED_VALUE"""),"iPhone 14, Starlight, 128GB, Logic Board Assy Mid System, ROW")</f>
        <v>iPhone 14, Starlight, 128GB, Logic Board Assy Mid System, ROW</v>
      </c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>
      <c r="A679" s="3" t="str">
        <f t="shared" si="1"/>
        <v>February</v>
      </c>
      <c r="B679" s="11">
        <f>IFERROR(__xludf.DUMMYFUNCTION("""COMPUTED_VALUE"""),46059.0)</f>
        <v>46059</v>
      </c>
      <c r="C679" s="2" t="str">
        <f>IFERROR(__xludf.DUMMYFUNCTION("""COMPUTED_VALUE"""),"MOBILECARE - LIMA ESTATE")</f>
        <v>MOBILECARE - LIMA ESTATE</v>
      </c>
      <c r="D679" s="2" t="str">
        <f>IFERROR(__xludf.DUMMYFUNCTION("""COMPUTED_VALUE"""),"PP661-23460")</f>
        <v>PP661-23460</v>
      </c>
      <c r="E679" s="2" t="str">
        <f>IFERROR(__xludf.DUMMYFUNCTION("""COMPUTED_VALUE"""),"iPhone 13, Starlight, 256GB, Logic Board Assy Rear System, ROW")</f>
        <v>iPhone 13, Starlight, 256GB, Logic Board Assy Rear System, ROW</v>
      </c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>
      <c r="A680" s="3" t="str">
        <f t="shared" si="1"/>
        <v>February</v>
      </c>
      <c r="B680" s="11">
        <f>IFERROR(__xludf.DUMMYFUNCTION("""COMPUTED_VALUE"""),46060.0)</f>
        <v>46060</v>
      </c>
      <c r="C680" s="2" t="str">
        <f>IFERROR(__xludf.DUMMYFUNCTION("""COMPUTED_VALUE"""),"MOBILECARE - LIMA ESTATE")</f>
        <v>MOBILECARE - LIMA ESTATE</v>
      </c>
      <c r="D680" s="2" t="str">
        <f>IFERROR(__xludf.DUMMYFUNCTION("""COMPUTED_VALUE"""),"PP661-23455")</f>
        <v>PP661-23455</v>
      </c>
      <c r="E680" s="2" t="str">
        <f>IFERROR(__xludf.DUMMYFUNCTION("""COMPUTED_VALUE"""),"iPhone 13, Starlight, 128GB, Logic Board Assy Rear System, ROW")</f>
        <v>iPhone 13, Starlight, 128GB, Logic Board Assy Rear System, ROW</v>
      </c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>
      <c r="A681" s="3" t="str">
        <f t="shared" si="1"/>
        <v>February</v>
      </c>
      <c r="B681" s="11">
        <f>IFERROR(__xludf.DUMMYFUNCTION("""COMPUTED_VALUE"""),46067.0)</f>
        <v>46067</v>
      </c>
      <c r="C681" s="2" t="str">
        <f>IFERROR(__xludf.DUMMYFUNCTION("""COMPUTED_VALUE"""),"MOBILECARE - LIMA ESTATE")</f>
        <v>MOBILECARE - LIMA ESTATE</v>
      </c>
      <c r="D681" s="2" t="str">
        <f>IFERROR(__xludf.DUMMYFUNCTION("""COMPUTED_VALUE"""),"PP661-23454")</f>
        <v>PP661-23454</v>
      </c>
      <c r="E681" s="2" t="str">
        <f>IFERROR(__xludf.DUMMYFUNCTION("""COMPUTED_VALUE"""),"iPhone 13, Midnight, 128GB, Logic Board Assy Rear System, ROW")</f>
        <v>iPhone 13, Midnight, 128GB, Logic Board Assy Rear System, ROW</v>
      </c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>
      <c r="A682" s="3" t="str">
        <f t="shared" si="1"/>
        <v>April</v>
      </c>
      <c r="B682" s="11">
        <f>IFERROR(__xludf.DUMMYFUNCTION("""COMPUTED_VALUE"""),46134.0)</f>
        <v>46134</v>
      </c>
      <c r="C682" s="2" t="str">
        <f>IFERROR(__xludf.DUMMYFUNCTION("""COMPUTED_VALUE"""),"MOBILECARE - LIMA ESTATE")</f>
        <v>MOBILECARE - LIMA ESTATE</v>
      </c>
      <c r="D682" s="2" t="str">
        <f>IFERROR(__xludf.DUMMYFUNCTION("""COMPUTED_VALUE"""),"PP661-23454")</f>
        <v>PP661-23454</v>
      </c>
      <c r="E682" s="2" t="str">
        <f>IFERROR(__xludf.DUMMYFUNCTION("""COMPUTED_VALUE"""),"iPhone 13, Midnight, 128GB, Logic Board Assy Rear System, ROW")</f>
        <v>iPhone 13, Midnight, 128GB, Logic Board Assy Rear System, ROW</v>
      </c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>
      <c r="A683" s="3" t="str">
        <f t="shared" si="1"/>
        <v>February</v>
      </c>
      <c r="B683" s="11">
        <f>IFERROR(__xludf.DUMMYFUNCTION("""COMPUTED_VALUE"""),46061.0)</f>
        <v>46061</v>
      </c>
      <c r="C683" s="2" t="str">
        <f>IFERROR(__xludf.DUMMYFUNCTION("""COMPUTED_VALUE"""),"MOBILECARE - LIMA ESTATE")</f>
        <v>MOBILECARE - LIMA ESTATE</v>
      </c>
      <c r="D683" s="2" t="str">
        <f>IFERROR(__xludf.DUMMYFUNCTION("""COMPUTED_VALUE"""),"PP661-23455")</f>
        <v>PP661-23455</v>
      </c>
      <c r="E683" s="2" t="str">
        <f>IFERROR(__xludf.DUMMYFUNCTION("""COMPUTED_VALUE"""),"iPhone 13, Starlight, 128GB, Logic Board Assy Rear System, ROW")</f>
        <v>iPhone 13, Starlight, 128GB, Logic Board Assy Rear System, ROW</v>
      </c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>
      <c r="A684" s="3" t="str">
        <f t="shared" si="1"/>
        <v>February</v>
      </c>
      <c r="B684" s="11">
        <f>IFERROR(__xludf.DUMMYFUNCTION("""COMPUTED_VALUE"""),46058.0)</f>
        <v>46058</v>
      </c>
      <c r="C684" s="2" t="str">
        <f>IFERROR(__xludf.DUMMYFUNCTION("""COMPUTED_VALUE"""),"MOBILECARE - LIMA ESTATE")</f>
        <v>MOBILECARE - LIMA ESTATE</v>
      </c>
      <c r="D684" s="2" t="str">
        <f>IFERROR(__xludf.DUMMYFUNCTION("""COMPUTED_VALUE"""),"PP661-23455")</f>
        <v>PP661-23455</v>
      </c>
      <c r="E684" s="2" t="str">
        <f>IFERROR(__xludf.DUMMYFUNCTION("""COMPUTED_VALUE"""),"iPhone 13, Starlight, 128GB, Logic Board Assy Rear System, ROW")</f>
        <v>iPhone 13, Starlight, 128GB, Logic Board Assy Rear System, ROW</v>
      </c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>
      <c r="A685" s="3" t="str">
        <f t="shared" si="1"/>
        <v>April</v>
      </c>
      <c r="B685" s="11">
        <f>IFERROR(__xludf.DUMMYFUNCTION("""COMPUTED_VALUE"""),46125.0)</f>
        <v>46125</v>
      </c>
      <c r="C685" s="2" t="str">
        <f>IFERROR(__xludf.DUMMYFUNCTION("""COMPUTED_VALUE"""),"MOBILECARE - LIMA ESTATE")</f>
        <v>MOBILECARE - LIMA ESTATE</v>
      </c>
      <c r="D685" s="2" t="str">
        <f>IFERROR(__xludf.DUMMYFUNCTION("""COMPUTED_VALUE"""),"PP661-23454")</f>
        <v>PP661-23454</v>
      </c>
      <c r="E685" s="2" t="str">
        <f>IFERROR(__xludf.DUMMYFUNCTION("""COMPUTED_VALUE"""),"iPhone 13, Midnight, 128GB, Logic Board Assy Rear System, ROW")</f>
        <v>iPhone 13, Midnight, 128GB, Logic Board Assy Rear System, ROW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>
      <c r="A686" s="3" t="str">
        <f t="shared" si="1"/>
        <v>June</v>
      </c>
      <c r="B686" s="11">
        <f>IFERROR(__xludf.DUMMYFUNCTION("""COMPUTED_VALUE"""),46190.0)</f>
        <v>46190</v>
      </c>
      <c r="C686" s="2" t="str">
        <f>IFERROR(__xludf.DUMMYFUNCTION("""COMPUTED_VALUE"""),"MOBILECARE - LIMA ESTATE")</f>
        <v>MOBILECARE - LIMA ESTATE</v>
      </c>
      <c r="D686" s="2" t="str">
        <f>IFERROR(__xludf.DUMMYFUNCTION("""COMPUTED_VALUE"""),"PP661-28868")</f>
        <v>PP661-28868</v>
      </c>
      <c r="E686" s="2" t="str">
        <f>IFERROR(__xludf.DUMMYFUNCTION("""COMPUTED_VALUE"""),"iPhone 14, Midnight, 128GB, Logic Board Assy Mid System, ROW")</f>
        <v>iPhone 14, Midnight, 128GB, Logic Board Assy Mid System, ROW</v>
      </c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>
      <c r="A687" s="3" t="str">
        <f t="shared" si="1"/>
        <v>May</v>
      </c>
      <c r="B687" s="11">
        <f>IFERROR(__xludf.DUMMYFUNCTION("""COMPUTED_VALUE"""),46151.0)</f>
        <v>46151</v>
      </c>
      <c r="C687" s="2" t="str">
        <f>IFERROR(__xludf.DUMMYFUNCTION("""COMPUTED_VALUE"""),"MOBILECARE - LIMA ESTATE")</f>
        <v>MOBILECARE - LIMA ESTATE</v>
      </c>
      <c r="D687" s="2" t="str">
        <f>IFERROR(__xludf.DUMMYFUNCTION("""COMPUTED_VALUE"""),"TA661-36691")</f>
        <v>TA661-36691</v>
      </c>
      <c r="E687" s="2" t="str">
        <f>IFERROR(__xludf.DUMMYFUNCTION("""COMPUTED_VALUE"""),"iPhone 15, Black, 128GB, Logic Board Assy Mid System, ROW")</f>
        <v>iPhone 15, Black, 128GB, Logic Board Assy Mid System, ROW</v>
      </c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>
      <c r="A688" s="3" t="str">
        <f t="shared" si="1"/>
        <v>June</v>
      </c>
      <c r="B688" s="11">
        <f>IFERROR(__xludf.DUMMYFUNCTION("""COMPUTED_VALUE"""),46191.0)</f>
        <v>46191</v>
      </c>
      <c r="C688" s="2" t="str">
        <f>IFERROR(__xludf.DUMMYFUNCTION("""COMPUTED_VALUE"""),"MOBILECARE - LIMA ESTATE")</f>
        <v>MOBILECARE - LIMA ESTATE</v>
      </c>
      <c r="D688" s="2" t="str">
        <f>IFERROR(__xludf.DUMMYFUNCTION("""COMPUTED_VALUE"""),"PP661-23454")</f>
        <v>PP661-23454</v>
      </c>
      <c r="E688" s="2" t="str">
        <f>IFERROR(__xludf.DUMMYFUNCTION("""COMPUTED_VALUE"""),"iPhone 13, Midnight, 128GB, Logic Board Assy Rear System, ROW")</f>
        <v>iPhone 13, Midnight, 128GB, Logic Board Assy Rear System, ROW</v>
      </c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>
      <c r="A689" s="3" t="str">
        <f t="shared" si="1"/>
        <v>January</v>
      </c>
      <c r="B689" s="11">
        <f>IFERROR(__xludf.DUMMYFUNCTION("""COMPUTED_VALUE"""),46051.0)</f>
        <v>46051</v>
      </c>
      <c r="C689" s="2" t="str">
        <f>IFERROR(__xludf.DUMMYFUNCTION("""COMPUTED_VALUE"""),"MOBILECARE - LIMA ESTATE")</f>
        <v>MOBILECARE - LIMA ESTATE</v>
      </c>
      <c r="D689" s="2" t="str">
        <f>IFERROR(__xludf.DUMMYFUNCTION("""COMPUTED_VALUE"""),"TA661-43605")</f>
        <v>TA661-43605</v>
      </c>
      <c r="E689" s="2" t="str">
        <f>IFERROR(__xludf.DUMMYFUNCTION("""COMPUTED_VALUE"""),"128GB, Black, ROW, iPhone 16, Logic Board Assy Mid System")</f>
        <v>128GB, Black, ROW, iPhone 16, Logic Board Assy Mid System</v>
      </c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>
      <c r="A690" s="3" t="str">
        <f t="shared" si="1"/>
        <v>February</v>
      </c>
      <c r="B690" s="11">
        <f>IFERROR(__xludf.DUMMYFUNCTION("""COMPUTED_VALUE"""),46080.0)</f>
        <v>46080</v>
      </c>
      <c r="C690" s="2" t="str">
        <f>IFERROR(__xludf.DUMMYFUNCTION("""COMPUTED_VALUE"""),"MOBILECARE - LIMA ESTATE")</f>
        <v>MOBILECARE - LIMA ESTATE</v>
      </c>
      <c r="D690" s="2" t="str">
        <f>IFERROR(__xludf.DUMMYFUNCTION("""COMPUTED_VALUE"""),"PP661-23454")</f>
        <v>PP661-23454</v>
      </c>
      <c r="E690" s="2" t="str">
        <f>IFERROR(__xludf.DUMMYFUNCTION("""COMPUTED_VALUE"""),"iPhone 13, Midnight, 128GB, Logic Board Assy Rear System, ROW")</f>
        <v>iPhone 13, Midnight, 128GB, Logic Board Assy Rear System, ROW</v>
      </c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>
      <c r="A691" s="3" t="str">
        <f t="shared" si="1"/>
        <v>February</v>
      </c>
      <c r="B691" s="11">
        <f>IFERROR(__xludf.DUMMYFUNCTION("""COMPUTED_VALUE"""),46062.0)</f>
        <v>46062</v>
      </c>
      <c r="C691" s="2" t="str">
        <f>IFERROR(__xludf.DUMMYFUNCTION("""COMPUTED_VALUE"""),"MOBILECARE - LIMA ESTATE")</f>
        <v>MOBILECARE - LIMA ESTATE</v>
      </c>
      <c r="D691" s="2" t="str">
        <f>IFERROR(__xludf.DUMMYFUNCTION("""COMPUTED_VALUE"""),"PP661-23454")</f>
        <v>PP661-23454</v>
      </c>
      <c r="E691" s="2" t="str">
        <f>IFERROR(__xludf.DUMMYFUNCTION("""COMPUTED_VALUE"""),"iPhone 13, Midnight, 128GB, Logic Board Assy Rear System, ROW")</f>
        <v>iPhone 13, Midnight, 128GB, Logic Board Assy Rear System, ROW</v>
      </c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>
      <c r="A692" s="3" t="str">
        <f t="shared" si="1"/>
        <v>June</v>
      </c>
      <c r="B692" s="11">
        <f>IFERROR(__xludf.DUMMYFUNCTION("""COMPUTED_VALUE"""),46190.0)</f>
        <v>46190</v>
      </c>
      <c r="C692" s="2" t="str">
        <f>IFERROR(__xludf.DUMMYFUNCTION("""COMPUTED_VALUE"""),"MOBILECARE - LIMA ESTATE")</f>
        <v>MOBILECARE - LIMA ESTATE</v>
      </c>
      <c r="D692" s="2" t="str">
        <f>IFERROR(__xludf.DUMMYFUNCTION("""COMPUTED_VALUE"""),"PP661-23454")</f>
        <v>PP661-23454</v>
      </c>
      <c r="E692" s="2" t="str">
        <f>IFERROR(__xludf.DUMMYFUNCTION("""COMPUTED_VALUE"""),"iPhone 13, Midnight, 128GB, Logic Board Assy Rear System, ROW")</f>
        <v>iPhone 13, Midnight, 128GB, Logic Board Assy Rear System, ROW</v>
      </c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>
      <c r="A693" s="3" t="str">
        <f t="shared" si="1"/>
        <v>June</v>
      </c>
      <c r="B693" s="11">
        <f>IFERROR(__xludf.DUMMYFUNCTION("""COMPUTED_VALUE"""),46182.0)</f>
        <v>46182</v>
      </c>
      <c r="C693" s="2" t="str">
        <f>IFERROR(__xludf.DUMMYFUNCTION("""COMPUTED_VALUE"""),"MOBILECARE - LIMA ESTATE")</f>
        <v>MOBILECARE - LIMA ESTATE</v>
      </c>
      <c r="D693" s="2" t="str">
        <f>IFERROR(__xludf.DUMMYFUNCTION("""COMPUTED_VALUE"""),"PP661-23454")</f>
        <v>PP661-23454</v>
      </c>
      <c r="E693" s="2" t="str">
        <f>IFERROR(__xludf.DUMMYFUNCTION("""COMPUTED_VALUE"""),"iPhone 13, Midnight, 128GB, Logic Board Assy Rear System, ROW")</f>
        <v>iPhone 13, Midnight, 128GB, Logic Board Assy Rear System, ROW</v>
      </c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>
      <c r="A694" s="3" t="str">
        <f t="shared" si="1"/>
        <v>March</v>
      </c>
      <c r="B694" s="11">
        <f>IFERROR(__xludf.DUMMYFUNCTION("""COMPUTED_VALUE"""),46111.0)</f>
        <v>46111</v>
      </c>
      <c r="C694" s="2" t="str">
        <f>IFERROR(__xludf.DUMMYFUNCTION("""COMPUTED_VALUE"""),"MOBILECARE - LIMA ESTATE")</f>
        <v>MOBILECARE - LIMA ESTATE</v>
      </c>
      <c r="D694" s="2" t="str">
        <f>IFERROR(__xludf.DUMMYFUNCTION("""COMPUTED_VALUE"""),"TA661-36694")</f>
        <v>TA661-36694</v>
      </c>
      <c r="E694" s="2" t="str">
        <f>IFERROR(__xludf.DUMMYFUNCTION("""COMPUTED_VALUE"""),"iPhone 15, Blue, 128GB, Logic Board Assy Mid System, ROW")</f>
        <v>iPhone 15, Blue, 128GB, Logic Board Assy Mid System, ROW</v>
      </c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>
      <c r="A695" s="3" t="str">
        <f t="shared" si="1"/>
        <v>March</v>
      </c>
      <c r="B695" s="11">
        <f>IFERROR(__xludf.DUMMYFUNCTION("""COMPUTED_VALUE"""),46094.0)</f>
        <v>46094</v>
      </c>
      <c r="C695" s="2" t="str">
        <f>IFERROR(__xludf.DUMMYFUNCTION("""COMPUTED_VALUE"""),"MOBILECARE - LIMA ESTATE")</f>
        <v>MOBILECARE - LIMA ESTATE</v>
      </c>
      <c r="D695" s="2" t="str">
        <f>IFERROR(__xludf.DUMMYFUNCTION("""COMPUTED_VALUE"""),"TA661-43613")</f>
        <v>TA661-43613</v>
      </c>
      <c r="E695" s="2" t="str">
        <f>IFERROR(__xludf.DUMMYFUNCTION("""COMPUTED_VALUE"""),"256GB, Ultramarine, ROW, iPhone 16, Logic Board Assy Mid System")</f>
        <v>256GB, Ultramarine, ROW, iPhone 16, Logic Board Assy Mid System</v>
      </c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>
      <c r="A696" s="3" t="str">
        <f t="shared" si="1"/>
        <v>March</v>
      </c>
      <c r="B696" s="11">
        <f>IFERROR(__xludf.DUMMYFUNCTION("""COMPUTED_VALUE"""),46087.0)</f>
        <v>46087</v>
      </c>
      <c r="C696" s="2" t="str">
        <f>IFERROR(__xludf.DUMMYFUNCTION("""COMPUTED_VALUE"""),"MOBILECARE - LIMA ESTATE")</f>
        <v>MOBILECARE - LIMA ESTATE</v>
      </c>
      <c r="D696" s="2" t="str">
        <f>IFERROR(__xludf.DUMMYFUNCTION("""COMPUTED_VALUE"""),"TA661-36694")</f>
        <v>TA661-36694</v>
      </c>
      <c r="E696" s="2" t="str">
        <f>IFERROR(__xludf.DUMMYFUNCTION("""COMPUTED_VALUE"""),"iPhone 15, Blue, 128GB, Logic Board Assy Mid System, ROW")</f>
        <v>iPhone 15, Blue, 128GB, Logic Board Assy Mid System, ROW</v>
      </c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>
      <c r="A697" s="3" t="str">
        <f t="shared" si="1"/>
        <v>June</v>
      </c>
      <c r="B697" s="11">
        <f>IFERROR(__xludf.DUMMYFUNCTION("""COMPUTED_VALUE"""),46184.0)</f>
        <v>46184</v>
      </c>
      <c r="C697" s="2" t="str">
        <f>IFERROR(__xludf.DUMMYFUNCTION("""COMPUTED_VALUE"""),"MOBILECARE - LIMA ESTATE")</f>
        <v>MOBILECARE - LIMA ESTATE</v>
      </c>
      <c r="D697" s="2" t="str">
        <f>IFERROR(__xludf.DUMMYFUNCTION("""COMPUTED_VALUE"""),"TA661-43606")</f>
        <v>TA661-43606</v>
      </c>
      <c r="E697" s="2" t="str">
        <f>IFERROR(__xludf.DUMMYFUNCTION("""COMPUTED_VALUE"""),"128GB, White, ROW, iPhone 16, Logic Board Assy Mid System")</f>
        <v>128GB, White, ROW, iPhone 16, Logic Board Assy Mid System</v>
      </c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>
      <c r="A698" s="3" t="str">
        <f t="shared" si="1"/>
        <v>April</v>
      </c>
      <c r="B698" s="11">
        <f>IFERROR(__xludf.DUMMYFUNCTION("""COMPUTED_VALUE"""),46119.0)</f>
        <v>46119</v>
      </c>
      <c r="C698" s="2" t="str">
        <f>IFERROR(__xludf.DUMMYFUNCTION("""COMPUTED_VALUE"""),"MOBILECARE - LIMA ESTATE")</f>
        <v>MOBILECARE - LIMA ESTATE</v>
      </c>
      <c r="D698" s="2" t="str">
        <f>IFERROR(__xludf.DUMMYFUNCTION("""COMPUTED_VALUE"""),"PP661-28869")</f>
        <v>PP661-28869</v>
      </c>
      <c r="E698" s="2" t="str">
        <f>IFERROR(__xludf.DUMMYFUNCTION("""COMPUTED_VALUE"""),"iPhone 14, Starlight, 128GB, Logic Board Assy Mid System, ROW")</f>
        <v>iPhone 14, Starlight, 128GB, Logic Board Assy Mid System, ROW</v>
      </c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>
      <c r="A699" s="3" t="str">
        <f t="shared" si="1"/>
        <v>March</v>
      </c>
      <c r="B699" s="11">
        <f>IFERROR(__xludf.DUMMYFUNCTION("""COMPUTED_VALUE"""),46112.0)</f>
        <v>46112</v>
      </c>
      <c r="C699" s="2" t="str">
        <f>IFERROR(__xludf.DUMMYFUNCTION("""COMPUTED_VALUE"""),"MOBILECARE - LIMA ESTATE")</f>
        <v>MOBILECARE - LIMA ESTATE</v>
      </c>
      <c r="D699" s="2" t="str">
        <f>IFERROR(__xludf.DUMMYFUNCTION("""COMPUTED_VALUE"""),"TA661-43610")</f>
        <v>TA661-43610</v>
      </c>
      <c r="E699" s="2" t="str">
        <f>IFERROR(__xludf.DUMMYFUNCTION("""COMPUTED_VALUE"""),"256GB, Black, ROW, iPhone 16, Logic Board Assy Mid System")</f>
        <v>256GB, Black, ROW, iPhone 16, Logic Board Assy Mid System</v>
      </c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>
      <c r="A700" s="3" t="str">
        <f t="shared" si="1"/>
        <v>March</v>
      </c>
      <c r="B700" s="11">
        <f>IFERROR(__xludf.DUMMYFUNCTION("""COMPUTED_VALUE"""),46098.0)</f>
        <v>46098</v>
      </c>
      <c r="C700" s="2" t="str">
        <f>IFERROR(__xludf.DUMMYFUNCTION("""COMPUTED_VALUE"""),"MOBILECARE - LIMA ESTATE")</f>
        <v>MOBILECARE - LIMA ESTATE</v>
      </c>
      <c r="D700" s="2" t="str">
        <f>IFERROR(__xludf.DUMMYFUNCTION("""COMPUTED_VALUE"""),"PP661-23454")</f>
        <v>PP661-23454</v>
      </c>
      <c r="E700" s="2" t="str">
        <f>IFERROR(__xludf.DUMMYFUNCTION("""COMPUTED_VALUE"""),"iPhone 13, Midnight, 128GB, Logic Board Assy Rear System, ROW")</f>
        <v>iPhone 13, Midnight, 128GB, Logic Board Assy Rear System, ROW</v>
      </c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>
      <c r="A701" s="3" t="str">
        <f t="shared" si="1"/>
        <v>March</v>
      </c>
      <c r="B701" s="11">
        <f>IFERROR(__xludf.DUMMYFUNCTION("""COMPUTED_VALUE"""),46092.0)</f>
        <v>46092</v>
      </c>
      <c r="C701" s="2" t="str">
        <f>IFERROR(__xludf.DUMMYFUNCTION("""COMPUTED_VALUE"""),"MOBILECARE - LIMA ESTATE")</f>
        <v>MOBILECARE - LIMA ESTATE</v>
      </c>
      <c r="D701" s="2" t="str">
        <f>IFERROR(__xludf.DUMMYFUNCTION("""COMPUTED_VALUE"""),"PP661-23455")</f>
        <v>PP661-23455</v>
      </c>
      <c r="E701" s="2" t="str">
        <f>IFERROR(__xludf.DUMMYFUNCTION("""COMPUTED_VALUE"""),"iPhone 13, Starlight, 128GB, Logic Board Assy Rear System, ROW")</f>
        <v>iPhone 13, Starlight, 128GB, Logic Board Assy Rear System, ROW</v>
      </c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>
      <c r="A702" s="3" t="str">
        <f t="shared" si="1"/>
        <v>June</v>
      </c>
      <c r="B702" s="11">
        <f>IFERROR(__xludf.DUMMYFUNCTION("""COMPUTED_VALUE"""),46187.0)</f>
        <v>46187</v>
      </c>
      <c r="C702" s="2" t="str">
        <f>IFERROR(__xludf.DUMMYFUNCTION("""COMPUTED_VALUE"""),"MOBILECARE - LIMA ESTATE")</f>
        <v>MOBILECARE - LIMA ESTATE</v>
      </c>
      <c r="D702" s="2" t="str">
        <f>IFERROR(__xludf.DUMMYFUNCTION("""COMPUTED_VALUE"""),"PP661-23454")</f>
        <v>PP661-23454</v>
      </c>
      <c r="E702" s="2" t="str">
        <f>IFERROR(__xludf.DUMMYFUNCTION("""COMPUTED_VALUE"""),"iPhone 13, Midnight, 128GB, Logic Board Assy Rear System, ROW")</f>
        <v>iPhone 13, Midnight, 128GB, Logic Board Assy Rear System, ROW</v>
      </c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>
      <c r="A703" s="3" t="str">
        <f t="shared" si="1"/>
        <v>June</v>
      </c>
      <c r="B703" s="11">
        <f>IFERROR(__xludf.DUMMYFUNCTION("""COMPUTED_VALUE"""),46186.0)</f>
        <v>46186</v>
      </c>
      <c r="C703" s="2" t="str">
        <f>IFERROR(__xludf.DUMMYFUNCTION("""COMPUTED_VALUE"""),"MOBILECARE - LIMA ESTATE")</f>
        <v>MOBILECARE - LIMA ESTATE</v>
      </c>
      <c r="D703" s="2" t="str">
        <f>IFERROR(__xludf.DUMMYFUNCTION("""COMPUTED_VALUE"""),"TA661-36691")</f>
        <v>TA661-36691</v>
      </c>
      <c r="E703" s="2" t="str">
        <f>IFERROR(__xludf.DUMMYFUNCTION("""COMPUTED_VALUE"""),"iPhone 15, Black, 128GB, Logic Board Assy Mid System, ROW")</f>
        <v>iPhone 15, Black, 128GB, Logic Board Assy Mid System, ROW</v>
      </c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>
      <c r="A704" s="3" t="str">
        <f t="shared" si="1"/>
        <v>April</v>
      </c>
      <c r="B704" s="11">
        <f>IFERROR(__xludf.DUMMYFUNCTION("""COMPUTED_VALUE"""),46119.0)</f>
        <v>46119</v>
      </c>
      <c r="C704" s="2" t="str">
        <f>IFERROR(__xludf.DUMMYFUNCTION("""COMPUTED_VALUE"""),"MOBILECARE - LIMA ESTATE")</f>
        <v>MOBILECARE - LIMA ESTATE</v>
      </c>
      <c r="D704" s="2" t="str">
        <f>IFERROR(__xludf.DUMMYFUNCTION("""COMPUTED_VALUE"""),"PP661-23455")</f>
        <v>PP661-23455</v>
      </c>
      <c r="E704" s="2" t="str">
        <f>IFERROR(__xludf.DUMMYFUNCTION("""COMPUTED_VALUE"""),"iPhone 13, Starlight, 128GB, Logic Board Assy Rear System, ROW")</f>
        <v>iPhone 13, Starlight, 128GB, Logic Board Assy Rear System, ROW</v>
      </c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>
      <c r="A705" s="3" t="str">
        <f t="shared" si="1"/>
        <v>March</v>
      </c>
      <c r="B705" s="11">
        <f>IFERROR(__xludf.DUMMYFUNCTION("""COMPUTED_VALUE"""),46092.0)</f>
        <v>46092</v>
      </c>
      <c r="C705" s="2" t="str">
        <f>IFERROR(__xludf.DUMMYFUNCTION("""COMPUTED_VALUE"""),"MOBILECARE - LIMA ESTATE")</f>
        <v>MOBILECARE - LIMA ESTATE</v>
      </c>
      <c r="D705" s="2" t="str">
        <f>IFERROR(__xludf.DUMMYFUNCTION("""COMPUTED_VALUE"""),"PP661-23454")</f>
        <v>PP661-23454</v>
      </c>
      <c r="E705" s="2" t="str">
        <f>IFERROR(__xludf.DUMMYFUNCTION("""COMPUTED_VALUE"""),"iPhone 13, Midnight, 128GB, Logic Board Assy Rear System, ROW")</f>
        <v>iPhone 13, Midnight, 128GB, Logic Board Assy Rear System, ROW</v>
      </c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>
      <c r="A706" s="3" t="str">
        <f t="shared" si="1"/>
        <v>February</v>
      </c>
      <c r="B706" s="11">
        <f>IFERROR(__xludf.DUMMYFUNCTION("""COMPUTED_VALUE"""),46064.0)</f>
        <v>46064</v>
      </c>
      <c r="C706" s="2" t="str">
        <f>IFERROR(__xludf.DUMMYFUNCTION("""COMPUTED_VALUE"""),"MOBILECARE - LIMA ESTATE")</f>
        <v>MOBILECARE - LIMA ESTATE</v>
      </c>
      <c r="D706" s="2" t="str">
        <f>IFERROR(__xludf.DUMMYFUNCTION("""COMPUTED_VALUE"""),"661-36838")</f>
        <v>661-36838</v>
      </c>
      <c r="E706" s="2" t="str">
        <f>IFERROR(__xludf.DUMMYFUNCTION("""COMPUTED_VALUE"""),"Black, Back Glass, iPhone 15")</f>
        <v>Black, Back Glass, iPhone 15</v>
      </c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>
      <c r="A707" s="3" t="str">
        <f t="shared" si="1"/>
        <v>February</v>
      </c>
      <c r="B707" s="11">
        <f>IFERROR(__xludf.DUMMYFUNCTION("""COMPUTED_VALUE"""),46073.0)</f>
        <v>46073</v>
      </c>
      <c r="C707" s="2" t="str">
        <f>IFERROR(__xludf.DUMMYFUNCTION("""COMPUTED_VALUE"""),"MOBILECARE - LIMA ESTATE")</f>
        <v>MOBILECARE - LIMA ESTATE</v>
      </c>
      <c r="D707" s="2" t="str">
        <f>IFERROR(__xludf.DUMMYFUNCTION("""COMPUTED_VALUE"""),"PP661-23454")</f>
        <v>PP661-23454</v>
      </c>
      <c r="E707" s="2" t="str">
        <f>IFERROR(__xludf.DUMMYFUNCTION("""COMPUTED_VALUE"""),"iPhone 13, Midnight, 128GB, Logic Board Assy Rear System, ROW")</f>
        <v>iPhone 13, Midnight, 128GB, Logic Board Assy Rear System, ROW</v>
      </c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>
      <c r="A708" s="3" t="str">
        <f t="shared" si="1"/>
        <v>February</v>
      </c>
      <c r="B708" s="11">
        <f>IFERROR(__xludf.DUMMYFUNCTION("""COMPUTED_VALUE"""),46062.0)</f>
        <v>46062</v>
      </c>
      <c r="C708" s="2" t="str">
        <f>IFERROR(__xludf.DUMMYFUNCTION("""COMPUTED_VALUE"""),"MOBILECARE - LIMA ESTATE")</f>
        <v>MOBILECARE - LIMA ESTATE</v>
      </c>
      <c r="D708" s="2" t="str">
        <f>IFERROR(__xludf.DUMMYFUNCTION("""COMPUTED_VALUE"""),"TA661-45236")</f>
        <v>TA661-45236</v>
      </c>
      <c r="E708" s="2" t="str">
        <f>IFERROR(__xludf.DUMMYFUNCTION("""COMPUTED_VALUE"""),"256GB, Black, ROW, iPhone 16 Plus, Logic Board Assy Mid System")</f>
        <v>256GB, Black, ROW, iPhone 16 Plus, Logic Board Assy Mid System</v>
      </c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>
      <c r="A709" s="3" t="str">
        <f t="shared" si="1"/>
        <v>March</v>
      </c>
      <c r="B709" s="11">
        <f>IFERROR(__xludf.DUMMYFUNCTION("""COMPUTED_VALUE"""),46082.0)</f>
        <v>46082</v>
      </c>
      <c r="C709" s="2" t="str">
        <f>IFERROR(__xludf.DUMMYFUNCTION("""COMPUTED_VALUE"""),"MOBILECARE - LIMA ESTATE")</f>
        <v>MOBILECARE - LIMA ESTATE</v>
      </c>
      <c r="D709" s="2" t="str">
        <f>IFERROR(__xludf.DUMMYFUNCTION("""COMPUTED_VALUE"""),"TA661-43605")</f>
        <v>TA661-43605</v>
      </c>
      <c r="E709" s="2" t="str">
        <f>IFERROR(__xludf.DUMMYFUNCTION("""COMPUTED_VALUE"""),"128GB, Black, ROW, iPhone 16, Logic Board Assy Mid System")</f>
        <v>128GB, Black, ROW, iPhone 16, Logic Board Assy Mid System</v>
      </c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>
      <c r="A710" s="3" t="str">
        <f t="shared" si="1"/>
        <v>April</v>
      </c>
      <c r="B710" s="11">
        <f>IFERROR(__xludf.DUMMYFUNCTION("""COMPUTED_VALUE"""),46136.0)</f>
        <v>46136</v>
      </c>
      <c r="C710" s="2" t="str">
        <f>IFERROR(__xludf.DUMMYFUNCTION("""COMPUTED_VALUE"""),"MOBILECARE - LIMA ESTATE")</f>
        <v>MOBILECARE - LIMA ESTATE</v>
      </c>
      <c r="D710" s="2" t="str">
        <f>IFERROR(__xludf.DUMMYFUNCTION("""COMPUTED_VALUE"""),"PP661-23455")</f>
        <v>PP661-23455</v>
      </c>
      <c r="E710" s="2" t="str">
        <f>IFERROR(__xludf.DUMMYFUNCTION("""COMPUTED_VALUE"""),"iPhone 13, Starlight, 128GB, Logic Board Assy Rear System, ROW")</f>
        <v>iPhone 13, Starlight, 128GB, Logic Board Assy Rear System, ROW</v>
      </c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>
      <c r="A711" s="3" t="str">
        <f t="shared" si="1"/>
        <v>April</v>
      </c>
      <c r="B711" s="11">
        <f>IFERROR(__xludf.DUMMYFUNCTION("""COMPUTED_VALUE"""),46127.0)</f>
        <v>46127</v>
      </c>
      <c r="C711" s="2" t="str">
        <f>IFERROR(__xludf.DUMMYFUNCTION("""COMPUTED_VALUE"""),"MOBILECARE - LIMA ESTATE")</f>
        <v>MOBILECARE - LIMA ESTATE</v>
      </c>
      <c r="D711" s="2" t="str">
        <f>IFERROR(__xludf.DUMMYFUNCTION("""COMPUTED_VALUE"""),"PP661-23454")</f>
        <v>PP661-23454</v>
      </c>
      <c r="E711" s="2" t="str">
        <f>IFERROR(__xludf.DUMMYFUNCTION("""COMPUTED_VALUE"""),"iPhone 13, Midnight, 128GB, Logic Board Assy Rear System, ROW")</f>
        <v>iPhone 13, Midnight, 128GB, Logic Board Assy Rear System, ROW</v>
      </c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>
      <c r="A712" s="3" t="str">
        <f t="shared" si="1"/>
        <v>February</v>
      </c>
      <c r="B712" s="11">
        <f>IFERROR(__xludf.DUMMYFUNCTION("""COMPUTED_VALUE"""),46078.0)</f>
        <v>46078</v>
      </c>
      <c r="C712" s="2" t="str">
        <f>IFERROR(__xludf.DUMMYFUNCTION("""COMPUTED_VALUE"""),"MOBILECARE - LIMA ESTATE")</f>
        <v>MOBILECARE - LIMA ESTATE</v>
      </c>
      <c r="D712" s="2" t="str">
        <f>IFERROR(__xludf.DUMMYFUNCTION("""COMPUTED_VALUE"""),"TA661-36691")</f>
        <v>TA661-36691</v>
      </c>
      <c r="E712" s="2" t="str">
        <f>IFERROR(__xludf.DUMMYFUNCTION("""COMPUTED_VALUE"""),"iPhone 15, Black, 128GB, Logic Board Assy Mid System, ROW")</f>
        <v>iPhone 15, Black, 128GB, Logic Board Assy Mid System, ROW</v>
      </c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>
      <c r="A713" s="3" t="str">
        <f t="shared" si="1"/>
        <v>March</v>
      </c>
      <c r="B713" s="11">
        <f>IFERROR(__xludf.DUMMYFUNCTION("""COMPUTED_VALUE"""),46092.0)</f>
        <v>46092</v>
      </c>
      <c r="C713" s="2" t="str">
        <f>IFERROR(__xludf.DUMMYFUNCTION("""COMPUTED_VALUE"""),"MOBILECARE - LIMA ESTATE")</f>
        <v>MOBILECARE - LIMA ESTATE</v>
      </c>
      <c r="D713" s="2" t="str">
        <f>IFERROR(__xludf.DUMMYFUNCTION("""COMPUTED_VALUE"""),"TA661-36694")</f>
        <v>TA661-36694</v>
      </c>
      <c r="E713" s="2" t="str">
        <f>IFERROR(__xludf.DUMMYFUNCTION("""COMPUTED_VALUE"""),"iPhone 15, Blue, 128GB, Logic Board Assy Mid System, ROW")</f>
        <v>iPhone 15, Blue, 128GB, Logic Board Assy Mid System, ROW</v>
      </c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>
      <c r="A714" s="3" t="str">
        <f t="shared" si="1"/>
        <v>April</v>
      </c>
      <c r="B714" s="11">
        <f>IFERROR(__xludf.DUMMYFUNCTION("""COMPUTED_VALUE"""),46123.0)</f>
        <v>46123</v>
      </c>
      <c r="C714" s="2" t="str">
        <f>IFERROR(__xludf.DUMMYFUNCTION("""COMPUTED_VALUE"""),"MOBILECARE - LIMA ESTATE")</f>
        <v>MOBILECARE - LIMA ESTATE</v>
      </c>
      <c r="D714" s="2" t="str">
        <f>IFERROR(__xludf.DUMMYFUNCTION("""COMPUTED_VALUE"""),"661-44960")</f>
        <v>661-44960</v>
      </c>
      <c r="E714" s="2" t="str">
        <f>IFERROR(__xludf.DUMMYFUNCTION("""COMPUTED_VALUE"""),"Desert Titanium, Back Glass, iPhone 16 Pro Max")</f>
        <v>Desert Titanium, Back Glass, iPhone 16 Pro Max</v>
      </c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>
      <c r="A715" s="3" t="str">
        <f t="shared" si="1"/>
        <v>April</v>
      </c>
      <c r="B715" s="11">
        <f>IFERROR(__xludf.DUMMYFUNCTION("""COMPUTED_VALUE"""),46126.0)</f>
        <v>46126</v>
      </c>
      <c r="C715" s="2" t="str">
        <f>IFERROR(__xludf.DUMMYFUNCTION("""COMPUTED_VALUE"""),"MOBILECARE - LIMA ESTATE")</f>
        <v>MOBILECARE - LIMA ESTATE</v>
      </c>
      <c r="D715" s="2" t="str">
        <f>IFERROR(__xludf.DUMMYFUNCTION("""COMPUTED_VALUE"""),"PP661-23454")</f>
        <v>PP661-23454</v>
      </c>
      <c r="E715" s="2" t="str">
        <f>IFERROR(__xludf.DUMMYFUNCTION("""COMPUTED_VALUE"""),"iPhone 13, Midnight, 128GB, Logic Board Assy Rear System, ROW")</f>
        <v>iPhone 13, Midnight, 128GB, Logic Board Assy Rear System, ROW</v>
      </c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>
      <c r="A716" s="3" t="str">
        <f t="shared" si="1"/>
        <v>March</v>
      </c>
      <c r="B716" s="11">
        <f>IFERROR(__xludf.DUMMYFUNCTION("""COMPUTED_VALUE"""),46110.0)</f>
        <v>46110</v>
      </c>
      <c r="C716" s="2" t="str">
        <f>IFERROR(__xludf.DUMMYFUNCTION("""COMPUTED_VALUE"""),"MOBILECARE - LIMA ESTATE")</f>
        <v>MOBILECARE - LIMA ESTATE</v>
      </c>
      <c r="D716" s="2" t="str">
        <f>IFERROR(__xludf.DUMMYFUNCTION("""COMPUTED_VALUE"""),"PP661-28868")</f>
        <v>PP661-28868</v>
      </c>
      <c r="E716" s="2" t="str">
        <f>IFERROR(__xludf.DUMMYFUNCTION("""COMPUTED_VALUE"""),"iPhone 14, Midnight, 128GB, Logic Board Assy Mid System, ROW")</f>
        <v>iPhone 14, Midnight, 128GB, Logic Board Assy Mid System, ROW</v>
      </c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>
      <c r="A717" s="3" t="str">
        <f t="shared" si="1"/>
        <v>June</v>
      </c>
      <c r="B717" s="11">
        <f>IFERROR(__xludf.DUMMYFUNCTION("""COMPUTED_VALUE"""),46190.0)</f>
        <v>46190</v>
      </c>
      <c r="C717" s="2" t="str">
        <f>IFERROR(__xludf.DUMMYFUNCTION("""COMPUTED_VALUE"""),"MOBILECARE - LIMA ESTATE")</f>
        <v>MOBILECARE - LIMA ESTATE</v>
      </c>
      <c r="D717" s="2" t="str">
        <f>IFERROR(__xludf.DUMMYFUNCTION("""COMPUTED_VALUE"""),"TA661-36694")</f>
        <v>TA661-36694</v>
      </c>
      <c r="E717" s="2" t="str">
        <f>IFERROR(__xludf.DUMMYFUNCTION("""COMPUTED_VALUE"""),"iPhone 15, Blue, 128GB, Logic Board Assy Mid System, ROW")</f>
        <v>iPhone 15, Blue, 128GB, Logic Board Assy Mid System, ROW</v>
      </c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>
      <c r="A718" s="3" t="str">
        <f t="shared" si="1"/>
        <v>February</v>
      </c>
      <c r="B718" s="11">
        <f>IFERROR(__xludf.DUMMYFUNCTION("""COMPUTED_VALUE"""),46073.0)</f>
        <v>46073</v>
      </c>
      <c r="C718" s="2" t="str">
        <f>IFERROR(__xludf.DUMMYFUNCTION("""COMPUTED_VALUE"""),"MOBILECARE - LIMA ESTATE")</f>
        <v>MOBILECARE - LIMA ESTATE</v>
      </c>
      <c r="D718" s="2" t="str">
        <f>IFERROR(__xludf.DUMMYFUNCTION("""COMPUTED_VALUE"""),"TA661-45006")</f>
        <v>TA661-45006</v>
      </c>
      <c r="E718" s="2" t="str">
        <f>IFERROR(__xludf.DUMMYFUNCTION("""COMPUTED_VALUE"""),"512GB, Natural Titanium, ROW, iPhone 16 Pro, Logic Board Assy Mid System")</f>
        <v>512GB, Natural Titanium, ROW, iPhone 16 Pro, Logic Board Assy Mid System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>
      <c r="A719" s="3" t="str">
        <f t="shared" si="1"/>
        <v>June</v>
      </c>
      <c r="B719" s="11">
        <f>IFERROR(__xludf.DUMMYFUNCTION("""COMPUTED_VALUE"""),46178.0)</f>
        <v>46178</v>
      </c>
      <c r="C719" s="2" t="str">
        <f>IFERROR(__xludf.DUMMYFUNCTION("""COMPUTED_VALUE"""),"MOBILECARE - APP POWER PLANT MALL")</f>
        <v>MOBILECARE - APP POWER PLANT MALL</v>
      </c>
      <c r="D719" s="2" t="str">
        <f>IFERROR(__xludf.DUMMYFUNCTION("""COMPUTED_VALUE"""),"661-37211")</f>
        <v>661-37211</v>
      </c>
      <c r="E719" s="2" t="str">
        <f>IFERROR(__xludf.DUMMYFUNCTION("""COMPUTED_VALUE"""),"Blue, Back Glass, iPhone 15 Plus")</f>
        <v>Blue, Back Glass, iPhone 15 Plus</v>
      </c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>
      <c r="A720" s="3" t="str">
        <f t="shared" si="1"/>
        <v>April</v>
      </c>
      <c r="B720" s="11">
        <f>IFERROR(__xludf.DUMMYFUNCTION("""COMPUTED_VALUE"""),46129.0)</f>
        <v>46129</v>
      </c>
      <c r="C720" s="2" t="str">
        <f>IFERROR(__xludf.DUMMYFUNCTION("""COMPUTED_VALUE"""),"MOBILECARE - NAGA")</f>
        <v>MOBILECARE - NAGA</v>
      </c>
      <c r="D720" s="2" t="str">
        <f>IFERROR(__xludf.DUMMYFUNCTION("""COMPUTED_VALUE"""),"PP661-23455")</f>
        <v>PP661-23455</v>
      </c>
      <c r="E720" s="2" t="str">
        <f>IFERROR(__xludf.DUMMYFUNCTION("""COMPUTED_VALUE"""),"iPhone 13, Starlight, 128GB, Logic Board Assy Rear System, ROW")</f>
        <v>iPhone 13, Starlight, 128GB, Logic Board Assy Rear System, ROW</v>
      </c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>
      <c r="A721" s="3" t="str">
        <f t="shared" si="1"/>
        <v>March</v>
      </c>
      <c r="B721" s="11">
        <f>IFERROR(__xludf.DUMMYFUNCTION("""COMPUTED_VALUE"""),46112.0)</f>
        <v>46112</v>
      </c>
      <c r="C721" s="2" t="str">
        <f>IFERROR(__xludf.DUMMYFUNCTION("""COMPUTED_VALUE"""),"MOBILECARE - NAGA")</f>
        <v>MOBILECARE - NAGA</v>
      </c>
      <c r="D721" s="2" t="str">
        <f>IFERROR(__xludf.DUMMYFUNCTION("""COMPUTED_VALUE"""),"PP661-23454")</f>
        <v>PP661-23454</v>
      </c>
      <c r="E721" s="2" t="str">
        <f>IFERROR(__xludf.DUMMYFUNCTION("""COMPUTED_VALUE"""),"iPhone 13, Midnight, 128GB, Logic Board Assy Rear System, ROW")</f>
        <v>iPhone 13, Midnight, 128GB, Logic Board Assy Rear System, ROW</v>
      </c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>
      <c r="A722" s="3" t="str">
        <f t="shared" si="1"/>
        <v>February</v>
      </c>
      <c r="B722" s="11">
        <f>IFERROR(__xludf.DUMMYFUNCTION("""COMPUTED_VALUE"""),46060.0)</f>
        <v>46060</v>
      </c>
      <c r="C722" s="2" t="str">
        <f>IFERROR(__xludf.DUMMYFUNCTION("""COMPUTED_VALUE"""),"MOBILECARE - NAGA")</f>
        <v>MOBILECARE - NAGA</v>
      </c>
      <c r="D722" s="2" t="str">
        <f>IFERROR(__xludf.DUMMYFUNCTION("""COMPUTED_VALUE"""),"PP661-23455")</f>
        <v>PP661-23455</v>
      </c>
      <c r="E722" s="2" t="str">
        <f>IFERROR(__xludf.DUMMYFUNCTION("""COMPUTED_VALUE"""),"iPhone 13, Starlight, 128GB, Logic Board Assy Rear System, ROW")</f>
        <v>iPhone 13, Starlight, 128GB, Logic Board Assy Rear System, ROW</v>
      </c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>
      <c r="A723" s="3" t="str">
        <f t="shared" si="1"/>
        <v>March</v>
      </c>
      <c r="B723" s="11">
        <f>IFERROR(__xludf.DUMMYFUNCTION("""COMPUTED_VALUE"""),46094.0)</f>
        <v>46094</v>
      </c>
      <c r="C723" s="2" t="str">
        <f>IFERROR(__xludf.DUMMYFUNCTION("""COMPUTED_VALUE"""),"MOBILECARE - NAGA")</f>
        <v>MOBILECARE - NAGA</v>
      </c>
      <c r="D723" s="2" t="str">
        <f>IFERROR(__xludf.DUMMYFUNCTION("""COMPUTED_VALUE"""),"TA661-36691")</f>
        <v>TA661-36691</v>
      </c>
      <c r="E723" s="2" t="str">
        <f>IFERROR(__xludf.DUMMYFUNCTION("""COMPUTED_VALUE"""),"iPhone 15, Black, 128GB, Logic Board Assy Mid System, ROW")</f>
        <v>iPhone 15, Black, 128GB, Logic Board Assy Mid System, ROW</v>
      </c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>
      <c r="A724" s="3" t="str">
        <f t="shared" si="1"/>
        <v>February</v>
      </c>
      <c r="B724" s="11">
        <f>IFERROR(__xludf.DUMMYFUNCTION("""COMPUTED_VALUE"""),46079.0)</f>
        <v>46079</v>
      </c>
      <c r="C724" s="2" t="str">
        <f>IFERROR(__xludf.DUMMYFUNCTION("""COMPUTED_VALUE"""),"MOBILECARE - NAGA")</f>
        <v>MOBILECARE - NAGA</v>
      </c>
      <c r="D724" s="2" t="str">
        <f>IFERROR(__xludf.DUMMYFUNCTION("""COMPUTED_VALUE"""),"PP661-23454")</f>
        <v>PP661-23454</v>
      </c>
      <c r="E724" s="2" t="str">
        <f>IFERROR(__xludf.DUMMYFUNCTION("""COMPUTED_VALUE"""),"iPhone 13, Midnight, 128GB, Logic Board Assy Rear System, ROW")</f>
        <v>iPhone 13, Midnight, 128GB, Logic Board Assy Rear System, ROW</v>
      </c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>
      <c r="A725" s="3" t="str">
        <f t="shared" si="1"/>
        <v>March</v>
      </c>
      <c r="B725" s="11">
        <f>IFERROR(__xludf.DUMMYFUNCTION("""COMPUTED_VALUE"""),46083.0)</f>
        <v>46083</v>
      </c>
      <c r="C725" s="2" t="str">
        <f>IFERROR(__xludf.DUMMYFUNCTION("""COMPUTED_VALUE"""),"MOBILECARE - NAGA")</f>
        <v>MOBILECARE - NAGA</v>
      </c>
      <c r="D725" s="2" t="str">
        <f>IFERROR(__xludf.DUMMYFUNCTION("""COMPUTED_VALUE"""),"TA661-36695")</f>
        <v>TA661-36695</v>
      </c>
      <c r="E725" s="2" t="str">
        <f>IFERROR(__xludf.DUMMYFUNCTION("""COMPUTED_VALUE"""),"iPhone 15, Green, 128GB, Logic Board Assy Mid System, ROW")</f>
        <v>iPhone 15, Green, 128GB, Logic Board Assy Mid System, ROW</v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>
      <c r="A726" s="3" t="str">
        <f t="shared" si="1"/>
        <v>May</v>
      </c>
      <c r="B726" s="11">
        <f>IFERROR(__xludf.DUMMYFUNCTION("""COMPUTED_VALUE"""),46147.0)</f>
        <v>46147</v>
      </c>
      <c r="C726" s="2" t="str">
        <f>IFERROR(__xludf.DUMMYFUNCTION("""COMPUTED_VALUE"""),"MOBILECARE - NAGA")</f>
        <v>MOBILECARE - NAGA</v>
      </c>
      <c r="D726" s="2" t="str">
        <f>IFERROR(__xludf.DUMMYFUNCTION("""COMPUTED_VALUE"""),"TA661-45232")</f>
        <v>TA661-45232</v>
      </c>
      <c r="E726" s="2" t="str">
        <f>IFERROR(__xludf.DUMMYFUNCTION("""COMPUTED_VALUE"""),"128GB, White, ROW, iPhone 16 Plus, Logic Board Assy Mid System")</f>
        <v>128GB, White, ROW, iPhone 16 Plus, Logic Board Assy Mid System</v>
      </c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>
      <c r="A727" s="3" t="str">
        <f t="shared" si="1"/>
        <v>March</v>
      </c>
      <c r="B727" s="11">
        <f>IFERROR(__xludf.DUMMYFUNCTION("""COMPUTED_VALUE"""),46108.0)</f>
        <v>46108</v>
      </c>
      <c r="C727" s="2" t="str">
        <f>IFERROR(__xludf.DUMMYFUNCTION("""COMPUTED_VALUE"""),"MOBILECARE - NAGA")</f>
        <v>MOBILECARE - NAGA</v>
      </c>
      <c r="D727" s="2" t="str">
        <f>IFERROR(__xludf.DUMMYFUNCTION("""COMPUTED_VALUE"""),"PP661-28868")</f>
        <v>PP661-28868</v>
      </c>
      <c r="E727" s="2" t="str">
        <f>IFERROR(__xludf.DUMMYFUNCTION("""COMPUTED_VALUE"""),"iPhone 14, Midnight, 128GB, Logic Board Assy Mid System, ROW")</f>
        <v>iPhone 14, Midnight, 128GB, Logic Board Assy Mid System, ROW</v>
      </c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>
      <c r="A728" s="3" t="str">
        <f t="shared" si="1"/>
        <v>April</v>
      </c>
      <c r="B728" s="11">
        <f>IFERROR(__xludf.DUMMYFUNCTION("""COMPUTED_VALUE"""),46127.0)</f>
        <v>46127</v>
      </c>
      <c r="C728" s="2" t="str">
        <f>IFERROR(__xludf.DUMMYFUNCTION("""COMPUTED_VALUE"""),"MOBILECARE - NAGA")</f>
        <v>MOBILECARE - NAGA</v>
      </c>
      <c r="D728" s="2" t="str">
        <f>IFERROR(__xludf.DUMMYFUNCTION("""COMPUTED_VALUE"""),"PP661-28868")</f>
        <v>PP661-28868</v>
      </c>
      <c r="E728" s="2" t="str">
        <f>IFERROR(__xludf.DUMMYFUNCTION("""COMPUTED_VALUE"""),"iPhone 14, Midnight, 128GB, Logic Board Assy Mid System, ROW")</f>
        <v>iPhone 14, Midnight, 128GB, Logic Board Assy Mid System, ROW</v>
      </c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>
      <c r="A729" s="3" t="str">
        <f t="shared" si="1"/>
        <v>April</v>
      </c>
      <c r="B729" s="11">
        <f>IFERROR(__xludf.DUMMYFUNCTION("""COMPUTED_VALUE"""),46127.0)</f>
        <v>46127</v>
      </c>
      <c r="C729" s="2" t="str">
        <f>IFERROR(__xludf.DUMMYFUNCTION("""COMPUTED_VALUE"""),"MOBILECARE - NAGA")</f>
        <v>MOBILECARE - NAGA</v>
      </c>
      <c r="D729" s="2" t="str">
        <f>IFERROR(__xludf.DUMMYFUNCTION("""COMPUTED_VALUE"""),"PP661-28868")</f>
        <v>PP661-28868</v>
      </c>
      <c r="E729" s="2" t="str">
        <f>IFERROR(__xludf.DUMMYFUNCTION("""COMPUTED_VALUE"""),"iPhone 14, Midnight, 128GB, Logic Board Assy Mid System, ROW")</f>
        <v>iPhone 14, Midnight, 128GB, Logic Board Assy Mid System, ROW</v>
      </c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>
      <c r="A730" s="3" t="str">
        <f t="shared" si="1"/>
        <v>April</v>
      </c>
      <c r="B730" s="11">
        <f>IFERROR(__xludf.DUMMYFUNCTION("""COMPUTED_VALUE"""),46139.0)</f>
        <v>46139</v>
      </c>
      <c r="C730" s="2" t="str">
        <f>IFERROR(__xludf.DUMMYFUNCTION("""COMPUTED_VALUE"""),"MOBILECARE - NAGA")</f>
        <v>MOBILECARE - NAGA</v>
      </c>
      <c r="D730" s="2" t="str">
        <f>IFERROR(__xludf.DUMMYFUNCTION("""COMPUTED_VALUE"""),"TA661-44995")</f>
        <v>TA661-44995</v>
      </c>
      <c r="E730" s="2" t="str">
        <f>IFERROR(__xludf.DUMMYFUNCTION("""COMPUTED_VALUE"""),"128GB, Black Titanium, ROW, iPhone 16 Pro, Logic Board Assy Mid System")</f>
        <v>128GB, Black Titanium, ROW, iPhone 16 Pro, Logic Board Assy Mid System</v>
      </c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>
      <c r="A731" s="3" t="str">
        <f t="shared" si="1"/>
        <v>June</v>
      </c>
      <c r="B731" s="11">
        <f>IFERROR(__xludf.DUMMYFUNCTION("""COMPUTED_VALUE"""),46192.0)</f>
        <v>46192</v>
      </c>
      <c r="C731" s="2" t="str">
        <f>IFERROR(__xludf.DUMMYFUNCTION("""COMPUTED_VALUE"""),"MOBILECARE - NAGA")</f>
        <v>MOBILECARE - NAGA</v>
      </c>
      <c r="D731" s="2" t="str">
        <f>IFERROR(__xludf.DUMMYFUNCTION("""COMPUTED_VALUE"""),"PP661-23454")</f>
        <v>PP661-23454</v>
      </c>
      <c r="E731" s="2" t="str">
        <f>IFERROR(__xludf.DUMMYFUNCTION("""COMPUTED_VALUE"""),"iPhone 13, Midnight, 128GB, Logic Board Assy Rear System, ROW")</f>
        <v>iPhone 13, Midnight, 128GB, Logic Board Assy Rear System, ROW</v>
      </c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>
      <c r="A732" s="3" t="str">
        <f t="shared" si="1"/>
        <v>June</v>
      </c>
      <c r="B732" s="11">
        <f>IFERROR(__xludf.DUMMYFUNCTION("""COMPUTED_VALUE"""),46190.0)</f>
        <v>46190</v>
      </c>
      <c r="C732" s="2" t="str">
        <f>IFERROR(__xludf.DUMMYFUNCTION("""COMPUTED_VALUE"""),"MOBILECARE - NAGA")</f>
        <v>MOBILECARE - NAGA</v>
      </c>
      <c r="D732" s="2" t="str">
        <f>IFERROR(__xludf.DUMMYFUNCTION("""COMPUTED_VALUE"""),"TA661-44999")</f>
        <v>TA661-44999</v>
      </c>
      <c r="E732" s="2" t="str">
        <f>IFERROR(__xludf.DUMMYFUNCTION("""COMPUTED_VALUE"""),"256GB, Black Titanium, ROW, iPhone 16 Pro, Logic Board Assy Mid System")</f>
        <v>256GB, Black Titanium, ROW, iPhone 16 Pro, Logic Board Assy Mid System</v>
      </c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>
      <c r="A733" s="3" t="str">
        <f t="shared" si="1"/>
        <v>June</v>
      </c>
      <c r="B733" s="11">
        <f>IFERROR(__xludf.DUMMYFUNCTION("""COMPUTED_VALUE"""),46183.0)</f>
        <v>46183</v>
      </c>
      <c r="C733" s="2" t="str">
        <f>IFERROR(__xludf.DUMMYFUNCTION("""COMPUTED_VALUE"""),"MOBILECARE - NAGA")</f>
        <v>MOBILECARE - NAGA</v>
      </c>
      <c r="D733" s="2" t="str">
        <f>IFERROR(__xludf.DUMMYFUNCTION("""COMPUTED_VALUE"""),"PP661-23454")</f>
        <v>PP661-23454</v>
      </c>
      <c r="E733" s="2" t="str">
        <f>IFERROR(__xludf.DUMMYFUNCTION("""COMPUTED_VALUE"""),"iPhone 13, Midnight, 128GB, Logic Board Assy Rear System, ROW")</f>
        <v>iPhone 13, Midnight, 128GB, Logic Board Assy Rear System, ROW</v>
      </c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>
      <c r="A734" s="3" t="str">
        <f t="shared" si="1"/>
        <v>April</v>
      </c>
      <c r="B734" s="11">
        <f>IFERROR(__xludf.DUMMYFUNCTION("""COMPUTED_VALUE"""),46123.0)</f>
        <v>46123</v>
      </c>
      <c r="C734" s="2" t="str">
        <f>IFERROR(__xludf.DUMMYFUNCTION("""COMPUTED_VALUE"""),"MOBILECARE - NAGA")</f>
        <v>MOBILECARE - NAGA</v>
      </c>
      <c r="D734" s="2" t="str">
        <f>IFERROR(__xludf.DUMMYFUNCTION("""COMPUTED_VALUE"""),"TA661-45000")</f>
        <v>TA661-45000</v>
      </c>
      <c r="E734" s="2" t="str">
        <f>IFERROR(__xludf.DUMMYFUNCTION("""COMPUTED_VALUE"""),"256GB, White Titanium, ROW, iPhone 16 Pro, Logic Board Assy Mid System")</f>
        <v>256GB, White Titanium, ROW, iPhone 16 Pro, Logic Board Assy Mid System</v>
      </c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>
      <c r="A735" s="3" t="str">
        <f t="shared" si="1"/>
        <v>June</v>
      </c>
      <c r="B735" s="11">
        <f>IFERROR(__xludf.DUMMYFUNCTION("""COMPUTED_VALUE"""),46179.0)</f>
        <v>46179</v>
      </c>
      <c r="C735" s="2" t="str">
        <f>IFERROR(__xludf.DUMMYFUNCTION("""COMPUTED_VALUE"""),"MOBILECARE - NAGA")</f>
        <v>MOBILECARE - NAGA</v>
      </c>
      <c r="D735" s="2" t="str">
        <f>IFERROR(__xludf.DUMMYFUNCTION("""COMPUTED_VALUE"""),"TA661-45232")</f>
        <v>TA661-45232</v>
      </c>
      <c r="E735" s="2" t="str">
        <f>IFERROR(__xludf.DUMMYFUNCTION("""COMPUTED_VALUE"""),"128GB, White, ROW, iPhone 16 Plus, Logic Board Assy Mid System")</f>
        <v>128GB, White, ROW, iPhone 16 Plus, Logic Board Assy Mid System</v>
      </c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>
      <c r="A736" s="3" t="str">
        <f t="shared" si="1"/>
        <v>June</v>
      </c>
      <c r="B736" s="11">
        <f>IFERROR(__xludf.DUMMYFUNCTION("""COMPUTED_VALUE"""),46192.0)</f>
        <v>46192</v>
      </c>
      <c r="C736" s="2" t="str">
        <f>IFERROR(__xludf.DUMMYFUNCTION("""COMPUTED_VALUE"""),"MOBILECARE - NAGA")</f>
        <v>MOBILECARE - NAGA</v>
      </c>
      <c r="D736" s="2" t="str">
        <f>IFERROR(__xludf.DUMMYFUNCTION("""COMPUTED_VALUE"""),"PP661-23455")</f>
        <v>PP661-23455</v>
      </c>
      <c r="E736" s="2" t="str">
        <f>IFERROR(__xludf.DUMMYFUNCTION("""COMPUTED_VALUE"""),"iPhone 13, Starlight, 128GB, Logic Board Assy Rear System, ROW")</f>
        <v>iPhone 13, Starlight, 128GB, Logic Board Assy Rear System, ROW</v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>
      <c r="A737" s="3" t="str">
        <f t="shared" si="1"/>
        <v>April</v>
      </c>
      <c r="B737" s="11">
        <f>IFERROR(__xludf.DUMMYFUNCTION("""COMPUTED_VALUE"""),46119.0)</f>
        <v>46119</v>
      </c>
      <c r="C737" s="2" t="str">
        <f>IFERROR(__xludf.DUMMYFUNCTION("""COMPUTED_VALUE"""),"MOBILECARE - NAGA")</f>
        <v>MOBILECARE - NAGA</v>
      </c>
      <c r="D737" s="2" t="str">
        <f>IFERROR(__xludf.DUMMYFUNCTION("""COMPUTED_VALUE"""),"TA661-36697")</f>
        <v>TA661-36697</v>
      </c>
      <c r="E737" s="2" t="str">
        <f>IFERROR(__xludf.DUMMYFUNCTION("""COMPUTED_VALUE"""),"iPhone 15, Pink, 256GB, Logic Board Assy Mid System, ROW")</f>
        <v>iPhone 15, Pink, 256GB, Logic Board Assy Mid System, ROW</v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>
      <c r="A738" s="3" t="str">
        <f t="shared" si="1"/>
        <v>February</v>
      </c>
      <c r="B738" s="11">
        <f>IFERROR(__xludf.DUMMYFUNCTION("""COMPUTED_VALUE"""),46060.0)</f>
        <v>46060</v>
      </c>
      <c r="C738" s="2" t="str">
        <f>IFERROR(__xludf.DUMMYFUNCTION("""COMPUTED_VALUE"""),"MOBILECARE - NAGA")</f>
        <v>MOBILECARE - NAGA</v>
      </c>
      <c r="D738" s="2" t="str">
        <f>IFERROR(__xludf.DUMMYFUNCTION("""COMPUTED_VALUE"""),"PP661-23455")</f>
        <v>PP661-23455</v>
      </c>
      <c r="E738" s="2" t="str">
        <f>IFERROR(__xludf.DUMMYFUNCTION("""COMPUTED_VALUE"""),"iPhone 13, Starlight, 128GB, Logic Board Assy Rear System, ROW")</f>
        <v>iPhone 13, Starlight, 128GB, Logic Board Assy Rear System, ROW</v>
      </c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>
      <c r="A739" s="3" t="str">
        <f t="shared" si="1"/>
        <v>February</v>
      </c>
      <c r="B739" s="11">
        <f>IFERROR(__xludf.DUMMYFUNCTION("""COMPUTED_VALUE"""),46061.0)</f>
        <v>46061</v>
      </c>
      <c r="C739" s="2" t="str">
        <f>IFERROR(__xludf.DUMMYFUNCTION("""COMPUTED_VALUE"""),"MOBILECARE - NAGA")</f>
        <v>MOBILECARE - NAGA</v>
      </c>
      <c r="D739" s="2" t="str">
        <f>IFERROR(__xludf.DUMMYFUNCTION("""COMPUTED_VALUE"""),"PP661-23455")</f>
        <v>PP661-23455</v>
      </c>
      <c r="E739" s="2" t="str">
        <f>IFERROR(__xludf.DUMMYFUNCTION("""COMPUTED_VALUE"""),"iPhone 13, Starlight, 128GB, Logic Board Assy Rear System, ROW")</f>
        <v>iPhone 13, Starlight, 128GB, Logic Board Assy Rear System, ROW</v>
      </c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>
      <c r="A740" s="3" t="str">
        <f t="shared" si="1"/>
        <v>April</v>
      </c>
      <c r="B740" s="11">
        <f>IFERROR(__xludf.DUMMYFUNCTION("""COMPUTED_VALUE"""),46117.0)</f>
        <v>46117</v>
      </c>
      <c r="C740" s="2" t="str">
        <f>IFERROR(__xludf.DUMMYFUNCTION("""COMPUTED_VALUE"""),"MOBILECARE - NAGA")</f>
        <v>MOBILECARE - NAGA</v>
      </c>
      <c r="D740" s="2" t="str">
        <f>IFERROR(__xludf.DUMMYFUNCTION("""COMPUTED_VALUE"""),"TA661-43606")</f>
        <v>TA661-43606</v>
      </c>
      <c r="E740" s="2" t="str">
        <f>IFERROR(__xludf.DUMMYFUNCTION("""COMPUTED_VALUE"""),"128GB, White, ROW, iPhone 16, Logic Board Assy Mid System")</f>
        <v>128GB, White, ROW, iPhone 16, Logic Board Assy Mid System</v>
      </c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>
      <c r="A741" s="3" t="str">
        <f t="shared" si="1"/>
        <v>February</v>
      </c>
      <c r="B741" s="11">
        <f>IFERROR(__xludf.DUMMYFUNCTION("""COMPUTED_VALUE"""),46058.0)</f>
        <v>46058</v>
      </c>
      <c r="C741" s="2" t="str">
        <f>IFERROR(__xludf.DUMMYFUNCTION("""COMPUTED_VALUE"""),"MOBILECARE - NAGA")</f>
        <v>MOBILECARE - NAGA</v>
      </c>
      <c r="D741" s="2" t="str">
        <f>IFERROR(__xludf.DUMMYFUNCTION("""COMPUTED_VALUE"""),"PP661-23455")</f>
        <v>PP661-23455</v>
      </c>
      <c r="E741" s="2" t="str">
        <f>IFERROR(__xludf.DUMMYFUNCTION("""COMPUTED_VALUE"""),"iPhone 13, Starlight, 128GB, Logic Board Assy Rear System, ROW")</f>
        <v>iPhone 13, Starlight, 128GB, Logic Board Assy Rear System, ROW</v>
      </c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>
      <c r="A742" s="3" t="str">
        <f t="shared" si="1"/>
        <v>April</v>
      </c>
      <c r="B742" s="11">
        <f>IFERROR(__xludf.DUMMYFUNCTION("""COMPUTED_VALUE"""),46134.0)</f>
        <v>46134</v>
      </c>
      <c r="C742" s="2" t="str">
        <f>IFERROR(__xludf.DUMMYFUNCTION("""COMPUTED_VALUE"""),"MOBILECARE - NAGA")</f>
        <v>MOBILECARE - NAGA</v>
      </c>
      <c r="D742" s="2" t="str">
        <f>IFERROR(__xludf.DUMMYFUNCTION("""COMPUTED_VALUE"""),"PP661-28882")</f>
        <v>PP661-28882</v>
      </c>
      <c r="E742" s="2" t="str">
        <f>IFERROR(__xludf.DUMMYFUNCTION("""COMPUTED_VALUE"""),"iPhone 14, Purple, 512GB, Logic Board Assy Mid System, ROW")</f>
        <v>iPhone 14, Purple, 512GB, Logic Board Assy Mid System, ROW</v>
      </c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>
      <c r="A743" s="3" t="str">
        <f t="shared" si="1"/>
        <v>February</v>
      </c>
      <c r="B743" s="11">
        <f>IFERROR(__xludf.DUMMYFUNCTION("""COMPUTED_VALUE"""),46077.0)</f>
        <v>46077</v>
      </c>
      <c r="C743" s="2" t="str">
        <f>IFERROR(__xludf.DUMMYFUNCTION("""COMPUTED_VALUE"""),"MOBILECARE - NAGA")</f>
        <v>MOBILECARE - NAGA</v>
      </c>
      <c r="D743" s="2" t="str">
        <f>IFERROR(__xludf.DUMMYFUNCTION("""COMPUTED_VALUE"""),"TA661-36691")</f>
        <v>TA661-36691</v>
      </c>
      <c r="E743" s="2" t="str">
        <f>IFERROR(__xludf.DUMMYFUNCTION("""COMPUTED_VALUE"""),"iPhone 15, Black, 128GB, Logic Board Assy Mid System, ROW")</f>
        <v>iPhone 15, Black, 128GB, Logic Board Assy Mid System, ROW</v>
      </c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>
      <c r="A744" s="3" t="str">
        <f t="shared" si="1"/>
        <v>June</v>
      </c>
      <c r="B744" s="11">
        <f>IFERROR(__xludf.DUMMYFUNCTION("""COMPUTED_VALUE"""),46185.0)</f>
        <v>46185</v>
      </c>
      <c r="C744" s="2" t="str">
        <f>IFERROR(__xludf.DUMMYFUNCTION("""COMPUTED_VALUE"""),"MOBILECARE - NAGA")</f>
        <v>MOBILECARE - NAGA</v>
      </c>
      <c r="D744" s="2" t="str">
        <f>IFERROR(__xludf.DUMMYFUNCTION("""COMPUTED_VALUE"""),"PP661-23455")</f>
        <v>PP661-23455</v>
      </c>
      <c r="E744" s="2" t="str">
        <f>IFERROR(__xludf.DUMMYFUNCTION("""COMPUTED_VALUE"""),"iPhone 13, Starlight, 128GB, Logic Board Assy Rear System, ROW")</f>
        <v>iPhone 13, Starlight, 128GB, Logic Board Assy Rear System, ROW</v>
      </c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>
      <c r="A745" s="3" t="str">
        <f t="shared" si="1"/>
        <v>April</v>
      </c>
      <c r="B745" s="11">
        <f>IFERROR(__xludf.DUMMYFUNCTION("""COMPUTED_VALUE"""),46133.0)</f>
        <v>46133</v>
      </c>
      <c r="C745" s="2" t="str">
        <f>IFERROR(__xludf.DUMMYFUNCTION("""COMPUTED_VALUE"""),"MOBILECARE - NAGA")</f>
        <v>MOBILECARE - NAGA</v>
      </c>
      <c r="D745" s="2" t="str">
        <f>IFERROR(__xludf.DUMMYFUNCTION("""COMPUTED_VALUE"""),"PP661-23455")</f>
        <v>PP661-23455</v>
      </c>
      <c r="E745" s="2" t="str">
        <f>IFERROR(__xludf.DUMMYFUNCTION("""COMPUTED_VALUE"""),"iPhone 13, Starlight, 128GB, Logic Board Assy Rear System, ROW")</f>
        <v>iPhone 13, Starlight, 128GB, Logic Board Assy Rear System, ROW</v>
      </c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>
      <c r="A746" s="3" t="str">
        <f t="shared" si="1"/>
        <v>March</v>
      </c>
      <c r="B746" s="11">
        <f>IFERROR(__xludf.DUMMYFUNCTION("""COMPUTED_VALUE"""),46090.0)</f>
        <v>46090</v>
      </c>
      <c r="C746" s="2" t="str">
        <f>IFERROR(__xludf.DUMMYFUNCTION("""COMPUTED_VALUE"""),"MOBILECARE - NAGA")</f>
        <v>MOBILECARE - NAGA</v>
      </c>
      <c r="D746" s="2" t="str">
        <f>IFERROR(__xludf.DUMMYFUNCTION("""COMPUTED_VALUE"""),"PP661-23455")</f>
        <v>PP661-23455</v>
      </c>
      <c r="E746" s="2" t="str">
        <f>IFERROR(__xludf.DUMMYFUNCTION("""COMPUTED_VALUE"""),"iPhone 13, Starlight, 128GB, Logic Board Assy Rear System, ROW")</f>
        <v>iPhone 13, Starlight, 128GB, Logic Board Assy Rear System, ROW</v>
      </c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>
      <c r="A747" s="3" t="str">
        <f t="shared" si="1"/>
        <v>April</v>
      </c>
      <c r="B747" s="11">
        <f>IFERROR(__xludf.DUMMYFUNCTION("""COMPUTED_VALUE"""),46137.0)</f>
        <v>46137</v>
      </c>
      <c r="C747" s="2" t="str">
        <f>IFERROR(__xludf.DUMMYFUNCTION("""COMPUTED_VALUE"""),"MOBILECARE - NAGA")</f>
        <v>MOBILECARE - NAGA</v>
      </c>
      <c r="D747" s="2" t="str">
        <f>IFERROR(__xludf.DUMMYFUNCTION("""COMPUTED_VALUE"""),"PP661-23455")</f>
        <v>PP661-23455</v>
      </c>
      <c r="E747" s="2" t="str">
        <f>IFERROR(__xludf.DUMMYFUNCTION("""COMPUTED_VALUE"""),"iPhone 13, Starlight, 128GB, Logic Board Assy Rear System, ROW")</f>
        <v>iPhone 13, Starlight, 128GB, Logic Board Assy Rear System, ROW</v>
      </c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>
      <c r="A748" s="3" t="str">
        <f t="shared" si="1"/>
        <v>February</v>
      </c>
      <c r="B748" s="11">
        <f>IFERROR(__xludf.DUMMYFUNCTION("""COMPUTED_VALUE"""),46072.0)</f>
        <v>46072</v>
      </c>
      <c r="C748" s="2" t="str">
        <f>IFERROR(__xludf.DUMMYFUNCTION("""COMPUTED_VALUE"""),"MOBILECARE - NAGA")</f>
        <v>MOBILECARE - NAGA</v>
      </c>
      <c r="D748" s="2" t="str">
        <f>IFERROR(__xludf.DUMMYFUNCTION("""COMPUTED_VALUE"""),"TA661-36691")</f>
        <v>TA661-36691</v>
      </c>
      <c r="E748" s="2" t="str">
        <f>IFERROR(__xludf.DUMMYFUNCTION("""COMPUTED_VALUE"""),"iPhone 15, Black, 128GB, Logic Board Assy Mid System, ROW")</f>
        <v>iPhone 15, Black, 128GB, Logic Board Assy Mid System, ROW</v>
      </c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>
      <c r="A749" s="3" t="str">
        <f t="shared" si="1"/>
        <v>May</v>
      </c>
      <c r="B749" s="11">
        <f>IFERROR(__xludf.DUMMYFUNCTION("""COMPUTED_VALUE"""),46149.0)</f>
        <v>46149</v>
      </c>
      <c r="C749" s="2" t="str">
        <f>IFERROR(__xludf.DUMMYFUNCTION("""COMPUTED_VALUE"""),"MOBILECARE - NAGA")</f>
        <v>MOBILECARE - NAGA</v>
      </c>
      <c r="D749" s="2" t="str">
        <f>IFERROR(__xludf.DUMMYFUNCTION("""COMPUTED_VALUE"""),"TA661-43605")</f>
        <v>TA661-43605</v>
      </c>
      <c r="E749" s="2" t="str">
        <f>IFERROR(__xludf.DUMMYFUNCTION("""COMPUTED_VALUE"""),"128GB, Black, ROW, iPhone 16, Logic Board Assy Mid System")</f>
        <v>128GB, Black, ROW, iPhone 16, Logic Board Assy Mid System</v>
      </c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>
      <c r="A750" s="3" t="str">
        <f t="shared" si="1"/>
        <v>April</v>
      </c>
      <c r="B750" s="11">
        <f>IFERROR(__xludf.DUMMYFUNCTION("""COMPUTED_VALUE"""),46113.0)</f>
        <v>46113</v>
      </c>
      <c r="C750" s="2" t="str">
        <f>IFERROR(__xludf.DUMMYFUNCTION("""COMPUTED_VALUE"""),"MOBILECARE - NAGA")</f>
        <v>MOBILECARE - NAGA</v>
      </c>
      <c r="D750" s="2" t="str">
        <f>IFERROR(__xludf.DUMMYFUNCTION("""COMPUTED_VALUE"""),"PP661-23454")</f>
        <v>PP661-23454</v>
      </c>
      <c r="E750" s="2" t="str">
        <f>IFERROR(__xludf.DUMMYFUNCTION("""COMPUTED_VALUE"""),"iPhone 13, Midnight, 128GB, Logic Board Assy Rear System, ROW")</f>
        <v>iPhone 13, Midnight, 128GB, Logic Board Assy Rear System, ROW</v>
      </c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>
      <c r="A751" s="3" t="str">
        <f t="shared" si="1"/>
        <v>February</v>
      </c>
      <c r="B751" s="11">
        <f>IFERROR(__xludf.DUMMYFUNCTION("""COMPUTED_VALUE"""),46072.0)</f>
        <v>46072</v>
      </c>
      <c r="C751" s="2" t="str">
        <f>IFERROR(__xludf.DUMMYFUNCTION("""COMPUTED_VALUE"""),"MOBILECARE - NAGA")</f>
        <v>MOBILECARE - NAGA</v>
      </c>
      <c r="D751" s="2" t="str">
        <f>IFERROR(__xludf.DUMMYFUNCTION("""COMPUTED_VALUE"""),"PP661-28873")</f>
        <v>PP661-28873</v>
      </c>
      <c r="E751" s="2" t="str">
        <f>IFERROR(__xludf.DUMMYFUNCTION("""COMPUTED_VALUE"""),"iPhone 14, Midnight, 256GB, Logic Board Assy Mid System, ROW")</f>
        <v>iPhone 14, Midnight, 256GB, Logic Board Assy Mid System, ROW</v>
      </c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>
      <c r="A752" s="3" t="str">
        <f t="shared" si="1"/>
        <v>June</v>
      </c>
      <c r="B752" s="11">
        <f>IFERROR(__xludf.DUMMYFUNCTION("""COMPUTED_VALUE"""),46182.0)</f>
        <v>46182</v>
      </c>
      <c r="C752" s="2" t="str">
        <f>IFERROR(__xludf.DUMMYFUNCTION("""COMPUTED_VALUE"""),"MOBILECARE - NAGA")</f>
        <v>MOBILECARE - NAGA</v>
      </c>
      <c r="D752" s="2" t="str">
        <f>IFERROR(__xludf.DUMMYFUNCTION("""COMPUTED_VALUE"""),"PP661-23455")</f>
        <v>PP661-23455</v>
      </c>
      <c r="E752" s="2" t="str">
        <f>IFERROR(__xludf.DUMMYFUNCTION("""COMPUTED_VALUE"""),"iPhone 13, Starlight, 128GB, Logic Board Assy Rear System, ROW")</f>
        <v>iPhone 13, Starlight, 128GB, Logic Board Assy Rear System, ROW</v>
      </c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>
      <c r="A753" s="3" t="str">
        <f t="shared" si="1"/>
        <v>March</v>
      </c>
      <c r="B753" s="11">
        <f>IFERROR(__xludf.DUMMYFUNCTION("""COMPUTED_VALUE"""),46109.0)</f>
        <v>46109</v>
      </c>
      <c r="C753" s="2" t="str">
        <f>IFERROR(__xludf.DUMMYFUNCTION("""COMPUTED_VALUE"""),"MOBILECARE - NAGA")</f>
        <v>MOBILECARE - NAGA</v>
      </c>
      <c r="D753" s="2" t="str">
        <f>IFERROR(__xludf.DUMMYFUNCTION("""COMPUTED_VALUE"""),"PP661-23455")</f>
        <v>PP661-23455</v>
      </c>
      <c r="E753" s="2" t="str">
        <f>IFERROR(__xludf.DUMMYFUNCTION("""COMPUTED_VALUE"""),"iPhone 13, Starlight, 128GB, Logic Board Assy Rear System, ROW")</f>
        <v>iPhone 13, Starlight, 128GB, Logic Board Assy Rear System, ROW</v>
      </c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>
      <c r="A754" s="3" t="str">
        <f t="shared" si="1"/>
        <v>March</v>
      </c>
      <c r="B754" s="11">
        <f>IFERROR(__xludf.DUMMYFUNCTION("""COMPUTED_VALUE"""),46096.0)</f>
        <v>46096</v>
      </c>
      <c r="C754" s="2" t="str">
        <f>IFERROR(__xludf.DUMMYFUNCTION("""COMPUTED_VALUE"""),"MOBILECARE - NAGA")</f>
        <v>MOBILECARE - NAGA</v>
      </c>
      <c r="D754" s="2" t="str">
        <f>IFERROR(__xludf.DUMMYFUNCTION("""COMPUTED_VALUE"""),"TA661-44995")</f>
        <v>TA661-44995</v>
      </c>
      <c r="E754" s="2" t="str">
        <f>IFERROR(__xludf.DUMMYFUNCTION("""COMPUTED_VALUE"""),"128GB, Black Titanium, ROW, iPhone 16 Pro, Logic Board Assy Mid System")</f>
        <v>128GB, Black Titanium, ROW, iPhone 16 Pro, Logic Board Assy Mid System</v>
      </c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>
      <c r="A755" s="3" t="str">
        <f t="shared" si="1"/>
        <v>February</v>
      </c>
      <c r="B755" s="11">
        <f>IFERROR(__xludf.DUMMYFUNCTION("""COMPUTED_VALUE"""),46081.0)</f>
        <v>46081</v>
      </c>
      <c r="C755" s="2" t="str">
        <f>IFERROR(__xludf.DUMMYFUNCTION("""COMPUTED_VALUE"""),"MOBILECARE - NAGA")</f>
        <v>MOBILECARE - NAGA</v>
      </c>
      <c r="D755" s="2" t="str">
        <f>IFERROR(__xludf.DUMMYFUNCTION("""COMPUTED_VALUE"""),"PP661-28868")</f>
        <v>PP661-28868</v>
      </c>
      <c r="E755" s="2" t="str">
        <f>IFERROR(__xludf.DUMMYFUNCTION("""COMPUTED_VALUE"""),"iPhone 14, Midnight, 128GB, Logic Board Assy Mid System, ROW")</f>
        <v>iPhone 14, Midnight, 128GB, Logic Board Assy Mid System, ROW</v>
      </c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>
      <c r="A756" s="3" t="str">
        <f t="shared" si="1"/>
        <v>February</v>
      </c>
      <c r="B756" s="11">
        <f>IFERROR(__xludf.DUMMYFUNCTION("""COMPUTED_VALUE"""),46081.0)</f>
        <v>46081</v>
      </c>
      <c r="C756" s="2" t="str">
        <f>IFERROR(__xludf.DUMMYFUNCTION("""COMPUTED_VALUE"""),"MOBILECARE - NAGA")</f>
        <v>MOBILECARE - NAGA</v>
      </c>
      <c r="D756" s="2" t="str">
        <f>IFERROR(__xludf.DUMMYFUNCTION("""COMPUTED_VALUE"""),"PP661-28868")</f>
        <v>PP661-28868</v>
      </c>
      <c r="E756" s="2" t="str">
        <f>IFERROR(__xludf.DUMMYFUNCTION("""COMPUTED_VALUE"""),"iPhone 14, Midnight, 128GB, Logic Board Assy Mid System, ROW")</f>
        <v>iPhone 14, Midnight, 128GB, Logic Board Assy Mid System, ROW</v>
      </c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>
      <c r="A757" s="3" t="str">
        <f t="shared" si="1"/>
        <v>March</v>
      </c>
      <c r="B757" s="11">
        <f>IFERROR(__xludf.DUMMYFUNCTION("""COMPUTED_VALUE"""),46102.0)</f>
        <v>46102</v>
      </c>
      <c r="C757" s="2" t="str">
        <f>IFERROR(__xludf.DUMMYFUNCTION("""COMPUTED_VALUE"""),"MOBILECARE - NAGA")</f>
        <v>MOBILECARE - NAGA</v>
      </c>
      <c r="D757" s="2" t="str">
        <f>IFERROR(__xludf.DUMMYFUNCTION("""COMPUTED_VALUE"""),"PP661-28868")</f>
        <v>PP661-28868</v>
      </c>
      <c r="E757" s="2" t="str">
        <f>IFERROR(__xludf.DUMMYFUNCTION("""COMPUTED_VALUE"""),"iPhone 14, Midnight, 128GB, Logic Board Assy Mid System, ROW")</f>
        <v>iPhone 14, Midnight, 128GB, Logic Board Assy Mid System, ROW</v>
      </c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>
      <c r="A758" s="3" t="str">
        <f t="shared" si="1"/>
        <v>March</v>
      </c>
      <c r="B758" s="11">
        <f>IFERROR(__xludf.DUMMYFUNCTION("""COMPUTED_VALUE"""),46097.0)</f>
        <v>46097</v>
      </c>
      <c r="C758" s="2" t="str">
        <f>IFERROR(__xludf.DUMMYFUNCTION("""COMPUTED_VALUE"""),"MOBILECARE - NAGA")</f>
        <v>MOBILECARE - NAGA</v>
      </c>
      <c r="D758" s="2" t="str">
        <f>IFERROR(__xludf.DUMMYFUNCTION("""COMPUTED_VALUE"""),"PP661-23454")</f>
        <v>PP661-23454</v>
      </c>
      <c r="E758" s="2" t="str">
        <f>IFERROR(__xludf.DUMMYFUNCTION("""COMPUTED_VALUE"""),"iPhone 13, Midnight, 128GB, Logic Board Assy Rear System, ROW")</f>
        <v>iPhone 13, Midnight, 128GB, Logic Board Assy Rear System, ROW</v>
      </c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>
      <c r="A759" s="3" t="str">
        <f t="shared" si="1"/>
        <v>April</v>
      </c>
      <c r="B759" s="11">
        <f>IFERROR(__xludf.DUMMYFUNCTION("""COMPUTED_VALUE"""),46142.0)</f>
        <v>46142</v>
      </c>
      <c r="C759" s="2" t="str">
        <f>IFERROR(__xludf.DUMMYFUNCTION("""COMPUTED_VALUE"""),"MOBILECARE - NAGA")</f>
        <v>MOBILECARE - NAGA</v>
      </c>
      <c r="D759" s="2" t="str">
        <f>IFERROR(__xludf.DUMMYFUNCTION("""COMPUTED_VALUE"""),"PP661-23455")</f>
        <v>PP661-23455</v>
      </c>
      <c r="E759" s="2" t="str">
        <f>IFERROR(__xludf.DUMMYFUNCTION("""COMPUTED_VALUE"""),"iPhone 13, Starlight, 128GB, Logic Board Assy Rear System, ROW")</f>
        <v>iPhone 13, Starlight, 128GB, Logic Board Assy Rear System, ROW</v>
      </c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>
      <c r="A760" s="3" t="str">
        <f t="shared" si="1"/>
        <v>April</v>
      </c>
      <c r="B760" s="11">
        <f>IFERROR(__xludf.DUMMYFUNCTION("""COMPUTED_VALUE"""),46117.0)</f>
        <v>46117</v>
      </c>
      <c r="C760" s="2" t="str">
        <f>IFERROR(__xludf.DUMMYFUNCTION("""COMPUTED_VALUE"""),"MOBILECARE - NAGA")</f>
        <v>MOBILECARE - NAGA</v>
      </c>
      <c r="D760" s="2" t="str">
        <f>IFERROR(__xludf.DUMMYFUNCTION("""COMPUTED_VALUE"""),"PP661-28871")</f>
        <v>PP661-28871</v>
      </c>
      <c r="E760" s="2" t="str">
        <f>IFERROR(__xludf.DUMMYFUNCTION("""COMPUTED_VALUE"""),"iPhone 14, Blue, 128GB, Logic Board Assy Mid System, ROW")</f>
        <v>iPhone 14, Blue, 128GB, Logic Board Assy Mid System, ROW</v>
      </c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>
      <c r="A761" s="3" t="str">
        <f t="shared" si="1"/>
        <v>February</v>
      </c>
      <c r="B761" s="11">
        <f>IFERROR(__xludf.DUMMYFUNCTION("""COMPUTED_VALUE"""),46063.0)</f>
        <v>46063</v>
      </c>
      <c r="C761" s="2" t="str">
        <f>IFERROR(__xludf.DUMMYFUNCTION("""COMPUTED_VALUE"""),"MOBILECARE - NAGA")</f>
        <v>MOBILECARE - NAGA</v>
      </c>
      <c r="D761" s="2" t="str">
        <f>IFERROR(__xludf.DUMMYFUNCTION("""COMPUTED_VALUE"""),"PP661-23454")</f>
        <v>PP661-23454</v>
      </c>
      <c r="E761" s="2" t="str">
        <f>IFERROR(__xludf.DUMMYFUNCTION("""COMPUTED_VALUE"""),"iPhone 13, Midnight, 128GB, Logic Board Assy Rear System, ROW")</f>
        <v>iPhone 13, Midnight, 128GB, Logic Board Assy Rear System, ROW</v>
      </c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</sheetData>
  <mergeCells count="6">
    <mergeCell ref="A1:E1"/>
    <mergeCell ref="G1:I1"/>
    <mergeCell ref="K1:L1"/>
    <mergeCell ref="P1:Q1"/>
    <mergeCell ref="U1:V1"/>
    <mergeCell ref="Z1:AA1"/>
  </mergeCells>
  <dataValidations>
    <dataValidation type="list" allowBlank="1" showErrorMessage="1" sqref="S57">
      <formula1>'Systems&amp;BackGlass'!$U$3:$U$12</formula1>
    </dataValidation>
    <dataValidation type="list" allowBlank="1" showErrorMessage="1" sqref="O108">
      <formula1>'Systems&amp;BackGlass'!$P$27:$P$31</formula1>
    </dataValidation>
    <dataValidation type="list" allowBlank="1" showErrorMessage="1" sqref="T80">
      <formula1>'Systems&amp;BackGlass'!$U$31:$U$35</formula1>
    </dataValidation>
    <dataValidation type="list" allowBlank="1" showErrorMessage="1" sqref="X79">
      <formula1>'Systems&amp;BackGlass'!$Z$3:$Z$24</formula1>
    </dataValidation>
    <dataValidation type="list" allowBlank="1" showErrorMessage="1" sqref="N81">
      <formula1>'Systems&amp;BackGlass'!$P$3:$P$12</formula1>
    </dataValidation>
    <dataValidation type="list" allowBlank="1" showErrorMessage="1" sqref="Y60">
      <formula1>'Systems&amp;BackGlass'!$Z$27:$Z$36</formula1>
    </dataValidation>
    <dataValidation type="list" allowBlank="1" showErrorMessage="1" sqref="O2 T2 Y2">
      <formula1>"All,January,February,March,April,May,June,July,August,September,October,November,December"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31.25"/>
    <col customWidth="1" min="4" max="4" width="11.25"/>
    <col customWidth="1" min="5" max="5" width="58.75"/>
    <col customWidth="1" min="10" max="10" width="31.25"/>
    <col customWidth="1" min="11" max="11" width="12.75"/>
    <col customWidth="1" min="13" max="13" width="37.0"/>
    <col customWidth="1" min="14" max="14" width="8.38"/>
  </cols>
  <sheetData>
    <row r="1">
      <c r="A1" s="12" t="s">
        <v>0</v>
      </c>
      <c r="F1" s="2"/>
      <c r="G1" s="13" t="s">
        <v>302</v>
      </c>
      <c r="I1" s="2"/>
      <c r="J1" s="14" t="s">
        <v>307</v>
      </c>
      <c r="L1" s="2"/>
      <c r="M1" s="14" t="s">
        <v>310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3</v>
      </c>
      <c r="B2" s="6" t="s">
        <v>8</v>
      </c>
      <c r="C2" s="6" t="s">
        <v>13</v>
      </c>
      <c r="D2" s="6" t="s">
        <v>23</v>
      </c>
      <c r="E2" s="6" t="s">
        <v>24</v>
      </c>
      <c r="F2" s="2"/>
      <c r="G2" s="15" t="s">
        <v>3</v>
      </c>
      <c r="H2" s="15" t="s">
        <v>328</v>
      </c>
      <c r="I2" s="2"/>
      <c r="J2" s="15" t="s">
        <v>3</v>
      </c>
      <c r="K2" s="15" t="s">
        <v>328</v>
      </c>
      <c r="L2" s="2"/>
      <c r="M2" s="15" t="s">
        <v>3</v>
      </c>
      <c r="N2" s="15" t="s">
        <v>328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tr">
        <f t="shared" ref="A3:A693" si="1">TEXT(B3:B1000,"MMMM")</f>
        <v>May</v>
      </c>
      <c r="B3" s="11">
        <f>IFERROR(__xludf.DUMMYFUNCTION("IFERROR(CHOOSECOLS(FILTER(Masterlist!A3:J1000, ISNUMBER(SEARCH(""IPHONE"", Masterlist!H3:H1000)), (ISNUMBER(SEARCH(""Rear System"", Masterlist!H3:H1000)) + ISNUMBER(SEARCH(""Mid System"", Masterlist!H3:H1000))) &gt; 0), 6, 2, 7, 8), ""No iPhones Found"")"),46158.0)</f>
        <v>46158</v>
      </c>
      <c r="C3" s="2" t="str">
        <f>IFERROR(__xludf.DUMMYFUNCTION("""COMPUTED_VALUE"""),"MOBILECARE - DAVAO")</f>
        <v>MOBILECARE - DAVAO</v>
      </c>
      <c r="D3" s="2" t="str">
        <f>IFERROR(__xludf.DUMMYFUNCTION("""COMPUTED_VALUE"""),"TA661-36693")</f>
        <v>TA661-36693</v>
      </c>
      <c r="E3" s="2" t="str">
        <f>IFERROR(__xludf.DUMMYFUNCTION("""COMPUTED_VALUE"""),"iPhone 15, Yellow, 128GB, Logic Board Assy Mid System, ROW")</f>
        <v>iPhone 15, Yellow, 128GB, Logic Board Assy Mid System, ROW</v>
      </c>
      <c r="F3" s="2"/>
      <c r="G3" s="2" t="str">
        <f>IFERROR(__xludf.DUMMYFUNCTION("LET(
  months_data, FILTER(A3:A1000, A3:A1000&lt;&gt;""""),
  unique_months, UNIQUE(months_data),
  counts, MAP(unique_months, LAMBDA(m, COUNTIF(months_data, m))),
  ordered_table, HSTACK(unique_months, counts),
  month_order, {""January"",1; ""February"",2; """&amp;"March"",3; ""April"",4; ""May"",5; ""June"",6; ""July"",7; ""August"",8; ""September"",9; ""October"",10; ""November"",11; ""December"",12},
  SORT(ordered_table, XLOOKUP(INDEX(ordered_table,,1), INDEX(month_order,,1), INDEX(month_order,,2)), TRUE)
)"),"January")</f>
        <v>January</v>
      </c>
      <c r="H3" s="2">
        <f>IFERROR(__xludf.DUMMYFUNCTION("""COMPUTED_VALUE"""),167.0)</f>
        <v>167</v>
      </c>
      <c r="I3" s="2"/>
      <c r="J3" s="3" t="str">
        <f>IFERROR(__xludf.DUMMYFUNCTION("IFERROR(LET(
  months_data, FILTER(A3:A1000, A3:A1000&lt;&gt;"""", ISNUMBER(SEARCH(""mid sys"", E3:E1000))),
  unique_months, UNIQUE(months_data),
  counts, MAP(unique_months, LAMBDA(m, COUNTIF(months_data, m))),
  ordered_table, HSTACK(unique_months, counts),
"&amp;"  month_order, {""January"",1; ""February"",2; ""March"",3; ""April"",4; ""May"",5; ""June"",6; ""July"",7; ""August"",8; ""September"",9; ""October"",10; ""November"",11; ""December"",12},
  SORT(ordered_table, XLOOKUP(INDEX(ordered_table,,1), INDEX(mont"&amp;"h_order,,1), INDEX(month_order,,2)), TRUE)
), ""No mid sys data found"")"),"January")</f>
        <v>January</v>
      </c>
      <c r="K3" s="3">
        <f>IFERROR(__xludf.DUMMYFUNCTION("""COMPUTED_VALUE"""),67.0)</f>
        <v>67</v>
      </c>
      <c r="L3" s="2"/>
      <c r="M3" s="2" t="str">
        <f>IFERROR(__xludf.DUMMYFUNCTION("IFERROR(LET(
  months_data, FILTER(A3:A1000, A3:A1000&lt;&gt;"""", ISNUMBER(SEARCH(""rear sys"", E3:E1000))),
  unique_months, UNIQUE(months_data),
  counts, MAP(unique_months, LAMBDA(m, COUNTIF(months_data, m))),
  ordered_table, HSTACK(unique_months, counts),"&amp;"
  month_order, {""January"",1; ""February"",2; ""March"",3; ""April"",4; ""May"",5; ""June"",6; ""July"",7; ""August"",8; ""September"",9; ""October"",10; ""November"",11; ""December"",12},
  SORT(ordered_table, XLOOKUP(INDEX(ordered_table,,1), INDEX(mon"&amp;"th_order,,1), INDEX(month_order,,2)), TRUE)
), ""No rear sys data found"")"),"January")</f>
        <v>January</v>
      </c>
      <c r="N3" s="2">
        <f>IFERROR(__xludf.DUMMYFUNCTION("""COMPUTED_VALUE"""),100.0)</f>
        <v>100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tr">
        <f t="shared" si="1"/>
        <v>January</v>
      </c>
      <c r="B4" s="11">
        <f>IFERROR(__xludf.DUMMYFUNCTION("""COMPUTED_VALUE"""),46053.0)</f>
        <v>46053</v>
      </c>
      <c r="C4" s="2" t="str">
        <f>IFERROR(__xludf.DUMMYFUNCTION("""COMPUTED_VALUE"""),"MOBILECARE - DAVAO")</f>
        <v>MOBILECARE - DAVAO</v>
      </c>
      <c r="D4" s="2" t="str">
        <f>IFERROR(__xludf.DUMMYFUNCTION("""COMPUTED_VALUE"""),"TA661-43605")</f>
        <v>TA661-43605</v>
      </c>
      <c r="E4" s="2" t="str">
        <f>IFERROR(__xludf.DUMMYFUNCTION("""COMPUTED_VALUE"""),"128GB, Black, ROW, iPhone 16, Logic Board Assy Mid System")</f>
        <v>128GB, Black, ROW, iPhone 16, Logic Board Assy Mid System</v>
      </c>
      <c r="F4" s="2"/>
      <c r="G4" s="2" t="str">
        <f>IFERROR(__xludf.DUMMYFUNCTION("""COMPUTED_VALUE"""),"February")</f>
        <v>February</v>
      </c>
      <c r="H4" s="2">
        <f>IFERROR(__xludf.DUMMYFUNCTION("""COMPUTED_VALUE"""),158.0)</f>
        <v>158</v>
      </c>
      <c r="I4" s="2"/>
      <c r="J4" s="2" t="str">
        <f>IFERROR(__xludf.DUMMYFUNCTION("""COMPUTED_VALUE"""),"February")</f>
        <v>February</v>
      </c>
      <c r="K4" s="2">
        <f>IFERROR(__xludf.DUMMYFUNCTION("""COMPUTED_VALUE"""),72.0)</f>
        <v>72</v>
      </c>
      <c r="L4" s="2"/>
      <c r="M4" s="2" t="str">
        <f>IFERROR(__xludf.DUMMYFUNCTION("""COMPUTED_VALUE"""),"February")</f>
        <v>February</v>
      </c>
      <c r="N4" s="2">
        <f>IFERROR(__xludf.DUMMYFUNCTION("""COMPUTED_VALUE"""),86.0)</f>
        <v>86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tr">
        <f t="shared" si="1"/>
        <v>February</v>
      </c>
      <c r="B5" s="11">
        <f>IFERROR(__xludf.DUMMYFUNCTION("""COMPUTED_VALUE"""),46056.0)</f>
        <v>46056</v>
      </c>
      <c r="C5" s="2" t="str">
        <f>IFERROR(__xludf.DUMMYFUNCTION("""COMPUTED_VALUE"""),"MOBILECARE - DAVAO")</f>
        <v>MOBILECARE - DAVAO</v>
      </c>
      <c r="D5" s="2" t="str">
        <f>IFERROR(__xludf.DUMMYFUNCTION("""COMPUTED_VALUE"""),"PP661-23455")</f>
        <v>PP661-23455</v>
      </c>
      <c r="E5" s="2" t="str">
        <f>IFERROR(__xludf.DUMMYFUNCTION("""COMPUTED_VALUE"""),"iPhone 13, Starlight, 128GB, Logic Board Assy Rear System, ROW")</f>
        <v>iPhone 13, Starlight, 128GB, Logic Board Assy Rear System, ROW</v>
      </c>
      <c r="F5" s="2"/>
      <c r="G5" s="2" t="str">
        <f>IFERROR(__xludf.DUMMYFUNCTION("""COMPUTED_VALUE"""),"March")</f>
        <v>March</v>
      </c>
      <c r="H5" s="2">
        <f>IFERROR(__xludf.DUMMYFUNCTION("""COMPUTED_VALUE"""),119.0)</f>
        <v>119</v>
      </c>
      <c r="I5" s="2"/>
      <c r="J5" s="2" t="str">
        <f>IFERROR(__xludf.DUMMYFUNCTION("""COMPUTED_VALUE"""),"March")</f>
        <v>March</v>
      </c>
      <c r="K5" s="2">
        <f>IFERROR(__xludf.DUMMYFUNCTION("""COMPUTED_VALUE"""),48.0)</f>
        <v>48</v>
      </c>
      <c r="L5" s="2"/>
      <c r="M5" s="2" t="str">
        <f>IFERROR(__xludf.DUMMYFUNCTION("""COMPUTED_VALUE"""),"March")</f>
        <v>March</v>
      </c>
      <c r="N5" s="2">
        <f>IFERROR(__xludf.DUMMYFUNCTION("""COMPUTED_VALUE"""),71.0)</f>
        <v>71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tr">
        <f t="shared" si="1"/>
        <v>January</v>
      </c>
      <c r="B6" s="11">
        <f>IFERROR(__xludf.DUMMYFUNCTION("""COMPUTED_VALUE"""),46043.0)</f>
        <v>46043</v>
      </c>
      <c r="C6" s="2" t="str">
        <f>IFERROR(__xludf.DUMMYFUNCTION("""COMPUTED_VALUE"""),"MOBILECARE - DAVAO")</f>
        <v>MOBILECARE - DAVAO</v>
      </c>
      <c r="D6" s="2" t="str">
        <f>IFERROR(__xludf.DUMMYFUNCTION("""COMPUTED_VALUE"""),"PP661-23455")</f>
        <v>PP661-23455</v>
      </c>
      <c r="E6" s="2" t="str">
        <f>IFERROR(__xludf.DUMMYFUNCTION("""COMPUTED_VALUE"""),"iPhone 13, Starlight, 128GB, Logic Board Assy Rear System, ROW")</f>
        <v>iPhone 13, Starlight, 128GB, Logic Board Assy Rear System, ROW</v>
      </c>
      <c r="F6" s="2"/>
      <c r="G6" s="2" t="str">
        <f>IFERROR(__xludf.DUMMYFUNCTION("""COMPUTED_VALUE"""),"April")</f>
        <v>April</v>
      </c>
      <c r="H6" s="2">
        <f>IFERROR(__xludf.DUMMYFUNCTION("""COMPUTED_VALUE"""),115.0)</f>
        <v>115</v>
      </c>
      <c r="I6" s="2"/>
      <c r="J6" s="2" t="str">
        <f>IFERROR(__xludf.DUMMYFUNCTION("""COMPUTED_VALUE"""),"April")</f>
        <v>April</v>
      </c>
      <c r="K6" s="2">
        <f>IFERROR(__xludf.DUMMYFUNCTION("""COMPUTED_VALUE"""),59.0)</f>
        <v>59</v>
      </c>
      <c r="L6" s="2"/>
      <c r="M6" s="2" t="str">
        <f>IFERROR(__xludf.DUMMYFUNCTION("""COMPUTED_VALUE"""),"April")</f>
        <v>April</v>
      </c>
      <c r="N6" s="2">
        <f>IFERROR(__xludf.DUMMYFUNCTION("""COMPUTED_VALUE"""),56.0)</f>
        <v>56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tr">
        <f t="shared" si="1"/>
        <v>January</v>
      </c>
      <c r="B7" s="11">
        <f>IFERROR(__xludf.DUMMYFUNCTION("""COMPUTED_VALUE"""),46048.0)</f>
        <v>46048</v>
      </c>
      <c r="C7" s="2" t="str">
        <f>IFERROR(__xludf.DUMMYFUNCTION("""COMPUTED_VALUE"""),"MOBILECARE - DAVAO")</f>
        <v>MOBILECARE - DAVAO</v>
      </c>
      <c r="D7" s="2" t="str">
        <f>IFERROR(__xludf.DUMMYFUNCTION("""COMPUTED_VALUE"""),"TA661-43610")</f>
        <v>TA661-43610</v>
      </c>
      <c r="E7" s="2" t="str">
        <f>IFERROR(__xludf.DUMMYFUNCTION("""COMPUTED_VALUE"""),"256GB, Black, ROW, iPhone 16, Logic Board Assy Mid System")</f>
        <v>256GB, Black, ROW, iPhone 16, Logic Board Assy Mid System</v>
      </c>
      <c r="F7" s="2"/>
      <c r="G7" s="2" t="str">
        <f>IFERROR(__xludf.DUMMYFUNCTION("""COMPUTED_VALUE"""),"May")</f>
        <v>May</v>
      </c>
      <c r="H7" s="2">
        <f>IFERROR(__xludf.DUMMYFUNCTION("""COMPUTED_VALUE"""),37.0)</f>
        <v>37</v>
      </c>
      <c r="I7" s="2"/>
      <c r="J7" s="2" t="str">
        <f>IFERROR(__xludf.DUMMYFUNCTION("""COMPUTED_VALUE"""),"May")</f>
        <v>May</v>
      </c>
      <c r="K7" s="2">
        <f>IFERROR(__xludf.DUMMYFUNCTION("""COMPUTED_VALUE"""),23.0)</f>
        <v>23</v>
      </c>
      <c r="L7" s="2"/>
      <c r="M7" s="2" t="str">
        <f>IFERROR(__xludf.DUMMYFUNCTION("""COMPUTED_VALUE"""),"May")</f>
        <v>May</v>
      </c>
      <c r="N7" s="2">
        <f>IFERROR(__xludf.DUMMYFUNCTION("""COMPUTED_VALUE"""),14.0)</f>
        <v>14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tr">
        <f t="shared" si="1"/>
        <v>January</v>
      </c>
      <c r="B8" s="11">
        <f>IFERROR(__xludf.DUMMYFUNCTION("""COMPUTED_VALUE"""),46053.0)</f>
        <v>46053</v>
      </c>
      <c r="C8" s="2" t="str">
        <f>IFERROR(__xludf.DUMMYFUNCTION("""COMPUTED_VALUE"""),"MOBILECARE - DAVAO")</f>
        <v>MOBILECARE - DAVAO</v>
      </c>
      <c r="D8" s="2" t="str">
        <f>IFERROR(__xludf.DUMMYFUNCTION("""COMPUTED_VALUE"""),"PP661-23455")</f>
        <v>PP661-23455</v>
      </c>
      <c r="E8" s="2" t="str">
        <f>IFERROR(__xludf.DUMMYFUNCTION("""COMPUTED_VALUE"""),"iPhone 13, Starlight, 128GB, Logic Board Assy Rear System, ROW")</f>
        <v>iPhone 13, Starlight, 128GB, Logic Board Assy Rear System, ROW</v>
      </c>
      <c r="F8" s="2"/>
      <c r="G8" s="2" t="str">
        <f>IFERROR(__xludf.DUMMYFUNCTION("""COMPUTED_VALUE"""),"June")</f>
        <v>June</v>
      </c>
      <c r="H8" s="2">
        <f>IFERROR(__xludf.DUMMYFUNCTION("""COMPUTED_VALUE"""),95.0)</f>
        <v>95</v>
      </c>
      <c r="I8" s="2"/>
      <c r="J8" s="2" t="str">
        <f>IFERROR(__xludf.DUMMYFUNCTION("""COMPUTED_VALUE"""),"June")</f>
        <v>June</v>
      </c>
      <c r="K8" s="2">
        <f>IFERROR(__xludf.DUMMYFUNCTION("""COMPUTED_VALUE"""),54.0)</f>
        <v>54</v>
      </c>
      <c r="L8" s="2"/>
      <c r="M8" s="2" t="str">
        <f>IFERROR(__xludf.DUMMYFUNCTION("""COMPUTED_VALUE"""),"June")</f>
        <v>June</v>
      </c>
      <c r="N8" s="2">
        <f>IFERROR(__xludf.DUMMYFUNCTION("""COMPUTED_VALUE"""),41.0)</f>
        <v>41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tr">
        <f t="shared" si="1"/>
        <v>January</v>
      </c>
      <c r="B9" s="11">
        <f>IFERROR(__xludf.DUMMYFUNCTION("""COMPUTED_VALUE"""),46048.0)</f>
        <v>46048</v>
      </c>
      <c r="C9" s="2" t="str">
        <f>IFERROR(__xludf.DUMMYFUNCTION("""COMPUTED_VALUE"""),"MOBILECARE - DAVAO")</f>
        <v>MOBILECARE - DAVAO</v>
      </c>
      <c r="D9" s="2" t="str">
        <f>IFERROR(__xludf.DUMMYFUNCTION("""COMPUTED_VALUE"""),"PP661-23454")</f>
        <v>PP661-23454</v>
      </c>
      <c r="E9" s="2" t="str">
        <f>IFERROR(__xludf.DUMMYFUNCTION("""COMPUTED_VALUE"""),"iPhone 13, Midnight, 128GB, Logic Board Assy Rear System, ROW")</f>
        <v>iPhone 13, Midnight, 128GB, Logic Board Assy Rear System, ROW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tr">
        <f t="shared" si="1"/>
        <v>January</v>
      </c>
      <c r="B10" s="11">
        <f>IFERROR(__xludf.DUMMYFUNCTION("""COMPUTED_VALUE"""),46045.0)</f>
        <v>46045</v>
      </c>
      <c r="C10" s="2" t="str">
        <f>IFERROR(__xludf.DUMMYFUNCTION("""COMPUTED_VALUE"""),"MOBILECARE - DAVAO")</f>
        <v>MOBILECARE - DAVAO</v>
      </c>
      <c r="D10" s="2" t="str">
        <f>IFERROR(__xludf.DUMMYFUNCTION("""COMPUTED_VALUE"""),"PP661-23455")</f>
        <v>PP661-23455</v>
      </c>
      <c r="E10" s="2" t="str">
        <f>IFERROR(__xludf.DUMMYFUNCTION("""COMPUTED_VALUE"""),"iPhone 13, Starlight, 128GB, Logic Board Assy Rear System, ROW")</f>
        <v>iPhone 13, Starlight, 128GB, Logic Board Assy Rear System, ROW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tr">
        <f t="shared" si="1"/>
        <v>January</v>
      </c>
      <c r="B11" s="11">
        <f>IFERROR(__xludf.DUMMYFUNCTION("""COMPUTED_VALUE"""),46044.0)</f>
        <v>46044</v>
      </c>
      <c r="C11" s="2" t="str">
        <f>IFERROR(__xludf.DUMMYFUNCTION("""COMPUTED_VALUE"""),"MOBILECARE - DAVAO")</f>
        <v>MOBILECARE - DAVAO</v>
      </c>
      <c r="D11" s="2" t="str">
        <f>IFERROR(__xludf.DUMMYFUNCTION("""COMPUTED_VALUE"""),"PP661-23455")</f>
        <v>PP661-23455</v>
      </c>
      <c r="E11" s="2" t="str">
        <f>IFERROR(__xludf.DUMMYFUNCTION("""COMPUTED_VALUE"""),"iPhone 13, Starlight, 128GB, Logic Board Assy Rear System, ROW")</f>
        <v>iPhone 13, Starlight, 128GB, Logic Board Assy Rear System, ROW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tr">
        <f t="shared" si="1"/>
        <v>February</v>
      </c>
      <c r="B12" s="11">
        <f>IFERROR(__xludf.DUMMYFUNCTION("""COMPUTED_VALUE"""),46054.0)</f>
        <v>46054</v>
      </c>
      <c r="C12" s="2" t="str">
        <f>IFERROR(__xludf.DUMMYFUNCTION("""COMPUTED_VALUE"""),"MOBILECARE - DAVAO")</f>
        <v>MOBILECARE - DAVAO</v>
      </c>
      <c r="D12" s="2" t="str">
        <f>IFERROR(__xludf.DUMMYFUNCTION("""COMPUTED_VALUE"""),"PP661-23455")</f>
        <v>PP661-23455</v>
      </c>
      <c r="E12" s="2" t="str">
        <f>IFERROR(__xludf.DUMMYFUNCTION("""COMPUTED_VALUE"""),"iPhone 13, Starlight, 128GB, Logic Board Assy Rear System, ROW")</f>
        <v>iPhone 13, Starlight, 128GB, Logic Board Assy Rear System, ROW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tr">
        <f t="shared" si="1"/>
        <v>January</v>
      </c>
      <c r="B13" s="11">
        <f>IFERROR(__xludf.DUMMYFUNCTION("""COMPUTED_VALUE"""),46050.0)</f>
        <v>46050</v>
      </c>
      <c r="C13" s="2" t="str">
        <f>IFERROR(__xludf.DUMMYFUNCTION("""COMPUTED_VALUE"""),"MOBILECARE - DAVAO")</f>
        <v>MOBILECARE - DAVAO</v>
      </c>
      <c r="D13" s="2" t="str">
        <f>IFERROR(__xludf.DUMMYFUNCTION("""COMPUTED_VALUE"""),"PP661-23455")</f>
        <v>PP661-23455</v>
      </c>
      <c r="E13" s="2" t="str">
        <f>IFERROR(__xludf.DUMMYFUNCTION("""COMPUTED_VALUE"""),"iPhone 13, Starlight, 128GB, Logic Board Assy Rear System, ROW")</f>
        <v>iPhone 13, Starlight, 128GB, Logic Board Assy Rear System, ROW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tr">
        <f t="shared" si="1"/>
        <v>January</v>
      </c>
      <c r="B14" s="11">
        <f>IFERROR(__xludf.DUMMYFUNCTION("""COMPUTED_VALUE"""),46052.0)</f>
        <v>46052</v>
      </c>
      <c r="C14" s="2" t="str">
        <f>IFERROR(__xludf.DUMMYFUNCTION("""COMPUTED_VALUE"""),"MOBILECARE - DAVAO")</f>
        <v>MOBILECARE - DAVAO</v>
      </c>
      <c r="D14" s="2" t="str">
        <f>IFERROR(__xludf.DUMMYFUNCTION("""COMPUTED_VALUE"""),"PP661-28868")</f>
        <v>PP661-28868</v>
      </c>
      <c r="E14" s="2" t="str">
        <f>IFERROR(__xludf.DUMMYFUNCTION("""COMPUTED_VALUE"""),"iPhone 14, Midnight, 128GB, Logic Board Assy Mid System, ROW")</f>
        <v>iPhone 14, Midnight, 128GB, Logic Board Assy Mid System, ROW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tr">
        <f t="shared" si="1"/>
        <v>January</v>
      </c>
      <c r="B15" s="11">
        <f>IFERROR(__xludf.DUMMYFUNCTION("""COMPUTED_VALUE"""),46049.0)</f>
        <v>46049</v>
      </c>
      <c r="C15" s="2" t="str">
        <f>IFERROR(__xludf.DUMMYFUNCTION("""COMPUTED_VALUE"""),"MOBILECARE - DAVAO")</f>
        <v>MOBILECARE - DAVAO</v>
      </c>
      <c r="D15" s="2" t="str">
        <f>IFERROR(__xludf.DUMMYFUNCTION("""COMPUTED_VALUE"""),"PP661-23454")</f>
        <v>PP661-23454</v>
      </c>
      <c r="E15" s="2" t="str">
        <f>IFERROR(__xludf.DUMMYFUNCTION("""COMPUTED_VALUE"""),"iPhone 13, Midnight, 128GB, Logic Board Assy Rear System, ROW")</f>
        <v>iPhone 13, Midnight, 128GB, Logic Board Assy Rear System, ROW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tr">
        <f t="shared" si="1"/>
        <v>January</v>
      </c>
      <c r="B16" s="11">
        <f>IFERROR(__xludf.DUMMYFUNCTION("""COMPUTED_VALUE"""),46044.0)</f>
        <v>46044</v>
      </c>
      <c r="C16" s="2" t="str">
        <f>IFERROR(__xludf.DUMMYFUNCTION("""COMPUTED_VALUE"""),"MOBILECARE - DAVAO")</f>
        <v>MOBILECARE - DAVAO</v>
      </c>
      <c r="D16" s="2" t="str">
        <f>IFERROR(__xludf.DUMMYFUNCTION("""COMPUTED_VALUE"""),"PP661-23454")</f>
        <v>PP661-23454</v>
      </c>
      <c r="E16" s="2" t="str">
        <f>IFERROR(__xludf.DUMMYFUNCTION("""COMPUTED_VALUE"""),"iPhone 13, Midnight, 128GB, Logic Board Assy Rear System, ROW")</f>
        <v>iPhone 13, Midnight, 128GB, Logic Board Assy Rear System, ROW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tr">
        <f t="shared" si="1"/>
        <v>January</v>
      </c>
      <c r="B17" s="11">
        <f>IFERROR(__xludf.DUMMYFUNCTION("""COMPUTED_VALUE"""),46047.0)</f>
        <v>46047</v>
      </c>
      <c r="C17" s="2" t="str">
        <f>IFERROR(__xludf.DUMMYFUNCTION("""COMPUTED_VALUE"""),"MOBILECARE - DAVAO")</f>
        <v>MOBILECARE - DAVAO</v>
      </c>
      <c r="D17" s="2" t="str">
        <f>IFERROR(__xludf.DUMMYFUNCTION("""COMPUTED_VALUE"""),"PP661-23454")</f>
        <v>PP661-23454</v>
      </c>
      <c r="E17" s="2" t="str">
        <f>IFERROR(__xludf.DUMMYFUNCTION("""COMPUTED_VALUE"""),"iPhone 13, Midnight, 128GB, Logic Board Assy Rear System, ROW")</f>
        <v>iPhone 13, Midnight, 128GB, Logic Board Assy Rear System, ROW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tr">
        <f t="shared" si="1"/>
        <v>January</v>
      </c>
      <c r="B18" s="11">
        <f>IFERROR(__xludf.DUMMYFUNCTION("""COMPUTED_VALUE"""),46046.0)</f>
        <v>46046</v>
      </c>
      <c r="C18" s="2" t="str">
        <f>IFERROR(__xludf.DUMMYFUNCTION("""COMPUTED_VALUE"""),"MOBILECARE - DAVAO")</f>
        <v>MOBILECARE - DAVAO</v>
      </c>
      <c r="D18" s="2" t="str">
        <f>IFERROR(__xludf.DUMMYFUNCTION("""COMPUTED_VALUE"""),"TA661-43609")</f>
        <v>TA661-43609</v>
      </c>
      <c r="E18" s="2" t="str">
        <f>IFERROR(__xludf.DUMMYFUNCTION("""COMPUTED_VALUE"""),"128GB, Teal, ROW, iPhone 16, Logic Board Assy Mid System")</f>
        <v>128GB, Teal, ROW, iPhone 16, Logic Board Assy Mid System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tr">
        <f t="shared" si="1"/>
        <v>January</v>
      </c>
      <c r="B19" s="11">
        <f>IFERROR(__xludf.DUMMYFUNCTION("""COMPUTED_VALUE"""),46040.0)</f>
        <v>46040</v>
      </c>
      <c r="C19" s="2" t="str">
        <f>IFERROR(__xludf.DUMMYFUNCTION("""COMPUTED_VALUE"""),"MOBILECARE - DAVAO")</f>
        <v>MOBILECARE - DAVAO</v>
      </c>
      <c r="D19" s="2" t="str">
        <f>IFERROR(__xludf.DUMMYFUNCTION("""COMPUTED_VALUE"""),"TA661-36694")</f>
        <v>TA661-36694</v>
      </c>
      <c r="E19" s="2" t="str">
        <f>IFERROR(__xludf.DUMMYFUNCTION("""COMPUTED_VALUE"""),"iPhone 15, Blue, 128GB, Logic Board Assy Mid System, ROW")</f>
        <v>iPhone 15, Blue, 128GB, Logic Board Assy Mid System, ROW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tr">
        <f t="shared" si="1"/>
        <v>January</v>
      </c>
      <c r="B20" s="11">
        <f>IFERROR(__xludf.DUMMYFUNCTION("""COMPUTED_VALUE"""),46045.0)</f>
        <v>46045</v>
      </c>
      <c r="C20" s="2" t="str">
        <f>IFERROR(__xludf.DUMMYFUNCTION("""COMPUTED_VALUE"""),"MOBILECARE - DAVAO")</f>
        <v>MOBILECARE - DAVAO</v>
      </c>
      <c r="D20" s="2" t="str">
        <f>IFERROR(__xludf.DUMMYFUNCTION("""COMPUTED_VALUE"""),"PP661-23454")</f>
        <v>PP661-23454</v>
      </c>
      <c r="E20" s="2" t="str">
        <f>IFERROR(__xludf.DUMMYFUNCTION("""COMPUTED_VALUE"""),"iPhone 13, Midnight, 128GB, Logic Board Assy Rear System, ROW")</f>
        <v>iPhone 13, Midnight, 128GB, Logic Board Assy Rear System, ROW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tr">
        <f t="shared" si="1"/>
        <v>January</v>
      </c>
      <c r="B21" s="11">
        <f>IFERROR(__xludf.DUMMYFUNCTION("""COMPUTED_VALUE"""),46044.0)</f>
        <v>46044</v>
      </c>
      <c r="C21" s="2" t="str">
        <f>IFERROR(__xludf.DUMMYFUNCTION("""COMPUTED_VALUE"""),"MOBILECARE - DAVAO")</f>
        <v>MOBILECARE - DAVAO</v>
      </c>
      <c r="D21" s="2" t="str">
        <f>IFERROR(__xludf.DUMMYFUNCTION("""COMPUTED_VALUE"""),"PP661-23455")</f>
        <v>PP661-23455</v>
      </c>
      <c r="E21" s="2" t="str">
        <f>IFERROR(__xludf.DUMMYFUNCTION("""COMPUTED_VALUE"""),"iPhone 13, Starlight, 128GB, Logic Board Assy Rear System, ROW")</f>
        <v>iPhone 13, Starlight, 128GB, Logic Board Assy Rear System, ROW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tr">
        <f t="shared" si="1"/>
        <v>January</v>
      </c>
      <c r="B22" s="11">
        <f>IFERROR(__xludf.DUMMYFUNCTION("""COMPUTED_VALUE"""),46039.0)</f>
        <v>46039</v>
      </c>
      <c r="C22" s="2" t="str">
        <f>IFERROR(__xludf.DUMMYFUNCTION("""COMPUTED_VALUE"""),"MOBILECARE - DAVAO")</f>
        <v>MOBILECARE - DAVAO</v>
      </c>
      <c r="D22" s="2" t="str">
        <f>IFERROR(__xludf.DUMMYFUNCTION("""COMPUTED_VALUE"""),"PP661-23454")</f>
        <v>PP661-23454</v>
      </c>
      <c r="E22" s="2" t="str">
        <f>IFERROR(__xludf.DUMMYFUNCTION("""COMPUTED_VALUE"""),"iPhone 13, Midnight, 128GB, Logic Board Assy Rear System, ROW")</f>
        <v>iPhone 13, Midnight, 128GB, Logic Board Assy Rear System, ROW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tr">
        <f t="shared" si="1"/>
        <v>January</v>
      </c>
      <c r="B23" s="11">
        <f>IFERROR(__xludf.DUMMYFUNCTION("""COMPUTED_VALUE"""),46037.0)</f>
        <v>46037</v>
      </c>
      <c r="C23" s="2" t="str">
        <f>IFERROR(__xludf.DUMMYFUNCTION("""COMPUTED_VALUE"""),"MOBILECARE - DAVAO")</f>
        <v>MOBILECARE - DAVAO</v>
      </c>
      <c r="D23" s="2" t="str">
        <f>IFERROR(__xludf.DUMMYFUNCTION("""COMPUTED_VALUE"""),"PP661-23455")</f>
        <v>PP661-23455</v>
      </c>
      <c r="E23" s="2" t="str">
        <f>IFERROR(__xludf.DUMMYFUNCTION("""COMPUTED_VALUE"""),"iPhone 13, Starlight, 128GB, Logic Board Assy Rear System, ROW")</f>
        <v>iPhone 13, Starlight, 128GB, Logic Board Assy Rear System, ROW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tr">
        <f t="shared" si="1"/>
        <v>January</v>
      </c>
      <c r="B24" s="11">
        <f>IFERROR(__xludf.DUMMYFUNCTION("""COMPUTED_VALUE"""),46039.0)</f>
        <v>46039</v>
      </c>
      <c r="C24" s="2" t="str">
        <f>IFERROR(__xludf.DUMMYFUNCTION("""COMPUTED_VALUE"""),"MOBILECARE - DAVAO")</f>
        <v>MOBILECARE - DAVAO</v>
      </c>
      <c r="D24" s="2" t="str">
        <f>IFERROR(__xludf.DUMMYFUNCTION("""COMPUTED_VALUE"""),"TA661-36694")</f>
        <v>TA661-36694</v>
      </c>
      <c r="E24" s="2" t="str">
        <f>IFERROR(__xludf.DUMMYFUNCTION("""COMPUTED_VALUE"""),"iPhone 15, Blue, 128GB, Logic Board Assy Mid System, ROW")</f>
        <v>iPhone 15, Blue, 128GB, Logic Board Assy Mid System, ROW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tr">
        <f t="shared" si="1"/>
        <v>January</v>
      </c>
      <c r="B25" s="11">
        <f>IFERROR(__xludf.DUMMYFUNCTION("""COMPUTED_VALUE"""),46028.0)</f>
        <v>46028</v>
      </c>
      <c r="C25" s="2" t="str">
        <f>IFERROR(__xludf.DUMMYFUNCTION("""COMPUTED_VALUE"""),"MOBILECARE - DAVAO")</f>
        <v>MOBILECARE - DAVAO</v>
      </c>
      <c r="D25" s="2" t="str">
        <f>IFERROR(__xludf.DUMMYFUNCTION("""COMPUTED_VALUE"""),"PP661-23454")</f>
        <v>PP661-23454</v>
      </c>
      <c r="E25" s="2" t="str">
        <f>IFERROR(__xludf.DUMMYFUNCTION("""COMPUTED_VALUE"""),"iPhone 13, Midnight, 128GB, Logic Board Assy Rear System, ROW")</f>
        <v>iPhone 13, Midnight, 128GB, Logic Board Assy Rear System, ROW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tr">
        <f t="shared" si="1"/>
        <v>January</v>
      </c>
      <c r="B26" s="11">
        <f>IFERROR(__xludf.DUMMYFUNCTION("""COMPUTED_VALUE"""),46026.0)</f>
        <v>46026</v>
      </c>
      <c r="C26" s="2" t="str">
        <f>IFERROR(__xludf.DUMMYFUNCTION("""COMPUTED_VALUE"""),"MOBILECARE - DAVAO")</f>
        <v>MOBILECARE - DAVAO</v>
      </c>
      <c r="D26" s="2" t="str">
        <f>IFERROR(__xludf.DUMMYFUNCTION("""COMPUTED_VALUE"""),"PP661-23454")</f>
        <v>PP661-23454</v>
      </c>
      <c r="E26" s="2" t="str">
        <f>IFERROR(__xludf.DUMMYFUNCTION("""COMPUTED_VALUE"""),"iPhone 13, Midnight, 128GB, Logic Board Assy Rear System, ROW")</f>
        <v>iPhone 13, Midnight, 128GB, Logic Board Assy Rear System, ROW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tr">
        <f t="shared" si="1"/>
        <v>January</v>
      </c>
      <c r="B27" s="11">
        <f>IFERROR(__xludf.DUMMYFUNCTION("""COMPUTED_VALUE"""),46040.0)</f>
        <v>46040</v>
      </c>
      <c r="C27" s="2" t="str">
        <f>IFERROR(__xludf.DUMMYFUNCTION("""COMPUTED_VALUE"""),"MOBILECARE - DAVAO")</f>
        <v>MOBILECARE - DAVAO</v>
      </c>
      <c r="D27" s="2" t="str">
        <f>IFERROR(__xludf.DUMMYFUNCTION("""COMPUTED_VALUE"""),"PP661-28879")</f>
        <v>PP661-28879</v>
      </c>
      <c r="E27" s="2" t="str">
        <f>IFERROR(__xludf.DUMMYFUNCTION("""COMPUTED_VALUE"""),"iPhone 14, Starlight, 512GB, Logic Board Assy Mid System, ROW")</f>
        <v>iPhone 14, Starlight, 512GB, Logic Board Assy Mid System, ROW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tr">
        <f t="shared" si="1"/>
        <v>January</v>
      </c>
      <c r="B28" s="11">
        <f>IFERROR(__xludf.DUMMYFUNCTION("""COMPUTED_VALUE"""),46033.0)</f>
        <v>46033</v>
      </c>
      <c r="C28" s="2" t="str">
        <f>IFERROR(__xludf.DUMMYFUNCTION("""COMPUTED_VALUE"""),"MOBILECARE - DAVAO")</f>
        <v>MOBILECARE - DAVAO</v>
      </c>
      <c r="D28" s="2" t="str">
        <f>IFERROR(__xludf.DUMMYFUNCTION("""COMPUTED_VALUE"""),"TA661-45001")</f>
        <v>TA661-45001</v>
      </c>
      <c r="E28" s="2" t="str">
        <f>IFERROR(__xludf.DUMMYFUNCTION("""COMPUTED_VALUE"""),"256GB, Desert Titanium, ROW, iPhone 16 Pro, Logic Board Assy Mid System")</f>
        <v>256GB, Desert Titanium, ROW, iPhone 16 Pro, Logic Board Assy Mid System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tr">
        <f t="shared" si="1"/>
        <v>January</v>
      </c>
      <c r="B29" s="11">
        <f>IFERROR(__xludf.DUMMYFUNCTION("""COMPUTED_VALUE"""),46033.0)</f>
        <v>46033</v>
      </c>
      <c r="C29" s="2" t="str">
        <f>IFERROR(__xludf.DUMMYFUNCTION("""COMPUTED_VALUE"""),"MOBILECARE - DAVAO")</f>
        <v>MOBILECARE - DAVAO</v>
      </c>
      <c r="D29" s="2" t="str">
        <f>IFERROR(__xludf.DUMMYFUNCTION("""COMPUTED_VALUE"""),"PP661-28868")</f>
        <v>PP661-28868</v>
      </c>
      <c r="E29" s="2" t="str">
        <f>IFERROR(__xludf.DUMMYFUNCTION("""COMPUTED_VALUE"""),"iPhone 14, Midnight, 128GB, Logic Board Assy Mid System, ROW")</f>
        <v>iPhone 14, Midnight, 128GB, Logic Board Assy Mid System, ROW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tr">
        <f t="shared" si="1"/>
        <v>January</v>
      </c>
      <c r="B30" s="11">
        <f>IFERROR(__xludf.DUMMYFUNCTION("""COMPUTED_VALUE"""),46034.0)</f>
        <v>46034</v>
      </c>
      <c r="C30" s="2" t="str">
        <f>IFERROR(__xludf.DUMMYFUNCTION("""COMPUTED_VALUE"""),"MOBILECARE - DAVAO")</f>
        <v>MOBILECARE - DAVAO</v>
      </c>
      <c r="D30" s="2" t="str">
        <f>IFERROR(__xludf.DUMMYFUNCTION("""COMPUTED_VALUE"""),"PP661-23455")</f>
        <v>PP661-23455</v>
      </c>
      <c r="E30" s="2" t="str">
        <f>IFERROR(__xludf.DUMMYFUNCTION("""COMPUTED_VALUE"""),"iPhone 13, Starlight, 128GB, Logic Board Assy Rear System, ROW")</f>
        <v>iPhone 13, Starlight, 128GB, Logic Board Assy Rear System, ROW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tr">
        <f t="shared" si="1"/>
        <v>January</v>
      </c>
      <c r="B31" s="11">
        <f>IFERROR(__xludf.DUMMYFUNCTION("""COMPUTED_VALUE"""),46037.0)</f>
        <v>46037</v>
      </c>
      <c r="C31" s="2" t="str">
        <f>IFERROR(__xludf.DUMMYFUNCTION("""COMPUTED_VALUE"""),"MOBILECARE - DAVAO")</f>
        <v>MOBILECARE - DAVAO</v>
      </c>
      <c r="D31" s="2" t="str">
        <f>IFERROR(__xludf.DUMMYFUNCTION("""COMPUTED_VALUE"""),"PP661-23455")</f>
        <v>PP661-23455</v>
      </c>
      <c r="E31" s="2" t="str">
        <f>IFERROR(__xludf.DUMMYFUNCTION("""COMPUTED_VALUE"""),"iPhone 13, Starlight, 128GB, Logic Board Assy Rear System, ROW")</f>
        <v>iPhone 13, Starlight, 128GB, Logic Board Assy Rear System, ROW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tr">
        <f t="shared" si="1"/>
        <v>January</v>
      </c>
      <c r="B32" s="11">
        <f>IFERROR(__xludf.DUMMYFUNCTION("""COMPUTED_VALUE"""),46032.0)</f>
        <v>46032</v>
      </c>
      <c r="C32" s="2" t="str">
        <f>IFERROR(__xludf.DUMMYFUNCTION("""COMPUTED_VALUE"""),"MOBILECARE - DAVAO")</f>
        <v>MOBILECARE - DAVAO</v>
      </c>
      <c r="D32" s="2" t="str">
        <f>IFERROR(__xludf.DUMMYFUNCTION("""COMPUTED_VALUE"""),"PP661-23455")</f>
        <v>PP661-23455</v>
      </c>
      <c r="E32" s="2" t="str">
        <f>IFERROR(__xludf.DUMMYFUNCTION("""COMPUTED_VALUE"""),"iPhone 13, Starlight, 128GB, Logic Board Assy Rear System, ROW")</f>
        <v>iPhone 13, Starlight, 128GB, Logic Board Assy Rear System, ROW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tr">
        <f t="shared" si="1"/>
        <v>January</v>
      </c>
      <c r="B33" s="11">
        <f>IFERROR(__xludf.DUMMYFUNCTION("""COMPUTED_VALUE"""),46031.0)</f>
        <v>46031</v>
      </c>
      <c r="C33" s="2" t="str">
        <f>IFERROR(__xludf.DUMMYFUNCTION("""COMPUTED_VALUE"""),"MOBILECARE - DAVAO")</f>
        <v>MOBILECARE - DAVAO</v>
      </c>
      <c r="D33" s="2" t="str">
        <f>IFERROR(__xludf.DUMMYFUNCTION("""COMPUTED_VALUE"""),"PP661-23454")</f>
        <v>PP661-23454</v>
      </c>
      <c r="E33" s="2" t="str">
        <f>IFERROR(__xludf.DUMMYFUNCTION("""COMPUTED_VALUE"""),"iPhone 13, Midnight, 128GB, Logic Board Assy Rear System, ROW")</f>
        <v>iPhone 13, Midnight, 128GB, Logic Board Assy Rear System, ROW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tr">
        <f t="shared" si="1"/>
        <v>January</v>
      </c>
      <c r="B34" s="11">
        <f>IFERROR(__xludf.DUMMYFUNCTION("""COMPUTED_VALUE"""),46033.0)</f>
        <v>46033</v>
      </c>
      <c r="C34" s="2" t="str">
        <f>IFERROR(__xludf.DUMMYFUNCTION("""COMPUTED_VALUE"""),"MOBILECARE - DAVAO")</f>
        <v>MOBILECARE - DAVAO</v>
      </c>
      <c r="D34" s="2" t="str">
        <f>IFERROR(__xludf.DUMMYFUNCTION("""COMPUTED_VALUE"""),"PP661-23455")</f>
        <v>PP661-23455</v>
      </c>
      <c r="E34" s="2" t="str">
        <f>IFERROR(__xludf.DUMMYFUNCTION("""COMPUTED_VALUE"""),"iPhone 13, Starlight, 128GB, Logic Board Assy Rear System, ROW")</f>
        <v>iPhone 13, Starlight, 128GB, Logic Board Assy Rear System, ROW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tr">
        <f t="shared" si="1"/>
        <v>January</v>
      </c>
      <c r="B35" s="11">
        <f>IFERROR(__xludf.DUMMYFUNCTION("""COMPUTED_VALUE"""),46025.0)</f>
        <v>46025</v>
      </c>
      <c r="C35" s="2" t="str">
        <f>IFERROR(__xludf.DUMMYFUNCTION("""COMPUTED_VALUE"""),"MOBILECARE - DAVAO")</f>
        <v>MOBILECARE - DAVAO</v>
      </c>
      <c r="D35" s="2" t="str">
        <f>IFERROR(__xludf.DUMMYFUNCTION("""COMPUTED_VALUE"""),"TA661-43608")</f>
        <v>TA661-43608</v>
      </c>
      <c r="E35" s="2" t="str">
        <f>IFERROR(__xludf.DUMMYFUNCTION("""COMPUTED_VALUE"""),"128GB, Ultramarine, ROW, iPhone 16, Logic Board Assy Mid System")</f>
        <v>128GB, Ultramarine, ROW, iPhone 16, Logic Board Assy Mid System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tr">
        <f t="shared" si="1"/>
        <v>January</v>
      </c>
      <c r="B36" s="11">
        <f>IFERROR(__xludf.DUMMYFUNCTION("""COMPUTED_VALUE"""),46026.0)</f>
        <v>46026</v>
      </c>
      <c r="C36" s="2" t="str">
        <f>IFERROR(__xludf.DUMMYFUNCTION("""COMPUTED_VALUE"""),"MOBILECARE - DAVAO")</f>
        <v>MOBILECARE - DAVAO</v>
      </c>
      <c r="D36" s="2" t="str">
        <f>IFERROR(__xludf.DUMMYFUNCTION("""COMPUTED_VALUE"""),"PP661-28871")</f>
        <v>PP661-28871</v>
      </c>
      <c r="E36" s="2" t="str">
        <f>IFERROR(__xludf.DUMMYFUNCTION("""COMPUTED_VALUE"""),"iPhone 14, Blue, 128GB, Logic Board Assy Mid System, ROW")</f>
        <v>iPhone 14, Blue, 128GB, Logic Board Assy Mid System, ROW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tr">
        <f t="shared" si="1"/>
        <v>January</v>
      </c>
      <c r="B37" s="11">
        <f>IFERROR(__xludf.DUMMYFUNCTION("""COMPUTED_VALUE"""),46028.0)</f>
        <v>46028</v>
      </c>
      <c r="C37" s="2" t="str">
        <f>IFERROR(__xludf.DUMMYFUNCTION("""COMPUTED_VALUE"""),"MOBILECARE - DAVAO")</f>
        <v>MOBILECARE - DAVAO</v>
      </c>
      <c r="D37" s="2" t="str">
        <f>IFERROR(__xludf.DUMMYFUNCTION("""COMPUTED_VALUE"""),"TA661-36694")</f>
        <v>TA661-36694</v>
      </c>
      <c r="E37" s="2" t="str">
        <f>IFERROR(__xludf.DUMMYFUNCTION("""COMPUTED_VALUE"""),"iPhone 15, Blue, 128GB, Logic Board Assy Mid System, ROW")</f>
        <v>iPhone 15, Blue, 128GB, Logic Board Assy Mid System, ROW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tr">
        <f t="shared" si="1"/>
        <v>January</v>
      </c>
      <c r="B38" s="11">
        <f>IFERROR(__xludf.DUMMYFUNCTION("""COMPUTED_VALUE"""),46053.0)</f>
        <v>46053</v>
      </c>
      <c r="C38" s="2" t="str">
        <f>IFERROR(__xludf.DUMMYFUNCTION("""COMPUTED_VALUE"""),"MOBILECARE - DAVAO")</f>
        <v>MOBILECARE - DAVAO</v>
      </c>
      <c r="D38" s="2" t="str">
        <f>IFERROR(__xludf.DUMMYFUNCTION("""COMPUTED_VALUE"""),"PP661-23454")</f>
        <v>PP661-23454</v>
      </c>
      <c r="E38" s="2" t="str">
        <f>IFERROR(__xludf.DUMMYFUNCTION("""COMPUTED_VALUE"""),"iPhone 13, Midnight, 128GB, Logic Board Assy Rear System, ROW")</f>
        <v>iPhone 13, Midnight, 128GB, Logic Board Assy Rear System, ROW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tr">
        <f t="shared" si="1"/>
        <v>January</v>
      </c>
      <c r="B39" s="11">
        <f>IFERROR(__xludf.DUMMYFUNCTION("""COMPUTED_VALUE"""),46053.0)</f>
        <v>46053</v>
      </c>
      <c r="C39" s="2" t="str">
        <f>IFERROR(__xludf.DUMMYFUNCTION("""COMPUTED_VALUE"""),"MOBILECARE - DAVAO")</f>
        <v>MOBILECARE - DAVAO</v>
      </c>
      <c r="D39" s="2" t="str">
        <f>IFERROR(__xludf.DUMMYFUNCTION("""COMPUTED_VALUE"""),"PP661-23454")</f>
        <v>PP661-23454</v>
      </c>
      <c r="E39" s="2" t="str">
        <f>IFERROR(__xludf.DUMMYFUNCTION("""COMPUTED_VALUE"""),"iPhone 13, Midnight, 128GB, Logic Board Assy Rear System, ROW")</f>
        <v>iPhone 13, Midnight, 128GB, Logic Board Assy Rear System, ROW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tr">
        <f t="shared" si="1"/>
        <v>January</v>
      </c>
      <c r="B40" s="11">
        <f>IFERROR(__xludf.DUMMYFUNCTION("""COMPUTED_VALUE"""),46025.0)</f>
        <v>46025</v>
      </c>
      <c r="C40" s="2" t="str">
        <f>IFERROR(__xludf.DUMMYFUNCTION("""COMPUTED_VALUE"""),"MOBILECARE - DAVAO")</f>
        <v>MOBILECARE - DAVAO</v>
      </c>
      <c r="D40" s="2" t="str">
        <f>IFERROR(__xludf.DUMMYFUNCTION("""COMPUTED_VALUE"""),"TA661-45232")</f>
        <v>TA661-45232</v>
      </c>
      <c r="E40" s="2" t="str">
        <f>IFERROR(__xludf.DUMMYFUNCTION("""COMPUTED_VALUE"""),"128GB, White, ROW, iPhone 16 Plus, Logic Board Assy Mid System")</f>
        <v>128GB, White, ROW, iPhone 16 Plus, Logic Board Assy Mid System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tr">
        <f t="shared" si="1"/>
        <v>January</v>
      </c>
      <c r="B41" s="11">
        <f>IFERROR(__xludf.DUMMYFUNCTION("""COMPUTED_VALUE"""),46025.0)</f>
        <v>46025</v>
      </c>
      <c r="C41" s="2" t="str">
        <f>IFERROR(__xludf.DUMMYFUNCTION("""COMPUTED_VALUE"""),"MOBILECARE - DAVAO")</f>
        <v>MOBILECARE - DAVAO</v>
      </c>
      <c r="D41" s="2" t="str">
        <f>IFERROR(__xludf.DUMMYFUNCTION("""COMPUTED_VALUE"""),"TA661-45232")</f>
        <v>TA661-45232</v>
      </c>
      <c r="E41" s="2" t="str">
        <f>IFERROR(__xludf.DUMMYFUNCTION("""COMPUTED_VALUE"""),"128GB, White, ROW, iPhone 16 Plus, Logic Board Assy Mid System")</f>
        <v>128GB, White, ROW, iPhone 16 Plus, Logic Board Assy Mid System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tr">
        <f t="shared" si="1"/>
        <v>January</v>
      </c>
      <c r="B42" s="11">
        <f>IFERROR(__xludf.DUMMYFUNCTION("""COMPUTED_VALUE"""),46030.0)</f>
        <v>46030</v>
      </c>
      <c r="C42" s="2" t="str">
        <f>IFERROR(__xludf.DUMMYFUNCTION("""COMPUTED_VALUE"""),"MOBILECARE - DAVAO")</f>
        <v>MOBILECARE - DAVAO</v>
      </c>
      <c r="D42" s="2" t="str">
        <f>IFERROR(__xludf.DUMMYFUNCTION("""COMPUTED_VALUE"""),"PP661-23455")</f>
        <v>PP661-23455</v>
      </c>
      <c r="E42" s="2" t="str">
        <f>IFERROR(__xludf.DUMMYFUNCTION("""COMPUTED_VALUE"""),"iPhone 13, Starlight, 128GB, Logic Board Assy Rear System, ROW")</f>
        <v>iPhone 13, Starlight, 128GB, Logic Board Assy Rear System, ROW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tr">
        <f t="shared" si="1"/>
        <v>January</v>
      </c>
      <c r="B43" s="11">
        <f>IFERROR(__xludf.DUMMYFUNCTION("""COMPUTED_VALUE"""),46030.0)</f>
        <v>46030</v>
      </c>
      <c r="C43" s="2" t="str">
        <f>IFERROR(__xludf.DUMMYFUNCTION("""COMPUTED_VALUE"""),"MOBILECARE - DAVAO")</f>
        <v>MOBILECARE - DAVAO</v>
      </c>
      <c r="D43" s="2" t="str">
        <f>IFERROR(__xludf.DUMMYFUNCTION("""COMPUTED_VALUE"""),"PP661-23455")</f>
        <v>PP661-23455</v>
      </c>
      <c r="E43" s="2" t="str">
        <f>IFERROR(__xludf.DUMMYFUNCTION("""COMPUTED_VALUE"""),"iPhone 13, Starlight, 128GB, Logic Board Assy Rear System, ROW")</f>
        <v>iPhone 13, Starlight, 128GB, Logic Board Assy Rear System, ROW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tr">
        <f t="shared" si="1"/>
        <v>January</v>
      </c>
      <c r="B44" s="11">
        <f>IFERROR(__xludf.DUMMYFUNCTION("""COMPUTED_VALUE"""),46029.0)</f>
        <v>46029</v>
      </c>
      <c r="C44" s="2" t="str">
        <f>IFERROR(__xludf.DUMMYFUNCTION("""COMPUTED_VALUE"""),"MOBILECARE - DAVAO")</f>
        <v>MOBILECARE - DAVAO</v>
      </c>
      <c r="D44" s="2" t="str">
        <f>IFERROR(__xludf.DUMMYFUNCTION("""COMPUTED_VALUE"""),"PP661-23455")</f>
        <v>PP661-23455</v>
      </c>
      <c r="E44" s="2" t="str">
        <f>IFERROR(__xludf.DUMMYFUNCTION("""COMPUTED_VALUE"""),"iPhone 13, Starlight, 128GB, Logic Board Assy Rear System, ROW")</f>
        <v>iPhone 13, Starlight, 128GB, Logic Board Assy Rear System, ROW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tr">
        <f t="shared" si="1"/>
        <v>January</v>
      </c>
      <c r="B45" s="11">
        <f>IFERROR(__xludf.DUMMYFUNCTION("""COMPUTED_VALUE"""),46029.0)</f>
        <v>46029</v>
      </c>
      <c r="C45" s="2" t="str">
        <f>IFERROR(__xludf.DUMMYFUNCTION("""COMPUTED_VALUE"""),"MOBILECARE - DAVAO")</f>
        <v>MOBILECARE - DAVAO</v>
      </c>
      <c r="D45" s="2" t="str">
        <f>IFERROR(__xludf.DUMMYFUNCTION("""COMPUTED_VALUE"""),"PP661-23455")</f>
        <v>PP661-23455</v>
      </c>
      <c r="E45" s="2" t="str">
        <f>IFERROR(__xludf.DUMMYFUNCTION("""COMPUTED_VALUE"""),"iPhone 13, Starlight, 128GB, Logic Board Assy Rear System, ROW")</f>
        <v>iPhone 13, Starlight, 128GB, Logic Board Assy Rear System, ROW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tr">
        <f t="shared" si="1"/>
        <v>January</v>
      </c>
      <c r="B46" s="11">
        <f>IFERROR(__xludf.DUMMYFUNCTION("""COMPUTED_VALUE"""),46025.0)</f>
        <v>46025</v>
      </c>
      <c r="C46" s="2" t="str">
        <f>IFERROR(__xludf.DUMMYFUNCTION("""COMPUTED_VALUE"""),"MOBILECARE - DAVAO")</f>
        <v>MOBILECARE - DAVAO</v>
      </c>
      <c r="D46" s="2" t="str">
        <f>IFERROR(__xludf.DUMMYFUNCTION("""COMPUTED_VALUE"""),"PP661-23455")</f>
        <v>PP661-23455</v>
      </c>
      <c r="E46" s="2" t="str">
        <f>IFERROR(__xludf.DUMMYFUNCTION("""COMPUTED_VALUE"""),"iPhone 13, Starlight, 128GB, Logic Board Assy Rear System, ROW")</f>
        <v>iPhone 13, Starlight, 128GB, Logic Board Assy Rear System, ROW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tr">
        <f t="shared" si="1"/>
        <v>January</v>
      </c>
      <c r="B47" s="11">
        <f>IFERROR(__xludf.DUMMYFUNCTION("""COMPUTED_VALUE"""),46025.0)</f>
        <v>46025</v>
      </c>
      <c r="C47" s="2" t="str">
        <f>IFERROR(__xludf.DUMMYFUNCTION("""COMPUTED_VALUE"""),"MOBILECARE - DAVAO")</f>
        <v>MOBILECARE - DAVAO</v>
      </c>
      <c r="D47" s="2" t="str">
        <f>IFERROR(__xludf.DUMMYFUNCTION("""COMPUTED_VALUE"""),"PP661-23455")</f>
        <v>PP661-23455</v>
      </c>
      <c r="E47" s="2" t="str">
        <f>IFERROR(__xludf.DUMMYFUNCTION("""COMPUTED_VALUE"""),"iPhone 13, Starlight, 128GB, Logic Board Assy Rear System, ROW")</f>
        <v>iPhone 13, Starlight, 128GB, Logic Board Assy Rear System, ROW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tr">
        <f t="shared" si="1"/>
        <v>June</v>
      </c>
      <c r="B48" s="11">
        <f>IFERROR(__xludf.DUMMYFUNCTION("""COMPUTED_VALUE"""),46185.0)</f>
        <v>46185</v>
      </c>
      <c r="C48" s="2" t="str">
        <f>IFERROR(__xludf.DUMMYFUNCTION("""COMPUTED_VALUE"""),"MOBILECARE - NEWPOINT MALL")</f>
        <v>MOBILECARE - NEWPOINT MALL</v>
      </c>
      <c r="D48" s="2" t="str">
        <f>IFERROR(__xludf.DUMMYFUNCTION("""COMPUTED_VALUE"""),"PP661-28869")</f>
        <v>PP661-28869</v>
      </c>
      <c r="E48" s="2" t="str">
        <f>IFERROR(__xludf.DUMMYFUNCTION("""COMPUTED_VALUE"""),"iPhone 14, Starlight, 128GB, Logic Board Assy Mid System, ROW")</f>
        <v>iPhone 14, Starlight, 128GB, Logic Board Assy Mid System, ROW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tr">
        <f t="shared" si="1"/>
        <v>April</v>
      </c>
      <c r="B49" s="11">
        <f>IFERROR(__xludf.DUMMYFUNCTION("""COMPUTED_VALUE"""),46135.0)</f>
        <v>46135</v>
      </c>
      <c r="C49" s="2" t="str">
        <f>IFERROR(__xludf.DUMMYFUNCTION("""COMPUTED_VALUE"""),"MOBILECARE - NEWPOINT MALL")</f>
        <v>MOBILECARE - NEWPOINT MALL</v>
      </c>
      <c r="D49" s="2" t="str">
        <f>IFERROR(__xludf.DUMMYFUNCTION("""COMPUTED_VALUE"""),"TA661-43608")</f>
        <v>TA661-43608</v>
      </c>
      <c r="E49" s="2" t="str">
        <f>IFERROR(__xludf.DUMMYFUNCTION("""COMPUTED_VALUE"""),"128GB, Ultramarine, ROW, iPhone 16, Logic Board Assy Mid System")</f>
        <v>128GB, Ultramarine, ROW, iPhone 16, Logic Board Assy Mid System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tr">
        <f t="shared" si="1"/>
        <v>February</v>
      </c>
      <c r="B50" s="11">
        <f>IFERROR(__xludf.DUMMYFUNCTION("""COMPUTED_VALUE"""),46063.0)</f>
        <v>46063</v>
      </c>
      <c r="C50" s="2" t="str">
        <f>IFERROR(__xludf.DUMMYFUNCTION("""COMPUTED_VALUE"""),"MOBILECARE - NEWPOINT MALL")</f>
        <v>MOBILECARE - NEWPOINT MALL</v>
      </c>
      <c r="D50" s="2" t="str">
        <f>IFERROR(__xludf.DUMMYFUNCTION("""COMPUTED_VALUE"""),"TA661-43608")</f>
        <v>TA661-43608</v>
      </c>
      <c r="E50" s="2" t="str">
        <f>IFERROR(__xludf.DUMMYFUNCTION("""COMPUTED_VALUE"""),"128GB, Ultramarine, ROW, iPhone 16, Logic Board Assy Mid System")</f>
        <v>128GB, Ultramarine, ROW, iPhone 16, Logic Board Assy Mid System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tr">
        <f t="shared" si="1"/>
        <v>February</v>
      </c>
      <c r="B51" s="11">
        <f>IFERROR(__xludf.DUMMYFUNCTION("""COMPUTED_VALUE"""),46054.0)</f>
        <v>46054</v>
      </c>
      <c r="C51" s="2" t="str">
        <f>IFERROR(__xludf.DUMMYFUNCTION("""COMPUTED_VALUE"""),"MOBILECARE - NEWPOINT MALL")</f>
        <v>MOBILECARE - NEWPOINT MALL</v>
      </c>
      <c r="D51" s="2" t="str">
        <f>IFERROR(__xludf.DUMMYFUNCTION("""COMPUTED_VALUE"""),"PP661-23454")</f>
        <v>PP661-23454</v>
      </c>
      <c r="E51" s="2" t="str">
        <f>IFERROR(__xludf.DUMMYFUNCTION("""COMPUTED_VALUE"""),"iPhone 13, Midnight, 128GB, Logic Board Assy Rear System, ROW")</f>
        <v>iPhone 13, Midnight, 128GB, Logic Board Assy Rear System, ROW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tr">
        <f t="shared" si="1"/>
        <v>March</v>
      </c>
      <c r="B52" s="11">
        <f>IFERROR(__xludf.DUMMYFUNCTION("""COMPUTED_VALUE"""),46083.0)</f>
        <v>46083</v>
      </c>
      <c r="C52" s="2" t="str">
        <f>IFERROR(__xludf.DUMMYFUNCTION("""COMPUTED_VALUE"""),"MOBILECARE - NEWPOINT MALL")</f>
        <v>MOBILECARE - NEWPOINT MALL</v>
      </c>
      <c r="D52" s="2" t="str">
        <f>IFERROR(__xludf.DUMMYFUNCTION("""COMPUTED_VALUE"""),"PP661-23454")</f>
        <v>PP661-23454</v>
      </c>
      <c r="E52" s="2" t="str">
        <f>IFERROR(__xludf.DUMMYFUNCTION("""COMPUTED_VALUE"""),"iPhone 13, Midnight, 128GB, Logic Board Assy Rear System, ROW")</f>
        <v>iPhone 13, Midnight, 128GB, Logic Board Assy Rear System, ROW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tr">
        <f t="shared" si="1"/>
        <v>March</v>
      </c>
      <c r="B53" s="11">
        <f>IFERROR(__xludf.DUMMYFUNCTION("""COMPUTED_VALUE"""),46083.0)</f>
        <v>46083</v>
      </c>
      <c r="C53" s="2" t="str">
        <f>IFERROR(__xludf.DUMMYFUNCTION("""COMPUTED_VALUE"""),"MOBILECARE - NEWPOINT MALL")</f>
        <v>MOBILECARE - NEWPOINT MALL</v>
      </c>
      <c r="D53" s="2" t="str">
        <f>IFERROR(__xludf.DUMMYFUNCTION("""COMPUTED_VALUE"""),"PP661-23454")</f>
        <v>PP661-23454</v>
      </c>
      <c r="E53" s="2" t="str">
        <f>IFERROR(__xludf.DUMMYFUNCTION("""COMPUTED_VALUE"""),"iPhone 13, Midnight, 128GB, Logic Board Assy Rear System, ROW")</f>
        <v>iPhone 13, Midnight, 128GB, Logic Board Assy Rear System, ROW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tr">
        <f t="shared" si="1"/>
        <v>January</v>
      </c>
      <c r="B54" s="11">
        <f>IFERROR(__xludf.DUMMYFUNCTION("""COMPUTED_VALUE"""),46052.0)</f>
        <v>46052</v>
      </c>
      <c r="C54" s="2" t="str">
        <f>IFERROR(__xludf.DUMMYFUNCTION("""COMPUTED_VALUE"""),"MOBILECARE - NEWPOINT MALL")</f>
        <v>MOBILECARE - NEWPOINT MALL</v>
      </c>
      <c r="D54" s="2" t="str">
        <f>IFERROR(__xludf.DUMMYFUNCTION("""COMPUTED_VALUE"""),"PP661-23455")</f>
        <v>PP661-23455</v>
      </c>
      <c r="E54" s="2" t="str">
        <f>IFERROR(__xludf.DUMMYFUNCTION("""COMPUTED_VALUE"""),"iPhone 13, Starlight, 128GB, Logic Board Assy Rear System, ROW")</f>
        <v>iPhone 13, Starlight, 128GB, Logic Board Assy Rear System, ROW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tr">
        <f t="shared" si="1"/>
        <v>January</v>
      </c>
      <c r="B55" s="11">
        <f>IFERROR(__xludf.DUMMYFUNCTION("""COMPUTED_VALUE"""),46047.0)</f>
        <v>46047</v>
      </c>
      <c r="C55" s="2" t="str">
        <f>IFERROR(__xludf.DUMMYFUNCTION("""COMPUTED_VALUE"""),"MOBILECARE - NEWPOINT MALL")</f>
        <v>MOBILECARE - NEWPOINT MALL</v>
      </c>
      <c r="D55" s="2" t="str">
        <f>IFERROR(__xludf.DUMMYFUNCTION("""COMPUTED_VALUE"""),"PP661-23455")</f>
        <v>PP661-23455</v>
      </c>
      <c r="E55" s="2" t="str">
        <f>IFERROR(__xludf.DUMMYFUNCTION("""COMPUTED_VALUE"""),"iPhone 13, Starlight, 128GB, Logic Board Assy Rear System, ROW")</f>
        <v>iPhone 13, Starlight, 128GB, Logic Board Assy Rear System, ROW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tr">
        <f t="shared" si="1"/>
        <v>January</v>
      </c>
      <c r="B56" s="11">
        <f>IFERROR(__xludf.DUMMYFUNCTION("""COMPUTED_VALUE"""),46048.0)</f>
        <v>46048</v>
      </c>
      <c r="C56" s="2" t="str">
        <f>IFERROR(__xludf.DUMMYFUNCTION("""COMPUTED_VALUE"""),"MOBILECARE - NEWPOINT MALL")</f>
        <v>MOBILECARE - NEWPOINT MALL</v>
      </c>
      <c r="D56" s="2" t="str">
        <f>IFERROR(__xludf.DUMMYFUNCTION("""COMPUTED_VALUE"""),"PP661-23454")</f>
        <v>PP661-23454</v>
      </c>
      <c r="E56" s="2" t="str">
        <f>IFERROR(__xludf.DUMMYFUNCTION("""COMPUTED_VALUE"""),"iPhone 13, Midnight, 128GB, Logic Board Assy Rear System, ROW")</f>
        <v>iPhone 13, Midnight, 128GB, Logic Board Assy Rear System, ROW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tr">
        <f t="shared" si="1"/>
        <v>January</v>
      </c>
      <c r="B57" s="11">
        <f>IFERROR(__xludf.DUMMYFUNCTION("""COMPUTED_VALUE"""),46048.0)</f>
        <v>46048</v>
      </c>
      <c r="C57" s="2" t="str">
        <f>IFERROR(__xludf.DUMMYFUNCTION("""COMPUTED_VALUE"""),"MOBILECARE - NEWPOINT MALL")</f>
        <v>MOBILECARE - NEWPOINT MALL</v>
      </c>
      <c r="D57" s="2" t="str">
        <f>IFERROR(__xludf.DUMMYFUNCTION("""COMPUTED_VALUE"""),"PP661-23454")</f>
        <v>PP661-23454</v>
      </c>
      <c r="E57" s="2" t="str">
        <f>IFERROR(__xludf.DUMMYFUNCTION("""COMPUTED_VALUE"""),"iPhone 13, Midnight, 128GB, Logic Board Assy Rear System, ROW")</f>
        <v>iPhone 13, Midnight, 128GB, Logic Board Assy Rear System, ROW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 t="str">
        <f t="shared" si="1"/>
        <v>January</v>
      </c>
      <c r="B58" s="11">
        <f>IFERROR(__xludf.DUMMYFUNCTION("""COMPUTED_VALUE"""),46048.0)</f>
        <v>46048</v>
      </c>
      <c r="C58" s="2" t="str">
        <f>IFERROR(__xludf.DUMMYFUNCTION("""COMPUTED_VALUE"""),"MOBILECARE - NEWPOINT MALL")</f>
        <v>MOBILECARE - NEWPOINT MALL</v>
      </c>
      <c r="D58" s="2" t="str">
        <f>IFERROR(__xludf.DUMMYFUNCTION("""COMPUTED_VALUE"""),"PP661-23454")</f>
        <v>PP661-23454</v>
      </c>
      <c r="E58" s="2" t="str">
        <f>IFERROR(__xludf.DUMMYFUNCTION("""COMPUTED_VALUE"""),"iPhone 13, Midnight, 128GB, Logic Board Assy Rear System, ROW")</f>
        <v>iPhone 13, Midnight, 128GB, Logic Board Assy Rear System, ROW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 t="str">
        <f t="shared" si="1"/>
        <v>January</v>
      </c>
      <c r="B59" s="11">
        <f>IFERROR(__xludf.DUMMYFUNCTION("""COMPUTED_VALUE"""),46048.0)</f>
        <v>46048</v>
      </c>
      <c r="C59" s="2" t="str">
        <f>IFERROR(__xludf.DUMMYFUNCTION("""COMPUTED_VALUE"""),"MOBILECARE - NEWPOINT MALL")</f>
        <v>MOBILECARE - NEWPOINT MALL</v>
      </c>
      <c r="D59" s="2" t="str">
        <f>IFERROR(__xludf.DUMMYFUNCTION("""COMPUTED_VALUE"""),"TA661-36695")</f>
        <v>TA661-36695</v>
      </c>
      <c r="E59" s="2" t="str">
        <f>IFERROR(__xludf.DUMMYFUNCTION("""COMPUTED_VALUE"""),"iPhone 15, Green, 128GB, Logic Board Assy Mid System, ROW")</f>
        <v>iPhone 15, Green, 128GB, Logic Board Assy Mid System, ROW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 t="str">
        <f t="shared" si="1"/>
        <v>January</v>
      </c>
      <c r="B60" s="11">
        <f>IFERROR(__xludf.DUMMYFUNCTION("""COMPUTED_VALUE"""),46050.0)</f>
        <v>46050</v>
      </c>
      <c r="C60" s="2" t="str">
        <f>IFERROR(__xludf.DUMMYFUNCTION("""COMPUTED_VALUE"""),"MOBILECARE - NEWPOINT MALL")</f>
        <v>MOBILECARE - NEWPOINT MALL</v>
      </c>
      <c r="D60" s="2" t="str">
        <f>IFERROR(__xludf.DUMMYFUNCTION("""COMPUTED_VALUE"""),"PP661-23455")</f>
        <v>PP661-23455</v>
      </c>
      <c r="E60" s="2" t="str">
        <f>IFERROR(__xludf.DUMMYFUNCTION("""COMPUTED_VALUE"""),"iPhone 13, Starlight, 128GB, Logic Board Assy Rear System, ROW")</f>
        <v>iPhone 13, Starlight, 128GB, Logic Board Assy Rear System, ROW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 t="str">
        <f t="shared" si="1"/>
        <v>January</v>
      </c>
      <c r="B61" s="11">
        <f>IFERROR(__xludf.DUMMYFUNCTION("""COMPUTED_VALUE"""),46049.0)</f>
        <v>46049</v>
      </c>
      <c r="C61" s="2" t="str">
        <f>IFERROR(__xludf.DUMMYFUNCTION("""COMPUTED_VALUE"""),"MOBILECARE - NEWPOINT MALL")</f>
        <v>MOBILECARE - NEWPOINT MALL</v>
      </c>
      <c r="D61" s="2" t="str">
        <f>IFERROR(__xludf.DUMMYFUNCTION("""COMPUTED_VALUE"""),"PP661-23455")</f>
        <v>PP661-23455</v>
      </c>
      <c r="E61" s="2" t="str">
        <f>IFERROR(__xludf.DUMMYFUNCTION("""COMPUTED_VALUE"""),"iPhone 13, Starlight, 128GB, Logic Board Assy Rear System, ROW")</f>
        <v>iPhone 13, Starlight, 128GB, Logic Board Assy Rear System, ROW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 t="str">
        <f t="shared" si="1"/>
        <v>January</v>
      </c>
      <c r="B62" s="11">
        <f>IFERROR(__xludf.DUMMYFUNCTION("""COMPUTED_VALUE"""),46048.0)</f>
        <v>46048</v>
      </c>
      <c r="C62" s="2" t="str">
        <f>IFERROR(__xludf.DUMMYFUNCTION("""COMPUTED_VALUE"""),"MOBILECARE - NEWPOINT MALL")</f>
        <v>MOBILECARE - NEWPOINT MALL</v>
      </c>
      <c r="D62" s="2" t="str">
        <f>IFERROR(__xludf.DUMMYFUNCTION("""COMPUTED_VALUE"""),"TA661-36694")</f>
        <v>TA661-36694</v>
      </c>
      <c r="E62" s="2" t="str">
        <f>IFERROR(__xludf.DUMMYFUNCTION("""COMPUTED_VALUE"""),"iPhone 15, Blue, 128GB, Logic Board Assy Mid System, ROW")</f>
        <v>iPhone 15, Blue, 128GB, Logic Board Assy Mid System, ROW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 t="str">
        <f t="shared" si="1"/>
        <v>January</v>
      </c>
      <c r="B63" s="11">
        <f>IFERROR(__xludf.DUMMYFUNCTION("""COMPUTED_VALUE"""),46047.0)</f>
        <v>46047</v>
      </c>
      <c r="C63" s="2" t="str">
        <f>IFERROR(__xludf.DUMMYFUNCTION("""COMPUTED_VALUE"""),"MOBILECARE - NEWPOINT MALL")</f>
        <v>MOBILECARE - NEWPOINT MALL</v>
      </c>
      <c r="D63" s="2" t="str">
        <f>IFERROR(__xludf.DUMMYFUNCTION("""COMPUTED_VALUE"""),"TA661-36692")</f>
        <v>TA661-36692</v>
      </c>
      <c r="E63" s="2" t="str">
        <f>IFERROR(__xludf.DUMMYFUNCTION("""COMPUTED_VALUE"""),"iPhone 15, Pink, 128GB, Logic Board Assy Mid System, ROW")</f>
        <v>iPhone 15, Pink, 128GB, Logic Board Assy Mid System, ROW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 t="str">
        <f t="shared" si="1"/>
        <v>January</v>
      </c>
      <c r="B64" s="11">
        <f>IFERROR(__xludf.DUMMYFUNCTION("""COMPUTED_VALUE"""),46052.0)</f>
        <v>46052</v>
      </c>
      <c r="C64" s="2" t="str">
        <f>IFERROR(__xludf.DUMMYFUNCTION("""COMPUTED_VALUE"""),"MOBILECARE - NEWPOINT MALL")</f>
        <v>MOBILECARE - NEWPOINT MALL</v>
      </c>
      <c r="D64" s="2" t="str">
        <f>IFERROR(__xludf.DUMMYFUNCTION("""COMPUTED_VALUE"""),"TA661-44999")</f>
        <v>TA661-44999</v>
      </c>
      <c r="E64" s="2" t="str">
        <f>IFERROR(__xludf.DUMMYFUNCTION("""COMPUTED_VALUE"""),"256GB, Black Titanium, ROW, iPhone 16 Pro, Logic Board Assy Mid System")</f>
        <v>256GB, Black Titanium, ROW, iPhone 16 Pro, Logic Board Assy Mid System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 t="str">
        <f t="shared" si="1"/>
        <v>February</v>
      </c>
      <c r="B65" s="11">
        <f>IFERROR(__xludf.DUMMYFUNCTION("""COMPUTED_VALUE"""),46061.0)</f>
        <v>46061</v>
      </c>
      <c r="C65" s="2" t="str">
        <f>IFERROR(__xludf.DUMMYFUNCTION("""COMPUTED_VALUE"""),"MOBILECARE - NEWPOINT MALL")</f>
        <v>MOBILECARE - NEWPOINT MALL</v>
      </c>
      <c r="D65" s="2" t="str">
        <f>IFERROR(__xludf.DUMMYFUNCTION("""COMPUTED_VALUE"""),"PP661-28868")</f>
        <v>PP661-28868</v>
      </c>
      <c r="E65" s="2" t="str">
        <f>IFERROR(__xludf.DUMMYFUNCTION("""COMPUTED_VALUE"""),"iPhone 14, Midnight, 128GB, Logic Board Assy Mid System, ROW")</f>
        <v>iPhone 14, Midnight, 128GB, Logic Board Assy Mid System, ROW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 t="str">
        <f t="shared" si="1"/>
        <v>February</v>
      </c>
      <c r="B66" s="11">
        <f>IFERROR(__xludf.DUMMYFUNCTION("""COMPUTED_VALUE"""),46054.0)</f>
        <v>46054</v>
      </c>
      <c r="C66" s="2" t="str">
        <f>IFERROR(__xludf.DUMMYFUNCTION("""COMPUTED_VALUE"""),"MOBILECARE - NEWPOINT MALL")</f>
        <v>MOBILECARE - NEWPOINT MALL</v>
      </c>
      <c r="D66" s="2" t="str">
        <f>IFERROR(__xludf.DUMMYFUNCTION("""COMPUTED_VALUE"""),"TA661-43611")</f>
        <v>TA661-43611</v>
      </c>
      <c r="E66" s="2" t="str">
        <f>IFERROR(__xludf.DUMMYFUNCTION("""COMPUTED_VALUE"""),"256GB, White, ROW, iPhone 16, Logic Board Assy Mid System")</f>
        <v>256GB, White, ROW, iPhone 16, Logic Board Assy Mid System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 t="str">
        <f t="shared" si="1"/>
        <v>January</v>
      </c>
      <c r="B67" s="11">
        <f>IFERROR(__xludf.DUMMYFUNCTION("""COMPUTED_VALUE"""),46052.0)</f>
        <v>46052</v>
      </c>
      <c r="C67" s="2" t="str">
        <f>IFERROR(__xludf.DUMMYFUNCTION("""COMPUTED_VALUE"""),"MOBILECARE - NEWPOINT MALL")</f>
        <v>MOBILECARE - NEWPOINT MALL</v>
      </c>
      <c r="D67" s="2" t="str">
        <f>IFERROR(__xludf.DUMMYFUNCTION("""COMPUTED_VALUE"""),"PP661-23454")</f>
        <v>PP661-23454</v>
      </c>
      <c r="E67" s="2" t="str">
        <f>IFERROR(__xludf.DUMMYFUNCTION("""COMPUTED_VALUE"""),"iPhone 13, Midnight, 128GB, Logic Board Assy Rear System, ROW")</f>
        <v>iPhone 13, Midnight, 128GB, Logic Board Assy Rear System, ROW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 t="str">
        <f t="shared" si="1"/>
        <v>January</v>
      </c>
      <c r="B68" s="11">
        <f>IFERROR(__xludf.DUMMYFUNCTION("""COMPUTED_VALUE"""),46053.0)</f>
        <v>46053</v>
      </c>
      <c r="C68" s="2" t="str">
        <f>IFERROR(__xludf.DUMMYFUNCTION("""COMPUTED_VALUE"""),"MOBILECARE - NEWPOINT MALL")</f>
        <v>MOBILECARE - NEWPOINT MALL</v>
      </c>
      <c r="D68" s="2" t="str">
        <f>IFERROR(__xludf.DUMMYFUNCTION("""COMPUTED_VALUE"""),"PP661-28869")</f>
        <v>PP661-28869</v>
      </c>
      <c r="E68" s="2" t="str">
        <f>IFERROR(__xludf.DUMMYFUNCTION("""COMPUTED_VALUE"""),"iPhone 14, Starlight, 128GB, Logic Board Assy Mid System, ROW")</f>
        <v>iPhone 14, Starlight, 128GB, Logic Board Assy Mid System, ROW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 t="str">
        <f t="shared" si="1"/>
        <v>February</v>
      </c>
      <c r="B69" s="11">
        <f>IFERROR(__xludf.DUMMYFUNCTION("""COMPUTED_VALUE"""),46060.0)</f>
        <v>46060</v>
      </c>
      <c r="C69" s="2" t="str">
        <f>IFERROR(__xludf.DUMMYFUNCTION("""COMPUTED_VALUE"""),"MOBILECARE - NEWPOINT MALL")</f>
        <v>MOBILECARE - NEWPOINT MALL</v>
      </c>
      <c r="D69" s="2" t="str">
        <f>IFERROR(__xludf.DUMMYFUNCTION("""COMPUTED_VALUE"""),"PP661-23455")</f>
        <v>PP661-23455</v>
      </c>
      <c r="E69" s="2" t="str">
        <f>IFERROR(__xludf.DUMMYFUNCTION("""COMPUTED_VALUE"""),"iPhone 13, Starlight, 128GB, Logic Board Assy Rear System, ROW")</f>
        <v>iPhone 13, Starlight, 128GB, Logic Board Assy Rear System, ROW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 t="str">
        <f t="shared" si="1"/>
        <v>January</v>
      </c>
      <c r="B70" s="11">
        <f>IFERROR(__xludf.DUMMYFUNCTION("""COMPUTED_VALUE"""),46045.0)</f>
        <v>46045</v>
      </c>
      <c r="C70" s="2" t="str">
        <f>IFERROR(__xludf.DUMMYFUNCTION("""COMPUTED_VALUE"""),"MOBILECARE - NEWPOINT MALL")</f>
        <v>MOBILECARE - NEWPOINT MALL</v>
      </c>
      <c r="D70" s="2" t="str">
        <f>IFERROR(__xludf.DUMMYFUNCTION("""COMPUTED_VALUE"""),"TA661-43607")</f>
        <v>TA661-43607</v>
      </c>
      <c r="E70" s="2" t="str">
        <f>IFERROR(__xludf.DUMMYFUNCTION("""COMPUTED_VALUE"""),"128GB, Pink, ROW, iPhone 16, Logic Board Assy Mid System")</f>
        <v>128GB, Pink, ROW, iPhone 16, Logic Board Assy Mid System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 t="str">
        <f t="shared" si="1"/>
        <v>January</v>
      </c>
      <c r="B71" s="11">
        <f>IFERROR(__xludf.DUMMYFUNCTION("""COMPUTED_VALUE"""),46050.0)</f>
        <v>46050</v>
      </c>
      <c r="C71" s="2" t="str">
        <f>IFERROR(__xludf.DUMMYFUNCTION("""COMPUTED_VALUE"""),"MOBILECARE - NEWPOINT MALL")</f>
        <v>MOBILECARE - NEWPOINT MALL</v>
      </c>
      <c r="D71" s="2" t="str">
        <f>IFERROR(__xludf.DUMMYFUNCTION("""COMPUTED_VALUE"""),"PP661-23454")</f>
        <v>PP661-23454</v>
      </c>
      <c r="E71" s="2" t="str">
        <f>IFERROR(__xludf.DUMMYFUNCTION("""COMPUTED_VALUE"""),"iPhone 13, Midnight, 128GB, Logic Board Assy Rear System, ROW")</f>
        <v>iPhone 13, Midnight, 128GB, Logic Board Assy Rear System, ROW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 t="str">
        <f t="shared" si="1"/>
        <v>January</v>
      </c>
      <c r="B72" s="11">
        <f>IFERROR(__xludf.DUMMYFUNCTION("""COMPUTED_VALUE"""),46040.0)</f>
        <v>46040</v>
      </c>
      <c r="C72" s="2" t="str">
        <f>IFERROR(__xludf.DUMMYFUNCTION("""COMPUTED_VALUE"""),"MOBILECARE - NEWPOINT MALL")</f>
        <v>MOBILECARE - NEWPOINT MALL</v>
      </c>
      <c r="D72" s="2" t="str">
        <f>IFERROR(__xludf.DUMMYFUNCTION("""COMPUTED_VALUE"""),"TA661-45235")</f>
        <v>TA661-45235</v>
      </c>
      <c r="E72" s="2" t="str">
        <f>IFERROR(__xludf.DUMMYFUNCTION("""COMPUTED_VALUE"""),"128GB, Teal, ROW, iPhone 16 Plus, Logic Board Assy Mid System")</f>
        <v>128GB, Teal, ROW, iPhone 16 Plus, Logic Board Assy Mid System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 t="str">
        <f t="shared" si="1"/>
        <v>January</v>
      </c>
      <c r="B73" s="11">
        <f>IFERROR(__xludf.DUMMYFUNCTION("""COMPUTED_VALUE"""),46036.0)</f>
        <v>46036</v>
      </c>
      <c r="C73" s="2" t="str">
        <f>IFERROR(__xludf.DUMMYFUNCTION("""COMPUTED_VALUE"""),"MOBILECARE - NEWPOINT MALL")</f>
        <v>MOBILECARE - NEWPOINT MALL</v>
      </c>
      <c r="D73" s="2" t="str">
        <f>IFERROR(__xludf.DUMMYFUNCTION("""COMPUTED_VALUE"""),"TA661-45233")</f>
        <v>TA661-45233</v>
      </c>
      <c r="E73" s="2" t="str">
        <f>IFERROR(__xludf.DUMMYFUNCTION("""COMPUTED_VALUE"""),"128GB, Pink, ROW, iPhone 16 Plus, Logic Board Assy Mid System")</f>
        <v>128GB, Pink, ROW, iPhone 16 Plus, Logic Board Assy Mid System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 t="str">
        <f t="shared" si="1"/>
        <v>January</v>
      </c>
      <c r="B74" s="11">
        <f>IFERROR(__xludf.DUMMYFUNCTION("""COMPUTED_VALUE"""),46043.0)</f>
        <v>46043</v>
      </c>
      <c r="C74" s="2" t="str">
        <f>IFERROR(__xludf.DUMMYFUNCTION("""COMPUTED_VALUE"""),"MOBILECARE - NEWPOINT MALL")</f>
        <v>MOBILECARE - NEWPOINT MALL</v>
      </c>
      <c r="D74" s="2" t="str">
        <f>IFERROR(__xludf.DUMMYFUNCTION("""COMPUTED_VALUE"""),"PP661-23455")</f>
        <v>PP661-23455</v>
      </c>
      <c r="E74" s="2" t="str">
        <f>IFERROR(__xludf.DUMMYFUNCTION("""COMPUTED_VALUE"""),"iPhone 13, Starlight, 128GB, Logic Board Assy Rear System, ROW")</f>
        <v>iPhone 13, Starlight, 128GB, Logic Board Assy Rear System, ROW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 t="str">
        <f t="shared" si="1"/>
        <v>January</v>
      </c>
      <c r="B75" s="11">
        <f>IFERROR(__xludf.DUMMYFUNCTION("""COMPUTED_VALUE"""),46037.0)</f>
        <v>46037</v>
      </c>
      <c r="C75" s="2" t="str">
        <f>IFERROR(__xludf.DUMMYFUNCTION("""COMPUTED_VALUE"""),"MOBILECARE - NEWPOINT MALL")</f>
        <v>MOBILECARE - NEWPOINT MALL</v>
      </c>
      <c r="D75" s="2" t="str">
        <f>IFERROR(__xludf.DUMMYFUNCTION("""COMPUTED_VALUE"""),"PP661-23454")</f>
        <v>PP661-23454</v>
      </c>
      <c r="E75" s="2" t="str">
        <f>IFERROR(__xludf.DUMMYFUNCTION("""COMPUTED_VALUE"""),"iPhone 13, Midnight, 128GB, Logic Board Assy Rear System, ROW")</f>
        <v>iPhone 13, Midnight, 128GB, Logic Board Assy Rear System, ROW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 t="str">
        <f t="shared" si="1"/>
        <v>January</v>
      </c>
      <c r="B76" s="11">
        <f>IFERROR(__xludf.DUMMYFUNCTION("""COMPUTED_VALUE"""),46036.0)</f>
        <v>46036</v>
      </c>
      <c r="C76" s="2" t="str">
        <f>IFERROR(__xludf.DUMMYFUNCTION("""COMPUTED_VALUE"""),"MOBILECARE - NEWPOINT MALL")</f>
        <v>MOBILECARE - NEWPOINT MALL</v>
      </c>
      <c r="D76" s="2" t="str">
        <f>IFERROR(__xludf.DUMMYFUNCTION("""COMPUTED_VALUE"""),"TA661-43607")</f>
        <v>TA661-43607</v>
      </c>
      <c r="E76" s="2" t="str">
        <f>IFERROR(__xludf.DUMMYFUNCTION("""COMPUTED_VALUE"""),"128GB, Pink, ROW, iPhone 16, Logic Board Assy Mid System")</f>
        <v>128GB, Pink, ROW, iPhone 16, Logic Board Assy Mid System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 t="str">
        <f t="shared" si="1"/>
        <v>January</v>
      </c>
      <c r="B77" s="11">
        <f>IFERROR(__xludf.DUMMYFUNCTION("""COMPUTED_VALUE"""),46030.0)</f>
        <v>46030</v>
      </c>
      <c r="C77" s="2" t="str">
        <f>IFERROR(__xludf.DUMMYFUNCTION("""COMPUTED_VALUE"""),"MOBILECARE - NEWPOINT MALL")</f>
        <v>MOBILECARE - NEWPOINT MALL</v>
      </c>
      <c r="D77" s="2" t="str">
        <f>IFERROR(__xludf.DUMMYFUNCTION("""COMPUTED_VALUE"""),"TA661-43606")</f>
        <v>TA661-43606</v>
      </c>
      <c r="E77" s="2" t="str">
        <f>IFERROR(__xludf.DUMMYFUNCTION("""COMPUTED_VALUE"""),"128GB, White, ROW, iPhone 16, Logic Board Assy Mid System")</f>
        <v>128GB, White, ROW, iPhone 16, Logic Board Assy Mid System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 t="str">
        <f t="shared" si="1"/>
        <v>January</v>
      </c>
      <c r="B78" s="11">
        <f>IFERROR(__xludf.DUMMYFUNCTION("""COMPUTED_VALUE"""),46037.0)</f>
        <v>46037</v>
      </c>
      <c r="C78" s="2" t="str">
        <f>IFERROR(__xludf.DUMMYFUNCTION("""COMPUTED_VALUE"""),"MOBILECARE - NEWPOINT MALL")</f>
        <v>MOBILECARE - NEWPOINT MALL</v>
      </c>
      <c r="D78" s="2" t="str">
        <f>IFERROR(__xludf.DUMMYFUNCTION("""COMPUTED_VALUE"""),"PP661-23455")</f>
        <v>PP661-23455</v>
      </c>
      <c r="E78" s="2" t="str">
        <f>IFERROR(__xludf.DUMMYFUNCTION("""COMPUTED_VALUE"""),"iPhone 13, Starlight, 128GB, Logic Board Assy Rear System, ROW")</f>
        <v>iPhone 13, Starlight, 128GB, Logic Board Assy Rear System, ROW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 t="str">
        <f t="shared" si="1"/>
        <v>January</v>
      </c>
      <c r="B79" s="11">
        <f>IFERROR(__xludf.DUMMYFUNCTION("""COMPUTED_VALUE"""),46034.0)</f>
        <v>46034</v>
      </c>
      <c r="C79" s="2" t="str">
        <f>IFERROR(__xludf.DUMMYFUNCTION("""COMPUTED_VALUE"""),"MOBILECARE - NEWPOINT MALL")</f>
        <v>MOBILECARE - NEWPOINT MALL</v>
      </c>
      <c r="D79" s="2" t="str">
        <f>IFERROR(__xludf.DUMMYFUNCTION("""COMPUTED_VALUE"""),"TA661-36691")</f>
        <v>TA661-36691</v>
      </c>
      <c r="E79" s="2" t="str">
        <f>IFERROR(__xludf.DUMMYFUNCTION("""COMPUTED_VALUE"""),"iPhone 15, Black, 128GB, Logic Board Assy Mid System, ROW")</f>
        <v>iPhone 15, Black, 128GB, Logic Board Assy Mid System, ROW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 t="str">
        <f t="shared" si="1"/>
        <v>January</v>
      </c>
      <c r="B80" s="11">
        <f>IFERROR(__xludf.DUMMYFUNCTION("""COMPUTED_VALUE"""),46027.0)</f>
        <v>46027</v>
      </c>
      <c r="C80" s="2" t="str">
        <f>IFERROR(__xludf.DUMMYFUNCTION("""COMPUTED_VALUE"""),"MOBILECARE - NEWPOINT MALL")</f>
        <v>MOBILECARE - NEWPOINT MALL</v>
      </c>
      <c r="D80" s="2" t="str">
        <f>IFERROR(__xludf.DUMMYFUNCTION("""COMPUTED_VALUE"""),"PP661-23455")</f>
        <v>PP661-23455</v>
      </c>
      <c r="E80" s="2" t="str">
        <f>IFERROR(__xludf.DUMMYFUNCTION("""COMPUTED_VALUE"""),"iPhone 13, Starlight, 128GB, Logic Board Assy Rear System, ROW")</f>
        <v>iPhone 13, Starlight, 128GB, Logic Board Assy Rear System, ROW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 t="str">
        <f t="shared" si="1"/>
        <v>January</v>
      </c>
      <c r="B81" s="11">
        <f>IFERROR(__xludf.DUMMYFUNCTION("""COMPUTED_VALUE"""),46026.0)</f>
        <v>46026</v>
      </c>
      <c r="C81" s="2" t="str">
        <f>IFERROR(__xludf.DUMMYFUNCTION("""COMPUTED_VALUE"""),"MOBILECARE - NEWPOINT MALL")</f>
        <v>MOBILECARE - NEWPOINT MALL</v>
      </c>
      <c r="D81" s="2" t="str">
        <f>IFERROR(__xludf.DUMMYFUNCTION("""COMPUTED_VALUE"""),"PP661-23455")</f>
        <v>PP661-23455</v>
      </c>
      <c r="E81" s="2" t="str">
        <f>IFERROR(__xludf.DUMMYFUNCTION("""COMPUTED_VALUE"""),"iPhone 13, Starlight, 128GB, Logic Board Assy Rear System, ROW")</f>
        <v>iPhone 13, Starlight, 128GB, Logic Board Assy Rear System, ROW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 t="str">
        <f t="shared" si="1"/>
        <v>January</v>
      </c>
      <c r="B82" s="11">
        <f>IFERROR(__xludf.DUMMYFUNCTION("""COMPUTED_VALUE"""),46028.0)</f>
        <v>46028</v>
      </c>
      <c r="C82" s="2" t="str">
        <f>IFERROR(__xludf.DUMMYFUNCTION("""COMPUTED_VALUE"""),"MOBILECARE - NEWPOINT MALL")</f>
        <v>MOBILECARE - NEWPOINT MALL</v>
      </c>
      <c r="D82" s="2" t="str">
        <f>IFERROR(__xludf.DUMMYFUNCTION("""COMPUTED_VALUE"""),"PP661-28871")</f>
        <v>PP661-28871</v>
      </c>
      <c r="E82" s="2" t="str">
        <f>IFERROR(__xludf.DUMMYFUNCTION("""COMPUTED_VALUE"""),"iPhone 14, Blue, 128GB, Logic Board Assy Mid System, ROW")</f>
        <v>iPhone 14, Blue, 128GB, Logic Board Assy Mid System, ROW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 t="str">
        <f t="shared" si="1"/>
        <v>January</v>
      </c>
      <c r="B83" s="11">
        <f>IFERROR(__xludf.DUMMYFUNCTION("""COMPUTED_VALUE"""),46027.0)</f>
        <v>46027</v>
      </c>
      <c r="C83" s="2" t="str">
        <f>IFERROR(__xludf.DUMMYFUNCTION("""COMPUTED_VALUE"""),"MOBILECARE - NEWPOINT MALL")</f>
        <v>MOBILECARE - NEWPOINT MALL</v>
      </c>
      <c r="D83" s="2" t="str">
        <f>IFERROR(__xludf.DUMMYFUNCTION("""COMPUTED_VALUE"""),"PP661-28871")</f>
        <v>PP661-28871</v>
      </c>
      <c r="E83" s="2" t="str">
        <f>IFERROR(__xludf.DUMMYFUNCTION("""COMPUTED_VALUE"""),"iPhone 14, Blue, 128GB, Logic Board Assy Mid System, ROW")</f>
        <v>iPhone 14, Blue, 128GB, Logic Board Assy Mid System, ROW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 t="str">
        <f t="shared" si="1"/>
        <v>January</v>
      </c>
      <c r="B84" s="11">
        <f>IFERROR(__xludf.DUMMYFUNCTION("""COMPUTED_VALUE"""),46025.0)</f>
        <v>46025</v>
      </c>
      <c r="C84" s="2" t="str">
        <f>IFERROR(__xludf.DUMMYFUNCTION("""COMPUTED_VALUE"""),"MOBILECARE - NEWPOINT MALL")</f>
        <v>MOBILECARE - NEWPOINT MALL</v>
      </c>
      <c r="D84" s="2" t="str">
        <f>IFERROR(__xludf.DUMMYFUNCTION("""COMPUTED_VALUE"""),"TA661-43607")</f>
        <v>TA661-43607</v>
      </c>
      <c r="E84" s="2" t="str">
        <f>IFERROR(__xludf.DUMMYFUNCTION("""COMPUTED_VALUE"""),"128GB, Pink, ROW, iPhone 16, Logic Board Assy Mid System")</f>
        <v>128GB, Pink, ROW, iPhone 16, Logic Board Assy Mid System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 t="str">
        <f t="shared" si="1"/>
        <v>June</v>
      </c>
      <c r="B85" s="11">
        <f>IFERROR(__xludf.DUMMYFUNCTION("""COMPUTED_VALUE"""),46181.0)</f>
        <v>46181</v>
      </c>
      <c r="C85" s="2" t="str">
        <f>IFERROR(__xludf.DUMMYFUNCTION("""COMPUTED_VALUE"""),"MOBILECARE - FESTIVE WALK ILOILO")</f>
        <v>MOBILECARE - FESTIVE WALK ILOILO</v>
      </c>
      <c r="D85" s="2" t="str">
        <f>IFERROR(__xludf.DUMMYFUNCTION("""COMPUTED_VALUE"""),"TA661-45235")</f>
        <v>TA661-45235</v>
      </c>
      <c r="E85" s="2" t="str">
        <f>IFERROR(__xludf.DUMMYFUNCTION("""COMPUTED_VALUE"""),"128GB, Teal, ROW, iPhone 16 Plus, Logic Board Assy Mid System")</f>
        <v>128GB, Teal, ROW, iPhone 16 Plus, Logic Board Assy Mid System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 t="str">
        <f t="shared" si="1"/>
        <v>February</v>
      </c>
      <c r="B86" s="11">
        <f>IFERROR(__xludf.DUMMYFUNCTION("""COMPUTED_VALUE"""),46057.0)</f>
        <v>46057</v>
      </c>
      <c r="C86" s="2" t="str">
        <f>IFERROR(__xludf.DUMMYFUNCTION("""COMPUTED_VALUE"""),"MOBILECARE - FESTIVE WALK ILOILO")</f>
        <v>MOBILECARE - FESTIVE WALK ILOILO</v>
      </c>
      <c r="D86" s="2" t="str">
        <f>IFERROR(__xludf.DUMMYFUNCTION("""COMPUTED_VALUE"""),"PP661-23455")</f>
        <v>PP661-23455</v>
      </c>
      <c r="E86" s="2" t="str">
        <f>IFERROR(__xludf.DUMMYFUNCTION("""COMPUTED_VALUE"""),"iPhone 13, Starlight, 128GB, Logic Board Assy Rear System, ROW")</f>
        <v>iPhone 13, Starlight, 128GB, Logic Board Assy Rear System, ROW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 t="str">
        <f t="shared" si="1"/>
        <v>January</v>
      </c>
      <c r="B87" s="11">
        <f>IFERROR(__xludf.DUMMYFUNCTION("""COMPUTED_VALUE"""),46053.0)</f>
        <v>46053</v>
      </c>
      <c r="C87" s="2" t="str">
        <f>IFERROR(__xludf.DUMMYFUNCTION("""COMPUTED_VALUE"""),"MOBILECARE - FESTIVE WALK ILOILO")</f>
        <v>MOBILECARE - FESTIVE WALK ILOILO</v>
      </c>
      <c r="D87" s="2" t="str">
        <f>IFERROR(__xludf.DUMMYFUNCTION("""COMPUTED_VALUE"""),"PP661-23454")</f>
        <v>PP661-23454</v>
      </c>
      <c r="E87" s="2" t="str">
        <f>IFERROR(__xludf.DUMMYFUNCTION("""COMPUTED_VALUE"""),"iPhone 13, Midnight, 128GB, Logic Board Assy Rear System, ROW")</f>
        <v>iPhone 13, Midnight, 128GB, Logic Board Assy Rear System, ROW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 t="str">
        <f t="shared" si="1"/>
        <v>January</v>
      </c>
      <c r="B88" s="11">
        <f>IFERROR(__xludf.DUMMYFUNCTION("""COMPUTED_VALUE"""),46043.0)</f>
        <v>46043</v>
      </c>
      <c r="C88" s="2" t="str">
        <f>IFERROR(__xludf.DUMMYFUNCTION("""COMPUTED_VALUE"""),"MOBILECARE - FESTIVE WALK ILOILO")</f>
        <v>MOBILECARE - FESTIVE WALK ILOILO</v>
      </c>
      <c r="D88" s="2" t="str">
        <f>IFERROR(__xludf.DUMMYFUNCTION("""COMPUTED_VALUE"""),"PP661-23455")</f>
        <v>PP661-23455</v>
      </c>
      <c r="E88" s="2" t="str">
        <f>IFERROR(__xludf.DUMMYFUNCTION("""COMPUTED_VALUE"""),"iPhone 13, Starlight, 128GB, Logic Board Assy Rear System, ROW")</f>
        <v>iPhone 13, Starlight, 128GB, Logic Board Assy Rear System, ROW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 t="str">
        <f t="shared" si="1"/>
        <v>January</v>
      </c>
      <c r="B89" s="11">
        <f>IFERROR(__xludf.DUMMYFUNCTION("""COMPUTED_VALUE"""),46043.0)</f>
        <v>46043</v>
      </c>
      <c r="C89" s="2" t="str">
        <f>IFERROR(__xludf.DUMMYFUNCTION("""COMPUTED_VALUE"""),"MOBILECARE - FESTIVE WALK ILOILO")</f>
        <v>MOBILECARE - FESTIVE WALK ILOILO</v>
      </c>
      <c r="D89" s="2" t="str">
        <f>IFERROR(__xludf.DUMMYFUNCTION("""COMPUTED_VALUE"""),"PP661-28868")</f>
        <v>PP661-28868</v>
      </c>
      <c r="E89" s="2" t="str">
        <f>IFERROR(__xludf.DUMMYFUNCTION("""COMPUTED_VALUE"""),"iPhone 14, Midnight, 128GB, Logic Board Assy Mid System, ROW")</f>
        <v>iPhone 14, Midnight, 128GB, Logic Board Assy Mid System, ROW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 t="str">
        <f t="shared" si="1"/>
        <v>January</v>
      </c>
      <c r="B90" s="11">
        <f>IFERROR(__xludf.DUMMYFUNCTION("""COMPUTED_VALUE"""),46050.0)</f>
        <v>46050</v>
      </c>
      <c r="C90" s="2" t="str">
        <f>IFERROR(__xludf.DUMMYFUNCTION("""COMPUTED_VALUE"""),"MOBILECARE - FESTIVE WALK ILOILO")</f>
        <v>MOBILECARE - FESTIVE WALK ILOILO</v>
      </c>
      <c r="D90" s="2" t="str">
        <f>IFERROR(__xludf.DUMMYFUNCTION("""COMPUTED_VALUE"""),"PP661-23454")</f>
        <v>PP661-23454</v>
      </c>
      <c r="E90" s="2" t="str">
        <f>IFERROR(__xludf.DUMMYFUNCTION("""COMPUTED_VALUE"""),"iPhone 13, Midnight, 128GB, Logic Board Assy Rear System, ROW")</f>
        <v>iPhone 13, Midnight, 128GB, Logic Board Assy Rear System, ROW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 t="str">
        <f t="shared" si="1"/>
        <v>January</v>
      </c>
      <c r="B91" s="11">
        <f>IFERROR(__xludf.DUMMYFUNCTION("""COMPUTED_VALUE"""),46046.0)</f>
        <v>46046</v>
      </c>
      <c r="C91" s="2" t="str">
        <f>IFERROR(__xludf.DUMMYFUNCTION("""COMPUTED_VALUE"""),"MOBILECARE - FESTIVE WALK ILOILO")</f>
        <v>MOBILECARE - FESTIVE WALK ILOILO</v>
      </c>
      <c r="D91" s="2" t="str">
        <f>IFERROR(__xludf.DUMMYFUNCTION("""COMPUTED_VALUE"""),"PP661-23455")</f>
        <v>PP661-23455</v>
      </c>
      <c r="E91" s="2" t="str">
        <f>IFERROR(__xludf.DUMMYFUNCTION("""COMPUTED_VALUE"""),"iPhone 13, Starlight, 128GB, Logic Board Assy Rear System, ROW")</f>
        <v>iPhone 13, Starlight, 128GB, Logic Board Assy Rear System, ROW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 t="str">
        <f t="shared" si="1"/>
        <v>January</v>
      </c>
      <c r="B92" s="11">
        <f>IFERROR(__xludf.DUMMYFUNCTION("""COMPUTED_VALUE"""),46043.0)</f>
        <v>46043</v>
      </c>
      <c r="C92" s="2" t="str">
        <f>IFERROR(__xludf.DUMMYFUNCTION("""COMPUTED_VALUE"""),"MOBILECARE - FESTIVE WALK ILOILO")</f>
        <v>MOBILECARE - FESTIVE WALK ILOILO</v>
      </c>
      <c r="D92" s="2" t="str">
        <f>IFERROR(__xludf.DUMMYFUNCTION("""COMPUTED_VALUE"""),"PP661-23455")</f>
        <v>PP661-23455</v>
      </c>
      <c r="E92" s="2" t="str">
        <f>IFERROR(__xludf.DUMMYFUNCTION("""COMPUTED_VALUE"""),"iPhone 13, Starlight, 128GB, Logic Board Assy Rear System, ROW")</f>
        <v>iPhone 13, Starlight, 128GB, Logic Board Assy Rear System, ROW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 t="str">
        <f t="shared" si="1"/>
        <v>January</v>
      </c>
      <c r="B93" s="11">
        <f>IFERROR(__xludf.DUMMYFUNCTION("""COMPUTED_VALUE"""),46042.0)</f>
        <v>46042</v>
      </c>
      <c r="C93" s="2" t="str">
        <f>IFERROR(__xludf.DUMMYFUNCTION("""COMPUTED_VALUE"""),"MOBILECARE - FESTIVE WALK ILOILO")</f>
        <v>MOBILECARE - FESTIVE WALK ILOILO</v>
      </c>
      <c r="D93" s="2" t="str">
        <f>IFERROR(__xludf.DUMMYFUNCTION("""COMPUTED_VALUE"""),"PP661-28868")</f>
        <v>PP661-28868</v>
      </c>
      <c r="E93" s="2" t="str">
        <f>IFERROR(__xludf.DUMMYFUNCTION("""COMPUTED_VALUE"""),"iPhone 14, Midnight, 128GB, Logic Board Assy Mid System, ROW")</f>
        <v>iPhone 14, Midnight, 128GB, Logic Board Assy Mid System, ROW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 t="str">
        <f t="shared" si="1"/>
        <v>January</v>
      </c>
      <c r="B94" s="11">
        <f>IFERROR(__xludf.DUMMYFUNCTION("""COMPUTED_VALUE"""),46046.0)</f>
        <v>46046</v>
      </c>
      <c r="C94" s="2" t="str">
        <f>IFERROR(__xludf.DUMMYFUNCTION("""COMPUTED_VALUE"""),"MOBILECARE - FESTIVE WALK ILOILO")</f>
        <v>MOBILECARE - FESTIVE WALK ILOILO</v>
      </c>
      <c r="D94" s="2" t="str">
        <f>IFERROR(__xludf.DUMMYFUNCTION("""COMPUTED_VALUE"""),"PP661-23454")</f>
        <v>PP661-23454</v>
      </c>
      <c r="E94" s="2" t="str">
        <f>IFERROR(__xludf.DUMMYFUNCTION("""COMPUTED_VALUE"""),"iPhone 13, Midnight, 128GB, Logic Board Assy Rear System, ROW")</f>
        <v>iPhone 13, Midnight, 128GB, Logic Board Assy Rear System, ROW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 t="str">
        <f t="shared" si="1"/>
        <v>January</v>
      </c>
      <c r="B95" s="11">
        <f>IFERROR(__xludf.DUMMYFUNCTION("""COMPUTED_VALUE"""),46049.0)</f>
        <v>46049</v>
      </c>
      <c r="C95" s="2" t="str">
        <f>IFERROR(__xludf.DUMMYFUNCTION("""COMPUTED_VALUE"""),"MOBILECARE - FESTIVE WALK ILOILO")</f>
        <v>MOBILECARE - FESTIVE WALK ILOILO</v>
      </c>
      <c r="D95" s="2" t="str">
        <f>IFERROR(__xludf.DUMMYFUNCTION("""COMPUTED_VALUE"""),"PP661-28869")</f>
        <v>PP661-28869</v>
      </c>
      <c r="E95" s="2" t="str">
        <f>IFERROR(__xludf.DUMMYFUNCTION("""COMPUTED_VALUE"""),"iPhone 14, Starlight, 128GB, Logic Board Assy Mid System, ROW")</f>
        <v>iPhone 14, Starlight, 128GB, Logic Board Assy Mid System, ROW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 t="str">
        <f t="shared" si="1"/>
        <v>January</v>
      </c>
      <c r="B96" s="11">
        <f>IFERROR(__xludf.DUMMYFUNCTION("""COMPUTED_VALUE"""),46040.0)</f>
        <v>46040</v>
      </c>
      <c r="C96" s="2" t="str">
        <f>IFERROR(__xludf.DUMMYFUNCTION("""COMPUTED_VALUE"""),"MOBILECARE - FESTIVE WALK ILOILO")</f>
        <v>MOBILECARE - FESTIVE WALK ILOILO</v>
      </c>
      <c r="D96" s="2" t="str">
        <f>IFERROR(__xludf.DUMMYFUNCTION("""COMPUTED_VALUE"""),"TA661-36700")</f>
        <v>TA661-36700</v>
      </c>
      <c r="E96" s="2" t="str">
        <f>IFERROR(__xludf.DUMMYFUNCTION("""COMPUTED_VALUE"""),"iPhone 15, Green, 256GB, Logic Board Assy Mid System, ROW")</f>
        <v>iPhone 15, Green, 256GB, Logic Board Assy Mid System, ROW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 t="str">
        <f t="shared" si="1"/>
        <v>January</v>
      </c>
      <c r="B97" s="11">
        <f>IFERROR(__xludf.DUMMYFUNCTION("""COMPUTED_VALUE"""),46039.0)</f>
        <v>46039</v>
      </c>
      <c r="C97" s="2" t="str">
        <f>IFERROR(__xludf.DUMMYFUNCTION("""COMPUTED_VALUE"""),"MOBILECARE - FESTIVE WALK ILOILO")</f>
        <v>MOBILECARE - FESTIVE WALK ILOILO</v>
      </c>
      <c r="D97" s="2" t="str">
        <f>IFERROR(__xludf.DUMMYFUNCTION("""COMPUTED_VALUE"""),"PP661-23454")</f>
        <v>PP661-23454</v>
      </c>
      <c r="E97" s="2" t="str">
        <f>IFERROR(__xludf.DUMMYFUNCTION("""COMPUTED_VALUE"""),"iPhone 13, Midnight, 128GB, Logic Board Assy Rear System, ROW")</f>
        <v>iPhone 13, Midnight, 128GB, Logic Board Assy Rear System, ROW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 t="str">
        <f t="shared" si="1"/>
        <v>January</v>
      </c>
      <c r="B98" s="11">
        <f>IFERROR(__xludf.DUMMYFUNCTION("""COMPUTED_VALUE"""),46042.0)</f>
        <v>46042</v>
      </c>
      <c r="C98" s="2" t="str">
        <f>IFERROR(__xludf.DUMMYFUNCTION("""COMPUTED_VALUE"""),"MOBILECARE - FESTIVE WALK ILOILO")</f>
        <v>MOBILECARE - FESTIVE WALK ILOILO</v>
      </c>
      <c r="D98" s="2" t="str">
        <f>IFERROR(__xludf.DUMMYFUNCTION("""COMPUTED_VALUE"""),"PP661-23455")</f>
        <v>PP661-23455</v>
      </c>
      <c r="E98" s="2" t="str">
        <f>IFERROR(__xludf.DUMMYFUNCTION("""COMPUTED_VALUE"""),"iPhone 13, Starlight, 128GB, Logic Board Assy Rear System, ROW")</f>
        <v>iPhone 13, Starlight, 128GB, Logic Board Assy Rear System, ROW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 t="str">
        <f t="shared" si="1"/>
        <v>January</v>
      </c>
      <c r="B99" s="11">
        <f>IFERROR(__xludf.DUMMYFUNCTION("""COMPUTED_VALUE"""),46043.0)</f>
        <v>46043</v>
      </c>
      <c r="C99" s="2" t="str">
        <f>IFERROR(__xludf.DUMMYFUNCTION("""COMPUTED_VALUE"""),"MOBILECARE - FESTIVE WALK ILOILO")</f>
        <v>MOBILECARE - FESTIVE WALK ILOILO</v>
      </c>
      <c r="D99" s="2" t="str">
        <f>IFERROR(__xludf.DUMMYFUNCTION("""COMPUTED_VALUE"""),"PP661-23455")</f>
        <v>PP661-23455</v>
      </c>
      <c r="E99" s="2" t="str">
        <f>IFERROR(__xludf.DUMMYFUNCTION("""COMPUTED_VALUE"""),"iPhone 13, Starlight, 128GB, Logic Board Assy Rear System, ROW")</f>
        <v>iPhone 13, Starlight, 128GB, Logic Board Assy Rear System, ROW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 t="str">
        <f t="shared" si="1"/>
        <v>January</v>
      </c>
      <c r="B100" s="11">
        <f>IFERROR(__xludf.DUMMYFUNCTION("""COMPUTED_VALUE"""),46039.0)</f>
        <v>46039</v>
      </c>
      <c r="C100" s="2" t="str">
        <f>IFERROR(__xludf.DUMMYFUNCTION("""COMPUTED_VALUE"""),"MOBILECARE - FESTIVE WALK ILOILO")</f>
        <v>MOBILECARE - FESTIVE WALK ILOILO</v>
      </c>
      <c r="D100" s="2" t="str">
        <f>IFERROR(__xludf.DUMMYFUNCTION("""COMPUTED_VALUE"""),"PP661-23454")</f>
        <v>PP661-23454</v>
      </c>
      <c r="E100" s="2" t="str">
        <f>IFERROR(__xludf.DUMMYFUNCTION("""COMPUTED_VALUE"""),"iPhone 13, Midnight, 128GB, Logic Board Assy Rear System, ROW")</f>
        <v>iPhone 13, Midnight, 128GB, Logic Board Assy Rear System, ROW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 t="str">
        <f t="shared" si="1"/>
        <v>January</v>
      </c>
      <c r="B101" s="11">
        <f>IFERROR(__xludf.DUMMYFUNCTION("""COMPUTED_VALUE"""),46036.0)</f>
        <v>46036</v>
      </c>
      <c r="C101" s="2" t="str">
        <f>IFERROR(__xludf.DUMMYFUNCTION("""COMPUTED_VALUE"""),"MOBILECARE - FESTIVE WALK ILOILO")</f>
        <v>MOBILECARE - FESTIVE WALK ILOILO</v>
      </c>
      <c r="D101" s="2" t="str">
        <f>IFERROR(__xludf.DUMMYFUNCTION("""COMPUTED_VALUE"""),"PP661-23454")</f>
        <v>PP661-23454</v>
      </c>
      <c r="E101" s="2" t="str">
        <f>IFERROR(__xludf.DUMMYFUNCTION("""COMPUTED_VALUE"""),"iPhone 13, Midnight, 128GB, Logic Board Assy Rear System, ROW")</f>
        <v>iPhone 13, Midnight, 128GB, Logic Board Assy Rear System, ROW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 t="str">
        <f t="shared" si="1"/>
        <v>January</v>
      </c>
      <c r="B102" s="11">
        <f>IFERROR(__xludf.DUMMYFUNCTION("""COMPUTED_VALUE"""),46042.0)</f>
        <v>46042</v>
      </c>
      <c r="C102" s="2" t="str">
        <f>IFERROR(__xludf.DUMMYFUNCTION("""COMPUTED_VALUE"""),"MOBILECARE - FESTIVE WALK ILOILO")</f>
        <v>MOBILECARE - FESTIVE WALK ILOILO</v>
      </c>
      <c r="D102" s="2" t="str">
        <f>IFERROR(__xludf.DUMMYFUNCTION("""COMPUTED_VALUE"""),"PP661-23455")</f>
        <v>PP661-23455</v>
      </c>
      <c r="E102" s="2" t="str">
        <f>IFERROR(__xludf.DUMMYFUNCTION("""COMPUTED_VALUE"""),"iPhone 13, Starlight, 128GB, Logic Board Assy Rear System, ROW")</f>
        <v>iPhone 13, Starlight, 128GB, Logic Board Assy Rear System, ROW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 t="str">
        <f t="shared" si="1"/>
        <v>January</v>
      </c>
      <c r="B103" s="11">
        <f>IFERROR(__xludf.DUMMYFUNCTION("""COMPUTED_VALUE"""),46038.0)</f>
        <v>46038</v>
      </c>
      <c r="C103" s="2" t="str">
        <f>IFERROR(__xludf.DUMMYFUNCTION("""COMPUTED_VALUE"""),"MOBILECARE - FESTIVE WALK ILOILO")</f>
        <v>MOBILECARE - FESTIVE WALK ILOILO</v>
      </c>
      <c r="D103" s="2" t="str">
        <f>IFERROR(__xludf.DUMMYFUNCTION("""COMPUTED_VALUE"""),"PP661-23455")</f>
        <v>PP661-23455</v>
      </c>
      <c r="E103" s="2" t="str">
        <f>IFERROR(__xludf.DUMMYFUNCTION("""COMPUTED_VALUE"""),"iPhone 13, Starlight, 128GB, Logic Board Assy Rear System, ROW")</f>
        <v>iPhone 13, Starlight, 128GB, Logic Board Assy Rear System, ROW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 t="str">
        <f t="shared" si="1"/>
        <v>January</v>
      </c>
      <c r="B104" s="11">
        <f>IFERROR(__xludf.DUMMYFUNCTION("""COMPUTED_VALUE"""),46037.0)</f>
        <v>46037</v>
      </c>
      <c r="C104" s="2" t="str">
        <f>IFERROR(__xludf.DUMMYFUNCTION("""COMPUTED_VALUE"""),"MOBILECARE - FESTIVE WALK ILOILO")</f>
        <v>MOBILECARE - FESTIVE WALK ILOILO</v>
      </c>
      <c r="D104" s="2" t="str">
        <f>IFERROR(__xludf.DUMMYFUNCTION("""COMPUTED_VALUE"""),"PP661-23455")</f>
        <v>PP661-23455</v>
      </c>
      <c r="E104" s="2" t="str">
        <f>IFERROR(__xludf.DUMMYFUNCTION("""COMPUTED_VALUE"""),"iPhone 13, Starlight, 128GB, Logic Board Assy Rear System, ROW")</f>
        <v>iPhone 13, Starlight, 128GB, Logic Board Assy Rear System, ROW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 t="str">
        <f t="shared" si="1"/>
        <v>January</v>
      </c>
      <c r="B105" s="11">
        <f>IFERROR(__xludf.DUMMYFUNCTION("""COMPUTED_VALUE"""),46038.0)</f>
        <v>46038</v>
      </c>
      <c r="C105" s="2" t="str">
        <f>IFERROR(__xludf.DUMMYFUNCTION("""COMPUTED_VALUE"""),"MOBILECARE - FESTIVE WALK ILOILO")</f>
        <v>MOBILECARE - FESTIVE WALK ILOILO</v>
      </c>
      <c r="D105" s="2" t="str">
        <f>IFERROR(__xludf.DUMMYFUNCTION("""COMPUTED_VALUE"""),"TA661-36696")</f>
        <v>TA661-36696</v>
      </c>
      <c r="E105" s="2" t="str">
        <f>IFERROR(__xludf.DUMMYFUNCTION("""COMPUTED_VALUE"""),"iPhone 15, Black, 256GB, Logic Board Assy Mid System, ROW")</f>
        <v>iPhone 15, Black, 256GB, Logic Board Assy Mid System, ROW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 t="str">
        <f t="shared" si="1"/>
        <v>January</v>
      </c>
      <c r="B106" s="11">
        <f>IFERROR(__xludf.DUMMYFUNCTION("""COMPUTED_VALUE"""),46033.0)</f>
        <v>46033</v>
      </c>
      <c r="C106" s="2" t="str">
        <f>IFERROR(__xludf.DUMMYFUNCTION("""COMPUTED_VALUE"""),"MOBILECARE - FESTIVE WALK ILOILO")</f>
        <v>MOBILECARE - FESTIVE WALK ILOILO</v>
      </c>
      <c r="D106" s="2" t="str">
        <f>IFERROR(__xludf.DUMMYFUNCTION("""COMPUTED_VALUE"""),"PP661-28868")</f>
        <v>PP661-28868</v>
      </c>
      <c r="E106" s="2" t="str">
        <f>IFERROR(__xludf.DUMMYFUNCTION("""COMPUTED_VALUE"""),"iPhone 14, Midnight, 128GB, Logic Board Assy Mid System, ROW")</f>
        <v>iPhone 14, Midnight, 128GB, Logic Board Assy Mid System, ROW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 t="str">
        <f t="shared" si="1"/>
        <v>January</v>
      </c>
      <c r="B107" s="11">
        <f>IFERROR(__xludf.DUMMYFUNCTION("""COMPUTED_VALUE"""),46031.0)</f>
        <v>46031</v>
      </c>
      <c r="C107" s="2" t="str">
        <f>IFERROR(__xludf.DUMMYFUNCTION("""COMPUTED_VALUE"""),"MOBILECARE - FESTIVE WALK ILOILO")</f>
        <v>MOBILECARE - FESTIVE WALK ILOILO</v>
      </c>
      <c r="D107" s="2" t="str">
        <f>IFERROR(__xludf.DUMMYFUNCTION("""COMPUTED_VALUE"""),"PP661-23455")</f>
        <v>PP661-23455</v>
      </c>
      <c r="E107" s="2" t="str">
        <f>IFERROR(__xludf.DUMMYFUNCTION("""COMPUTED_VALUE"""),"iPhone 13, Starlight, 128GB, Logic Board Assy Rear System, ROW")</f>
        <v>iPhone 13, Starlight, 128GB, Logic Board Assy Rear System, ROW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 t="str">
        <f t="shared" si="1"/>
        <v>January</v>
      </c>
      <c r="B108" s="11">
        <f>IFERROR(__xludf.DUMMYFUNCTION("""COMPUTED_VALUE"""),46025.0)</f>
        <v>46025</v>
      </c>
      <c r="C108" s="2" t="str">
        <f>IFERROR(__xludf.DUMMYFUNCTION("""COMPUTED_VALUE"""),"MOBILECARE - FESTIVE WALK ILOILO")</f>
        <v>MOBILECARE - FESTIVE WALK ILOILO</v>
      </c>
      <c r="D108" s="2" t="str">
        <f>IFERROR(__xludf.DUMMYFUNCTION("""COMPUTED_VALUE"""),"PP661-23454")</f>
        <v>PP661-23454</v>
      </c>
      <c r="E108" s="2" t="str">
        <f>IFERROR(__xludf.DUMMYFUNCTION("""COMPUTED_VALUE"""),"iPhone 13, Midnight, 128GB, Logic Board Assy Rear System, ROW")</f>
        <v>iPhone 13, Midnight, 128GB, Logic Board Assy Rear System, ROW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 t="str">
        <f t="shared" si="1"/>
        <v>January</v>
      </c>
      <c r="B109" s="11">
        <f>IFERROR(__xludf.DUMMYFUNCTION("""COMPUTED_VALUE"""),46027.0)</f>
        <v>46027</v>
      </c>
      <c r="C109" s="2" t="str">
        <f>IFERROR(__xludf.DUMMYFUNCTION("""COMPUTED_VALUE"""),"MOBILECARE - FESTIVE WALK ILOILO")</f>
        <v>MOBILECARE - FESTIVE WALK ILOILO</v>
      </c>
      <c r="D109" s="2" t="str">
        <f>IFERROR(__xludf.DUMMYFUNCTION("""COMPUTED_VALUE"""),"PP661-23454")</f>
        <v>PP661-23454</v>
      </c>
      <c r="E109" s="2" t="str">
        <f>IFERROR(__xludf.DUMMYFUNCTION("""COMPUTED_VALUE"""),"iPhone 13, Midnight, 128GB, Logic Board Assy Rear System, ROW")</f>
        <v>iPhone 13, Midnight, 128GB, Logic Board Assy Rear System, ROW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 t="str">
        <f t="shared" si="1"/>
        <v>January</v>
      </c>
      <c r="B110" s="11">
        <f>IFERROR(__xludf.DUMMYFUNCTION("""COMPUTED_VALUE"""),46025.0)</f>
        <v>46025</v>
      </c>
      <c r="C110" s="2" t="str">
        <f>IFERROR(__xludf.DUMMYFUNCTION("""COMPUTED_VALUE"""),"MOBILECARE - FESTIVE WALK ILOILO")</f>
        <v>MOBILECARE - FESTIVE WALK ILOILO</v>
      </c>
      <c r="D110" s="2" t="str">
        <f>IFERROR(__xludf.DUMMYFUNCTION("""COMPUTED_VALUE"""),"PP661-23455")</f>
        <v>PP661-23455</v>
      </c>
      <c r="E110" s="2" t="str">
        <f>IFERROR(__xludf.DUMMYFUNCTION("""COMPUTED_VALUE"""),"iPhone 13, Starlight, 128GB, Logic Board Assy Rear System, ROW")</f>
        <v>iPhone 13, Starlight, 128GB, Logic Board Assy Rear System, ROW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 t="str">
        <f t="shared" si="1"/>
        <v>January</v>
      </c>
      <c r="B111" s="11">
        <f>IFERROR(__xludf.DUMMYFUNCTION("""COMPUTED_VALUE"""),46028.0)</f>
        <v>46028</v>
      </c>
      <c r="C111" s="2" t="str">
        <f>IFERROR(__xludf.DUMMYFUNCTION("""COMPUTED_VALUE"""),"MOBILECARE - FESTIVE WALK ILOILO")</f>
        <v>MOBILECARE - FESTIVE WALK ILOILO</v>
      </c>
      <c r="D111" s="2" t="str">
        <f>IFERROR(__xludf.DUMMYFUNCTION("""COMPUTED_VALUE"""),"PP661-23455")</f>
        <v>PP661-23455</v>
      </c>
      <c r="E111" s="2" t="str">
        <f>IFERROR(__xludf.DUMMYFUNCTION("""COMPUTED_VALUE"""),"iPhone 13, Starlight, 128GB, Logic Board Assy Rear System, ROW")</f>
        <v>iPhone 13, Starlight, 128GB, Logic Board Assy Rear System, ROW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 t="str">
        <f t="shared" si="1"/>
        <v>January</v>
      </c>
      <c r="B112" s="11">
        <f>IFERROR(__xludf.DUMMYFUNCTION("""COMPUTED_VALUE"""),46028.0)</f>
        <v>46028</v>
      </c>
      <c r="C112" s="2" t="str">
        <f>IFERROR(__xludf.DUMMYFUNCTION("""COMPUTED_VALUE"""),"MOBILECARE - FESTIVE WALK ILOILO")</f>
        <v>MOBILECARE - FESTIVE WALK ILOILO</v>
      </c>
      <c r="D112" s="2" t="str">
        <f>IFERROR(__xludf.DUMMYFUNCTION("""COMPUTED_VALUE"""),"PP661-23455")</f>
        <v>PP661-23455</v>
      </c>
      <c r="E112" s="2" t="str">
        <f>IFERROR(__xludf.DUMMYFUNCTION("""COMPUTED_VALUE"""),"iPhone 13, Starlight, 128GB, Logic Board Assy Rear System, ROW")</f>
        <v>iPhone 13, Starlight, 128GB, Logic Board Assy Rear System, ROW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 t="str">
        <f t="shared" si="1"/>
        <v>January</v>
      </c>
      <c r="B113" s="11">
        <f>IFERROR(__xludf.DUMMYFUNCTION("""COMPUTED_VALUE"""),46028.0)</f>
        <v>46028</v>
      </c>
      <c r="C113" s="2" t="str">
        <f>IFERROR(__xludf.DUMMYFUNCTION("""COMPUTED_VALUE"""),"MOBILECARE - FESTIVE WALK ILOILO")</f>
        <v>MOBILECARE - FESTIVE WALK ILOILO</v>
      </c>
      <c r="D113" s="2" t="str">
        <f>IFERROR(__xludf.DUMMYFUNCTION("""COMPUTED_VALUE"""),"TA661-36697")</f>
        <v>TA661-36697</v>
      </c>
      <c r="E113" s="2" t="str">
        <f>IFERROR(__xludf.DUMMYFUNCTION("""COMPUTED_VALUE"""),"iPhone 15, Pink, 256GB, Logic Board Assy Mid System, ROW")</f>
        <v>iPhone 15, Pink, 256GB, Logic Board Assy Mid System, ROW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 t="str">
        <f t="shared" si="1"/>
        <v>January</v>
      </c>
      <c r="B114" s="11">
        <f>IFERROR(__xludf.DUMMYFUNCTION("""COMPUTED_VALUE"""),46028.0)</f>
        <v>46028</v>
      </c>
      <c r="C114" s="2" t="str">
        <f>IFERROR(__xludf.DUMMYFUNCTION("""COMPUTED_VALUE"""),"MOBILECARE - FESTIVE WALK ILOILO")</f>
        <v>MOBILECARE - FESTIVE WALK ILOILO</v>
      </c>
      <c r="D114" s="2" t="str">
        <f>IFERROR(__xludf.DUMMYFUNCTION("""COMPUTED_VALUE"""),"TA661-36697")</f>
        <v>TA661-36697</v>
      </c>
      <c r="E114" s="2" t="str">
        <f>IFERROR(__xludf.DUMMYFUNCTION("""COMPUTED_VALUE"""),"iPhone 15, Pink, 256GB, Logic Board Assy Mid System, ROW")</f>
        <v>iPhone 15, Pink, 256GB, Logic Board Assy Mid System, ROW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 t="str">
        <f t="shared" si="1"/>
        <v>June</v>
      </c>
      <c r="B115" s="11">
        <f>IFERROR(__xludf.DUMMYFUNCTION("""COMPUTED_VALUE"""),46182.0)</f>
        <v>46182</v>
      </c>
      <c r="C115" s="2" t="str">
        <f>IFERROR(__xludf.DUMMYFUNCTION("""COMPUTED_VALUE"""),"MOBILECARE - CEBU")</f>
        <v>MOBILECARE - CEBU</v>
      </c>
      <c r="D115" s="2" t="str">
        <f>IFERROR(__xludf.DUMMYFUNCTION("""COMPUTED_VALUE"""),"PP661-28873")</f>
        <v>PP661-28873</v>
      </c>
      <c r="E115" s="2" t="str">
        <f>IFERROR(__xludf.DUMMYFUNCTION("""COMPUTED_VALUE"""),"iPhone 14, Midnight, 256GB, Logic Board Assy Mid System, ROW")</f>
        <v>iPhone 14, Midnight, 256GB, Logic Board Assy Mid System, ROW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 t="str">
        <f t="shared" si="1"/>
        <v>March</v>
      </c>
      <c r="B116" s="11">
        <f>IFERROR(__xludf.DUMMYFUNCTION("""COMPUTED_VALUE"""),46083.0)</f>
        <v>46083</v>
      </c>
      <c r="C116" s="2" t="str">
        <f>IFERROR(__xludf.DUMMYFUNCTION("""COMPUTED_VALUE"""),"MOBILECARE - CEBU")</f>
        <v>MOBILECARE - CEBU</v>
      </c>
      <c r="D116" s="2" t="str">
        <f>IFERROR(__xludf.DUMMYFUNCTION("""COMPUTED_VALUE"""),"PP661-23454")</f>
        <v>PP661-23454</v>
      </c>
      <c r="E116" s="2" t="str">
        <f>IFERROR(__xludf.DUMMYFUNCTION("""COMPUTED_VALUE"""),"iPhone 13, Midnight, 128GB, Logic Board Assy Rear System, ROW")</f>
        <v>iPhone 13, Midnight, 128GB, Logic Board Assy Rear System, ROW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 t="str">
        <f t="shared" si="1"/>
        <v>March</v>
      </c>
      <c r="B117" s="11">
        <f>IFERROR(__xludf.DUMMYFUNCTION("""COMPUTED_VALUE"""),46102.0)</f>
        <v>46102</v>
      </c>
      <c r="C117" s="2" t="str">
        <f>IFERROR(__xludf.DUMMYFUNCTION("""COMPUTED_VALUE"""),"MOBILECARE - NAGA")</f>
        <v>MOBILECARE - NAGA</v>
      </c>
      <c r="D117" s="2" t="str">
        <f>IFERROR(__xludf.DUMMYFUNCTION("""COMPUTED_VALUE"""),"PP661-23455")</f>
        <v>PP661-23455</v>
      </c>
      <c r="E117" s="2" t="str">
        <f>IFERROR(__xludf.DUMMYFUNCTION("""COMPUTED_VALUE"""),"iPhone 13, Starlight, 128GB, Logic Board Assy Rear System, ROW")</f>
        <v>iPhone 13, Starlight, 128GB, Logic Board Assy Rear System, ROW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 t="str">
        <f t="shared" si="1"/>
        <v>February</v>
      </c>
      <c r="B118" s="11">
        <f>IFERROR(__xludf.DUMMYFUNCTION("""COMPUTED_VALUE"""),46054.0)</f>
        <v>46054</v>
      </c>
      <c r="C118" s="2" t="str">
        <f>IFERROR(__xludf.DUMMYFUNCTION("""COMPUTED_VALUE"""),"MOBILECARE - NAGA")</f>
        <v>MOBILECARE - NAGA</v>
      </c>
      <c r="D118" s="2" t="str">
        <f>IFERROR(__xludf.DUMMYFUNCTION("""COMPUTED_VALUE"""),"TA661-36692")</f>
        <v>TA661-36692</v>
      </c>
      <c r="E118" s="2" t="str">
        <f>IFERROR(__xludf.DUMMYFUNCTION("""COMPUTED_VALUE"""),"iPhone 15, Pink, 128GB, Logic Board Assy Mid System, ROW")</f>
        <v>iPhone 15, Pink, 128GB, Logic Board Assy Mid System, ROW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 t="str">
        <f t="shared" si="1"/>
        <v>January</v>
      </c>
      <c r="B119" s="11">
        <f>IFERROR(__xludf.DUMMYFUNCTION("""COMPUTED_VALUE"""),46049.0)</f>
        <v>46049</v>
      </c>
      <c r="C119" s="2" t="str">
        <f>IFERROR(__xludf.DUMMYFUNCTION("""COMPUTED_VALUE"""),"MOBILECARE - NAGA")</f>
        <v>MOBILECARE - NAGA</v>
      </c>
      <c r="D119" s="2" t="str">
        <f>IFERROR(__xludf.DUMMYFUNCTION("""COMPUTED_VALUE"""),"PP661-23454")</f>
        <v>PP661-23454</v>
      </c>
      <c r="E119" s="2" t="str">
        <f>IFERROR(__xludf.DUMMYFUNCTION("""COMPUTED_VALUE"""),"iPhone 13, Midnight, 128GB, Logic Board Assy Rear System, ROW")</f>
        <v>iPhone 13, Midnight, 128GB, Logic Board Assy Rear System, ROW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 t="str">
        <f t="shared" si="1"/>
        <v>February</v>
      </c>
      <c r="B120" s="11">
        <f>IFERROR(__xludf.DUMMYFUNCTION("""COMPUTED_VALUE"""),46056.0)</f>
        <v>46056</v>
      </c>
      <c r="C120" s="2" t="str">
        <f>IFERROR(__xludf.DUMMYFUNCTION("""COMPUTED_VALUE"""),"MOBILECARE - NAGA")</f>
        <v>MOBILECARE - NAGA</v>
      </c>
      <c r="D120" s="2" t="str">
        <f>IFERROR(__xludf.DUMMYFUNCTION("""COMPUTED_VALUE"""),"TA661-36691")</f>
        <v>TA661-36691</v>
      </c>
      <c r="E120" s="2" t="str">
        <f>IFERROR(__xludf.DUMMYFUNCTION("""COMPUTED_VALUE"""),"iPhone 15, Black, 128GB, Logic Board Assy Mid System, ROW")</f>
        <v>iPhone 15, Black, 128GB, Logic Board Assy Mid System, ROW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 t="str">
        <f t="shared" si="1"/>
        <v>January</v>
      </c>
      <c r="B121" s="11">
        <f>IFERROR(__xludf.DUMMYFUNCTION("""COMPUTED_VALUE"""),46047.0)</f>
        <v>46047</v>
      </c>
      <c r="C121" s="2" t="str">
        <f>IFERROR(__xludf.DUMMYFUNCTION("""COMPUTED_VALUE"""),"MOBILECARE - NAGA")</f>
        <v>MOBILECARE - NAGA</v>
      </c>
      <c r="D121" s="2" t="str">
        <f>IFERROR(__xludf.DUMMYFUNCTION("""COMPUTED_VALUE"""),"PP661-23455")</f>
        <v>PP661-23455</v>
      </c>
      <c r="E121" s="2" t="str">
        <f>IFERROR(__xludf.DUMMYFUNCTION("""COMPUTED_VALUE"""),"iPhone 13, Starlight, 128GB, Logic Board Assy Rear System, ROW")</f>
        <v>iPhone 13, Starlight, 128GB, Logic Board Assy Rear System, ROW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 t="str">
        <f t="shared" si="1"/>
        <v>January</v>
      </c>
      <c r="B122" s="11">
        <f>IFERROR(__xludf.DUMMYFUNCTION("""COMPUTED_VALUE"""),46046.0)</f>
        <v>46046</v>
      </c>
      <c r="C122" s="2" t="str">
        <f>IFERROR(__xludf.DUMMYFUNCTION("""COMPUTED_VALUE"""),"MOBILECARE - NAGA")</f>
        <v>MOBILECARE - NAGA</v>
      </c>
      <c r="D122" s="2" t="str">
        <f>IFERROR(__xludf.DUMMYFUNCTION("""COMPUTED_VALUE"""),"PP661-28873")</f>
        <v>PP661-28873</v>
      </c>
      <c r="E122" s="2" t="str">
        <f>IFERROR(__xludf.DUMMYFUNCTION("""COMPUTED_VALUE"""),"iPhone 14, Midnight, 256GB, Logic Board Assy Mid System, ROW")</f>
        <v>iPhone 14, Midnight, 256GB, Logic Board Assy Mid System, ROW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 t="str">
        <f t="shared" si="1"/>
        <v>February</v>
      </c>
      <c r="B123" s="11">
        <f>IFERROR(__xludf.DUMMYFUNCTION("""COMPUTED_VALUE"""),46054.0)</f>
        <v>46054</v>
      </c>
      <c r="C123" s="2" t="str">
        <f>IFERROR(__xludf.DUMMYFUNCTION("""COMPUTED_VALUE"""),"MOBILECARE - NAGA")</f>
        <v>MOBILECARE - NAGA</v>
      </c>
      <c r="D123" s="2" t="str">
        <f>IFERROR(__xludf.DUMMYFUNCTION("""COMPUTED_VALUE"""),"PP661-23454")</f>
        <v>PP661-23454</v>
      </c>
      <c r="E123" s="2" t="str">
        <f>IFERROR(__xludf.DUMMYFUNCTION("""COMPUTED_VALUE"""),"iPhone 13, Midnight, 128GB, Logic Board Assy Rear System, ROW")</f>
        <v>iPhone 13, Midnight, 128GB, Logic Board Assy Rear System, ROW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 t="str">
        <f t="shared" si="1"/>
        <v>January</v>
      </c>
      <c r="B124" s="11">
        <f>IFERROR(__xludf.DUMMYFUNCTION("""COMPUTED_VALUE"""),46046.0)</f>
        <v>46046</v>
      </c>
      <c r="C124" s="2" t="str">
        <f>IFERROR(__xludf.DUMMYFUNCTION("""COMPUTED_VALUE"""),"MOBILECARE - NAGA")</f>
        <v>MOBILECARE - NAGA</v>
      </c>
      <c r="D124" s="2" t="str">
        <f>IFERROR(__xludf.DUMMYFUNCTION("""COMPUTED_VALUE"""),"TA661-36694")</f>
        <v>TA661-36694</v>
      </c>
      <c r="E124" s="2" t="str">
        <f>IFERROR(__xludf.DUMMYFUNCTION("""COMPUTED_VALUE"""),"iPhone 15, Blue, 128GB, Logic Board Assy Mid System, ROW")</f>
        <v>iPhone 15, Blue, 128GB, Logic Board Assy Mid System, ROW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 t="str">
        <f t="shared" si="1"/>
        <v>January</v>
      </c>
      <c r="B125" s="11">
        <f>IFERROR(__xludf.DUMMYFUNCTION("""COMPUTED_VALUE"""),46046.0)</f>
        <v>46046</v>
      </c>
      <c r="C125" s="2" t="str">
        <f>IFERROR(__xludf.DUMMYFUNCTION("""COMPUTED_VALUE"""),"MOBILECARE - NAGA")</f>
        <v>MOBILECARE - NAGA</v>
      </c>
      <c r="D125" s="2" t="str">
        <f>IFERROR(__xludf.DUMMYFUNCTION("""COMPUTED_VALUE"""),"PP661-28869")</f>
        <v>PP661-28869</v>
      </c>
      <c r="E125" s="2" t="str">
        <f>IFERROR(__xludf.DUMMYFUNCTION("""COMPUTED_VALUE"""),"iPhone 14, Starlight, 128GB, Logic Board Assy Mid System, ROW")</f>
        <v>iPhone 14, Starlight, 128GB, Logic Board Assy Mid System, ROW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 t="str">
        <f t="shared" si="1"/>
        <v>January</v>
      </c>
      <c r="B126" s="11">
        <f>IFERROR(__xludf.DUMMYFUNCTION("""COMPUTED_VALUE"""),46049.0)</f>
        <v>46049</v>
      </c>
      <c r="C126" s="2" t="str">
        <f>IFERROR(__xludf.DUMMYFUNCTION("""COMPUTED_VALUE"""),"MOBILECARE - NAGA")</f>
        <v>MOBILECARE - NAGA</v>
      </c>
      <c r="D126" s="2" t="str">
        <f>IFERROR(__xludf.DUMMYFUNCTION("""COMPUTED_VALUE"""),"PP661-23454")</f>
        <v>PP661-23454</v>
      </c>
      <c r="E126" s="2" t="str">
        <f>IFERROR(__xludf.DUMMYFUNCTION("""COMPUTED_VALUE"""),"iPhone 13, Midnight, 128GB, Logic Board Assy Rear System, ROW")</f>
        <v>iPhone 13, Midnight, 128GB, Logic Board Assy Rear System, ROW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 t="str">
        <f t="shared" si="1"/>
        <v>January</v>
      </c>
      <c r="B127" s="11">
        <f>IFERROR(__xludf.DUMMYFUNCTION("""COMPUTED_VALUE"""),46044.0)</f>
        <v>46044</v>
      </c>
      <c r="C127" s="2" t="str">
        <f>IFERROR(__xludf.DUMMYFUNCTION("""COMPUTED_VALUE"""),"MOBILECARE - NAGA")</f>
        <v>MOBILECARE - NAGA</v>
      </c>
      <c r="D127" s="2" t="str">
        <f>IFERROR(__xludf.DUMMYFUNCTION("""COMPUTED_VALUE"""),"TA661-36691")</f>
        <v>TA661-36691</v>
      </c>
      <c r="E127" s="2" t="str">
        <f>IFERROR(__xludf.DUMMYFUNCTION("""COMPUTED_VALUE"""),"iPhone 15, Black, 128GB, Logic Board Assy Mid System, ROW")</f>
        <v>iPhone 15, Black, 128GB, Logic Board Assy Mid System, ROW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 t="str">
        <f t="shared" si="1"/>
        <v>January</v>
      </c>
      <c r="B128" s="11">
        <f>IFERROR(__xludf.DUMMYFUNCTION("""COMPUTED_VALUE"""),46042.0)</f>
        <v>46042</v>
      </c>
      <c r="C128" s="2" t="str">
        <f>IFERROR(__xludf.DUMMYFUNCTION("""COMPUTED_VALUE"""),"MOBILECARE - NAGA")</f>
        <v>MOBILECARE - NAGA</v>
      </c>
      <c r="D128" s="2" t="str">
        <f>IFERROR(__xludf.DUMMYFUNCTION("""COMPUTED_VALUE"""),"TA661-43607")</f>
        <v>TA661-43607</v>
      </c>
      <c r="E128" s="2" t="str">
        <f>IFERROR(__xludf.DUMMYFUNCTION("""COMPUTED_VALUE"""),"128GB, Pink, ROW, iPhone 16, Logic Board Assy Mid System")</f>
        <v>128GB, Pink, ROW, iPhone 16, Logic Board Assy Mid System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 t="str">
        <f t="shared" si="1"/>
        <v>January</v>
      </c>
      <c r="B129" s="11">
        <f>IFERROR(__xludf.DUMMYFUNCTION("""COMPUTED_VALUE"""),46040.0)</f>
        <v>46040</v>
      </c>
      <c r="C129" s="2" t="str">
        <f>IFERROR(__xludf.DUMMYFUNCTION("""COMPUTED_VALUE"""),"MOBILECARE - NAGA")</f>
        <v>MOBILECARE - NAGA</v>
      </c>
      <c r="D129" s="2" t="str">
        <f>IFERROR(__xludf.DUMMYFUNCTION("""COMPUTED_VALUE"""),"TA661-36691")</f>
        <v>TA661-36691</v>
      </c>
      <c r="E129" s="2" t="str">
        <f>IFERROR(__xludf.DUMMYFUNCTION("""COMPUTED_VALUE"""),"iPhone 15, Black, 128GB, Logic Board Assy Mid System, ROW")</f>
        <v>iPhone 15, Black, 128GB, Logic Board Assy Mid System, ROW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 t="str">
        <f t="shared" si="1"/>
        <v>January</v>
      </c>
      <c r="B130" s="11">
        <f>IFERROR(__xludf.DUMMYFUNCTION("""COMPUTED_VALUE"""),46040.0)</f>
        <v>46040</v>
      </c>
      <c r="C130" s="2" t="str">
        <f>IFERROR(__xludf.DUMMYFUNCTION("""COMPUTED_VALUE"""),"MOBILECARE - NAGA")</f>
        <v>MOBILECARE - NAGA</v>
      </c>
      <c r="D130" s="2" t="str">
        <f>IFERROR(__xludf.DUMMYFUNCTION("""COMPUTED_VALUE"""),"PP661-23455")</f>
        <v>PP661-23455</v>
      </c>
      <c r="E130" s="2" t="str">
        <f>IFERROR(__xludf.DUMMYFUNCTION("""COMPUTED_VALUE"""),"iPhone 13, Starlight, 128GB, Logic Board Assy Rear System, ROW")</f>
        <v>iPhone 13, Starlight, 128GB, Logic Board Assy Rear System, ROW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 t="str">
        <f t="shared" si="1"/>
        <v>January</v>
      </c>
      <c r="B131" s="11">
        <f>IFERROR(__xludf.DUMMYFUNCTION("""COMPUTED_VALUE"""),46041.0)</f>
        <v>46041</v>
      </c>
      <c r="C131" s="2" t="str">
        <f>IFERROR(__xludf.DUMMYFUNCTION("""COMPUTED_VALUE"""),"MOBILECARE - NAGA")</f>
        <v>MOBILECARE - NAGA</v>
      </c>
      <c r="D131" s="2" t="str">
        <f>IFERROR(__xludf.DUMMYFUNCTION("""COMPUTED_VALUE"""),"TA661-45002")</f>
        <v>TA661-45002</v>
      </c>
      <c r="E131" s="2" t="str">
        <f>IFERROR(__xludf.DUMMYFUNCTION("""COMPUTED_VALUE"""),"256GB, Natural Titanium, ROW, iPhone 16 Pro, Logic Board Assy Mid System")</f>
        <v>256GB, Natural Titanium, ROW, iPhone 16 Pro, Logic Board Assy Mid System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 t="str">
        <f t="shared" si="1"/>
        <v>January</v>
      </c>
      <c r="B132" s="11">
        <f>IFERROR(__xludf.DUMMYFUNCTION("""COMPUTED_VALUE"""),46028.0)</f>
        <v>46028</v>
      </c>
      <c r="C132" s="2" t="str">
        <f>IFERROR(__xludf.DUMMYFUNCTION("""COMPUTED_VALUE"""),"MOBILECARE - NAGA")</f>
        <v>MOBILECARE - NAGA</v>
      </c>
      <c r="D132" s="2" t="str">
        <f>IFERROR(__xludf.DUMMYFUNCTION("""COMPUTED_VALUE"""),"PP661-23467")</f>
        <v>PP661-23467</v>
      </c>
      <c r="E132" s="2" t="str">
        <f>IFERROR(__xludf.DUMMYFUNCTION("""COMPUTED_VALUE"""),"iPhone 13, Red, 512GB, Logic Board Assy Rear System, ROW")</f>
        <v>iPhone 13, Red, 512GB, Logic Board Assy Rear System, ROW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 t="str">
        <f t="shared" si="1"/>
        <v>January</v>
      </c>
      <c r="B133" s="11">
        <f>IFERROR(__xludf.DUMMYFUNCTION("""COMPUTED_VALUE"""),46025.0)</f>
        <v>46025</v>
      </c>
      <c r="C133" s="2" t="str">
        <f>IFERROR(__xludf.DUMMYFUNCTION("""COMPUTED_VALUE"""),"MOBILECARE - NAGA")</f>
        <v>MOBILECARE - NAGA</v>
      </c>
      <c r="D133" s="2" t="str">
        <f>IFERROR(__xludf.DUMMYFUNCTION("""COMPUTED_VALUE"""),"PP661-28869")</f>
        <v>PP661-28869</v>
      </c>
      <c r="E133" s="2" t="str">
        <f>IFERROR(__xludf.DUMMYFUNCTION("""COMPUTED_VALUE"""),"iPhone 14, Starlight, 128GB, Logic Board Assy Mid System, ROW")</f>
        <v>iPhone 14, Starlight, 128GB, Logic Board Assy Mid System, ROW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 t="str">
        <f t="shared" si="1"/>
        <v>January</v>
      </c>
      <c r="B134" s="11">
        <f>IFERROR(__xludf.DUMMYFUNCTION("""COMPUTED_VALUE"""),46042.0)</f>
        <v>46042</v>
      </c>
      <c r="C134" s="2" t="str">
        <f>IFERROR(__xludf.DUMMYFUNCTION("""COMPUTED_VALUE"""),"MOBILECARE - NAGA")</f>
        <v>MOBILECARE - NAGA</v>
      </c>
      <c r="D134" s="2" t="str">
        <f>IFERROR(__xludf.DUMMYFUNCTION("""COMPUTED_VALUE"""),"PP661-23454")</f>
        <v>PP661-23454</v>
      </c>
      <c r="E134" s="2" t="str">
        <f>IFERROR(__xludf.DUMMYFUNCTION("""COMPUTED_VALUE"""),"iPhone 13, Midnight, 128GB, Logic Board Assy Rear System, ROW")</f>
        <v>iPhone 13, Midnight, 128GB, Logic Board Assy Rear System, ROW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 t="str">
        <f t="shared" si="1"/>
        <v>January</v>
      </c>
      <c r="B135" s="11">
        <f>IFERROR(__xludf.DUMMYFUNCTION("""COMPUTED_VALUE"""),46042.0)</f>
        <v>46042</v>
      </c>
      <c r="C135" s="2" t="str">
        <f>IFERROR(__xludf.DUMMYFUNCTION("""COMPUTED_VALUE"""),"MOBILECARE - NAGA")</f>
        <v>MOBILECARE - NAGA</v>
      </c>
      <c r="D135" s="2" t="str">
        <f>IFERROR(__xludf.DUMMYFUNCTION("""COMPUTED_VALUE"""),"PP661-23454")</f>
        <v>PP661-23454</v>
      </c>
      <c r="E135" s="2" t="str">
        <f>IFERROR(__xludf.DUMMYFUNCTION("""COMPUTED_VALUE"""),"iPhone 13, Midnight, 128GB, Logic Board Assy Rear System, ROW")</f>
        <v>iPhone 13, Midnight, 128GB, Logic Board Assy Rear System, ROW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 t="str">
        <f t="shared" si="1"/>
        <v>January</v>
      </c>
      <c r="B136" s="11">
        <f>IFERROR(__xludf.DUMMYFUNCTION("""COMPUTED_VALUE"""),46030.0)</f>
        <v>46030</v>
      </c>
      <c r="C136" s="2" t="str">
        <f>IFERROR(__xludf.DUMMYFUNCTION("""COMPUTED_VALUE"""),"MOBILECARE - NAGA")</f>
        <v>MOBILECARE - NAGA</v>
      </c>
      <c r="D136" s="2" t="str">
        <f>IFERROR(__xludf.DUMMYFUNCTION("""COMPUTED_VALUE"""),"PP661-23455")</f>
        <v>PP661-23455</v>
      </c>
      <c r="E136" s="2" t="str">
        <f>IFERROR(__xludf.DUMMYFUNCTION("""COMPUTED_VALUE"""),"iPhone 13, Starlight, 128GB, Logic Board Assy Rear System, ROW")</f>
        <v>iPhone 13, Starlight, 128GB, Logic Board Assy Rear System, ROW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 t="str">
        <f t="shared" si="1"/>
        <v>January</v>
      </c>
      <c r="B137" s="11">
        <f>IFERROR(__xludf.DUMMYFUNCTION("""COMPUTED_VALUE"""),46024.0)</f>
        <v>46024</v>
      </c>
      <c r="C137" s="2" t="str">
        <f>IFERROR(__xludf.DUMMYFUNCTION("""COMPUTED_VALUE"""),"MOBILECARE - NAGA")</f>
        <v>MOBILECARE - NAGA</v>
      </c>
      <c r="D137" s="2" t="str">
        <f>IFERROR(__xludf.DUMMYFUNCTION("""COMPUTED_VALUE"""),"PP661-23454")</f>
        <v>PP661-23454</v>
      </c>
      <c r="E137" s="2" t="str">
        <f>IFERROR(__xludf.DUMMYFUNCTION("""COMPUTED_VALUE"""),"iPhone 13, Midnight, 128GB, Logic Board Assy Rear System, ROW")</f>
        <v>iPhone 13, Midnight, 128GB, Logic Board Assy Rear System, ROW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 t="str">
        <f t="shared" si="1"/>
        <v>January</v>
      </c>
      <c r="B138" s="11">
        <f>IFERROR(__xludf.DUMMYFUNCTION("""COMPUTED_VALUE"""),46024.0)</f>
        <v>46024</v>
      </c>
      <c r="C138" s="2" t="str">
        <f>IFERROR(__xludf.DUMMYFUNCTION("""COMPUTED_VALUE"""),"MOBILECARE - NAGA")</f>
        <v>MOBILECARE - NAGA</v>
      </c>
      <c r="D138" s="2" t="str">
        <f>IFERROR(__xludf.DUMMYFUNCTION("""COMPUTED_VALUE"""),"TA661-43611")</f>
        <v>TA661-43611</v>
      </c>
      <c r="E138" s="2" t="str">
        <f>IFERROR(__xludf.DUMMYFUNCTION("""COMPUTED_VALUE"""),"256GB, White, ROW, iPhone 16, Logic Board Assy Mid System")</f>
        <v>256GB, White, ROW, iPhone 16, Logic Board Assy Mid System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 t="str">
        <f t="shared" si="1"/>
        <v>January</v>
      </c>
      <c r="B139" s="11">
        <f>IFERROR(__xludf.DUMMYFUNCTION("""COMPUTED_VALUE"""),46025.0)</f>
        <v>46025</v>
      </c>
      <c r="C139" s="2" t="str">
        <f>IFERROR(__xludf.DUMMYFUNCTION("""COMPUTED_VALUE"""),"MOBILECARE - NAGA")</f>
        <v>MOBILECARE - NAGA</v>
      </c>
      <c r="D139" s="2" t="str">
        <f>IFERROR(__xludf.DUMMYFUNCTION("""COMPUTED_VALUE"""),"PP661-23455")</f>
        <v>PP661-23455</v>
      </c>
      <c r="E139" s="2" t="str">
        <f>IFERROR(__xludf.DUMMYFUNCTION("""COMPUTED_VALUE"""),"iPhone 13, Starlight, 128GB, Logic Board Assy Rear System, ROW")</f>
        <v>iPhone 13, Starlight, 128GB, Logic Board Assy Rear System, ROW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 t="str">
        <f t="shared" si="1"/>
        <v>February</v>
      </c>
      <c r="B140" s="11">
        <f>IFERROR(__xludf.DUMMYFUNCTION("""COMPUTED_VALUE"""),46078.0)</f>
        <v>46078</v>
      </c>
      <c r="C140" s="2" t="str">
        <f>IFERROR(__xludf.DUMMYFUNCTION("""COMPUTED_VALUE"""),"MOBILECARE - LIMA ESTATE")</f>
        <v>MOBILECARE - LIMA ESTATE</v>
      </c>
      <c r="D140" s="2" t="str">
        <f>IFERROR(__xludf.DUMMYFUNCTION("""COMPUTED_VALUE"""),"PP661-23454")</f>
        <v>PP661-23454</v>
      </c>
      <c r="E140" s="2" t="str">
        <f>IFERROR(__xludf.DUMMYFUNCTION("""COMPUTED_VALUE"""),"iPhone 13, Midnight, 128GB, Logic Board Assy Rear System, ROW")</f>
        <v>iPhone 13, Midnight, 128GB, Logic Board Assy Rear System, ROW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 t="str">
        <f t="shared" si="1"/>
        <v>January</v>
      </c>
      <c r="B141" s="11">
        <f>IFERROR(__xludf.DUMMYFUNCTION("""COMPUTED_VALUE"""),46053.0)</f>
        <v>46053</v>
      </c>
      <c r="C141" s="2" t="str">
        <f>IFERROR(__xludf.DUMMYFUNCTION("""COMPUTED_VALUE"""),"MOBILECARE - LIMA ESTATE")</f>
        <v>MOBILECARE - LIMA ESTATE</v>
      </c>
      <c r="D141" s="2" t="str">
        <f>IFERROR(__xludf.DUMMYFUNCTION("""COMPUTED_VALUE"""),"PP661-23454")</f>
        <v>PP661-23454</v>
      </c>
      <c r="E141" s="2" t="str">
        <f>IFERROR(__xludf.DUMMYFUNCTION("""COMPUTED_VALUE"""),"iPhone 13, Midnight, 128GB, Logic Board Assy Rear System, ROW")</f>
        <v>iPhone 13, Midnight, 128GB, Logic Board Assy Rear System, ROW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 t="str">
        <f t="shared" si="1"/>
        <v>January</v>
      </c>
      <c r="B142" s="11">
        <f>IFERROR(__xludf.DUMMYFUNCTION("""COMPUTED_VALUE"""),46046.0)</f>
        <v>46046</v>
      </c>
      <c r="C142" s="2" t="str">
        <f>IFERROR(__xludf.DUMMYFUNCTION("""COMPUTED_VALUE"""),"MOBILECARE - LIMA ESTATE")</f>
        <v>MOBILECARE - LIMA ESTATE</v>
      </c>
      <c r="D142" s="2" t="str">
        <f>IFERROR(__xludf.DUMMYFUNCTION("""COMPUTED_VALUE"""),"PP661-23455")</f>
        <v>PP661-23455</v>
      </c>
      <c r="E142" s="2" t="str">
        <f>IFERROR(__xludf.DUMMYFUNCTION("""COMPUTED_VALUE"""),"iPhone 13, Starlight, 128GB, Logic Board Assy Rear System, ROW")</f>
        <v>iPhone 13, Starlight, 128GB, Logic Board Assy Rear System, ROW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 t="str">
        <f t="shared" si="1"/>
        <v>January</v>
      </c>
      <c r="B143" s="11">
        <f>IFERROR(__xludf.DUMMYFUNCTION("""COMPUTED_VALUE"""),46044.0)</f>
        <v>46044</v>
      </c>
      <c r="C143" s="2" t="str">
        <f>IFERROR(__xludf.DUMMYFUNCTION("""COMPUTED_VALUE"""),"MOBILECARE - LIMA ESTATE")</f>
        <v>MOBILECARE - LIMA ESTATE</v>
      </c>
      <c r="D143" s="2" t="str">
        <f>IFERROR(__xludf.DUMMYFUNCTION("""COMPUTED_VALUE"""),"TA661-45233")</f>
        <v>TA661-45233</v>
      </c>
      <c r="E143" s="2" t="str">
        <f>IFERROR(__xludf.DUMMYFUNCTION("""COMPUTED_VALUE"""),"128GB, Pink, ROW, iPhone 16 Plus, Logic Board Assy Mid System")</f>
        <v>128GB, Pink, ROW, iPhone 16 Plus, Logic Board Assy Mid System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 t="str">
        <f t="shared" si="1"/>
        <v>January</v>
      </c>
      <c r="B144" s="11">
        <f>IFERROR(__xludf.DUMMYFUNCTION("""COMPUTED_VALUE"""),46045.0)</f>
        <v>46045</v>
      </c>
      <c r="C144" s="2" t="str">
        <f>IFERROR(__xludf.DUMMYFUNCTION("""COMPUTED_VALUE"""),"MOBILECARE - LIMA ESTATE")</f>
        <v>MOBILECARE - LIMA ESTATE</v>
      </c>
      <c r="D144" s="2" t="str">
        <f>IFERROR(__xludf.DUMMYFUNCTION("""COMPUTED_VALUE"""),"TA661-43606")</f>
        <v>TA661-43606</v>
      </c>
      <c r="E144" s="2" t="str">
        <f>IFERROR(__xludf.DUMMYFUNCTION("""COMPUTED_VALUE"""),"128GB, White, ROW, iPhone 16, Logic Board Assy Mid System")</f>
        <v>128GB, White, ROW, iPhone 16, Logic Board Assy Mid System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 t="str">
        <f t="shared" si="1"/>
        <v>January</v>
      </c>
      <c r="B145" s="11">
        <f>IFERROR(__xludf.DUMMYFUNCTION("""COMPUTED_VALUE"""),46045.0)</f>
        <v>46045</v>
      </c>
      <c r="C145" s="2" t="str">
        <f>IFERROR(__xludf.DUMMYFUNCTION("""COMPUTED_VALUE"""),"MOBILECARE - LIMA ESTATE")</f>
        <v>MOBILECARE - LIMA ESTATE</v>
      </c>
      <c r="D145" s="2" t="str">
        <f>IFERROR(__xludf.DUMMYFUNCTION("""COMPUTED_VALUE"""),"PP661-23454")</f>
        <v>PP661-23454</v>
      </c>
      <c r="E145" s="2" t="str">
        <f>IFERROR(__xludf.DUMMYFUNCTION("""COMPUTED_VALUE"""),"iPhone 13, Midnight, 128GB, Logic Board Assy Rear System, ROW")</f>
        <v>iPhone 13, Midnight, 128GB, Logic Board Assy Rear System, ROW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 t="str">
        <f t="shared" si="1"/>
        <v>January</v>
      </c>
      <c r="B146" s="11">
        <f>IFERROR(__xludf.DUMMYFUNCTION("""COMPUTED_VALUE"""),46043.0)</f>
        <v>46043</v>
      </c>
      <c r="C146" s="2" t="str">
        <f>IFERROR(__xludf.DUMMYFUNCTION("""COMPUTED_VALUE"""),"MOBILECARE - LIMA ESTATE")</f>
        <v>MOBILECARE - LIMA ESTATE</v>
      </c>
      <c r="D146" s="2" t="str">
        <f>IFERROR(__xludf.DUMMYFUNCTION("""COMPUTED_VALUE"""),"TA661-36692")</f>
        <v>TA661-36692</v>
      </c>
      <c r="E146" s="2" t="str">
        <f>IFERROR(__xludf.DUMMYFUNCTION("""COMPUTED_VALUE"""),"iPhone 15, Pink, 128GB, Logic Board Assy Mid System, ROW")</f>
        <v>iPhone 15, Pink, 128GB, Logic Board Assy Mid System, ROW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 t="str">
        <f t="shared" si="1"/>
        <v>January</v>
      </c>
      <c r="B147" s="11">
        <f>IFERROR(__xludf.DUMMYFUNCTION("""COMPUTED_VALUE"""),46044.0)</f>
        <v>46044</v>
      </c>
      <c r="C147" s="2" t="str">
        <f>IFERROR(__xludf.DUMMYFUNCTION("""COMPUTED_VALUE"""),"MOBILECARE - LIMA ESTATE")</f>
        <v>MOBILECARE - LIMA ESTATE</v>
      </c>
      <c r="D147" s="2" t="str">
        <f>IFERROR(__xludf.DUMMYFUNCTION("""COMPUTED_VALUE"""),"TA661-43606")</f>
        <v>TA661-43606</v>
      </c>
      <c r="E147" s="2" t="str">
        <f>IFERROR(__xludf.DUMMYFUNCTION("""COMPUTED_VALUE"""),"128GB, White, ROW, iPhone 16, Logic Board Assy Mid System")</f>
        <v>128GB, White, ROW, iPhone 16, Logic Board Assy Mid System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 t="str">
        <f t="shared" si="1"/>
        <v>January</v>
      </c>
      <c r="B148" s="11">
        <f>IFERROR(__xludf.DUMMYFUNCTION("""COMPUTED_VALUE"""),46046.0)</f>
        <v>46046</v>
      </c>
      <c r="C148" s="2" t="str">
        <f>IFERROR(__xludf.DUMMYFUNCTION("""COMPUTED_VALUE"""),"MOBILECARE - LIMA ESTATE")</f>
        <v>MOBILECARE - LIMA ESTATE</v>
      </c>
      <c r="D148" s="2" t="str">
        <f>IFERROR(__xludf.DUMMYFUNCTION("""COMPUTED_VALUE"""),"PP661-23455")</f>
        <v>PP661-23455</v>
      </c>
      <c r="E148" s="2" t="str">
        <f>IFERROR(__xludf.DUMMYFUNCTION("""COMPUTED_VALUE"""),"iPhone 13, Starlight, 128GB, Logic Board Assy Rear System, ROW")</f>
        <v>iPhone 13, Starlight, 128GB, Logic Board Assy Rear System, ROW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 t="str">
        <f t="shared" si="1"/>
        <v>January</v>
      </c>
      <c r="B149" s="11">
        <f>IFERROR(__xludf.DUMMYFUNCTION("""COMPUTED_VALUE"""),46039.0)</f>
        <v>46039</v>
      </c>
      <c r="C149" s="2" t="str">
        <f>IFERROR(__xludf.DUMMYFUNCTION("""COMPUTED_VALUE"""),"MOBILECARE - LIMA ESTATE")</f>
        <v>MOBILECARE - LIMA ESTATE</v>
      </c>
      <c r="D149" s="2" t="str">
        <f>IFERROR(__xludf.DUMMYFUNCTION("""COMPUTED_VALUE"""),"TA661-43612")</f>
        <v>TA661-43612</v>
      </c>
      <c r="E149" s="2" t="str">
        <f>IFERROR(__xludf.DUMMYFUNCTION("""COMPUTED_VALUE"""),"256GB, Pink, ROW, iPhone 16, Logic Board Assy Mid System")</f>
        <v>256GB, Pink, ROW, iPhone 16, Logic Board Assy Mid System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 t="str">
        <f t="shared" si="1"/>
        <v>January</v>
      </c>
      <c r="B150" s="11">
        <f>IFERROR(__xludf.DUMMYFUNCTION("""COMPUTED_VALUE"""),46039.0)</f>
        <v>46039</v>
      </c>
      <c r="C150" s="2" t="str">
        <f>IFERROR(__xludf.DUMMYFUNCTION("""COMPUTED_VALUE"""),"MOBILECARE - LIMA ESTATE")</f>
        <v>MOBILECARE - LIMA ESTATE</v>
      </c>
      <c r="D150" s="2" t="str">
        <f>IFERROR(__xludf.DUMMYFUNCTION("""COMPUTED_VALUE"""),"PP661-23454")</f>
        <v>PP661-23454</v>
      </c>
      <c r="E150" s="2" t="str">
        <f>IFERROR(__xludf.DUMMYFUNCTION("""COMPUTED_VALUE"""),"iPhone 13, Midnight, 128GB, Logic Board Assy Rear System, ROW")</f>
        <v>iPhone 13, Midnight, 128GB, Logic Board Assy Rear System, ROW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 t="str">
        <f t="shared" si="1"/>
        <v>January</v>
      </c>
      <c r="B151" s="11">
        <f>IFERROR(__xludf.DUMMYFUNCTION("""COMPUTED_VALUE"""),46026.0)</f>
        <v>46026</v>
      </c>
      <c r="C151" s="2" t="str">
        <f>IFERROR(__xludf.DUMMYFUNCTION("""COMPUTED_VALUE"""),"MOBILECARE - LIMA ESTATE")</f>
        <v>MOBILECARE - LIMA ESTATE</v>
      </c>
      <c r="D151" s="2" t="str">
        <f>IFERROR(__xludf.DUMMYFUNCTION("""COMPUTED_VALUE"""),"TA661-45238")</f>
        <v>TA661-45238</v>
      </c>
      <c r="E151" s="2" t="str">
        <f>IFERROR(__xludf.DUMMYFUNCTION("""COMPUTED_VALUE"""),"256GB, Pink, ROW, iPhone 16 Plus, Logic Board Assy Mid System")</f>
        <v>256GB, Pink, ROW, iPhone 16 Plus, Logic Board Assy Mid System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 t="str">
        <f t="shared" si="1"/>
        <v>January</v>
      </c>
      <c r="B152" s="11">
        <f>IFERROR(__xludf.DUMMYFUNCTION("""COMPUTED_VALUE"""),46024.0)</f>
        <v>46024</v>
      </c>
      <c r="C152" s="2" t="str">
        <f>IFERROR(__xludf.DUMMYFUNCTION("""COMPUTED_VALUE"""),"MOBILECARE - LIMA ESTATE")</f>
        <v>MOBILECARE - LIMA ESTATE</v>
      </c>
      <c r="D152" s="2" t="str">
        <f>IFERROR(__xludf.DUMMYFUNCTION("""COMPUTED_VALUE"""),"PP661-23455")</f>
        <v>PP661-23455</v>
      </c>
      <c r="E152" s="2" t="str">
        <f>IFERROR(__xludf.DUMMYFUNCTION("""COMPUTED_VALUE"""),"iPhone 13, Starlight, 128GB, Logic Board Assy Rear System, ROW")</f>
        <v>iPhone 13, Starlight, 128GB, Logic Board Assy Rear System, ROW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 t="str">
        <f t="shared" si="1"/>
        <v>January</v>
      </c>
      <c r="B153" s="11">
        <f>IFERROR(__xludf.DUMMYFUNCTION("""COMPUTED_VALUE"""),46026.0)</f>
        <v>46026</v>
      </c>
      <c r="C153" s="2" t="str">
        <f>IFERROR(__xludf.DUMMYFUNCTION("""COMPUTED_VALUE"""),"MOBILECARE - LIMA ESTATE")</f>
        <v>MOBILECARE - LIMA ESTATE</v>
      </c>
      <c r="D153" s="2" t="str">
        <f>IFERROR(__xludf.DUMMYFUNCTION("""COMPUTED_VALUE"""),"PP661-23455")</f>
        <v>PP661-23455</v>
      </c>
      <c r="E153" s="2" t="str">
        <f>IFERROR(__xludf.DUMMYFUNCTION("""COMPUTED_VALUE"""),"iPhone 13, Starlight, 128GB, Logic Board Assy Rear System, ROW")</f>
        <v>iPhone 13, Starlight, 128GB, Logic Board Assy Rear System, ROW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 t="str">
        <f t="shared" si="1"/>
        <v>January</v>
      </c>
      <c r="B154" s="11">
        <f>IFERROR(__xludf.DUMMYFUNCTION("""COMPUTED_VALUE"""),46024.0)</f>
        <v>46024</v>
      </c>
      <c r="C154" s="2" t="str">
        <f>IFERROR(__xludf.DUMMYFUNCTION("""COMPUTED_VALUE"""),"MOBILECARE - LIMA ESTATE")</f>
        <v>MOBILECARE - LIMA ESTATE</v>
      </c>
      <c r="D154" s="2" t="str">
        <f>IFERROR(__xludf.DUMMYFUNCTION("""COMPUTED_VALUE"""),"PP661-23454")</f>
        <v>PP661-23454</v>
      </c>
      <c r="E154" s="2" t="str">
        <f>IFERROR(__xludf.DUMMYFUNCTION("""COMPUTED_VALUE"""),"iPhone 13, Midnight, 128GB, Logic Board Assy Rear System, ROW")</f>
        <v>iPhone 13, Midnight, 128GB, Logic Board Assy Rear System, ROW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 t="str">
        <f t="shared" si="1"/>
        <v>January</v>
      </c>
      <c r="B155" s="11">
        <f>IFERROR(__xludf.DUMMYFUNCTION("""COMPUTED_VALUE"""),46024.0)</f>
        <v>46024</v>
      </c>
      <c r="C155" s="2" t="str">
        <f>IFERROR(__xludf.DUMMYFUNCTION("""COMPUTED_VALUE"""),"MOBILECARE - LIMA ESTATE")</f>
        <v>MOBILECARE - LIMA ESTATE</v>
      </c>
      <c r="D155" s="2" t="str">
        <f>IFERROR(__xludf.DUMMYFUNCTION("""COMPUTED_VALUE"""),"PP661-23454")</f>
        <v>PP661-23454</v>
      </c>
      <c r="E155" s="2" t="str">
        <f>IFERROR(__xludf.DUMMYFUNCTION("""COMPUTED_VALUE"""),"iPhone 13, Midnight, 128GB, Logic Board Assy Rear System, ROW")</f>
        <v>iPhone 13, Midnight, 128GB, Logic Board Assy Rear System, ROW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 t="str">
        <f t="shared" si="1"/>
        <v>January</v>
      </c>
      <c r="B156" s="11">
        <f>IFERROR(__xludf.DUMMYFUNCTION("""COMPUTED_VALUE"""),46029.0)</f>
        <v>46029</v>
      </c>
      <c r="C156" s="2" t="str">
        <f>IFERROR(__xludf.DUMMYFUNCTION("""COMPUTED_VALUE"""),"MOBILECARE - LIMA ESTATE")</f>
        <v>MOBILECARE - LIMA ESTATE</v>
      </c>
      <c r="D156" s="2" t="str">
        <f>IFERROR(__xludf.DUMMYFUNCTION("""COMPUTED_VALUE"""),"PP661-23455")</f>
        <v>PP661-23455</v>
      </c>
      <c r="E156" s="2" t="str">
        <f>IFERROR(__xludf.DUMMYFUNCTION("""COMPUTED_VALUE"""),"iPhone 13, Starlight, 128GB, Logic Board Assy Rear System, ROW")</f>
        <v>iPhone 13, Starlight, 128GB, Logic Board Assy Rear System, ROW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 t="str">
        <f t="shared" si="1"/>
        <v>January</v>
      </c>
      <c r="B157" s="11">
        <f>IFERROR(__xludf.DUMMYFUNCTION("""COMPUTED_VALUE"""),46024.0)</f>
        <v>46024</v>
      </c>
      <c r="C157" s="2" t="str">
        <f>IFERROR(__xludf.DUMMYFUNCTION("""COMPUTED_VALUE"""),"MOBILECARE - LIMA ESTATE")</f>
        <v>MOBILECARE - LIMA ESTATE</v>
      </c>
      <c r="D157" s="2" t="str">
        <f>IFERROR(__xludf.DUMMYFUNCTION("""COMPUTED_VALUE"""),"TA661-36691")</f>
        <v>TA661-36691</v>
      </c>
      <c r="E157" s="2" t="str">
        <f>IFERROR(__xludf.DUMMYFUNCTION("""COMPUTED_VALUE"""),"iPhone 15, Black, 128GB, Logic Board Assy Mid System, ROW")</f>
        <v>iPhone 15, Black, 128GB, Logic Board Assy Mid System, ROW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 t="str">
        <f t="shared" si="1"/>
        <v>January</v>
      </c>
      <c r="B158" s="11">
        <f>IFERROR(__xludf.DUMMYFUNCTION("""COMPUTED_VALUE"""),46029.0)</f>
        <v>46029</v>
      </c>
      <c r="C158" s="2" t="str">
        <f>IFERROR(__xludf.DUMMYFUNCTION("""COMPUTED_VALUE"""),"MOBILECARE - LIMA ESTATE")</f>
        <v>MOBILECARE - LIMA ESTATE</v>
      </c>
      <c r="D158" s="2" t="str">
        <f>IFERROR(__xludf.DUMMYFUNCTION("""COMPUTED_VALUE"""),"TA661-45236")</f>
        <v>TA661-45236</v>
      </c>
      <c r="E158" s="2" t="str">
        <f>IFERROR(__xludf.DUMMYFUNCTION("""COMPUTED_VALUE"""),"256GB, Black, ROW, iPhone 16 Plus, Logic Board Assy Mid System")</f>
        <v>256GB, Black, ROW, iPhone 16 Plus, Logic Board Assy Mid System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 t="str">
        <f t="shared" si="1"/>
        <v>January</v>
      </c>
      <c r="B159" s="11">
        <f>IFERROR(__xludf.DUMMYFUNCTION("""COMPUTED_VALUE"""),46036.0)</f>
        <v>46036</v>
      </c>
      <c r="C159" s="2" t="str">
        <f>IFERROR(__xludf.DUMMYFUNCTION("""COMPUTED_VALUE"""),"MOBILECARE - LIMA ESTATE")</f>
        <v>MOBILECARE - LIMA ESTATE</v>
      </c>
      <c r="D159" s="2" t="str">
        <f>IFERROR(__xludf.DUMMYFUNCTION("""COMPUTED_VALUE"""),"PP661-23454")</f>
        <v>PP661-23454</v>
      </c>
      <c r="E159" s="2" t="str">
        <f>IFERROR(__xludf.DUMMYFUNCTION("""COMPUTED_VALUE"""),"iPhone 13, Midnight, 128GB, Logic Board Assy Rear System, ROW")</f>
        <v>iPhone 13, Midnight, 128GB, Logic Board Assy Rear System, ROW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 t="str">
        <f t="shared" si="1"/>
        <v>January</v>
      </c>
      <c r="B160" s="11">
        <f>IFERROR(__xludf.DUMMYFUNCTION("""COMPUTED_VALUE"""),46036.0)</f>
        <v>46036</v>
      </c>
      <c r="C160" s="2" t="str">
        <f>IFERROR(__xludf.DUMMYFUNCTION("""COMPUTED_VALUE"""),"MOBILECARE - LIMA ESTATE")</f>
        <v>MOBILECARE - LIMA ESTATE</v>
      </c>
      <c r="D160" s="2" t="str">
        <f>IFERROR(__xludf.DUMMYFUNCTION("""COMPUTED_VALUE"""),"PP661-23454")</f>
        <v>PP661-23454</v>
      </c>
      <c r="E160" s="2" t="str">
        <f>IFERROR(__xludf.DUMMYFUNCTION("""COMPUTED_VALUE"""),"iPhone 13, Midnight, 128GB, Logic Board Assy Rear System, ROW")</f>
        <v>iPhone 13, Midnight, 128GB, Logic Board Assy Rear System, ROW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 t="str">
        <f t="shared" si="1"/>
        <v>February</v>
      </c>
      <c r="B161" s="11">
        <f>IFERROR(__xludf.DUMMYFUNCTION("""COMPUTED_VALUE"""),46062.0)</f>
        <v>46062</v>
      </c>
      <c r="C161" s="2" t="str">
        <f>IFERROR(__xludf.DUMMYFUNCTION("""COMPUTED_VALUE"""),"MOBILECARE - CAGAYAN DE ORO")</f>
        <v>MOBILECARE - CAGAYAN DE ORO</v>
      </c>
      <c r="D161" s="2" t="str">
        <f>IFERROR(__xludf.DUMMYFUNCTION("""COMPUTED_VALUE"""),"TA661-45001")</f>
        <v>TA661-45001</v>
      </c>
      <c r="E161" s="2" t="str">
        <f>IFERROR(__xludf.DUMMYFUNCTION("""COMPUTED_VALUE"""),"256GB, Desert Titanium, ROW, iPhone 16 Pro, Logic Board Assy Mid System")</f>
        <v>256GB, Desert Titanium, ROW, iPhone 16 Pro, Logic Board Assy Mid System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 t="str">
        <f t="shared" si="1"/>
        <v>January</v>
      </c>
      <c r="B162" s="11">
        <f>IFERROR(__xludf.DUMMYFUNCTION("""COMPUTED_VALUE"""),46050.0)</f>
        <v>46050</v>
      </c>
      <c r="C162" s="2" t="str">
        <f>IFERROR(__xludf.DUMMYFUNCTION("""COMPUTED_VALUE"""),"MOBILECARE - CAGAYAN DE ORO")</f>
        <v>MOBILECARE - CAGAYAN DE ORO</v>
      </c>
      <c r="D162" s="2" t="str">
        <f>IFERROR(__xludf.DUMMYFUNCTION("""COMPUTED_VALUE"""),"PP661-23455")</f>
        <v>PP661-23455</v>
      </c>
      <c r="E162" s="2" t="str">
        <f>IFERROR(__xludf.DUMMYFUNCTION("""COMPUTED_VALUE"""),"iPhone 13, Starlight, 128GB, Logic Board Assy Rear System, ROW")</f>
        <v>iPhone 13, Starlight, 128GB, Logic Board Assy Rear System, ROW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 t="str">
        <f t="shared" si="1"/>
        <v>January</v>
      </c>
      <c r="B163" s="11">
        <f>IFERROR(__xludf.DUMMYFUNCTION("""COMPUTED_VALUE"""),46047.0)</f>
        <v>46047</v>
      </c>
      <c r="C163" s="2" t="str">
        <f>IFERROR(__xludf.DUMMYFUNCTION("""COMPUTED_VALUE"""),"MOBILECARE - CAGAYAN DE ORO")</f>
        <v>MOBILECARE - CAGAYAN DE ORO</v>
      </c>
      <c r="D163" s="2" t="str">
        <f>IFERROR(__xludf.DUMMYFUNCTION("""COMPUTED_VALUE"""),"TA661-36694")</f>
        <v>TA661-36694</v>
      </c>
      <c r="E163" s="2" t="str">
        <f>IFERROR(__xludf.DUMMYFUNCTION("""COMPUTED_VALUE"""),"iPhone 15, Blue, 128GB, Logic Board Assy Mid System, ROW")</f>
        <v>iPhone 15, Blue, 128GB, Logic Board Assy Mid System, ROW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 t="str">
        <f t="shared" si="1"/>
        <v>January</v>
      </c>
      <c r="B164" s="11">
        <f>IFERROR(__xludf.DUMMYFUNCTION("""COMPUTED_VALUE"""),46053.0)</f>
        <v>46053</v>
      </c>
      <c r="C164" s="2" t="str">
        <f>IFERROR(__xludf.DUMMYFUNCTION("""COMPUTED_VALUE"""),"MOBILECARE - CAGAYAN DE ORO")</f>
        <v>MOBILECARE - CAGAYAN DE ORO</v>
      </c>
      <c r="D164" s="2" t="str">
        <f>IFERROR(__xludf.DUMMYFUNCTION("""COMPUTED_VALUE"""),"PP661-28874")</f>
        <v>PP661-28874</v>
      </c>
      <c r="E164" s="2" t="str">
        <f>IFERROR(__xludf.DUMMYFUNCTION("""COMPUTED_VALUE"""),"iPhone 14, Starlight, 256GB, Logic Board Assy Mid System, ROW")</f>
        <v>iPhone 14, Starlight, 256GB, Logic Board Assy Mid System, ROW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 t="str">
        <f t="shared" si="1"/>
        <v>January</v>
      </c>
      <c r="B165" s="11">
        <f>IFERROR(__xludf.DUMMYFUNCTION("""COMPUTED_VALUE"""),46045.0)</f>
        <v>46045</v>
      </c>
      <c r="C165" s="2" t="str">
        <f>IFERROR(__xludf.DUMMYFUNCTION("""COMPUTED_VALUE"""),"MOBILECARE - CAGAYAN DE ORO")</f>
        <v>MOBILECARE - CAGAYAN DE ORO</v>
      </c>
      <c r="D165" s="2" t="str">
        <f>IFERROR(__xludf.DUMMYFUNCTION("""COMPUTED_VALUE"""),"TA661-36692")</f>
        <v>TA661-36692</v>
      </c>
      <c r="E165" s="2" t="str">
        <f>IFERROR(__xludf.DUMMYFUNCTION("""COMPUTED_VALUE"""),"iPhone 15, Pink, 128GB, Logic Board Assy Mid System, ROW")</f>
        <v>iPhone 15, Pink, 128GB, Logic Board Assy Mid System, ROW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 t="str">
        <f t="shared" si="1"/>
        <v>January</v>
      </c>
      <c r="B166" s="11">
        <f>IFERROR(__xludf.DUMMYFUNCTION("""COMPUTED_VALUE"""),46039.0)</f>
        <v>46039</v>
      </c>
      <c r="C166" s="2" t="str">
        <f>IFERROR(__xludf.DUMMYFUNCTION("""COMPUTED_VALUE"""),"MOBILECARE - CAGAYAN DE ORO")</f>
        <v>MOBILECARE - CAGAYAN DE ORO</v>
      </c>
      <c r="D166" s="2" t="str">
        <f>IFERROR(__xludf.DUMMYFUNCTION("""COMPUTED_VALUE"""),"TA661-36695")</f>
        <v>TA661-36695</v>
      </c>
      <c r="E166" s="2" t="str">
        <f>IFERROR(__xludf.DUMMYFUNCTION("""COMPUTED_VALUE"""),"iPhone 15, Green, 128GB, Logic Board Assy Mid System, ROW")</f>
        <v>iPhone 15, Green, 128GB, Logic Board Assy Mid System, ROW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 t="str">
        <f t="shared" si="1"/>
        <v>January</v>
      </c>
      <c r="B167" s="11">
        <f>IFERROR(__xludf.DUMMYFUNCTION("""COMPUTED_VALUE"""),46032.0)</f>
        <v>46032</v>
      </c>
      <c r="C167" s="2" t="str">
        <f>IFERROR(__xludf.DUMMYFUNCTION("""COMPUTED_VALUE"""),"MOBILECARE - CAGAYAN DE ORO")</f>
        <v>MOBILECARE - CAGAYAN DE ORO</v>
      </c>
      <c r="D167" s="2" t="str">
        <f>IFERROR(__xludf.DUMMYFUNCTION("""COMPUTED_VALUE"""),"TA661-45000")</f>
        <v>TA661-45000</v>
      </c>
      <c r="E167" s="2" t="str">
        <f>IFERROR(__xludf.DUMMYFUNCTION("""COMPUTED_VALUE"""),"256GB, White Titanium, ROW, iPhone 16 Pro, Logic Board Assy Mid System")</f>
        <v>256GB, White Titanium, ROW, iPhone 16 Pro, Logic Board Assy Mid System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 t="str">
        <f t="shared" si="1"/>
        <v>January</v>
      </c>
      <c r="B168" s="11">
        <f>IFERROR(__xludf.DUMMYFUNCTION("""COMPUTED_VALUE"""),46029.0)</f>
        <v>46029</v>
      </c>
      <c r="C168" s="2" t="str">
        <f>IFERROR(__xludf.DUMMYFUNCTION("""COMPUTED_VALUE"""),"MOBILECARE - CAGAYAN DE ORO")</f>
        <v>MOBILECARE - CAGAYAN DE ORO</v>
      </c>
      <c r="D168" s="2" t="str">
        <f>IFERROR(__xludf.DUMMYFUNCTION("""COMPUTED_VALUE"""),"PP661-23455")</f>
        <v>PP661-23455</v>
      </c>
      <c r="E168" s="2" t="str">
        <f>IFERROR(__xludf.DUMMYFUNCTION("""COMPUTED_VALUE"""),"iPhone 13, Starlight, 128GB, Logic Board Assy Rear System, ROW")</f>
        <v>iPhone 13, Starlight, 128GB, Logic Board Assy Rear System, ROW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 t="str">
        <f t="shared" si="1"/>
        <v>January</v>
      </c>
      <c r="B169" s="11">
        <f>IFERROR(__xludf.DUMMYFUNCTION("""COMPUTED_VALUE"""),46026.0)</f>
        <v>46026</v>
      </c>
      <c r="C169" s="2" t="str">
        <f>IFERROR(__xludf.DUMMYFUNCTION("""COMPUTED_VALUE"""),"MOBILECARE - CAGAYAN DE ORO")</f>
        <v>MOBILECARE - CAGAYAN DE ORO</v>
      </c>
      <c r="D169" s="2" t="str">
        <f>IFERROR(__xludf.DUMMYFUNCTION("""COMPUTED_VALUE"""),"PP661-23455")</f>
        <v>PP661-23455</v>
      </c>
      <c r="E169" s="2" t="str">
        <f>IFERROR(__xludf.DUMMYFUNCTION("""COMPUTED_VALUE"""),"iPhone 13, Starlight, 128GB, Logic Board Assy Rear System, ROW")</f>
        <v>iPhone 13, Starlight, 128GB, Logic Board Assy Rear System, ROW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 t="str">
        <f t="shared" si="1"/>
        <v>March</v>
      </c>
      <c r="B170" s="11">
        <f>IFERROR(__xludf.DUMMYFUNCTION("""COMPUTED_VALUE"""),46089.0)</f>
        <v>46089</v>
      </c>
      <c r="C170" s="2" t="str">
        <f>IFERROR(__xludf.DUMMYFUNCTION("""COMPUTED_VALUE"""),"MOBILECARE - LA UNION")</f>
        <v>MOBILECARE - LA UNION</v>
      </c>
      <c r="D170" s="2" t="str">
        <f>IFERROR(__xludf.DUMMYFUNCTION("""COMPUTED_VALUE"""),"TA661-36692")</f>
        <v>TA661-36692</v>
      </c>
      <c r="E170" s="2" t="str">
        <f>IFERROR(__xludf.DUMMYFUNCTION("""COMPUTED_VALUE"""),"iPhone 15, Pink, 128GB, Logic Board Assy Mid System, ROW")</f>
        <v>iPhone 15, Pink, 128GB, Logic Board Assy Mid System, ROW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 t="str">
        <f t="shared" si="1"/>
        <v>January</v>
      </c>
      <c r="B171" s="11">
        <f>IFERROR(__xludf.DUMMYFUNCTION("""COMPUTED_VALUE"""),46052.0)</f>
        <v>46052</v>
      </c>
      <c r="C171" s="2" t="str">
        <f>IFERROR(__xludf.DUMMYFUNCTION("""COMPUTED_VALUE"""),"MOBILECARE - LA UNION")</f>
        <v>MOBILECARE - LA UNION</v>
      </c>
      <c r="D171" s="2" t="str">
        <f>IFERROR(__xludf.DUMMYFUNCTION("""COMPUTED_VALUE"""),"PP661-23455")</f>
        <v>PP661-23455</v>
      </c>
      <c r="E171" s="2" t="str">
        <f>IFERROR(__xludf.DUMMYFUNCTION("""COMPUTED_VALUE"""),"iPhone 13, Starlight, 128GB, Logic Board Assy Rear System, ROW")</f>
        <v>iPhone 13, Starlight, 128GB, Logic Board Assy Rear System, ROW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 t="str">
        <f t="shared" si="1"/>
        <v>January</v>
      </c>
      <c r="B172" s="11">
        <f>IFERROR(__xludf.DUMMYFUNCTION("""COMPUTED_VALUE"""),46049.0)</f>
        <v>46049</v>
      </c>
      <c r="C172" s="2" t="str">
        <f>IFERROR(__xludf.DUMMYFUNCTION("""COMPUTED_VALUE"""),"MOBILECARE - LA UNION")</f>
        <v>MOBILECARE - LA UNION</v>
      </c>
      <c r="D172" s="2" t="str">
        <f>IFERROR(__xludf.DUMMYFUNCTION("""COMPUTED_VALUE"""),"PP661-23454")</f>
        <v>PP661-23454</v>
      </c>
      <c r="E172" s="2" t="str">
        <f>IFERROR(__xludf.DUMMYFUNCTION("""COMPUTED_VALUE"""),"iPhone 13, Midnight, 128GB, Logic Board Assy Rear System, ROW")</f>
        <v>iPhone 13, Midnight, 128GB, Logic Board Assy Rear System, ROW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 t="str">
        <f t="shared" si="1"/>
        <v>January</v>
      </c>
      <c r="B173" s="11">
        <f>IFERROR(__xludf.DUMMYFUNCTION("""COMPUTED_VALUE"""),46049.0)</f>
        <v>46049</v>
      </c>
      <c r="C173" s="2" t="str">
        <f>IFERROR(__xludf.DUMMYFUNCTION("""COMPUTED_VALUE"""),"MOBILECARE - LA UNION")</f>
        <v>MOBILECARE - LA UNION</v>
      </c>
      <c r="D173" s="2" t="str">
        <f>IFERROR(__xludf.DUMMYFUNCTION("""COMPUTED_VALUE"""),"PP661-28868")</f>
        <v>PP661-28868</v>
      </c>
      <c r="E173" s="2" t="str">
        <f>IFERROR(__xludf.DUMMYFUNCTION("""COMPUTED_VALUE"""),"iPhone 14, Midnight, 128GB, Logic Board Assy Mid System, ROW")</f>
        <v>iPhone 14, Midnight, 128GB, Logic Board Assy Mid System, ROW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 t="str">
        <f t="shared" si="1"/>
        <v>January</v>
      </c>
      <c r="B174" s="11">
        <f>IFERROR(__xludf.DUMMYFUNCTION("""COMPUTED_VALUE"""),46044.0)</f>
        <v>46044</v>
      </c>
      <c r="C174" s="2" t="str">
        <f>IFERROR(__xludf.DUMMYFUNCTION("""COMPUTED_VALUE"""),"MOBILECARE - LA UNION")</f>
        <v>MOBILECARE - LA UNION</v>
      </c>
      <c r="D174" s="2" t="str">
        <f>IFERROR(__xludf.DUMMYFUNCTION("""COMPUTED_VALUE"""),"PP661-23455")</f>
        <v>PP661-23455</v>
      </c>
      <c r="E174" s="2" t="str">
        <f>IFERROR(__xludf.DUMMYFUNCTION("""COMPUTED_VALUE"""),"iPhone 13, Starlight, 128GB, Logic Board Assy Rear System, ROW")</f>
        <v>iPhone 13, Starlight, 128GB, Logic Board Assy Rear System, ROW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 t="str">
        <f t="shared" si="1"/>
        <v>January</v>
      </c>
      <c r="B175" s="11">
        <f>IFERROR(__xludf.DUMMYFUNCTION("""COMPUTED_VALUE"""),46042.0)</f>
        <v>46042</v>
      </c>
      <c r="C175" s="2" t="str">
        <f>IFERROR(__xludf.DUMMYFUNCTION("""COMPUTED_VALUE"""),"MOBILECARE - LA UNION")</f>
        <v>MOBILECARE - LA UNION</v>
      </c>
      <c r="D175" s="2" t="str">
        <f>IFERROR(__xludf.DUMMYFUNCTION("""COMPUTED_VALUE"""),"PP661-23455")</f>
        <v>PP661-23455</v>
      </c>
      <c r="E175" s="2" t="str">
        <f>IFERROR(__xludf.DUMMYFUNCTION("""COMPUTED_VALUE"""),"iPhone 13, Starlight, 128GB, Logic Board Assy Rear System, ROW")</f>
        <v>iPhone 13, Starlight, 128GB, Logic Board Assy Rear System, ROW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 t="str">
        <f t="shared" si="1"/>
        <v>January</v>
      </c>
      <c r="B176" s="11">
        <f>IFERROR(__xludf.DUMMYFUNCTION("""COMPUTED_VALUE"""),46043.0)</f>
        <v>46043</v>
      </c>
      <c r="C176" s="2" t="str">
        <f>IFERROR(__xludf.DUMMYFUNCTION("""COMPUTED_VALUE"""),"MOBILECARE - LA UNION")</f>
        <v>MOBILECARE - LA UNION</v>
      </c>
      <c r="D176" s="2" t="str">
        <f>IFERROR(__xludf.DUMMYFUNCTION("""COMPUTED_VALUE"""),"PP661-23455")</f>
        <v>PP661-23455</v>
      </c>
      <c r="E176" s="2" t="str">
        <f>IFERROR(__xludf.DUMMYFUNCTION("""COMPUTED_VALUE"""),"iPhone 13, Starlight, 128GB, Logic Board Assy Rear System, ROW")</f>
        <v>iPhone 13, Starlight, 128GB, Logic Board Assy Rear System, ROW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 t="str">
        <f t="shared" si="1"/>
        <v>January</v>
      </c>
      <c r="B177" s="11">
        <f>IFERROR(__xludf.DUMMYFUNCTION("""COMPUTED_VALUE"""),46048.0)</f>
        <v>46048</v>
      </c>
      <c r="C177" s="2" t="str">
        <f>IFERROR(__xludf.DUMMYFUNCTION("""COMPUTED_VALUE"""),"MOBILECARE - LA UNION")</f>
        <v>MOBILECARE - LA UNION</v>
      </c>
      <c r="D177" s="2" t="str">
        <f>IFERROR(__xludf.DUMMYFUNCTION("""COMPUTED_VALUE"""),"TA661-45232")</f>
        <v>TA661-45232</v>
      </c>
      <c r="E177" s="2" t="str">
        <f>IFERROR(__xludf.DUMMYFUNCTION("""COMPUTED_VALUE"""),"128GB, White, ROW, iPhone 16 Plus, Logic Board Assy Mid System")</f>
        <v>128GB, White, ROW, iPhone 16 Plus, Logic Board Assy Mid System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 t="str">
        <f t="shared" si="1"/>
        <v>January</v>
      </c>
      <c r="B178" s="11">
        <f>IFERROR(__xludf.DUMMYFUNCTION("""COMPUTED_VALUE"""),46035.0)</f>
        <v>46035</v>
      </c>
      <c r="C178" s="2" t="str">
        <f>IFERROR(__xludf.DUMMYFUNCTION("""COMPUTED_VALUE"""),"MOBILECARE - LA UNION")</f>
        <v>MOBILECARE - LA UNION</v>
      </c>
      <c r="D178" s="2" t="str">
        <f>IFERROR(__xludf.DUMMYFUNCTION("""COMPUTED_VALUE"""),"PP661-23455")</f>
        <v>PP661-23455</v>
      </c>
      <c r="E178" s="2" t="str">
        <f>IFERROR(__xludf.DUMMYFUNCTION("""COMPUTED_VALUE"""),"iPhone 13, Starlight, 128GB, Logic Board Assy Rear System, ROW")</f>
        <v>iPhone 13, Starlight, 128GB, Logic Board Assy Rear System, ROW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 t="str">
        <f t="shared" si="1"/>
        <v>January</v>
      </c>
      <c r="B179" s="11">
        <f>IFERROR(__xludf.DUMMYFUNCTION("""COMPUTED_VALUE"""),46039.0)</f>
        <v>46039</v>
      </c>
      <c r="C179" s="2" t="str">
        <f>IFERROR(__xludf.DUMMYFUNCTION("""COMPUTED_VALUE"""),"MOBILECARE - LA UNION")</f>
        <v>MOBILECARE - LA UNION</v>
      </c>
      <c r="D179" s="2" t="str">
        <f>IFERROR(__xludf.DUMMYFUNCTION("""COMPUTED_VALUE"""),"TA661-36696")</f>
        <v>TA661-36696</v>
      </c>
      <c r="E179" s="2" t="str">
        <f>IFERROR(__xludf.DUMMYFUNCTION("""COMPUTED_VALUE"""),"iPhone 15, Black, 256GB, Logic Board Assy Mid System, ROW")</f>
        <v>iPhone 15, Black, 256GB, Logic Board Assy Mid System, ROW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 t="str">
        <f t="shared" si="1"/>
        <v>January</v>
      </c>
      <c r="B180" s="11">
        <f>IFERROR(__xludf.DUMMYFUNCTION("""COMPUTED_VALUE"""),46024.0)</f>
        <v>46024</v>
      </c>
      <c r="C180" s="2" t="str">
        <f>IFERROR(__xludf.DUMMYFUNCTION("""COMPUTED_VALUE"""),"MOBILECARE - LA UNION")</f>
        <v>MOBILECARE - LA UNION</v>
      </c>
      <c r="D180" s="2" t="str">
        <f>IFERROR(__xludf.DUMMYFUNCTION("""COMPUTED_VALUE"""),"TA661-43606")</f>
        <v>TA661-43606</v>
      </c>
      <c r="E180" s="2" t="str">
        <f>IFERROR(__xludf.DUMMYFUNCTION("""COMPUTED_VALUE"""),"128GB, White, ROW, iPhone 16, Logic Board Assy Mid System")</f>
        <v>128GB, White, ROW, iPhone 16, Logic Board Assy Mid System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 t="str">
        <f t="shared" si="1"/>
        <v>January</v>
      </c>
      <c r="B181" s="11">
        <f>IFERROR(__xludf.DUMMYFUNCTION("""COMPUTED_VALUE"""),46024.0)</f>
        <v>46024</v>
      </c>
      <c r="C181" s="2" t="str">
        <f>IFERROR(__xludf.DUMMYFUNCTION("""COMPUTED_VALUE"""),"MOBILECARE - LA UNION")</f>
        <v>MOBILECARE - LA UNION</v>
      </c>
      <c r="D181" s="2" t="str">
        <f>IFERROR(__xludf.DUMMYFUNCTION("""COMPUTED_VALUE"""),"TA661-36697")</f>
        <v>TA661-36697</v>
      </c>
      <c r="E181" s="2" t="str">
        <f>IFERROR(__xludf.DUMMYFUNCTION("""COMPUTED_VALUE"""),"iPhone 15, Pink, 256GB, Logic Board Assy Mid System, ROW")</f>
        <v>iPhone 15, Pink, 256GB, Logic Board Assy Mid System, ROW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 t="str">
        <f t="shared" si="1"/>
        <v>January</v>
      </c>
      <c r="B182" s="11">
        <f>IFERROR(__xludf.DUMMYFUNCTION("""COMPUTED_VALUE"""),46028.0)</f>
        <v>46028</v>
      </c>
      <c r="C182" s="2" t="str">
        <f>IFERROR(__xludf.DUMMYFUNCTION("""COMPUTED_VALUE"""),"MOBILECARE - LA UNION")</f>
        <v>MOBILECARE - LA UNION</v>
      </c>
      <c r="D182" s="2" t="str">
        <f>IFERROR(__xludf.DUMMYFUNCTION("""COMPUTED_VALUE"""),"PP661-28879")</f>
        <v>PP661-28879</v>
      </c>
      <c r="E182" s="2" t="str">
        <f>IFERROR(__xludf.DUMMYFUNCTION("""COMPUTED_VALUE"""),"iPhone 14, Starlight, 512GB, Logic Board Assy Mid System, ROW")</f>
        <v>iPhone 14, Starlight, 512GB, Logic Board Assy Mid System, ROW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 t="str">
        <f t="shared" si="1"/>
        <v>February</v>
      </c>
      <c r="B183" s="11">
        <f>IFERROR(__xludf.DUMMYFUNCTION("""COMPUTED_VALUE"""),46057.0)</f>
        <v>46057</v>
      </c>
      <c r="C183" s="2" t="str">
        <f>IFERROR(__xludf.DUMMYFUNCTION("""COMPUTED_VALUE"""),"MOBILECARE - ZAMBOANGA")</f>
        <v>MOBILECARE - ZAMBOANGA</v>
      </c>
      <c r="D183" s="2" t="str">
        <f>IFERROR(__xludf.DUMMYFUNCTION("""COMPUTED_VALUE"""),"PP661-23454")</f>
        <v>PP661-23454</v>
      </c>
      <c r="E183" s="2" t="str">
        <f>IFERROR(__xludf.DUMMYFUNCTION("""COMPUTED_VALUE"""),"iPhone 13, Midnight, 128GB, Logic Board Assy Rear System, ROW")</f>
        <v>iPhone 13, Midnight, 128GB, Logic Board Assy Rear System, ROW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 t="str">
        <f t="shared" si="1"/>
        <v>January</v>
      </c>
      <c r="B184" s="11">
        <f>IFERROR(__xludf.DUMMYFUNCTION("""COMPUTED_VALUE"""),46047.0)</f>
        <v>46047</v>
      </c>
      <c r="C184" s="2" t="str">
        <f>IFERROR(__xludf.DUMMYFUNCTION("""COMPUTED_VALUE"""),"MOBILECARE - ZAMBOANGA")</f>
        <v>MOBILECARE - ZAMBOANGA</v>
      </c>
      <c r="D184" s="2" t="str">
        <f>IFERROR(__xludf.DUMMYFUNCTION("""COMPUTED_VALUE"""),"PP661-23454")</f>
        <v>PP661-23454</v>
      </c>
      <c r="E184" s="2" t="str">
        <f>IFERROR(__xludf.DUMMYFUNCTION("""COMPUTED_VALUE"""),"iPhone 13, Midnight, 128GB, Logic Board Assy Rear System, ROW")</f>
        <v>iPhone 13, Midnight, 128GB, Logic Board Assy Rear System, ROW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 t="str">
        <f t="shared" si="1"/>
        <v>January</v>
      </c>
      <c r="B185" s="11">
        <f>IFERROR(__xludf.DUMMYFUNCTION("""COMPUTED_VALUE"""),46040.0)</f>
        <v>46040</v>
      </c>
      <c r="C185" s="2" t="str">
        <f>IFERROR(__xludf.DUMMYFUNCTION("""COMPUTED_VALUE"""),"MOBILECARE - ZAMBOANGA")</f>
        <v>MOBILECARE - ZAMBOANGA</v>
      </c>
      <c r="D185" s="2" t="str">
        <f>IFERROR(__xludf.DUMMYFUNCTION("""COMPUTED_VALUE"""),"PP661-23455")</f>
        <v>PP661-23455</v>
      </c>
      <c r="E185" s="2" t="str">
        <f>IFERROR(__xludf.DUMMYFUNCTION("""COMPUTED_VALUE"""),"iPhone 13, Starlight, 128GB, Logic Board Assy Rear System, ROW")</f>
        <v>iPhone 13, Starlight, 128GB, Logic Board Assy Rear System, ROW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 t="str">
        <f t="shared" si="1"/>
        <v>January</v>
      </c>
      <c r="B186" s="11">
        <f>IFERROR(__xludf.DUMMYFUNCTION("""COMPUTED_VALUE"""),46040.0)</f>
        <v>46040</v>
      </c>
      <c r="C186" s="2" t="str">
        <f>IFERROR(__xludf.DUMMYFUNCTION("""COMPUTED_VALUE"""),"MOBILECARE - ZAMBOANGA")</f>
        <v>MOBILECARE - ZAMBOANGA</v>
      </c>
      <c r="D186" s="2" t="str">
        <f>IFERROR(__xludf.DUMMYFUNCTION("""COMPUTED_VALUE"""),"PP661-23455")</f>
        <v>PP661-23455</v>
      </c>
      <c r="E186" s="2" t="str">
        <f>IFERROR(__xludf.DUMMYFUNCTION("""COMPUTED_VALUE"""),"iPhone 13, Starlight, 128GB, Logic Board Assy Rear System, ROW")</f>
        <v>iPhone 13, Starlight, 128GB, Logic Board Assy Rear System, ROW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 t="str">
        <f t="shared" si="1"/>
        <v>January</v>
      </c>
      <c r="B187" s="11">
        <f>IFERROR(__xludf.DUMMYFUNCTION("""COMPUTED_VALUE"""),46040.0)</f>
        <v>46040</v>
      </c>
      <c r="C187" s="2" t="str">
        <f>IFERROR(__xludf.DUMMYFUNCTION("""COMPUTED_VALUE"""),"MOBILECARE - ZAMBOANGA")</f>
        <v>MOBILECARE - ZAMBOANGA</v>
      </c>
      <c r="D187" s="2" t="str">
        <f>IFERROR(__xludf.DUMMYFUNCTION("""COMPUTED_VALUE"""),"PP661-23455")</f>
        <v>PP661-23455</v>
      </c>
      <c r="E187" s="2" t="str">
        <f>IFERROR(__xludf.DUMMYFUNCTION("""COMPUTED_VALUE"""),"iPhone 13, Starlight, 128GB, Logic Board Assy Rear System, ROW")</f>
        <v>iPhone 13, Starlight, 128GB, Logic Board Assy Rear System, ROW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 t="str">
        <f t="shared" si="1"/>
        <v>January</v>
      </c>
      <c r="B188" s="11">
        <f>IFERROR(__xludf.DUMMYFUNCTION("""COMPUTED_VALUE"""),46027.0)</f>
        <v>46027</v>
      </c>
      <c r="C188" s="2" t="str">
        <f>IFERROR(__xludf.DUMMYFUNCTION("""COMPUTED_VALUE"""),"MOBILECARE - ZAMBOANGA")</f>
        <v>MOBILECARE - ZAMBOANGA</v>
      </c>
      <c r="D188" s="2" t="str">
        <f>IFERROR(__xludf.DUMMYFUNCTION("""COMPUTED_VALUE"""),"PP661-23454")</f>
        <v>PP661-23454</v>
      </c>
      <c r="E188" s="2" t="str">
        <f>IFERROR(__xludf.DUMMYFUNCTION("""COMPUTED_VALUE"""),"iPhone 13, Midnight, 128GB, Logic Board Assy Rear System, ROW")</f>
        <v>iPhone 13, Midnight, 128GB, Logic Board Assy Rear System, ROW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 t="str">
        <f t="shared" si="1"/>
        <v>June</v>
      </c>
      <c r="B189" s="11">
        <f>IFERROR(__xludf.DUMMYFUNCTION("""COMPUTED_VALUE"""),46185.0)</f>
        <v>46185</v>
      </c>
      <c r="C189" s="2" t="str">
        <f>IFERROR(__xludf.DUMMYFUNCTION("""COMPUTED_VALUE"""),"MOBILECARE - APP SM LANANG")</f>
        <v>MOBILECARE - APP SM LANANG</v>
      </c>
      <c r="D189" s="2" t="str">
        <f>IFERROR(__xludf.DUMMYFUNCTION("""COMPUTED_VALUE"""),"TA661-36691")</f>
        <v>TA661-36691</v>
      </c>
      <c r="E189" s="2" t="str">
        <f>IFERROR(__xludf.DUMMYFUNCTION("""COMPUTED_VALUE"""),"iPhone 15, Black, 128GB, Logic Board Assy Mid System, ROW")</f>
        <v>iPhone 15, Black, 128GB, Logic Board Assy Mid System, ROW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 t="str">
        <f t="shared" si="1"/>
        <v>June</v>
      </c>
      <c r="B190" s="11">
        <f>IFERROR(__xludf.DUMMYFUNCTION("""COMPUTED_VALUE"""),46193.0)</f>
        <v>46193</v>
      </c>
      <c r="C190" s="2" t="str">
        <f>IFERROR(__xludf.DUMMYFUNCTION("""COMPUTED_VALUE"""),"MOBILECARE - APP SM LANANG")</f>
        <v>MOBILECARE - APP SM LANANG</v>
      </c>
      <c r="D190" s="2" t="str">
        <f>IFERROR(__xludf.DUMMYFUNCTION("""COMPUTED_VALUE"""),"PP661-23454")</f>
        <v>PP661-23454</v>
      </c>
      <c r="E190" s="2" t="str">
        <f>IFERROR(__xludf.DUMMYFUNCTION("""COMPUTED_VALUE"""),"iPhone 13, Midnight, 128GB, Logic Board Assy Rear System, ROW")</f>
        <v>iPhone 13, Midnight, 128GB, Logic Board Assy Rear System, ROW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 t="str">
        <f t="shared" si="1"/>
        <v>June</v>
      </c>
      <c r="B191" s="11">
        <f>IFERROR(__xludf.DUMMYFUNCTION("""COMPUTED_VALUE"""),46193.0)</f>
        <v>46193</v>
      </c>
      <c r="C191" s="2" t="str">
        <f>IFERROR(__xludf.DUMMYFUNCTION("""COMPUTED_VALUE"""),"MOBILECARE - APP SM LANANG")</f>
        <v>MOBILECARE - APP SM LANANG</v>
      </c>
      <c r="D191" s="2" t="str">
        <f>IFERROR(__xludf.DUMMYFUNCTION("""COMPUTED_VALUE"""),"PP661-23454")</f>
        <v>PP661-23454</v>
      </c>
      <c r="E191" s="2" t="str">
        <f>IFERROR(__xludf.DUMMYFUNCTION("""COMPUTED_VALUE"""),"iPhone 13, Midnight, 128GB, Logic Board Assy Rear System, ROW")</f>
        <v>iPhone 13, Midnight, 128GB, Logic Board Assy Rear System, ROW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 t="str">
        <f t="shared" si="1"/>
        <v>June</v>
      </c>
      <c r="B192" s="11">
        <f>IFERROR(__xludf.DUMMYFUNCTION("""COMPUTED_VALUE"""),46180.0)</f>
        <v>46180</v>
      </c>
      <c r="C192" s="2" t="str">
        <f>IFERROR(__xludf.DUMMYFUNCTION("""COMPUTED_VALUE"""),"MOBILECARE - APP SM LANANG")</f>
        <v>MOBILECARE - APP SM LANANG</v>
      </c>
      <c r="D192" s="2" t="str">
        <f>IFERROR(__xludf.DUMMYFUNCTION("""COMPUTED_VALUE"""),"PP661-23454")</f>
        <v>PP661-23454</v>
      </c>
      <c r="E192" s="2" t="str">
        <f>IFERROR(__xludf.DUMMYFUNCTION("""COMPUTED_VALUE"""),"iPhone 13, Midnight, 128GB, Logic Board Assy Rear System, ROW")</f>
        <v>iPhone 13, Midnight, 128GB, Logic Board Assy Rear System, ROW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 t="str">
        <f t="shared" si="1"/>
        <v>April</v>
      </c>
      <c r="B193" s="11">
        <f>IFERROR(__xludf.DUMMYFUNCTION("""COMPUTED_VALUE"""),46127.0)</f>
        <v>46127</v>
      </c>
      <c r="C193" s="2" t="str">
        <f>IFERROR(__xludf.DUMMYFUNCTION("""COMPUTED_VALUE"""),"MOBILECARE - APP THE ANNEX")</f>
        <v>MOBILECARE - APP THE ANNEX</v>
      </c>
      <c r="D193" s="2" t="str">
        <f>IFERROR(__xludf.DUMMYFUNCTION("""COMPUTED_VALUE"""),"PP661-23455")</f>
        <v>PP661-23455</v>
      </c>
      <c r="E193" s="2" t="str">
        <f>IFERROR(__xludf.DUMMYFUNCTION("""COMPUTED_VALUE"""),"iPhone 13, Starlight, 128GB, Logic Board Assy Rear System, ROW")</f>
        <v>iPhone 13, Starlight, 128GB, Logic Board Assy Rear System, ROW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 t="str">
        <f t="shared" si="1"/>
        <v>April</v>
      </c>
      <c r="B194" s="11">
        <f>IFERROR(__xludf.DUMMYFUNCTION("""COMPUTED_VALUE"""),46121.0)</f>
        <v>46121</v>
      </c>
      <c r="C194" s="2" t="str">
        <f>IFERROR(__xludf.DUMMYFUNCTION("""COMPUTED_VALUE"""),"MOBILECARE - DAVAO")</f>
        <v>MOBILECARE - DAVAO</v>
      </c>
      <c r="D194" s="2" t="str">
        <f>IFERROR(__xludf.DUMMYFUNCTION("""COMPUTED_VALUE"""),"PP661-23454")</f>
        <v>PP661-23454</v>
      </c>
      <c r="E194" s="2" t="str">
        <f>IFERROR(__xludf.DUMMYFUNCTION("""COMPUTED_VALUE"""),"iPhone 13, Midnight, 128GB, Logic Board Assy Rear System, ROW")</f>
        <v>iPhone 13, Midnight, 128GB, Logic Board Assy Rear System, ROW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 t="str">
        <f t="shared" si="1"/>
        <v>April</v>
      </c>
      <c r="B195" s="11">
        <f>IFERROR(__xludf.DUMMYFUNCTION("""COMPUTED_VALUE"""),46117.0)</f>
        <v>46117</v>
      </c>
      <c r="C195" s="2" t="str">
        <f>IFERROR(__xludf.DUMMYFUNCTION("""COMPUTED_VALUE"""),"MOBILECARE - DAVAO")</f>
        <v>MOBILECARE - DAVAO</v>
      </c>
      <c r="D195" s="2" t="str">
        <f>IFERROR(__xludf.DUMMYFUNCTION("""COMPUTED_VALUE"""),"TA661-36691")</f>
        <v>TA661-36691</v>
      </c>
      <c r="E195" s="2" t="str">
        <f>IFERROR(__xludf.DUMMYFUNCTION("""COMPUTED_VALUE"""),"iPhone 15, Black, 128GB, Logic Board Assy Mid System, ROW")</f>
        <v>iPhone 15, Black, 128GB, Logic Board Assy Mid System, ROW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 t="str">
        <f t="shared" si="1"/>
        <v>March</v>
      </c>
      <c r="B196" s="11">
        <f>IFERROR(__xludf.DUMMYFUNCTION("""COMPUTED_VALUE"""),46096.0)</f>
        <v>46096</v>
      </c>
      <c r="C196" s="2" t="str">
        <f>IFERROR(__xludf.DUMMYFUNCTION("""COMPUTED_VALUE"""),"MOBILECARE - DAVAO")</f>
        <v>MOBILECARE - DAVAO</v>
      </c>
      <c r="D196" s="2" t="str">
        <f>IFERROR(__xludf.DUMMYFUNCTION("""COMPUTED_VALUE"""),"TA661-43605")</f>
        <v>TA661-43605</v>
      </c>
      <c r="E196" s="2" t="str">
        <f>IFERROR(__xludf.DUMMYFUNCTION("""COMPUTED_VALUE"""),"128GB, Black, ROW, iPhone 16, Logic Board Assy Mid System")</f>
        <v>128GB, Black, ROW, iPhone 16, Logic Board Assy Mid System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 t="str">
        <f t="shared" si="1"/>
        <v>March</v>
      </c>
      <c r="B197" s="11">
        <f>IFERROR(__xludf.DUMMYFUNCTION("""COMPUTED_VALUE"""),46084.0)</f>
        <v>46084</v>
      </c>
      <c r="C197" s="2" t="str">
        <f>IFERROR(__xludf.DUMMYFUNCTION("""COMPUTED_VALUE"""),"MOBILECARE - DAVAO")</f>
        <v>MOBILECARE - DAVAO</v>
      </c>
      <c r="D197" s="2" t="str">
        <f>IFERROR(__xludf.DUMMYFUNCTION("""COMPUTED_VALUE"""),"PP661-23455")</f>
        <v>PP661-23455</v>
      </c>
      <c r="E197" s="2" t="str">
        <f>IFERROR(__xludf.DUMMYFUNCTION("""COMPUTED_VALUE"""),"iPhone 13, Starlight, 128GB, Logic Board Assy Rear System, ROW")</f>
        <v>iPhone 13, Starlight, 128GB, Logic Board Assy Rear System, ROW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 t="str">
        <f t="shared" si="1"/>
        <v>May</v>
      </c>
      <c r="B198" s="11">
        <f>IFERROR(__xludf.DUMMYFUNCTION("""COMPUTED_VALUE"""),46153.0)</f>
        <v>46153</v>
      </c>
      <c r="C198" s="2" t="str">
        <f>IFERROR(__xludf.DUMMYFUNCTION("""COMPUTED_VALUE"""),"MOBILECARE - DAVAO")</f>
        <v>MOBILECARE - DAVAO</v>
      </c>
      <c r="D198" s="2" t="str">
        <f>IFERROR(__xludf.DUMMYFUNCTION("""COMPUTED_VALUE"""),"TA661-36695")</f>
        <v>TA661-36695</v>
      </c>
      <c r="E198" s="2" t="str">
        <f>IFERROR(__xludf.DUMMYFUNCTION("""COMPUTED_VALUE"""),"iPhone 15, Green, 128GB, Logic Board Assy Mid System, ROW")</f>
        <v>iPhone 15, Green, 128GB, Logic Board Assy Mid System, ROW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 t="str">
        <f t="shared" si="1"/>
        <v>March</v>
      </c>
      <c r="B199" s="11">
        <f>IFERROR(__xludf.DUMMYFUNCTION("""COMPUTED_VALUE"""),46109.0)</f>
        <v>46109</v>
      </c>
      <c r="C199" s="2" t="str">
        <f>IFERROR(__xludf.DUMMYFUNCTION("""COMPUTED_VALUE"""),"MOBILECARE - DAVAO")</f>
        <v>MOBILECARE - DAVAO</v>
      </c>
      <c r="D199" s="2" t="str">
        <f>IFERROR(__xludf.DUMMYFUNCTION("""COMPUTED_VALUE"""),"PP661-28871")</f>
        <v>PP661-28871</v>
      </c>
      <c r="E199" s="2" t="str">
        <f>IFERROR(__xludf.DUMMYFUNCTION("""COMPUTED_VALUE"""),"iPhone 14, Blue, 128GB, Logic Board Assy Mid System, ROW")</f>
        <v>iPhone 14, Blue, 128GB, Logic Board Assy Mid System, ROW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 t="str">
        <f t="shared" si="1"/>
        <v>June</v>
      </c>
      <c r="B200" s="11">
        <f>IFERROR(__xludf.DUMMYFUNCTION("""COMPUTED_VALUE"""),46190.0)</f>
        <v>46190</v>
      </c>
      <c r="C200" s="2" t="str">
        <f>IFERROR(__xludf.DUMMYFUNCTION("""COMPUTED_VALUE"""),"MOBILECARE - DAVAO")</f>
        <v>MOBILECARE - DAVAO</v>
      </c>
      <c r="D200" s="2" t="str">
        <f>IFERROR(__xludf.DUMMYFUNCTION("""COMPUTED_VALUE"""),"PP661-28869")</f>
        <v>PP661-28869</v>
      </c>
      <c r="E200" s="2" t="str">
        <f>IFERROR(__xludf.DUMMYFUNCTION("""COMPUTED_VALUE"""),"iPhone 14, Starlight, 128GB, Logic Board Assy Mid System, ROW")</f>
        <v>iPhone 14, Starlight, 128GB, Logic Board Assy Mid System, ROW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 t="str">
        <f t="shared" si="1"/>
        <v>April</v>
      </c>
      <c r="B201" s="11">
        <f>IFERROR(__xludf.DUMMYFUNCTION("""COMPUTED_VALUE"""),46138.0)</f>
        <v>46138</v>
      </c>
      <c r="C201" s="2" t="str">
        <f>IFERROR(__xludf.DUMMYFUNCTION("""COMPUTED_VALUE"""),"MOBILECARE - DAVAO")</f>
        <v>MOBILECARE - DAVAO</v>
      </c>
      <c r="D201" s="2" t="str">
        <f>IFERROR(__xludf.DUMMYFUNCTION("""COMPUTED_VALUE"""),"TA661-36694")</f>
        <v>TA661-36694</v>
      </c>
      <c r="E201" s="2" t="str">
        <f>IFERROR(__xludf.DUMMYFUNCTION("""COMPUTED_VALUE"""),"iPhone 15, Blue, 128GB, Logic Board Assy Mid System, ROW")</f>
        <v>iPhone 15, Blue, 128GB, Logic Board Assy Mid System, ROW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 t="str">
        <f t="shared" si="1"/>
        <v>April</v>
      </c>
      <c r="B202" s="11">
        <f>IFERROR(__xludf.DUMMYFUNCTION("""COMPUTED_VALUE"""),46138.0)</f>
        <v>46138</v>
      </c>
      <c r="C202" s="2" t="str">
        <f>IFERROR(__xludf.DUMMYFUNCTION("""COMPUTED_VALUE"""),"MOBILECARE - DAVAO")</f>
        <v>MOBILECARE - DAVAO</v>
      </c>
      <c r="D202" s="2" t="str">
        <f>IFERROR(__xludf.DUMMYFUNCTION("""COMPUTED_VALUE"""),"TA661-43608")</f>
        <v>TA661-43608</v>
      </c>
      <c r="E202" s="2" t="str">
        <f>IFERROR(__xludf.DUMMYFUNCTION("""COMPUTED_VALUE"""),"128GB, Ultramarine, ROW, iPhone 16, Logic Board Assy Mid System")</f>
        <v>128GB, Ultramarine, ROW, iPhone 16, Logic Board Assy Mid System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 t="str">
        <f t="shared" si="1"/>
        <v>February</v>
      </c>
      <c r="B203" s="11">
        <f>IFERROR(__xludf.DUMMYFUNCTION("""COMPUTED_VALUE"""),46081.0)</f>
        <v>46081</v>
      </c>
      <c r="C203" s="2" t="str">
        <f>IFERROR(__xludf.DUMMYFUNCTION("""COMPUTED_VALUE"""),"MOBILECARE - DAVAO")</f>
        <v>MOBILECARE - DAVAO</v>
      </c>
      <c r="D203" s="2" t="str">
        <f>IFERROR(__xludf.DUMMYFUNCTION("""COMPUTED_VALUE"""),"TA661-36692")</f>
        <v>TA661-36692</v>
      </c>
      <c r="E203" s="2" t="str">
        <f>IFERROR(__xludf.DUMMYFUNCTION("""COMPUTED_VALUE"""),"iPhone 15, Pink, 128GB, Logic Board Assy Mid System, ROW")</f>
        <v>iPhone 15, Pink, 128GB, Logic Board Assy Mid System, ROW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 t="str">
        <f t="shared" si="1"/>
        <v>March</v>
      </c>
      <c r="B204" s="11">
        <f>IFERROR(__xludf.DUMMYFUNCTION("""COMPUTED_VALUE"""),46093.0)</f>
        <v>46093</v>
      </c>
      <c r="C204" s="2" t="str">
        <f>IFERROR(__xludf.DUMMYFUNCTION("""COMPUTED_VALUE"""),"MOBILECARE - DAVAO")</f>
        <v>MOBILECARE - DAVAO</v>
      </c>
      <c r="D204" s="2" t="str">
        <f>IFERROR(__xludf.DUMMYFUNCTION("""COMPUTED_VALUE"""),"TA661-43607")</f>
        <v>TA661-43607</v>
      </c>
      <c r="E204" s="2" t="str">
        <f>IFERROR(__xludf.DUMMYFUNCTION("""COMPUTED_VALUE"""),"128GB, Pink, ROW, iPhone 16, Logic Board Assy Mid System")</f>
        <v>128GB, Pink, ROW, iPhone 16, Logic Board Assy Mid System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 t="str">
        <f t="shared" si="1"/>
        <v>May</v>
      </c>
      <c r="B205" s="11">
        <f>IFERROR(__xludf.DUMMYFUNCTION("""COMPUTED_VALUE"""),46146.0)</f>
        <v>46146</v>
      </c>
      <c r="C205" s="2" t="str">
        <f>IFERROR(__xludf.DUMMYFUNCTION("""COMPUTED_VALUE"""),"MOBILECARE - DAVAO")</f>
        <v>MOBILECARE - DAVAO</v>
      </c>
      <c r="D205" s="2" t="str">
        <f>IFERROR(__xludf.DUMMYFUNCTION("""COMPUTED_VALUE"""),"PP661-28868")</f>
        <v>PP661-28868</v>
      </c>
      <c r="E205" s="2" t="str">
        <f>IFERROR(__xludf.DUMMYFUNCTION("""COMPUTED_VALUE"""),"iPhone 14, Midnight, 128GB, Logic Board Assy Mid System, ROW")</f>
        <v>iPhone 14, Midnight, 128GB, Logic Board Assy Mid System, ROW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 t="str">
        <f t="shared" si="1"/>
        <v>March</v>
      </c>
      <c r="B206" s="11">
        <f>IFERROR(__xludf.DUMMYFUNCTION("""COMPUTED_VALUE"""),46103.0)</f>
        <v>46103</v>
      </c>
      <c r="C206" s="2" t="str">
        <f>IFERROR(__xludf.DUMMYFUNCTION("""COMPUTED_VALUE"""),"MOBILECARE - DAVAO")</f>
        <v>MOBILECARE - DAVAO</v>
      </c>
      <c r="D206" s="2" t="str">
        <f>IFERROR(__xludf.DUMMYFUNCTION("""COMPUTED_VALUE"""),"PP661-23455")</f>
        <v>PP661-23455</v>
      </c>
      <c r="E206" s="2" t="str">
        <f>IFERROR(__xludf.DUMMYFUNCTION("""COMPUTED_VALUE"""),"iPhone 13, Starlight, 128GB, Logic Board Assy Rear System, ROW")</f>
        <v>iPhone 13, Starlight, 128GB, Logic Board Assy Rear System, ROW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 t="str">
        <f t="shared" si="1"/>
        <v>March</v>
      </c>
      <c r="B207" s="11">
        <f>IFERROR(__xludf.DUMMYFUNCTION("""COMPUTED_VALUE"""),46082.0)</f>
        <v>46082</v>
      </c>
      <c r="C207" s="2" t="str">
        <f>IFERROR(__xludf.DUMMYFUNCTION("""COMPUTED_VALUE"""),"MOBILECARE - DAVAO")</f>
        <v>MOBILECARE - DAVAO</v>
      </c>
      <c r="D207" s="2" t="str">
        <f>IFERROR(__xludf.DUMMYFUNCTION("""COMPUTED_VALUE"""),"PP661-23454")</f>
        <v>PP661-23454</v>
      </c>
      <c r="E207" s="2" t="str">
        <f>IFERROR(__xludf.DUMMYFUNCTION("""COMPUTED_VALUE"""),"iPhone 13, Midnight, 128GB, Logic Board Assy Rear System, ROW")</f>
        <v>iPhone 13, Midnight, 128GB, Logic Board Assy Rear System, ROW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 t="str">
        <f t="shared" si="1"/>
        <v>February</v>
      </c>
      <c r="B208" s="11">
        <f>IFERROR(__xludf.DUMMYFUNCTION("""COMPUTED_VALUE"""),46080.0)</f>
        <v>46080</v>
      </c>
      <c r="C208" s="2" t="str">
        <f>IFERROR(__xludf.DUMMYFUNCTION("""COMPUTED_VALUE"""),"MOBILECARE - DAVAO")</f>
        <v>MOBILECARE - DAVAO</v>
      </c>
      <c r="D208" s="2" t="str">
        <f>IFERROR(__xludf.DUMMYFUNCTION("""COMPUTED_VALUE"""),"PP661-23454")</f>
        <v>PP661-23454</v>
      </c>
      <c r="E208" s="2" t="str">
        <f>IFERROR(__xludf.DUMMYFUNCTION("""COMPUTED_VALUE"""),"iPhone 13, Midnight, 128GB, Logic Board Assy Rear System, ROW")</f>
        <v>iPhone 13, Midnight, 128GB, Logic Board Assy Rear System, ROW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 t="str">
        <f t="shared" si="1"/>
        <v>June</v>
      </c>
      <c r="B209" s="11">
        <f>IFERROR(__xludf.DUMMYFUNCTION("""COMPUTED_VALUE"""),46188.0)</f>
        <v>46188</v>
      </c>
      <c r="C209" s="2" t="str">
        <f>IFERROR(__xludf.DUMMYFUNCTION("""COMPUTED_VALUE"""),"MOBILECARE - DAVAO")</f>
        <v>MOBILECARE - DAVAO</v>
      </c>
      <c r="D209" s="2" t="str">
        <f>IFERROR(__xludf.DUMMYFUNCTION("""COMPUTED_VALUE"""),"TA661-36691")</f>
        <v>TA661-36691</v>
      </c>
      <c r="E209" s="2" t="str">
        <f>IFERROR(__xludf.DUMMYFUNCTION("""COMPUTED_VALUE"""),"iPhone 15, Black, 128GB, Logic Board Assy Mid System, ROW")</f>
        <v>iPhone 15, Black, 128GB, Logic Board Assy Mid System, ROW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 t="str">
        <f t="shared" si="1"/>
        <v>May</v>
      </c>
      <c r="B210" s="11">
        <f>IFERROR(__xludf.DUMMYFUNCTION("""COMPUTED_VALUE"""),46148.0)</f>
        <v>46148</v>
      </c>
      <c r="C210" s="2" t="str">
        <f>IFERROR(__xludf.DUMMYFUNCTION("""COMPUTED_VALUE"""),"MOBILECARE - DAVAO")</f>
        <v>MOBILECARE - DAVAO</v>
      </c>
      <c r="D210" s="2" t="str">
        <f>IFERROR(__xludf.DUMMYFUNCTION("""COMPUTED_VALUE"""),"PP661-28868")</f>
        <v>PP661-28868</v>
      </c>
      <c r="E210" s="2" t="str">
        <f>IFERROR(__xludf.DUMMYFUNCTION("""COMPUTED_VALUE"""),"iPhone 14, Midnight, 128GB, Logic Board Assy Mid System, ROW")</f>
        <v>iPhone 14, Midnight, 128GB, Logic Board Assy Mid System, ROW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 t="str">
        <f t="shared" si="1"/>
        <v>March</v>
      </c>
      <c r="B211" s="11">
        <f>IFERROR(__xludf.DUMMYFUNCTION("""COMPUTED_VALUE"""),46093.0)</f>
        <v>46093</v>
      </c>
      <c r="C211" s="2" t="str">
        <f>IFERROR(__xludf.DUMMYFUNCTION("""COMPUTED_VALUE"""),"MOBILECARE - DAVAO")</f>
        <v>MOBILECARE - DAVAO</v>
      </c>
      <c r="D211" s="2" t="str">
        <f>IFERROR(__xludf.DUMMYFUNCTION("""COMPUTED_VALUE"""),"PP661-23454")</f>
        <v>PP661-23454</v>
      </c>
      <c r="E211" s="2" t="str">
        <f>IFERROR(__xludf.DUMMYFUNCTION("""COMPUTED_VALUE"""),"iPhone 13, Midnight, 128GB, Logic Board Assy Rear System, ROW")</f>
        <v>iPhone 13, Midnight, 128GB, Logic Board Assy Rear System, ROW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 t="str">
        <f t="shared" si="1"/>
        <v>April</v>
      </c>
      <c r="B212" s="11">
        <f>IFERROR(__xludf.DUMMYFUNCTION("""COMPUTED_VALUE"""),46120.0)</f>
        <v>46120</v>
      </c>
      <c r="C212" s="2" t="str">
        <f>IFERROR(__xludf.DUMMYFUNCTION("""COMPUTED_VALUE"""),"MOBILECARE - DAVAO")</f>
        <v>MOBILECARE - DAVAO</v>
      </c>
      <c r="D212" s="2" t="str">
        <f>IFERROR(__xludf.DUMMYFUNCTION("""COMPUTED_VALUE"""),"PP661-23454")</f>
        <v>PP661-23454</v>
      </c>
      <c r="E212" s="2" t="str">
        <f>IFERROR(__xludf.DUMMYFUNCTION("""COMPUTED_VALUE"""),"iPhone 13, Midnight, 128GB, Logic Board Assy Rear System, ROW")</f>
        <v>iPhone 13, Midnight, 128GB, Logic Board Assy Rear System, ROW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 t="str">
        <f t="shared" si="1"/>
        <v>June</v>
      </c>
      <c r="B213" s="11">
        <f>IFERROR(__xludf.DUMMYFUNCTION("""COMPUTED_VALUE"""),46185.0)</f>
        <v>46185</v>
      </c>
      <c r="C213" s="2" t="str">
        <f>IFERROR(__xludf.DUMMYFUNCTION("""COMPUTED_VALUE"""),"MOBILECARE - DAVAO")</f>
        <v>MOBILECARE - DAVAO</v>
      </c>
      <c r="D213" s="2" t="str">
        <f>IFERROR(__xludf.DUMMYFUNCTION("""COMPUTED_VALUE"""),"TA661-44996")</f>
        <v>TA661-44996</v>
      </c>
      <c r="E213" s="2" t="str">
        <f>IFERROR(__xludf.DUMMYFUNCTION("""COMPUTED_VALUE"""),"128GB, White Titanium, ROW, iPhone 16 Pro, Logic Board Assy Mid System")</f>
        <v>128GB, White Titanium, ROW, iPhone 16 Pro, Logic Board Assy Mid System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 t="str">
        <f t="shared" si="1"/>
        <v>April</v>
      </c>
      <c r="B214" s="11">
        <f>IFERROR(__xludf.DUMMYFUNCTION("""COMPUTED_VALUE"""),46123.0)</f>
        <v>46123</v>
      </c>
      <c r="C214" s="2" t="str">
        <f>IFERROR(__xludf.DUMMYFUNCTION("""COMPUTED_VALUE"""),"MOBILECARE - DAVAO")</f>
        <v>MOBILECARE - DAVAO</v>
      </c>
      <c r="D214" s="2" t="str">
        <f>IFERROR(__xludf.DUMMYFUNCTION("""COMPUTED_VALUE"""),"TA661-36694")</f>
        <v>TA661-36694</v>
      </c>
      <c r="E214" s="2" t="str">
        <f>IFERROR(__xludf.DUMMYFUNCTION("""COMPUTED_VALUE"""),"iPhone 15, Blue, 128GB, Logic Board Assy Mid System, ROW")</f>
        <v>iPhone 15, Blue, 128GB, Logic Board Assy Mid System, ROW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 t="str">
        <f t="shared" si="1"/>
        <v>April</v>
      </c>
      <c r="B215" s="11">
        <f>IFERROR(__xludf.DUMMYFUNCTION("""COMPUTED_VALUE"""),46117.0)</f>
        <v>46117</v>
      </c>
      <c r="C215" s="2" t="str">
        <f>IFERROR(__xludf.DUMMYFUNCTION("""COMPUTED_VALUE"""),"MOBILECARE - DAVAO")</f>
        <v>MOBILECARE - DAVAO</v>
      </c>
      <c r="D215" s="2" t="str">
        <f>IFERROR(__xludf.DUMMYFUNCTION("""COMPUTED_VALUE"""),"TA661-43609")</f>
        <v>TA661-43609</v>
      </c>
      <c r="E215" s="2" t="str">
        <f>IFERROR(__xludf.DUMMYFUNCTION("""COMPUTED_VALUE"""),"128GB, Teal, ROW, iPhone 16, Logic Board Assy Mid System")</f>
        <v>128GB, Teal, ROW, iPhone 16, Logic Board Assy Mid System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 t="str">
        <f t="shared" si="1"/>
        <v>March</v>
      </c>
      <c r="B216" s="11">
        <f>IFERROR(__xludf.DUMMYFUNCTION("""COMPUTED_VALUE"""),46094.0)</f>
        <v>46094</v>
      </c>
      <c r="C216" s="2" t="str">
        <f>IFERROR(__xludf.DUMMYFUNCTION("""COMPUTED_VALUE"""),"MOBILECARE - DAVAO")</f>
        <v>MOBILECARE - DAVAO</v>
      </c>
      <c r="D216" s="2" t="str">
        <f>IFERROR(__xludf.DUMMYFUNCTION("""COMPUTED_VALUE"""),"PP661-23460")</f>
        <v>PP661-23460</v>
      </c>
      <c r="E216" s="2" t="str">
        <f>IFERROR(__xludf.DUMMYFUNCTION("""COMPUTED_VALUE"""),"iPhone 13, Starlight, 256GB, Logic Board Assy Rear System, ROW")</f>
        <v>iPhone 13, Starlight, 256GB, Logic Board Assy Rear System, ROW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 t="str">
        <f t="shared" si="1"/>
        <v>March</v>
      </c>
      <c r="B217" s="11">
        <f>IFERROR(__xludf.DUMMYFUNCTION("""COMPUTED_VALUE"""),46094.0)</f>
        <v>46094</v>
      </c>
      <c r="C217" s="2" t="str">
        <f>IFERROR(__xludf.DUMMYFUNCTION("""COMPUTED_VALUE"""),"MOBILECARE - DAVAO")</f>
        <v>MOBILECARE - DAVAO</v>
      </c>
      <c r="D217" s="2" t="str">
        <f>IFERROR(__xludf.DUMMYFUNCTION("""COMPUTED_VALUE"""),"PP661-23455")</f>
        <v>PP661-23455</v>
      </c>
      <c r="E217" s="2" t="str">
        <f>IFERROR(__xludf.DUMMYFUNCTION("""COMPUTED_VALUE"""),"iPhone 13, Starlight, 128GB, Logic Board Assy Rear System, ROW")</f>
        <v>iPhone 13, Starlight, 128GB, Logic Board Assy Rear System, ROW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 t="str">
        <f t="shared" si="1"/>
        <v>April</v>
      </c>
      <c r="B218" s="11">
        <f>IFERROR(__xludf.DUMMYFUNCTION("""COMPUTED_VALUE"""),46120.0)</f>
        <v>46120</v>
      </c>
      <c r="C218" s="2" t="str">
        <f>IFERROR(__xludf.DUMMYFUNCTION("""COMPUTED_VALUE"""),"MOBILECARE - DAVAO")</f>
        <v>MOBILECARE - DAVAO</v>
      </c>
      <c r="D218" s="2" t="str">
        <f>IFERROR(__xludf.DUMMYFUNCTION("""COMPUTED_VALUE"""),"PP661-23455")</f>
        <v>PP661-23455</v>
      </c>
      <c r="E218" s="2" t="str">
        <f>IFERROR(__xludf.DUMMYFUNCTION("""COMPUTED_VALUE"""),"iPhone 13, Starlight, 128GB, Logic Board Assy Rear System, ROW")</f>
        <v>iPhone 13, Starlight, 128GB, Logic Board Assy Rear System, ROW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 t="str">
        <f t="shared" si="1"/>
        <v>February</v>
      </c>
      <c r="B219" s="11">
        <f>IFERROR(__xludf.DUMMYFUNCTION("""COMPUTED_VALUE"""),46076.0)</f>
        <v>46076</v>
      </c>
      <c r="C219" s="2" t="str">
        <f>IFERROR(__xludf.DUMMYFUNCTION("""COMPUTED_VALUE"""),"MOBILECARE - DAVAO")</f>
        <v>MOBILECARE - DAVAO</v>
      </c>
      <c r="D219" s="2" t="str">
        <f>IFERROR(__xludf.DUMMYFUNCTION("""COMPUTED_VALUE"""),"PP661-23455")</f>
        <v>PP661-23455</v>
      </c>
      <c r="E219" s="2" t="str">
        <f>IFERROR(__xludf.DUMMYFUNCTION("""COMPUTED_VALUE"""),"iPhone 13, Starlight, 128GB, Logic Board Assy Rear System, ROW")</f>
        <v>iPhone 13, Starlight, 128GB, Logic Board Assy Rear System, ROW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 t="str">
        <f t="shared" si="1"/>
        <v>February</v>
      </c>
      <c r="B220" s="11">
        <f>IFERROR(__xludf.DUMMYFUNCTION("""COMPUTED_VALUE"""),46081.0)</f>
        <v>46081</v>
      </c>
      <c r="C220" s="2" t="str">
        <f>IFERROR(__xludf.DUMMYFUNCTION("""COMPUTED_VALUE"""),"MOBILECARE - DAVAO")</f>
        <v>MOBILECARE - DAVAO</v>
      </c>
      <c r="D220" s="2" t="str">
        <f>IFERROR(__xludf.DUMMYFUNCTION("""COMPUTED_VALUE"""),"PP661-28871")</f>
        <v>PP661-28871</v>
      </c>
      <c r="E220" s="2" t="str">
        <f>IFERROR(__xludf.DUMMYFUNCTION("""COMPUTED_VALUE"""),"iPhone 14, Blue, 128GB, Logic Board Assy Mid System, ROW")</f>
        <v>iPhone 14, Blue, 128GB, Logic Board Assy Mid System, ROW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 t="str">
        <f t="shared" si="1"/>
        <v>April</v>
      </c>
      <c r="B221" s="11">
        <f>IFERROR(__xludf.DUMMYFUNCTION("""COMPUTED_VALUE"""),46113.0)</f>
        <v>46113</v>
      </c>
      <c r="C221" s="2" t="str">
        <f>IFERROR(__xludf.DUMMYFUNCTION("""COMPUTED_VALUE"""),"MOBILECARE - DAVAO")</f>
        <v>MOBILECARE - DAVAO</v>
      </c>
      <c r="D221" s="2" t="str">
        <f>IFERROR(__xludf.DUMMYFUNCTION("""COMPUTED_VALUE"""),"PP661-23455")</f>
        <v>PP661-23455</v>
      </c>
      <c r="E221" s="2" t="str">
        <f>IFERROR(__xludf.DUMMYFUNCTION("""COMPUTED_VALUE"""),"iPhone 13, Starlight, 128GB, Logic Board Assy Rear System, ROW")</f>
        <v>iPhone 13, Starlight, 128GB, Logic Board Assy Rear System, ROW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 t="str">
        <f t="shared" si="1"/>
        <v>March</v>
      </c>
      <c r="B222" s="11">
        <f>IFERROR(__xludf.DUMMYFUNCTION("""COMPUTED_VALUE"""),46096.0)</f>
        <v>46096</v>
      </c>
      <c r="C222" s="2" t="str">
        <f>IFERROR(__xludf.DUMMYFUNCTION("""COMPUTED_VALUE"""),"MOBILECARE - DAVAO")</f>
        <v>MOBILECARE - DAVAO</v>
      </c>
      <c r="D222" s="2" t="str">
        <f>IFERROR(__xludf.DUMMYFUNCTION("""COMPUTED_VALUE"""),"PP661-23455")</f>
        <v>PP661-23455</v>
      </c>
      <c r="E222" s="2" t="str">
        <f>IFERROR(__xludf.DUMMYFUNCTION("""COMPUTED_VALUE"""),"iPhone 13, Starlight, 128GB, Logic Board Assy Rear System, ROW")</f>
        <v>iPhone 13, Starlight, 128GB, Logic Board Assy Rear System, ROW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 t="str">
        <f t="shared" si="1"/>
        <v>April</v>
      </c>
      <c r="B223" s="11">
        <f>IFERROR(__xludf.DUMMYFUNCTION("""COMPUTED_VALUE"""),46129.0)</f>
        <v>46129</v>
      </c>
      <c r="C223" s="2" t="str">
        <f>IFERROR(__xludf.DUMMYFUNCTION("""COMPUTED_VALUE"""),"MOBILECARE - DAVAO")</f>
        <v>MOBILECARE - DAVAO</v>
      </c>
      <c r="D223" s="2" t="str">
        <f>IFERROR(__xludf.DUMMYFUNCTION("""COMPUTED_VALUE"""),"PP661-23455")</f>
        <v>PP661-23455</v>
      </c>
      <c r="E223" s="2" t="str">
        <f>IFERROR(__xludf.DUMMYFUNCTION("""COMPUTED_VALUE"""),"iPhone 13, Starlight, 128GB, Logic Board Assy Rear System, ROW")</f>
        <v>iPhone 13, Starlight, 128GB, Logic Board Assy Rear System, ROW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 t="str">
        <f t="shared" si="1"/>
        <v>April</v>
      </c>
      <c r="B224" s="11">
        <f>IFERROR(__xludf.DUMMYFUNCTION("""COMPUTED_VALUE"""),46116.0)</f>
        <v>46116</v>
      </c>
      <c r="C224" s="2" t="str">
        <f>IFERROR(__xludf.DUMMYFUNCTION("""COMPUTED_VALUE"""),"MOBILECARE - DAVAO")</f>
        <v>MOBILECARE - DAVAO</v>
      </c>
      <c r="D224" s="2" t="str">
        <f>IFERROR(__xludf.DUMMYFUNCTION("""COMPUTED_VALUE"""),"TA661-36697")</f>
        <v>TA661-36697</v>
      </c>
      <c r="E224" s="2" t="str">
        <f>IFERROR(__xludf.DUMMYFUNCTION("""COMPUTED_VALUE"""),"iPhone 15, Pink, 256GB, Logic Board Assy Mid System, ROW")</f>
        <v>iPhone 15, Pink, 256GB, Logic Board Assy Mid System, ROW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 t="str">
        <f t="shared" si="1"/>
        <v>March</v>
      </c>
      <c r="B225" s="11">
        <f>IFERROR(__xludf.DUMMYFUNCTION("""COMPUTED_VALUE"""),46099.0)</f>
        <v>46099</v>
      </c>
      <c r="C225" s="2" t="str">
        <f>IFERROR(__xludf.DUMMYFUNCTION("""COMPUTED_VALUE"""),"MOBILECARE - DAVAO")</f>
        <v>MOBILECARE - DAVAO</v>
      </c>
      <c r="D225" s="2" t="str">
        <f>IFERROR(__xludf.DUMMYFUNCTION("""COMPUTED_VALUE"""),"PP661-23455")</f>
        <v>PP661-23455</v>
      </c>
      <c r="E225" s="2" t="str">
        <f>IFERROR(__xludf.DUMMYFUNCTION("""COMPUTED_VALUE"""),"iPhone 13, Starlight, 128GB, Logic Board Assy Rear System, ROW")</f>
        <v>iPhone 13, Starlight, 128GB, Logic Board Assy Rear System, ROW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 t="str">
        <f t="shared" si="1"/>
        <v>February</v>
      </c>
      <c r="B226" s="11">
        <f>IFERROR(__xludf.DUMMYFUNCTION("""COMPUTED_VALUE"""),46076.0)</f>
        <v>46076</v>
      </c>
      <c r="C226" s="2" t="str">
        <f>IFERROR(__xludf.DUMMYFUNCTION("""COMPUTED_VALUE"""),"MOBILECARE - DAVAO")</f>
        <v>MOBILECARE - DAVAO</v>
      </c>
      <c r="D226" s="2" t="str">
        <f>IFERROR(__xludf.DUMMYFUNCTION("""COMPUTED_VALUE"""),"PP661-23454")</f>
        <v>PP661-23454</v>
      </c>
      <c r="E226" s="2" t="str">
        <f>IFERROR(__xludf.DUMMYFUNCTION("""COMPUTED_VALUE"""),"iPhone 13, Midnight, 128GB, Logic Board Assy Rear System, ROW")</f>
        <v>iPhone 13, Midnight, 128GB, Logic Board Assy Rear System, ROW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 t="str">
        <f t="shared" si="1"/>
        <v>June</v>
      </c>
      <c r="B227" s="11">
        <f>IFERROR(__xludf.DUMMYFUNCTION("""COMPUTED_VALUE"""),46188.0)</f>
        <v>46188</v>
      </c>
      <c r="C227" s="2" t="str">
        <f>IFERROR(__xludf.DUMMYFUNCTION("""COMPUTED_VALUE"""),"MOBILECARE - DAVAO")</f>
        <v>MOBILECARE - DAVAO</v>
      </c>
      <c r="D227" s="2" t="str">
        <f>IFERROR(__xludf.DUMMYFUNCTION("""COMPUTED_VALUE"""),"PP661-23454")</f>
        <v>PP661-23454</v>
      </c>
      <c r="E227" s="2" t="str">
        <f>IFERROR(__xludf.DUMMYFUNCTION("""COMPUTED_VALUE"""),"iPhone 13, Midnight, 128GB, Logic Board Assy Rear System, ROW")</f>
        <v>iPhone 13, Midnight, 128GB, Logic Board Assy Rear System, ROW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 t="str">
        <f t="shared" si="1"/>
        <v>May</v>
      </c>
      <c r="B228" s="11">
        <f>IFERROR(__xludf.DUMMYFUNCTION("""COMPUTED_VALUE"""),46151.0)</f>
        <v>46151</v>
      </c>
      <c r="C228" s="2" t="str">
        <f>IFERROR(__xludf.DUMMYFUNCTION("""COMPUTED_VALUE"""),"MOBILECARE - DAVAO")</f>
        <v>MOBILECARE - DAVAO</v>
      </c>
      <c r="D228" s="2" t="str">
        <f>IFERROR(__xludf.DUMMYFUNCTION("""COMPUTED_VALUE"""),"TA661-36694")</f>
        <v>TA661-36694</v>
      </c>
      <c r="E228" s="2" t="str">
        <f>IFERROR(__xludf.DUMMYFUNCTION("""COMPUTED_VALUE"""),"iPhone 15, Blue, 128GB, Logic Board Assy Mid System, ROW")</f>
        <v>iPhone 15, Blue, 128GB, Logic Board Assy Mid System, ROW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 t="str">
        <f t="shared" si="1"/>
        <v>May</v>
      </c>
      <c r="B229" s="11">
        <f>IFERROR(__xludf.DUMMYFUNCTION("""COMPUTED_VALUE"""),46147.0)</f>
        <v>46147</v>
      </c>
      <c r="C229" s="2" t="str">
        <f>IFERROR(__xludf.DUMMYFUNCTION("""COMPUTED_VALUE"""),"MOBILECARE - DAVAO")</f>
        <v>MOBILECARE - DAVAO</v>
      </c>
      <c r="D229" s="2" t="str">
        <f>IFERROR(__xludf.DUMMYFUNCTION("""COMPUTED_VALUE"""),"PP661-28868")</f>
        <v>PP661-28868</v>
      </c>
      <c r="E229" s="2" t="str">
        <f>IFERROR(__xludf.DUMMYFUNCTION("""COMPUTED_VALUE"""),"iPhone 14, Midnight, 128GB, Logic Board Assy Mid System, ROW")</f>
        <v>iPhone 14, Midnight, 128GB, Logic Board Assy Mid System, ROW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 t="str">
        <f t="shared" si="1"/>
        <v>May</v>
      </c>
      <c r="B230" s="11">
        <f>IFERROR(__xludf.DUMMYFUNCTION("""COMPUTED_VALUE"""),46145.0)</f>
        <v>46145</v>
      </c>
      <c r="C230" s="2" t="str">
        <f>IFERROR(__xludf.DUMMYFUNCTION("""COMPUTED_VALUE"""),"MOBILECARE - DAVAO")</f>
        <v>MOBILECARE - DAVAO</v>
      </c>
      <c r="D230" s="2" t="str">
        <f>IFERROR(__xludf.DUMMYFUNCTION("""COMPUTED_VALUE"""),"PP661-23454")</f>
        <v>PP661-23454</v>
      </c>
      <c r="E230" s="2" t="str">
        <f>IFERROR(__xludf.DUMMYFUNCTION("""COMPUTED_VALUE"""),"iPhone 13, Midnight, 128GB, Logic Board Assy Rear System, ROW")</f>
        <v>iPhone 13, Midnight, 128GB, Logic Board Assy Rear System, ROW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 t="str">
        <f t="shared" si="1"/>
        <v>March</v>
      </c>
      <c r="B231" s="11">
        <f>IFERROR(__xludf.DUMMYFUNCTION("""COMPUTED_VALUE"""),46102.0)</f>
        <v>46102</v>
      </c>
      <c r="C231" s="2" t="str">
        <f>IFERROR(__xludf.DUMMYFUNCTION("""COMPUTED_VALUE"""),"MOBILECARE - DAVAO")</f>
        <v>MOBILECARE - DAVAO</v>
      </c>
      <c r="D231" s="2" t="str">
        <f>IFERROR(__xludf.DUMMYFUNCTION("""COMPUTED_VALUE"""),"TA661-43605")</f>
        <v>TA661-43605</v>
      </c>
      <c r="E231" s="2" t="str">
        <f>IFERROR(__xludf.DUMMYFUNCTION("""COMPUTED_VALUE"""),"128GB, Black, ROW, iPhone 16, Logic Board Assy Mid System")</f>
        <v>128GB, Black, ROW, iPhone 16, Logic Board Assy Mid System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 t="str">
        <f t="shared" si="1"/>
        <v>June</v>
      </c>
      <c r="B232" s="11">
        <f>IFERROR(__xludf.DUMMYFUNCTION("""COMPUTED_VALUE"""),46192.0)</f>
        <v>46192</v>
      </c>
      <c r="C232" s="2" t="str">
        <f>IFERROR(__xludf.DUMMYFUNCTION("""COMPUTED_VALUE"""),"MOBILECARE - DAVAO")</f>
        <v>MOBILECARE - DAVAO</v>
      </c>
      <c r="D232" s="2" t="str">
        <f>IFERROR(__xludf.DUMMYFUNCTION("""COMPUTED_VALUE"""),"PP661-23455")</f>
        <v>PP661-23455</v>
      </c>
      <c r="E232" s="2" t="str">
        <f>IFERROR(__xludf.DUMMYFUNCTION("""COMPUTED_VALUE"""),"iPhone 13, Starlight, 128GB, Logic Board Assy Rear System, ROW")</f>
        <v>iPhone 13, Starlight, 128GB, Logic Board Assy Rear System, ROW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 t="str">
        <f t="shared" si="1"/>
        <v>June</v>
      </c>
      <c r="B233" s="11">
        <f>IFERROR(__xludf.DUMMYFUNCTION("""COMPUTED_VALUE"""),46187.0)</f>
        <v>46187</v>
      </c>
      <c r="C233" s="2" t="str">
        <f>IFERROR(__xludf.DUMMYFUNCTION("""COMPUTED_VALUE"""),"MOBILECARE - DAVAO")</f>
        <v>MOBILECARE - DAVAO</v>
      </c>
      <c r="D233" s="2" t="str">
        <f>IFERROR(__xludf.DUMMYFUNCTION("""COMPUTED_VALUE"""),"TA661-36694")</f>
        <v>TA661-36694</v>
      </c>
      <c r="E233" s="2" t="str">
        <f>IFERROR(__xludf.DUMMYFUNCTION("""COMPUTED_VALUE"""),"iPhone 15, Blue, 128GB, Logic Board Assy Mid System, ROW")</f>
        <v>iPhone 15, Blue, 128GB, Logic Board Assy Mid System, ROW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 t="str">
        <f t="shared" si="1"/>
        <v>January</v>
      </c>
      <c r="B234" s="11">
        <f>IFERROR(__xludf.DUMMYFUNCTION("""COMPUTED_VALUE"""),46051.0)</f>
        <v>46051</v>
      </c>
      <c r="C234" s="2" t="str">
        <f>IFERROR(__xludf.DUMMYFUNCTION("""COMPUTED_VALUE"""),"MOBILECARE - DAVAO")</f>
        <v>MOBILECARE - DAVAO</v>
      </c>
      <c r="D234" s="2" t="str">
        <f>IFERROR(__xludf.DUMMYFUNCTION("""COMPUTED_VALUE"""),"PP661-23454")</f>
        <v>PP661-23454</v>
      </c>
      <c r="E234" s="2" t="str">
        <f>IFERROR(__xludf.DUMMYFUNCTION("""COMPUTED_VALUE"""),"iPhone 13, Midnight, 128GB, Logic Board Assy Rear System, ROW")</f>
        <v>iPhone 13, Midnight, 128GB, Logic Board Assy Rear System, ROW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 t="str">
        <f t="shared" si="1"/>
        <v>April</v>
      </c>
      <c r="B235" s="11">
        <f>IFERROR(__xludf.DUMMYFUNCTION("""COMPUTED_VALUE"""),46123.0)</f>
        <v>46123</v>
      </c>
      <c r="C235" s="2" t="str">
        <f>IFERROR(__xludf.DUMMYFUNCTION("""COMPUTED_VALUE"""),"MOBILECARE - DAVAO")</f>
        <v>MOBILECARE - DAVAO</v>
      </c>
      <c r="D235" s="2" t="str">
        <f>IFERROR(__xludf.DUMMYFUNCTION("""COMPUTED_VALUE"""),"PP661-23455")</f>
        <v>PP661-23455</v>
      </c>
      <c r="E235" s="2" t="str">
        <f>IFERROR(__xludf.DUMMYFUNCTION("""COMPUTED_VALUE"""),"iPhone 13, Starlight, 128GB, Logic Board Assy Rear System, ROW")</f>
        <v>iPhone 13, Starlight, 128GB, Logic Board Assy Rear System, ROW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 t="str">
        <f t="shared" si="1"/>
        <v>February</v>
      </c>
      <c r="B236" s="11">
        <f>IFERROR(__xludf.DUMMYFUNCTION("""COMPUTED_VALUE"""),46059.0)</f>
        <v>46059</v>
      </c>
      <c r="C236" s="2" t="str">
        <f>IFERROR(__xludf.DUMMYFUNCTION("""COMPUTED_VALUE"""),"MOBILECARE - DAVAO")</f>
        <v>MOBILECARE - DAVAO</v>
      </c>
      <c r="D236" s="2" t="str">
        <f>IFERROR(__xludf.DUMMYFUNCTION("""COMPUTED_VALUE"""),"PP661-23454")</f>
        <v>PP661-23454</v>
      </c>
      <c r="E236" s="2" t="str">
        <f>IFERROR(__xludf.DUMMYFUNCTION("""COMPUTED_VALUE"""),"iPhone 13, Midnight, 128GB, Logic Board Assy Rear System, ROW")</f>
        <v>iPhone 13, Midnight, 128GB, Logic Board Assy Rear System, ROW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 t="str">
        <f t="shared" si="1"/>
        <v>June</v>
      </c>
      <c r="B237" s="11">
        <f>IFERROR(__xludf.DUMMYFUNCTION("""COMPUTED_VALUE"""),46192.0)</f>
        <v>46192</v>
      </c>
      <c r="C237" s="2" t="str">
        <f>IFERROR(__xludf.DUMMYFUNCTION("""COMPUTED_VALUE"""),"MOBILECARE - DAVAO")</f>
        <v>MOBILECARE - DAVAO</v>
      </c>
      <c r="D237" s="2" t="str">
        <f>IFERROR(__xludf.DUMMYFUNCTION("""COMPUTED_VALUE"""),"TA661-49965")</f>
        <v>TA661-49965</v>
      </c>
      <c r="E237" s="2" t="str">
        <f>IFERROR(__xludf.DUMMYFUNCTION("""COMPUTED_VALUE"""),"White, 128GB, Logic Board Assy Mid System, iPhone 16e, ROW")</f>
        <v>White, 128GB, Logic Board Assy Mid System, iPhone 16e, ROW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 t="str">
        <f t="shared" si="1"/>
        <v>February</v>
      </c>
      <c r="B238" s="11">
        <f>IFERROR(__xludf.DUMMYFUNCTION("""COMPUTED_VALUE"""),46073.0)</f>
        <v>46073</v>
      </c>
      <c r="C238" s="2" t="str">
        <f>IFERROR(__xludf.DUMMYFUNCTION("""COMPUTED_VALUE"""),"MOBILECARE - DAVAO")</f>
        <v>MOBILECARE - DAVAO</v>
      </c>
      <c r="D238" s="2" t="str">
        <f>IFERROR(__xludf.DUMMYFUNCTION("""COMPUTED_VALUE"""),"PP661-23460")</f>
        <v>PP661-23460</v>
      </c>
      <c r="E238" s="2" t="str">
        <f>IFERROR(__xludf.DUMMYFUNCTION("""COMPUTED_VALUE"""),"iPhone 13, Starlight, 256GB, Logic Board Assy Rear System, ROW")</f>
        <v>iPhone 13, Starlight, 256GB, Logic Board Assy Rear System, ROW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 t="str">
        <f t="shared" si="1"/>
        <v>April</v>
      </c>
      <c r="B239" s="11">
        <f>IFERROR(__xludf.DUMMYFUNCTION("""COMPUTED_VALUE"""),46117.0)</f>
        <v>46117</v>
      </c>
      <c r="C239" s="2" t="str">
        <f>IFERROR(__xludf.DUMMYFUNCTION("""COMPUTED_VALUE"""),"MOBILECARE - DAVAO")</f>
        <v>MOBILECARE - DAVAO</v>
      </c>
      <c r="D239" s="2" t="str">
        <f>IFERROR(__xludf.DUMMYFUNCTION("""COMPUTED_VALUE"""),"TA661-36696")</f>
        <v>TA661-36696</v>
      </c>
      <c r="E239" s="2" t="str">
        <f>IFERROR(__xludf.DUMMYFUNCTION("""COMPUTED_VALUE"""),"iPhone 15, Black, 256GB, Logic Board Assy Mid System, ROW")</f>
        <v>iPhone 15, Black, 256GB, Logic Board Assy Mid System, ROW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 t="str">
        <f t="shared" si="1"/>
        <v>March</v>
      </c>
      <c r="B240" s="11">
        <f>IFERROR(__xludf.DUMMYFUNCTION("""COMPUTED_VALUE"""),46095.0)</f>
        <v>46095</v>
      </c>
      <c r="C240" s="2" t="str">
        <f>IFERROR(__xludf.DUMMYFUNCTION("""COMPUTED_VALUE"""),"MOBILECARE - DAVAO")</f>
        <v>MOBILECARE - DAVAO</v>
      </c>
      <c r="D240" s="2" t="str">
        <f>IFERROR(__xludf.DUMMYFUNCTION("""COMPUTED_VALUE"""),"PP661-23455")</f>
        <v>PP661-23455</v>
      </c>
      <c r="E240" s="2" t="str">
        <f>IFERROR(__xludf.DUMMYFUNCTION("""COMPUTED_VALUE"""),"iPhone 13, Starlight, 128GB, Logic Board Assy Rear System, ROW")</f>
        <v>iPhone 13, Starlight, 128GB, Logic Board Assy Rear System, ROW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 t="str">
        <f t="shared" si="1"/>
        <v>February</v>
      </c>
      <c r="B241" s="11">
        <f>IFERROR(__xludf.DUMMYFUNCTION("""COMPUTED_VALUE"""),46067.0)</f>
        <v>46067</v>
      </c>
      <c r="C241" s="2" t="str">
        <f>IFERROR(__xludf.DUMMYFUNCTION("""COMPUTED_VALUE"""),"MOBILECARE - DAVAO")</f>
        <v>MOBILECARE - DAVAO</v>
      </c>
      <c r="D241" s="2" t="str">
        <f>IFERROR(__xludf.DUMMYFUNCTION("""COMPUTED_VALUE"""),"PP661-23454")</f>
        <v>PP661-23454</v>
      </c>
      <c r="E241" s="2" t="str">
        <f>IFERROR(__xludf.DUMMYFUNCTION("""COMPUTED_VALUE"""),"iPhone 13, Midnight, 128GB, Logic Board Assy Rear System, ROW")</f>
        <v>iPhone 13, Midnight, 128GB, Logic Board Assy Rear System, ROW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 t="str">
        <f t="shared" si="1"/>
        <v>May</v>
      </c>
      <c r="B242" s="11">
        <f>IFERROR(__xludf.DUMMYFUNCTION("""COMPUTED_VALUE"""),46149.0)</f>
        <v>46149</v>
      </c>
      <c r="C242" s="2" t="str">
        <f>IFERROR(__xludf.DUMMYFUNCTION("""COMPUTED_VALUE"""),"MOBILECARE - DAVAO")</f>
        <v>MOBILECARE - DAVAO</v>
      </c>
      <c r="D242" s="2" t="str">
        <f>IFERROR(__xludf.DUMMYFUNCTION("""COMPUTED_VALUE"""),"PP661-23454")</f>
        <v>PP661-23454</v>
      </c>
      <c r="E242" s="2" t="str">
        <f>IFERROR(__xludf.DUMMYFUNCTION("""COMPUTED_VALUE"""),"iPhone 13, Midnight, 128GB, Logic Board Assy Rear System, ROW")</f>
        <v>iPhone 13, Midnight, 128GB, Logic Board Assy Rear System, ROW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 t="str">
        <f t="shared" si="1"/>
        <v>March</v>
      </c>
      <c r="B243" s="11">
        <f>IFERROR(__xludf.DUMMYFUNCTION("""COMPUTED_VALUE"""),46088.0)</f>
        <v>46088</v>
      </c>
      <c r="C243" s="2" t="str">
        <f>IFERROR(__xludf.DUMMYFUNCTION("""COMPUTED_VALUE"""),"MOBILECARE - DAVAO")</f>
        <v>MOBILECARE - DAVAO</v>
      </c>
      <c r="D243" s="2" t="str">
        <f>IFERROR(__xludf.DUMMYFUNCTION("""COMPUTED_VALUE"""),"PP661-28868")</f>
        <v>PP661-28868</v>
      </c>
      <c r="E243" s="2" t="str">
        <f>IFERROR(__xludf.DUMMYFUNCTION("""COMPUTED_VALUE"""),"iPhone 14, Midnight, 128GB, Logic Board Assy Mid System, ROW")</f>
        <v>iPhone 14, Midnight, 128GB, Logic Board Assy Mid System, ROW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 t="str">
        <f t="shared" si="1"/>
        <v>February</v>
      </c>
      <c r="B244" s="11">
        <f>IFERROR(__xludf.DUMMYFUNCTION("""COMPUTED_VALUE"""),46061.0)</f>
        <v>46061</v>
      </c>
      <c r="C244" s="2" t="str">
        <f>IFERROR(__xludf.DUMMYFUNCTION("""COMPUTED_VALUE"""),"MOBILECARE - DAVAO")</f>
        <v>MOBILECARE - DAVAO</v>
      </c>
      <c r="D244" s="2" t="str">
        <f>IFERROR(__xludf.DUMMYFUNCTION("""COMPUTED_VALUE"""),"TA661-43608")</f>
        <v>TA661-43608</v>
      </c>
      <c r="E244" s="2" t="str">
        <f>IFERROR(__xludf.DUMMYFUNCTION("""COMPUTED_VALUE"""),"128GB, Ultramarine, ROW, iPhone 16, Logic Board Assy Mid System")</f>
        <v>128GB, Ultramarine, ROW, iPhone 16, Logic Board Assy Mid System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 t="str">
        <f t="shared" si="1"/>
        <v>February</v>
      </c>
      <c r="B245" s="11">
        <f>IFERROR(__xludf.DUMMYFUNCTION("""COMPUTED_VALUE"""),46054.0)</f>
        <v>46054</v>
      </c>
      <c r="C245" s="2" t="str">
        <f>IFERROR(__xludf.DUMMYFUNCTION("""COMPUTED_VALUE"""),"MOBILECARE - DAVAO")</f>
        <v>MOBILECARE - DAVAO</v>
      </c>
      <c r="D245" s="2" t="str">
        <f>IFERROR(__xludf.DUMMYFUNCTION("""COMPUTED_VALUE"""),"PP661-23454")</f>
        <v>PP661-23454</v>
      </c>
      <c r="E245" s="2" t="str">
        <f>IFERROR(__xludf.DUMMYFUNCTION("""COMPUTED_VALUE"""),"iPhone 13, Midnight, 128GB, Logic Board Assy Rear System, ROW")</f>
        <v>iPhone 13, Midnight, 128GB, Logic Board Assy Rear System, ROW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 t="str">
        <f t="shared" si="1"/>
        <v>June</v>
      </c>
      <c r="B246" s="11">
        <f>IFERROR(__xludf.DUMMYFUNCTION("""COMPUTED_VALUE"""),46190.0)</f>
        <v>46190</v>
      </c>
      <c r="C246" s="2" t="str">
        <f>IFERROR(__xludf.DUMMYFUNCTION("""COMPUTED_VALUE"""),"MOBILECARE - DAVAO")</f>
        <v>MOBILECARE - DAVAO</v>
      </c>
      <c r="D246" s="2" t="str">
        <f>IFERROR(__xludf.DUMMYFUNCTION("""COMPUTED_VALUE"""),"PP661-23455")</f>
        <v>PP661-23455</v>
      </c>
      <c r="E246" s="2" t="str">
        <f>IFERROR(__xludf.DUMMYFUNCTION("""COMPUTED_VALUE"""),"iPhone 13, Starlight, 128GB, Logic Board Assy Rear System, ROW")</f>
        <v>iPhone 13, Starlight, 128GB, Logic Board Assy Rear System, ROW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 t="str">
        <f t="shared" si="1"/>
        <v>June</v>
      </c>
      <c r="B247" s="11">
        <f>IFERROR(__xludf.DUMMYFUNCTION("""COMPUTED_VALUE"""),46187.0)</f>
        <v>46187</v>
      </c>
      <c r="C247" s="2" t="str">
        <f>IFERROR(__xludf.DUMMYFUNCTION("""COMPUTED_VALUE"""),"MOBILECARE - DAVAO")</f>
        <v>MOBILECARE - DAVAO</v>
      </c>
      <c r="D247" s="2" t="str">
        <f>IFERROR(__xludf.DUMMYFUNCTION("""COMPUTED_VALUE"""),"TA661-36694")</f>
        <v>TA661-36694</v>
      </c>
      <c r="E247" s="2" t="str">
        <f>IFERROR(__xludf.DUMMYFUNCTION("""COMPUTED_VALUE"""),"iPhone 15, Blue, 128GB, Logic Board Assy Mid System, ROW")</f>
        <v>iPhone 15, Blue, 128GB, Logic Board Assy Mid System, ROW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 t="str">
        <f t="shared" si="1"/>
        <v>April</v>
      </c>
      <c r="B248" s="11">
        <f>IFERROR(__xludf.DUMMYFUNCTION("""COMPUTED_VALUE"""),46120.0)</f>
        <v>46120</v>
      </c>
      <c r="C248" s="2" t="str">
        <f>IFERROR(__xludf.DUMMYFUNCTION("""COMPUTED_VALUE"""),"MOBILECARE - DAVAO")</f>
        <v>MOBILECARE - DAVAO</v>
      </c>
      <c r="D248" s="2" t="str">
        <f>IFERROR(__xludf.DUMMYFUNCTION("""COMPUTED_VALUE"""),"PP661-23454")</f>
        <v>PP661-23454</v>
      </c>
      <c r="E248" s="2" t="str">
        <f>IFERROR(__xludf.DUMMYFUNCTION("""COMPUTED_VALUE"""),"iPhone 13, Midnight, 128GB, Logic Board Assy Rear System, ROW")</f>
        <v>iPhone 13, Midnight, 128GB, Logic Board Assy Rear System, ROW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 t="str">
        <f t="shared" si="1"/>
        <v>February</v>
      </c>
      <c r="B249" s="11">
        <f>IFERROR(__xludf.DUMMYFUNCTION("""COMPUTED_VALUE"""),46076.0)</f>
        <v>46076</v>
      </c>
      <c r="C249" s="2" t="str">
        <f>IFERROR(__xludf.DUMMYFUNCTION("""COMPUTED_VALUE"""),"MOBILECARE - DAVAO")</f>
        <v>MOBILECARE - DAVAO</v>
      </c>
      <c r="D249" s="2" t="str">
        <f>IFERROR(__xludf.DUMMYFUNCTION("""COMPUTED_VALUE"""),"TA661-36694")</f>
        <v>TA661-36694</v>
      </c>
      <c r="E249" s="2" t="str">
        <f>IFERROR(__xludf.DUMMYFUNCTION("""COMPUTED_VALUE"""),"iPhone 15, Blue, 128GB, Logic Board Assy Mid System, ROW")</f>
        <v>iPhone 15, Blue, 128GB, Logic Board Assy Mid System, ROW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 t="str">
        <f t="shared" si="1"/>
        <v>March</v>
      </c>
      <c r="B250" s="11">
        <f>IFERROR(__xludf.DUMMYFUNCTION("""COMPUTED_VALUE"""),46110.0)</f>
        <v>46110</v>
      </c>
      <c r="C250" s="2" t="str">
        <f>IFERROR(__xludf.DUMMYFUNCTION("""COMPUTED_VALUE"""),"MOBILECARE - DAVAO")</f>
        <v>MOBILECARE - DAVAO</v>
      </c>
      <c r="D250" s="2" t="str">
        <f>IFERROR(__xludf.DUMMYFUNCTION("""COMPUTED_VALUE"""),"PP661-28868")</f>
        <v>PP661-28868</v>
      </c>
      <c r="E250" s="2" t="str">
        <f>IFERROR(__xludf.DUMMYFUNCTION("""COMPUTED_VALUE"""),"iPhone 14, Midnight, 128GB, Logic Board Assy Mid System, ROW")</f>
        <v>iPhone 14, Midnight, 128GB, Logic Board Assy Mid System, ROW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 t="str">
        <f t="shared" si="1"/>
        <v>April</v>
      </c>
      <c r="B251" s="11">
        <f>IFERROR(__xludf.DUMMYFUNCTION("""COMPUTED_VALUE"""),46131.0)</f>
        <v>46131</v>
      </c>
      <c r="C251" s="2" t="str">
        <f>IFERROR(__xludf.DUMMYFUNCTION("""COMPUTED_VALUE"""),"MOBILECARE - DAVAO")</f>
        <v>MOBILECARE - DAVAO</v>
      </c>
      <c r="D251" s="2" t="str">
        <f>IFERROR(__xludf.DUMMYFUNCTION("""COMPUTED_VALUE"""),"TA661-49966")</f>
        <v>TA661-49966</v>
      </c>
      <c r="E251" s="2" t="str">
        <f>IFERROR(__xludf.DUMMYFUNCTION("""COMPUTED_VALUE"""),"Black, 256GB, Logic Board Assy Mid System, iPhone 16e, ROW")</f>
        <v>Black, 256GB, Logic Board Assy Mid System, iPhone 16e, ROW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 t="str">
        <f t="shared" si="1"/>
        <v>April</v>
      </c>
      <c r="B252" s="11">
        <f>IFERROR(__xludf.DUMMYFUNCTION("""COMPUTED_VALUE"""),46130.0)</f>
        <v>46130</v>
      </c>
      <c r="C252" s="2" t="str">
        <f>IFERROR(__xludf.DUMMYFUNCTION("""COMPUTED_VALUE"""),"MOBILECARE - DAVAO")</f>
        <v>MOBILECARE - DAVAO</v>
      </c>
      <c r="D252" s="2" t="str">
        <f>IFERROR(__xludf.DUMMYFUNCTION("""COMPUTED_VALUE"""),"PP661-23455")</f>
        <v>PP661-23455</v>
      </c>
      <c r="E252" s="2" t="str">
        <f>IFERROR(__xludf.DUMMYFUNCTION("""COMPUTED_VALUE"""),"iPhone 13, Starlight, 128GB, Logic Board Assy Rear System, ROW")</f>
        <v>iPhone 13, Starlight, 128GB, Logic Board Assy Rear System, ROW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 t="str">
        <f t="shared" si="1"/>
        <v>March</v>
      </c>
      <c r="B253" s="11">
        <f>IFERROR(__xludf.DUMMYFUNCTION("""COMPUTED_VALUE"""),46099.0)</f>
        <v>46099</v>
      </c>
      <c r="C253" s="2" t="str">
        <f>IFERROR(__xludf.DUMMYFUNCTION("""COMPUTED_VALUE"""),"MOBILECARE - DAVAO")</f>
        <v>MOBILECARE - DAVAO</v>
      </c>
      <c r="D253" s="2" t="str">
        <f>IFERROR(__xludf.DUMMYFUNCTION("""COMPUTED_VALUE"""),"TA661-36694")</f>
        <v>TA661-36694</v>
      </c>
      <c r="E253" s="2" t="str">
        <f>IFERROR(__xludf.DUMMYFUNCTION("""COMPUTED_VALUE"""),"iPhone 15, Blue, 128GB, Logic Board Assy Mid System, ROW")</f>
        <v>iPhone 15, Blue, 128GB, Logic Board Assy Mid System, ROW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 t="str">
        <f t="shared" si="1"/>
        <v>February</v>
      </c>
      <c r="B254" s="11">
        <f>IFERROR(__xludf.DUMMYFUNCTION("""COMPUTED_VALUE"""),46073.0)</f>
        <v>46073</v>
      </c>
      <c r="C254" s="2" t="str">
        <f>IFERROR(__xludf.DUMMYFUNCTION("""COMPUTED_VALUE"""),"MOBILECARE - DAVAO")</f>
        <v>MOBILECARE - DAVAO</v>
      </c>
      <c r="D254" s="2" t="str">
        <f>IFERROR(__xludf.DUMMYFUNCTION("""COMPUTED_VALUE"""),"TA661-45231")</f>
        <v>TA661-45231</v>
      </c>
      <c r="E254" s="2" t="str">
        <f>IFERROR(__xludf.DUMMYFUNCTION("""COMPUTED_VALUE"""),"128GB, Black, ROW, iPhone 16 Plus, Logic Board Assy Mid System")</f>
        <v>128GB, Black, ROW, iPhone 16 Plus, Logic Board Assy Mid System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 t="str">
        <f t="shared" si="1"/>
        <v>February</v>
      </c>
      <c r="B255" s="11">
        <f>IFERROR(__xludf.DUMMYFUNCTION("""COMPUTED_VALUE"""),46055.0)</f>
        <v>46055</v>
      </c>
      <c r="C255" s="2" t="str">
        <f>IFERROR(__xludf.DUMMYFUNCTION("""COMPUTED_VALUE"""),"MOBILECARE - DAVAO")</f>
        <v>MOBILECARE - DAVAO</v>
      </c>
      <c r="D255" s="2" t="str">
        <f>IFERROR(__xludf.DUMMYFUNCTION("""COMPUTED_VALUE"""),"TA661-36694")</f>
        <v>TA661-36694</v>
      </c>
      <c r="E255" s="2" t="str">
        <f>IFERROR(__xludf.DUMMYFUNCTION("""COMPUTED_VALUE"""),"iPhone 15, Blue, 128GB, Logic Board Assy Mid System, ROW")</f>
        <v>iPhone 15, Blue, 128GB, Logic Board Assy Mid System, ROW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 t="str">
        <f t="shared" si="1"/>
        <v>June</v>
      </c>
      <c r="B256" s="11">
        <f>IFERROR(__xludf.DUMMYFUNCTION("""COMPUTED_VALUE"""),46180.0)</f>
        <v>46180</v>
      </c>
      <c r="C256" s="2" t="str">
        <f>IFERROR(__xludf.DUMMYFUNCTION("""COMPUTED_VALUE"""),"MOBILECARE - DAVAO")</f>
        <v>MOBILECARE - DAVAO</v>
      </c>
      <c r="D256" s="2" t="str">
        <f>IFERROR(__xludf.DUMMYFUNCTION("""COMPUTED_VALUE"""),"PP661-23454")</f>
        <v>PP661-23454</v>
      </c>
      <c r="E256" s="2" t="str">
        <f>IFERROR(__xludf.DUMMYFUNCTION("""COMPUTED_VALUE"""),"iPhone 13, Midnight, 128GB, Logic Board Assy Rear System, ROW")</f>
        <v>iPhone 13, Midnight, 128GB, Logic Board Assy Rear System, ROW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 t="str">
        <f t="shared" si="1"/>
        <v>June</v>
      </c>
      <c r="B257" s="11">
        <f>IFERROR(__xludf.DUMMYFUNCTION("""COMPUTED_VALUE"""),46187.0)</f>
        <v>46187</v>
      </c>
      <c r="C257" s="2" t="str">
        <f>IFERROR(__xludf.DUMMYFUNCTION("""COMPUTED_VALUE"""),"MOBILECARE - DAVAO")</f>
        <v>MOBILECARE - DAVAO</v>
      </c>
      <c r="D257" s="2" t="str">
        <f>IFERROR(__xludf.DUMMYFUNCTION("""COMPUTED_VALUE"""),"PP661-28869")</f>
        <v>PP661-28869</v>
      </c>
      <c r="E257" s="2" t="str">
        <f>IFERROR(__xludf.DUMMYFUNCTION("""COMPUTED_VALUE"""),"iPhone 14, Starlight, 128GB, Logic Board Assy Mid System, ROW")</f>
        <v>iPhone 14, Starlight, 128GB, Logic Board Assy Mid System, ROW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 t="str">
        <f t="shared" si="1"/>
        <v>June</v>
      </c>
      <c r="B258" s="11">
        <f>IFERROR(__xludf.DUMMYFUNCTION("""COMPUTED_VALUE"""),46185.0)</f>
        <v>46185</v>
      </c>
      <c r="C258" s="2" t="str">
        <f>IFERROR(__xludf.DUMMYFUNCTION("""COMPUTED_VALUE"""),"MOBILECARE - DAVAO")</f>
        <v>MOBILECARE - DAVAO</v>
      </c>
      <c r="D258" s="2" t="str">
        <f>IFERROR(__xludf.DUMMYFUNCTION("""COMPUTED_VALUE"""),"PP661-23455")</f>
        <v>PP661-23455</v>
      </c>
      <c r="E258" s="2" t="str">
        <f>IFERROR(__xludf.DUMMYFUNCTION("""COMPUTED_VALUE"""),"iPhone 13, Starlight, 128GB, Logic Board Assy Rear System, ROW")</f>
        <v>iPhone 13, Starlight, 128GB, Logic Board Assy Rear System, ROW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 t="str">
        <f t="shared" si="1"/>
        <v>May</v>
      </c>
      <c r="B259" s="11">
        <f>IFERROR(__xludf.DUMMYFUNCTION("""COMPUTED_VALUE"""),46156.0)</f>
        <v>46156</v>
      </c>
      <c r="C259" s="2" t="str">
        <f>IFERROR(__xludf.DUMMYFUNCTION("""COMPUTED_VALUE"""),"MOBILECARE - DAVAO")</f>
        <v>MOBILECARE - DAVAO</v>
      </c>
      <c r="D259" s="2" t="str">
        <f>IFERROR(__xludf.DUMMYFUNCTION("""COMPUTED_VALUE"""),"PP661-28874")</f>
        <v>PP661-28874</v>
      </c>
      <c r="E259" s="2" t="str">
        <f>IFERROR(__xludf.DUMMYFUNCTION("""COMPUTED_VALUE"""),"iPhone 14, Starlight, 256GB, Logic Board Assy Mid System, ROW")</f>
        <v>iPhone 14, Starlight, 256GB, Logic Board Assy Mid System, ROW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 t="str">
        <f t="shared" si="1"/>
        <v>May</v>
      </c>
      <c r="B260" s="11">
        <f>IFERROR(__xludf.DUMMYFUNCTION("""COMPUTED_VALUE"""),46148.0)</f>
        <v>46148</v>
      </c>
      <c r="C260" s="2" t="str">
        <f>IFERROR(__xludf.DUMMYFUNCTION("""COMPUTED_VALUE"""),"MOBILECARE - DAVAO")</f>
        <v>MOBILECARE - DAVAO</v>
      </c>
      <c r="D260" s="2" t="str">
        <f>IFERROR(__xludf.DUMMYFUNCTION("""COMPUTED_VALUE"""),"PP661-23455")</f>
        <v>PP661-23455</v>
      </c>
      <c r="E260" s="2" t="str">
        <f>IFERROR(__xludf.DUMMYFUNCTION("""COMPUTED_VALUE"""),"iPhone 13, Starlight, 128GB, Logic Board Assy Rear System, ROW")</f>
        <v>iPhone 13, Starlight, 128GB, Logic Board Assy Rear System, ROW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 t="str">
        <f t="shared" si="1"/>
        <v>May</v>
      </c>
      <c r="B261" s="11">
        <f>IFERROR(__xludf.DUMMYFUNCTION("""COMPUTED_VALUE"""),46148.0)</f>
        <v>46148</v>
      </c>
      <c r="C261" s="2" t="str">
        <f>IFERROR(__xludf.DUMMYFUNCTION("""COMPUTED_VALUE"""),"MOBILECARE - DAVAO")</f>
        <v>MOBILECARE - DAVAO</v>
      </c>
      <c r="D261" s="2" t="str">
        <f>IFERROR(__xludf.DUMMYFUNCTION("""COMPUTED_VALUE"""),"PP661-23455")</f>
        <v>PP661-23455</v>
      </c>
      <c r="E261" s="2" t="str">
        <f>IFERROR(__xludf.DUMMYFUNCTION("""COMPUTED_VALUE"""),"iPhone 13, Starlight, 128GB, Logic Board Assy Rear System, ROW")</f>
        <v>iPhone 13, Starlight, 128GB, Logic Board Assy Rear System, ROW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 t="str">
        <f t="shared" si="1"/>
        <v>March</v>
      </c>
      <c r="B262" s="11">
        <f>IFERROR(__xludf.DUMMYFUNCTION("""COMPUTED_VALUE"""),46088.0)</f>
        <v>46088</v>
      </c>
      <c r="C262" s="2" t="str">
        <f>IFERROR(__xludf.DUMMYFUNCTION("""COMPUTED_VALUE"""),"MOBILECARE - DAVAO")</f>
        <v>MOBILECARE - DAVAO</v>
      </c>
      <c r="D262" s="2" t="str">
        <f>IFERROR(__xludf.DUMMYFUNCTION("""COMPUTED_VALUE"""),"PP661-23455")</f>
        <v>PP661-23455</v>
      </c>
      <c r="E262" s="2" t="str">
        <f>IFERROR(__xludf.DUMMYFUNCTION("""COMPUTED_VALUE"""),"iPhone 13, Starlight, 128GB, Logic Board Assy Rear System, ROW")</f>
        <v>iPhone 13, Starlight, 128GB, Logic Board Assy Rear System, ROW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 t="str">
        <f t="shared" si="1"/>
        <v>March</v>
      </c>
      <c r="B263" s="11">
        <f>IFERROR(__xludf.DUMMYFUNCTION("""COMPUTED_VALUE"""),46090.0)</f>
        <v>46090</v>
      </c>
      <c r="C263" s="2" t="str">
        <f>IFERROR(__xludf.DUMMYFUNCTION("""COMPUTED_VALUE"""),"MOBILECARE - DAVAO")</f>
        <v>MOBILECARE - DAVAO</v>
      </c>
      <c r="D263" s="2" t="str">
        <f>IFERROR(__xludf.DUMMYFUNCTION("""COMPUTED_VALUE"""),"PP661-23455")</f>
        <v>PP661-23455</v>
      </c>
      <c r="E263" s="2" t="str">
        <f>IFERROR(__xludf.DUMMYFUNCTION("""COMPUTED_VALUE"""),"iPhone 13, Starlight, 128GB, Logic Board Assy Rear System, ROW")</f>
        <v>iPhone 13, Starlight, 128GB, Logic Board Assy Rear System, ROW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 t="str">
        <f t="shared" si="1"/>
        <v>June</v>
      </c>
      <c r="B264" s="11">
        <f>IFERROR(__xludf.DUMMYFUNCTION("""COMPUTED_VALUE"""),46187.0)</f>
        <v>46187</v>
      </c>
      <c r="C264" s="2" t="str">
        <f>IFERROR(__xludf.DUMMYFUNCTION("""COMPUTED_VALUE"""),"MOBILECARE - DAVAO")</f>
        <v>MOBILECARE - DAVAO</v>
      </c>
      <c r="D264" s="2" t="str">
        <f>IFERROR(__xludf.DUMMYFUNCTION("""COMPUTED_VALUE"""),"PP661-28871")</f>
        <v>PP661-28871</v>
      </c>
      <c r="E264" s="2" t="str">
        <f>IFERROR(__xludf.DUMMYFUNCTION("""COMPUTED_VALUE"""),"iPhone 14, Blue, 128GB, Logic Board Assy Mid System, ROW")</f>
        <v>iPhone 14, Blue, 128GB, Logic Board Assy Mid System, ROW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 t="str">
        <f t="shared" si="1"/>
        <v>April</v>
      </c>
      <c r="B265" s="11">
        <f>IFERROR(__xludf.DUMMYFUNCTION("""COMPUTED_VALUE"""),46127.0)</f>
        <v>46127</v>
      </c>
      <c r="C265" s="2" t="str">
        <f>IFERROR(__xludf.DUMMYFUNCTION("""COMPUTED_VALUE"""),"MOBILECARE - DAVAO")</f>
        <v>MOBILECARE - DAVAO</v>
      </c>
      <c r="D265" s="2" t="str">
        <f>IFERROR(__xludf.DUMMYFUNCTION("""COMPUTED_VALUE"""),"PP661-23455")</f>
        <v>PP661-23455</v>
      </c>
      <c r="E265" s="2" t="str">
        <f>IFERROR(__xludf.DUMMYFUNCTION("""COMPUTED_VALUE"""),"iPhone 13, Starlight, 128GB, Logic Board Assy Rear System, ROW")</f>
        <v>iPhone 13, Starlight, 128GB, Logic Board Assy Rear System, ROW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 t="str">
        <f t="shared" si="1"/>
        <v>March</v>
      </c>
      <c r="B266" s="11">
        <f>IFERROR(__xludf.DUMMYFUNCTION("""COMPUTED_VALUE"""),46101.0)</f>
        <v>46101</v>
      </c>
      <c r="C266" s="2" t="str">
        <f>IFERROR(__xludf.DUMMYFUNCTION("""COMPUTED_VALUE"""),"MOBILECARE - DAVAO")</f>
        <v>MOBILECARE - DAVAO</v>
      </c>
      <c r="D266" s="2" t="str">
        <f>IFERROR(__xludf.DUMMYFUNCTION("""COMPUTED_VALUE"""),"PP661-28868")</f>
        <v>PP661-28868</v>
      </c>
      <c r="E266" s="2" t="str">
        <f>IFERROR(__xludf.DUMMYFUNCTION("""COMPUTED_VALUE"""),"iPhone 14, Midnight, 128GB, Logic Board Assy Mid System, ROW")</f>
        <v>iPhone 14, Midnight, 128GB, Logic Board Assy Mid System, ROW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 t="str">
        <f t="shared" si="1"/>
        <v>February</v>
      </c>
      <c r="B267" s="11">
        <f>IFERROR(__xludf.DUMMYFUNCTION("""COMPUTED_VALUE"""),46065.0)</f>
        <v>46065</v>
      </c>
      <c r="C267" s="2" t="str">
        <f>IFERROR(__xludf.DUMMYFUNCTION("""COMPUTED_VALUE"""),"MOBILECARE - CAGAYAN DE ORO")</f>
        <v>MOBILECARE - CAGAYAN DE ORO</v>
      </c>
      <c r="D267" s="2" t="str">
        <f>IFERROR(__xludf.DUMMYFUNCTION("""COMPUTED_VALUE"""),"PP661-23455")</f>
        <v>PP661-23455</v>
      </c>
      <c r="E267" s="2" t="str">
        <f>IFERROR(__xludf.DUMMYFUNCTION("""COMPUTED_VALUE"""),"iPhone 13, Starlight, 128GB, Logic Board Assy Rear System, ROW")</f>
        <v>iPhone 13, Starlight, 128GB, Logic Board Assy Rear System, ROW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 t="str">
        <f t="shared" si="1"/>
        <v>March</v>
      </c>
      <c r="B268" s="11">
        <f>IFERROR(__xludf.DUMMYFUNCTION("""COMPUTED_VALUE"""),46112.0)</f>
        <v>46112</v>
      </c>
      <c r="C268" s="2" t="str">
        <f>IFERROR(__xludf.DUMMYFUNCTION("""COMPUTED_VALUE"""),"MOBILECARE - CAGAYAN DE ORO")</f>
        <v>MOBILECARE - CAGAYAN DE ORO</v>
      </c>
      <c r="D268" s="2" t="str">
        <f>IFERROR(__xludf.DUMMYFUNCTION("""COMPUTED_VALUE"""),"TA661-36694")</f>
        <v>TA661-36694</v>
      </c>
      <c r="E268" s="2" t="str">
        <f>IFERROR(__xludf.DUMMYFUNCTION("""COMPUTED_VALUE"""),"iPhone 15, Blue, 128GB, Logic Board Assy Mid System, ROW")</f>
        <v>iPhone 15, Blue, 128GB, Logic Board Assy Mid System, ROW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 t="str">
        <f t="shared" si="1"/>
        <v>March</v>
      </c>
      <c r="B269" s="11">
        <f>IFERROR(__xludf.DUMMYFUNCTION("""COMPUTED_VALUE"""),46101.0)</f>
        <v>46101</v>
      </c>
      <c r="C269" s="2" t="str">
        <f>IFERROR(__xludf.DUMMYFUNCTION("""COMPUTED_VALUE"""),"MOBILECARE - CAGAYAN DE ORO")</f>
        <v>MOBILECARE - CAGAYAN DE ORO</v>
      </c>
      <c r="D269" s="2" t="str">
        <f>IFERROR(__xludf.DUMMYFUNCTION("""COMPUTED_VALUE"""),"PP661-28868")</f>
        <v>PP661-28868</v>
      </c>
      <c r="E269" s="2" t="str">
        <f>IFERROR(__xludf.DUMMYFUNCTION("""COMPUTED_VALUE"""),"iPhone 14, Midnight, 128GB, Logic Board Assy Mid System, ROW")</f>
        <v>iPhone 14, Midnight, 128GB, Logic Board Assy Mid System, ROW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 t="str">
        <f t="shared" si="1"/>
        <v>June</v>
      </c>
      <c r="B270" s="11">
        <f>IFERROR(__xludf.DUMMYFUNCTION("""COMPUTED_VALUE"""),46193.0)</f>
        <v>46193</v>
      </c>
      <c r="C270" s="2" t="str">
        <f>IFERROR(__xludf.DUMMYFUNCTION("""COMPUTED_VALUE"""),"MOBILECARE - CAGAYAN DE ORO")</f>
        <v>MOBILECARE - CAGAYAN DE ORO</v>
      </c>
      <c r="D270" s="2" t="str">
        <f>IFERROR(__xludf.DUMMYFUNCTION("""COMPUTED_VALUE"""),"TA661-36694")</f>
        <v>TA661-36694</v>
      </c>
      <c r="E270" s="2" t="str">
        <f>IFERROR(__xludf.DUMMYFUNCTION("""COMPUTED_VALUE"""),"iPhone 15, Blue, 128GB, Logic Board Assy Mid System, ROW")</f>
        <v>iPhone 15, Blue, 128GB, Logic Board Assy Mid System, ROW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 t="str">
        <f t="shared" si="1"/>
        <v>March</v>
      </c>
      <c r="B271" s="11">
        <f>IFERROR(__xludf.DUMMYFUNCTION("""COMPUTED_VALUE"""),46102.0)</f>
        <v>46102</v>
      </c>
      <c r="C271" s="2" t="str">
        <f>IFERROR(__xludf.DUMMYFUNCTION("""COMPUTED_VALUE"""),"MOBILECARE - CAGAYAN DE ORO")</f>
        <v>MOBILECARE - CAGAYAN DE ORO</v>
      </c>
      <c r="D271" s="2" t="str">
        <f>IFERROR(__xludf.DUMMYFUNCTION("""COMPUTED_VALUE"""),"TA661-36692")</f>
        <v>TA661-36692</v>
      </c>
      <c r="E271" s="2" t="str">
        <f>IFERROR(__xludf.DUMMYFUNCTION("""COMPUTED_VALUE"""),"iPhone 15, Pink, 128GB, Logic Board Assy Mid System, ROW")</f>
        <v>iPhone 15, Pink, 128GB, Logic Board Assy Mid System, ROW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 t="str">
        <f t="shared" si="1"/>
        <v>February</v>
      </c>
      <c r="B272" s="11">
        <f>IFERROR(__xludf.DUMMYFUNCTION("""COMPUTED_VALUE"""),46064.0)</f>
        <v>46064</v>
      </c>
      <c r="C272" s="2" t="str">
        <f>IFERROR(__xludf.DUMMYFUNCTION("""COMPUTED_VALUE"""),"MOBILECARE - CAGAYAN DE ORO")</f>
        <v>MOBILECARE - CAGAYAN DE ORO</v>
      </c>
      <c r="D272" s="2" t="str">
        <f>IFERROR(__xludf.DUMMYFUNCTION("""COMPUTED_VALUE"""),"PP661-28882")</f>
        <v>PP661-28882</v>
      </c>
      <c r="E272" s="2" t="str">
        <f>IFERROR(__xludf.DUMMYFUNCTION("""COMPUTED_VALUE"""),"iPhone 14, Purple, 512GB, Logic Board Assy Mid System, ROW")</f>
        <v>iPhone 14, Purple, 512GB, Logic Board Assy Mid System, ROW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 t="str">
        <f t="shared" si="1"/>
        <v>April</v>
      </c>
      <c r="B273" s="11">
        <f>IFERROR(__xludf.DUMMYFUNCTION("""COMPUTED_VALUE"""),46139.0)</f>
        <v>46139</v>
      </c>
      <c r="C273" s="2" t="str">
        <f>IFERROR(__xludf.DUMMYFUNCTION("""COMPUTED_VALUE"""),"MOBILECARE - CAGAYAN DE ORO")</f>
        <v>MOBILECARE - CAGAYAN DE ORO</v>
      </c>
      <c r="D273" s="2" t="str">
        <f>IFERROR(__xludf.DUMMYFUNCTION("""COMPUTED_VALUE"""),"TA661-36696")</f>
        <v>TA661-36696</v>
      </c>
      <c r="E273" s="2" t="str">
        <f>IFERROR(__xludf.DUMMYFUNCTION("""COMPUTED_VALUE"""),"iPhone 15, Black, 256GB, Logic Board Assy Mid System, ROW")</f>
        <v>iPhone 15, Black, 256GB, Logic Board Assy Mid System, ROW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 t="str">
        <f t="shared" si="1"/>
        <v>March</v>
      </c>
      <c r="B274" s="11">
        <f>IFERROR(__xludf.DUMMYFUNCTION("""COMPUTED_VALUE"""),46090.0)</f>
        <v>46090</v>
      </c>
      <c r="C274" s="2" t="str">
        <f>IFERROR(__xludf.DUMMYFUNCTION("""COMPUTED_VALUE"""),"MOBILECARE - CAGAYAN DE ORO")</f>
        <v>MOBILECARE - CAGAYAN DE ORO</v>
      </c>
      <c r="D274" s="2" t="str">
        <f>IFERROR(__xludf.DUMMYFUNCTION("""COMPUTED_VALUE"""),"PP661-23455")</f>
        <v>PP661-23455</v>
      </c>
      <c r="E274" s="2" t="str">
        <f>IFERROR(__xludf.DUMMYFUNCTION("""COMPUTED_VALUE"""),"iPhone 13, Starlight, 128GB, Logic Board Assy Rear System, ROW")</f>
        <v>iPhone 13, Starlight, 128GB, Logic Board Assy Rear System, ROW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 t="str">
        <f t="shared" si="1"/>
        <v>May</v>
      </c>
      <c r="B275" s="11">
        <f>IFERROR(__xludf.DUMMYFUNCTION("""COMPUTED_VALUE"""),46151.0)</f>
        <v>46151</v>
      </c>
      <c r="C275" s="2" t="str">
        <f>IFERROR(__xludf.DUMMYFUNCTION("""COMPUTED_VALUE"""),"MOBILECARE - CAGAYAN DE ORO")</f>
        <v>MOBILECARE - CAGAYAN DE ORO</v>
      </c>
      <c r="D275" s="2" t="str">
        <f>IFERROR(__xludf.DUMMYFUNCTION("""COMPUTED_VALUE"""),"TA661-36694")</f>
        <v>TA661-36694</v>
      </c>
      <c r="E275" s="2" t="str">
        <f>IFERROR(__xludf.DUMMYFUNCTION("""COMPUTED_VALUE"""),"iPhone 15, Blue, 128GB, Logic Board Assy Mid System, ROW")</f>
        <v>iPhone 15, Blue, 128GB, Logic Board Assy Mid System, ROW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 t="str">
        <f t="shared" si="1"/>
        <v>April</v>
      </c>
      <c r="B276" s="11">
        <f>IFERROR(__xludf.DUMMYFUNCTION("""COMPUTED_VALUE"""),46116.0)</f>
        <v>46116</v>
      </c>
      <c r="C276" s="2" t="str">
        <f>IFERROR(__xludf.DUMMYFUNCTION("""COMPUTED_VALUE"""),"MOBILECARE - CAGAYAN DE ORO")</f>
        <v>MOBILECARE - CAGAYAN DE ORO</v>
      </c>
      <c r="D276" s="2" t="str">
        <f>IFERROR(__xludf.DUMMYFUNCTION("""COMPUTED_VALUE"""),"PP661-23455")</f>
        <v>PP661-23455</v>
      </c>
      <c r="E276" s="2" t="str">
        <f>IFERROR(__xludf.DUMMYFUNCTION("""COMPUTED_VALUE"""),"iPhone 13, Starlight, 128GB, Logic Board Assy Rear System, ROW")</f>
        <v>iPhone 13, Starlight, 128GB, Logic Board Assy Rear System, ROW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 t="str">
        <f t="shared" si="1"/>
        <v>March</v>
      </c>
      <c r="B277" s="11">
        <f>IFERROR(__xludf.DUMMYFUNCTION("""COMPUTED_VALUE"""),46091.0)</f>
        <v>46091</v>
      </c>
      <c r="C277" s="2" t="str">
        <f>IFERROR(__xludf.DUMMYFUNCTION("""COMPUTED_VALUE"""),"MOBILECARE - CAGAYAN DE ORO")</f>
        <v>MOBILECARE - CAGAYAN DE ORO</v>
      </c>
      <c r="D277" s="2" t="str">
        <f>IFERROR(__xludf.DUMMYFUNCTION("""COMPUTED_VALUE"""),"PP661-23455")</f>
        <v>PP661-23455</v>
      </c>
      <c r="E277" s="2" t="str">
        <f>IFERROR(__xludf.DUMMYFUNCTION("""COMPUTED_VALUE"""),"iPhone 13, Starlight, 128GB, Logic Board Assy Rear System, ROW")</f>
        <v>iPhone 13, Starlight, 128GB, Logic Board Assy Rear System, ROW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 t="str">
        <f t="shared" si="1"/>
        <v>April</v>
      </c>
      <c r="B278" s="11">
        <f>IFERROR(__xludf.DUMMYFUNCTION("""COMPUTED_VALUE"""),46131.0)</f>
        <v>46131</v>
      </c>
      <c r="C278" s="2" t="str">
        <f>IFERROR(__xludf.DUMMYFUNCTION("""COMPUTED_VALUE"""),"MOBILECARE - CAGAYAN DE ORO")</f>
        <v>MOBILECARE - CAGAYAN DE ORO</v>
      </c>
      <c r="D278" s="2" t="str">
        <f>IFERROR(__xludf.DUMMYFUNCTION("""COMPUTED_VALUE"""),"PP661-28871")</f>
        <v>PP661-28871</v>
      </c>
      <c r="E278" s="2" t="str">
        <f>IFERROR(__xludf.DUMMYFUNCTION("""COMPUTED_VALUE"""),"iPhone 14, Blue, 128GB, Logic Board Assy Mid System, ROW")</f>
        <v>iPhone 14, Blue, 128GB, Logic Board Assy Mid System, ROW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 t="str">
        <f t="shared" si="1"/>
        <v>February</v>
      </c>
      <c r="B279" s="11">
        <f>IFERROR(__xludf.DUMMYFUNCTION("""COMPUTED_VALUE"""),46066.0)</f>
        <v>46066</v>
      </c>
      <c r="C279" s="2" t="str">
        <f>IFERROR(__xludf.DUMMYFUNCTION("""COMPUTED_VALUE"""),"MOBILECARE - CAGAYAN DE ORO")</f>
        <v>MOBILECARE - CAGAYAN DE ORO</v>
      </c>
      <c r="D279" s="2" t="str">
        <f>IFERROR(__xludf.DUMMYFUNCTION("""COMPUTED_VALUE"""),"PP661-28869")</f>
        <v>PP661-28869</v>
      </c>
      <c r="E279" s="2" t="str">
        <f>IFERROR(__xludf.DUMMYFUNCTION("""COMPUTED_VALUE"""),"iPhone 14, Starlight, 128GB, Logic Board Assy Mid System, ROW")</f>
        <v>iPhone 14, Starlight, 128GB, Logic Board Assy Mid System, ROW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 t="str">
        <f t="shared" si="1"/>
        <v>January</v>
      </c>
      <c r="B280" s="11">
        <f>IFERROR(__xludf.DUMMYFUNCTION("""COMPUTED_VALUE"""),46050.0)</f>
        <v>46050</v>
      </c>
      <c r="C280" s="2" t="str">
        <f>IFERROR(__xludf.DUMMYFUNCTION("""COMPUTED_VALUE"""),"MOBILECARE - CAGAYAN DE ORO")</f>
        <v>MOBILECARE - CAGAYAN DE ORO</v>
      </c>
      <c r="D280" s="2" t="str">
        <f>IFERROR(__xludf.DUMMYFUNCTION("""COMPUTED_VALUE"""),"PP661-23455")</f>
        <v>PP661-23455</v>
      </c>
      <c r="E280" s="2" t="str">
        <f>IFERROR(__xludf.DUMMYFUNCTION("""COMPUTED_VALUE"""),"iPhone 13, Starlight, 128GB, Logic Board Assy Rear System, ROW")</f>
        <v>iPhone 13, Starlight, 128GB, Logic Board Assy Rear System, ROW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 t="str">
        <f t="shared" si="1"/>
        <v>February</v>
      </c>
      <c r="B281" s="11">
        <f>IFERROR(__xludf.DUMMYFUNCTION("""COMPUTED_VALUE"""),46065.0)</f>
        <v>46065</v>
      </c>
      <c r="C281" s="2" t="str">
        <f>IFERROR(__xludf.DUMMYFUNCTION("""COMPUTED_VALUE"""),"MOBILECARE - CAGAYAN DE ORO")</f>
        <v>MOBILECARE - CAGAYAN DE ORO</v>
      </c>
      <c r="D281" s="2" t="str">
        <f>IFERROR(__xludf.DUMMYFUNCTION("""COMPUTED_VALUE"""),"TA661-36694")</f>
        <v>TA661-36694</v>
      </c>
      <c r="E281" s="2" t="str">
        <f>IFERROR(__xludf.DUMMYFUNCTION("""COMPUTED_VALUE"""),"iPhone 15, Blue, 128GB, Logic Board Assy Mid System, ROW")</f>
        <v>iPhone 15, Blue, 128GB, Logic Board Assy Mid System, ROW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 t="str">
        <f t="shared" si="1"/>
        <v>May</v>
      </c>
      <c r="B282" s="11">
        <f>IFERROR(__xludf.DUMMYFUNCTION("""COMPUTED_VALUE"""),46154.0)</f>
        <v>46154</v>
      </c>
      <c r="C282" s="2" t="str">
        <f>IFERROR(__xludf.DUMMYFUNCTION("""COMPUTED_VALUE"""),"MOBILECARE - CAGAYAN DE ORO")</f>
        <v>MOBILECARE - CAGAYAN DE ORO</v>
      </c>
      <c r="D282" s="2" t="str">
        <f>IFERROR(__xludf.DUMMYFUNCTION("""COMPUTED_VALUE"""),"TA661-45001")</f>
        <v>TA661-45001</v>
      </c>
      <c r="E282" s="2" t="str">
        <f>IFERROR(__xludf.DUMMYFUNCTION("""COMPUTED_VALUE"""),"256GB, Desert Titanium, ROW, iPhone 16 Pro, Logic Board Assy Mid System")</f>
        <v>256GB, Desert Titanium, ROW, iPhone 16 Pro, Logic Board Assy Mid System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 t="str">
        <f t="shared" si="1"/>
        <v>April</v>
      </c>
      <c r="B283" s="11">
        <f>IFERROR(__xludf.DUMMYFUNCTION("""COMPUTED_VALUE"""),46117.0)</f>
        <v>46117</v>
      </c>
      <c r="C283" s="2" t="str">
        <f>IFERROR(__xludf.DUMMYFUNCTION("""COMPUTED_VALUE"""),"MOBILECARE - CAGAYAN DE ORO")</f>
        <v>MOBILECARE - CAGAYAN DE ORO</v>
      </c>
      <c r="D283" s="2" t="str">
        <f>IFERROR(__xludf.DUMMYFUNCTION("""COMPUTED_VALUE"""),"PP661-23454")</f>
        <v>PP661-23454</v>
      </c>
      <c r="E283" s="2" t="str">
        <f>IFERROR(__xludf.DUMMYFUNCTION("""COMPUTED_VALUE"""),"iPhone 13, Midnight, 128GB, Logic Board Assy Rear System, ROW")</f>
        <v>iPhone 13, Midnight, 128GB, Logic Board Assy Rear System, ROW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 t="str">
        <f t="shared" si="1"/>
        <v>March</v>
      </c>
      <c r="B284" s="11">
        <f>IFERROR(__xludf.DUMMYFUNCTION("""COMPUTED_VALUE"""),46112.0)</f>
        <v>46112</v>
      </c>
      <c r="C284" s="2" t="str">
        <f>IFERROR(__xludf.DUMMYFUNCTION("""COMPUTED_VALUE"""),"MOBILECARE - CAGAYAN DE ORO")</f>
        <v>MOBILECARE - CAGAYAN DE ORO</v>
      </c>
      <c r="D284" s="2" t="str">
        <f>IFERROR(__xludf.DUMMYFUNCTION("""COMPUTED_VALUE"""),"TA661-36692")</f>
        <v>TA661-36692</v>
      </c>
      <c r="E284" s="2" t="str">
        <f>IFERROR(__xludf.DUMMYFUNCTION("""COMPUTED_VALUE"""),"iPhone 15, Pink, 128GB, Logic Board Assy Mid System, ROW")</f>
        <v>iPhone 15, Pink, 128GB, Logic Board Assy Mid System, ROW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 t="str">
        <f t="shared" si="1"/>
        <v>February</v>
      </c>
      <c r="B285" s="11">
        <f>IFERROR(__xludf.DUMMYFUNCTION("""COMPUTED_VALUE"""),46077.0)</f>
        <v>46077</v>
      </c>
      <c r="C285" s="2" t="str">
        <f>IFERROR(__xludf.DUMMYFUNCTION("""COMPUTED_VALUE"""),"MOBILECARE - CAGAYAN DE ORO")</f>
        <v>MOBILECARE - CAGAYAN DE ORO</v>
      </c>
      <c r="D285" s="2" t="str">
        <f>IFERROR(__xludf.DUMMYFUNCTION("""COMPUTED_VALUE"""),"PP661-28868")</f>
        <v>PP661-28868</v>
      </c>
      <c r="E285" s="2" t="str">
        <f>IFERROR(__xludf.DUMMYFUNCTION("""COMPUTED_VALUE"""),"iPhone 14, Midnight, 128GB, Logic Board Assy Mid System, ROW")</f>
        <v>iPhone 14, Midnight, 128GB, Logic Board Assy Mid System, ROW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 t="str">
        <f t="shared" si="1"/>
        <v>May</v>
      </c>
      <c r="B286" s="11">
        <f>IFERROR(__xludf.DUMMYFUNCTION("""COMPUTED_VALUE"""),46161.0)</f>
        <v>46161</v>
      </c>
      <c r="C286" s="2" t="str">
        <f>IFERROR(__xludf.DUMMYFUNCTION("""COMPUTED_VALUE"""),"MOBILECARE - CAGAYAN DE ORO")</f>
        <v>MOBILECARE - CAGAYAN DE ORO</v>
      </c>
      <c r="D286" s="2" t="str">
        <f>IFERROR(__xludf.DUMMYFUNCTION("""COMPUTED_VALUE"""),"PP661-28874")</f>
        <v>PP661-28874</v>
      </c>
      <c r="E286" s="2" t="str">
        <f>IFERROR(__xludf.DUMMYFUNCTION("""COMPUTED_VALUE"""),"iPhone 14, Starlight, 256GB, Logic Board Assy Mid System, ROW")</f>
        <v>iPhone 14, Starlight, 256GB, Logic Board Assy Mid System, ROW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 t="str">
        <f t="shared" si="1"/>
        <v>April</v>
      </c>
      <c r="B287" s="11">
        <f>IFERROR(__xludf.DUMMYFUNCTION("""COMPUTED_VALUE"""),46131.0)</f>
        <v>46131</v>
      </c>
      <c r="C287" s="2" t="str">
        <f>IFERROR(__xludf.DUMMYFUNCTION("""COMPUTED_VALUE"""),"MOBILECARE - CAGAYAN DE ORO")</f>
        <v>MOBILECARE - CAGAYAN DE ORO</v>
      </c>
      <c r="D287" s="2" t="str">
        <f>IFERROR(__xludf.DUMMYFUNCTION("""COMPUTED_VALUE"""),"TA661-45236")</f>
        <v>TA661-45236</v>
      </c>
      <c r="E287" s="2" t="str">
        <f>IFERROR(__xludf.DUMMYFUNCTION("""COMPUTED_VALUE"""),"256GB, Black, ROW, iPhone 16 Plus, Logic Board Assy Mid System")</f>
        <v>256GB, Black, ROW, iPhone 16 Plus, Logic Board Assy Mid System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 t="str">
        <f t="shared" si="1"/>
        <v>June</v>
      </c>
      <c r="B288" s="11">
        <f>IFERROR(__xludf.DUMMYFUNCTION("""COMPUTED_VALUE"""),46191.0)</f>
        <v>46191</v>
      </c>
      <c r="C288" s="2" t="str">
        <f>IFERROR(__xludf.DUMMYFUNCTION("""COMPUTED_VALUE"""),"MOBILECARE - CAGAYAN DE ORO")</f>
        <v>MOBILECARE - CAGAYAN DE ORO</v>
      </c>
      <c r="D288" s="2" t="str">
        <f>IFERROR(__xludf.DUMMYFUNCTION("""COMPUTED_VALUE"""),"PP661-23454")</f>
        <v>PP661-23454</v>
      </c>
      <c r="E288" s="2" t="str">
        <f>IFERROR(__xludf.DUMMYFUNCTION("""COMPUTED_VALUE"""),"iPhone 13, Midnight, 128GB, Logic Board Assy Rear System, ROW")</f>
        <v>iPhone 13, Midnight, 128GB, Logic Board Assy Rear System, ROW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 t="str">
        <f t="shared" si="1"/>
        <v>February</v>
      </c>
      <c r="B289" s="11">
        <f>IFERROR(__xludf.DUMMYFUNCTION("""COMPUTED_VALUE"""),46068.0)</f>
        <v>46068</v>
      </c>
      <c r="C289" s="2" t="str">
        <f>IFERROR(__xludf.DUMMYFUNCTION("""COMPUTED_VALUE"""),"MOBILECARE - CAGAYAN DE ORO")</f>
        <v>MOBILECARE - CAGAYAN DE ORO</v>
      </c>
      <c r="D289" s="2" t="str">
        <f>IFERROR(__xludf.DUMMYFUNCTION("""COMPUTED_VALUE"""),"PP661-23454")</f>
        <v>PP661-23454</v>
      </c>
      <c r="E289" s="2" t="str">
        <f>IFERROR(__xludf.DUMMYFUNCTION("""COMPUTED_VALUE"""),"iPhone 13, Midnight, 128GB, Logic Board Assy Rear System, ROW")</f>
        <v>iPhone 13, Midnight, 128GB, Logic Board Assy Rear System, ROW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 t="str">
        <f t="shared" si="1"/>
        <v>February</v>
      </c>
      <c r="B290" s="11">
        <f>IFERROR(__xludf.DUMMYFUNCTION("""COMPUTED_VALUE"""),46060.0)</f>
        <v>46060</v>
      </c>
      <c r="C290" s="2" t="str">
        <f>IFERROR(__xludf.DUMMYFUNCTION("""COMPUTED_VALUE"""),"MOBILECARE - CAGAYAN DE ORO")</f>
        <v>MOBILECARE - CAGAYAN DE ORO</v>
      </c>
      <c r="D290" s="2" t="str">
        <f>IFERROR(__xludf.DUMMYFUNCTION("""COMPUTED_VALUE"""),"TA661-43612")</f>
        <v>TA661-43612</v>
      </c>
      <c r="E290" s="2" t="str">
        <f>IFERROR(__xludf.DUMMYFUNCTION("""COMPUTED_VALUE"""),"256GB, Pink, ROW, iPhone 16, Logic Board Assy Mid System")</f>
        <v>256GB, Pink, ROW, iPhone 16, Logic Board Assy Mid System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 t="str">
        <f t="shared" si="1"/>
        <v>March</v>
      </c>
      <c r="B291" s="11">
        <f>IFERROR(__xludf.DUMMYFUNCTION("""COMPUTED_VALUE"""),46101.0)</f>
        <v>46101</v>
      </c>
      <c r="C291" s="2" t="str">
        <f>IFERROR(__xludf.DUMMYFUNCTION("""COMPUTED_VALUE"""),"MOBILECARE - CAGAYAN DE ORO")</f>
        <v>MOBILECARE - CAGAYAN DE ORO</v>
      </c>
      <c r="D291" s="2" t="str">
        <f>IFERROR(__xludf.DUMMYFUNCTION("""COMPUTED_VALUE"""),"PP661-23455")</f>
        <v>PP661-23455</v>
      </c>
      <c r="E291" s="2" t="str">
        <f>IFERROR(__xludf.DUMMYFUNCTION("""COMPUTED_VALUE"""),"iPhone 13, Starlight, 128GB, Logic Board Assy Rear System, ROW")</f>
        <v>iPhone 13, Starlight, 128GB, Logic Board Assy Rear System, ROW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 t="str">
        <f t="shared" si="1"/>
        <v>March</v>
      </c>
      <c r="B292" s="11">
        <f>IFERROR(__xludf.DUMMYFUNCTION("""COMPUTED_VALUE"""),46091.0)</f>
        <v>46091</v>
      </c>
      <c r="C292" s="2" t="str">
        <f>IFERROR(__xludf.DUMMYFUNCTION("""COMPUTED_VALUE"""),"MOBILECARE - CAGAYAN DE ORO")</f>
        <v>MOBILECARE - CAGAYAN DE ORO</v>
      </c>
      <c r="D292" s="2" t="str">
        <f>IFERROR(__xludf.DUMMYFUNCTION("""COMPUTED_VALUE"""),"TA661-36694")</f>
        <v>TA661-36694</v>
      </c>
      <c r="E292" s="2" t="str">
        <f>IFERROR(__xludf.DUMMYFUNCTION("""COMPUTED_VALUE"""),"iPhone 15, Blue, 128GB, Logic Board Assy Mid System, ROW")</f>
        <v>iPhone 15, Blue, 128GB, Logic Board Assy Mid System, ROW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 t="str">
        <f t="shared" si="1"/>
        <v>April</v>
      </c>
      <c r="B293" s="11">
        <f>IFERROR(__xludf.DUMMYFUNCTION("""COMPUTED_VALUE"""),46141.0)</f>
        <v>46141</v>
      </c>
      <c r="C293" s="2" t="str">
        <f>IFERROR(__xludf.DUMMYFUNCTION("""COMPUTED_VALUE"""),"MOBILECARE - CAGAYAN DE ORO")</f>
        <v>MOBILECARE - CAGAYAN DE ORO</v>
      </c>
      <c r="D293" s="2" t="str">
        <f>IFERROR(__xludf.DUMMYFUNCTION("""COMPUTED_VALUE"""),"TA661-36694")</f>
        <v>TA661-36694</v>
      </c>
      <c r="E293" s="2" t="str">
        <f>IFERROR(__xludf.DUMMYFUNCTION("""COMPUTED_VALUE"""),"iPhone 15, Blue, 128GB, Logic Board Assy Mid System, ROW")</f>
        <v>iPhone 15, Blue, 128GB, Logic Board Assy Mid System, ROW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 t="str">
        <f t="shared" si="1"/>
        <v>April</v>
      </c>
      <c r="B294" s="11">
        <f>IFERROR(__xludf.DUMMYFUNCTION("""COMPUTED_VALUE"""),46119.0)</f>
        <v>46119</v>
      </c>
      <c r="C294" s="2" t="str">
        <f>IFERROR(__xludf.DUMMYFUNCTION("""COMPUTED_VALUE"""),"MOBILECARE - CAGAYAN DE ORO")</f>
        <v>MOBILECARE - CAGAYAN DE ORO</v>
      </c>
      <c r="D294" s="2" t="str">
        <f>IFERROR(__xludf.DUMMYFUNCTION("""COMPUTED_VALUE"""),"TA661-36694")</f>
        <v>TA661-36694</v>
      </c>
      <c r="E294" s="2" t="str">
        <f>IFERROR(__xludf.DUMMYFUNCTION("""COMPUTED_VALUE"""),"iPhone 15, Blue, 128GB, Logic Board Assy Mid System, ROW")</f>
        <v>iPhone 15, Blue, 128GB, Logic Board Assy Mid System, ROW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 t="str">
        <f t="shared" si="1"/>
        <v>February</v>
      </c>
      <c r="B295" s="11">
        <f>IFERROR(__xludf.DUMMYFUNCTION("""COMPUTED_VALUE"""),46061.0)</f>
        <v>46061</v>
      </c>
      <c r="C295" s="2" t="str">
        <f>IFERROR(__xludf.DUMMYFUNCTION("""COMPUTED_VALUE"""),"MOBILECARE - CAGAYAN DE ORO")</f>
        <v>MOBILECARE - CAGAYAN DE ORO</v>
      </c>
      <c r="D295" s="2" t="str">
        <f>IFERROR(__xludf.DUMMYFUNCTION("""COMPUTED_VALUE"""),"PP661-28871")</f>
        <v>PP661-28871</v>
      </c>
      <c r="E295" s="2" t="str">
        <f>IFERROR(__xludf.DUMMYFUNCTION("""COMPUTED_VALUE"""),"iPhone 14, Blue, 128GB, Logic Board Assy Mid System, ROW")</f>
        <v>iPhone 14, Blue, 128GB, Logic Board Assy Mid System, ROW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 t="str">
        <f t="shared" si="1"/>
        <v>April</v>
      </c>
      <c r="B296" s="11">
        <f>IFERROR(__xludf.DUMMYFUNCTION("""COMPUTED_VALUE"""),46130.0)</f>
        <v>46130</v>
      </c>
      <c r="C296" s="2" t="str">
        <f>IFERROR(__xludf.DUMMYFUNCTION("""COMPUTED_VALUE"""),"MOBILECARE - CAGAYAN DE ORO")</f>
        <v>MOBILECARE - CAGAYAN DE ORO</v>
      </c>
      <c r="D296" s="2" t="str">
        <f>IFERROR(__xludf.DUMMYFUNCTION("""COMPUTED_VALUE"""),"PP661-28869")</f>
        <v>PP661-28869</v>
      </c>
      <c r="E296" s="2" t="str">
        <f>IFERROR(__xludf.DUMMYFUNCTION("""COMPUTED_VALUE"""),"iPhone 14, Starlight, 128GB, Logic Board Assy Mid System, ROW")</f>
        <v>iPhone 14, Starlight, 128GB, Logic Board Assy Mid System, ROW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 t="str">
        <f t="shared" si="1"/>
        <v>April</v>
      </c>
      <c r="B297" s="11">
        <f>IFERROR(__xludf.DUMMYFUNCTION("""COMPUTED_VALUE"""),46120.0)</f>
        <v>46120</v>
      </c>
      <c r="C297" s="2" t="str">
        <f>IFERROR(__xludf.DUMMYFUNCTION("""COMPUTED_VALUE"""),"MOBILECARE - CEBU")</f>
        <v>MOBILECARE - CEBU</v>
      </c>
      <c r="D297" s="2" t="str">
        <f>IFERROR(__xludf.DUMMYFUNCTION("""COMPUTED_VALUE"""),"PP661-23454")</f>
        <v>PP661-23454</v>
      </c>
      <c r="E297" s="2" t="str">
        <f>IFERROR(__xludf.DUMMYFUNCTION("""COMPUTED_VALUE"""),"iPhone 13, Midnight, 128GB, Logic Board Assy Rear System, ROW")</f>
        <v>iPhone 13, Midnight, 128GB, Logic Board Assy Rear System, ROW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 t="str">
        <f t="shared" si="1"/>
        <v>March</v>
      </c>
      <c r="B298" s="11">
        <f>IFERROR(__xludf.DUMMYFUNCTION("""COMPUTED_VALUE"""),46110.0)</f>
        <v>46110</v>
      </c>
      <c r="C298" s="2" t="str">
        <f>IFERROR(__xludf.DUMMYFUNCTION("""COMPUTED_VALUE"""),"MOBILECARE - CEBU")</f>
        <v>MOBILECARE - CEBU</v>
      </c>
      <c r="D298" s="2" t="str">
        <f>IFERROR(__xludf.DUMMYFUNCTION("""COMPUTED_VALUE"""),"PP661-23454")</f>
        <v>PP661-23454</v>
      </c>
      <c r="E298" s="2" t="str">
        <f>IFERROR(__xludf.DUMMYFUNCTION("""COMPUTED_VALUE"""),"iPhone 13, Midnight, 128GB, Logic Board Assy Rear System, ROW")</f>
        <v>iPhone 13, Midnight, 128GB, Logic Board Assy Rear System, ROW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 t="str">
        <f t="shared" si="1"/>
        <v>April</v>
      </c>
      <c r="B299" s="11">
        <f>IFERROR(__xludf.DUMMYFUNCTION("""COMPUTED_VALUE"""),46113.0)</f>
        <v>46113</v>
      </c>
      <c r="C299" s="2" t="str">
        <f>IFERROR(__xludf.DUMMYFUNCTION("""COMPUTED_VALUE"""),"MOBILECARE - CEBU")</f>
        <v>MOBILECARE - CEBU</v>
      </c>
      <c r="D299" s="2" t="str">
        <f>IFERROR(__xludf.DUMMYFUNCTION("""COMPUTED_VALUE"""),"TA661-36691")</f>
        <v>TA661-36691</v>
      </c>
      <c r="E299" s="2" t="str">
        <f>IFERROR(__xludf.DUMMYFUNCTION("""COMPUTED_VALUE"""),"iPhone 15, Black, 128GB, Logic Board Assy Mid System, ROW")</f>
        <v>iPhone 15, Black, 128GB, Logic Board Assy Mid System, ROW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 t="str">
        <f t="shared" si="1"/>
        <v>June</v>
      </c>
      <c r="B300" s="11">
        <f>IFERROR(__xludf.DUMMYFUNCTION("""COMPUTED_VALUE"""),46187.0)</f>
        <v>46187</v>
      </c>
      <c r="C300" s="2" t="str">
        <f>IFERROR(__xludf.DUMMYFUNCTION("""COMPUTED_VALUE"""),"MOBILECARE - CEBU")</f>
        <v>MOBILECARE - CEBU</v>
      </c>
      <c r="D300" s="2" t="str">
        <f>IFERROR(__xludf.DUMMYFUNCTION("""COMPUTED_VALUE"""),"PP661-28868")</f>
        <v>PP661-28868</v>
      </c>
      <c r="E300" s="2" t="str">
        <f>IFERROR(__xludf.DUMMYFUNCTION("""COMPUTED_VALUE"""),"iPhone 14, Midnight, 128GB, Logic Board Assy Mid System, ROW")</f>
        <v>iPhone 14, Midnight, 128GB, Logic Board Assy Mid System, ROW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 t="str">
        <f t="shared" si="1"/>
        <v>April</v>
      </c>
      <c r="B301" s="11">
        <f>IFERROR(__xludf.DUMMYFUNCTION("""COMPUTED_VALUE"""),46124.0)</f>
        <v>46124</v>
      </c>
      <c r="C301" s="2" t="str">
        <f>IFERROR(__xludf.DUMMYFUNCTION("""COMPUTED_VALUE"""),"MOBILECARE - CEBU")</f>
        <v>MOBILECARE - CEBU</v>
      </c>
      <c r="D301" s="2" t="str">
        <f>IFERROR(__xludf.DUMMYFUNCTION("""COMPUTED_VALUE"""),"TA661-45231")</f>
        <v>TA661-45231</v>
      </c>
      <c r="E301" s="2" t="str">
        <f>IFERROR(__xludf.DUMMYFUNCTION("""COMPUTED_VALUE"""),"128GB, Black, ROW, iPhone 16 Plus, Logic Board Assy Mid System")</f>
        <v>128GB, Black, ROW, iPhone 16 Plus, Logic Board Assy Mid System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 t="str">
        <f t="shared" si="1"/>
        <v>April</v>
      </c>
      <c r="B302" s="11">
        <f>IFERROR(__xludf.DUMMYFUNCTION("""COMPUTED_VALUE"""),46124.0)</f>
        <v>46124</v>
      </c>
      <c r="C302" s="2" t="str">
        <f>IFERROR(__xludf.DUMMYFUNCTION("""COMPUTED_VALUE"""),"MOBILECARE - CEBU")</f>
        <v>MOBILECARE - CEBU</v>
      </c>
      <c r="D302" s="2" t="str">
        <f>IFERROR(__xludf.DUMMYFUNCTION("""COMPUTED_VALUE"""),"PP661-23455")</f>
        <v>PP661-23455</v>
      </c>
      <c r="E302" s="2" t="str">
        <f>IFERROR(__xludf.DUMMYFUNCTION("""COMPUTED_VALUE"""),"iPhone 13, Starlight, 128GB, Logic Board Assy Rear System, ROW")</f>
        <v>iPhone 13, Starlight, 128GB, Logic Board Assy Rear System, ROW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 t="str">
        <f t="shared" si="1"/>
        <v>May</v>
      </c>
      <c r="B303" s="11">
        <f>IFERROR(__xludf.DUMMYFUNCTION("""COMPUTED_VALUE"""),46149.0)</f>
        <v>46149</v>
      </c>
      <c r="C303" s="2" t="str">
        <f>IFERROR(__xludf.DUMMYFUNCTION("""COMPUTED_VALUE"""),"MOBILECARE - CEBU")</f>
        <v>MOBILECARE - CEBU</v>
      </c>
      <c r="D303" s="2" t="str">
        <f>IFERROR(__xludf.DUMMYFUNCTION("""COMPUTED_VALUE"""),"PP661-23454")</f>
        <v>PP661-23454</v>
      </c>
      <c r="E303" s="2" t="str">
        <f>IFERROR(__xludf.DUMMYFUNCTION("""COMPUTED_VALUE"""),"iPhone 13, Midnight, 128GB, Logic Board Assy Rear System, ROW")</f>
        <v>iPhone 13, Midnight, 128GB, Logic Board Assy Rear System, ROW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 t="str">
        <f t="shared" si="1"/>
        <v>June</v>
      </c>
      <c r="B304" s="11">
        <f>IFERROR(__xludf.DUMMYFUNCTION("""COMPUTED_VALUE"""),46187.0)</f>
        <v>46187</v>
      </c>
      <c r="C304" s="2" t="str">
        <f>IFERROR(__xludf.DUMMYFUNCTION("""COMPUTED_VALUE"""),"MOBILECARE - CEBU")</f>
        <v>MOBILECARE - CEBU</v>
      </c>
      <c r="D304" s="2" t="str">
        <f>IFERROR(__xludf.DUMMYFUNCTION("""COMPUTED_VALUE"""),"PP661-23454")</f>
        <v>PP661-23454</v>
      </c>
      <c r="E304" s="2" t="str">
        <f>IFERROR(__xludf.DUMMYFUNCTION("""COMPUTED_VALUE"""),"iPhone 13, Midnight, 128GB, Logic Board Assy Rear System, ROW")</f>
        <v>iPhone 13, Midnight, 128GB, Logic Board Assy Rear System, ROW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 t="str">
        <f t="shared" si="1"/>
        <v>March</v>
      </c>
      <c r="B305" s="11">
        <f>IFERROR(__xludf.DUMMYFUNCTION("""COMPUTED_VALUE"""),46082.0)</f>
        <v>46082</v>
      </c>
      <c r="C305" s="2" t="str">
        <f>IFERROR(__xludf.DUMMYFUNCTION("""COMPUTED_VALUE"""),"MOBILECARE - CEBU")</f>
        <v>MOBILECARE - CEBU</v>
      </c>
      <c r="D305" s="2" t="str">
        <f>IFERROR(__xludf.DUMMYFUNCTION("""COMPUTED_VALUE"""),"TA661-45237")</f>
        <v>TA661-45237</v>
      </c>
      <c r="E305" s="2" t="str">
        <f>IFERROR(__xludf.DUMMYFUNCTION("""COMPUTED_VALUE"""),"256GB, White, ROW, iPhone 16 Plus, Logic Board Assy Mid System")</f>
        <v>256GB, White, ROW, iPhone 16 Plus, Logic Board Assy Mid System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 t="str">
        <f t="shared" si="1"/>
        <v>February</v>
      </c>
      <c r="B306" s="11">
        <f>IFERROR(__xludf.DUMMYFUNCTION("""COMPUTED_VALUE"""),46065.0)</f>
        <v>46065</v>
      </c>
      <c r="C306" s="2" t="str">
        <f>IFERROR(__xludf.DUMMYFUNCTION("""COMPUTED_VALUE"""),"MOBILECARE - CEBU")</f>
        <v>MOBILECARE - CEBU</v>
      </c>
      <c r="D306" s="2" t="str">
        <f>IFERROR(__xludf.DUMMYFUNCTION("""COMPUTED_VALUE"""),"PP661-23455")</f>
        <v>PP661-23455</v>
      </c>
      <c r="E306" s="2" t="str">
        <f>IFERROR(__xludf.DUMMYFUNCTION("""COMPUTED_VALUE"""),"iPhone 13, Starlight, 128GB, Logic Board Assy Rear System, ROW")</f>
        <v>iPhone 13, Starlight, 128GB, Logic Board Assy Rear System, ROW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 t="str">
        <f t="shared" si="1"/>
        <v>March</v>
      </c>
      <c r="B307" s="11">
        <f>IFERROR(__xludf.DUMMYFUNCTION("""COMPUTED_VALUE"""),46109.0)</f>
        <v>46109</v>
      </c>
      <c r="C307" s="2" t="str">
        <f>IFERROR(__xludf.DUMMYFUNCTION("""COMPUTED_VALUE"""),"MOBILECARE - CEBU")</f>
        <v>MOBILECARE - CEBU</v>
      </c>
      <c r="D307" s="2" t="str">
        <f>IFERROR(__xludf.DUMMYFUNCTION("""COMPUTED_VALUE"""),"PP661-23455")</f>
        <v>PP661-23455</v>
      </c>
      <c r="E307" s="2" t="str">
        <f>IFERROR(__xludf.DUMMYFUNCTION("""COMPUTED_VALUE"""),"iPhone 13, Starlight, 128GB, Logic Board Assy Rear System, ROW")</f>
        <v>iPhone 13, Starlight, 128GB, Logic Board Assy Rear System, ROW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 t="str">
        <f t="shared" si="1"/>
        <v>February</v>
      </c>
      <c r="B308" s="11">
        <f>IFERROR(__xludf.DUMMYFUNCTION("""COMPUTED_VALUE"""),46058.0)</f>
        <v>46058</v>
      </c>
      <c r="C308" s="2" t="str">
        <f>IFERROR(__xludf.DUMMYFUNCTION("""COMPUTED_VALUE"""),"MOBILECARE - CEBU")</f>
        <v>MOBILECARE - CEBU</v>
      </c>
      <c r="D308" s="2" t="str">
        <f>IFERROR(__xludf.DUMMYFUNCTION("""COMPUTED_VALUE"""),"TA661-36695")</f>
        <v>TA661-36695</v>
      </c>
      <c r="E308" s="2" t="str">
        <f>IFERROR(__xludf.DUMMYFUNCTION("""COMPUTED_VALUE"""),"iPhone 15, Green, 128GB, Logic Board Assy Mid System, ROW")</f>
        <v>iPhone 15, Green, 128GB, Logic Board Assy Mid System, ROW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 t="str">
        <f t="shared" si="1"/>
        <v>April</v>
      </c>
      <c r="B309" s="11">
        <f>IFERROR(__xludf.DUMMYFUNCTION("""COMPUTED_VALUE"""),46137.0)</f>
        <v>46137</v>
      </c>
      <c r="C309" s="2" t="str">
        <f>IFERROR(__xludf.DUMMYFUNCTION("""COMPUTED_VALUE"""),"MOBILECARE - CEBU")</f>
        <v>MOBILECARE - CEBU</v>
      </c>
      <c r="D309" s="2" t="str">
        <f>IFERROR(__xludf.DUMMYFUNCTION("""COMPUTED_VALUE"""),"PP661-23455")</f>
        <v>PP661-23455</v>
      </c>
      <c r="E309" s="2" t="str">
        <f>IFERROR(__xludf.DUMMYFUNCTION("""COMPUTED_VALUE"""),"iPhone 13, Starlight, 128GB, Logic Board Assy Rear System, ROW")</f>
        <v>iPhone 13, Starlight, 128GB, Logic Board Assy Rear System, ROW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 t="str">
        <f t="shared" si="1"/>
        <v>April</v>
      </c>
      <c r="B310" s="11">
        <f>IFERROR(__xludf.DUMMYFUNCTION("""COMPUTED_VALUE"""),46135.0)</f>
        <v>46135</v>
      </c>
      <c r="C310" s="2" t="str">
        <f>IFERROR(__xludf.DUMMYFUNCTION("""COMPUTED_VALUE"""),"MOBILECARE - CEBU")</f>
        <v>MOBILECARE - CEBU</v>
      </c>
      <c r="D310" s="2" t="str">
        <f>IFERROR(__xludf.DUMMYFUNCTION("""COMPUTED_VALUE"""),"PP661-23455")</f>
        <v>PP661-23455</v>
      </c>
      <c r="E310" s="2" t="str">
        <f>IFERROR(__xludf.DUMMYFUNCTION("""COMPUTED_VALUE"""),"iPhone 13, Starlight, 128GB, Logic Board Assy Rear System, ROW")</f>
        <v>iPhone 13, Starlight, 128GB, Logic Board Assy Rear System, ROW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 t="str">
        <f t="shared" si="1"/>
        <v>April</v>
      </c>
      <c r="B311" s="11">
        <f>IFERROR(__xludf.DUMMYFUNCTION("""COMPUTED_VALUE"""),46123.0)</f>
        <v>46123</v>
      </c>
      <c r="C311" s="2" t="str">
        <f>IFERROR(__xludf.DUMMYFUNCTION("""COMPUTED_VALUE"""),"MOBILECARE - CEBU")</f>
        <v>MOBILECARE - CEBU</v>
      </c>
      <c r="D311" s="2" t="str">
        <f>IFERROR(__xludf.DUMMYFUNCTION("""COMPUTED_VALUE"""),"PP661-23461")</f>
        <v>PP661-23461</v>
      </c>
      <c r="E311" s="2" t="str">
        <f>IFERROR(__xludf.DUMMYFUNCTION("""COMPUTED_VALUE"""),"iPhone 13, Pink, 256GB, Logic Board Assy Rear System, ROW")</f>
        <v>iPhone 13, Pink, 256GB, Logic Board Assy Rear System, ROW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 t="str">
        <f t="shared" si="1"/>
        <v>March</v>
      </c>
      <c r="B312" s="11">
        <f>IFERROR(__xludf.DUMMYFUNCTION("""COMPUTED_VALUE"""),46108.0)</f>
        <v>46108</v>
      </c>
      <c r="C312" s="2" t="str">
        <f>IFERROR(__xludf.DUMMYFUNCTION("""COMPUTED_VALUE"""),"MOBILECARE - CEBU")</f>
        <v>MOBILECARE - CEBU</v>
      </c>
      <c r="D312" s="2" t="str">
        <f>IFERROR(__xludf.DUMMYFUNCTION("""COMPUTED_VALUE"""),"PP661-23455")</f>
        <v>PP661-23455</v>
      </c>
      <c r="E312" s="2" t="str">
        <f>IFERROR(__xludf.DUMMYFUNCTION("""COMPUTED_VALUE"""),"iPhone 13, Starlight, 128GB, Logic Board Assy Rear System, ROW")</f>
        <v>iPhone 13, Starlight, 128GB, Logic Board Assy Rear System, ROW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 t="str">
        <f t="shared" si="1"/>
        <v>June</v>
      </c>
      <c r="B313" s="11">
        <f>IFERROR(__xludf.DUMMYFUNCTION("""COMPUTED_VALUE"""),46192.0)</f>
        <v>46192</v>
      </c>
      <c r="C313" s="2" t="str">
        <f>IFERROR(__xludf.DUMMYFUNCTION("""COMPUTED_VALUE"""),"MOBILECARE - CEBU")</f>
        <v>MOBILECARE - CEBU</v>
      </c>
      <c r="D313" s="2" t="str">
        <f>IFERROR(__xludf.DUMMYFUNCTION("""COMPUTED_VALUE"""),"PP661-28869")</f>
        <v>PP661-28869</v>
      </c>
      <c r="E313" s="2" t="str">
        <f>IFERROR(__xludf.DUMMYFUNCTION("""COMPUTED_VALUE"""),"iPhone 14, Starlight, 128GB, Logic Board Assy Mid System, ROW")</f>
        <v>iPhone 14, Starlight, 128GB, Logic Board Assy Mid System, ROW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 t="str">
        <f t="shared" si="1"/>
        <v>June</v>
      </c>
      <c r="B314" s="11">
        <f>IFERROR(__xludf.DUMMYFUNCTION("""COMPUTED_VALUE"""),46185.0)</f>
        <v>46185</v>
      </c>
      <c r="C314" s="2" t="str">
        <f>IFERROR(__xludf.DUMMYFUNCTION("""COMPUTED_VALUE"""),"MOBILECARE - CEBU")</f>
        <v>MOBILECARE - CEBU</v>
      </c>
      <c r="D314" s="2" t="str">
        <f>IFERROR(__xludf.DUMMYFUNCTION("""COMPUTED_VALUE"""),"PP661-23455")</f>
        <v>PP661-23455</v>
      </c>
      <c r="E314" s="2" t="str">
        <f>IFERROR(__xludf.DUMMYFUNCTION("""COMPUTED_VALUE"""),"iPhone 13, Starlight, 128GB, Logic Board Assy Rear System, ROW")</f>
        <v>iPhone 13, Starlight, 128GB, Logic Board Assy Rear System, ROW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 t="str">
        <f t="shared" si="1"/>
        <v>May</v>
      </c>
      <c r="B315" s="11">
        <f>IFERROR(__xludf.DUMMYFUNCTION("""COMPUTED_VALUE"""),46143.0)</f>
        <v>46143</v>
      </c>
      <c r="C315" s="2" t="str">
        <f>IFERROR(__xludf.DUMMYFUNCTION("""COMPUTED_VALUE"""),"MOBILECARE - CEBU")</f>
        <v>MOBILECARE - CEBU</v>
      </c>
      <c r="D315" s="2" t="str">
        <f>IFERROR(__xludf.DUMMYFUNCTION("""COMPUTED_VALUE"""),"PP661-28871")</f>
        <v>PP661-28871</v>
      </c>
      <c r="E315" s="2" t="str">
        <f>IFERROR(__xludf.DUMMYFUNCTION("""COMPUTED_VALUE"""),"iPhone 14, Blue, 128GB, Logic Board Assy Mid System, ROW")</f>
        <v>iPhone 14, Blue, 128GB, Logic Board Assy Mid System, ROW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 t="str">
        <f t="shared" si="1"/>
        <v>April</v>
      </c>
      <c r="B316" s="11">
        <f>IFERROR(__xludf.DUMMYFUNCTION("""COMPUTED_VALUE"""),46116.0)</f>
        <v>46116</v>
      </c>
      <c r="C316" s="2" t="str">
        <f>IFERROR(__xludf.DUMMYFUNCTION("""COMPUTED_VALUE"""),"MOBILECARE - CEBU")</f>
        <v>MOBILECARE - CEBU</v>
      </c>
      <c r="D316" s="2" t="str">
        <f>IFERROR(__xludf.DUMMYFUNCTION("""COMPUTED_VALUE"""),"PP661-23455")</f>
        <v>PP661-23455</v>
      </c>
      <c r="E316" s="2" t="str">
        <f>IFERROR(__xludf.DUMMYFUNCTION("""COMPUTED_VALUE"""),"iPhone 13, Starlight, 128GB, Logic Board Assy Rear System, ROW")</f>
        <v>iPhone 13, Starlight, 128GB, Logic Board Assy Rear System, ROW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 t="str">
        <f t="shared" si="1"/>
        <v>February</v>
      </c>
      <c r="B317" s="11">
        <f>IFERROR(__xludf.DUMMYFUNCTION("""COMPUTED_VALUE"""),46074.0)</f>
        <v>46074</v>
      </c>
      <c r="C317" s="2" t="str">
        <f>IFERROR(__xludf.DUMMYFUNCTION("""COMPUTED_VALUE"""),"MOBILECARE - CEBU")</f>
        <v>MOBILECARE - CEBU</v>
      </c>
      <c r="D317" s="2" t="str">
        <f>IFERROR(__xludf.DUMMYFUNCTION("""COMPUTED_VALUE"""),"TA661-44996")</f>
        <v>TA661-44996</v>
      </c>
      <c r="E317" s="2" t="str">
        <f>IFERROR(__xludf.DUMMYFUNCTION("""COMPUTED_VALUE"""),"128GB, White Titanium, ROW, iPhone 16 Pro, Logic Board Assy Mid System")</f>
        <v>128GB, White Titanium, ROW, iPhone 16 Pro, Logic Board Assy Mid System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 t="str">
        <f t="shared" si="1"/>
        <v>June</v>
      </c>
      <c r="B318" s="11">
        <f>IFERROR(__xludf.DUMMYFUNCTION("""COMPUTED_VALUE"""),46193.0)</f>
        <v>46193</v>
      </c>
      <c r="C318" s="2" t="str">
        <f>IFERROR(__xludf.DUMMYFUNCTION("""COMPUTED_VALUE"""),"MOBILECARE - CEBU")</f>
        <v>MOBILECARE - CEBU</v>
      </c>
      <c r="D318" s="2" t="str">
        <f>IFERROR(__xludf.DUMMYFUNCTION("""COMPUTED_VALUE"""),"TA661-43609")</f>
        <v>TA661-43609</v>
      </c>
      <c r="E318" s="2" t="str">
        <f>IFERROR(__xludf.DUMMYFUNCTION("""COMPUTED_VALUE"""),"128GB, Teal, ROW, iPhone 16, Logic Board Assy Mid System")</f>
        <v>128GB, Teal, ROW, iPhone 16, Logic Board Assy Mid System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 t="str">
        <f t="shared" si="1"/>
        <v>February</v>
      </c>
      <c r="B319" s="11">
        <f>IFERROR(__xludf.DUMMYFUNCTION("""COMPUTED_VALUE"""),46074.0)</f>
        <v>46074</v>
      </c>
      <c r="C319" s="2" t="str">
        <f>IFERROR(__xludf.DUMMYFUNCTION("""COMPUTED_VALUE"""),"MOBILECARE - CEBU")</f>
        <v>MOBILECARE - CEBU</v>
      </c>
      <c r="D319" s="2" t="str">
        <f>IFERROR(__xludf.DUMMYFUNCTION("""COMPUTED_VALUE"""),"TA661-45001")</f>
        <v>TA661-45001</v>
      </c>
      <c r="E319" s="2" t="str">
        <f>IFERROR(__xludf.DUMMYFUNCTION("""COMPUTED_VALUE"""),"256GB, Desert Titanium, ROW, iPhone 16 Pro, Logic Board Assy Mid System")</f>
        <v>256GB, Desert Titanium, ROW, iPhone 16 Pro, Logic Board Assy Mid System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 t="str">
        <f t="shared" si="1"/>
        <v>April</v>
      </c>
      <c r="B320" s="11">
        <f>IFERROR(__xludf.DUMMYFUNCTION("""COMPUTED_VALUE"""),46123.0)</f>
        <v>46123</v>
      </c>
      <c r="C320" s="2" t="str">
        <f>IFERROR(__xludf.DUMMYFUNCTION("""COMPUTED_VALUE"""),"MOBILECARE - CEBU")</f>
        <v>MOBILECARE - CEBU</v>
      </c>
      <c r="D320" s="2" t="str">
        <f>IFERROR(__xludf.DUMMYFUNCTION("""COMPUTED_VALUE"""),"PP661-28873")</f>
        <v>PP661-28873</v>
      </c>
      <c r="E320" s="2" t="str">
        <f>IFERROR(__xludf.DUMMYFUNCTION("""COMPUTED_VALUE"""),"iPhone 14, Midnight, 256GB, Logic Board Assy Mid System, ROW")</f>
        <v>iPhone 14, Midnight, 256GB, Logic Board Assy Mid System, ROW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 t="str">
        <f t="shared" si="1"/>
        <v>March</v>
      </c>
      <c r="B321" s="11">
        <f>IFERROR(__xludf.DUMMYFUNCTION("""COMPUTED_VALUE"""),46095.0)</f>
        <v>46095</v>
      </c>
      <c r="C321" s="2" t="str">
        <f>IFERROR(__xludf.DUMMYFUNCTION("""COMPUTED_VALUE"""),"MOBILECARE - CEBU")</f>
        <v>MOBILECARE - CEBU</v>
      </c>
      <c r="D321" s="2" t="str">
        <f>IFERROR(__xludf.DUMMYFUNCTION("""COMPUTED_VALUE"""),"PP661-23455")</f>
        <v>PP661-23455</v>
      </c>
      <c r="E321" s="2" t="str">
        <f>IFERROR(__xludf.DUMMYFUNCTION("""COMPUTED_VALUE"""),"iPhone 13, Starlight, 128GB, Logic Board Assy Rear System, ROW")</f>
        <v>iPhone 13, Starlight, 128GB, Logic Board Assy Rear System, ROW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 t="str">
        <f t="shared" si="1"/>
        <v>February</v>
      </c>
      <c r="B322" s="11">
        <f>IFERROR(__xludf.DUMMYFUNCTION("""COMPUTED_VALUE"""),46081.0)</f>
        <v>46081</v>
      </c>
      <c r="C322" s="2" t="str">
        <f>IFERROR(__xludf.DUMMYFUNCTION("""COMPUTED_VALUE"""),"MOBILECARE - CEBU")</f>
        <v>MOBILECARE - CEBU</v>
      </c>
      <c r="D322" s="2" t="str">
        <f>IFERROR(__xludf.DUMMYFUNCTION("""COMPUTED_VALUE"""),"PP661-23455")</f>
        <v>PP661-23455</v>
      </c>
      <c r="E322" s="2" t="str">
        <f>IFERROR(__xludf.DUMMYFUNCTION("""COMPUTED_VALUE"""),"iPhone 13, Starlight, 128GB, Logic Board Assy Rear System, ROW")</f>
        <v>iPhone 13, Starlight, 128GB, Logic Board Assy Rear System, ROW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 t="str">
        <f t="shared" si="1"/>
        <v>February</v>
      </c>
      <c r="B323" s="11">
        <f>IFERROR(__xludf.DUMMYFUNCTION("""COMPUTED_VALUE"""),46070.0)</f>
        <v>46070</v>
      </c>
      <c r="C323" s="2" t="str">
        <f>IFERROR(__xludf.DUMMYFUNCTION("""COMPUTED_VALUE"""),"MOBILECARE - CEBU")</f>
        <v>MOBILECARE - CEBU</v>
      </c>
      <c r="D323" s="2" t="str">
        <f>IFERROR(__xludf.DUMMYFUNCTION("""COMPUTED_VALUE"""),"PP661-23461")</f>
        <v>PP661-23461</v>
      </c>
      <c r="E323" s="2" t="str">
        <f>IFERROR(__xludf.DUMMYFUNCTION("""COMPUTED_VALUE"""),"iPhone 13, Pink, 256GB, Logic Board Assy Rear System, ROW")</f>
        <v>iPhone 13, Pink, 256GB, Logic Board Assy Rear System, ROW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 t="str">
        <f t="shared" si="1"/>
        <v>April</v>
      </c>
      <c r="B324" s="11">
        <f>IFERROR(__xludf.DUMMYFUNCTION("""COMPUTED_VALUE"""),46138.0)</f>
        <v>46138</v>
      </c>
      <c r="C324" s="2" t="str">
        <f>IFERROR(__xludf.DUMMYFUNCTION("""COMPUTED_VALUE"""),"MOBILECARE - CEBU")</f>
        <v>MOBILECARE - CEBU</v>
      </c>
      <c r="D324" s="2" t="str">
        <f>IFERROR(__xludf.DUMMYFUNCTION("""COMPUTED_VALUE"""),"TA661-43612")</f>
        <v>TA661-43612</v>
      </c>
      <c r="E324" s="2" t="str">
        <f>IFERROR(__xludf.DUMMYFUNCTION("""COMPUTED_VALUE"""),"256GB, Pink, ROW, iPhone 16, Logic Board Assy Mid System")</f>
        <v>256GB, Pink, ROW, iPhone 16, Logic Board Assy Mid System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 t="str">
        <f t="shared" si="1"/>
        <v>April</v>
      </c>
      <c r="B325" s="11">
        <f>IFERROR(__xludf.DUMMYFUNCTION("""COMPUTED_VALUE"""),46132.0)</f>
        <v>46132</v>
      </c>
      <c r="C325" s="2" t="str">
        <f>IFERROR(__xludf.DUMMYFUNCTION("""COMPUTED_VALUE"""),"MOBILECARE - CEBU")</f>
        <v>MOBILECARE - CEBU</v>
      </c>
      <c r="D325" s="2" t="str">
        <f>IFERROR(__xludf.DUMMYFUNCTION("""COMPUTED_VALUE"""),"TA661-43608")</f>
        <v>TA661-43608</v>
      </c>
      <c r="E325" s="2" t="str">
        <f>IFERROR(__xludf.DUMMYFUNCTION("""COMPUTED_VALUE"""),"128GB, Ultramarine, ROW, iPhone 16, Logic Board Assy Mid System")</f>
        <v>128GB, Ultramarine, ROW, iPhone 16, Logic Board Assy Mid System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 t="str">
        <f t="shared" si="1"/>
        <v>April</v>
      </c>
      <c r="B326" s="11">
        <f>IFERROR(__xludf.DUMMYFUNCTION("""COMPUTED_VALUE"""),46123.0)</f>
        <v>46123</v>
      </c>
      <c r="C326" s="2" t="str">
        <f>IFERROR(__xludf.DUMMYFUNCTION("""COMPUTED_VALUE"""),"MOBILECARE - CEBU")</f>
        <v>MOBILECARE - CEBU</v>
      </c>
      <c r="D326" s="2" t="str">
        <f>IFERROR(__xludf.DUMMYFUNCTION("""COMPUTED_VALUE"""),"TA661-36699")</f>
        <v>TA661-36699</v>
      </c>
      <c r="E326" s="2" t="str">
        <f>IFERROR(__xludf.DUMMYFUNCTION("""COMPUTED_VALUE"""),"iPhone 15, Blue, 256GB, Logic Board Assy Mid System, ROW")</f>
        <v>iPhone 15, Blue, 256GB, Logic Board Assy Mid System, ROW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 t="str">
        <f t="shared" si="1"/>
        <v>March</v>
      </c>
      <c r="B327" s="11">
        <f>IFERROR(__xludf.DUMMYFUNCTION("""COMPUTED_VALUE"""),46096.0)</f>
        <v>46096</v>
      </c>
      <c r="C327" s="2" t="str">
        <f>IFERROR(__xludf.DUMMYFUNCTION("""COMPUTED_VALUE"""),"MOBILECARE - CEBU")</f>
        <v>MOBILECARE - CEBU</v>
      </c>
      <c r="D327" s="2" t="str">
        <f>IFERROR(__xludf.DUMMYFUNCTION("""COMPUTED_VALUE"""),"PP661-28869")</f>
        <v>PP661-28869</v>
      </c>
      <c r="E327" s="2" t="str">
        <f>IFERROR(__xludf.DUMMYFUNCTION("""COMPUTED_VALUE"""),"iPhone 14, Starlight, 128GB, Logic Board Assy Mid System, ROW")</f>
        <v>iPhone 14, Starlight, 128GB, Logic Board Assy Mid System, ROW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 t="str">
        <f t="shared" si="1"/>
        <v>February</v>
      </c>
      <c r="B328" s="11">
        <f>IFERROR(__xludf.DUMMYFUNCTION("""COMPUTED_VALUE"""),46074.0)</f>
        <v>46074</v>
      </c>
      <c r="C328" s="2" t="str">
        <f>IFERROR(__xludf.DUMMYFUNCTION("""COMPUTED_VALUE"""),"MOBILECARE - CEBU")</f>
        <v>MOBILECARE - CEBU</v>
      </c>
      <c r="D328" s="2" t="str">
        <f>IFERROR(__xludf.DUMMYFUNCTION("""COMPUTED_VALUE"""),"PP661-23455")</f>
        <v>PP661-23455</v>
      </c>
      <c r="E328" s="2" t="str">
        <f>IFERROR(__xludf.DUMMYFUNCTION("""COMPUTED_VALUE"""),"iPhone 13, Starlight, 128GB, Logic Board Assy Rear System, ROW")</f>
        <v>iPhone 13, Starlight, 128GB, Logic Board Assy Rear System, ROW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 t="str">
        <f t="shared" si="1"/>
        <v>February</v>
      </c>
      <c r="B329" s="11">
        <f>IFERROR(__xludf.DUMMYFUNCTION("""COMPUTED_VALUE"""),46058.0)</f>
        <v>46058</v>
      </c>
      <c r="C329" s="2" t="str">
        <f>IFERROR(__xludf.DUMMYFUNCTION("""COMPUTED_VALUE"""),"MOBILECARE - CEBU")</f>
        <v>MOBILECARE - CEBU</v>
      </c>
      <c r="D329" s="2" t="str">
        <f>IFERROR(__xludf.DUMMYFUNCTION("""COMPUTED_VALUE"""),"TA661-45231")</f>
        <v>TA661-45231</v>
      </c>
      <c r="E329" s="2" t="str">
        <f>IFERROR(__xludf.DUMMYFUNCTION("""COMPUTED_VALUE"""),"128GB, Black, ROW, iPhone 16 Plus, Logic Board Assy Mid System")</f>
        <v>128GB, Black, ROW, iPhone 16 Plus, Logic Board Assy Mid System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 t="str">
        <f t="shared" si="1"/>
        <v>June</v>
      </c>
      <c r="B330" s="11">
        <f>IFERROR(__xludf.DUMMYFUNCTION("""COMPUTED_VALUE"""),46188.0)</f>
        <v>46188</v>
      </c>
      <c r="C330" s="2" t="str">
        <f>IFERROR(__xludf.DUMMYFUNCTION("""COMPUTED_VALUE"""),"MOBILECARE - CEBU")</f>
        <v>MOBILECARE - CEBU</v>
      </c>
      <c r="D330" s="2" t="str">
        <f>IFERROR(__xludf.DUMMYFUNCTION("""COMPUTED_VALUE"""),"TA661-43611")</f>
        <v>TA661-43611</v>
      </c>
      <c r="E330" s="2" t="str">
        <f>IFERROR(__xludf.DUMMYFUNCTION("""COMPUTED_VALUE"""),"256GB, White, ROW, iPhone 16, Logic Board Assy Mid System")</f>
        <v>256GB, White, ROW, iPhone 16, Logic Board Assy Mid System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 t="str">
        <f t="shared" si="1"/>
        <v>June</v>
      </c>
      <c r="B331" s="11">
        <f>IFERROR(__xludf.DUMMYFUNCTION("""COMPUTED_VALUE"""),46184.0)</f>
        <v>46184</v>
      </c>
      <c r="C331" s="2" t="str">
        <f>IFERROR(__xludf.DUMMYFUNCTION("""COMPUTED_VALUE"""),"MOBILECARE - CEBU")</f>
        <v>MOBILECARE - CEBU</v>
      </c>
      <c r="D331" s="2" t="str">
        <f>IFERROR(__xludf.DUMMYFUNCTION("""COMPUTED_VALUE"""),"PP661-23455")</f>
        <v>PP661-23455</v>
      </c>
      <c r="E331" s="2" t="str">
        <f>IFERROR(__xludf.DUMMYFUNCTION("""COMPUTED_VALUE"""),"iPhone 13, Starlight, 128GB, Logic Board Assy Rear System, ROW")</f>
        <v>iPhone 13, Starlight, 128GB, Logic Board Assy Rear System, ROW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 t="str">
        <f t="shared" si="1"/>
        <v>April</v>
      </c>
      <c r="B332" s="11">
        <f>IFERROR(__xludf.DUMMYFUNCTION("""COMPUTED_VALUE"""),46136.0)</f>
        <v>46136</v>
      </c>
      <c r="C332" s="2" t="str">
        <f>IFERROR(__xludf.DUMMYFUNCTION("""COMPUTED_VALUE"""),"MOBILECARE - CEBU")</f>
        <v>MOBILECARE - CEBU</v>
      </c>
      <c r="D332" s="2" t="str">
        <f>IFERROR(__xludf.DUMMYFUNCTION("""COMPUTED_VALUE"""),"PP661-28868")</f>
        <v>PP661-28868</v>
      </c>
      <c r="E332" s="2" t="str">
        <f>IFERROR(__xludf.DUMMYFUNCTION("""COMPUTED_VALUE"""),"iPhone 14, Midnight, 128GB, Logic Board Assy Mid System, ROW")</f>
        <v>iPhone 14, Midnight, 128GB, Logic Board Assy Mid System, ROW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 t="str">
        <f t="shared" si="1"/>
        <v>February</v>
      </c>
      <c r="B333" s="11">
        <f>IFERROR(__xludf.DUMMYFUNCTION("""COMPUTED_VALUE"""),46080.0)</f>
        <v>46080</v>
      </c>
      <c r="C333" s="2" t="str">
        <f>IFERROR(__xludf.DUMMYFUNCTION("""COMPUTED_VALUE"""),"MOBILECARE - CEBU")</f>
        <v>MOBILECARE - CEBU</v>
      </c>
      <c r="D333" s="2" t="str">
        <f>IFERROR(__xludf.DUMMYFUNCTION("""COMPUTED_VALUE"""),"TA661-44998")</f>
        <v>TA661-44998</v>
      </c>
      <c r="E333" s="2" t="str">
        <f>IFERROR(__xludf.DUMMYFUNCTION("""COMPUTED_VALUE"""),"128GB, Natural Titanium, ROW, iPhone 16 Pro, Logic Board Assy Mid System")</f>
        <v>128GB, Natural Titanium, ROW, iPhone 16 Pro, Logic Board Assy Mid System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 t="str">
        <f t="shared" si="1"/>
        <v>May</v>
      </c>
      <c r="B334" s="11">
        <f>IFERROR(__xludf.DUMMYFUNCTION("""COMPUTED_VALUE"""),46151.0)</f>
        <v>46151</v>
      </c>
      <c r="C334" s="2" t="str">
        <f>IFERROR(__xludf.DUMMYFUNCTION("""COMPUTED_VALUE"""),"MOBILECARE - CEBU")</f>
        <v>MOBILECARE - CEBU</v>
      </c>
      <c r="D334" s="2" t="str">
        <f>IFERROR(__xludf.DUMMYFUNCTION("""COMPUTED_VALUE"""),"TA661-44999")</f>
        <v>TA661-44999</v>
      </c>
      <c r="E334" s="2" t="str">
        <f>IFERROR(__xludf.DUMMYFUNCTION("""COMPUTED_VALUE"""),"256GB, Black Titanium, ROW, iPhone 16 Pro, Logic Board Assy Mid System")</f>
        <v>256GB, Black Titanium, ROW, iPhone 16 Pro, Logic Board Assy Mid System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 t="str">
        <f t="shared" si="1"/>
        <v>May</v>
      </c>
      <c r="B335" s="11">
        <f>IFERROR(__xludf.DUMMYFUNCTION("""COMPUTED_VALUE"""),46156.0)</f>
        <v>46156</v>
      </c>
      <c r="C335" s="2" t="str">
        <f>IFERROR(__xludf.DUMMYFUNCTION("""COMPUTED_VALUE"""),"MOBILECARE - CEBU")</f>
        <v>MOBILECARE - CEBU</v>
      </c>
      <c r="D335" s="2" t="str">
        <f>IFERROR(__xludf.DUMMYFUNCTION("""COMPUTED_VALUE"""),"PP661-23454")</f>
        <v>PP661-23454</v>
      </c>
      <c r="E335" s="2" t="str">
        <f>IFERROR(__xludf.DUMMYFUNCTION("""COMPUTED_VALUE"""),"iPhone 13, Midnight, 128GB, Logic Board Assy Rear System, ROW")</f>
        <v>iPhone 13, Midnight, 128GB, Logic Board Assy Rear System, ROW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 t="str">
        <f t="shared" si="1"/>
        <v>March</v>
      </c>
      <c r="B336" s="11">
        <f>IFERROR(__xludf.DUMMYFUNCTION("""COMPUTED_VALUE"""),46102.0)</f>
        <v>46102</v>
      </c>
      <c r="C336" s="2" t="str">
        <f>IFERROR(__xludf.DUMMYFUNCTION("""COMPUTED_VALUE"""),"MOBILECARE - CEBU")</f>
        <v>MOBILECARE - CEBU</v>
      </c>
      <c r="D336" s="2" t="str">
        <f>IFERROR(__xludf.DUMMYFUNCTION("""COMPUTED_VALUE"""),"PP661-28871")</f>
        <v>PP661-28871</v>
      </c>
      <c r="E336" s="2" t="str">
        <f>IFERROR(__xludf.DUMMYFUNCTION("""COMPUTED_VALUE"""),"iPhone 14, Blue, 128GB, Logic Board Assy Mid System, ROW")</f>
        <v>iPhone 14, Blue, 128GB, Logic Board Assy Mid System, ROW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 t="str">
        <f t="shared" si="1"/>
        <v>February</v>
      </c>
      <c r="B337" s="11">
        <f>IFERROR(__xludf.DUMMYFUNCTION("""COMPUTED_VALUE"""),46080.0)</f>
        <v>46080</v>
      </c>
      <c r="C337" s="2" t="str">
        <f>IFERROR(__xludf.DUMMYFUNCTION("""COMPUTED_VALUE"""),"MOBILECARE - CEBU")</f>
        <v>MOBILECARE - CEBU</v>
      </c>
      <c r="D337" s="2" t="str">
        <f>IFERROR(__xludf.DUMMYFUNCTION("""COMPUTED_VALUE"""),"PP661-23454")</f>
        <v>PP661-23454</v>
      </c>
      <c r="E337" s="2" t="str">
        <f>IFERROR(__xludf.DUMMYFUNCTION("""COMPUTED_VALUE"""),"iPhone 13, Midnight, 128GB, Logic Board Assy Rear System, ROW")</f>
        <v>iPhone 13, Midnight, 128GB, Logic Board Assy Rear System, ROW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 t="str">
        <f t="shared" si="1"/>
        <v>April</v>
      </c>
      <c r="B338" s="11">
        <f>IFERROR(__xludf.DUMMYFUNCTION("""COMPUTED_VALUE"""),46141.0)</f>
        <v>46141</v>
      </c>
      <c r="C338" s="2" t="str">
        <f>IFERROR(__xludf.DUMMYFUNCTION("""COMPUTED_VALUE"""),"MOBILECARE - CEBU")</f>
        <v>MOBILECARE - CEBU</v>
      </c>
      <c r="D338" s="2" t="str">
        <f>IFERROR(__xludf.DUMMYFUNCTION("""COMPUTED_VALUE"""),"TA661-45232")</f>
        <v>TA661-45232</v>
      </c>
      <c r="E338" s="2" t="str">
        <f>IFERROR(__xludf.DUMMYFUNCTION("""COMPUTED_VALUE"""),"128GB, White, ROW, iPhone 16 Plus, Logic Board Assy Mid System")</f>
        <v>128GB, White, ROW, iPhone 16 Plus, Logic Board Assy Mid System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 t="str">
        <f t="shared" si="1"/>
        <v>March</v>
      </c>
      <c r="B339" s="11">
        <f>IFERROR(__xludf.DUMMYFUNCTION("""COMPUTED_VALUE"""),46091.0)</f>
        <v>46091</v>
      </c>
      <c r="C339" s="2" t="str">
        <f>IFERROR(__xludf.DUMMYFUNCTION("""COMPUTED_VALUE"""),"MOBILECARE - CEBU")</f>
        <v>MOBILECARE - CEBU</v>
      </c>
      <c r="D339" s="2" t="str">
        <f>IFERROR(__xludf.DUMMYFUNCTION("""COMPUTED_VALUE"""),"PP661-23454")</f>
        <v>PP661-23454</v>
      </c>
      <c r="E339" s="2" t="str">
        <f>IFERROR(__xludf.DUMMYFUNCTION("""COMPUTED_VALUE"""),"iPhone 13, Midnight, 128GB, Logic Board Assy Rear System, ROW")</f>
        <v>iPhone 13, Midnight, 128GB, Logic Board Assy Rear System, ROW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 t="str">
        <f t="shared" si="1"/>
        <v>June</v>
      </c>
      <c r="B340" s="11">
        <f>IFERROR(__xludf.DUMMYFUNCTION("""COMPUTED_VALUE"""),46182.0)</f>
        <v>46182</v>
      </c>
      <c r="C340" s="2" t="str">
        <f>IFERROR(__xludf.DUMMYFUNCTION("""COMPUTED_VALUE"""),"MOBILECARE - CEBU")</f>
        <v>MOBILECARE - CEBU</v>
      </c>
      <c r="D340" s="2" t="str">
        <f>IFERROR(__xludf.DUMMYFUNCTION("""COMPUTED_VALUE"""),"PP661-28871")</f>
        <v>PP661-28871</v>
      </c>
      <c r="E340" s="2" t="str">
        <f>IFERROR(__xludf.DUMMYFUNCTION("""COMPUTED_VALUE"""),"iPhone 14, Blue, 128GB, Logic Board Assy Mid System, ROW")</f>
        <v>iPhone 14, Blue, 128GB, Logic Board Assy Mid System, ROW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 t="str">
        <f t="shared" si="1"/>
        <v>May</v>
      </c>
      <c r="B341" s="11">
        <f>IFERROR(__xludf.DUMMYFUNCTION("""COMPUTED_VALUE"""),46144.0)</f>
        <v>46144</v>
      </c>
      <c r="C341" s="2" t="str">
        <f>IFERROR(__xludf.DUMMYFUNCTION("""COMPUTED_VALUE"""),"MOBILECARE - CEBU")</f>
        <v>MOBILECARE - CEBU</v>
      </c>
      <c r="D341" s="2" t="str">
        <f>IFERROR(__xludf.DUMMYFUNCTION("""COMPUTED_VALUE"""),"TA661-43618")</f>
        <v>TA661-43618</v>
      </c>
      <c r="E341" s="2" t="str">
        <f>IFERROR(__xludf.DUMMYFUNCTION("""COMPUTED_VALUE"""),"512GB, Ultramarine, ROW, iPhone 16, Logic Board Assy Mid System")</f>
        <v>512GB, Ultramarine, ROW, iPhone 16, Logic Board Assy Mid System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 t="str">
        <f t="shared" si="1"/>
        <v>April</v>
      </c>
      <c r="B342" s="11">
        <f>IFERROR(__xludf.DUMMYFUNCTION("""COMPUTED_VALUE"""),46129.0)</f>
        <v>46129</v>
      </c>
      <c r="C342" s="2" t="str">
        <f>IFERROR(__xludf.DUMMYFUNCTION("""COMPUTED_VALUE"""),"MOBILECARE - CEBU")</f>
        <v>MOBILECARE - CEBU</v>
      </c>
      <c r="D342" s="2" t="str">
        <f>IFERROR(__xludf.DUMMYFUNCTION("""COMPUTED_VALUE"""),"PP661-23455")</f>
        <v>PP661-23455</v>
      </c>
      <c r="E342" s="2" t="str">
        <f>IFERROR(__xludf.DUMMYFUNCTION("""COMPUTED_VALUE"""),"iPhone 13, Starlight, 128GB, Logic Board Assy Rear System, ROW")</f>
        <v>iPhone 13, Starlight, 128GB, Logic Board Assy Rear System, ROW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 t="str">
        <f t="shared" si="1"/>
        <v>March</v>
      </c>
      <c r="B343" s="11">
        <f>IFERROR(__xludf.DUMMYFUNCTION("""COMPUTED_VALUE"""),46109.0)</f>
        <v>46109</v>
      </c>
      <c r="C343" s="2" t="str">
        <f>IFERROR(__xludf.DUMMYFUNCTION("""COMPUTED_VALUE"""),"MOBILECARE - CEBU")</f>
        <v>MOBILECARE - CEBU</v>
      </c>
      <c r="D343" s="2" t="str">
        <f>IFERROR(__xludf.DUMMYFUNCTION("""COMPUTED_VALUE"""),"TA661-43606")</f>
        <v>TA661-43606</v>
      </c>
      <c r="E343" s="2" t="str">
        <f>IFERROR(__xludf.DUMMYFUNCTION("""COMPUTED_VALUE"""),"128GB, White, ROW, iPhone 16, Logic Board Assy Mid System")</f>
        <v>128GB, White, ROW, iPhone 16, Logic Board Assy Mid System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 t="str">
        <f t="shared" si="1"/>
        <v>February</v>
      </c>
      <c r="B344" s="11">
        <f>IFERROR(__xludf.DUMMYFUNCTION("""COMPUTED_VALUE"""),46061.0)</f>
        <v>46061</v>
      </c>
      <c r="C344" s="2" t="str">
        <f>IFERROR(__xludf.DUMMYFUNCTION("""COMPUTED_VALUE"""),"MOBILECARE - CEBU")</f>
        <v>MOBILECARE - CEBU</v>
      </c>
      <c r="D344" s="2" t="str">
        <f>IFERROR(__xludf.DUMMYFUNCTION("""COMPUTED_VALUE"""),"PP661-23455")</f>
        <v>PP661-23455</v>
      </c>
      <c r="E344" s="2" t="str">
        <f>IFERROR(__xludf.DUMMYFUNCTION("""COMPUTED_VALUE"""),"iPhone 13, Starlight, 128GB, Logic Board Assy Rear System, ROW")</f>
        <v>iPhone 13, Starlight, 128GB, Logic Board Assy Rear System, ROW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 t="str">
        <f t="shared" si="1"/>
        <v>June</v>
      </c>
      <c r="B345" s="11">
        <f>IFERROR(__xludf.DUMMYFUNCTION("""COMPUTED_VALUE"""),46186.0)</f>
        <v>46186</v>
      </c>
      <c r="C345" s="2" t="str">
        <f>IFERROR(__xludf.DUMMYFUNCTION("""COMPUTED_VALUE"""),"MOBILECARE - CEBU")</f>
        <v>MOBILECARE - CEBU</v>
      </c>
      <c r="D345" s="2" t="str">
        <f>IFERROR(__xludf.DUMMYFUNCTION("""COMPUTED_VALUE"""),"PP661-23455")</f>
        <v>PP661-23455</v>
      </c>
      <c r="E345" s="2" t="str">
        <f>IFERROR(__xludf.DUMMYFUNCTION("""COMPUTED_VALUE"""),"iPhone 13, Starlight, 128GB, Logic Board Assy Rear System, ROW")</f>
        <v>iPhone 13, Starlight, 128GB, Logic Board Assy Rear System, ROW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 t="str">
        <f t="shared" si="1"/>
        <v>February</v>
      </c>
      <c r="B346" s="11">
        <f>IFERROR(__xludf.DUMMYFUNCTION("""COMPUTED_VALUE"""),46077.0)</f>
        <v>46077</v>
      </c>
      <c r="C346" s="2" t="str">
        <f>IFERROR(__xludf.DUMMYFUNCTION("""COMPUTED_VALUE"""),"MOBILECARE - CEBU")</f>
        <v>MOBILECARE - CEBU</v>
      </c>
      <c r="D346" s="2" t="str">
        <f>IFERROR(__xludf.DUMMYFUNCTION("""COMPUTED_VALUE"""),"PP661-23455")</f>
        <v>PP661-23455</v>
      </c>
      <c r="E346" s="2" t="str">
        <f>IFERROR(__xludf.DUMMYFUNCTION("""COMPUTED_VALUE"""),"iPhone 13, Starlight, 128GB, Logic Board Assy Rear System, ROW")</f>
        <v>iPhone 13, Starlight, 128GB, Logic Board Assy Rear System, ROW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 t="str">
        <f t="shared" si="1"/>
        <v>May</v>
      </c>
      <c r="B347" s="11">
        <f>IFERROR(__xludf.DUMMYFUNCTION("""COMPUTED_VALUE"""),46148.0)</f>
        <v>46148</v>
      </c>
      <c r="C347" s="2" t="str">
        <f>IFERROR(__xludf.DUMMYFUNCTION("""COMPUTED_VALUE"""),"MOBILECARE - CEBU")</f>
        <v>MOBILECARE - CEBU</v>
      </c>
      <c r="D347" s="2" t="str">
        <f>IFERROR(__xludf.DUMMYFUNCTION("""COMPUTED_VALUE"""),"PP661-23454")</f>
        <v>PP661-23454</v>
      </c>
      <c r="E347" s="2" t="str">
        <f>IFERROR(__xludf.DUMMYFUNCTION("""COMPUTED_VALUE"""),"iPhone 13, Midnight, 128GB, Logic Board Assy Rear System, ROW")</f>
        <v>iPhone 13, Midnight, 128GB, Logic Board Assy Rear System, ROW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 t="str">
        <f t="shared" si="1"/>
        <v>April</v>
      </c>
      <c r="B348" s="11">
        <f>IFERROR(__xludf.DUMMYFUNCTION("""COMPUTED_VALUE"""),46124.0)</f>
        <v>46124</v>
      </c>
      <c r="C348" s="2" t="str">
        <f>IFERROR(__xludf.DUMMYFUNCTION("""COMPUTED_VALUE"""),"MOBILECARE - CEBU")</f>
        <v>MOBILECARE - CEBU</v>
      </c>
      <c r="D348" s="2" t="str">
        <f>IFERROR(__xludf.DUMMYFUNCTION("""COMPUTED_VALUE"""),"PP661-23455")</f>
        <v>PP661-23455</v>
      </c>
      <c r="E348" s="2" t="str">
        <f>IFERROR(__xludf.DUMMYFUNCTION("""COMPUTED_VALUE"""),"iPhone 13, Starlight, 128GB, Logic Board Assy Rear System, ROW")</f>
        <v>iPhone 13, Starlight, 128GB, Logic Board Assy Rear System, ROW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 t="str">
        <f t="shared" si="1"/>
        <v>February</v>
      </c>
      <c r="B349" s="11">
        <f>IFERROR(__xludf.DUMMYFUNCTION("""COMPUTED_VALUE"""),46081.0)</f>
        <v>46081</v>
      </c>
      <c r="C349" s="2" t="str">
        <f>IFERROR(__xludf.DUMMYFUNCTION("""COMPUTED_VALUE"""),"MOBILECARE - CEBU")</f>
        <v>MOBILECARE - CEBU</v>
      </c>
      <c r="D349" s="2" t="str">
        <f>IFERROR(__xludf.DUMMYFUNCTION("""COMPUTED_VALUE"""),"TA661-43605")</f>
        <v>TA661-43605</v>
      </c>
      <c r="E349" s="2" t="str">
        <f>IFERROR(__xludf.DUMMYFUNCTION("""COMPUTED_VALUE"""),"128GB, Black, ROW, iPhone 16, Logic Board Assy Mid System")</f>
        <v>128GB, Black, ROW, iPhone 16, Logic Board Assy Mid System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 t="str">
        <f t="shared" si="1"/>
        <v>February</v>
      </c>
      <c r="B350" s="11">
        <f>IFERROR(__xludf.DUMMYFUNCTION("""COMPUTED_VALUE"""),46058.0)</f>
        <v>46058</v>
      </c>
      <c r="C350" s="2" t="str">
        <f>IFERROR(__xludf.DUMMYFUNCTION("""COMPUTED_VALUE"""),"MOBILECARE - CEBU")</f>
        <v>MOBILECARE - CEBU</v>
      </c>
      <c r="D350" s="2" t="str">
        <f>IFERROR(__xludf.DUMMYFUNCTION("""COMPUTED_VALUE"""),"PP661-23454")</f>
        <v>PP661-23454</v>
      </c>
      <c r="E350" s="2" t="str">
        <f>IFERROR(__xludf.DUMMYFUNCTION("""COMPUTED_VALUE"""),"iPhone 13, Midnight, 128GB, Logic Board Assy Rear System, ROW")</f>
        <v>iPhone 13, Midnight, 128GB, Logic Board Assy Rear System, ROW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 t="str">
        <f t="shared" si="1"/>
        <v>February</v>
      </c>
      <c r="B351" s="11">
        <f>IFERROR(__xludf.DUMMYFUNCTION("""COMPUTED_VALUE"""),46058.0)</f>
        <v>46058</v>
      </c>
      <c r="C351" s="2" t="str">
        <f>IFERROR(__xludf.DUMMYFUNCTION("""COMPUTED_VALUE"""),"MOBILECARE - CEBU")</f>
        <v>MOBILECARE - CEBU</v>
      </c>
      <c r="D351" s="2" t="str">
        <f>IFERROR(__xludf.DUMMYFUNCTION("""COMPUTED_VALUE"""),"TA661-43609")</f>
        <v>TA661-43609</v>
      </c>
      <c r="E351" s="2" t="str">
        <f>IFERROR(__xludf.DUMMYFUNCTION("""COMPUTED_VALUE"""),"128GB, Teal, ROW, iPhone 16, Logic Board Assy Mid System")</f>
        <v>128GB, Teal, ROW, iPhone 16, Logic Board Assy Mid System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 t="str">
        <f t="shared" si="1"/>
        <v>April</v>
      </c>
      <c r="B352" s="11">
        <f>IFERROR(__xludf.DUMMYFUNCTION("""COMPUTED_VALUE"""),46135.0)</f>
        <v>46135</v>
      </c>
      <c r="C352" s="2" t="str">
        <f>IFERROR(__xludf.DUMMYFUNCTION("""COMPUTED_VALUE"""),"MOBILECARE - FESTIVE WALK ILOILO")</f>
        <v>MOBILECARE - FESTIVE WALK ILOILO</v>
      </c>
      <c r="D352" s="2" t="str">
        <f>IFERROR(__xludf.DUMMYFUNCTION("""COMPUTED_VALUE"""),"PP661-23455")</f>
        <v>PP661-23455</v>
      </c>
      <c r="E352" s="2" t="str">
        <f>IFERROR(__xludf.DUMMYFUNCTION("""COMPUTED_VALUE"""),"iPhone 13, Starlight, 128GB, Logic Board Assy Rear System, ROW")</f>
        <v>iPhone 13, Starlight, 128GB, Logic Board Assy Rear System, ROW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 t="str">
        <f t="shared" si="1"/>
        <v>March</v>
      </c>
      <c r="B353" s="11">
        <f>IFERROR(__xludf.DUMMYFUNCTION("""COMPUTED_VALUE"""),46083.0)</f>
        <v>46083</v>
      </c>
      <c r="C353" s="2" t="str">
        <f>IFERROR(__xludf.DUMMYFUNCTION("""COMPUTED_VALUE"""),"MOBILECARE - FESTIVE WALK ILOILO")</f>
        <v>MOBILECARE - FESTIVE WALK ILOILO</v>
      </c>
      <c r="D353" s="2" t="str">
        <f>IFERROR(__xludf.DUMMYFUNCTION("""COMPUTED_VALUE"""),"PP661-23454")</f>
        <v>PP661-23454</v>
      </c>
      <c r="E353" s="2" t="str">
        <f>IFERROR(__xludf.DUMMYFUNCTION("""COMPUTED_VALUE"""),"iPhone 13, Midnight, 128GB, Logic Board Assy Rear System, ROW")</f>
        <v>iPhone 13, Midnight, 128GB, Logic Board Assy Rear System, ROW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 t="str">
        <f t="shared" si="1"/>
        <v>June</v>
      </c>
      <c r="B354" s="11">
        <f>IFERROR(__xludf.DUMMYFUNCTION("""COMPUTED_VALUE"""),46184.0)</f>
        <v>46184</v>
      </c>
      <c r="C354" s="2" t="str">
        <f>IFERROR(__xludf.DUMMYFUNCTION("""COMPUTED_VALUE"""),"MOBILECARE - FESTIVE WALK ILOILO")</f>
        <v>MOBILECARE - FESTIVE WALK ILOILO</v>
      </c>
      <c r="D354" s="2" t="str">
        <f>IFERROR(__xludf.DUMMYFUNCTION("""COMPUTED_VALUE"""),"PP661-23454")</f>
        <v>PP661-23454</v>
      </c>
      <c r="E354" s="2" t="str">
        <f>IFERROR(__xludf.DUMMYFUNCTION("""COMPUTED_VALUE"""),"iPhone 13, Midnight, 128GB, Logic Board Assy Rear System, ROW")</f>
        <v>iPhone 13, Midnight, 128GB, Logic Board Assy Rear System, ROW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 t="str">
        <f t="shared" si="1"/>
        <v>February</v>
      </c>
      <c r="B355" s="11">
        <f>IFERROR(__xludf.DUMMYFUNCTION("""COMPUTED_VALUE"""),46074.0)</f>
        <v>46074</v>
      </c>
      <c r="C355" s="2" t="str">
        <f>IFERROR(__xludf.DUMMYFUNCTION("""COMPUTED_VALUE"""),"MOBILECARE - FESTIVE WALK ILOILO")</f>
        <v>MOBILECARE - FESTIVE WALK ILOILO</v>
      </c>
      <c r="D355" s="2" t="str">
        <f>IFERROR(__xludf.DUMMYFUNCTION("""COMPUTED_VALUE"""),"PP661-23455")</f>
        <v>PP661-23455</v>
      </c>
      <c r="E355" s="2" t="str">
        <f>IFERROR(__xludf.DUMMYFUNCTION("""COMPUTED_VALUE"""),"iPhone 13, Starlight, 128GB, Logic Board Assy Rear System, ROW")</f>
        <v>iPhone 13, Starlight, 128GB, Logic Board Assy Rear System, ROW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 t="str">
        <f t="shared" si="1"/>
        <v>March</v>
      </c>
      <c r="B356" s="11">
        <f>IFERROR(__xludf.DUMMYFUNCTION("""COMPUTED_VALUE"""),46094.0)</f>
        <v>46094</v>
      </c>
      <c r="C356" s="2" t="str">
        <f>IFERROR(__xludf.DUMMYFUNCTION("""COMPUTED_VALUE"""),"MOBILECARE - FESTIVE WALK ILOILO")</f>
        <v>MOBILECARE - FESTIVE WALK ILOILO</v>
      </c>
      <c r="D356" s="2" t="str">
        <f>IFERROR(__xludf.DUMMYFUNCTION("""COMPUTED_VALUE"""),"PP661-23454")</f>
        <v>PP661-23454</v>
      </c>
      <c r="E356" s="2" t="str">
        <f>IFERROR(__xludf.DUMMYFUNCTION("""COMPUTED_VALUE"""),"iPhone 13, Midnight, 128GB, Logic Board Assy Rear System, ROW")</f>
        <v>iPhone 13, Midnight, 128GB, Logic Board Assy Rear System, ROW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 t="str">
        <f t="shared" si="1"/>
        <v>February</v>
      </c>
      <c r="B357" s="11">
        <f>IFERROR(__xludf.DUMMYFUNCTION("""COMPUTED_VALUE"""),46067.0)</f>
        <v>46067</v>
      </c>
      <c r="C357" s="2" t="str">
        <f>IFERROR(__xludf.DUMMYFUNCTION("""COMPUTED_VALUE"""),"MOBILECARE - FESTIVE WALK ILOILO")</f>
        <v>MOBILECARE - FESTIVE WALK ILOILO</v>
      </c>
      <c r="D357" s="2" t="str">
        <f>IFERROR(__xludf.DUMMYFUNCTION("""COMPUTED_VALUE"""),"PP661-23454")</f>
        <v>PP661-23454</v>
      </c>
      <c r="E357" s="2" t="str">
        <f>IFERROR(__xludf.DUMMYFUNCTION("""COMPUTED_VALUE"""),"iPhone 13, Midnight, 128GB, Logic Board Assy Rear System, ROW")</f>
        <v>iPhone 13, Midnight, 128GB, Logic Board Assy Rear System, ROW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 t="str">
        <f t="shared" si="1"/>
        <v>April</v>
      </c>
      <c r="B358" s="11">
        <f>IFERROR(__xludf.DUMMYFUNCTION("""COMPUTED_VALUE"""),46123.0)</f>
        <v>46123</v>
      </c>
      <c r="C358" s="2" t="str">
        <f>IFERROR(__xludf.DUMMYFUNCTION("""COMPUTED_VALUE"""),"MOBILECARE - FESTIVE WALK ILOILO")</f>
        <v>MOBILECARE - FESTIVE WALK ILOILO</v>
      </c>
      <c r="D358" s="2" t="str">
        <f>IFERROR(__xludf.DUMMYFUNCTION("""COMPUTED_VALUE"""),"PP661-23455")</f>
        <v>PP661-23455</v>
      </c>
      <c r="E358" s="2" t="str">
        <f>IFERROR(__xludf.DUMMYFUNCTION("""COMPUTED_VALUE"""),"iPhone 13, Starlight, 128GB, Logic Board Assy Rear System, ROW")</f>
        <v>iPhone 13, Starlight, 128GB, Logic Board Assy Rear System, ROW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 t="str">
        <f t="shared" si="1"/>
        <v>February</v>
      </c>
      <c r="B359" s="11">
        <f>IFERROR(__xludf.DUMMYFUNCTION("""COMPUTED_VALUE"""),46079.0)</f>
        <v>46079</v>
      </c>
      <c r="C359" s="2" t="str">
        <f>IFERROR(__xludf.DUMMYFUNCTION("""COMPUTED_VALUE"""),"MOBILECARE - FESTIVE WALK ILOILO")</f>
        <v>MOBILECARE - FESTIVE WALK ILOILO</v>
      </c>
      <c r="D359" s="2" t="str">
        <f>IFERROR(__xludf.DUMMYFUNCTION("""COMPUTED_VALUE"""),"PP661-23455")</f>
        <v>PP661-23455</v>
      </c>
      <c r="E359" s="2" t="str">
        <f>IFERROR(__xludf.DUMMYFUNCTION("""COMPUTED_VALUE"""),"iPhone 13, Starlight, 128GB, Logic Board Assy Rear System, ROW")</f>
        <v>iPhone 13, Starlight, 128GB, Logic Board Assy Rear System, ROW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 t="str">
        <f t="shared" si="1"/>
        <v>April</v>
      </c>
      <c r="B360" s="11">
        <f>IFERROR(__xludf.DUMMYFUNCTION("""COMPUTED_VALUE"""),46137.0)</f>
        <v>46137</v>
      </c>
      <c r="C360" s="2" t="str">
        <f>IFERROR(__xludf.DUMMYFUNCTION("""COMPUTED_VALUE"""),"MOBILECARE - FESTIVE WALK ILOILO")</f>
        <v>MOBILECARE - FESTIVE WALK ILOILO</v>
      </c>
      <c r="D360" s="2" t="str">
        <f>IFERROR(__xludf.DUMMYFUNCTION("""COMPUTED_VALUE"""),"TA661-45003")</f>
        <v>TA661-45003</v>
      </c>
      <c r="E360" s="2" t="str">
        <f>IFERROR(__xludf.DUMMYFUNCTION("""COMPUTED_VALUE"""),"512GB, Black Titanium, ROW, iPhone 16 Pro, Logic Board Assy Mid System")</f>
        <v>512GB, Black Titanium, ROW, iPhone 16 Pro, Logic Board Assy Mid System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 t="str">
        <f t="shared" si="1"/>
        <v>March</v>
      </c>
      <c r="B361" s="11">
        <f>IFERROR(__xludf.DUMMYFUNCTION("""COMPUTED_VALUE"""),46083.0)</f>
        <v>46083</v>
      </c>
      <c r="C361" s="2" t="str">
        <f>IFERROR(__xludf.DUMMYFUNCTION("""COMPUTED_VALUE"""),"MOBILECARE - FESTIVE WALK ILOILO")</f>
        <v>MOBILECARE - FESTIVE WALK ILOILO</v>
      </c>
      <c r="D361" s="2" t="str">
        <f>IFERROR(__xludf.DUMMYFUNCTION("""COMPUTED_VALUE"""),"PP661-23454")</f>
        <v>PP661-23454</v>
      </c>
      <c r="E361" s="2" t="str">
        <f>IFERROR(__xludf.DUMMYFUNCTION("""COMPUTED_VALUE"""),"iPhone 13, Midnight, 128GB, Logic Board Assy Rear System, ROW")</f>
        <v>iPhone 13, Midnight, 128GB, Logic Board Assy Rear System, ROW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 t="str">
        <f t="shared" si="1"/>
        <v>February</v>
      </c>
      <c r="B362" s="11">
        <f>IFERROR(__xludf.DUMMYFUNCTION("""COMPUTED_VALUE"""),46062.0)</f>
        <v>46062</v>
      </c>
      <c r="C362" s="2" t="str">
        <f>IFERROR(__xludf.DUMMYFUNCTION("""COMPUTED_VALUE"""),"MOBILECARE - FESTIVE WALK ILOILO")</f>
        <v>MOBILECARE - FESTIVE WALK ILOILO</v>
      </c>
      <c r="D362" s="2" t="str">
        <f>IFERROR(__xludf.DUMMYFUNCTION("""COMPUTED_VALUE"""),"PP661-23455")</f>
        <v>PP661-23455</v>
      </c>
      <c r="E362" s="2" t="str">
        <f>IFERROR(__xludf.DUMMYFUNCTION("""COMPUTED_VALUE"""),"iPhone 13, Starlight, 128GB, Logic Board Assy Rear System, ROW")</f>
        <v>iPhone 13, Starlight, 128GB, Logic Board Assy Rear System, ROW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 t="str">
        <f t="shared" si="1"/>
        <v>February</v>
      </c>
      <c r="B363" s="11">
        <f>IFERROR(__xludf.DUMMYFUNCTION("""COMPUTED_VALUE"""),46057.0)</f>
        <v>46057</v>
      </c>
      <c r="C363" s="2" t="str">
        <f>IFERROR(__xludf.DUMMYFUNCTION("""COMPUTED_VALUE"""),"MOBILECARE - FESTIVE WALK ILOILO")</f>
        <v>MOBILECARE - FESTIVE WALK ILOILO</v>
      </c>
      <c r="D363" s="2" t="str">
        <f>IFERROR(__xludf.DUMMYFUNCTION("""COMPUTED_VALUE"""),"PP661-28876")</f>
        <v>PP661-28876</v>
      </c>
      <c r="E363" s="2" t="str">
        <f>IFERROR(__xludf.DUMMYFUNCTION("""COMPUTED_VALUE"""),"iPhone 14, Blue, 256GB, Logic Board Assy Mid System, ROW")</f>
        <v>iPhone 14, Blue, 256GB, Logic Board Assy Mid System, ROW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 t="str">
        <f t="shared" si="1"/>
        <v>June</v>
      </c>
      <c r="B364" s="11">
        <f>IFERROR(__xludf.DUMMYFUNCTION("""COMPUTED_VALUE"""),46183.0)</f>
        <v>46183</v>
      </c>
      <c r="C364" s="2" t="str">
        <f>IFERROR(__xludf.DUMMYFUNCTION("""COMPUTED_VALUE"""),"MOBILECARE - FESTIVE WALK ILOILO")</f>
        <v>MOBILECARE - FESTIVE WALK ILOILO</v>
      </c>
      <c r="D364" s="2" t="str">
        <f>IFERROR(__xludf.DUMMYFUNCTION("""COMPUTED_VALUE"""),"TA661-45002")</f>
        <v>TA661-45002</v>
      </c>
      <c r="E364" s="2" t="str">
        <f>IFERROR(__xludf.DUMMYFUNCTION("""COMPUTED_VALUE"""),"256GB, Natural Titanium, ROW, iPhone 16 Pro, Logic Board Assy Mid System")</f>
        <v>256GB, Natural Titanium, ROW, iPhone 16 Pro, Logic Board Assy Mid System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 t="str">
        <f t="shared" si="1"/>
        <v>March</v>
      </c>
      <c r="B365" s="11">
        <f>IFERROR(__xludf.DUMMYFUNCTION("""COMPUTED_VALUE"""),46094.0)</f>
        <v>46094</v>
      </c>
      <c r="C365" s="2" t="str">
        <f>IFERROR(__xludf.DUMMYFUNCTION("""COMPUTED_VALUE"""),"MOBILECARE - FESTIVE WALK ILOILO")</f>
        <v>MOBILECARE - FESTIVE WALK ILOILO</v>
      </c>
      <c r="D365" s="2" t="str">
        <f>IFERROR(__xludf.DUMMYFUNCTION("""COMPUTED_VALUE"""),"PP661-23454")</f>
        <v>PP661-23454</v>
      </c>
      <c r="E365" s="2" t="str">
        <f>IFERROR(__xludf.DUMMYFUNCTION("""COMPUTED_VALUE"""),"iPhone 13, Midnight, 128GB, Logic Board Assy Rear System, ROW")</f>
        <v>iPhone 13, Midnight, 128GB, Logic Board Assy Rear System, ROW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 t="str">
        <f t="shared" si="1"/>
        <v>February</v>
      </c>
      <c r="B366" s="11">
        <f>IFERROR(__xludf.DUMMYFUNCTION("""COMPUTED_VALUE"""),46078.0)</f>
        <v>46078</v>
      </c>
      <c r="C366" s="2" t="str">
        <f>IFERROR(__xludf.DUMMYFUNCTION("""COMPUTED_VALUE"""),"MOBILECARE - FESTIVE WALK ILOILO")</f>
        <v>MOBILECARE - FESTIVE WALK ILOILO</v>
      </c>
      <c r="D366" s="2" t="str">
        <f>IFERROR(__xludf.DUMMYFUNCTION("""COMPUTED_VALUE"""),"PP661-23455")</f>
        <v>PP661-23455</v>
      </c>
      <c r="E366" s="2" t="str">
        <f>IFERROR(__xludf.DUMMYFUNCTION("""COMPUTED_VALUE"""),"iPhone 13, Starlight, 128GB, Logic Board Assy Rear System, ROW")</f>
        <v>iPhone 13, Starlight, 128GB, Logic Board Assy Rear System, ROW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 t="str">
        <f t="shared" si="1"/>
        <v>June</v>
      </c>
      <c r="B367" s="11">
        <f>IFERROR(__xludf.DUMMYFUNCTION("""COMPUTED_VALUE"""),46186.0)</f>
        <v>46186</v>
      </c>
      <c r="C367" s="2" t="str">
        <f>IFERROR(__xludf.DUMMYFUNCTION("""COMPUTED_VALUE"""),"MOBILECARE - FESTIVE WALK ILOILO")</f>
        <v>MOBILECARE - FESTIVE WALK ILOILO</v>
      </c>
      <c r="D367" s="2" t="str">
        <f>IFERROR(__xludf.DUMMYFUNCTION("""COMPUTED_VALUE"""),"PP661-28869")</f>
        <v>PP661-28869</v>
      </c>
      <c r="E367" s="2" t="str">
        <f>IFERROR(__xludf.DUMMYFUNCTION("""COMPUTED_VALUE"""),"iPhone 14, Starlight, 128GB, Logic Board Assy Mid System, ROW")</f>
        <v>iPhone 14, Starlight, 128GB, Logic Board Assy Mid System, ROW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 t="str">
        <f t="shared" si="1"/>
        <v>April</v>
      </c>
      <c r="B368" s="11">
        <f>IFERROR(__xludf.DUMMYFUNCTION("""COMPUTED_VALUE"""),46123.0)</f>
        <v>46123</v>
      </c>
      <c r="C368" s="2" t="str">
        <f>IFERROR(__xludf.DUMMYFUNCTION("""COMPUTED_VALUE"""),"MOBILECARE - FESTIVE WALK ILOILO")</f>
        <v>MOBILECARE - FESTIVE WALK ILOILO</v>
      </c>
      <c r="D368" s="2" t="str">
        <f>IFERROR(__xludf.DUMMYFUNCTION("""COMPUTED_VALUE"""),"PP661-23455")</f>
        <v>PP661-23455</v>
      </c>
      <c r="E368" s="2" t="str">
        <f>IFERROR(__xludf.DUMMYFUNCTION("""COMPUTED_VALUE"""),"iPhone 13, Starlight, 128GB, Logic Board Assy Rear System, ROW")</f>
        <v>iPhone 13, Starlight, 128GB, Logic Board Assy Rear System, ROW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 t="str">
        <f t="shared" si="1"/>
        <v>March</v>
      </c>
      <c r="B369" s="11">
        <f>IFERROR(__xludf.DUMMYFUNCTION("""COMPUTED_VALUE"""),46105.0)</f>
        <v>46105</v>
      </c>
      <c r="C369" s="2" t="str">
        <f>IFERROR(__xludf.DUMMYFUNCTION("""COMPUTED_VALUE"""),"MOBILECARE - FESTIVE WALK ILOILO")</f>
        <v>MOBILECARE - FESTIVE WALK ILOILO</v>
      </c>
      <c r="D369" s="2" t="str">
        <f>IFERROR(__xludf.DUMMYFUNCTION("""COMPUTED_VALUE"""),"TA661-49966")</f>
        <v>TA661-49966</v>
      </c>
      <c r="E369" s="2" t="str">
        <f>IFERROR(__xludf.DUMMYFUNCTION("""COMPUTED_VALUE"""),"Black, 256GB, Logic Board Assy Mid System, iPhone 16e, ROW")</f>
        <v>Black, 256GB, Logic Board Assy Mid System, iPhone 16e, ROW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 t="str">
        <f t="shared" si="1"/>
        <v>March</v>
      </c>
      <c r="B370" s="11">
        <f>IFERROR(__xludf.DUMMYFUNCTION("""COMPUTED_VALUE"""),46101.0)</f>
        <v>46101</v>
      </c>
      <c r="C370" s="2" t="str">
        <f>IFERROR(__xludf.DUMMYFUNCTION("""COMPUTED_VALUE"""),"MOBILECARE - FESTIVE WALK ILOILO")</f>
        <v>MOBILECARE - FESTIVE WALK ILOILO</v>
      </c>
      <c r="D370" s="2" t="str">
        <f>IFERROR(__xludf.DUMMYFUNCTION("""COMPUTED_VALUE"""),"PP661-23454")</f>
        <v>PP661-23454</v>
      </c>
      <c r="E370" s="2" t="str">
        <f>IFERROR(__xludf.DUMMYFUNCTION("""COMPUTED_VALUE"""),"iPhone 13, Midnight, 128GB, Logic Board Assy Rear System, ROW")</f>
        <v>iPhone 13, Midnight, 128GB, Logic Board Assy Rear System, ROW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 t="str">
        <f t="shared" si="1"/>
        <v>February</v>
      </c>
      <c r="B371" s="11">
        <f>IFERROR(__xludf.DUMMYFUNCTION("""COMPUTED_VALUE"""),46078.0)</f>
        <v>46078</v>
      </c>
      <c r="C371" s="2" t="str">
        <f>IFERROR(__xludf.DUMMYFUNCTION("""COMPUTED_VALUE"""),"MOBILECARE - FESTIVE WALK ILOILO")</f>
        <v>MOBILECARE - FESTIVE WALK ILOILO</v>
      </c>
      <c r="D371" s="2" t="str">
        <f>IFERROR(__xludf.DUMMYFUNCTION("""COMPUTED_VALUE"""),"PP661-28871")</f>
        <v>PP661-28871</v>
      </c>
      <c r="E371" s="2" t="str">
        <f>IFERROR(__xludf.DUMMYFUNCTION("""COMPUTED_VALUE"""),"iPhone 14, Blue, 128GB, Logic Board Assy Mid System, ROW")</f>
        <v>iPhone 14, Blue, 128GB, Logic Board Assy Mid System, ROW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 t="str">
        <f t="shared" si="1"/>
        <v>June</v>
      </c>
      <c r="B372" s="11">
        <f>IFERROR(__xludf.DUMMYFUNCTION("""COMPUTED_VALUE"""),46184.0)</f>
        <v>46184</v>
      </c>
      <c r="C372" s="2" t="str">
        <f>IFERROR(__xludf.DUMMYFUNCTION("""COMPUTED_VALUE"""),"MOBILECARE - FESTIVE WALK ILOILO")</f>
        <v>MOBILECARE - FESTIVE WALK ILOILO</v>
      </c>
      <c r="D372" s="2" t="str">
        <f>IFERROR(__xludf.DUMMYFUNCTION("""COMPUTED_VALUE"""),"PP661-28869")</f>
        <v>PP661-28869</v>
      </c>
      <c r="E372" s="2" t="str">
        <f>IFERROR(__xludf.DUMMYFUNCTION("""COMPUTED_VALUE"""),"iPhone 14, Starlight, 128GB, Logic Board Assy Mid System, ROW")</f>
        <v>iPhone 14, Starlight, 128GB, Logic Board Assy Mid System, ROW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 t="str">
        <f t="shared" si="1"/>
        <v>June</v>
      </c>
      <c r="B373" s="11">
        <f>IFERROR(__xludf.DUMMYFUNCTION("""COMPUTED_VALUE"""),46181.0)</f>
        <v>46181</v>
      </c>
      <c r="C373" s="2" t="str">
        <f>IFERROR(__xludf.DUMMYFUNCTION("""COMPUTED_VALUE"""),"MOBILECARE - FESTIVE WALK ILOILO")</f>
        <v>MOBILECARE - FESTIVE WALK ILOILO</v>
      </c>
      <c r="D373" s="2" t="str">
        <f>IFERROR(__xludf.DUMMYFUNCTION("""COMPUTED_VALUE"""),"PP661-23454")</f>
        <v>PP661-23454</v>
      </c>
      <c r="E373" s="2" t="str">
        <f>IFERROR(__xludf.DUMMYFUNCTION("""COMPUTED_VALUE"""),"iPhone 13, Midnight, 128GB, Logic Board Assy Rear System, ROW")</f>
        <v>iPhone 13, Midnight, 128GB, Logic Board Assy Rear System, ROW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 t="str">
        <f t="shared" si="1"/>
        <v>June</v>
      </c>
      <c r="B374" s="11">
        <f>IFERROR(__xludf.DUMMYFUNCTION("""COMPUTED_VALUE"""),46181.0)</f>
        <v>46181</v>
      </c>
      <c r="C374" s="2" t="str">
        <f>IFERROR(__xludf.DUMMYFUNCTION("""COMPUTED_VALUE"""),"MOBILECARE - FESTIVE WALK ILOILO")</f>
        <v>MOBILECARE - FESTIVE WALK ILOILO</v>
      </c>
      <c r="D374" s="2" t="str">
        <f>IFERROR(__xludf.DUMMYFUNCTION("""COMPUTED_VALUE"""),"PP661-23454")</f>
        <v>PP661-23454</v>
      </c>
      <c r="E374" s="2" t="str">
        <f>IFERROR(__xludf.DUMMYFUNCTION("""COMPUTED_VALUE"""),"iPhone 13, Midnight, 128GB, Logic Board Assy Rear System, ROW")</f>
        <v>iPhone 13, Midnight, 128GB, Logic Board Assy Rear System, ROW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 t="str">
        <f t="shared" si="1"/>
        <v>March</v>
      </c>
      <c r="B375" s="11">
        <f>IFERROR(__xludf.DUMMYFUNCTION("""COMPUTED_VALUE"""),46103.0)</f>
        <v>46103</v>
      </c>
      <c r="C375" s="2" t="str">
        <f>IFERROR(__xludf.DUMMYFUNCTION("""COMPUTED_VALUE"""),"MOBILECARE - FESTIVE WALK ILOILO")</f>
        <v>MOBILECARE - FESTIVE WALK ILOILO</v>
      </c>
      <c r="D375" s="2" t="str">
        <f>IFERROR(__xludf.DUMMYFUNCTION("""COMPUTED_VALUE"""),"PP661-23455")</f>
        <v>PP661-23455</v>
      </c>
      <c r="E375" s="2" t="str">
        <f>IFERROR(__xludf.DUMMYFUNCTION("""COMPUTED_VALUE"""),"iPhone 13, Starlight, 128GB, Logic Board Assy Rear System, ROW")</f>
        <v>iPhone 13, Starlight, 128GB, Logic Board Assy Rear System, ROW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 t="str">
        <f t="shared" si="1"/>
        <v>February</v>
      </c>
      <c r="B376" s="11">
        <f>IFERROR(__xludf.DUMMYFUNCTION("""COMPUTED_VALUE"""),46081.0)</f>
        <v>46081</v>
      </c>
      <c r="C376" s="2" t="str">
        <f>IFERROR(__xludf.DUMMYFUNCTION("""COMPUTED_VALUE"""),"MOBILECARE - FESTIVE WALK ILOILO")</f>
        <v>MOBILECARE - FESTIVE WALK ILOILO</v>
      </c>
      <c r="D376" s="2" t="str">
        <f>IFERROR(__xludf.DUMMYFUNCTION("""COMPUTED_VALUE"""),"PP661-28869")</f>
        <v>PP661-28869</v>
      </c>
      <c r="E376" s="2" t="str">
        <f>IFERROR(__xludf.DUMMYFUNCTION("""COMPUTED_VALUE"""),"iPhone 14, Starlight, 128GB, Logic Board Assy Mid System, ROW")</f>
        <v>iPhone 14, Starlight, 128GB, Logic Board Assy Mid System, ROW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 t="str">
        <f t="shared" si="1"/>
        <v>March</v>
      </c>
      <c r="B377" s="11">
        <f>IFERROR(__xludf.DUMMYFUNCTION("""COMPUTED_VALUE"""),46097.0)</f>
        <v>46097</v>
      </c>
      <c r="C377" s="2" t="str">
        <f>IFERROR(__xludf.DUMMYFUNCTION("""COMPUTED_VALUE"""),"MOBILECARE - FESTIVE WALK ILOILO")</f>
        <v>MOBILECARE - FESTIVE WALK ILOILO</v>
      </c>
      <c r="D377" s="2" t="str">
        <f>IFERROR(__xludf.DUMMYFUNCTION("""COMPUTED_VALUE"""),"PP661-23455")</f>
        <v>PP661-23455</v>
      </c>
      <c r="E377" s="2" t="str">
        <f>IFERROR(__xludf.DUMMYFUNCTION("""COMPUTED_VALUE"""),"iPhone 13, Starlight, 128GB, Logic Board Assy Rear System, ROW")</f>
        <v>iPhone 13, Starlight, 128GB, Logic Board Assy Rear System, ROW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 t="str">
        <f t="shared" si="1"/>
        <v>March</v>
      </c>
      <c r="B378" s="11">
        <f>IFERROR(__xludf.DUMMYFUNCTION("""COMPUTED_VALUE"""),46097.0)</f>
        <v>46097</v>
      </c>
      <c r="C378" s="2" t="str">
        <f>IFERROR(__xludf.DUMMYFUNCTION("""COMPUTED_VALUE"""),"MOBILECARE - FESTIVE WALK ILOILO")</f>
        <v>MOBILECARE - FESTIVE WALK ILOILO</v>
      </c>
      <c r="D378" s="2" t="str">
        <f>IFERROR(__xludf.DUMMYFUNCTION("""COMPUTED_VALUE"""),"PP661-23455")</f>
        <v>PP661-23455</v>
      </c>
      <c r="E378" s="2" t="str">
        <f>IFERROR(__xludf.DUMMYFUNCTION("""COMPUTED_VALUE"""),"iPhone 13, Starlight, 128GB, Logic Board Assy Rear System, ROW")</f>
        <v>iPhone 13, Starlight, 128GB, Logic Board Assy Rear System, ROW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 t="str">
        <f t="shared" si="1"/>
        <v>March</v>
      </c>
      <c r="B379" s="11">
        <f>IFERROR(__xludf.DUMMYFUNCTION("""COMPUTED_VALUE"""),46088.0)</f>
        <v>46088</v>
      </c>
      <c r="C379" s="2" t="str">
        <f>IFERROR(__xludf.DUMMYFUNCTION("""COMPUTED_VALUE"""),"MOBILECARE - FESTIVE WALK ILOILO")</f>
        <v>MOBILECARE - FESTIVE WALK ILOILO</v>
      </c>
      <c r="D379" s="2" t="str">
        <f>IFERROR(__xludf.DUMMYFUNCTION("""COMPUTED_VALUE"""),"PP661-23455")</f>
        <v>PP661-23455</v>
      </c>
      <c r="E379" s="2" t="str">
        <f>IFERROR(__xludf.DUMMYFUNCTION("""COMPUTED_VALUE"""),"iPhone 13, Starlight, 128GB, Logic Board Assy Rear System, ROW")</f>
        <v>iPhone 13, Starlight, 128GB, Logic Board Assy Rear System, ROW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 t="str">
        <f t="shared" si="1"/>
        <v>March</v>
      </c>
      <c r="B380" s="11">
        <f>IFERROR(__xludf.DUMMYFUNCTION("""COMPUTED_VALUE"""),46088.0)</f>
        <v>46088</v>
      </c>
      <c r="C380" s="2" t="str">
        <f>IFERROR(__xludf.DUMMYFUNCTION("""COMPUTED_VALUE"""),"MOBILECARE - FESTIVE WALK ILOILO")</f>
        <v>MOBILECARE - FESTIVE WALK ILOILO</v>
      </c>
      <c r="D380" s="2" t="str">
        <f>IFERROR(__xludf.DUMMYFUNCTION("""COMPUTED_VALUE"""),"PP661-23455")</f>
        <v>PP661-23455</v>
      </c>
      <c r="E380" s="2" t="str">
        <f>IFERROR(__xludf.DUMMYFUNCTION("""COMPUTED_VALUE"""),"iPhone 13, Starlight, 128GB, Logic Board Assy Rear System, ROW")</f>
        <v>iPhone 13, Starlight, 128GB, Logic Board Assy Rear System, ROW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 t="str">
        <f t="shared" si="1"/>
        <v>January</v>
      </c>
      <c r="B381" s="11">
        <f>IFERROR(__xludf.DUMMYFUNCTION("""COMPUTED_VALUE"""),46052.0)</f>
        <v>46052</v>
      </c>
      <c r="C381" s="2" t="str">
        <f>IFERROR(__xludf.DUMMYFUNCTION("""COMPUTED_VALUE"""),"MOBILECARE - FESTIVE WALK ILOILO")</f>
        <v>MOBILECARE - FESTIVE WALK ILOILO</v>
      </c>
      <c r="D381" s="2" t="str">
        <f>IFERROR(__xludf.DUMMYFUNCTION("""COMPUTED_VALUE"""),"TA661-44995")</f>
        <v>TA661-44995</v>
      </c>
      <c r="E381" s="2" t="str">
        <f>IFERROR(__xludf.DUMMYFUNCTION("""COMPUTED_VALUE"""),"128GB, Black Titanium, ROW, iPhone 16 Pro, Logic Board Assy Mid System")</f>
        <v>128GB, Black Titanium, ROW, iPhone 16 Pro, Logic Board Assy Mid System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 t="str">
        <f t="shared" si="1"/>
        <v>June</v>
      </c>
      <c r="B382" s="11">
        <f>IFERROR(__xludf.DUMMYFUNCTION("""COMPUTED_VALUE"""),46183.0)</f>
        <v>46183</v>
      </c>
      <c r="C382" s="2" t="str">
        <f>IFERROR(__xludf.DUMMYFUNCTION("""COMPUTED_VALUE"""),"MOBILECARE - FESTIVE WALK ILOILO")</f>
        <v>MOBILECARE - FESTIVE WALK ILOILO</v>
      </c>
      <c r="D382" s="2" t="str">
        <f>IFERROR(__xludf.DUMMYFUNCTION("""COMPUTED_VALUE"""),"PP661-23454")</f>
        <v>PP661-23454</v>
      </c>
      <c r="E382" s="2" t="str">
        <f>IFERROR(__xludf.DUMMYFUNCTION("""COMPUTED_VALUE"""),"iPhone 13, Midnight, 128GB, Logic Board Assy Rear System, ROW")</f>
        <v>iPhone 13, Midnight, 128GB, Logic Board Assy Rear System, ROW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 t="str">
        <f t="shared" si="1"/>
        <v>June</v>
      </c>
      <c r="B383" s="11">
        <f>IFERROR(__xludf.DUMMYFUNCTION("""COMPUTED_VALUE"""),46183.0)</f>
        <v>46183</v>
      </c>
      <c r="C383" s="2" t="str">
        <f>IFERROR(__xludf.DUMMYFUNCTION("""COMPUTED_VALUE"""),"MOBILECARE - FESTIVE WALK ILOILO")</f>
        <v>MOBILECARE - FESTIVE WALK ILOILO</v>
      </c>
      <c r="D383" s="2" t="str">
        <f>IFERROR(__xludf.DUMMYFUNCTION("""COMPUTED_VALUE"""),"PP661-23454")</f>
        <v>PP661-23454</v>
      </c>
      <c r="E383" s="2" t="str">
        <f>IFERROR(__xludf.DUMMYFUNCTION("""COMPUTED_VALUE"""),"iPhone 13, Midnight, 128GB, Logic Board Assy Rear System, ROW")</f>
        <v>iPhone 13, Midnight, 128GB, Logic Board Assy Rear System, ROW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 t="str">
        <f t="shared" si="1"/>
        <v>June</v>
      </c>
      <c r="B384" s="11">
        <f>IFERROR(__xludf.DUMMYFUNCTION("""COMPUTED_VALUE"""),46192.0)</f>
        <v>46192</v>
      </c>
      <c r="C384" s="2" t="str">
        <f>IFERROR(__xludf.DUMMYFUNCTION("""COMPUTED_VALUE"""),"MOBILECARE - FESTIVE WALK ILOILO")</f>
        <v>MOBILECARE - FESTIVE WALK ILOILO</v>
      </c>
      <c r="D384" s="2" t="str">
        <f>IFERROR(__xludf.DUMMYFUNCTION("""COMPUTED_VALUE"""),"PP661-23455")</f>
        <v>PP661-23455</v>
      </c>
      <c r="E384" s="2" t="str">
        <f>IFERROR(__xludf.DUMMYFUNCTION("""COMPUTED_VALUE"""),"iPhone 13, Starlight, 128GB, Logic Board Assy Rear System, ROW")</f>
        <v>iPhone 13, Starlight, 128GB, Logic Board Assy Rear System, ROW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 t="str">
        <f t="shared" si="1"/>
        <v>April</v>
      </c>
      <c r="B385" s="11">
        <f>IFERROR(__xludf.DUMMYFUNCTION("""COMPUTED_VALUE"""),46113.0)</f>
        <v>46113</v>
      </c>
      <c r="C385" s="2" t="str">
        <f>IFERROR(__xludf.DUMMYFUNCTION("""COMPUTED_VALUE"""),"MOBILECARE - FESTIVE WALK ILOILO")</f>
        <v>MOBILECARE - FESTIVE WALK ILOILO</v>
      </c>
      <c r="D385" s="2" t="str">
        <f>IFERROR(__xludf.DUMMYFUNCTION("""COMPUTED_VALUE"""),"PP661-23454")</f>
        <v>PP661-23454</v>
      </c>
      <c r="E385" s="2" t="str">
        <f>IFERROR(__xludf.DUMMYFUNCTION("""COMPUTED_VALUE"""),"iPhone 13, Midnight, 128GB, Logic Board Assy Rear System, ROW")</f>
        <v>iPhone 13, Midnight, 128GB, Logic Board Assy Rear System, ROW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 t="str">
        <f t="shared" si="1"/>
        <v>February</v>
      </c>
      <c r="B386" s="11">
        <f>IFERROR(__xludf.DUMMYFUNCTION("""COMPUTED_VALUE"""),46067.0)</f>
        <v>46067</v>
      </c>
      <c r="C386" s="2" t="str">
        <f>IFERROR(__xludf.DUMMYFUNCTION("""COMPUTED_VALUE"""),"MOBILECARE - FESTIVE WALK ILOILO")</f>
        <v>MOBILECARE - FESTIVE WALK ILOILO</v>
      </c>
      <c r="D386" s="2" t="str">
        <f>IFERROR(__xludf.DUMMYFUNCTION("""COMPUTED_VALUE"""),"TA661-43605")</f>
        <v>TA661-43605</v>
      </c>
      <c r="E386" s="2" t="str">
        <f>IFERROR(__xludf.DUMMYFUNCTION("""COMPUTED_VALUE"""),"128GB, Black, ROW, iPhone 16, Logic Board Assy Mid System")</f>
        <v>128GB, Black, ROW, iPhone 16, Logic Board Assy Mid System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 t="str">
        <f t="shared" si="1"/>
        <v>June</v>
      </c>
      <c r="B387" s="11">
        <f>IFERROR(__xludf.DUMMYFUNCTION("""COMPUTED_VALUE"""),46180.0)</f>
        <v>46180</v>
      </c>
      <c r="C387" s="2" t="str">
        <f>IFERROR(__xludf.DUMMYFUNCTION("""COMPUTED_VALUE"""),"MOBILECARE - FESTIVE WALK ILOILO")</f>
        <v>MOBILECARE - FESTIVE WALK ILOILO</v>
      </c>
      <c r="D387" s="2" t="str">
        <f>IFERROR(__xludf.DUMMYFUNCTION("""COMPUTED_VALUE"""),"PP661-28868")</f>
        <v>PP661-28868</v>
      </c>
      <c r="E387" s="2" t="str">
        <f>IFERROR(__xludf.DUMMYFUNCTION("""COMPUTED_VALUE"""),"iPhone 14, Midnight, 128GB, Logic Board Assy Mid System, ROW")</f>
        <v>iPhone 14, Midnight, 128GB, Logic Board Assy Mid System, ROW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 t="str">
        <f t="shared" si="1"/>
        <v>May</v>
      </c>
      <c r="B388" s="11">
        <f>IFERROR(__xludf.DUMMYFUNCTION("""COMPUTED_VALUE"""),46154.0)</f>
        <v>46154</v>
      </c>
      <c r="C388" s="2" t="str">
        <f>IFERROR(__xludf.DUMMYFUNCTION("""COMPUTED_VALUE"""),"MOBILECARE - FESTIVE WALK ILOILO")</f>
        <v>MOBILECARE - FESTIVE WALK ILOILO</v>
      </c>
      <c r="D388" s="2" t="str">
        <f>IFERROR(__xludf.DUMMYFUNCTION("""COMPUTED_VALUE"""),"PP661-23455")</f>
        <v>PP661-23455</v>
      </c>
      <c r="E388" s="2" t="str">
        <f>IFERROR(__xludf.DUMMYFUNCTION("""COMPUTED_VALUE"""),"iPhone 13, Starlight, 128GB, Logic Board Assy Rear System, ROW")</f>
        <v>iPhone 13, Starlight, 128GB, Logic Board Assy Rear System, ROW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 t="str">
        <f t="shared" si="1"/>
        <v>May</v>
      </c>
      <c r="B389" s="11">
        <f>IFERROR(__xludf.DUMMYFUNCTION("""COMPUTED_VALUE"""),46144.0)</f>
        <v>46144</v>
      </c>
      <c r="C389" s="2" t="str">
        <f>IFERROR(__xludf.DUMMYFUNCTION("""COMPUTED_VALUE"""),"MOBILECARE - FESTIVE WALK ILOILO")</f>
        <v>MOBILECARE - FESTIVE WALK ILOILO</v>
      </c>
      <c r="D389" s="2" t="str">
        <f>IFERROR(__xludf.DUMMYFUNCTION("""COMPUTED_VALUE"""),"PP661-23455")</f>
        <v>PP661-23455</v>
      </c>
      <c r="E389" s="2" t="str">
        <f>IFERROR(__xludf.DUMMYFUNCTION("""COMPUTED_VALUE"""),"iPhone 13, Starlight, 128GB, Logic Board Assy Rear System, ROW")</f>
        <v>iPhone 13, Starlight, 128GB, Logic Board Assy Rear System, ROW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 t="str">
        <f t="shared" si="1"/>
        <v>February</v>
      </c>
      <c r="B390" s="11">
        <f>IFERROR(__xludf.DUMMYFUNCTION("""COMPUTED_VALUE"""),46080.0)</f>
        <v>46080</v>
      </c>
      <c r="C390" s="2" t="str">
        <f>IFERROR(__xludf.DUMMYFUNCTION("""COMPUTED_VALUE"""),"MOBILECARE - FESTIVE WALK ILOILO")</f>
        <v>MOBILECARE - FESTIVE WALK ILOILO</v>
      </c>
      <c r="D390" s="2" t="str">
        <f>IFERROR(__xludf.DUMMYFUNCTION("""COMPUTED_VALUE"""),"PP661-23455")</f>
        <v>PP661-23455</v>
      </c>
      <c r="E390" s="2" t="str">
        <f>IFERROR(__xludf.DUMMYFUNCTION("""COMPUTED_VALUE"""),"iPhone 13, Starlight, 128GB, Logic Board Assy Rear System, ROW")</f>
        <v>iPhone 13, Starlight, 128GB, Logic Board Assy Rear System, ROW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 t="str">
        <f t="shared" si="1"/>
        <v>June</v>
      </c>
      <c r="B391" s="11">
        <f>IFERROR(__xludf.DUMMYFUNCTION("""COMPUTED_VALUE"""),46183.0)</f>
        <v>46183</v>
      </c>
      <c r="C391" s="2" t="str">
        <f>IFERROR(__xludf.DUMMYFUNCTION("""COMPUTED_VALUE"""),"MOBILECARE - FESTIVE WALK ILOILO")</f>
        <v>MOBILECARE - FESTIVE WALK ILOILO</v>
      </c>
      <c r="D391" s="2" t="str">
        <f>IFERROR(__xludf.DUMMYFUNCTION("""COMPUTED_VALUE"""),"TA661-43609")</f>
        <v>TA661-43609</v>
      </c>
      <c r="E391" s="2" t="str">
        <f>IFERROR(__xludf.DUMMYFUNCTION("""COMPUTED_VALUE"""),"128GB, Teal, ROW, iPhone 16, Logic Board Assy Mid System")</f>
        <v>128GB, Teal, ROW, iPhone 16, Logic Board Assy Mid System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 t="str">
        <f t="shared" si="1"/>
        <v>May</v>
      </c>
      <c r="B392" s="11">
        <f>IFERROR(__xludf.DUMMYFUNCTION("""COMPUTED_VALUE"""),46155.0)</f>
        <v>46155</v>
      </c>
      <c r="C392" s="2" t="str">
        <f>IFERROR(__xludf.DUMMYFUNCTION("""COMPUTED_VALUE"""),"MOBILECARE - FESTIVE WALK ILOILO")</f>
        <v>MOBILECARE - FESTIVE WALK ILOILO</v>
      </c>
      <c r="D392" s="2" t="str">
        <f>IFERROR(__xludf.DUMMYFUNCTION("""COMPUTED_VALUE"""),"TA661-36694")</f>
        <v>TA661-36694</v>
      </c>
      <c r="E392" s="2" t="str">
        <f>IFERROR(__xludf.DUMMYFUNCTION("""COMPUTED_VALUE"""),"iPhone 15, Blue, 128GB, Logic Board Assy Mid System, ROW")</f>
        <v>iPhone 15, Blue, 128GB, Logic Board Assy Mid System, ROW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 t="str">
        <f t="shared" si="1"/>
        <v>April</v>
      </c>
      <c r="B393" s="11">
        <f>IFERROR(__xludf.DUMMYFUNCTION("""COMPUTED_VALUE"""),46136.0)</f>
        <v>46136</v>
      </c>
      <c r="C393" s="2" t="str">
        <f>IFERROR(__xludf.DUMMYFUNCTION("""COMPUTED_VALUE"""),"MOBILECARE - FESTIVE WALK ILOILO")</f>
        <v>MOBILECARE - FESTIVE WALK ILOILO</v>
      </c>
      <c r="D393" s="2" t="str">
        <f>IFERROR(__xludf.DUMMYFUNCTION("""COMPUTED_VALUE"""),"TA661-36691")</f>
        <v>TA661-36691</v>
      </c>
      <c r="E393" s="2" t="str">
        <f>IFERROR(__xludf.DUMMYFUNCTION("""COMPUTED_VALUE"""),"iPhone 15, Black, 128GB, Logic Board Assy Mid System, ROW")</f>
        <v>iPhone 15, Black, 128GB, Logic Board Assy Mid System, ROW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 t="str">
        <f t="shared" si="1"/>
        <v>April</v>
      </c>
      <c r="B394" s="11">
        <f>IFERROR(__xludf.DUMMYFUNCTION("""COMPUTED_VALUE"""),46136.0)</f>
        <v>46136</v>
      </c>
      <c r="C394" s="2" t="str">
        <f>IFERROR(__xludf.DUMMYFUNCTION("""COMPUTED_VALUE"""),"MOBILECARE - FESTIVE WALK ILOILO")</f>
        <v>MOBILECARE - FESTIVE WALK ILOILO</v>
      </c>
      <c r="D394" s="2" t="str">
        <f>IFERROR(__xludf.DUMMYFUNCTION("""COMPUTED_VALUE"""),"TA661-36691")</f>
        <v>TA661-36691</v>
      </c>
      <c r="E394" s="2" t="str">
        <f>IFERROR(__xludf.DUMMYFUNCTION("""COMPUTED_VALUE"""),"iPhone 15, Black, 128GB, Logic Board Assy Mid System, ROW")</f>
        <v>iPhone 15, Black, 128GB, Logic Board Assy Mid System, ROW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 t="str">
        <f t="shared" si="1"/>
        <v>February</v>
      </c>
      <c r="B395" s="11">
        <f>IFERROR(__xludf.DUMMYFUNCTION("""COMPUTED_VALUE"""),46081.0)</f>
        <v>46081</v>
      </c>
      <c r="C395" s="2" t="str">
        <f>IFERROR(__xludf.DUMMYFUNCTION("""COMPUTED_VALUE"""),"MOBILECARE - FESTIVE WALK ILOILO")</f>
        <v>MOBILECARE - FESTIVE WALK ILOILO</v>
      </c>
      <c r="D395" s="2" t="str">
        <f>IFERROR(__xludf.DUMMYFUNCTION("""COMPUTED_VALUE"""),"PP661-23455")</f>
        <v>PP661-23455</v>
      </c>
      <c r="E395" s="2" t="str">
        <f>IFERROR(__xludf.DUMMYFUNCTION("""COMPUTED_VALUE"""),"iPhone 13, Starlight, 128GB, Logic Board Assy Rear System, ROW")</f>
        <v>iPhone 13, Starlight, 128GB, Logic Board Assy Rear System, ROW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 t="str">
        <f t="shared" si="1"/>
        <v>March</v>
      </c>
      <c r="B396" s="11">
        <f>IFERROR(__xludf.DUMMYFUNCTION("""COMPUTED_VALUE"""),46100.0)</f>
        <v>46100</v>
      </c>
      <c r="C396" s="2" t="str">
        <f>IFERROR(__xludf.DUMMYFUNCTION("""COMPUTED_VALUE"""),"MOBILECARE - FESTIVE WALK ILOILO")</f>
        <v>MOBILECARE - FESTIVE WALK ILOILO</v>
      </c>
      <c r="D396" s="2" t="str">
        <f>IFERROR(__xludf.DUMMYFUNCTION("""COMPUTED_VALUE"""),"PP661-23455")</f>
        <v>PP661-23455</v>
      </c>
      <c r="E396" s="2" t="str">
        <f>IFERROR(__xludf.DUMMYFUNCTION("""COMPUTED_VALUE"""),"iPhone 13, Starlight, 128GB, Logic Board Assy Rear System, ROW")</f>
        <v>iPhone 13, Starlight, 128GB, Logic Board Assy Rear System, ROW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 t="str">
        <f t="shared" si="1"/>
        <v>February</v>
      </c>
      <c r="B397" s="11">
        <f>IFERROR(__xludf.DUMMYFUNCTION("""COMPUTED_VALUE"""),46070.0)</f>
        <v>46070</v>
      </c>
      <c r="C397" s="2" t="str">
        <f>IFERROR(__xludf.DUMMYFUNCTION("""COMPUTED_VALUE"""),"MOBILECARE - FESTIVE WALK ILOILO")</f>
        <v>MOBILECARE - FESTIVE WALK ILOILO</v>
      </c>
      <c r="D397" s="2" t="str">
        <f>IFERROR(__xludf.DUMMYFUNCTION("""COMPUTED_VALUE"""),"PP661-23454")</f>
        <v>PP661-23454</v>
      </c>
      <c r="E397" s="2" t="str">
        <f>IFERROR(__xludf.DUMMYFUNCTION("""COMPUTED_VALUE"""),"iPhone 13, Midnight, 128GB, Logic Board Assy Rear System, ROW")</f>
        <v>iPhone 13, Midnight, 128GB, Logic Board Assy Rear System, ROW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 t="str">
        <f t="shared" si="1"/>
        <v>April</v>
      </c>
      <c r="B398" s="11">
        <f>IFERROR(__xludf.DUMMYFUNCTION("""COMPUTED_VALUE"""),46118.0)</f>
        <v>46118</v>
      </c>
      <c r="C398" s="2" t="str">
        <f>IFERROR(__xludf.DUMMYFUNCTION("""COMPUTED_VALUE"""),"MOBILECARE - FESTIVE WALK ILOILO")</f>
        <v>MOBILECARE - FESTIVE WALK ILOILO</v>
      </c>
      <c r="D398" s="2" t="str">
        <f>IFERROR(__xludf.DUMMYFUNCTION("""COMPUTED_VALUE"""),"PP661-23455")</f>
        <v>PP661-23455</v>
      </c>
      <c r="E398" s="2" t="str">
        <f>IFERROR(__xludf.DUMMYFUNCTION("""COMPUTED_VALUE"""),"iPhone 13, Starlight, 128GB, Logic Board Assy Rear System, ROW")</f>
        <v>iPhone 13, Starlight, 128GB, Logic Board Assy Rear System, ROW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 t="str">
        <f t="shared" si="1"/>
        <v>March</v>
      </c>
      <c r="B399" s="11">
        <f>IFERROR(__xludf.DUMMYFUNCTION("""COMPUTED_VALUE"""),46094.0)</f>
        <v>46094</v>
      </c>
      <c r="C399" s="2" t="str">
        <f>IFERROR(__xludf.DUMMYFUNCTION("""COMPUTED_VALUE"""),"MOBILECARE - FESTIVE WALK ILOILO")</f>
        <v>MOBILECARE - FESTIVE WALK ILOILO</v>
      </c>
      <c r="D399" s="2" t="str">
        <f>IFERROR(__xludf.DUMMYFUNCTION("""COMPUTED_VALUE"""),"TA661-43605")</f>
        <v>TA661-43605</v>
      </c>
      <c r="E399" s="2" t="str">
        <f>IFERROR(__xludf.DUMMYFUNCTION("""COMPUTED_VALUE"""),"128GB, Black, ROW, iPhone 16, Logic Board Assy Mid System")</f>
        <v>128GB, Black, ROW, iPhone 16, Logic Board Assy Mid System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 t="str">
        <f t="shared" si="1"/>
        <v>March</v>
      </c>
      <c r="B400" s="11">
        <f>IFERROR(__xludf.DUMMYFUNCTION("""COMPUTED_VALUE"""),46088.0)</f>
        <v>46088</v>
      </c>
      <c r="C400" s="2" t="str">
        <f>IFERROR(__xludf.DUMMYFUNCTION("""COMPUTED_VALUE"""),"MOBILECARE - FESTIVE WALK ILOILO")</f>
        <v>MOBILECARE - FESTIVE WALK ILOILO</v>
      </c>
      <c r="D400" s="2" t="str">
        <f>IFERROR(__xludf.DUMMYFUNCTION("""COMPUTED_VALUE"""),"PP661-23454")</f>
        <v>PP661-23454</v>
      </c>
      <c r="E400" s="2" t="str">
        <f>IFERROR(__xludf.DUMMYFUNCTION("""COMPUTED_VALUE"""),"iPhone 13, Midnight, 128GB, Logic Board Assy Rear System, ROW")</f>
        <v>iPhone 13, Midnight, 128GB, Logic Board Assy Rear System, ROW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 t="str">
        <f t="shared" si="1"/>
        <v>April</v>
      </c>
      <c r="B401" s="11">
        <f>IFERROR(__xludf.DUMMYFUNCTION("""COMPUTED_VALUE"""),46132.0)</f>
        <v>46132</v>
      </c>
      <c r="C401" s="2" t="str">
        <f>IFERROR(__xludf.DUMMYFUNCTION("""COMPUTED_VALUE"""),"MOBILECARE - FESTIVE WALK ILOILO")</f>
        <v>MOBILECARE - FESTIVE WALK ILOILO</v>
      </c>
      <c r="D401" s="2" t="str">
        <f>IFERROR(__xludf.DUMMYFUNCTION("""COMPUTED_VALUE"""),"TA661-36694")</f>
        <v>TA661-36694</v>
      </c>
      <c r="E401" s="2" t="str">
        <f>IFERROR(__xludf.DUMMYFUNCTION("""COMPUTED_VALUE"""),"iPhone 15, Blue, 128GB, Logic Board Assy Mid System, ROW")</f>
        <v>iPhone 15, Blue, 128GB, Logic Board Assy Mid System, ROW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 t="str">
        <f t="shared" si="1"/>
        <v>February</v>
      </c>
      <c r="B402" s="11">
        <f>IFERROR(__xludf.DUMMYFUNCTION("""COMPUTED_VALUE"""),46060.0)</f>
        <v>46060</v>
      </c>
      <c r="C402" s="2" t="str">
        <f>IFERROR(__xludf.DUMMYFUNCTION("""COMPUTED_VALUE"""),"MOBILECARE - FESTIVE WALK ILOILO")</f>
        <v>MOBILECARE - FESTIVE WALK ILOILO</v>
      </c>
      <c r="D402" s="2" t="str">
        <f>IFERROR(__xludf.DUMMYFUNCTION("""COMPUTED_VALUE"""),"PP661-28872")</f>
        <v>PP661-28872</v>
      </c>
      <c r="E402" s="2" t="str">
        <f>IFERROR(__xludf.DUMMYFUNCTION("""COMPUTED_VALUE"""),"iPhone 14, Purple, 128GB, Logic Board Assy Mid System, ROW")</f>
        <v>iPhone 14, Purple, 128GB, Logic Board Assy Mid System, ROW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 t="str">
        <f t="shared" si="1"/>
        <v>April</v>
      </c>
      <c r="B403" s="11">
        <f>IFERROR(__xludf.DUMMYFUNCTION("""COMPUTED_VALUE"""),46134.0)</f>
        <v>46134</v>
      </c>
      <c r="C403" s="2" t="str">
        <f>IFERROR(__xludf.DUMMYFUNCTION("""COMPUTED_VALUE"""),"MOBILECARE - FESTIVE WALK ILOILO")</f>
        <v>MOBILECARE - FESTIVE WALK ILOILO</v>
      </c>
      <c r="D403" s="2" t="str">
        <f>IFERROR(__xludf.DUMMYFUNCTION("""COMPUTED_VALUE"""),"PP661-23454")</f>
        <v>PP661-23454</v>
      </c>
      <c r="E403" s="2" t="str">
        <f>IFERROR(__xludf.DUMMYFUNCTION("""COMPUTED_VALUE"""),"iPhone 13, Midnight, 128GB, Logic Board Assy Rear System, ROW")</f>
        <v>iPhone 13, Midnight, 128GB, Logic Board Assy Rear System, ROW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 t="str">
        <f t="shared" si="1"/>
        <v>April</v>
      </c>
      <c r="B404" s="11">
        <f>IFERROR(__xludf.DUMMYFUNCTION("""COMPUTED_VALUE"""),46116.0)</f>
        <v>46116</v>
      </c>
      <c r="C404" s="2" t="str">
        <f>IFERROR(__xludf.DUMMYFUNCTION("""COMPUTED_VALUE"""),"MOBILECARE - FESTIVE WALK ILOILO")</f>
        <v>MOBILECARE - FESTIVE WALK ILOILO</v>
      </c>
      <c r="D404" s="2" t="str">
        <f>IFERROR(__xludf.DUMMYFUNCTION("""COMPUTED_VALUE"""),"PP661-23454")</f>
        <v>PP661-23454</v>
      </c>
      <c r="E404" s="2" t="str">
        <f>IFERROR(__xludf.DUMMYFUNCTION("""COMPUTED_VALUE"""),"iPhone 13, Midnight, 128GB, Logic Board Assy Rear System, ROW")</f>
        <v>iPhone 13, Midnight, 128GB, Logic Board Assy Rear System, ROW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 t="str">
        <f t="shared" si="1"/>
        <v>March</v>
      </c>
      <c r="B405" s="11">
        <f>IFERROR(__xludf.DUMMYFUNCTION("""COMPUTED_VALUE"""),46097.0)</f>
        <v>46097</v>
      </c>
      <c r="C405" s="2" t="str">
        <f>IFERROR(__xludf.DUMMYFUNCTION("""COMPUTED_VALUE"""),"MOBILECARE - FESTIVE WALK ILOILO")</f>
        <v>MOBILECARE - FESTIVE WALK ILOILO</v>
      </c>
      <c r="D405" s="2" t="str">
        <f>IFERROR(__xludf.DUMMYFUNCTION("""COMPUTED_VALUE"""),"PP661-23455")</f>
        <v>PP661-23455</v>
      </c>
      <c r="E405" s="2" t="str">
        <f>IFERROR(__xludf.DUMMYFUNCTION("""COMPUTED_VALUE"""),"iPhone 13, Starlight, 128GB, Logic Board Assy Rear System, ROW")</f>
        <v>iPhone 13, Starlight, 128GB, Logic Board Assy Rear System, ROW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 t="str">
        <f t="shared" si="1"/>
        <v>March</v>
      </c>
      <c r="B406" s="11">
        <f>IFERROR(__xludf.DUMMYFUNCTION("""COMPUTED_VALUE"""),46110.0)</f>
        <v>46110</v>
      </c>
      <c r="C406" s="2" t="str">
        <f>IFERROR(__xludf.DUMMYFUNCTION("""COMPUTED_VALUE"""),"MOBILECARE - FESTIVE WALK ILOILO")</f>
        <v>MOBILECARE - FESTIVE WALK ILOILO</v>
      </c>
      <c r="D406" s="2" t="str">
        <f>IFERROR(__xludf.DUMMYFUNCTION("""COMPUTED_VALUE"""),"TA661-43606")</f>
        <v>TA661-43606</v>
      </c>
      <c r="E406" s="2" t="str">
        <f>IFERROR(__xludf.DUMMYFUNCTION("""COMPUTED_VALUE"""),"128GB, White, ROW, iPhone 16, Logic Board Assy Mid System")</f>
        <v>128GB, White, ROW, iPhone 16, Logic Board Assy Mid System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 t="str">
        <f t="shared" si="1"/>
        <v>April</v>
      </c>
      <c r="B407" s="11">
        <f>IFERROR(__xludf.DUMMYFUNCTION("""COMPUTED_VALUE"""),46123.0)</f>
        <v>46123</v>
      </c>
      <c r="C407" s="2" t="str">
        <f>IFERROR(__xludf.DUMMYFUNCTION("""COMPUTED_VALUE"""),"MOBILECARE - FESTIVE WALK ILOILO")</f>
        <v>MOBILECARE - FESTIVE WALK ILOILO</v>
      </c>
      <c r="D407" s="2" t="str">
        <f>IFERROR(__xludf.DUMMYFUNCTION("""COMPUTED_VALUE"""),"PP661-23455")</f>
        <v>PP661-23455</v>
      </c>
      <c r="E407" s="2" t="str">
        <f>IFERROR(__xludf.DUMMYFUNCTION("""COMPUTED_VALUE"""),"iPhone 13, Starlight, 128GB, Logic Board Assy Rear System, ROW")</f>
        <v>iPhone 13, Starlight, 128GB, Logic Board Assy Rear System, ROW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 t="str">
        <f t="shared" si="1"/>
        <v>April</v>
      </c>
      <c r="B408" s="11">
        <f>IFERROR(__xludf.DUMMYFUNCTION("""COMPUTED_VALUE"""),46123.0)</f>
        <v>46123</v>
      </c>
      <c r="C408" s="2" t="str">
        <f>IFERROR(__xludf.DUMMYFUNCTION("""COMPUTED_VALUE"""),"MOBILECARE - FESTIVE WALK ILOILO")</f>
        <v>MOBILECARE - FESTIVE WALK ILOILO</v>
      </c>
      <c r="D408" s="2" t="str">
        <f>IFERROR(__xludf.DUMMYFUNCTION("""COMPUTED_VALUE"""),"PP661-23455")</f>
        <v>PP661-23455</v>
      </c>
      <c r="E408" s="2" t="str">
        <f>IFERROR(__xludf.DUMMYFUNCTION("""COMPUTED_VALUE"""),"iPhone 13, Starlight, 128GB, Logic Board Assy Rear System, ROW")</f>
        <v>iPhone 13, Starlight, 128GB, Logic Board Assy Rear System, ROW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 t="str">
        <f t="shared" si="1"/>
        <v>April</v>
      </c>
      <c r="B409" s="11">
        <f>IFERROR(__xludf.DUMMYFUNCTION("""COMPUTED_VALUE"""),46134.0)</f>
        <v>46134</v>
      </c>
      <c r="C409" s="2" t="str">
        <f>IFERROR(__xludf.DUMMYFUNCTION("""COMPUTED_VALUE"""),"MOBILECARE - FESTIVE WALK ILOILO")</f>
        <v>MOBILECARE - FESTIVE WALK ILOILO</v>
      </c>
      <c r="D409" s="2" t="str">
        <f>IFERROR(__xludf.DUMMYFUNCTION("""COMPUTED_VALUE"""),"PP661-23454")</f>
        <v>PP661-23454</v>
      </c>
      <c r="E409" s="2" t="str">
        <f>IFERROR(__xludf.DUMMYFUNCTION("""COMPUTED_VALUE"""),"iPhone 13, Midnight, 128GB, Logic Board Assy Rear System, ROW")</f>
        <v>iPhone 13, Midnight, 128GB, Logic Board Assy Rear System, ROW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 t="str">
        <f t="shared" si="1"/>
        <v>April</v>
      </c>
      <c r="B410" s="11">
        <f>IFERROR(__xludf.DUMMYFUNCTION("""COMPUTED_VALUE"""),46134.0)</f>
        <v>46134</v>
      </c>
      <c r="C410" s="2" t="str">
        <f>IFERROR(__xludf.DUMMYFUNCTION("""COMPUTED_VALUE"""),"MOBILECARE - FESTIVE WALK ILOILO")</f>
        <v>MOBILECARE - FESTIVE WALK ILOILO</v>
      </c>
      <c r="D410" s="2" t="str">
        <f>IFERROR(__xludf.DUMMYFUNCTION("""COMPUTED_VALUE"""),"PP661-23454")</f>
        <v>PP661-23454</v>
      </c>
      <c r="E410" s="2" t="str">
        <f>IFERROR(__xludf.DUMMYFUNCTION("""COMPUTED_VALUE"""),"iPhone 13, Midnight, 128GB, Logic Board Assy Rear System, ROW")</f>
        <v>iPhone 13, Midnight, 128GB, Logic Board Assy Rear System, ROW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 t="str">
        <f t="shared" si="1"/>
        <v>April</v>
      </c>
      <c r="B411" s="11">
        <f>IFERROR(__xludf.DUMMYFUNCTION("""COMPUTED_VALUE"""),46140.0)</f>
        <v>46140</v>
      </c>
      <c r="C411" s="2" t="str">
        <f>IFERROR(__xludf.DUMMYFUNCTION("""COMPUTED_VALUE"""),"MOBILECARE - FESTIVE WALK ILOILO")</f>
        <v>MOBILECARE - FESTIVE WALK ILOILO</v>
      </c>
      <c r="D411" s="2" t="str">
        <f>IFERROR(__xludf.DUMMYFUNCTION("""COMPUTED_VALUE"""),"TA661-45242")</f>
        <v>TA661-45242</v>
      </c>
      <c r="E411" s="2" t="str">
        <f>IFERROR(__xludf.DUMMYFUNCTION("""COMPUTED_VALUE"""),"512GB, White, ROW, iPhone 16 Plus, Logic Board Assy Mid System")</f>
        <v>512GB, White, ROW, iPhone 16 Plus, Logic Board Assy Mid System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 t="str">
        <f t="shared" si="1"/>
        <v>February</v>
      </c>
      <c r="B412" s="11">
        <f>IFERROR(__xludf.DUMMYFUNCTION("""COMPUTED_VALUE"""),46077.0)</f>
        <v>46077</v>
      </c>
      <c r="C412" s="2" t="str">
        <f>IFERROR(__xludf.DUMMYFUNCTION("""COMPUTED_VALUE"""),"MOBILECARE - FESTIVE WALK ILOILO")</f>
        <v>MOBILECARE - FESTIVE WALK ILOILO</v>
      </c>
      <c r="D412" s="2" t="str">
        <f>IFERROR(__xludf.DUMMYFUNCTION("""COMPUTED_VALUE"""),"PP661-23454")</f>
        <v>PP661-23454</v>
      </c>
      <c r="E412" s="2" t="str">
        <f>IFERROR(__xludf.DUMMYFUNCTION("""COMPUTED_VALUE"""),"iPhone 13, Midnight, 128GB, Logic Board Assy Rear System, ROW")</f>
        <v>iPhone 13, Midnight, 128GB, Logic Board Assy Rear System, ROW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 t="str">
        <f t="shared" si="1"/>
        <v>February</v>
      </c>
      <c r="B413" s="11">
        <f>IFERROR(__xludf.DUMMYFUNCTION("""COMPUTED_VALUE"""),46066.0)</f>
        <v>46066</v>
      </c>
      <c r="C413" s="2" t="str">
        <f>IFERROR(__xludf.DUMMYFUNCTION("""COMPUTED_VALUE"""),"MOBILECARE - FESTIVE WALK ILOILO")</f>
        <v>MOBILECARE - FESTIVE WALK ILOILO</v>
      </c>
      <c r="D413" s="2" t="str">
        <f>IFERROR(__xludf.DUMMYFUNCTION("""COMPUTED_VALUE"""),"TA661-44997")</f>
        <v>TA661-44997</v>
      </c>
      <c r="E413" s="2" t="str">
        <f>IFERROR(__xludf.DUMMYFUNCTION("""COMPUTED_VALUE"""),"128GB, Desert Titanium, ROW, iPhone 16 Pro, Logic Board Assy Mid System")</f>
        <v>128GB, Desert Titanium, ROW, iPhone 16 Pro, Logic Board Assy Mid System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 t="str">
        <f t="shared" si="1"/>
        <v>June</v>
      </c>
      <c r="B414" s="11">
        <f>IFERROR(__xludf.DUMMYFUNCTION("""COMPUTED_VALUE"""),46185.0)</f>
        <v>46185</v>
      </c>
      <c r="C414" s="2" t="str">
        <f>IFERROR(__xludf.DUMMYFUNCTION("""COMPUTED_VALUE"""),"MOBILECARE - FESTIVE WALK ILOILO")</f>
        <v>MOBILECARE - FESTIVE WALK ILOILO</v>
      </c>
      <c r="D414" s="2" t="str">
        <f>IFERROR(__xludf.DUMMYFUNCTION("""COMPUTED_VALUE"""),"PP661-23455")</f>
        <v>PP661-23455</v>
      </c>
      <c r="E414" s="2" t="str">
        <f>IFERROR(__xludf.DUMMYFUNCTION("""COMPUTED_VALUE"""),"iPhone 13, Starlight, 128GB, Logic Board Assy Rear System, ROW")</f>
        <v>iPhone 13, Starlight, 128GB, Logic Board Assy Rear System, ROW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 t="str">
        <f t="shared" si="1"/>
        <v>April</v>
      </c>
      <c r="B415" s="11">
        <f>IFERROR(__xludf.DUMMYFUNCTION("""COMPUTED_VALUE"""),46118.0)</f>
        <v>46118</v>
      </c>
      <c r="C415" s="2" t="str">
        <f>IFERROR(__xludf.DUMMYFUNCTION("""COMPUTED_VALUE"""),"MOBILECARE - FESTIVE WALK ILOILO")</f>
        <v>MOBILECARE - FESTIVE WALK ILOILO</v>
      </c>
      <c r="D415" s="2" t="str">
        <f>IFERROR(__xludf.DUMMYFUNCTION("""COMPUTED_VALUE"""),"PP661-23455")</f>
        <v>PP661-23455</v>
      </c>
      <c r="E415" s="2" t="str">
        <f>IFERROR(__xludf.DUMMYFUNCTION("""COMPUTED_VALUE"""),"iPhone 13, Starlight, 128GB, Logic Board Assy Rear System, ROW")</f>
        <v>iPhone 13, Starlight, 128GB, Logic Board Assy Rear System, ROW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 t="str">
        <f t="shared" si="1"/>
        <v>June</v>
      </c>
      <c r="B416" s="11">
        <f>IFERROR(__xludf.DUMMYFUNCTION("""COMPUTED_VALUE"""),46183.0)</f>
        <v>46183</v>
      </c>
      <c r="C416" s="2" t="str">
        <f>IFERROR(__xludf.DUMMYFUNCTION("""COMPUTED_VALUE"""),"MOBILECARE - FESTIVE WALK ILOILO")</f>
        <v>MOBILECARE - FESTIVE WALK ILOILO</v>
      </c>
      <c r="D416" s="2" t="str">
        <f>IFERROR(__xludf.DUMMYFUNCTION("""COMPUTED_VALUE"""),"PP661-28869")</f>
        <v>PP661-28869</v>
      </c>
      <c r="E416" s="2" t="str">
        <f>IFERROR(__xludf.DUMMYFUNCTION("""COMPUTED_VALUE"""),"iPhone 14, Starlight, 128GB, Logic Board Assy Mid System, ROW")</f>
        <v>iPhone 14, Starlight, 128GB, Logic Board Assy Mid System, ROW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 t="str">
        <f t="shared" si="1"/>
        <v>March</v>
      </c>
      <c r="B417" s="11">
        <f>IFERROR(__xludf.DUMMYFUNCTION("""COMPUTED_VALUE"""),46108.0)</f>
        <v>46108</v>
      </c>
      <c r="C417" s="2" t="str">
        <f>IFERROR(__xludf.DUMMYFUNCTION("""COMPUTED_VALUE"""),"MOBILECARE - FESTIVE WALK ILOILO")</f>
        <v>MOBILECARE - FESTIVE WALK ILOILO</v>
      </c>
      <c r="D417" s="2" t="str">
        <f>IFERROR(__xludf.DUMMYFUNCTION("""COMPUTED_VALUE"""),"PP661-23455")</f>
        <v>PP661-23455</v>
      </c>
      <c r="E417" s="2" t="str">
        <f>IFERROR(__xludf.DUMMYFUNCTION("""COMPUTED_VALUE"""),"iPhone 13, Starlight, 128GB, Logic Board Assy Rear System, ROW")</f>
        <v>iPhone 13, Starlight, 128GB, Logic Board Assy Rear System, ROW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 t="str">
        <f t="shared" si="1"/>
        <v>March</v>
      </c>
      <c r="B418" s="11">
        <f>IFERROR(__xludf.DUMMYFUNCTION("""COMPUTED_VALUE"""),46098.0)</f>
        <v>46098</v>
      </c>
      <c r="C418" s="2" t="str">
        <f>IFERROR(__xludf.DUMMYFUNCTION("""COMPUTED_VALUE"""),"MOBILECARE - FESTIVE WALK ILOILO")</f>
        <v>MOBILECARE - FESTIVE WALK ILOILO</v>
      </c>
      <c r="D418" s="2" t="str">
        <f>IFERROR(__xludf.DUMMYFUNCTION("""COMPUTED_VALUE"""),"PP661-23454")</f>
        <v>PP661-23454</v>
      </c>
      <c r="E418" s="2" t="str">
        <f>IFERROR(__xludf.DUMMYFUNCTION("""COMPUTED_VALUE"""),"iPhone 13, Midnight, 128GB, Logic Board Assy Rear System, ROW")</f>
        <v>iPhone 13, Midnight, 128GB, Logic Board Assy Rear System, ROW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 t="str">
        <f t="shared" si="1"/>
        <v>February</v>
      </c>
      <c r="B419" s="11">
        <f>IFERROR(__xludf.DUMMYFUNCTION("""COMPUTED_VALUE"""),46057.0)</f>
        <v>46057</v>
      </c>
      <c r="C419" s="2" t="str">
        <f>IFERROR(__xludf.DUMMYFUNCTION("""COMPUTED_VALUE"""),"MOBILECARE - FESTIVE WALK ILOILO")</f>
        <v>MOBILECARE - FESTIVE WALK ILOILO</v>
      </c>
      <c r="D419" s="2" t="str">
        <f>IFERROR(__xludf.DUMMYFUNCTION("""COMPUTED_VALUE"""),"PP661-28868")</f>
        <v>PP661-28868</v>
      </c>
      <c r="E419" s="2" t="str">
        <f>IFERROR(__xludf.DUMMYFUNCTION("""COMPUTED_VALUE"""),"iPhone 14, Midnight, 128GB, Logic Board Assy Mid System, ROW")</f>
        <v>iPhone 14, Midnight, 128GB, Logic Board Assy Mid System, ROW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 t="str">
        <f t="shared" si="1"/>
        <v>June</v>
      </c>
      <c r="B420" s="11">
        <f>IFERROR(__xludf.DUMMYFUNCTION("""COMPUTED_VALUE"""),46183.0)</f>
        <v>46183</v>
      </c>
      <c r="C420" s="2" t="str">
        <f>IFERROR(__xludf.DUMMYFUNCTION("""COMPUTED_VALUE"""),"MOBILECARE - FESTIVE WALK ILOILO")</f>
        <v>MOBILECARE - FESTIVE WALK ILOILO</v>
      </c>
      <c r="D420" s="2" t="str">
        <f>IFERROR(__xludf.DUMMYFUNCTION("""COMPUTED_VALUE"""),"PP661-23454")</f>
        <v>PP661-23454</v>
      </c>
      <c r="E420" s="2" t="str">
        <f>IFERROR(__xludf.DUMMYFUNCTION("""COMPUTED_VALUE"""),"iPhone 13, Midnight, 128GB, Logic Board Assy Rear System, ROW")</f>
        <v>iPhone 13, Midnight, 128GB, Logic Board Assy Rear System, ROW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 t="str">
        <f t="shared" si="1"/>
        <v>April</v>
      </c>
      <c r="B421" s="11">
        <f>IFERROR(__xludf.DUMMYFUNCTION("""COMPUTED_VALUE"""),46141.0)</f>
        <v>46141</v>
      </c>
      <c r="C421" s="2" t="str">
        <f>IFERROR(__xludf.DUMMYFUNCTION("""COMPUTED_VALUE"""),"MOBILECARE - FESTIVE WALK ILOILO")</f>
        <v>MOBILECARE - FESTIVE WALK ILOILO</v>
      </c>
      <c r="D421" s="2" t="str">
        <f>IFERROR(__xludf.DUMMYFUNCTION("""COMPUTED_VALUE"""),"PP661-28871")</f>
        <v>PP661-28871</v>
      </c>
      <c r="E421" s="2" t="str">
        <f>IFERROR(__xludf.DUMMYFUNCTION("""COMPUTED_VALUE"""),"iPhone 14, Blue, 128GB, Logic Board Assy Mid System, ROW")</f>
        <v>iPhone 14, Blue, 128GB, Logic Board Assy Mid System, ROW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 t="str">
        <f t="shared" si="1"/>
        <v>April</v>
      </c>
      <c r="B422" s="11">
        <f>IFERROR(__xludf.DUMMYFUNCTION("""COMPUTED_VALUE"""),46116.0)</f>
        <v>46116</v>
      </c>
      <c r="C422" s="2" t="str">
        <f>IFERROR(__xludf.DUMMYFUNCTION("""COMPUTED_VALUE"""),"MOBILECARE - FESTIVE WALK ILOILO")</f>
        <v>MOBILECARE - FESTIVE WALK ILOILO</v>
      </c>
      <c r="D422" s="2" t="str">
        <f>IFERROR(__xludf.DUMMYFUNCTION("""COMPUTED_VALUE"""),"TA661-45235")</f>
        <v>TA661-45235</v>
      </c>
      <c r="E422" s="2" t="str">
        <f>IFERROR(__xludf.DUMMYFUNCTION("""COMPUTED_VALUE"""),"128GB, Teal, ROW, iPhone 16 Plus, Logic Board Assy Mid System")</f>
        <v>128GB, Teal, ROW, iPhone 16 Plus, Logic Board Assy Mid System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 t="str">
        <f t="shared" si="1"/>
        <v>February</v>
      </c>
      <c r="B423" s="11">
        <f>IFERROR(__xludf.DUMMYFUNCTION("""COMPUTED_VALUE"""),46062.0)</f>
        <v>46062</v>
      </c>
      <c r="C423" s="2" t="str">
        <f>IFERROR(__xludf.DUMMYFUNCTION("""COMPUTED_VALUE"""),"MOBILECARE - FESTIVE WALK ILOILO")</f>
        <v>MOBILECARE - FESTIVE WALK ILOILO</v>
      </c>
      <c r="D423" s="2" t="str">
        <f>IFERROR(__xludf.DUMMYFUNCTION("""COMPUTED_VALUE"""),"PP661-23455")</f>
        <v>PP661-23455</v>
      </c>
      <c r="E423" s="2" t="str">
        <f>IFERROR(__xludf.DUMMYFUNCTION("""COMPUTED_VALUE"""),"iPhone 13, Starlight, 128GB, Logic Board Assy Rear System, ROW")</f>
        <v>iPhone 13, Starlight, 128GB, Logic Board Assy Rear System, ROW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 t="str">
        <f t="shared" si="1"/>
        <v>January</v>
      </c>
      <c r="B424" s="11">
        <f>IFERROR(__xludf.DUMMYFUNCTION("""COMPUTED_VALUE"""),46050.0)</f>
        <v>46050</v>
      </c>
      <c r="C424" s="2" t="str">
        <f>IFERROR(__xludf.DUMMYFUNCTION("""COMPUTED_VALUE"""),"MOBILECARE - FESTIVE WALK ILOILO")</f>
        <v>MOBILECARE - FESTIVE WALK ILOILO</v>
      </c>
      <c r="D424" s="2" t="str">
        <f>IFERROR(__xludf.DUMMYFUNCTION("""COMPUTED_VALUE"""),"PP661-28869")</f>
        <v>PP661-28869</v>
      </c>
      <c r="E424" s="2" t="str">
        <f>IFERROR(__xludf.DUMMYFUNCTION("""COMPUTED_VALUE"""),"iPhone 14, Starlight, 128GB, Logic Board Assy Mid System, ROW")</f>
        <v>iPhone 14, Starlight, 128GB, Logic Board Assy Mid System, ROW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 t="str">
        <f t="shared" si="1"/>
        <v>April</v>
      </c>
      <c r="B425" s="11">
        <f>IFERROR(__xludf.DUMMYFUNCTION("""COMPUTED_VALUE"""),46118.0)</f>
        <v>46118</v>
      </c>
      <c r="C425" s="2" t="str">
        <f>IFERROR(__xludf.DUMMYFUNCTION("""COMPUTED_VALUE"""),"MOBILECARE - FESTIVE WALK ILOILO")</f>
        <v>MOBILECARE - FESTIVE WALK ILOILO</v>
      </c>
      <c r="D425" s="2" t="str">
        <f>IFERROR(__xludf.DUMMYFUNCTION("""COMPUTED_VALUE"""),"TA661-43614")</f>
        <v>TA661-43614</v>
      </c>
      <c r="E425" s="2" t="str">
        <f>IFERROR(__xludf.DUMMYFUNCTION("""COMPUTED_VALUE"""),"256GB, Teal, ROW, iPhone 16, Logic Board Assy Mid System")</f>
        <v>256GB, Teal, ROW, iPhone 16, Logic Board Assy Mid System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 t="str">
        <f t="shared" si="1"/>
        <v>February</v>
      </c>
      <c r="B426" s="11">
        <f>IFERROR(__xludf.DUMMYFUNCTION("""COMPUTED_VALUE"""),46078.0)</f>
        <v>46078</v>
      </c>
      <c r="C426" s="2" t="str">
        <f>IFERROR(__xludf.DUMMYFUNCTION("""COMPUTED_VALUE"""),"MOBILECARE - FESTIVE WALK ILOILO")</f>
        <v>MOBILECARE - FESTIVE WALK ILOILO</v>
      </c>
      <c r="D426" s="2" t="str">
        <f>IFERROR(__xludf.DUMMYFUNCTION("""COMPUTED_VALUE"""),"PP661-23455")</f>
        <v>PP661-23455</v>
      </c>
      <c r="E426" s="2" t="str">
        <f>IFERROR(__xludf.DUMMYFUNCTION("""COMPUTED_VALUE"""),"iPhone 13, Starlight, 128GB, Logic Board Assy Rear System, ROW")</f>
        <v>iPhone 13, Starlight, 128GB, Logic Board Assy Rear System, ROW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 t="str">
        <f t="shared" si="1"/>
        <v>April</v>
      </c>
      <c r="B427" s="11">
        <f>IFERROR(__xludf.DUMMYFUNCTION("""COMPUTED_VALUE"""),46117.0)</f>
        <v>46117</v>
      </c>
      <c r="C427" s="2" t="str">
        <f>IFERROR(__xludf.DUMMYFUNCTION("""COMPUTED_VALUE"""),"MOBILECARE - FESTIVE WALK ILOILO")</f>
        <v>MOBILECARE - FESTIVE WALK ILOILO</v>
      </c>
      <c r="D427" s="2" t="str">
        <f>IFERROR(__xludf.DUMMYFUNCTION("""COMPUTED_VALUE"""),"PP661-23454")</f>
        <v>PP661-23454</v>
      </c>
      <c r="E427" s="2" t="str">
        <f>IFERROR(__xludf.DUMMYFUNCTION("""COMPUTED_VALUE"""),"iPhone 13, Midnight, 128GB, Logic Board Assy Rear System, ROW")</f>
        <v>iPhone 13, Midnight, 128GB, Logic Board Assy Rear System, ROW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 t="str">
        <f t="shared" si="1"/>
        <v>February</v>
      </c>
      <c r="B428" s="11">
        <f>IFERROR(__xludf.DUMMYFUNCTION("""COMPUTED_VALUE"""),46057.0)</f>
        <v>46057</v>
      </c>
      <c r="C428" s="2" t="str">
        <f>IFERROR(__xludf.DUMMYFUNCTION("""COMPUTED_VALUE"""),"MOBILECARE - FESTIVE WALK ILOILO")</f>
        <v>MOBILECARE - FESTIVE WALK ILOILO</v>
      </c>
      <c r="D428" s="2" t="str">
        <f>IFERROR(__xludf.DUMMYFUNCTION("""COMPUTED_VALUE"""),"PP661-23455")</f>
        <v>PP661-23455</v>
      </c>
      <c r="E428" s="2" t="str">
        <f>IFERROR(__xludf.DUMMYFUNCTION("""COMPUTED_VALUE"""),"iPhone 13, Starlight, 128GB, Logic Board Assy Rear System, ROW")</f>
        <v>iPhone 13, Starlight, 128GB, Logic Board Assy Rear System, ROW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 t="str">
        <f t="shared" si="1"/>
        <v>April</v>
      </c>
      <c r="B429" s="11">
        <f>IFERROR(__xludf.DUMMYFUNCTION("""COMPUTED_VALUE"""),46126.0)</f>
        <v>46126</v>
      </c>
      <c r="C429" s="2" t="str">
        <f>IFERROR(__xludf.DUMMYFUNCTION("""COMPUTED_VALUE"""),"MOBILECARE - FESTIVE WALK ILOILO")</f>
        <v>MOBILECARE - FESTIVE WALK ILOILO</v>
      </c>
      <c r="D429" s="2" t="str">
        <f>IFERROR(__xludf.DUMMYFUNCTION("""COMPUTED_VALUE"""),"PP661-23455")</f>
        <v>PP661-23455</v>
      </c>
      <c r="E429" s="2" t="str">
        <f>IFERROR(__xludf.DUMMYFUNCTION("""COMPUTED_VALUE"""),"iPhone 13, Starlight, 128GB, Logic Board Assy Rear System, ROW")</f>
        <v>iPhone 13, Starlight, 128GB, Logic Board Assy Rear System, ROW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 t="str">
        <f t="shared" si="1"/>
        <v>March</v>
      </c>
      <c r="B430" s="11">
        <f>IFERROR(__xludf.DUMMYFUNCTION("""COMPUTED_VALUE"""),46100.0)</f>
        <v>46100</v>
      </c>
      <c r="C430" s="2" t="str">
        <f>IFERROR(__xludf.DUMMYFUNCTION("""COMPUTED_VALUE"""),"MOBILECARE - FESTIVE WALK ILOILO")</f>
        <v>MOBILECARE - FESTIVE WALK ILOILO</v>
      </c>
      <c r="D430" s="2" t="str">
        <f>IFERROR(__xludf.DUMMYFUNCTION("""COMPUTED_VALUE"""),"PP661-23455")</f>
        <v>PP661-23455</v>
      </c>
      <c r="E430" s="2" t="str">
        <f>IFERROR(__xludf.DUMMYFUNCTION("""COMPUTED_VALUE"""),"iPhone 13, Starlight, 128GB, Logic Board Assy Rear System, ROW")</f>
        <v>iPhone 13, Starlight, 128GB, Logic Board Assy Rear System, ROW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 t="str">
        <f t="shared" si="1"/>
        <v>March</v>
      </c>
      <c r="B431" s="11">
        <f>IFERROR(__xludf.DUMMYFUNCTION("""COMPUTED_VALUE"""),46102.0)</f>
        <v>46102</v>
      </c>
      <c r="C431" s="2" t="str">
        <f>IFERROR(__xludf.DUMMYFUNCTION("""COMPUTED_VALUE"""),"MOBILECARE - FESTIVE WALK ILOILO")</f>
        <v>MOBILECARE - FESTIVE WALK ILOILO</v>
      </c>
      <c r="D431" s="2" t="str">
        <f>IFERROR(__xludf.DUMMYFUNCTION("""COMPUTED_VALUE"""),"TA661-44997")</f>
        <v>TA661-44997</v>
      </c>
      <c r="E431" s="2" t="str">
        <f>IFERROR(__xludf.DUMMYFUNCTION("""COMPUTED_VALUE"""),"128GB, Desert Titanium, ROW, iPhone 16 Pro, Logic Board Assy Mid System")</f>
        <v>128GB, Desert Titanium, ROW, iPhone 16 Pro, Logic Board Assy Mid System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 t="str">
        <f t="shared" si="1"/>
        <v>June</v>
      </c>
      <c r="B432" s="11">
        <f>IFERROR(__xludf.DUMMYFUNCTION("""COMPUTED_VALUE"""),46179.0)</f>
        <v>46179</v>
      </c>
      <c r="C432" s="2" t="str">
        <f>IFERROR(__xludf.DUMMYFUNCTION("""COMPUTED_VALUE"""),"MOBILECARE - ZAMBOANGA")</f>
        <v>MOBILECARE - ZAMBOANGA</v>
      </c>
      <c r="D432" s="2" t="str">
        <f>IFERROR(__xludf.DUMMYFUNCTION("""COMPUTED_VALUE"""),"PP661-23455")</f>
        <v>PP661-23455</v>
      </c>
      <c r="E432" s="2" t="str">
        <f>IFERROR(__xludf.DUMMYFUNCTION("""COMPUTED_VALUE"""),"iPhone 13, Starlight, 128GB, Logic Board Assy Rear System, ROW")</f>
        <v>iPhone 13, Starlight, 128GB, Logic Board Assy Rear System, ROW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 t="str">
        <f t="shared" si="1"/>
        <v>March</v>
      </c>
      <c r="B433" s="11">
        <f>IFERROR(__xludf.DUMMYFUNCTION("""COMPUTED_VALUE"""),46083.0)</f>
        <v>46083</v>
      </c>
      <c r="C433" s="2" t="str">
        <f>IFERROR(__xludf.DUMMYFUNCTION("""COMPUTED_VALUE"""),"MOBILECARE - ZAMBOANGA")</f>
        <v>MOBILECARE - ZAMBOANGA</v>
      </c>
      <c r="D433" s="2" t="str">
        <f>IFERROR(__xludf.DUMMYFUNCTION("""COMPUTED_VALUE"""),"PP661-23455")</f>
        <v>PP661-23455</v>
      </c>
      <c r="E433" s="2" t="str">
        <f>IFERROR(__xludf.DUMMYFUNCTION("""COMPUTED_VALUE"""),"iPhone 13, Starlight, 128GB, Logic Board Assy Rear System, ROW")</f>
        <v>iPhone 13, Starlight, 128GB, Logic Board Assy Rear System, ROW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 t="str">
        <f t="shared" si="1"/>
        <v>February</v>
      </c>
      <c r="B434" s="11">
        <f>IFERROR(__xludf.DUMMYFUNCTION("""COMPUTED_VALUE"""),46078.0)</f>
        <v>46078</v>
      </c>
      <c r="C434" s="2" t="str">
        <f>IFERROR(__xludf.DUMMYFUNCTION("""COMPUTED_VALUE"""),"MOBILECARE - ZAMBOANGA")</f>
        <v>MOBILECARE - ZAMBOANGA</v>
      </c>
      <c r="D434" s="2" t="str">
        <f>IFERROR(__xludf.DUMMYFUNCTION("""COMPUTED_VALUE"""),"TA661-36694")</f>
        <v>TA661-36694</v>
      </c>
      <c r="E434" s="2" t="str">
        <f>IFERROR(__xludf.DUMMYFUNCTION("""COMPUTED_VALUE"""),"iPhone 15, Blue, 128GB, Logic Board Assy Mid System, ROW")</f>
        <v>iPhone 15, Blue, 128GB, Logic Board Assy Mid System, ROW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 t="str">
        <f t="shared" si="1"/>
        <v>February</v>
      </c>
      <c r="B435" s="11">
        <f>IFERROR(__xludf.DUMMYFUNCTION("""COMPUTED_VALUE"""),46062.0)</f>
        <v>46062</v>
      </c>
      <c r="C435" s="2" t="str">
        <f>IFERROR(__xludf.DUMMYFUNCTION("""COMPUTED_VALUE"""),"MOBILECARE - ZAMBOANGA")</f>
        <v>MOBILECARE - ZAMBOANGA</v>
      </c>
      <c r="D435" s="2" t="str">
        <f>IFERROR(__xludf.DUMMYFUNCTION("""COMPUTED_VALUE"""),"TA661-36695")</f>
        <v>TA661-36695</v>
      </c>
      <c r="E435" s="2" t="str">
        <f>IFERROR(__xludf.DUMMYFUNCTION("""COMPUTED_VALUE"""),"iPhone 15, Green, 128GB, Logic Board Assy Mid System, ROW")</f>
        <v>iPhone 15, Green, 128GB, Logic Board Assy Mid System, ROW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 t="str">
        <f t="shared" si="1"/>
        <v>March</v>
      </c>
      <c r="B436" s="11">
        <f>IFERROR(__xludf.DUMMYFUNCTION("""COMPUTED_VALUE"""),46097.0)</f>
        <v>46097</v>
      </c>
      <c r="C436" s="2" t="str">
        <f>IFERROR(__xludf.DUMMYFUNCTION("""COMPUTED_VALUE"""),"MOBILECARE - ZAMBOANGA")</f>
        <v>MOBILECARE - ZAMBOANGA</v>
      </c>
      <c r="D436" s="2" t="str">
        <f>IFERROR(__xludf.DUMMYFUNCTION("""COMPUTED_VALUE"""),"PP661-23455")</f>
        <v>PP661-23455</v>
      </c>
      <c r="E436" s="2" t="str">
        <f>IFERROR(__xludf.DUMMYFUNCTION("""COMPUTED_VALUE"""),"iPhone 13, Starlight, 128GB, Logic Board Assy Rear System, ROW")</f>
        <v>iPhone 13, Starlight, 128GB, Logic Board Assy Rear System, ROW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 t="str">
        <f t="shared" si="1"/>
        <v>March</v>
      </c>
      <c r="B437" s="11">
        <f>IFERROR(__xludf.DUMMYFUNCTION("""COMPUTED_VALUE"""),46098.0)</f>
        <v>46098</v>
      </c>
      <c r="C437" s="2" t="str">
        <f>IFERROR(__xludf.DUMMYFUNCTION("""COMPUTED_VALUE"""),"MOBILECARE - ZAMBOANGA")</f>
        <v>MOBILECARE - ZAMBOANGA</v>
      </c>
      <c r="D437" s="2" t="str">
        <f>IFERROR(__xludf.DUMMYFUNCTION("""COMPUTED_VALUE"""),"PP661-23455")</f>
        <v>PP661-23455</v>
      </c>
      <c r="E437" s="2" t="str">
        <f>IFERROR(__xludf.DUMMYFUNCTION("""COMPUTED_VALUE"""),"iPhone 13, Starlight, 128GB, Logic Board Assy Rear System, ROW")</f>
        <v>iPhone 13, Starlight, 128GB, Logic Board Assy Rear System, ROW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 t="str">
        <f t="shared" si="1"/>
        <v>February</v>
      </c>
      <c r="B438" s="11">
        <f>IFERROR(__xludf.DUMMYFUNCTION("""COMPUTED_VALUE"""),46062.0)</f>
        <v>46062</v>
      </c>
      <c r="C438" s="2" t="str">
        <f>IFERROR(__xludf.DUMMYFUNCTION("""COMPUTED_VALUE"""),"MOBILECARE - ZAMBOANGA")</f>
        <v>MOBILECARE - ZAMBOANGA</v>
      </c>
      <c r="D438" s="2" t="str">
        <f>IFERROR(__xludf.DUMMYFUNCTION("""COMPUTED_VALUE"""),"TA661-36691")</f>
        <v>TA661-36691</v>
      </c>
      <c r="E438" s="2" t="str">
        <f>IFERROR(__xludf.DUMMYFUNCTION("""COMPUTED_VALUE"""),"iPhone 15, Black, 128GB, Logic Board Assy Mid System, ROW")</f>
        <v>iPhone 15, Black, 128GB, Logic Board Assy Mid System, ROW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 t="str">
        <f t="shared" si="1"/>
        <v>June</v>
      </c>
      <c r="B439" s="11">
        <f>IFERROR(__xludf.DUMMYFUNCTION("""COMPUTED_VALUE"""),46192.0)</f>
        <v>46192</v>
      </c>
      <c r="C439" s="2" t="str">
        <f>IFERROR(__xludf.DUMMYFUNCTION("""COMPUTED_VALUE"""),"MOBILECARE - ZAMBOANGA")</f>
        <v>MOBILECARE - ZAMBOANGA</v>
      </c>
      <c r="D439" s="2" t="str">
        <f>IFERROR(__xludf.DUMMYFUNCTION("""COMPUTED_VALUE"""),"PP661-23455")</f>
        <v>PP661-23455</v>
      </c>
      <c r="E439" s="2" t="str">
        <f>IFERROR(__xludf.DUMMYFUNCTION("""COMPUTED_VALUE"""),"iPhone 13, Starlight, 128GB, Logic Board Assy Rear System, ROW")</f>
        <v>iPhone 13, Starlight, 128GB, Logic Board Assy Rear System, ROW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 t="str">
        <f t="shared" si="1"/>
        <v>June</v>
      </c>
      <c r="B440" s="11">
        <f>IFERROR(__xludf.DUMMYFUNCTION("""COMPUTED_VALUE"""),46179.0)</f>
        <v>46179</v>
      </c>
      <c r="C440" s="2" t="str">
        <f>IFERROR(__xludf.DUMMYFUNCTION("""COMPUTED_VALUE"""),"MOBILECARE - ZAMBOANGA")</f>
        <v>MOBILECARE - ZAMBOANGA</v>
      </c>
      <c r="D440" s="2" t="str">
        <f>IFERROR(__xludf.DUMMYFUNCTION("""COMPUTED_VALUE"""),"PP661-23454")</f>
        <v>PP661-23454</v>
      </c>
      <c r="E440" s="2" t="str">
        <f>IFERROR(__xludf.DUMMYFUNCTION("""COMPUTED_VALUE"""),"iPhone 13, Midnight, 128GB, Logic Board Assy Rear System, ROW")</f>
        <v>iPhone 13, Midnight, 128GB, Logic Board Assy Rear System, ROW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 t="str">
        <f t="shared" si="1"/>
        <v>June</v>
      </c>
      <c r="B441" s="11">
        <f>IFERROR(__xludf.DUMMYFUNCTION("""COMPUTED_VALUE"""),46179.0)</f>
        <v>46179</v>
      </c>
      <c r="C441" s="2" t="str">
        <f>IFERROR(__xludf.DUMMYFUNCTION("""COMPUTED_VALUE"""),"MOBILECARE - ZAMBOANGA")</f>
        <v>MOBILECARE - ZAMBOANGA</v>
      </c>
      <c r="D441" s="2" t="str">
        <f>IFERROR(__xludf.DUMMYFUNCTION("""COMPUTED_VALUE"""),"PP661-23454")</f>
        <v>PP661-23454</v>
      </c>
      <c r="E441" s="2" t="str">
        <f>IFERROR(__xludf.DUMMYFUNCTION("""COMPUTED_VALUE"""),"iPhone 13, Midnight, 128GB, Logic Board Assy Rear System, ROW")</f>
        <v>iPhone 13, Midnight, 128GB, Logic Board Assy Rear System, ROW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 t="str">
        <f t="shared" si="1"/>
        <v>February</v>
      </c>
      <c r="B442" s="11">
        <f>IFERROR(__xludf.DUMMYFUNCTION("""COMPUTED_VALUE"""),46075.0)</f>
        <v>46075</v>
      </c>
      <c r="C442" s="2" t="str">
        <f>IFERROR(__xludf.DUMMYFUNCTION("""COMPUTED_VALUE"""),"MOBILECARE - ZAMBOANGA")</f>
        <v>MOBILECARE - ZAMBOANGA</v>
      </c>
      <c r="D442" s="2" t="str">
        <f>IFERROR(__xludf.DUMMYFUNCTION("""COMPUTED_VALUE"""),"PP661-28869")</f>
        <v>PP661-28869</v>
      </c>
      <c r="E442" s="2" t="str">
        <f>IFERROR(__xludf.DUMMYFUNCTION("""COMPUTED_VALUE"""),"iPhone 14, Starlight, 128GB, Logic Board Assy Mid System, ROW")</f>
        <v>iPhone 14, Starlight, 128GB, Logic Board Assy Mid System, ROW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 t="str">
        <f t="shared" si="1"/>
        <v>February</v>
      </c>
      <c r="B443" s="11">
        <f>IFERROR(__xludf.DUMMYFUNCTION("""COMPUTED_VALUE"""),46059.0)</f>
        <v>46059</v>
      </c>
      <c r="C443" s="2" t="str">
        <f>IFERROR(__xludf.DUMMYFUNCTION("""COMPUTED_VALUE"""),"MOBILECARE - ZAMBOANGA")</f>
        <v>MOBILECARE - ZAMBOANGA</v>
      </c>
      <c r="D443" s="2" t="str">
        <f>IFERROR(__xludf.DUMMYFUNCTION("""COMPUTED_VALUE"""),"PP661-23454")</f>
        <v>PP661-23454</v>
      </c>
      <c r="E443" s="2" t="str">
        <f>IFERROR(__xludf.DUMMYFUNCTION("""COMPUTED_VALUE"""),"iPhone 13, Midnight, 128GB, Logic Board Assy Rear System, ROW")</f>
        <v>iPhone 13, Midnight, 128GB, Logic Board Assy Rear System, ROW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 t="str">
        <f t="shared" si="1"/>
        <v>April</v>
      </c>
      <c r="B444" s="11">
        <f>IFERROR(__xludf.DUMMYFUNCTION("""COMPUTED_VALUE"""),46113.0)</f>
        <v>46113</v>
      </c>
      <c r="C444" s="2" t="str">
        <f>IFERROR(__xludf.DUMMYFUNCTION("""COMPUTED_VALUE"""),"MOBILECARE - ZAMBOANGA")</f>
        <v>MOBILECARE - ZAMBOANGA</v>
      </c>
      <c r="D444" s="2" t="str">
        <f>IFERROR(__xludf.DUMMYFUNCTION("""COMPUTED_VALUE"""),"PP661-28868")</f>
        <v>PP661-28868</v>
      </c>
      <c r="E444" s="2" t="str">
        <f>IFERROR(__xludf.DUMMYFUNCTION("""COMPUTED_VALUE"""),"iPhone 14, Midnight, 128GB, Logic Board Assy Mid System, ROW")</f>
        <v>iPhone 14, Midnight, 128GB, Logic Board Assy Mid System, ROW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 t="str">
        <f t="shared" si="1"/>
        <v>March</v>
      </c>
      <c r="B445" s="11">
        <f>IFERROR(__xludf.DUMMYFUNCTION("""COMPUTED_VALUE"""),46099.0)</f>
        <v>46099</v>
      </c>
      <c r="C445" s="2" t="str">
        <f>IFERROR(__xludf.DUMMYFUNCTION("""COMPUTED_VALUE"""),"MOBILECARE - ZAMBOANGA")</f>
        <v>MOBILECARE - ZAMBOANGA</v>
      </c>
      <c r="D445" s="2" t="str">
        <f>IFERROR(__xludf.DUMMYFUNCTION("""COMPUTED_VALUE"""),"PP661-23454")</f>
        <v>PP661-23454</v>
      </c>
      <c r="E445" s="2" t="str">
        <f>IFERROR(__xludf.DUMMYFUNCTION("""COMPUTED_VALUE"""),"iPhone 13, Midnight, 128GB, Logic Board Assy Rear System, ROW")</f>
        <v>iPhone 13, Midnight, 128GB, Logic Board Assy Rear System, ROW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 t="str">
        <f t="shared" si="1"/>
        <v>March</v>
      </c>
      <c r="B446" s="11">
        <f>IFERROR(__xludf.DUMMYFUNCTION("""COMPUTED_VALUE"""),46099.0)</f>
        <v>46099</v>
      </c>
      <c r="C446" s="2" t="str">
        <f>IFERROR(__xludf.DUMMYFUNCTION("""COMPUTED_VALUE"""),"MOBILECARE - ZAMBOANGA")</f>
        <v>MOBILECARE - ZAMBOANGA</v>
      </c>
      <c r="D446" s="2" t="str">
        <f>IFERROR(__xludf.DUMMYFUNCTION("""COMPUTED_VALUE"""),"PP661-23454")</f>
        <v>PP661-23454</v>
      </c>
      <c r="E446" s="2" t="str">
        <f>IFERROR(__xludf.DUMMYFUNCTION("""COMPUTED_VALUE"""),"iPhone 13, Midnight, 128GB, Logic Board Assy Rear System, ROW")</f>
        <v>iPhone 13, Midnight, 128GB, Logic Board Assy Rear System, ROW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 t="str">
        <f t="shared" si="1"/>
        <v>June</v>
      </c>
      <c r="B447" s="11">
        <f>IFERROR(__xludf.DUMMYFUNCTION("""COMPUTED_VALUE"""),46190.0)</f>
        <v>46190</v>
      </c>
      <c r="C447" s="2" t="str">
        <f>IFERROR(__xludf.DUMMYFUNCTION("""COMPUTED_VALUE"""),"MOBILECARE - ZAMBOANGA")</f>
        <v>MOBILECARE - ZAMBOANGA</v>
      </c>
      <c r="D447" s="2" t="str">
        <f>IFERROR(__xludf.DUMMYFUNCTION("""COMPUTED_VALUE"""),"TA661-36697")</f>
        <v>TA661-36697</v>
      </c>
      <c r="E447" s="2" t="str">
        <f>IFERROR(__xludf.DUMMYFUNCTION("""COMPUTED_VALUE"""),"iPhone 15, Pink, 256GB, Logic Board Assy Mid System, ROW")</f>
        <v>iPhone 15, Pink, 256GB, Logic Board Assy Mid System, ROW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 t="str">
        <f t="shared" si="1"/>
        <v>April</v>
      </c>
      <c r="B448" s="11">
        <f>IFERROR(__xludf.DUMMYFUNCTION("""COMPUTED_VALUE"""),46124.0)</f>
        <v>46124</v>
      </c>
      <c r="C448" s="2" t="str">
        <f>IFERROR(__xludf.DUMMYFUNCTION("""COMPUTED_VALUE"""),"MOBILECARE - ZAMBOANGA")</f>
        <v>MOBILECARE - ZAMBOANGA</v>
      </c>
      <c r="D448" s="2" t="str">
        <f>IFERROR(__xludf.DUMMYFUNCTION("""COMPUTED_VALUE"""),"PP661-23455")</f>
        <v>PP661-23455</v>
      </c>
      <c r="E448" s="2" t="str">
        <f>IFERROR(__xludf.DUMMYFUNCTION("""COMPUTED_VALUE"""),"iPhone 13, Starlight, 128GB, Logic Board Assy Rear System, ROW")</f>
        <v>iPhone 13, Starlight, 128GB, Logic Board Assy Rear System, ROW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 t="str">
        <f t="shared" si="1"/>
        <v>April</v>
      </c>
      <c r="B449" s="11">
        <f>IFERROR(__xludf.DUMMYFUNCTION("""COMPUTED_VALUE"""),46121.0)</f>
        <v>46121</v>
      </c>
      <c r="C449" s="2" t="str">
        <f>IFERROR(__xludf.DUMMYFUNCTION("""COMPUTED_VALUE"""),"MOBILECARE - ZAMBOANGA")</f>
        <v>MOBILECARE - ZAMBOANGA</v>
      </c>
      <c r="D449" s="2" t="str">
        <f>IFERROR(__xludf.DUMMYFUNCTION("""COMPUTED_VALUE"""),"PP661-28869")</f>
        <v>PP661-28869</v>
      </c>
      <c r="E449" s="2" t="str">
        <f>IFERROR(__xludf.DUMMYFUNCTION("""COMPUTED_VALUE"""),"iPhone 14, Starlight, 128GB, Logic Board Assy Mid System, ROW")</f>
        <v>iPhone 14, Starlight, 128GB, Logic Board Assy Mid System, ROW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 t="str">
        <f t="shared" si="1"/>
        <v>June</v>
      </c>
      <c r="B450" s="11">
        <f>IFERROR(__xludf.DUMMYFUNCTION("""COMPUTED_VALUE"""),46184.0)</f>
        <v>46184</v>
      </c>
      <c r="C450" s="2" t="str">
        <f>IFERROR(__xludf.DUMMYFUNCTION("""COMPUTED_VALUE"""),"MOBILECARE - ZAMBOANGA")</f>
        <v>MOBILECARE - ZAMBOANGA</v>
      </c>
      <c r="D450" s="2" t="str">
        <f>IFERROR(__xludf.DUMMYFUNCTION("""COMPUTED_VALUE"""),"TA661-36694")</f>
        <v>TA661-36694</v>
      </c>
      <c r="E450" s="2" t="str">
        <f>IFERROR(__xludf.DUMMYFUNCTION("""COMPUTED_VALUE"""),"iPhone 15, Blue, 128GB, Logic Board Assy Mid System, ROW")</f>
        <v>iPhone 15, Blue, 128GB, Logic Board Assy Mid System, ROW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 t="str">
        <f t="shared" si="1"/>
        <v>June</v>
      </c>
      <c r="B451" s="11">
        <f>IFERROR(__xludf.DUMMYFUNCTION("""COMPUTED_VALUE"""),46179.0)</f>
        <v>46179</v>
      </c>
      <c r="C451" s="2" t="str">
        <f>IFERROR(__xludf.DUMMYFUNCTION("""COMPUTED_VALUE"""),"MOBILECARE - ZAMBOANGA")</f>
        <v>MOBILECARE - ZAMBOANGA</v>
      </c>
      <c r="D451" s="2" t="str">
        <f>IFERROR(__xludf.DUMMYFUNCTION("""COMPUTED_VALUE"""),"PP661-28869")</f>
        <v>PP661-28869</v>
      </c>
      <c r="E451" s="2" t="str">
        <f>IFERROR(__xludf.DUMMYFUNCTION("""COMPUTED_VALUE"""),"iPhone 14, Starlight, 128GB, Logic Board Assy Mid System, ROW")</f>
        <v>iPhone 14, Starlight, 128GB, Logic Board Assy Mid System, ROW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 t="str">
        <f t="shared" si="1"/>
        <v>April</v>
      </c>
      <c r="B452" s="11">
        <f>IFERROR(__xludf.DUMMYFUNCTION("""COMPUTED_VALUE"""),46129.0)</f>
        <v>46129</v>
      </c>
      <c r="C452" s="2" t="str">
        <f>IFERROR(__xludf.DUMMYFUNCTION("""COMPUTED_VALUE"""),"MOBILECARE - ZAMBOANGA")</f>
        <v>MOBILECARE - ZAMBOANGA</v>
      </c>
      <c r="D452" s="2" t="str">
        <f>IFERROR(__xludf.DUMMYFUNCTION("""COMPUTED_VALUE"""),"PP661-28874")</f>
        <v>PP661-28874</v>
      </c>
      <c r="E452" s="2" t="str">
        <f>IFERROR(__xludf.DUMMYFUNCTION("""COMPUTED_VALUE"""),"iPhone 14, Starlight, 256GB, Logic Board Assy Mid System, ROW")</f>
        <v>iPhone 14, Starlight, 256GB, Logic Board Assy Mid System, ROW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 t="str">
        <f t="shared" si="1"/>
        <v>April</v>
      </c>
      <c r="B453" s="11">
        <f>IFERROR(__xludf.DUMMYFUNCTION("""COMPUTED_VALUE"""),46113.0)</f>
        <v>46113</v>
      </c>
      <c r="C453" s="2" t="str">
        <f>IFERROR(__xludf.DUMMYFUNCTION("""COMPUTED_VALUE"""),"MOBILECARE - ZAMBOANGA")</f>
        <v>MOBILECARE - ZAMBOANGA</v>
      </c>
      <c r="D453" s="2" t="str">
        <f>IFERROR(__xludf.DUMMYFUNCTION("""COMPUTED_VALUE"""),"TA661-36697")</f>
        <v>TA661-36697</v>
      </c>
      <c r="E453" s="2" t="str">
        <f>IFERROR(__xludf.DUMMYFUNCTION("""COMPUTED_VALUE"""),"iPhone 15, Pink, 256GB, Logic Board Assy Mid System, ROW")</f>
        <v>iPhone 15, Pink, 256GB, Logic Board Assy Mid System, ROW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 t="str">
        <f t="shared" si="1"/>
        <v>April</v>
      </c>
      <c r="B454" s="11">
        <f>IFERROR(__xludf.DUMMYFUNCTION("""COMPUTED_VALUE"""),46140.0)</f>
        <v>46140</v>
      </c>
      <c r="C454" s="2" t="str">
        <f>IFERROR(__xludf.DUMMYFUNCTION("""COMPUTED_VALUE"""),"MOBILECARE - ZAMBOANGA")</f>
        <v>MOBILECARE - ZAMBOANGA</v>
      </c>
      <c r="D454" s="2" t="str">
        <f>IFERROR(__xludf.DUMMYFUNCTION("""COMPUTED_VALUE"""),"TA661-36693")</f>
        <v>TA661-36693</v>
      </c>
      <c r="E454" s="2" t="str">
        <f>IFERROR(__xludf.DUMMYFUNCTION("""COMPUTED_VALUE"""),"iPhone 15, Yellow, 128GB, Logic Board Assy Mid System, ROW")</f>
        <v>iPhone 15, Yellow, 128GB, Logic Board Assy Mid System, ROW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 t="str">
        <f t="shared" si="1"/>
        <v>June</v>
      </c>
      <c r="B455" s="11">
        <f>IFERROR(__xludf.DUMMYFUNCTION("""COMPUTED_VALUE"""),46178.0)</f>
        <v>46178</v>
      </c>
      <c r="C455" s="2" t="str">
        <f>IFERROR(__xludf.DUMMYFUNCTION("""COMPUTED_VALUE"""),"MOBILECARE - NEWPOINT MALL")</f>
        <v>MOBILECARE - NEWPOINT MALL</v>
      </c>
      <c r="D455" s="2" t="str">
        <f>IFERROR(__xludf.DUMMYFUNCTION("""COMPUTED_VALUE"""),"PP661-23455")</f>
        <v>PP661-23455</v>
      </c>
      <c r="E455" s="2" t="str">
        <f>IFERROR(__xludf.DUMMYFUNCTION("""COMPUTED_VALUE"""),"iPhone 13, Starlight, 128GB, Logic Board Assy Rear System, ROW")</f>
        <v>iPhone 13, Starlight, 128GB, Logic Board Assy Rear System, ROW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 t="str">
        <f t="shared" si="1"/>
        <v>May</v>
      </c>
      <c r="B456" s="11">
        <f>IFERROR(__xludf.DUMMYFUNCTION("""COMPUTED_VALUE"""),46145.0)</f>
        <v>46145</v>
      </c>
      <c r="C456" s="2" t="str">
        <f>IFERROR(__xludf.DUMMYFUNCTION("""COMPUTED_VALUE"""),"MOBILECARE - NEWPOINT MALL")</f>
        <v>MOBILECARE - NEWPOINT MALL</v>
      </c>
      <c r="D456" s="2" t="str">
        <f>IFERROR(__xludf.DUMMYFUNCTION("""COMPUTED_VALUE"""),"TA661-36692")</f>
        <v>TA661-36692</v>
      </c>
      <c r="E456" s="2" t="str">
        <f>IFERROR(__xludf.DUMMYFUNCTION("""COMPUTED_VALUE"""),"iPhone 15, Pink, 128GB, Logic Board Assy Mid System, ROW")</f>
        <v>iPhone 15, Pink, 128GB, Logic Board Assy Mid System, ROW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 t="str">
        <f t="shared" si="1"/>
        <v>February</v>
      </c>
      <c r="B457" s="11">
        <f>IFERROR(__xludf.DUMMYFUNCTION("""COMPUTED_VALUE"""),46064.0)</f>
        <v>46064</v>
      </c>
      <c r="C457" s="2" t="str">
        <f>IFERROR(__xludf.DUMMYFUNCTION("""COMPUTED_VALUE"""),"MOBILECARE - NEWPOINT MALL")</f>
        <v>MOBILECARE - NEWPOINT MALL</v>
      </c>
      <c r="D457" s="2" t="str">
        <f>IFERROR(__xludf.DUMMYFUNCTION("""COMPUTED_VALUE"""),"TA661-43605")</f>
        <v>TA661-43605</v>
      </c>
      <c r="E457" s="2" t="str">
        <f>IFERROR(__xludf.DUMMYFUNCTION("""COMPUTED_VALUE"""),"128GB, Black, ROW, iPhone 16, Logic Board Assy Mid System")</f>
        <v>128GB, Black, ROW, iPhone 16, Logic Board Assy Mid System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 t="str">
        <f t="shared" si="1"/>
        <v>February</v>
      </c>
      <c r="B458" s="11">
        <f>IFERROR(__xludf.DUMMYFUNCTION("""COMPUTED_VALUE"""),46064.0)</f>
        <v>46064</v>
      </c>
      <c r="C458" s="2" t="str">
        <f>IFERROR(__xludf.DUMMYFUNCTION("""COMPUTED_VALUE"""),"MOBILECARE - NEWPOINT MALL")</f>
        <v>MOBILECARE - NEWPOINT MALL</v>
      </c>
      <c r="D458" s="2" t="str">
        <f>IFERROR(__xludf.DUMMYFUNCTION("""COMPUTED_VALUE"""),"PP661-23454")</f>
        <v>PP661-23454</v>
      </c>
      <c r="E458" s="2" t="str">
        <f>IFERROR(__xludf.DUMMYFUNCTION("""COMPUTED_VALUE"""),"iPhone 13, Midnight, 128GB, Logic Board Assy Rear System, ROW")</f>
        <v>iPhone 13, Midnight, 128GB, Logic Board Assy Rear System, ROW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 t="str">
        <f t="shared" si="1"/>
        <v>February</v>
      </c>
      <c r="B459" s="11">
        <f>IFERROR(__xludf.DUMMYFUNCTION("""COMPUTED_VALUE"""),46056.0)</f>
        <v>46056</v>
      </c>
      <c r="C459" s="2" t="str">
        <f>IFERROR(__xludf.DUMMYFUNCTION("""COMPUTED_VALUE"""),"MOBILECARE - NEWPOINT MALL")</f>
        <v>MOBILECARE - NEWPOINT MALL</v>
      </c>
      <c r="D459" s="2" t="str">
        <f>IFERROR(__xludf.DUMMYFUNCTION("""COMPUTED_VALUE"""),"PP661-28871")</f>
        <v>PP661-28871</v>
      </c>
      <c r="E459" s="2" t="str">
        <f>IFERROR(__xludf.DUMMYFUNCTION("""COMPUTED_VALUE"""),"iPhone 14, Blue, 128GB, Logic Board Assy Mid System, ROW")</f>
        <v>iPhone 14, Blue, 128GB, Logic Board Assy Mid System, ROW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 t="str">
        <f t="shared" si="1"/>
        <v>May</v>
      </c>
      <c r="B460" s="11">
        <f>IFERROR(__xludf.DUMMYFUNCTION("""COMPUTED_VALUE"""),46150.0)</f>
        <v>46150</v>
      </c>
      <c r="C460" s="2" t="str">
        <f>IFERROR(__xludf.DUMMYFUNCTION("""COMPUTED_VALUE"""),"MOBILECARE - NEWPOINT MALL")</f>
        <v>MOBILECARE - NEWPOINT MALL</v>
      </c>
      <c r="D460" s="2" t="str">
        <f>IFERROR(__xludf.DUMMYFUNCTION("""COMPUTED_VALUE"""),"TA661-36694")</f>
        <v>TA661-36694</v>
      </c>
      <c r="E460" s="2" t="str">
        <f>IFERROR(__xludf.DUMMYFUNCTION("""COMPUTED_VALUE"""),"iPhone 15, Blue, 128GB, Logic Board Assy Mid System, ROW")</f>
        <v>iPhone 15, Blue, 128GB, Logic Board Assy Mid System, ROW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 t="str">
        <f t="shared" si="1"/>
        <v>March</v>
      </c>
      <c r="B461" s="11">
        <f>IFERROR(__xludf.DUMMYFUNCTION("""COMPUTED_VALUE"""),46093.0)</f>
        <v>46093</v>
      </c>
      <c r="C461" s="2" t="str">
        <f>IFERROR(__xludf.DUMMYFUNCTION("""COMPUTED_VALUE"""),"MOBILECARE - NEWPOINT MALL")</f>
        <v>MOBILECARE - NEWPOINT MALL</v>
      </c>
      <c r="D461" s="2" t="str">
        <f>IFERROR(__xludf.DUMMYFUNCTION("""COMPUTED_VALUE"""),"TA661-36696")</f>
        <v>TA661-36696</v>
      </c>
      <c r="E461" s="2" t="str">
        <f>IFERROR(__xludf.DUMMYFUNCTION("""COMPUTED_VALUE"""),"iPhone 15, Black, 256GB, Logic Board Assy Mid System, ROW")</f>
        <v>iPhone 15, Black, 256GB, Logic Board Assy Mid System, ROW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 t="str">
        <f t="shared" si="1"/>
        <v>February</v>
      </c>
      <c r="B462" s="11">
        <f>IFERROR(__xludf.DUMMYFUNCTION("""COMPUTED_VALUE"""),46061.0)</f>
        <v>46061</v>
      </c>
      <c r="C462" s="2" t="str">
        <f>IFERROR(__xludf.DUMMYFUNCTION("""COMPUTED_VALUE"""),"MOBILECARE - NEWPOINT MALL")</f>
        <v>MOBILECARE - NEWPOINT MALL</v>
      </c>
      <c r="D462" s="2" t="str">
        <f>IFERROR(__xludf.DUMMYFUNCTION("""COMPUTED_VALUE"""),"PP661-23454")</f>
        <v>PP661-23454</v>
      </c>
      <c r="E462" s="2" t="str">
        <f>IFERROR(__xludf.DUMMYFUNCTION("""COMPUTED_VALUE"""),"iPhone 13, Midnight, 128GB, Logic Board Assy Rear System, ROW")</f>
        <v>iPhone 13, Midnight, 128GB, Logic Board Assy Rear System, ROW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 t="str">
        <f t="shared" si="1"/>
        <v>June</v>
      </c>
      <c r="B463" s="11">
        <f>IFERROR(__xludf.DUMMYFUNCTION("""COMPUTED_VALUE"""),46185.0)</f>
        <v>46185</v>
      </c>
      <c r="C463" s="2" t="str">
        <f>IFERROR(__xludf.DUMMYFUNCTION("""COMPUTED_VALUE"""),"MOBILECARE - NEWPOINT MALL")</f>
        <v>MOBILECARE - NEWPOINT MALL</v>
      </c>
      <c r="D463" s="2" t="str">
        <f>IFERROR(__xludf.DUMMYFUNCTION("""COMPUTED_VALUE"""),"PP661-28868")</f>
        <v>PP661-28868</v>
      </c>
      <c r="E463" s="2" t="str">
        <f>IFERROR(__xludf.DUMMYFUNCTION("""COMPUTED_VALUE"""),"iPhone 14, Midnight, 128GB, Logic Board Assy Mid System, ROW")</f>
        <v>iPhone 14, Midnight, 128GB, Logic Board Assy Mid System, ROW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 t="str">
        <f t="shared" si="1"/>
        <v>February</v>
      </c>
      <c r="B464" s="11">
        <f>IFERROR(__xludf.DUMMYFUNCTION("""COMPUTED_VALUE"""),46070.0)</f>
        <v>46070</v>
      </c>
      <c r="C464" s="2" t="str">
        <f>IFERROR(__xludf.DUMMYFUNCTION("""COMPUTED_VALUE"""),"MOBILECARE - NEWPOINT MALL")</f>
        <v>MOBILECARE - NEWPOINT MALL</v>
      </c>
      <c r="D464" s="2" t="str">
        <f>IFERROR(__xludf.DUMMYFUNCTION("""COMPUTED_VALUE"""),"TA661-45232")</f>
        <v>TA661-45232</v>
      </c>
      <c r="E464" s="2" t="str">
        <f>IFERROR(__xludf.DUMMYFUNCTION("""COMPUTED_VALUE"""),"128GB, White, ROW, iPhone 16 Plus, Logic Board Assy Mid System")</f>
        <v>128GB, White, ROW, iPhone 16 Plus, Logic Board Assy Mid System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 t="str">
        <f t="shared" si="1"/>
        <v>June</v>
      </c>
      <c r="B465" s="11">
        <f>IFERROR(__xludf.DUMMYFUNCTION("""COMPUTED_VALUE"""),46178.0)</f>
        <v>46178</v>
      </c>
      <c r="C465" s="2" t="str">
        <f>IFERROR(__xludf.DUMMYFUNCTION("""COMPUTED_VALUE"""),"MOBILECARE - NEWPOINT MALL")</f>
        <v>MOBILECARE - NEWPOINT MALL</v>
      </c>
      <c r="D465" s="2" t="str">
        <f>IFERROR(__xludf.DUMMYFUNCTION("""COMPUTED_VALUE"""),"PP661-28869")</f>
        <v>PP661-28869</v>
      </c>
      <c r="E465" s="2" t="str">
        <f>IFERROR(__xludf.DUMMYFUNCTION("""COMPUTED_VALUE"""),"iPhone 14, Starlight, 128GB, Logic Board Assy Mid System, ROW")</f>
        <v>iPhone 14, Starlight, 128GB, Logic Board Assy Mid System, ROW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 t="str">
        <f t="shared" si="1"/>
        <v>March</v>
      </c>
      <c r="B466" s="11">
        <f>IFERROR(__xludf.DUMMYFUNCTION("""COMPUTED_VALUE"""),46095.0)</f>
        <v>46095</v>
      </c>
      <c r="C466" s="2" t="str">
        <f>IFERROR(__xludf.DUMMYFUNCTION("""COMPUTED_VALUE"""),"MOBILECARE - NEWPOINT MALL")</f>
        <v>MOBILECARE - NEWPOINT MALL</v>
      </c>
      <c r="D466" s="2" t="str">
        <f>IFERROR(__xludf.DUMMYFUNCTION("""COMPUTED_VALUE"""),"TA661-36691")</f>
        <v>TA661-36691</v>
      </c>
      <c r="E466" s="2" t="str">
        <f>IFERROR(__xludf.DUMMYFUNCTION("""COMPUTED_VALUE"""),"iPhone 15, Black, 128GB, Logic Board Assy Mid System, ROW")</f>
        <v>iPhone 15, Black, 128GB, Logic Board Assy Mid System, ROW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 t="str">
        <f t="shared" si="1"/>
        <v>June</v>
      </c>
      <c r="B467" s="11">
        <f>IFERROR(__xludf.DUMMYFUNCTION("""COMPUTED_VALUE"""),46183.0)</f>
        <v>46183</v>
      </c>
      <c r="C467" s="2" t="str">
        <f>IFERROR(__xludf.DUMMYFUNCTION("""COMPUTED_VALUE"""),"MOBILECARE - NEWPOINT MALL")</f>
        <v>MOBILECARE - NEWPOINT MALL</v>
      </c>
      <c r="D467" s="2" t="str">
        <f>IFERROR(__xludf.DUMMYFUNCTION("""COMPUTED_VALUE"""),"TA661-36691")</f>
        <v>TA661-36691</v>
      </c>
      <c r="E467" s="2" t="str">
        <f>IFERROR(__xludf.DUMMYFUNCTION("""COMPUTED_VALUE"""),"iPhone 15, Black, 128GB, Logic Board Assy Mid System, ROW")</f>
        <v>iPhone 15, Black, 128GB, Logic Board Assy Mid System, ROW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 t="str">
        <f t="shared" si="1"/>
        <v>April</v>
      </c>
      <c r="B468" s="11">
        <f>IFERROR(__xludf.DUMMYFUNCTION("""COMPUTED_VALUE"""),46138.0)</f>
        <v>46138</v>
      </c>
      <c r="C468" s="2" t="str">
        <f>IFERROR(__xludf.DUMMYFUNCTION("""COMPUTED_VALUE"""),"MOBILECARE - NEWPOINT MALL")</f>
        <v>MOBILECARE - NEWPOINT MALL</v>
      </c>
      <c r="D468" s="2" t="str">
        <f>IFERROR(__xludf.DUMMYFUNCTION("""COMPUTED_VALUE"""),"PP661-23455")</f>
        <v>PP661-23455</v>
      </c>
      <c r="E468" s="2" t="str">
        <f>IFERROR(__xludf.DUMMYFUNCTION("""COMPUTED_VALUE"""),"iPhone 13, Starlight, 128GB, Logic Board Assy Rear System, ROW")</f>
        <v>iPhone 13, Starlight, 128GB, Logic Board Assy Rear System, ROW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 t="str">
        <f t="shared" si="1"/>
        <v>February</v>
      </c>
      <c r="B469" s="11">
        <f>IFERROR(__xludf.DUMMYFUNCTION("""COMPUTED_VALUE"""),46076.0)</f>
        <v>46076</v>
      </c>
      <c r="C469" s="2" t="str">
        <f>IFERROR(__xludf.DUMMYFUNCTION("""COMPUTED_VALUE"""),"MOBILECARE - NEWPOINT MALL")</f>
        <v>MOBILECARE - NEWPOINT MALL</v>
      </c>
      <c r="D469" s="2" t="str">
        <f>IFERROR(__xludf.DUMMYFUNCTION("""COMPUTED_VALUE"""),"PP661-23455")</f>
        <v>PP661-23455</v>
      </c>
      <c r="E469" s="2" t="str">
        <f>IFERROR(__xludf.DUMMYFUNCTION("""COMPUTED_VALUE"""),"iPhone 13, Starlight, 128GB, Logic Board Assy Rear System, ROW")</f>
        <v>iPhone 13, Starlight, 128GB, Logic Board Assy Rear System, ROW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 t="str">
        <f t="shared" si="1"/>
        <v>March</v>
      </c>
      <c r="B470" s="11">
        <f>IFERROR(__xludf.DUMMYFUNCTION("""COMPUTED_VALUE"""),46096.0)</f>
        <v>46096</v>
      </c>
      <c r="C470" s="2" t="str">
        <f>IFERROR(__xludf.DUMMYFUNCTION("""COMPUTED_VALUE"""),"MOBILECARE - NEWPOINT MALL")</f>
        <v>MOBILECARE - NEWPOINT MALL</v>
      </c>
      <c r="D470" s="2" t="str">
        <f>IFERROR(__xludf.DUMMYFUNCTION("""COMPUTED_VALUE"""),"PP661-23455")</f>
        <v>PP661-23455</v>
      </c>
      <c r="E470" s="2" t="str">
        <f>IFERROR(__xludf.DUMMYFUNCTION("""COMPUTED_VALUE"""),"iPhone 13, Starlight, 128GB, Logic Board Assy Rear System, ROW")</f>
        <v>iPhone 13, Starlight, 128GB, Logic Board Assy Rear System, ROW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 t="str">
        <f t="shared" si="1"/>
        <v>February</v>
      </c>
      <c r="B471" s="11">
        <f>IFERROR(__xludf.DUMMYFUNCTION("""COMPUTED_VALUE"""),46074.0)</f>
        <v>46074</v>
      </c>
      <c r="C471" s="2" t="str">
        <f>IFERROR(__xludf.DUMMYFUNCTION("""COMPUTED_VALUE"""),"MOBILECARE - NEWPOINT MALL")</f>
        <v>MOBILECARE - NEWPOINT MALL</v>
      </c>
      <c r="D471" s="2" t="str">
        <f>IFERROR(__xludf.DUMMYFUNCTION("""COMPUTED_VALUE"""),"PP661-28873")</f>
        <v>PP661-28873</v>
      </c>
      <c r="E471" s="2" t="str">
        <f>IFERROR(__xludf.DUMMYFUNCTION("""COMPUTED_VALUE"""),"iPhone 14, Midnight, 256GB, Logic Board Assy Mid System, ROW")</f>
        <v>iPhone 14, Midnight, 256GB, Logic Board Assy Mid System, ROW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 t="str">
        <f t="shared" si="1"/>
        <v>February</v>
      </c>
      <c r="B472" s="11">
        <f>IFERROR(__xludf.DUMMYFUNCTION("""COMPUTED_VALUE"""),46071.0)</f>
        <v>46071</v>
      </c>
      <c r="C472" s="2" t="str">
        <f>IFERROR(__xludf.DUMMYFUNCTION("""COMPUTED_VALUE"""),"MOBILECARE - NEWPOINT MALL")</f>
        <v>MOBILECARE - NEWPOINT MALL</v>
      </c>
      <c r="D472" s="2" t="str">
        <f>IFERROR(__xludf.DUMMYFUNCTION("""COMPUTED_VALUE"""),"PP661-23455")</f>
        <v>PP661-23455</v>
      </c>
      <c r="E472" s="2" t="str">
        <f>IFERROR(__xludf.DUMMYFUNCTION("""COMPUTED_VALUE"""),"iPhone 13, Starlight, 128GB, Logic Board Assy Rear System, ROW")</f>
        <v>iPhone 13, Starlight, 128GB, Logic Board Assy Rear System, ROW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 t="str">
        <f t="shared" si="1"/>
        <v>February</v>
      </c>
      <c r="B473" s="11">
        <f>IFERROR(__xludf.DUMMYFUNCTION("""COMPUTED_VALUE"""),46067.0)</f>
        <v>46067</v>
      </c>
      <c r="C473" s="2" t="str">
        <f>IFERROR(__xludf.DUMMYFUNCTION("""COMPUTED_VALUE"""),"MOBILECARE - NEWPOINT MALL")</f>
        <v>MOBILECARE - NEWPOINT MALL</v>
      </c>
      <c r="D473" s="2" t="str">
        <f>IFERROR(__xludf.DUMMYFUNCTION("""COMPUTED_VALUE"""),"TA661-44999")</f>
        <v>TA661-44999</v>
      </c>
      <c r="E473" s="2" t="str">
        <f>IFERROR(__xludf.DUMMYFUNCTION("""COMPUTED_VALUE"""),"256GB, Black Titanium, ROW, iPhone 16 Pro, Logic Board Assy Mid System")</f>
        <v>256GB, Black Titanium, ROW, iPhone 16 Pro, Logic Board Assy Mid System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 t="str">
        <f t="shared" si="1"/>
        <v>May</v>
      </c>
      <c r="B474" s="11">
        <f>IFERROR(__xludf.DUMMYFUNCTION("""COMPUTED_VALUE"""),46145.0)</f>
        <v>46145</v>
      </c>
      <c r="C474" s="2" t="str">
        <f>IFERROR(__xludf.DUMMYFUNCTION("""COMPUTED_VALUE"""),"MOBILECARE - NEWPOINT MALL")</f>
        <v>MOBILECARE - NEWPOINT MALL</v>
      </c>
      <c r="D474" s="2" t="str">
        <f>IFERROR(__xludf.DUMMYFUNCTION("""COMPUTED_VALUE"""),"TA661-45000")</f>
        <v>TA661-45000</v>
      </c>
      <c r="E474" s="2" t="str">
        <f>IFERROR(__xludf.DUMMYFUNCTION("""COMPUTED_VALUE"""),"256GB, White Titanium, ROW, iPhone 16 Pro, Logic Board Assy Mid System")</f>
        <v>256GB, White Titanium, ROW, iPhone 16 Pro, Logic Board Assy Mid System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 t="str">
        <f t="shared" si="1"/>
        <v>March</v>
      </c>
      <c r="B475" s="11">
        <f>IFERROR(__xludf.DUMMYFUNCTION("""COMPUTED_VALUE"""),46099.0)</f>
        <v>46099</v>
      </c>
      <c r="C475" s="2" t="str">
        <f>IFERROR(__xludf.DUMMYFUNCTION("""COMPUTED_VALUE"""),"MOBILECARE - NEWPOINT MALL")</f>
        <v>MOBILECARE - NEWPOINT MALL</v>
      </c>
      <c r="D475" s="2" t="str">
        <f>IFERROR(__xludf.DUMMYFUNCTION("""COMPUTED_VALUE"""),"TA661-45002")</f>
        <v>TA661-45002</v>
      </c>
      <c r="E475" s="2" t="str">
        <f>IFERROR(__xludf.DUMMYFUNCTION("""COMPUTED_VALUE"""),"256GB, Natural Titanium, ROW, iPhone 16 Pro, Logic Board Assy Mid System")</f>
        <v>256GB, Natural Titanium, ROW, iPhone 16 Pro, Logic Board Assy Mid System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 t="str">
        <f t="shared" si="1"/>
        <v>February</v>
      </c>
      <c r="B476" s="11">
        <f>IFERROR(__xludf.DUMMYFUNCTION("""COMPUTED_VALUE"""),46069.0)</f>
        <v>46069</v>
      </c>
      <c r="C476" s="2" t="str">
        <f>IFERROR(__xludf.DUMMYFUNCTION("""COMPUTED_VALUE"""),"MOBILECARE - NEWPOINT MALL")</f>
        <v>MOBILECARE - NEWPOINT MALL</v>
      </c>
      <c r="D476" s="2" t="str">
        <f>IFERROR(__xludf.DUMMYFUNCTION("""COMPUTED_VALUE"""),"PP661-23455")</f>
        <v>PP661-23455</v>
      </c>
      <c r="E476" s="2" t="str">
        <f>IFERROR(__xludf.DUMMYFUNCTION("""COMPUTED_VALUE"""),"iPhone 13, Starlight, 128GB, Logic Board Assy Rear System, ROW")</f>
        <v>iPhone 13, Starlight, 128GB, Logic Board Assy Rear System, ROW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 t="str">
        <f t="shared" si="1"/>
        <v>June</v>
      </c>
      <c r="B477" s="11">
        <f>IFERROR(__xludf.DUMMYFUNCTION("""COMPUTED_VALUE"""),46180.0)</f>
        <v>46180</v>
      </c>
      <c r="C477" s="2" t="str">
        <f>IFERROR(__xludf.DUMMYFUNCTION("""COMPUTED_VALUE"""),"MOBILECARE - NEWPOINT MALL")</f>
        <v>MOBILECARE - NEWPOINT MALL</v>
      </c>
      <c r="D477" s="2" t="str">
        <f>IFERROR(__xludf.DUMMYFUNCTION("""COMPUTED_VALUE"""),"PP661-28869")</f>
        <v>PP661-28869</v>
      </c>
      <c r="E477" s="2" t="str">
        <f>IFERROR(__xludf.DUMMYFUNCTION("""COMPUTED_VALUE"""),"iPhone 14, Starlight, 128GB, Logic Board Assy Mid System, ROW")</f>
        <v>iPhone 14, Starlight, 128GB, Logic Board Assy Mid System, ROW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 t="str">
        <f t="shared" si="1"/>
        <v>April</v>
      </c>
      <c r="B478" s="11">
        <f>IFERROR(__xludf.DUMMYFUNCTION("""COMPUTED_VALUE"""),46139.0)</f>
        <v>46139</v>
      </c>
      <c r="C478" s="2" t="str">
        <f>IFERROR(__xludf.DUMMYFUNCTION("""COMPUTED_VALUE"""),"MOBILECARE - NEWPOINT MALL")</f>
        <v>MOBILECARE - NEWPOINT MALL</v>
      </c>
      <c r="D478" s="2" t="str">
        <f>IFERROR(__xludf.DUMMYFUNCTION("""COMPUTED_VALUE"""),"PP661-28869")</f>
        <v>PP661-28869</v>
      </c>
      <c r="E478" s="2" t="str">
        <f>IFERROR(__xludf.DUMMYFUNCTION("""COMPUTED_VALUE"""),"iPhone 14, Starlight, 128GB, Logic Board Assy Mid System, ROW")</f>
        <v>iPhone 14, Starlight, 128GB, Logic Board Assy Mid System, ROW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 t="str">
        <f t="shared" si="1"/>
        <v>April</v>
      </c>
      <c r="B479" s="11">
        <f>IFERROR(__xludf.DUMMYFUNCTION("""COMPUTED_VALUE"""),46136.0)</f>
        <v>46136</v>
      </c>
      <c r="C479" s="2" t="str">
        <f>IFERROR(__xludf.DUMMYFUNCTION("""COMPUTED_VALUE"""),"MOBILECARE - NEWPOINT MALL")</f>
        <v>MOBILECARE - NEWPOINT MALL</v>
      </c>
      <c r="D479" s="2" t="str">
        <f>IFERROR(__xludf.DUMMYFUNCTION("""COMPUTED_VALUE"""),"TA661-45238")</f>
        <v>TA661-45238</v>
      </c>
      <c r="E479" s="2" t="str">
        <f>IFERROR(__xludf.DUMMYFUNCTION("""COMPUTED_VALUE"""),"256GB, Pink, ROW, iPhone 16 Plus, Logic Board Assy Mid System")</f>
        <v>256GB, Pink, ROW, iPhone 16 Plus, Logic Board Assy Mid System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 t="str">
        <f t="shared" si="1"/>
        <v>February</v>
      </c>
      <c r="B480" s="11">
        <f>IFERROR(__xludf.DUMMYFUNCTION("""COMPUTED_VALUE"""),46075.0)</f>
        <v>46075</v>
      </c>
      <c r="C480" s="2" t="str">
        <f>IFERROR(__xludf.DUMMYFUNCTION("""COMPUTED_VALUE"""),"MOBILECARE - NEWPOINT MALL")</f>
        <v>MOBILECARE - NEWPOINT MALL</v>
      </c>
      <c r="D480" s="2" t="str">
        <f>IFERROR(__xludf.DUMMYFUNCTION("""COMPUTED_VALUE"""),"TA661-36692")</f>
        <v>TA661-36692</v>
      </c>
      <c r="E480" s="2" t="str">
        <f>IFERROR(__xludf.DUMMYFUNCTION("""COMPUTED_VALUE"""),"iPhone 15, Pink, 128GB, Logic Board Assy Mid System, ROW")</f>
        <v>iPhone 15, Pink, 128GB, Logic Board Assy Mid System, ROW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 t="str">
        <f t="shared" si="1"/>
        <v>February</v>
      </c>
      <c r="B481" s="11">
        <f>IFERROR(__xludf.DUMMYFUNCTION("""COMPUTED_VALUE"""),46061.0)</f>
        <v>46061</v>
      </c>
      <c r="C481" s="2" t="str">
        <f>IFERROR(__xludf.DUMMYFUNCTION("""COMPUTED_VALUE"""),"MOBILECARE - NEWPOINT MALL")</f>
        <v>MOBILECARE - NEWPOINT MALL</v>
      </c>
      <c r="D481" s="2" t="str">
        <f>IFERROR(__xludf.DUMMYFUNCTION("""COMPUTED_VALUE"""),"TA661-36692")</f>
        <v>TA661-36692</v>
      </c>
      <c r="E481" s="2" t="str">
        <f>IFERROR(__xludf.DUMMYFUNCTION("""COMPUTED_VALUE"""),"iPhone 15, Pink, 128GB, Logic Board Assy Mid System, ROW")</f>
        <v>iPhone 15, Pink, 128GB, Logic Board Assy Mid System, ROW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 t="str">
        <f t="shared" si="1"/>
        <v>April</v>
      </c>
      <c r="B482" s="11">
        <f>IFERROR(__xludf.DUMMYFUNCTION("""COMPUTED_VALUE"""),46116.0)</f>
        <v>46116</v>
      </c>
      <c r="C482" s="2" t="str">
        <f>IFERROR(__xludf.DUMMYFUNCTION("""COMPUTED_VALUE"""),"MOBILECARE - NEWPOINT MALL")</f>
        <v>MOBILECARE - NEWPOINT MALL</v>
      </c>
      <c r="D482" s="2" t="str">
        <f>IFERROR(__xludf.DUMMYFUNCTION("""COMPUTED_VALUE"""),"PP661-23454")</f>
        <v>PP661-23454</v>
      </c>
      <c r="E482" s="2" t="str">
        <f>IFERROR(__xludf.DUMMYFUNCTION("""COMPUTED_VALUE"""),"iPhone 13, Midnight, 128GB, Logic Board Assy Rear System, ROW")</f>
        <v>iPhone 13, Midnight, 128GB, Logic Board Assy Rear System, ROW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 t="str">
        <f t="shared" si="1"/>
        <v>February</v>
      </c>
      <c r="B483" s="11">
        <f>IFERROR(__xludf.DUMMYFUNCTION("""COMPUTED_VALUE"""),46067.0)</f>
        <v>46067</v>
      </c>
      <c r="C483" s="2" t="str">
        <f>IFERROR(__xludf.DUMMYFUNCTION("""COMPUTED_VALUE"""),"MOBILECARE - NEWPOINT MALL")</f>
        <v>MOBILECARE - NEWPOINT MALL</v>
      </c>
      <c r="D483" s="2" t="str">
        <f>IFERROR(__xludf.DUMMYFUNCTION("""COMPUTED_VALUE"""),"PP661-23455")</f>
        <v>PP661-23455</v>
      </c>
      <c r="E483" s="2" t="str">
        <f>IFERROR(__xludf.DUMMYFUNCTION("""COMPUTED_VALUE"""),"iPhone 13, Starlight, 128GB, Logic Board Assy Rear System, ROW")</f>
        <v>iPhone 13, Starlight, 128GB, Logic Board Assy Rear System, ROW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 t="str">
        <f t="shared" si="1"/>
        <v>February</v>
      </c>
      <c r="B484" s="11">
        <f>IFERROR(__xludf.DUMMYFUNCTION("""COMPUTED_VALUE"""),46061.0)</f>
        <v>46061</v>
      </c>
      <c r="C484" s="2" t="str">
        <f>IFERROR(__xludf.DUMMYFUNCTION("""COMPUTED_VALUE"""),"MOBILECARE - NEWPOINT MALL")</f>
        <v>MOBILECARE - NEWPOINT MALL</v>
      </c>
      <c r="D484" s="2" t="str">
        <f>IFERROR(__xludf.DUMMYFUNCTION("""COMPUTED_VALUE"""),"TA661-45000")</f>
        <v>TA661-45000</v>
      </c>
      <c r="E484" s="2" t="str">
        <f>IFERROR(__xludf.DUMMYFUNCTION("""COMPUTED_VALUE"""),"256GB, White Titanium, ROW, iPhone 16 Pro, Logic Board Assy Mid System")</f>
        <v>256GB, White Titanium, ROW, iPhone 16 Pro, Logic Board Assy Mid System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 t="str">
        <f t="shared" si="1"/>
        <v>June</v>
      </c>
      <c r="B485" s="11">
        <f>IFERROR(__xludf.DUMMYFUNCTION("""COMPUTED_VALUE"""),46188.0)</f>
        <v>46188</v>
      </c>
      <c r="C485" s="2" t="str">
        <f>IFERROR(__xludf.DUMMYFUNCTION("""COMPUTED_VALUE"""),"MOBILECARE - NEWPOINT MALL")</f>
        <v>MOBILECARE - NEWPOINT MALL</v>
      </c>
      <c r="D485" s="2" t="str">
        <f>IFERROR(__xludf.DUMMYFUNCTION("""COMPUTED_VALUE"""),"PP661-28868")</f>
        <v>PP661-28868</v>
      </c>
      <c r="E485" s="2" t="str">
        <f>IFERROR(__xludf.DUMMYFUNCTION("""COMPUTED_VALUE"""),"iPhone 14, Midnight, 128GB, Logic Board Assy Mid System, ROW")</f>
        <v>iPhone 14, Midnight, 128GB, Logic Board Assy Mid System, ROW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 t="str">
        <f t="shared" si="1"/>
        <v>May</v>
      </c>
      <c r="B486" s="11">
        <f>IFERROR(__xludf.DUMMYFUNCTION("""COMPUTED_VALUE"""),46144.0)</f>
        <v>46144</v>
      </c>
      <c r="C486" s="2" t="str">
        <f>IFERROR(__xludf.DUMMYFUNCTION("""COMPUTED_VALUE"""),"MOBILECARE - NEWPOINT MALL")</f>
        <v>MOBILECARE - NEWPOINT MALL</v>
      </c>
      <c r="D486" s="2" t="str">
        <f>IFERROR(__xludf.DUMMYFUNCTION("""COMPUTED_VALUE"""),"PP661-23454")</f>
        <v>PP661-23454</v>
      </c>
      <c r="E486" s="2" t="str">
        <f>IFERROR(__xludf.DUMMYFUNCTION("""COMPUTED_VALUE"""),"iPhone 13, Midnight, 128GB, Logic Board Assy Rear System, ROW")</f>
        <v>iPhone 13, Midnight, 128GB, Logic Board Assy Rear System, ROW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 t="str">
        <f t="shared" si="1"/>
        <v>April</v>
      </c>
      <c r="B487" s="11">
        <f>IFERROR(__xludf.DUMMYFUNCTION("""COMPUTED_VALUE"""),46130.0)</f>
        <v>46130</v>
      </c>
      <c r="C487" s="2" t="str">
        <f>IFERROR(__xludf.DUMMYFUNCTION("""COMPUTED_VALUE"""),"MOBILECARE - NEWPOINT MALL")</f>
        <v>MOBILECARE - NEWPOINT MALL</v>
      </c>
      <c r="D487" s="2" t="str">
        <f>IFERROR(__xludf.DUMMYFUNCTION("""COMPUTED_VALUE"""),"PP661-28868")</f>
        <v>PP661-28868</v>
      </c>
      <c r="E487" s="2" t="str">
        <f>IFERROR(__xludf.DUMMYFUNCTION("""COMPUTED_VALUE"""),"iPhone 14, Midnight, 128GB, Logic Board Assy Mid System, ROW")</f>
        <v>iPhone 14, Midnight, 128GB, Logic Board Assy Mid System, ROW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 t="str">
        <f t="shared" si="1"/>
        <v>April</v>
      </c>
      <c r="B488" s="11">
        <f>IFERROR(__xludf.DUMMYFUNCTION("""COMPUTED_VALUE"""),46120.0)</f>
        <v>46120</v>
      </c>
      <c r="C488" s="2" t="str">
        <f>IFERROR(__xludf.DUMMYFUNCTION("""COMPUTED_VALUE"""),"MOBILECARE - NEWPOINT MALL")</f>
        <v>MOBILECARE - NEWPOINT MALL</v>
      </c>
      <c r="D488" s="2" t="str">
        <f>IFERROR(__xludf.DUMMYFUNCTION("""COMPUTED_VALUE"""),"PP661-23455")</f>
        <v>PP661-23455</v>
      </c>
      <c r="E488" s="2" t="str">
        <f>IFERROR(__xludf.DUMMYFUNCTION("""COMPUTED_VALUE"""),"iPhone 13, Starlight, 128GB, Logic Board Assy Rear System, ROW")</f>
        <v>iPhone 13, Starlight, 128GB, Logic Board Assy Rear System, ROW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 t="str">
        <f t="shared" si="1"/>
        <v>February</v>
      </c>
      <c r="B489" s="11">
        <f>IFERROR(__xludf.DUMMYFUNCTION("""COMPUTED_VALUE"""),46075.0)</f>
        <v>46075</v>
      </c>
      <c r="C489" s="2" t="str">
        <f>IFERROR(__xludf.DUMMYFUNCTION("""COMPUTED_VALUE"""),"MOBILECARE - NEWPOINT MALL")</f>
        <v>MOBILECARE - NEWPOINT MALL</v>
      </c>
      <c r="D489" s="2" t="str">
        <f>IFERROR(__xludf.DUMMYFUNCTION("""COMPUTED_VALUE"""),"TA661-45236")</f>
        <v>TA661-45236</v>
      </c>
      <c r="E489" s="2" t="str">
        <f>IFERROR(__xludf.DUMMYFUNCTION("""COMPUTED_VALUE"""),"256GB, Black, ROW, iPhone 16 Plus, Logic Board Assy Mid System")</f>
        <v>256GB, Black, ROW, iPhone 16 Plus, Logic Board Assy Mid System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 t="str">
        <f t="shared" si="1"/>
        <v>February</v>
      </c>
      <c r="B490" s="11">
        <f>IFERROR(__xludf.DUMMYFUNCTION("""COMPUTED_VALUE"""),46060.0)</f>
        <v>46060</v>
      </c>
      <c r="C490" s="2" t="str">
        <f>IFERROR(__xludf.DUMMYFUNCTION("""COMPUTED_VALUE"""),"MOBILECARE - NEWPOINT MALL")</f>
        <v>MOBILECARE - NEWPOINT MALL</v>
      </c>
      <c r="D490" s="2" t="str">
        <f>IFERROR(__xludf.DUMMYFUNCTION("""COMPUTED_VALUE"""),"PP661-23455")</f>
        <v>PP661-23455</v>
      </c>
      <c r="E490" s="2" t="str">
        <f>IFERROR(__xludf.DUMMYFUNCTION("""COMPUTED_VALUE"""),"iPhone 13, Starlight, 128GB, Logic Board Assy Rear System, ROW")</f>
        <v>iPhone 13, Starlight, 128GB, Logic Board Assy Rear System, ROW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 t="str">
        <f t="shared" si="1"/>
        <v>March</v>
      </c>
      <c r="B491" s="11">
        <f>IFERROR(__xludf.DUMMYFUNCTION("""COMPUTED_VALUE"""),46082.0)</f>
        <v>46082</v>
      </c>
      <c r="C491" s="2" t="str">
        <f>IFERROR(__xludf.DUMMYFUNCTION("""COMPUTED_VALUE"""),"MOBILECARE - NEWPOINT MALL")</f>
        <v>MOBILECARE - NEWPOINT MALL</v>
      </c>
      <c r="D491" s="2" t="str">
        <f>IFERROR(__xludf.DUMMYFUNCTION("""COMPUTED_VALUE"""),"PP661-23455")</f>
        <v>PP661-23455</v>
      </c>
      <c r="E491" s="2" t="str">
        <f>IFERROR(__xludf.DUMMYFUNCTION("""COMPUTED_VALUE"""),"iPhone 13, Starlight, 128GB, Logic Board Assy Rear System, ROW")</f>
        <v>iPhone 13, Starlight, 128GB, Logic Board Assy Rear System, ROW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 t="str">
        <f t="shared" si="1"/>
        <v>April</v>
      </c>
      <c r="B492" s="11">
        <f>IFERROR(__xludf.DUMMYFUNCTION("""COMPUTED_VALUE"""),46121.0)</f>
        <v>46121</v>
      </c>
      <c r="C492" s="2" t="str">
        <f>IFERROR(__xludf.DUMMYFUNCTION("""COMPUTED_VALUE"""),"MOBILECARE - NEWPOINT MALL")</f>
        <v>MOBILECARE - NEWPOINT MALL</v>
      </c>
      <c r="D492" s="2" t="str">
        <f>IFERROR(__xludf.DUMMYFUNCTION("""COMPUTED_VALUE"""),"TA661-36699")</f>
        <v>TA661-36699</v>
      </c>
      <c r="E492" s="2" t="str">
        <f>IFERROR(__xludf.DUMMYFUNCTION("""COMPUTED_VALUE"""),"iPhone 15, Blue, 256GB, Logic Board Assy Mid System, ROW")</f>
        <v>iPhone 15, Blue, 256GB, Logic Board Assy Mid System, ROW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 t="str">
        <f t="shared" si="1"/>
        <v>March</v>
      </c>
      <c r="B493" s="11">
        <f>IFERROR(__xludf.DUMMYFUNCTION("""COMPUTED_VALUE"""),46086.0)</f>
        <v>46086</v>
      </c>
      <c r="C493" s="2" t="str">
        <f>IFERROR(__xludf.DUMMYFUNCTION("""COMPUTED_VALUE"""),"MOBILECARE - NEWPOINT MALL")</f>
        <v>MOBILECARE - NEWPOINT MALL</v>
      </c>
      <c r="D493" s="2" t="str">
        <f>IFERROR(__xludf.DUMMYFUNCTION("""COMPUTED_VALUE"""),"PP661-23455")</f>
        <v>PP661-23455</v>
      </c>
      <c r="E493" s="2" t="str">
        <f>IFERROR(__xludf.DUMMYFUNCTION("""COMPUTED_VALUE"""),"iPhone 13, Starlight, 128GB, Logic Board Assy Rear System, ROW")</f>
        <v>iPhone 13, Starlight, 128GB, Logic Board Assy Rear System, ROW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 t="str">
        <f t="shared" si="1"/>
        <v>April</v>
      </c>
      <c r="B494" s="11">
        <f>IFERROR(__xludf.DUMMYFUNCTION("""COMPUTED_VALUE"""),46121.0)</f>
        <v>46121</v>
      </c>
      <c r="C494" s="2" t="str">
        <f>IFERROR(__xludf.DUMMYFUNCTION("""COMPUTED_VALUE"""),"MOBILECARE - NEWPOINT MALL")</f>
        <v>MOBILECARE - NEWPOINT MALL</v>
      </c>
      <c r="D494" s="2" t="str">
        <f>IFERROR(__xludf.DUMMYFUNCTION("""COMPUTED_VALUE"""),"PP661-28869")</f>
        <v>PP661-28869</v>
      </c>
      <c r="E494" s="2" t="str">
        <f>IFERROR(__xludf.DUMMYFUNCTION("""COMPUTED_VALUE"""),"iPhone 14, Starlight, 128GB, Logic Board Assy Mid System, ROW")</f>
        <v>iPhone 14, Starlight, 128GB, Logic Board Assy Mid System, ROW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 t="str">
        <f t="shared" si="1"/>
        <v>March</v>
      </c>
      <c r="B495" s="11">
        <f>IFERROR(__xludf.DUMMYFUNCTION("""COMPUTED_VALUE"""),46108.0)</f>
        <v>46108</v>
      </c>
      <c r="C495" s="2" t="str">
        <f>IFERROR(__xludf.DUMMYFUNCTION("""COMPUTED_VALUE"""),"MOBILECARE - NEWPOINT MALL")</f>
        <v>MOBILECARE - NEWPOINT MALL</v>
      </c>
      <c r="D495" s="2" t="str">
        <f>IFERROR(__xludf.DUMMYFUNCTION("""COMPUTED_VALUE"""),"PP661-23454")</f>
        <v>PP661-23454</v>
      </c>
      <c r="E495" s="2" t="str">
        <f>IFERROR(__xludf.DUMMYFUNCTION("""COMPUTED_VALUE"""),"iPhone 13, Midnight, 128GB, Logic Board Assy Rear System, ROW")</f>
        <v>iPhone 13, Midnight, 128GB, Logic Board Assy Rear System, ROW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 t="str">
        <f t="shared" si="1"/>
        <v>April</v>
      </c>
      <c r="B496" s="11">
        <f>IFERROR(__xludf.DUMMYFUNCTION("""COMPUTED_VALUE"""),46116.0)</f>
        <v>46116</v>
      </c>
      <c r="C496" s="2" t="str">
        <f>IFERROR(__xludf.DUMMYFUNCTION("""COMPUTED_VALUE"""),"MOBILECARE - NEWPOINT MALL")</f>
        <v>MOBILECARE - NEWPOINT MALL</v>
      </c>
      <c r="D496" s="2" t="str">
        <f>IFERROR(__xludf.DUMMYFUNCTION("""COMPUTED_VALUE"""),"TA661-44999")</f>
        <v>TA661-44999</v>
      </c>
      <c r="E496" s="2" t="str">
        <f>IFERROR(__xludf.DUMMYFUNCTION("""COMPUTED_VALUE"""),"256GB, Black Titanium, ROW, iPhone 16 Pro, Logic Board Assy Mid System")</f>
        <v>256GB, Black Titanium, ROW, iPhone 16 Pro, Logic Board Assy Mid System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 t="str">
        <f t="shared" si="1"/>
        <v>March</v>
      </c>
      <c r="B497" s="11">
        <f>IFERROR(__xludf.DUMMYFUNCTION("""COMPUTED_VALUE"""),46109.0)</f>
        <v>46109</v>
      </c>
      <c r="C497" s="2" t="str">
        <f>IFERROR(__xludf.DUMMYFUNCTION("""COMPUTED_VALUE"""),"MOBILECARE - NEWPOINT MALL")</f>
        <v>MOBILECARE - NEWPOINT MALL</v>
      </c>
      <c r="D497" s="2" t="str">
        <f>IFERROR(__xludf.DUMMYFUNCTION("""COMPUTED_VALUE"""),"TA661-43609")</f>
        <v>TA661-43609</v>
      </c>
      <c r="E497" s="2" t="str">
        <f>IFERROR(__xludf.DUMMYFUNCTION("""COMPUTED_VALUE"""),"128GB, Teal, ROW, iPhone 16, Logic Board Assy Mid System")</f>
        <v>128GB, Teal, ROW, iPhone 16, Logic Board Assy Mid System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 t="str">
        <f t="shared" si="1"/>
        <v>February</v>
      </c>
      <c r="B498" s="11">
        <f>IFERROR(__xludf.DUMMYFUNCTION("""COMPUTED_VALUE"""),46079.0)</f>
        <v>46079</v>
      </c>
      <c r="C498" s="2" t="str">
        <f>IFERROR(__xludf.DUMMYFUNCTION("""COMPUTED_VALUE"""),"MOBILECARE - NEWPOINT MALL")</f>
        <v>MOBILECARE - NEWPOINT MALL</v>
      </c>
      <c r="D498" s="2" t="str">
        <f>IFERROR(__xludf.DUMMYFUNCTION("""COMPUTED_VALUE"""),"PP661-23455")</f>
        <v>PP661-23455</v>
      </c>
      <c r="E498" s="2" t="str">
        <f>IFERROR(__xludf.DUMMYFUNCTION("""COMPUTED_VALUE"""),"iPhone 13, Starlight, 128GB, Logic Board Assy Rear System, ROW")</f>
        <v>iPhone 13, Starlight, 128GB, Logic Board Assy Rear System, ROW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 t="str">
        <f t="shared" si="1"/>
        <v>February</v>
      </c>
      <c r="B499" s="11">
        <f>IFERROR(__xludf.DUMMYFUNCTION("""COMPUTED_VALUE"""),46062.0)</f>
        <v>46062</v>
      </c>
      <c r="C499" s="2" t="str">
        <f>IFERROR(__xludf.DUMMYFUNCTION("""COMPUTED_VALUE"""),"MOBILECARE - NEWPOINT MALL")</f>
        <v>MOBILECARE - NEWPOINT MALL</v>
      </c>
      <c r="D499" s="2" t="str">
        <f>IFERROR(__xludf.DUMMYFUNCTION("""COMPUTED_VALUE"""),"PP661-23454")</f>
        <v>PP661-23454</v>
      </c>
      <c r="E499" s="2" t="str">
        <f>IFERROR(__xludf.DUMMYFUNCTION("""COMPUTED_VALUE"""),"iPhone 13, Midnight, 128GB, Logic Board Assy Rear System, ROW")</f>
        <v>iPhone 13, Midnight, 128GB, Logic Board Assy Rear System, ROW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 t="str">
        <f t="shared" si="1"/>
        <v>February</v>
      </c>
      <c r="B500" s="11">
        <f>IFERROR(__xludf.DUMMYFUNCTION("""COMPUTED_VALUE"""),46058.0)</f>
        <v>46058</v>
      </c>
      <c r="C500" s="2" t="str">
        <f>IFERROR(__xludf.DUMMYFUNCTION("""COMPUTED_VALUE"""),"MOBILECARE - NEWPOINT MALL")</f>
        <v>MOBILECARE - NEWPOINT MALL</v>
      </c>
      <c r="D500" s="2" t="str">
        <f>IFERROR(__xludf.DUMMYFUNCTION("""COMPUTED_VALUE"""),"PP661-28869")</f>
        <v>PP661-28869</v>
      </c>
      <c r="E500" s="2" t="str">
        <f>IFERROR(__xludf.DUMMYFUNCTION("""COMPUTED_VALUE"""),"iPhone 14, Starlight, 128GB, Logic Board Assy Mid System, ROW")</f>
        <v>iPhone 14, Starlight, 128GB, Logic Board Assy Mid System, ROW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 t="str">
        <f t="shared" si="1"/>
        <v>April</v>
      </c>
      <c r="B501" s="11">
        <f>IFERROR(__xludf.DUMMYFUNCTION("""COMPUTED_VALUE"""),46126.0)</f>
        <v>46126</v>
      </c>
      <c r="C501" s="2" t="str">
        <f>IFERROR(__xludf.DUMMYFUNCTION("""COMPUTED_VALUE"""),"MOBILECARE - NEWPOINT MALL")</f>
        <v>MOBILECARE - NEWPOINT MALL</v>
      </c>
      <c r="D501" s="2" t="str">
        <f>IFERROR(__xludf.DUMMYFUNCTION("""COMPUTED_VALUE"""),"PP661-28869")</f>
        <v>PP661-28869</v>
      </c>
      <c r="E501" s="2" t="str">
        <f>IFERROR(__xludf.DUMMYFUNCTION("""COMPUTED_VALUE"""),"iPhone 14, Starlight, 128GB, Logic Board Assy Mid System, ROW")</f>
        <v>iPhone 14, Starlight, 128GB, Logic Board Assy Mid System, ROW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 t="str">
        <f t="shared" si="1"/>
        <v>March</v>
      </c>
      <c r="B502" s="11">
        <f>IFERROR(__xludf.DUMMYFUNCTION("""COMPUTED_VALUE"""),46087.0)</f>
        <v>46087</v>
      </c>
      <c r="C502" s="2" t="str">
        <f>IFERROR(__xludf.DUMMYFUNCTION("""COMPUTED_VALUE"""),"MOBILECARE - NEWPOINT MALL")</f>
        <v>MOBILECARE - NEWPOINT MALL</v>
      </c>
      <c r="D502" s="2" t="str">
        <f>IFERROR(__xludf.DUMMYFUNCTION("""COMPUTED_VALUE"""),"TA661-43606")</f>
        <v>TA661-43606</v>
      </c>
      <c r="E502" s="2" t="str">
        <f>IFERROR(__xludf.DUMMYFUNCTION("""COMPUTED_VALUE"""),"128GB, White, ROW, iPhone 16, Logic Board Assy Mid System")</f>
        <v>128GB, White, ROW, iPhone 16, Logic Board Assy Mid System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 t="str">
        <f t="shared" si="1"/>
        <v>February</v>
      </c>
      <c r="B503" s="11">
        <f>IFERROR(__xludf.DUMMYFUNCTION("""COMPUTED_VALUE"""),46076.0)</f>
        <v>46076</v>
      </c>
      <c r="C503" s="2" t="str">
        <f>IFERROR(__xludf.DUMMYFUNCTION("""COMPUTED_VALUE"""),"MOBILECARE - NEWPOINT MALL")</f>
        <v>MOBILECARE - NEWPOINT MALL</v>
      </c>
      <c r="D503" s="2" t="str">
        <f>IFERROR(__xludf.DUMMYFUNCTION("""COMPUTED_VALUE"""),"PP661-23455")</f>
        <v>PP661-23455</v>
      </c>
      <c r="E503" s="2" t="str">
        <f>IFERROR(__xludf.DUMMYFUNCTION("""COMPUTED_VALUE"""),"iPhone 13, Starlight, 128GB, Logic Board Assy Rear System, ROW")</f>
        <v>iPhone 13, Starlight, 128GB, Logic Board Assy Rear System, ROW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 t="str">
        <f t="shared" si="1"/>
        <v>February</v>
      </c>
      <c r="B504" s="11">
        <f>IFERROR(__xludf.DUMMYFUNCTION("""COMPUTED_VALUE"""),46067.0)</f>
        <v>46067</v>
      </c>
      <c r="C504" s="2" t="str">
        <f>IFERROR(__xludf.DUMMYFUNCTION("""COMPUTED_VALUE"""),"MOBILECARE - NEWPOINT MALL")</f>
        <v>MOBILECARE - NEWPOINT MALL</v>
      </c>
      <c r="D504" s="2" t="str">
        <f>IFERROR(__xludf.DUMMYFUNCTION("""COMPUTED_VALUE"""),"PP661-23454")</f>
        <v>PP661-23454</v>
      </c>
      <c r="E504" s="2" t="str">
        <f>IFERROR(__xludf.DUMMYFUNCTION("""COMPUTED_VALUE"""),"iPhone 13, Midnight, 128GB, Logic Board Assy Rear System, ROW")</f>
        <v>iPhone 13, Midnight, 128GB, Logic Board Assy Rear System, ROW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 t="str">
        <f t="shared" si="1"/>
        <v>February</v>
      </c>
      <c r="B505" s="11">
        <f>IFERROR(__xludf.DUMMYFUNCTION("""COMPUTED_VALUE"""),46064.0)</f>
        <v>46064</v>
      </c>
      <c r="C505" s="2" t="str">
        <f>IFERROR(__xludf.DUMMYFUNCTION("""COMPUTED_VALUE"""),"MOBILECARE - NEWPOINT MALL")</f>
        <v>MOBILECARE - NEWPOINT MALL</v>
      </c>
      <c r="D505" s="2" t="str">
        <f>IFERROR(__xludf.DUMMYFUNCTION("""COMPUTED_VALUE"""),"PP661-28868")</f>
        <v>PP661-28868</v>
      </c>
      <c r="E505" s="2" t="str">
        <f>IFERROR(__xludf.DUMMYFUNCTION("""COMPUTED_VALUE"""),"iPhone 14, Midnight, 128GB, Logic Board Assy Mid System, ROW")</f>
        <v>iPhone 14, Midnight, 128GB, Logic Board Assy Mid System, ROW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 t="str">
        <f t="shared" si="1"/>
        <v>March</v>
      </c>
      <c r="B506" s="11">
        <f>IFERROR(__xludf.DUMMYFUNCTION("""COMPUTED_VALUE"""),46098.0)</f>
        <v>46098</v>
      </c>
      <c r="C506" s="2" t="str">
        <f>IFERROR(__xludf.DUMMYFUNCTION("""COMPUTED_VALUE"""),"MOBILECARE - NEWPOINT MALL")</f>
        <v>MOBILECARE - NEWPOINT MALL</v>
      </c>
      <c r="D506" s="2" t="str">
        <f>IFERROR(__xludf.DUMMYFUNCTION("""COMPUTED_VALUE"""),"PP661-23455")</f>
        <v>PP661-23455</v>
      </c>
      <c r="E506" s="2" t="str">
        <f>IFERROR(__xludf.DUMMYFUNCTION("""COMPUTED_VALUE"""),"iPhone 13, Starlight, 128GB, Logic Board Assy Rear System, ROW")</f>
        <v>iPhone 13, Starlight, 128GB, Logic Board Assy Rear System, ROW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 t="str">
        <f t="shared" si="1"/>
        <v>March</v>
      </c>
      <c r="B507" s="11">
        <f>IFERROR(__xludf.DUMMYFUNCTION("""COMPUTED_VALUE"""),46092.0)</f>
        <v>46092</v>
      </c>
      <c r="C507" s="2" t="str">
        <f>IFERROR(__xludf.DUMMYFUNCTION("""COMPUTED_VALUE"""),"MOBILECARE - NEWPOINT MALL")</f>
        <v>MOBILECARE - NEWPOINT MALL</v>
      </c>
      <c r="D507" s="2" t="str">
        <f>IFERROR(__xludf.DUMMYFUNCTION("""COMPUTED_VALUE"""),"PP661-23455")</f>
        <v>PP661-23455</v>
      </c>
      <c r="E507" s="2" t="str">
        <f>IFERROR(__xludf.DUMMYFUNCTION("""COMPUTED_VALUE"""),"iPhone 13, Starlight, 128GB, Logic Board Assy Rear System, ROW")</f>
        <v>iPhone 13, Starlight, 128GB, Logic Board Assy Rear System, ROW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 t="str">
        <f t="shared" si="1"/>
        <v>March</v>
      </c>
      <c r="B508" s="11">
        <f>IFERROR(__xludf.DUMMYFUNCTION("""COMPUTED_VALUE"""),46090.0)</f>
        <v>46090</v>
      </c>
      <c r="C508" s="2" t="str">
        <f>IFERROR(__xludf.DUMMYFUNCTION("""COMPUTED_VALUE"""),"MOBILECARE - NEWPOINT MALL")</f>
        <v>MOBILECARE - NEWPOINT MALL</v>
      </c>
      <c r="D508" s="2" t="str">
        <f>IFERROR(__xludf.DUMMYFUNCTION("""COMPUTED_VALUE"""),"PP661-23454")</f>
        <v>PP661-23454</v>
      </c>
      <c r="E508" s="2" t="str">
        <f>IFERROR(__xludf.DUMMYFUNCTION("""COMPUTED_VALUE"""),"iPhone 13, Midnight, 128GB, Logic Board Assy Rear System, ROW")</f>
        <v>iPhone 13, Midnight, 128GB, Logic Board Assy Rear System, ROW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 t="str">
        <f t="shared" si="1"/>
        <v>February</v>
      </c>
      <c r="B509" s="11">
        <f>IFERROR(__xludf.DUMMYFUNCTION("""COMPUTED_VALUE"""),46069.0)</f>
        <v>46069</v>
      </c>
      <c r="C509" s="2" t="str">
        <f>IFERROR(__xludf.DUMMYFUNCTION("""COMPUTED_VALUE"""),"MOBILECARE - NEWPOINT MALL")</f>
        <v>MOBILECARE - NEWPOINT MALL</v>
      </c>
      <c r="D509" s="2" t="str">
        <f>IFERROR(__xludf.DUMMYFUNCTION("""COMPUTED_VALUE"""),"PP661-23455")</f>
        <v>PP661-23455</v>
      </c>
      <c r="E509" s="2" t="str">
        <f>IFERROR(__xludf.DUMMYFUNCTION("""COMPUTED_VALUE"""),"iPhone 13, Starlight, 128GB, Logic Board Assy Rear System, ROW")</f>
        <v>iPhone 13, Starlight, 128GB, Logic Board Assy Rear System, ROW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 t="str">
        <f t="shared" si="1"/>
        <v>April</v>
      </c>
      <c r="B510" s="11">
        <f>IFERROR(__xludf.DUMMYFUNCTION("""COMPUTED_VALUE"""),46117.0)</f>
        <v>46117</v>
      </c>
      <c r="C510" s="2" t="str">
        <f>IFERROR(__xludf.DUMMYFUNCTION("""COMPUTED_VALUE"""),"MOBILECARE - NEWPOINT MALL")</f>
        <v>MOBILECARE - NEWPOINT MALL</v>
      </c>
      <c r="D510" s="2" t="str">
        <f>IFERROR(__xludf.DUMMYFUNCTION("""COMPUTED_VALUE"""),"PP661-23454")</f>
        <v>PP661-23454</v>
      </c>
      <c r="E510" s="2" t="str">
        <f>IFERROR(__xludf.DUMMYFUNCTION("""COMPUTED_VALUE"""),"iPhone 13, Midnight, 128GB, Logic Board Assy Rear System, ROW")</f>
        <v>iPhone 13, Midnight, 128GB, Logic Board Assy Rear System, ROW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 t="str">
        <f t="shared" si="1"/>
        <v>April</v>
      </c>
      <c r="B511" s="11">
        <f>IFERROR(__xludf.DUMMYFUNCTION("""COMPUTED_VALUE"""),46116.0)</f>
        <v>46116</v>
      </c>
      <c r="C511" s="2" t="str">
        <f>IFERROR(__xludf.DUMMYFUNCTION("""COMPUTED_VALUE"""),"MOBILECARE - NEWPOINT MALL")</f>
        <v>MOBILECARE - NEWPOINT MALL</v>
      </c>
      <c r="D511" s="2" t="str">
        <f>IFERROR(__xludf.DUMMYFUNCTION("""COMPUTED_VALUE"""),"PP661-23455")</f>
        <v>PP661-23455</v>
      </c>
      <c r="E511" s="2" t="str">
        <f>IFERROR(__xludf.DUMMYFUNCTION("""COMPUTED_VALUE"""),"iPhone 13, Starlight, 128GB, Logic Board Assy Rear System, ROW")</f>
        <v>iPhone 13, Starlight, 128GB, Logic Board Assy Rear System, ROW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 t="str">
        <f t="shared" si="1"/>
        <v>February</v>
      </c>
      <c r="B512" s="11">
        <f>IFERROR(__xludf.DUMMYFUNCTION("""COMPUTED_VALUE"""),46070.0)</f>
        <v>46070</v>
      </c>
      <c r="C512" s="2" t="str">
        <f>IFERROR(__xludf.DUMMYFUNCTION("""COMPUTED_VALUE"""),"MOBILECARE - NEWPOINT MALL")</f>
        <v>MOBILECARE - NEWPOINT MALL</v>
      </c>
      <c r="D512" s="2" t="str">
        <f>IFERROR(__xludf.DUMMYFUNCTION("""COMPUTED_VALUE"""),"PP661-23460")</f>
        <v>PP661-23460</v>
      </c>
      <c r="E512" s="2" t="str">
        <f>IFERROR(__xludf.DUMMYFUNCTION("""COMPUTED_VALUE"""),"iPhone 13, Starlight, 256GB, Logic Board Assy Rear System, ROW")</f>
        <v>iPhone 13, Starlight, 256GB, Logic Board Assy Rear System, ROW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 t="str">
        <f t="shared" si="1"/>
        <v>February</v>
      </c>
      <c r="B513" s="11">
        <f>IFERROR(__xludf.DUMMYFUNCTION("""COMPUTED_VALUE"""),46064.0)</f>
        <v>46064</v>
      </c>
      <c r="C513" s="2" t="str">
        <f>IFERROR(__xludf.DUMMYFUNCTION("""COMPUTED_VALUE"""),"MOBILECARE - NEWPOINT MALL")</f>
        <v>MOBILECARE - NEWPOINT MALL</v>
      </c>
      <c r="D513" s="2" t="str">
        <f>IFERROR(__xludf.DUMMYFUNCTION("""COMPUTED_VALUE"""),"TA661-36696")</f>
        <v>TA661-36696</v>
      </c>
      <c r="E513" s="2" t="str">
        <f>IFERROR(__xludf.DUMMYFUNCTION("""COMPUTED_VALUE"""),"iPhone 15, Black, 256GB, Logic Board Assy Mid System, ROW")</f>
        <v>iPhone 15, Black, 256GB, Logic Board Assy Mid System, ROW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 t="str">
        <f t="shared" si="1"/>
        <v>February</v>
      </c>
      <c r="B514" s="11">
        <f>IFERROR(__xludf.DUMMYFUNCTION("""COMPUTED_VALUE"""),46075.0)</f>
        <v>46075</v>
      </c>
      <c r="C514" s="2" t="str">
        <f>IFERROR(__xludf.DUMMYFUNCTION("""COMPUTED_VALUE"""),"MOBILECARE - NEWPOINT MALL")</f>
        <v>MOBILECARE - NEWPOINT MALL</v>
      </c>
      <c r="D514" s="2" t="str">
        <f>IFERROR(__xludf.DUMMYFUNCTION("""COMPUTED_VALUE"""),"TA661-36696")</f>
        <v>TA661-36696</v>
      </c>
      <c r="E514" s="2" t="str">
        <f>IFERROR(__xludf.DUMMYFUNCTION("""COMPUTED_VALUE"""),"iPhone 15, Black, 256GB, Logic Board Assy Mid System, ROW")</f>
        <v>iPhone 15, Black, 256GB, Logic Board Assy Mid System, ROW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 t="str">
        <f t="shared" si="1"/>
        <v>March</v>
      </c>
      <c r="B515" s="11">
        <f>IFERROR(__xludf.DUMMYFUNCTION("""COMPUTED_VALUE"""),46084.0)</f>
        <v>46084</v>
      </c>
      <c r="C515" s="2" t="str">
        <f>IFERROR(__xludf.DUMMYFUNCTION("""COMPUTED_VALUE"""),"MOBILECARE - NEWPOINT MALL")</f>
        <v>MOBILECARE - NEWPOINT MALL</v>
      </c>
      <c r="D515" s="2" t="str">
        <f>IFERROR(__xludf.DUMMYFUNCTION("""COMPUTED_VALUE"""),"TA661-43607")</f>
        <v>TA661-43607</v>
      </c>
      <c r="E515" s="2" t="str">
        <f>IFERROR(__xludf.DUMMYFUNCTION("""COMPUTED_VALUE"""),"128GB, Pink, ROW, iPhone 16, Logic Board Assy Mid System")</f>
        <v>128GB, Pink, ROW, iPhone 16, Logic Board Assy Mid System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 t="str">
        <f t="shared" si="1"/>
        <v>June</v>
      </c>
      <c r="B516" s="11">
        <f>IFERROR(__xludf.DUMMYFUNCTION("""COMPUTED_VALUE"""),46188.0)</f>
        <v>46188</v>
      </c>
      <c r="C516" s="2" t="str">
        <f>IFERROR(__xludf.DUMMYFUNCTION("""COMPUTED_VALUE"""),"MOBILECARE - NEWPOINT MALL")</f>
        <v>MOBILECARE - NEWPOINT MALL</v>
      </c>
      <c r="D516" s="2" t="str">
        <f>IFERROR(__xludf.DUMMYFUNCTION("""COMPUTED_VALUE"""),"TA661-45234")</f>
        <v>TA661-45234</v>
      </c>
      <c r="E516" s="2" t="str">
        <f>IFERROR(__xludf.DUMMYFUNCTION("""COMPUTED_VALUE"""),"128GB, Ultramarine, ROW, iPhone 16 Plus, Logic Board Assy Mid System")</f>
        <v>128GB, Ultramarine, ROW, iPhone 16 Plus, Logic Board Assy Mid System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 t="str">
        <f t="shared" si="1"/>
        <v>March</v>
      </c>
      <c r="B517" s="11">
        <f>IFERROR(__xludf.DUMMYFUNCTION("""COMPUTED_VALUE"""),46109.0)</f>
        <v>46109</v>
      </c>
      <c r="C517" s="2" t="str">
        <f>IFERROR(__xludf.DUMMYFUNCTION("""COMPUTED_VALUE"""),"MOBILECARE - NEWPOINT MALL")</f>
        <v>MOBILECARE - NEWPOINT MALL</v>
      </c>
      <c r="D517" s="2" t="str">
        <f>IFERROR(__xludf.DUMMYFUNCTION("""COMPUTED_VALUE"""),"PP661-23455")</f>
        <v>PP661-23455</v>
      </c>
      <c r="E517" s="2" t="str">
        <f>IFERROR(__xludf.DUMMYFUNCTION("""COMPUTED_VALUE"""),"iPhone 13, Starlight, 128GB, Logic Board Assy Rear System, ROW")</f>
        <v>iPhone 13, Starlight, 128GB, Logic Board Assy Rear System, ROW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 t="str">
        <f t="shared" si="1"/>
        <v>February</v>
      </c>
      <c r="B518" s="11">
        <f>IFERROR(__xludf.DUMMYFUNCTION("""COMPUTED_VALUE"""),46074.0)</f>
        <v>46074</v>
      </c>
      <c r="C518" s="2" t="str">
        <f>IFERROR(__xludf.DUMMYFUNCTION("""COMPUTED_VALUE"""),"MOBILECARE - NEWPOINT MALL")</f>
        <v>MOBILECARE - NEWPOINT MALL</v>
      </c>
      <c r="D518" s="2" t="str">
        <f>IFERROR(__xludf.DUMMYFUNCTION("""COMPUTED_VALUE"""),"TA661-43611")</f>
        <v>TA661-43611</v>
      </c>
      <c r="E518" s="2" t="str">
        <f>IFERROR(__xludf.DUMMYFUNCTION("""COMPUTED_VALUE"""),"256GB, White, ROW, iPhone 16, Logic Board Assy Mid System")</f>
        <v>256GB, White, ROW, iPhone 16, Logic Board Assy Mid System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 t="str">
        <f t="shared" si="1"/>
        <v>February</v>
      </c>
      <c r="B519" s="11">
        <f>IFERROR(__xludf.DUMMYFUNCTION("""COMPUTED_VALUE"""),46075.0)</f>
        <v>46075</v>
      </c>
      <c r="C519" s="2" t="str">
        <f>IFERROR(__xludf.DUMMYFUNCTION("""COMPUTED_VALUE"""),"MOBILECARE - NEWPOINT MALL")</f>
        <v>MOBILECARE - NEWPOINT MALL</v>
      </c>
      <c r="D519" s="2" t="str">
        <f>IFERROR(__xludf.DUMMYFUNCTION("""COMPUTED_VALUE"""),"TA661-49965")</f>
        <v>TA661-49965</v>
      </c>
      <c r="E519" s="2" t="str">
        <f>IFERROR(__xludf.DUMMYFUNCTION("""COMPUTED_VALUE"""),"White, 128GB, Logic Board Assy Mid System, iPhone 16e, ROW")</f>
        <v>White, 128GB, Logic Board Assy Mid System, iPhone 16e, ROW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 t="str">
        <f t="shared" si="1"/>
        <v>February</v>
      </c>
      <c r="B520" s="11">
        <f>IFERROR(__xludf.DUMMYFUNCTION("""COMPUTED_VALUE"""),46077.0)</f>
        <v>46077</v>
      </c>
      <c r="C520" s="2" t="str">
        <f>IFERROR(__xludf.DUMMYFUNCTION("""COMPUTED_VALUE"""),"MOBILECARE - NEWPOINT MALL")</f>
        <v>MOBILECARE - NEWPOINT MALL</v>
      </c>
      <c r="D520" s="2" t="str">
        <f>IFERROR(__xludf.DUMMYFUNCTION("""COMPUTED_VALUE"""),"PP661-23454")</f>
        <v>PP661-23454</v>
      </c>
      <c r="E520" s="2" t="str">
        <f>IFERROR(__xludf.DUMMYFUNCTION("""COMPUTED_VALUE"""),"iPhone 13, Midnight, 128GB, Logic Board Assy Rear System, ROW")</f>
        <v>iPhone 13, Midnight, 128GB, Logic Board Assy Rear System, ROW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 t="str">
        <f t="shared" si="1"/>
        <v>February</v>
      </c>
      <c r="B521" s="11">
        <f>IFERROR(__xludf.DUMMYFUNCTION("""COMPUTED_VALUE"""),46067.0)</f>
        <v>46067</v>
      </c>
      <c r="C521" s="2" t="str">
        <f>IFERROR(__xludf.DUMMYFUNCTION("""COMPUTED_VALUE"""),"MOBILECARE - NEWPOINT MALL")</f>
        <v>MOBILECARE - NEWPOINT MALL</v>
      </c>
      <c r="D521" s="2" t="str">
        <f>IFERROR(__xludf.DUMMYFUNCTION("""COMPUTED_VALUE"""),"PP661-23454")</f>
        <v>PP661-23454</v>
      </c>
      <c r="E521" s="2" t="str">
        <f>IFERROR(__xludf.DUMMYFUNCTION("""COMPUTED_VALUE"""),"iPhone 13, Midnight, 128GB, Logic Board Assy Rear System, ROW")</f>
        <v>iPhone 13, Midnight, 128GB, Logic Board Assy Rear System, ROW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 t="str">
        <f t="shared" si="1"/>
        <v>June</v>
      </c>
      <c r="B522" s="11">
        <f>IFERROR(__xludf.DUMMYFUNCTION("""COMPUTED_VALUE"""),46187.0)</f>
        <v>46187</v>
      </c>
      <c r="C522" s="2" t="str">
        <f>IFERROR(__xludf.DUMMYFUNCTION("""COMPUTED_VALUE"""),"MOBILECARE - NEWPOINT MALL")</f>
        <v>MOBILECARE - NEWPOINT MALL</v>
      </c>
      <c r="D522" s="2" t="str">
        <f>IFERROR(__xludf.DUMMYFUNCTION("""COMPUTED_VALUE"""),"PP661-23454")</f>
        <v>PP661-23454</v>
      </c>
      <c r="E522" s="2" t="str">
        <f>IFERROR(__xludf.DUMMYFUNCTION("""COMPUTED_VALUE"""),"iPhone 13, Midnight, 128GB, Logic Board Assy Rear System, ROW")</f>
        <v>iPhone 13, Midnight, 128GB, Logic Board Assy Rear System, ROW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 t="str">
        <f t="shared" si="1"/>
        <v>June</v>
      </c>
      <c r="B523" s="11">
        <f>IFERROR(__xludf.DUMMYFUNCTION("""COMPUTED_VALUE"""),46186.0)</f>
        <v>46186</v>
      </c>
      <c r="C523" s="2" t="str">
        <f>IFERROR(__xludf.DUMMYFUNCTION("""COMPUTED_VALUE"""),"MOBILECARE - NEWPOINT MALL")</f>
        <v>MOBILECARE - NEWPOINT MALL</v>
      </c>
      <c r="D523" s="2" t="str">
        <f>IFERROR(__xludf.DUMMYFUNCTION("""COMPUTED_VALUE"""),"PP661-28868")</f>
        <v>PP661-28868</v>
      </c>
      <c r="E523" s="2" t="str">
        <f>IFERROR(__xludf.DUMMYFUNCTION("""COMPUTED_VALUE"""),"iPhone 14, Midnight, 128GB, Logic Board Assy Mid System, ROW")</f>
        <v>iPhone 14, Midnight, 128GB, Logic Board Assy Mid System, ROW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 t="str">
        <f t="shared" si="1"/>
        <v>March</v>
      </c>
      <c r="B524" s="11">
        <f>IFERROR(__xludf.DUMMYFUNCTION("""COMPUTED_VALUE"""),46092.0)</f>
        <v>46092</v>
      </c>
      <c r="C524" s="2" t="str">
        <f>IFERROR(__xludf.DUMMYFUNCTION("""COMPUTED_VALUE"""),"MOBILECARE - NEWPOINT MALL")</f>
        <v>MOBILECARE - NEWPOINT MALL</v>
      </c>
      <c r="D524" s="2" t="str">
        <f>IFERROR(__xludf.DUMMYFUNCTION("""COMPUTED_VALUE"""),"PP661-23454")</f>
        <v>PP661-23454</v>
      </c>
      <c r="E524" s="2" t="str">
        <f>IFERROR(__xludf.DUMMYFUNCTION("""COMPUTED_VALUE"""),"iPhone 13, Midnight, 128GB, Logic Board Assy Rear System, ROW")</f>
        <v>iPhone 13, Midnight, 128GB, Logic Board Assy Rear System, ROW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 t="str">
        <f t="shared" si="1"/>
        <v>February</v>
      </c>
      <c r="B525" s="11">
        <f>IFERROR(__xludf.DUMMYFUNCTION("""COMPUTED_VALUE"""),46074.0)</f>
        <v>46074</v>
      </c>
      <c r="C525" s="2" t="str">
        <f>IFERROR(__xludf.DUMMYFUNCTION("""COMPUTED_VALUE"""),"MOBILECARE - NEWPOINT MALL")</f>
        <v>MOBILECARE - NEWPOINT MALL</v>
      </c>
      <c r="D525" s="2" t="str">
        <f>IFERROR(__xludf.DUMMYFUNCTION("""COMPUTED_VALUE"""),"TA661-45232")</f>
        <v>TA661-45232</v>
      </c>
      <c r="E525" s="2" t="str">
        <f>IFERROR(__xludf.DUMMYFUNCTION("""COMPUTED_VALUE"""),"128GB, White, ROW, iPhone 16 Plus, Logic Board Assy Mid System")</f>
        <v>128GB, White, ROW, iPhone 16 Plus, Logic Board Assy Mid System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 t="str">
        <f t="shared" si="1"/>
        <v>May</v>
      </c>
      <c r="B526" s="11">
        <f>IFERROR(__xludf.DUMMYFUNCTION("""COMPUTED_VALUE"""),46145.0)</f>
        <v>46145</v>
      </c>
      <c r="C526" s="2" t="str">
        <f>IFERROR(__xludf.DUMMYFUNCTION("""COMPUTED_VALUE"""),"MOBILECARE - NEWPOINT MALL")</f>
        <v>MOBILECARE - NEWPOINT MALL</v>
      </c>
      <c r="D526" s="2" t="str">
        <f>IFERROR(__xludf.DUMMYFUNCTION("""COMPUTED_VALUE"""),"PP661-23455")</f>
        <v>PP661-23455</v>
      </c>
      <c r="E526" s="2" t="str">
        <f>IFERROR(__xludf.DUMMYFUNCTION("""COMPUTED_VALUE"""),"iPhone 13, Starlight, 128GB, Logic Board Assy Rear System, ROW")</f>
        <v>iPhone 13, Starlight, 128GB, Logic Board Assy Rear System, ROW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 t="str">
        <f t="shared" si="1"/>
        <v>June</v>
      </c>
      <c r="B527" s="11">
        <f>IFERROR(__xludf.DUMMYFUNCTION("""COMPUTED_VALUE"""),46182.0)</f>
        <v>46182</v>
      </c>
      <c r="C527" s="2" t="str">
        <f>IFERROR(__xludf.DUMMYFUNCTION("""COMPUTED_VALUE"""),"MOBILECARE - NEWPOINT MALL")</f>
        <v>MOBILECARE - NEWPOINT MALL</v>
      </c>
      <c r="D527" s="2" t="str">
        <f>IFERROR(__xludf.DUMMYFUNCTION("""COMPUTED_VALUE"""),"TA661-45238")</f>
        <v>TA661-45238</v>
      </c>
      <c r="E527" s="2" t="str">
        <f>IFERROR(__xludf.DUMMYFUNCTION("""COMPUTED_VALUE"""),"256GB, Pink, ROW, iPhone 16 Plus, Logic Board Assy Mid System")</f>
        <v>256GB, Pink, ROW, iPhone 16 Plus, Logic Board Assy Mid System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 t="str">
        <f t="shared" si="1"/>
        <v>June</v>
      </c>
      <c r="B528" s="11">
        <f>IFERROR(__xludf.DUMMYFUNCTION("""COMPUTED_VALUE"""),46180.0)</f>
        <v>46180</v>
      </c>
      <c r="C528" s="2" t="str">
        <f>IFERROR(__xludf.DUMMYFUNCTION("""COMPUTED_VALUE"""),"MOBILECARE - NEWPOINT MALL")</f>
        <v>MOBILECARE - NEWPOINT MALL</v>
      </c>
      <c r="D528" s="2" t="str">
        <f>IFERROR(__xludf.DUMMYFUNCTION("""COMPUTED_VALUE"""),"TA661-43609")</f>
        <v>TA661-43609</v>
      </c>
      <c r="E528" s="2" t="str">
        <f>IFERROR(__xludf.DUMMYFUNCTION("""COMPUTED_VALUE"""),"128GB, Teal, ROW, iPhone 16, Logic Board Assy Mid System")</f>
        <v>128GB, Teal, ROW, iPhone 16, Logic Board Assy Mid System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 t="str">
        <f t="shared" si="1"/>
        <v>February</v>
      </c>
      <c r="B529" s="11">
        <f>IFERROR(__xludf.DUMMYFUNCTION("""COMPUTED_VALUE"""),46061.0)</f>
        <v>46061</v>
      </c>
      <c r="C529" s="2" t="str">
        <f>IFERROR(__xludf.DUMMYFUNCTION("""COMPUTED_VALUE"""),"MOBILECARE - NEWPOINT MALL")</f>
        <v>MOBILECARE - NEWPOINT MALL</v>
      </c>
      <c r="D529" s="2" t="str">
        <f>IFERROR(__xludf.DUMMYFUNCTION("""COMPUTED_VALUE"""),"PP661-23455")</f>
        <v>PP661-23455</v>
      </c>
      <c r="E529" s="2" t="str">
        <f>IFERROR(__xludf.DUMMYFUNCTION("""COMPUTED_VALUE"""),"iPhone 13, Starlight, 128GB, Logic Board Assy Rear System, ROW")</f>
        <v>iPhone 13, Starlight, 128GB, Logic Board Assy Rear System, ROW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 t="str">
        <f t="shared" si="1"/>
        <v>June</v>
      </c>
      <c r="B530" s="11">
        <f>IFERROR(__xludf.DUMMYFUNCTION("""COMPUTED_VALUE"""),46192.0)</f>
        <v>46192</v>
      </c>
      <c r="C530" s="2" t="str">
        <f>IFERROR(__xludf.DUMMYFUNCTION("""COMPUTED_VALUE"""),"MOBILECARE - NEWPOINT MALL")</f>
        <v>MOBILECARE - NEWPOINT MALL</v>
      </c>
      <c r="D530" s="2" t="str">
        <f>IFERROR(__xludf.DUMMYFUNCTION("""COMPUTED_VALUE"""),"TA661-43609")</f>
        <v>TA661-43609</v>
      </c>
      <c r="E530" s="2" t="str">
        <f>IFERROR(__xludf.DUMMYFUNCTION("""COMPUTED_VALUE"""),"128GB, Teal, ROW, iPhone 16, Logic Board Assy Mid System")</f>
        <v>128GB, Teal, ROW, iPhone 16, Logic Board Assy Mid System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 t="str">
        <f t="shared" si="1"/>
        <v>April</v>
      </c>
      <c r="B531" s="11">
        <f>IFERROR(__xludf.DUMMYFUNCTION("""COMPUTED_VALUE"""),46136.0)</f>
        <v>46136</v>
      </c>
      <c r="C531" s="2" t="str">
        <f>IFERROR(__xludf.DUMMYFUNCTION("""COMPUTED_VALUE"""),"MOBILECARE - NEWPOINT MALL")</f>
        <v>MOBILECARE - NEWPOINT MALL</v>
      </c>
      <c r="D531" s="2" t="str">
        <f>IFERROR(__xludf.DUMMYFUNCTION("""COMPUTED_VALUE"""),"TA661-36692")</f>
        <v>TA661-36692</v>
      </c>
      <c r="E531" s="2" t="str">
        <f>IFERROR(__xludf.DUMMYFUNCTION("""COMPUTED_VALUE"""),"iPhone 15, Pink, 128GB, Logic Board Assy Mid System, ROW")</f>
        <v>iPhone 15, Pink, 128GB, Logic Board Assy Mid System, ROW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 t="str">
        <f t="shared" si="1"/>
        <v>March</v>
      </c>
      <c r="B532" s="11">
        <f>IFERROR(__xludf.DUMMYFUNCTION("""COMPUTED_VALUE"""),46088.0)</f>
        <v>46088</v>
      </c>
      <c r="C532" s="2" t="str">
        <f>IFERROR(__xludf.DUMMYFUNCTION("""COMPUTED_VALUE"""),"MOBILECARE - NEWPOINT MALL")</f>
        <v>MOBILECARE - NEWPOINT MALL</v>
      </c>
      <c r="D532" s="2" t="str">
        <f>IFERROR(__xludf.DUMMYFUNCTION("""COMPUTED_VALUE"""),"PP661-28871")</f>
        <v>PP661-28871</v>
      </c>
      <c r="E532" s="2" t="str">
        <f>IFERROR(__xludf.DUMMYFUNCTION("""COMPUTED_VALUE"""),"iPhone 14, Blue, 128GB, Logic Board Assy Mid System, ROW")</f>
        <v>iPhone 14, Blue, 128GB, Logic Board Assy Mid System, ROW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 t="str">
        <f t="shared" si="1"/>
        <v>February</v>
      </c>
      <c r="B533" s="11">
        <f>IFERROR(__xludf.DUMMYFUNCTION("""COMPUTED_VALUE"""),46058.0)</f>
        <v>46058</v>
      </c>
      <c r="C533" s="2" t="str">
        <f>IFERROR(__xludf.DUMMYFUNCTION("""COMPUTED_VALUE"""),"MOBILECARE - NEWPOINT MALL")</f>
        <v>MOBILECARE - NEWPOINT MALL</v>
      </c>
      <c r="D533" s="2" t="str">
        <f>IFERROR(__xludf.DUMMYFUNCTION("""COMPUTED_VALUE"""),"PP661-23455")</f>
        <v>PP661-23455</v>
      </c>
      <c r="E533" s="2" t="str">
        <f>IFERROR(__xludf.DUMMYFUNCTION("""COMPUTED_VALUE"""),"iPhone 13, Starlight, 128GB, Logic Board Assy Rear System, ROW")</f>
        <v>iPhone 13, Starlight, 128GB, Logic Board Assy Rear System, ROW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 t="str">
        <f t="shared" si="1"/>
        <v>June</v>
      </c>
      <c r="B534" s="11">
        <f>IFERROR(__xludf.DUMMYFUNCTION("""COMPUTED_VALUE"""),46192.0)</f>
        <v>46192</v>
      </c>
      <c r="C534" s="2" t="str">
        <f>IFERROR(__xludf.DUMMYFUNCTION("""COMPUTED_VALUE"""),"MOBILECARE - NEWPOINT MALL")</f>
        <v>MOBILECARE - NEWPOINT MALL</v>
      </c>
      <c r="D534" s="2" t="str">
        <f>IFERROR(__xludf.DUMMYFUNCTION("""COMPUTED_VALUE"""),"TA661-45243")</f>
        <v>TA661-45243</v>
      </c>
      <c r="E534" s="2" t="str">
        <f>IFERROR(__xludf.DUMMYFUNCTION("""COMPUTED_VALUE"""),"512GB, Pink, ROW, iPhone 16 Plus, Logic Board Assy Mid System")</f>
        <v>512GB, Pink, ROW, iPhone 16 Plus, Logic Board Assy Mid System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 t="str">
        <f t="shared" si="1"/>
        <v>April</v>
      </c>
      <c r="B535" s="11">
        <f>IFERROR(__xludf.DUMMYFUNCTION("""COMPUTED_VALUE"""),46124.0)</f>
        <v>46124</v>
      </c>
      <c r="C535" s="2" t="str">
        <f>IFERROR(__xludf.DUMMYFUNCTION("""COMPUTED_VALUE"""),"MOBILECARE - NEWPOINT MALL")</f>
        <v>MOBILECARE - NEWPOINT MALL</v>
      </c>
      <c r="D535" s="2" t="str">
        <f>IFERROR(__xludf.DUMMYFUNCTION("""COMPUTED_VALUE"""),"PP661-23455")</f>
        <v>PP661-23455</v>
      </c>
      <c r="E535" s="2" t="str">
        <f>IFERROR(__xludf.DUMMYFUNCTION("""COMPUTED_VALUE"""),"iPhone 13, Starlight, 128GB, Logic Board Assy Rear System, ROW")</f>
        <v>iPhone 13, Starlight, 128GB, Logic Board Assy Rear System, ROW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 t="str">
        <f t="shared" si="1"/>
        <v>March</v>
      </c>
      <c r="B536" s="11">
        <f>IFERROR(__xludf.DUMMYFUNCTION("""COMPUTED_VALUE"""),46098.0)</f>
        <v>46098</v>
      </c>
      <c r="C536" s="2" t="str">
        <f>IFERROR(__xludf.DUMMYFUNCTION("""COMPUTED_VALUE"""),"MOBILECARE - NEWPOINT MALL")</f>
        <v>MOBILECARE - NEWPOINT MALL</v>
      </c>
      <c r="D536" s="2" t="str">
        <f>IFERROR(__xludf.DUMMYFUNCTION("""COMPUTED_VALUE"""),"PP661-28868")</f>
        <v>PP661-28868</v>
      </c>
      <c r="E536" s="2" t="str">
        <f>IFERROR(__xludf.DUMMYFUNCTION("""COMPUTED_VALUE"""),"iPhone 14, Midnight, 128GB, Logic Board Assy Mid System, ROW")</f>
        <v>iPhone 14, Midnight, 128GB, Logic Board Assy Mid System, ROW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 t="str">
        <f t="shared" si="1"/>
        <v>February</v>
      </c>
      <c r="B537" s="11">
        <f>IFERROR(__xludf.DUMMYFUNCTION("""COMPUTED_VALUE"""),46072.0)</f>
        <v>46072</v>
      </c>
      <c r="C537" s="2" t="str">
        <f>IFERROR(__xludf.DUMMYFUNCTION("""COMPUTED_VALUE"""),"MOBILECARE - NEWPOINT MALL")</f>
        <v>MOBILECARE - NEWPOINT MALL</v>
      </c>
      <c r="D537" s="2" t="str">
        <f>IFERROR(__xludf.DUMMYFUNCTION("""COMPUTED_VALUE"""),"TA661-44995")</f>
        <v>TA661-44995</v>
      </c>
      <c r="E537" s="2" t="str">
        <f>IFERROR(__xludf.DUMMYFUNCTION("""COMPUTED_VALUE"""),"128GB, Black Titanium, ROW, iPhone 16 Pro, Logic Board Assy Mid System")</f>
        <v>128GB, Black Titanium, ROW, iPhone 16 Pro, Logic Board Assy Mid System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 t="str">
        <f t="shared" si="1"/>
        <v>February</v>
      </c>
      <c r="B538" s="11">
        <f>IFERROR(__xludf.DUMMYFUNCTION("""COMPUTED_VALUE"""),46065.0)</f>
        <v>46065</v>
      </c>
      <c r="C538" s="2" t="str">
        <f>IFERROR(__xludf.DUMMYFUNCTION("""COMPUTED_VALUE"""),"MOBILECARE - NEWPOINT MALL")</f>
        <v>MOBILECARE - NEWPOINT MALL</v>
      </c>
      <c r="D538" s="2" t="str">
        <f>IFERROR(__xludf.DUMMYFUNCTION("""COMPUTED_VALUE"""),"TA661-36694")</f>
        <v>TA661-36694</v>
      </c>
      <c r="E538" s="2" t="str">
        <f>IFERROR(__xludf.DUMMYFUNCTION("""COMPUTED_VALUE"""),"iPhone 15, Blue, 128GB, Logic Board Assy Mid System, ROW")</f>
        <v>iPhone 15, Blue, 128GB, Logic Board Assy Mid System, ROW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 t="str">
        <f t="shared" si="1"/>
        <v>April</v>
      </c>
      <c r="B539" s="11">
        <f>IFERROR(__xludf.DUMMYFUNCTION("""COMPUTED_VALUE"""),46140.0)</f>
        <v>46140</v>
      </c>
      <c r="C539" s="2" t="str">
        <f>IFERROR(__xludf.DUMMYFUNCTION("""COMPUTED_VALUE"""),"MOBILECARE - NEWPOINT MALL")</f>
        <v>MOBILECARE - NEWPOINT MALL</v>
      </c>
      <c r="D539" s="2" t="str">
        <f>IFERROR(__xludf.DUMMYFUNCTION("""COMPUTED_VALUE"""),"TA661-36691")</f>
        <v>TA661-36691</v>
      </c>
      <c r="E539" s="2" t="str">
        <f>IFERROR(__xludf.DUMMYFUNCTION("""COMPUTED_VALUE"""),"iPhone 15, Black, 128GB, Logic Board Assy Mid System, ROW")</f>
        <v>iPhone 15, Black, 128GB, Logic Board Assy Mid System, ROW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 t="str">
        <f t="shared" si="1"/>
        <v>June</v>
      </c>
      <c r="B540" s="11">
        <f>IFERROR(__xludf.DUMMYFUNCTION("""COMPUTED_VALUE"""),46188.0)</f>
        <v>46188</v>
      </c>
      <c r="C540" s="2" t="str">
        <f>IFERROR(__xludf.DUMMYFUNCTION("""COMPUTED_VALUE"""),"MOBILECARE - NEWPOINT MALL")</f>
        <v>MOBILECARE - NEWPOINT MALL</v>
      </c>
      <c r="D540" s="2" t="str">
        <f>IFERROR(__xludf.DUMMYFUNCTION("""COMPUTED_VALUE"""),"TA661-36694")</f>
        <v>TA661-36694</v>
      </c>
      <c r="E540" s="2" t="str">
        <f>IFERROR(__xludf.DUMMYFUNCTION("""COMPUTED_VALUE"""),"iPhone 15, Blue, 128GB, Logic Board Assy Mid System, ROW")</f>
        <v>iPhone 15, Blue, 128GB, Logic Board Assy Mid System, ROW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 t="str">
        <f t="shared" si="1"/>
        <v>March</v>
      </c>
      <c r="B541" s="11">
        <f>IFERROR(__xludf.DUMMYFUNCTION("""COMPUTED_VALUE"""),46093.0)</f>
        <v>46093</v>
      </c>
      <c r="C541" s="2" t="str">
        <f>IFERROR(__xludf.DUMMYFUNCTION("""COMPUTED_VALUE"""),"MOBILECARE - NEWPOINT MALL")</f>
        <v>MOBILECARE - NEWPOINT MALL</v>
      </c>
      <c r="D541" s="2" t="str">
        <f>IFERROR(__xludf.DUMMYFUNCTION("""COMPUTED_VALUE"""),"TA661-43606")</f>
        <v>TA661-43606</v>
      </c>
      <c r="E541" s="2" t="str">
        <f>IFERROR(__xludf.DUMMYFUNCTION("""COMPUTED_VALUE"""),"128GB, White, ROW, iPhone 16, Logic Board Assy Mid System")</f>
        <v>128GB, White, ROW, iPhone 16, Logic Board Assy Mid System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 t="str">
        <f t="shared" si="1"/>
        <v>March</v>
      </c>
      <c r="B542" s="11">
        <f>IFERROR(__xludf.DUMMYFUNCTION("""COMPUTED_VALUE"""),46086.0)</f>
        <v>46086</v>
      </c>
      <c r="C542" s="2" t="str">
        <f>IFERROR(__xludf.DUMMYFUNCTION("""COMPUTED_VALUE"""),"MOBILECARE - NEWPOINT MALL")</f>
        <v>MOBILECARE - NEWPOINT MALL</v>
      </c>
      <c r="D542" s="2" t="str">
        <f>IFERROR(__xludf.DUMMYFUNCTION("""COMPUTED_VALUE"""),"PP661-23455")</f>
        <v>PP661-23455</v>
      </c>
      <c r="E542" s="2" t="str">
        <f>IFERROR(__xludf.DUMMYFUNCTION("""COMPUTED_VALUE"""),"iPhone 13, Starlight, 128GB, Logic Board Assy Rear System, ROW")</f>
        <v>iPhone 13, Starlight, 128GB, Logic Board Assy Rear System, ROW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 t="str">
        <f t="shared" si="1"/>
        <v>June</v>
      </c>
      <c r="B543" s="11">
        <f>IFERROR(__xludf.DUMMYFUNCTION("""COMPUTED_VALUE"""),46180.0)</f>
        <v>46180</v>
      </c>
      <c r="C543" s="2" t="str">
        <f>IFERROR(__xludf.DUMMYFUNCTION("""COMPUTED_VALUE"""),"MOBILECARE - LA UNION")</f>
        <v>MOBILECARE - LA UNION</v>
      </c>
      <c r="D543" s="2" t="str">
        <f>IFERROR(__xludf.DUMMYFUNCTION("""COMPUTED_VALUE"""),"TA661-44997")</f>
        <v>TA661-44997</v>
      </c>
      <c r="E543" s="2" t="str">
        <f>IFERROR(__xludf.DUMMYFUNCTION("""COMPUTED_VALUE"""),"128GB, Desert Titanium, ROW, iPhone 16 Pro, Logic Board Assy Mid System")</f>
        <v>128GB, Desert Titanium, ROW, iPhone 16 Pro, Logic Board Assy Mid System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 t="str">
        <f t="shared" si="1"/>
        <v>April</v>
      </c>
      <c r="B544" s="11">
        <f>IFERROR(__xludf.DUMMYFUNCTION("""COMPUTED_VALUE"""),46138.0)</f>
        <v>46138</v>
      </c>
      <c r="C544" s="2" t="str">
        <f>IFERROR(__xludf.DUMMYFUNCTION("""COMPUTED_VALUE"""),"MOBILECARE - LA UNION")</f>
        <v>MOBILECARE - LA UNION</v>
      </c>
      <c r="D544" s="2" t="str">
        <f>IFERROR(__xludf.DUMMYFUNCTION("""COMPUTED_VALUE"""),"TA661-44995")</f>
        <v>TA661-44995</v>
      </c>
      <c r="E544" s="2" t="str">
        <f>IFERROR(__xludf.DUMMYFUNCTION("""COMPUTED_VALUE"""),"128GB, Black Titanium, ROW, iPhone 16 Pro, Logic Board Assy Mid System")</f>
        <v>128GB, Black Titanium, ROW, iPhone 16 Pro, Logic Board Assy Mid System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 t="str">
        <f t="shared" si="1"/>
        <v>March</v>
      </c>
      <c r="B545" s="11">
        <f>IFERROR(__xludf.DUMMYFUNCTION("""COMPUTED_VALUE"""),46105.0)</f>
        <v>46105</v>
      </c>
      <c r="C545" s="2" t="str">
        <f>IFERROR(__xludf.DUMMYFUNCTION("""COMPUTED_VALUE"""),"MOBILECARE - LA UNION")</f>
        <v>MOBILECARE - LA UNION</v>
      </c>
      <c r="D545" s="2" t="str">
        <f>IFERROR(__xludf.DUMMYFUNCTION("""COMPUTED_VALUE"""),"PP661-23455")</f>
        <v>PP661-23455</v>
      </c>
      <c r="E545" s="2" t="str">
        <f>IFERROR(__xludf.DUMMYFUNCTION("""COMPUTED_VALUE"""),"iPhone 13, Starlight, 128GB, Logic Board Assy Rear System, ROW")</f>
        <v>iPhone 13, Starlight, 128GB, Logic Board Assy Rear System, ROW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 t="str">
        <f t="shared" si="1"/>
        <v>May</v>
      </c>
      <c r="B546" s="11">
        <f>IFERROR(__xludf.DUMMYFUNCTION("""COMPUTED_VALUE"""),46155.0)</f>
        <v>46155</v>
      </c>
      <c r="C546" s="2" t="str">
        <f>IFERROR(__xludf.DUMMYFUNCTION("""COMPUTED_VALUE"""),"MOBILECARE - LA UNION")</f>
        <v>MOBILECARE - LA UNION</v>
      </c>
      <c r="D546" s="2" t="str">
        <f>IFERROR(__xludf.DUMMYFUNCTION("""COMPUTED_VALUE"""),"PP661-23455")</f>
        <v>PP661-23455</v>
      </c>
      <c r="E546" s="2" t="str">
        <f>IFERROR(__xludf.DUMMYFUNCTION("""COMPUTED_VALUE"""),"iPhone 13, Starlight, 128GB, Logic Board Assy Rear System, ROW")</f>
        <v>iPhone 13, Starlight, 128GB, Logic Board Assy Rear System, ROW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 t="str">
        <f t="shared" si="1"/>
        <v>February</v>
      </c>
      <c r="B547" s="11">
        <f>IFERROR(__xludf.DUMMYFUNCTION("""COMPUTED_VALUE"""),46071.0)</f>
        <v>46071</v>
      </c>
      <c r="C547" s="2" t="str">
        <f>IFERROR(__xludf.DUMMYFUNCTION("""COMPUTED_VALUE"""),"MOBILECARE - LA UNION")</f>
        <v>MOBILECARE - LA UNION</v>
      </c>
      <c r="D547" s="2" t="str">
        <f>IFERROR(__xludf.DUMMYFUNCTION("""COMPUTED_VALUE"""),"PP661-23455")</f>
        <v>PP661-23455</v>
      </c>
      <c r="E547" s="2" t="str">
        <f>IFERROR(__xludf.DUMMYFUNCTION("""COMPUTED_VALUE"""),"iPhone 13, Starlight, 128GB, Logic Board Assy Rear System, ROW")</f>
        <v>iPhone 13, Starlight, 128GB, Logic Board Assy Rear System, ROW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 t="str">
        <f t="shared" si="1"/>
        <v>May</v>
      </c>
      <c r="B548" s="11">
        <f>IFERROR(__xludf.DUMMYFUNCTION("""COMPUTED_VALUE"""),46145.0)</f>
        <v>46145</v>
      </c>
      <c r="C548" s="2" t="str">
        <f>IFERROR(__xludf.DUMMYFUNCTION("""COMPUTED_VALUE"""),"MOBILECARE - LA UNION")</f>
        <v>MOBILECARE - LA UNION</v>
      </c>
      <c r="D548" s="2" t="str">
        <f>IFERROR(__xludf.DUMMYFUNCTION("""COMPUTED_VALUE"""),"TA661-43606")</f>
        <v>TA661-43606</v>
      </c>
      <c r="E548" s="2" t="str">
        <f>IFERROR(__xludf.DUMMYFUNCTION("""COMPUTED_VALUE"""),"128GB, White, ROW, iPhone 16, Logic Board Assy Mid System")</f>
        <v>128GB, White, ROW, iPhone 16, Logic Board Assy Mid System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 t="str">
        <f t="shared" si="1"/>
        <v>March</v>
      </c>
      <c r="B549" s="11">
        <f>IFERROR(__xludf.DUMMYFUNCTION("""COMPUTED_VALUE"""),46110.0)</f>
        <v>46110</v>
      </c>
      <c r="C549" s="2" t="str">
        <f>IFERROR(__xludf.DUMMYFUNCTION("""COMPUTED_VALUE"""),"MOBILECARE - LA UNION")</f>
        <v>MOBILECARE - LA UNION</v>
      </c>
      <c r="D549" s="2" t="str">
        <f>IFERROR(__xludf.DUMMYFUNCTION("""COMPUTED_VALUE"""),"PP661-23454")</f>
        <v>PP661-23454</v>
      </c>
      <c r="E549" s="2" t="str">
        <f>IFERROR(__xludf.DUMMYFUNCTION("""COMPUTED_VALUE"""),"iPhone 13, Midnight, 128GB, Logic Board Assy Rear System, ROW")</f>
        <v>iPhone 13, Midnight, 128GB, Logic Board Assy Rear System, ROW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 t="str">
        <f t="shared" si="1"/>
        <v>April</v>
      </c>
      <c r="B550" s="11">
        <f>IFERROR(__xludf.DUMMYFUNCTION("""COMPUTED_VALUE"""),46135.0)</f>
        <v>46135</v>
      </c>
      <c r="C550" s="2" t="str">
        <f>IFERROR(__xludf.DUMMYFUNCTION("""COMPUTED_VALUE"""),"MOBILECARE - LA UNION")</f>
        <v>MOBILECARE - LA UNION</v>
      </c>
      <c r="D550" s="2" t="str">
        <f>IFERROR(__xludf.DUMMYFUNCTION("""COMPUTED_VALUE"""),"PP661-23455")</f>
        <v>PP661-23455</v>
      </c>
      <c r="E550" s="2" t="str">
        <f>IFERROR(__xludf.DUMMYFUNCTION("""COMPUTED_VALUE"""),"iPhone 13, Starlight, 128GB, Logic Board Assy Rear System, ROW")</f>
        <v>iPhone 13, Starlight, 128GB, Logic Board Assy Rear System, ROW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 t="str">
        <f t="shared" si="1"/>
        <v>February</v>
      </c>
      <c r="B551" s="11">
        <f>IFERROR(__xludf.DUMMYFUNCTION("""COMPUTED_VALUE"""),46054.0)</f>
        <v>46054</v>
      </c>
      <c r="C551" s="2" t="str">
        <f>IFERROR(__xludf.DUMMYFUNCTION("""COMPUTED_VALUE"""),"MOBILECARE - LA UNION")</f>
        <v>MOBILECARE - LA UNION</v>
      </c>
      <c r="D551" s="2" t="str">
        <f>IFERROR(__xludf.DUMMYFUNCTION("""COMPUTED_VALUE"""),"PP661-23455")</f>
        <v>PP661-23455</v>
      </c>
      <c r="E551" s="2" t="str">
        <f>IFERROR(__xludf.DUMMYFUNCTION("""COMPUTED_VALUE"""),"iPhone 13, Starlight, 128GB, Logic Board Assy Rear System, ROW")</f>
        <v>iPhone 13, Starlight, 128GB, Logic Board Assy Rear System, ROW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 t="str">
        <f t="shared" si="1"/>
        <v>February</v>
      </c>
      <c r="B552" s="11">
        <f>IFERROR(__xludf.DUMMYFUNCTION("""COMPUTED_VALUE"""),46076.0)</f>
        <v>46076</v>
      </c>
      <c r="C552" s="2" t="str">
        <f>IFERROR(__xludf.DUMMYFUNCTION("""COMPUTED_VALUE"""),"MOBILECARE - LA UNION")</f>
        <v>MOBILECARE - LA UNION</v>
      </c>
      <c r="D552" s="2" t="str">
        <f>IFERROR(__xludf.DUMMYFUNCTION("""COMPUTED_VALUE"""),"PP661-23455")</f>
        <v>PP661-23455</v>
      </c>
      <c r="E552" s="2" t="str">
        <f>IFERROR(__xludf.DUMMYFUNCTION("""COMPUTED_VALUE"""),"iPhone 13, Starlight, 128GB, Logic Board Assy Rear System, ROW")</f>
        <v>iPhone 13, Starlight, 128GB, Logic Board Assy Rear System, ROW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 t="str">
        <f t="shared" si="1"/>
        <v>March</v>
      </c>
      <c r="B553" s="11">
        <f>IFERROR(__xludf.DUMMYFUNCTION("""COMPUTED_VALUE"""),46091.0)</f>
        <v>46091</v>
      </c>
      <c r="C553" s="2" t="str">
        <f>IFERROR(__xludf.DUMMYFUNCTION("""COMPUTED_VALUE"""),"MOBILECARE - LA UNION")</f>
        <v>MOBILECARE - LA UNION</v>
      </c>
      <c r="D553" s="2" t="str">
        <f>IFERROR(__xludf.DUMMYFUNCTION("""COMPUTED_VALUE"""),"PP661-23455")</f>
        <v>PP661-23455</v>
      </c>
      <c r="E553" s="2" t="str">
        <f>IFERROR(__xludf.DUMMYFUNCTION("""COMPUTED_VALUE"""),"iPhone 13, Starlight, 128GB, Logic Board Assy Rear System, ROW")</f>
        <v>iPhone 13, Starlight, 128GB, Logic Board Assy Rear System, ROW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 t="str">
        <f t="shared" si="1"/>
        <v>April</v>
      </c>
      <c r="B554" s="11">
        <f>IFERROR(__xludf.DUMMYFUNCTION("""COMPUTED_VALUE"""),46119.0)</f>
        <v>46119</v>
      </c>
      <c r="C554" s="2" t="str">
        <f>IFERROR(__xludf.DUMMYFUNCTION("""COMPUTED_VALUE"""),"MOBILECARE - LA UNION")</f>
        <v>MOBILECARE - LA UNION</v>
      </c>
      <c r="D554" s="2" t="str">
        <f>IFERROR(__xludf.DUMMYFUNCTION("""COMPUTED_VALUE"""),"PP661-23455")</f>
        <v>PP661-23455</v>
      </c>
      <c r="E554" s="2" t="str">
        <f>IFERROR(__xludf.DUMMYFUNCTION("""COMPUTED_VALUE"""),"iPhone 13, Starlight, 128GB, Logic Board Assy Rear System, ROW")</f>
        <v>iPhone 13, Starlight, 128GB, Logic Board Assy Rear System, ROW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 t="str">
        <f t="shared" si="1"/>
        <v>June</v>
      </c>
      <c r="B555" s="11">
        <f>IFERROR(__xludf.DUMMYFUNCTION("""COMPUTED_VALUE"""),46180.0)</f>
        <v>46180</v>
      </c>
      <c r="C555" s="2" t="str">
        <f>IFERROR(__xludf.DUMMYFUNCTION("""COMPUTED_VALUE"""),"MOBILECARE - LA UNION")</f>
        <v>MOBILECARE - LA UNION</v>
      </c>
      <c r="D555" s="2" t="str">
        <f>IFERROR(__xludf.DUMMYFUNCTION("""COMPUTED_VALUE"""),"TA661-45233")</f>
        <v>TA661-45233</v>
      </c>
      <c r="E555" s="2" t="str">
        <f>IFERROR(__xludf.DUMMYFUNCTION("""COMPUTED_VALUE"""),"128GB, Pink, ROW, iPhone 16 Plus, Logic Board Assy Mid System")</f>
        <v>128GB, Pink, ROW, iPhone 16 Plus, Logic Board Assy Mid System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 t="str">
        <f t="shared" si="1"/>
        <v>March</v>
      </c>
      <c r="B556" s="11">
        <f>IFERROR(__xludf.DUMMYFUNCTION("""COMPUTED_VALUE"""),46101.0)</f>
        <v>46101</v>
      </c>
      <c r="C556" s="2" t="str">
        <f>IFERROR(__xludf.DUMMYFUNCTION("""COMPUTED_VALUE"""),"MOBILECARE - LA UNION")</f>
        <v>MOBILECARE - LA UNION</v>
      </c>
      <c r="D556" s="2" t="str">
        <f>IFERROR(__xludf.DUMMYFUNCTION("""COMPUTED_VALUE"""),"PP661-23455")</f>
        <v>PP661-23455</v>
      </c>
      <c r="E556" s="2" t="str">
        <f>IFERROR(__xludf.DUMMYFUNCTION("""COMPUTED_VALUE"""),"iPhone 13, Starlight, 128GB, Logic Board Assy Rear System, ROW")</f>
        <v>iPhone 13, Starlight, 128GB, Logic Board Assy Rear System, ROW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 t="str">
        <f t="shared" si="1"/>
        <v>February</v>
      </c>
      <c r="B557" s="11">
        <f>IFERROR(__xludf.DUMMYFUNCTION("""COMPUTED_VALUE"""),46061.0)</f>
        <v>46061</v>
      </c>
      <c r="C557" s="2" t="str">
        <f>IFERROR(__xludf.DUMMYFUNCTION("""COMPUTED_VALUE"""),"MOBILECARE - LA UNION")</f>
        <v>MOBILECARE - LA UNION</v>
      </c>
      <c r="D557" s="2" t="str">
        <f>IFERROR(__xludf.DUMMYFUNCTION("""COMPUTED_VALUE"""),"PP661-23454")</f>
        <v>PP661-23454</v>
      </c>
      <c r="E557" s="2" t="str">
        <f>IFERROR(__xludf.DUMMYFUNCTION("""COMPUTED_VALUE"""),"iPhone 13, Midnight, 128GB, Logic Board Assy Rear System, ROW")</f>
        <v>iPhone 13, Midnight, 128GB, Logic Board Assy Rear System, ROW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 t="str">
        <f t="shared" si="1"/>
        <v>February</v>
      </c>
      <c r="B558" s="11">
        <f>IFERROR(__xludf.DUMMYFUNCTION("""COMPUTED_VALUE"""),46057.0)</f>
        <v>46057</v>
      </c>
      <c r="C558" s="2" t="str">
        <f>IFERROR(__xludf.DUMMYFUNCTION("""COMPUTED_VALUE"""),"MOBILECARE - LA UNION")</f>
        <v>MOBILECARE - LA UNION</v>
      </c>
      <c r="D558" s="2" t="str">
        <f>IFERROR(__xludf.DUMMYFUNCTION("""COMPUTED_VALUE"""),"PP661-23455")</f>
        <v>PP661-23455</v>
      </c>
      <c r="E558" s="2" t="str">
        <f>IFERROR(__xludf.DUMMYFUNCTION("""COMPUTED_VALUE"""),"iPhone 13, Starlight, 128GB, Logic Board Assy Rear System, ROW")</f>
        <v>iPhone 13, Starlight, 128GB, Logic Board Assy Rear System, ROW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 t="str">
        <f t="shared" si="1"/>
        <v>May</v>
      </c>
      <c r="B559" s="11">
        <f>IFERROR(__xludf.DUMMYFUNCTION("""COMPUTED_VALUE"""),46145.0)</f>
        <v>46145</v>
      </c>
      <c r="C559" s="2" t="str">
        <f>IFERROR(__xludf.DUMMYFUNCTION("""COMPUTED_VALUE"""),"MOBILECARE - LA UNION")</f>
        <v>MOBILECARE - LA UNION</v>
      </c>
      <c r="D559" s="2" t="str">
        <f>IFERROR(__xludf.DUMMYFUNCTION("""COMPUTED_VALUE"""),"TA661-44997")</f>
        <v>TA661-44997</v>
      </c>
      <c r="E559" s="2" t="str">
        <f>IFERROR(__xludf.DUMMYFUNCTION("""COMPUTED_VALUE"""),"128GB, Desert Titanium, ROW, iPhone 16 Pro, Logic Board Assy Mid System")</f>
        <v>128GB, Desert Titanium, ROW, iPhone 16 Pro, Logic Board Assy Mid System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 t="str">
        <f t="shared" si="1"/>
        <v>June</v>
      </c>
      <c r="B560" s="11">
        <f>IFERROR(__xludf.DUMMYFUNCTION("""COMPUTED_VALUE"""),46181.0)</f>
        <v>46181</v>
      </c>
      <c r="C560" s="2" t="str">
        <f>IFERROR(__xludf.DUMMYFUNCTION("""COMPUTED_VALUE"""),"MOBILECARE - LA UNION")</f>
        <v>MOBILECARE - LA UNION</v>
      </c>
      <c r="D560" s="2" t="str">
        <f>IFERROR(__xludf.DUMMYFUNCTION("""COMPUTED_VALUE"""),"PP661-28868")</f>
        <v>PP661-28868</v>
      </c>
      <c r="E560" s="2" t="str">
        <f>IFERROR(__xludf.DUMMYFUNCTION("""COMPUTED_VALUE"""),"iPhone 14, Midnight, 128GB, Logic Board Assy Mid System, ROW")</f>
        <v>iPhone 14, Midnight, 128GB, Logic Board Assy Mid System, ROW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 t="str">
        <f t="shared" si="1"/>
        <v>February</v>
      </c>
      <c r="B561" s="11">
        <f>IFERROR(__xludf.DUMMYFUNCTION("""COMPUTED_VALUE"""),46077.0)</f>
        <v>46077</v>
      </c>
      <c r="C561" s="2" t="str">
        <f>IFERROR(__xludf.DUMMYFUNCTION("""COMPUTED_VALUE"""),"MOBILECARE - LA UNION")</f>
        <v>MOBILECARE - LA UNION</v>
      </c>
      <c r="D561" s="2" t="str">
        <f>IFERROR(__xludf.DUMMYFUNCTION("""COMPUTED_VALUE"""),"PP661-23455")</f>
        <v>PP661-23455</v>
      </c>
      <c r="E561" s="2" t="str">
        <f>IFERROR(__xludf.DUMMYFUNCTION("""COMPUTED_VALUE"""),"iPhone 13, Starlight, 128GB, Logic Board Assy Rear System, ROW")</f>
        <v>iPhone 13, Starlight, 128GB, Logic Board Assy Rear System, ROW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 t="str">
        <f t="shared" si="1"/>
        <v>March</v>
      </c>
      <c r="B562" s="11">
        <f>IFERROR(__xludf.DUMMYFUNCTION("""COMPUTED_VALUE"""),46105.0)</f>
        <v>46105</v>
      </c>
      <c r="C562" s="2" t="str">
        <f>IFERROR(__xludf.DUMMYFUNCTION("""COMPUTED_VALUE"""),"MOBILECARE - LA UNION")</f>
        <v>MOBILECARE - LA UNION</v>
      </c>
      <c r="D562" s="2" t="str">
        <f>IFERROR(__xludf.DUMMYFUNCTION("""COMPUTED_VALUE"""),"TA661-36697")</f>
        <v>TA661-36697</v>
      </c>
      <c r="E562" s="2" t="str">
        <f>IFERROR(__xludf.DUMMYFUNCTION("""COMPUTED_VALUE"""),"iPhone 15, Pink, 256GB, Logic Board Assy Mid System, ROW")</f>
        <v>iPhone 15, Pink, 256GB, Logic Board Assy Mid System, ROW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 t="str">
        <f t="shared" si="1"/>
        <v>June</v>
      </c>
      <c r="B563" s="11">
        <f>IFERROR(__xludf.DUMMYFUNCTION("""COMPUTED_VALUE"""),46188.0)</f>
        <v>46188</v>
      </c>
      <c r="C563" s="2" t="str">
        <f>IFERROR(__xludf.DUMMYFUNCTION("""COMPUTED_VALUE"""),"MOBILECARE - LA UNION")</f>
        <v>MOBILECARE - LA UNION</v>
      </c>
      <c r="D563" s="2" t="str">
        <f>IFERROR(__xludf.DUMMYFUNCTION("""COMPUTED_VALUE"""),"PP661-23455")</f>
        <v>PP661-23455</v>
      </c>
      <c r="E563" s="2" t="str">
        <f>IFERROR(__xludf.DUMMYFUNCTION("""COMPUTED_VALUE"""),"iPhone 13, Starlight, 128GB, Logic Board Assy Rear System, ROW")</f>
        <v>iPhone 13, Starlight, 128GB, Logic Board Assy Rear System, ROW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 t="str">
        <f t="shared" si="1"/>
        <v>March</v>
      </c>
      <c r="B564" s="11">
        <f>IFERROR(__xludf.DUMMYFUNCTION("""COMPUTED_VALUE"""),46096.0)</f>
        <v>46096</v>
      </c>
      <c r="C564" s="2" t="str">
        <f>IFERROR(__xludf.DUMMYFUNCTION("""COMPUTED_VALUE"""),"MOBILECARE - LA UNION")</f>
        <v>MOBILECARE - LA UNION</v>
      </c>
      <c r="D564" s="2" t="str">
        <f>IFERROR(__xludf.DUMMYFUNCTION("""COMPUTED_VALUE"""),"PP661-23455")</f>
        <v>PP661-23455</v>
      </c>
      <c r="E564" s="2" t="str">
        <f>IFERROR(__xludf.DUMMYFUNCTION("""COMPUTED_VALUE"""),"iPhone 13, Starlight, 128GB, Logic Board Assy Rear System, ROW")</f>
        <v>iPhone 13, Starlight, 128GB, Logic Board Assy Rear System, ROW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 t="str">
        <f t="shared" si="1"/>
        <v>February</v>
      </c>
      <c r="B565" s="11">
        <f>IFERROR(__xludf.DUMMYFUNCTION("""COMPUTED_VALUE"""),46069.0)</f>
        <v>46069</v>
      </c>
      <c r="C565" s="2" t="str">
        <f>IFERROR(__xludf.DUMMYFUNCTION("""COMPUTED_VALUE"""),"MOBILECARE - LA UNION")</f>
        <v>MOBILECARE - LA UNION</v>
      </c>
      <c r="D565" s="2" t="str">
        <f>IFERROR(__xludf.DUMMYFUNCTION("""COMPUTED_VALUE"""),"PP661-23455")</f>
        <v>PP661-23455</v>
      </c>
      <c r="E565" s="2" t="str">
        <f>IFERROR(__xludf.DUMMYFUNCTION("""COMPUTED_VALUE"""),"iPhone 13, Starlight, 128GB, Logic Board Assy Rear System, ROW")</f>
        <v>iPhone 13, Starlight, 128GB, Logic Board Assy Rear System, ROW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 t="str">
        <f t="shared" si="1"/>
        <v>February</v>
      </c>
      <c r="B566" s="11">
        <f>IFERROR(__xludf.DUMMYFUNCTION("""COMPUTED_VALUE"""),46075.0)</f>
        <v>46075</v>
      </c>
      <c r="C566" s="2" t="str">
        <f>IFERROR(__xludf.DUMMYFUNCTION("""COMPUTED_VALUE"""),"MOBILECARE - LA UNION")</f>
        <v>MOBILECARE - LA UNION</v>
      </c>
      <c r="D566" s="2" t="str">
        <f>IFERROR(__xludf.DUMMYFUNCTION("""COMPUTED_VALUE"""),"TA661-44995")</f>
        <v>TA661-44995</v>
      </c>
      <c r="E566" s="2" t="str">
        <f>IFERROR(__xludf.DUMMYFUNCTION("""COMPUTED_VALUE"""),"128GB, Black Titanium, ROW, iPhone 16 Pro, Logic Board Assy Mid System")</f>
        <v>128GB, Black Titanium, ROW, iPhone 16 Pro, Logic Board Assy Mid System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 t="str">
        <f t="shared" si="1"/>
        <v>February</v>
      </c>
      <c r="B567" s="11">
        <f>IFERROR(__xludf.DUMMYFUNCTION("""COMPUTED_VALUE"""),46057.0)</f>
        <v>46057</v>
      </c>
      <c r="C567" s="2" t="str">
        <f>IFERROR(__xludf.DUMMYFUNCTION("""COMPUTED_VALUE"""),"MOBILECARE - LA UNION")</f>
        <v>MOBILECARE - LA UNION</v>
      </c>
      <c r="D567" s="2" t="str">
        <f>IFERROR(__xludf.DUMMYFUNCTION("""COMPUTED_VALUE"""),"PP661-28868")</f>
        <v>PP661-28868</v>
      </c>
      <c r="E567" s="2" t="str">
        <f>IFERROR(__xludf.DUMMYFUNCTION("""COMPUTED_VALUE"""),"iPhone 14, Midnight, 128GB, Logic Board Assy Mid System, ROW")</f>
        <v>iPhone 14, Midnight, 128GB, Logic Board Assy Mid System, ROW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 t="str">
        <f t="shared" si="1"/>
        <v>February</v>
      </c>
      <c r="B568" s="11">
        <f>IFERROR(__xludf.DUMMYFUNCTION("""COMPUTED_VALUE"""),46060.0)</f>
        <v>46060</v>
      </c>
      <c r="C568" s="2" t="str">
        <f>IFERROR(__xludf.DUMMYFUNCTION("""COMPUTED_VALUE"""),"MOBILECARE - LA UNION")</f>
        <v>MOBILECARE - LA UNION</v>
      </c>
      <c r="D568" s="2" t="str">
        <f>IFERROR(__xludf.DUMMYFUNCTION("""COMPUTED_VALUE"""),"PP661-23455")</f>
        <v>PP661-23455</v>
      </c>
      <c r="E568" s="2" t="str">
        <f>IFERROR(__xludf.DUMMYFUNCTION("""COMPUTED_VALUE"""),"iPhone 13, Starlight, 128GB, Logic Board Assy Rear System, ROW")</f>
        <v>iPhone 13, Starlight, 128GB, Logic Board Assy Rear System, ROW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 t="str">
        <f t="shared" si="1"/>
        <v>February</v>
      </c>
      <c r="B569" s="11">
        <f>IFERROR(__xludf.DUMMYFUNCTION("""COMPUTED_VALUE"""),46075.0)</f>
        <v>46075</v>
      </c>
      <c r="C569" s="2" t="str">
        <f>IFERROR(__xludf.DUMMYFUNCTION("""COMPUTED_VALUE"""),"MOBILECARE - LA UNION")</f>
        <v>MOBILECARE - LA UNION</v>
      </c>
      <c r="D569" s="2" t="str">
        <f>IFERROR(__xludf.DUMMYFUNCTION("""COMPUTED_VALUE"""),"TA661-36696")</f>
        <v>TA661-36696</v>
      </c>
      <c r="E569" s="2" t="str">
        <f>IFERROR(__xludf.DUMMYFUNCTION("""COMPUTED_VALUE"""),"iPhone 15, Black, 256GB, Logic Board Assy Mid System, ROW")</f>
        <v>iPhone 15, Black, 256GB, Logic Board Assy Mid System, ROW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 t="str">
        <f t="shared" si="1"/>
        <v>June</v>
      </c>
      <c r="B570" s="11">
        <f>IFERROR(__xludf.DUMMYFUNCTION("""COMPUTED_VALUE"""),46181.0)</f>
        <v>46181</v>
      </c>
      <c r="C570" s="2" t="str">
        <f>IFERROR(__xludf.DUMMYFUNCTION("""COMPUTED_VALUE"""),"MOBILECARE - LA UNION")</f>
        <v>MOBILECARE - LA UNION</v>
      </c>
      <c r="D570" s="2" t="str">
        <f>IFERROR(__xludf.DUMMYFUNCTION("""COMPUTED_VALUE"""),"PP661-23454")</f>
        <v>PP661-23454</v>
      </c>
      <c r="E570" s="2" t="str">
        <f>IFERROR(__xludf.DUMMYFUNCTION("""COMPUTED_VALUE"""),"iPhone 13, Midnight, 128GB, Logic Board Assy Rear System, ROW")</f>
        <v>iPhone 13, Midnight, 128GB, Logic Board Assy Rear System, ROW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 t="str">
        <f t="shared" si="1"/>
        <v>May</v>
      </c>
      <c r="B571" s="11">
        <f>IFERROR(__xludf.DUMMYFUNCTION("""COMPUTED_VALUE"""),46147.0)</f>
        <v>46147</v>
      </c>
      <c r="C571" s="2" t="str">
        <f>IFERROR(__xludf.DUMMYFUNCTION("""COMPUTED_VALUE"""),"MOBILECARE - LA UNION")</f>
        <v>MOBILECARE - LA UNION</v>
      </c>
      <c r="D571" s="2" t="str">
        <f>IFERROR(__xludf.DUMMYFUNCTION("""COMPUTED_VALUE"""),"PP661-23455")</f>
        <v>PP661-23455</v>
      </c>
      <c r="E571" s="2" t="str">
        <f>IFERROR(__xludf.DUMMYFUNCTION("""COMPUTED_VALUE"""),"iPhone 13, Starlight, 128GB, Logic Board Assy Rear System, ROW")</f>
        <v>iPhone 13, Starlight, 128GB, Logic Board Assy Rear System, ROW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 t="str">
        <f t="shared" si="1"/>
        <v>February</v>
      </c>
      <c r="B572" s="11">
        <f>IFERROR(__xludf.DUMMYFUNCTION("""COMPUTED_VALUE"""),46065.0)</f>
        <v>46065</v>
      </c>
      <c r="C572" s="2" t="str">
        <f>IFERROR(__xludf.DUMMYFUNCTION("""COMPUTED_VALUE"""),"MOBILECARE - LA UNION")</f>
        <v>MOBILECARE - LA UNION</v>
      </c>
      <c r="D572" s="2" t="str">
        <f>IFERROR(__xludf.DUMMYFUNCTION("""COMPUTED_VALUE"""),"PP661-28868")</f>
        <v>PP661-28868</v>
      </c>
      <c r="E572" s="2" t="str">
        <f>IFERROR(__xludf.DUMMYFUNCTION("""COMPUTED_VALUE"""),"iPhone 14, Midnight, 128GB, Logic Board Assy Mid System, ROW")</f>
        <v>iPhone 14, Midnight, 128GB, Logic Board Assy Mid System, ROW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 t="str">
        <f t="shared" si="1"/>
        <v>June</v>
      </c>
      <c r="B573" s="11">
        <f>IFERROR(__xludf.DUMMYFUNCTION("""COMPUTED_VALUE"""),46179.0)</f>
        <v>46179</v>
      </c>
      <c r="C573" s="2" t="str">
        <f>IFERROR(__xludf.DUMMYFUNCTION("""COMPUTED_VALUE"""),"MOBILECARE - LIMA ESTATE")</f>
        <v>MOBILECARE - LIMA ESTATE</v>
      </c>
      <c r="D573" s="2" t="str">
        <f>IFERROR(__xludf.DUMMYFUNCTION("""COMPUTED_VALUE"""),"PP661-23454")</f>
        <v>PP661-23454</v>
      </c>
      <c r="E573" s="2" t="str">
        <f>IFERROR(__xludf.DUMMYFUNCTION("""COMPUTED_VALUE"""),"iPhone 13, Midnight, 128GB, Logic Board Assy Rear System, ROW")</f>
        <v>iPhone 13, Midnight, 128GB, Logic Board Assy Rear System, ROW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 t="str">
        <f t="shared" si="1"/>
        <v>February</v>
      </c>
      <c r="B574" s="11">
        <f>IFERROR(__xludf.DUMMYFUNCTION("""COMPUTED_VALUE"""),46062.0)</f>
        <v>46062</v>
      </c>
      <c r="C574" s="2" t="str">
        <f>IFERROR(__xludf.DUMMYFUNCTION("""COMPUTED_VALUE"""),"MOBILECARE - LIMA ESTATE")</f>
        <v>MOBILECARE - LIMA ESTATE</v>
      </c>
      <c r="D574" s="2" t="str">
        <f>IFERROR(__xludf.DUMMYFUNCTION("""COMPUTED_VALUE"""),"TA661-36694")</f>
        <v>TA661-36694</v>
      </c>
      <c r="E574" s="2" t="str">
        <f>IFERROR(__xludf.DUMMYFUNCTION("""COMPUTED_VALUE"""),"iPhone 15, Blue, 128GB, Logic Board Assy Mid System, ROW")</f>
        <v>iPhone 15, Blue, 128GB, Logic Board Assy Mid System, ROW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 t="str">
        <f t="shared" si="1"/>
        <v>February</v>
      </c>
      <c r="B575" s="11">
        <f>IFERROR(__xludf.DUMMYFUNCTION("""COMPUTED_VALUE"""),46057.0)</f>
        <v>46057</v>
      </c>
      <c r="C575" s="2" t="str">
        <f>IFERROR(__xludf.DUMMYFUNCTION("""COMPUTED_VALUE"""),"MOBILECARE - LIMA ESTATE")</f>
        <v>MOBILECARE - LIMA ESTATE</v>
      </c>
      <c r="D575" s="2" t="str">
        <f>IFERROR(__xludf.DUMMYFUNCTION("""COMPUTED_VALUE"""),"TA661-36691")</f>
        <v>TA661-36691</v>
      </c>
      <c r="E575" s="2" t="str">
        <f>IFERROR(__xludf.DUMMYFUNCTION("""COMPUTED_VALUE"""),"iPhone 15, Black, 128GB, Logic Board Assy Mid System, ROW")</f>
        <v>iPhone 15, Black, 128GB, Logic Board Assy Mid System, ROW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 t="str">
        <f t="shared" si="1"/>
        <v>March</v>
      </c>
      <c r="B576" s="11">
        <f>IFERROR(__xludf.DUMMYFUNCTION("""COMPUTED_VALUE"""),46110.0)</f>
        <v>46110</v>
      </c>
      <c r="C576" s="2" t="str">
        <f>IFERROR(__xludf.DUMMYFUNCTION("""COMPUTED_VALUE"""),"MOBILECARE - LIMA ESTATE")</f>
        <v>MOBILECARE - LIMA ESTATE</v>
      </c>
      <c r="D576" s="2" t="str">
        <f>IFERROR(__xludf.DUMMYFUNCTION("""COMPUTED_VALUE"""),"TA661-44997")</f>
        <v>TA661-44997</v>
      </c>
      <c r="E576" s="2" t="str">
        <f>IFERROR(__xludf.DUMMYFUNCTION("""COMPUTED_VALUE"""),"128GB, Desert Titanium, ROW, iPhone 16 Pro, Logic Board Assy Mid System")</f>
        <v>128GB, Desert Titanium, ROW, iPhone 16 Pro, Logic Board Assy Mid System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 t="str">
        <f t="shared" si="1"/>
        <v>February</v>
      </c>
      <c r="B577" s="11">
        <f>IFERROR(__xludf.DUMMYFUNCTION("""COMPUTED_VALUE"""),46062.0)</f>
        <v>46062</v>
      </c>
      <c r="C577" s="2" t="str">
        <f>IFERROR(__xludf.DUMMYFUNCTION("""COMPUTED_VALUE"""),"MOBILECARE - LIMA ESTATE")</f>
        <v>MOBILECARE - LIMA ESTATE</v>
      </c>
      <c r="D577" s="2" t="str">
        <f>IFERROR(__xludf.DUMMYFUNCTION("""COMPUTED_VALUE"""),"PP661-23455")</f>
        <v>PP661-23455</v>
      </c>
      <c r="E577" s="2" t="str">
        <f>IFERROR(__xludf.DUMMYFUNCTION("""COMPUTED_VALUE"""),"iPhone 13, Starlight, 128GB, Logic Board Assy Rear System, ROW")</f>
        <v>iPhone 13, Starlight, 128GB, Logic Board Assy Rear System, ROW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 t="str">
        <f t="shared" si="1"/>
        <v>June</v>
      </c>
      <c r="B578" s="11">
        <f>IFERROR(__xludf.DUMMYFUNCTION("""COMPUTED_VALUE"""),46184.0)</f>
        <v>46184</v>
      </c>
      <c r="C578" s="2" t="str">
        <f>IFERROR(__xludf.DUMMYFUNCTION("""COMPUTED_VALUE"""),"MOBILECARE - LIMA ESTATE")</f>
        <v>MOBILECARE - LIMA ESTATE</v>
      </c>
      <c r="D578" s="2" t="str">
        <f>IFERROR(__xludf.DUMMYFUNCTION("""COMPUTED_VALUE"""),"PP661-23455")</f>
        <v>PP661-23455</v>
      </c>
      <c r="E578" s="2" t="str">
        <f>IFERROR(__xludf.DUMMYFUNCTION("""COMPUTED_VALUE"""),"iPhone 13, Starlight, 128GB, Logic Board Assy Rear System, ROW")</f>
        <v>iPhone 13, Starlight, 128GB, Logic Board Assy Rear System, ROW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 t="str">
        <f t="shared" si="1"/>
        <v>March</v>
      </c>
      <c r="B579" s="11">
        <f>IFERROR(__xludf.DUMMYFUNCTION("""COMPUTED_VALUE"""),46106.0)</f>
        <v>46106</v>
      </c>
      <c r="C579" s="2" t="str">
        <f>IFERROR(__xludf.DUMMYFUNCTION("""COMPUTED_VALUE"""),"MOBILECARE - LIMA ESTATE")</f>
        <v>MOBILECARE - LIMA ESTATE</v>
      </c>
      <c r="D579" s="2" t="str">
        <f>IFERROR(__xludf.DUMMYFUNCTION("""COMPUTED_VALUE"""),"PP661-23454")</f>
        <v>PP661-23454</v>
      </c>
      <c r="E579" s="2" t="str">
        <f>IFERROR(__xludf.DUMMYFUNCTION("""COMPUTED_VALUE"""),"iPhone 13, Midnight, 128GB, Logic Board Assy Rear System, ROW")</f>
        <v>iPhone 13, Midnight, 128GB, Logic Board Assy Rear System, ROW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 t="str">
        <f t="shared" si="1"/>
        <v>March</v>
      </c>
      <c r="B580" s="11">
        <f>IFERROR(__xludf.DUMMYFUNCTION("""COMPUTED_VALUE"""),46092.0)</f>
        <v>46092</v>
      </c>
      <c r="C580" s="2" t="str">
        <f>IFERROR(__xludf.DUMMYFUNCTION("""COMPUTED_VALUE"""),"MOBILECARE - LIMA ESTATE")</f>
        <v>MOBILECARE - LIMA ESTATE</v>
      </c>
      <c r="D580" s="2" t="str">
        <f>IFERROR(__xludf.DUMMYFUNCTION("""COMPUTED_VALUE"""),"TA661-36694")</f>
        <v>TA661-36694</v>
      </c>
      <c r="E580" s="2" t="str">
        <f>IFERROR(__xludf.DUMMYFUNCTION("""COMPUTED_VALUE"""),"iPhone 15, Blue, 128GB, Logic Board Assy Mid System, ROW")</f>
        <v>iPhone 15, Blue, 128GB, Logic Board Assy Mid System, ROW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 t="str">
        <f t="shared" si="1"/>
        <v>April</v>
      </c>
      <c r="B581" s="11">
        <f>IFERROR(__xludf.DUMMYFUNCTION("""COMPUTED_VALUE"""),46128.0)</f>
        <v>46128</v>
      </c>
      <c r="C581" s="2" t="str">
        <f>IFERROR(__xludf.DUMMYFUNCTION("""COMPUTED_VALUE"""),"MOBILECARE - LIMA ESTATE")</f>
        <v>MOBILECARE - LIMA ESTATE</v>
      </c>
      <c r="D581" s="2" t="str">
        <f>IFERROR(__xludf.DUMMYFUNCTION("""COMPUTED_VALUE"""),"TA661-36691")</f>
        <v>TA661-36691</v>
      </c>
      <c r="E581" s="2" t="str">
        <f>IFERROR(__xludf.DUMMYFUNCTION("""COMPUTED_VALUE"""),"iPhone 15, Black, 128GB, Logic Board Assy Mid System, ROW")</f>
        <v>iPhone 15, Black, 128GB, Logic Board Assy Mid System, ROW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 t="str">
        <f t="shared" si="1"/>
        <v>March</v>
      </c>
      <c r="B582" s="11">
        <f>IFERROR(__xludf.DUMMYFUNCTION("""COMPUTED_VALUE"""),46105.0)</f>
        <v>46105</v>
      </c>
      <c r="C582" s="2" t="str">
        <f>IFERROR(__xludf.DUMMYFUNCTION("""COMPUTED_VALUE"""),"MOBILECARE - LIMA ESTATE")</f>
        <v>MOBILECARE - LIMA ESTATE</v>
      </c>
      <c r="D582" s="2" t="str">
        <f>IFERROR(__xludf.DUMMYFUNCTION("""COMPUTED_VALUE"""),"TA661-45234")</f>
        <v>TA661-45234</v>
      </c>
      <c r="E582" s="2" t="str">
        <f>IFERROR(__xludf.DUMMYFUNCTION("""COMPUTED_VALUE"""),"128GB, Ultramarine, ROW, iPhone 16 Plus, Logic Board Assy Mid System")</f>
        <v>128GB, Ultramarine, ROW, iPhone 16 Plus, Logic Board Assy Mid System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 t="str">
        <f t="shared" si="1"/>
        <v>March</v>
      </c>
      <c r="B583" s="11">
        <f>IFERROR(__xludf.DUMMYFUNCTION("""COMPUTED_VALUE"""),46100.0)</f>
        <v>46100</v>
      </c>
      <c r="C583" s="2" t="str">
        <f>IFERROR(__xludf.DUMMYFUNCTION("""COMPUTED_VALUE"""),"MOBILECARE - LIMA ESTATE")</f>
        <v>MOBILECARE - LIMA ESTATE</v>
      </c>
      <c r="D583" s="2" t="str">
        <f>IFERROR(__xludf.DUMMYFUNCTION("""COMPUTED_VALUE"""),"PP661-23455")</f>
        <v>PP661-23455</v>
      </c>
      <c r="E583" s="2" t="str">
        <f>IFERROR(__xludf.DUMMYFUNCTION("""COMPUTED_VALUE"""),"iPhone 13, Starlight, 128GB, Logic Board Assy Rear System, ROW")</f>
        <v>iPhone 13, Starlight, 128GB, Logic Board Assy Rear System, ROW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 t="str">
        <f t="shared" si="1"/>
        <v>March</v>
      </c>
      <c r="B584" s="11">
        <f>IFERROR(__xludf.DUMMYFUNCTION("""COMPUTED_VALUE"""),46101.0)</f>
        <v>46101</v>
      </c>
      <c r="C584" s="2" t="str">
        <f>IFERROR(__xludf.DUMMYFUNCTION("""COMPUTED_VALUE"""),"MOBILECARE - LIMA ESTATE")</f>
        <v>MOBILECARE - LIMA ESTATE</v>
      </c>
      <c r="D584" s="2" t="str">
        <f>IFERROR(__xludf.DUMMYFUNCTION("""COMPUTED_VALUE"""),"TA661-36697")</f>
        <v>TA661-36697</v>
      </c>
      <c r="E584" s="2" t="str">
        <f>IFERROR(__xludf.DUMMYFUNCTION("""COMPUTED_VALUE"""),"iPhone 15, Pink, 256GB, Logic Board Assy Mid System, ROW")</f>
        <v>iPhone 15, Pink, 256GB, Logic Board Assy Mid System, ROW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 t="str">
        <f t="shared" si="1"/>
        <v>February</v>
      </c>
      <c r="B585" s="11">
        <f>IFERROR(__xludf.DUMMYFUNCTION("""COMPUTED_VALUE"""),46070.0)</f>
        <v>46070</v>
      </c>
      <c r="C585" s="2" t="str">
        <f>IFERROR(__xludf.DUMMYFUNCTION("""COMPUTED_VALUE"""),"MOBILECARE - LIMA ESTATE")</f>
        <v>MOBILECARE - LIMA ESTATE</v>
      </c>
      <c r="D585" s="2" t="str">
        <f>IFERROR(__xludf.DUMMYFUNCTION("""COMPUTED_VALUE"""),"PP661-23454")</f>
        <v>PP661-23454</v>
      </c>
      <c r="E585" s="2" t="str">
        <f>IFERROR(__xludf.DUMMYFUNCTION("""COMPUTED_VALUE"""),"iPhone 13, Midnight, 128GB, Logic Board Assy Rear System, ROW")</f>
        <v>iPhone 13, Midnight, 128GB, Logic Board Assy Rear System, ROW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 t="str">
        <f t="shared" si="1"/>
        <v>February</v>
      </c>
      <c r="B586" s="11">
        <f>IFERROR(__xludf.DUMMYFUNCTION("""COMPUTED_VALUE"""),46062.0)</f>
        <v>46062</v>
      </c>
      <c r="C586" s="2" t="str">
        <f>IFERROR(__xludf.DUMMYFUNCTION("""COMPUTED_VALUE"""),"MOBILECARE - LIMA ESTATE")</f>
        <v>MOBILECARE - LIMA ESTATE</v>
      </c>
      <c r="D586" s="2" t="str">
        <f>IFERROR(__xludf.DUMMYFUNCTION("""COMPUTED_VALUE"""),"PP661-23454")</f>
        <v>PP661-23454</v>
      </c>
      <c r="E586" s="2" t="str">
        <f>IFERROR(__xludf.DUMMYFUNCTION("""COMPUTED_VALUE"""),"iPhone 13, Midnight, 128GB, Logic Board Assy Rear System, ROW")</f>
        <v>iPhone 13, Midnight, 128GB, Logic Board Assy Rear System, ROW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 t="str">
        <f t="shared" si="1"/>
        <v>June</v>
      </c>
      <c r="B587" s="11">
        <f>IFERROR(__xludf.DUMMYFUNCTION("""COMPUTED_VALUE"""),46182.0)</f>
        <v>46182</v>
      </c>
      <c r="C587" s="2" t="str">
        <f>IFERROR(__xludf.DUMMYFUNCTION("""COMPUTED_VALUE"""),"MOBILECARE - LIMA ESTATE")</f>
        <v>MOBILECARE - LIMA ESTATE</v>
      </c>
      <c r="D587" s="2" t="str">
        <f>IFERROR(__xludf.DUMMYFUNCTION("""COMPUTED_VALUE"""),"PP661-23455")</f>
        <v>PP661-23455</v>
      </c>
      <c r="E587" s="2" t="str">
        <f>IFERROR(__xludf.DUMMYFUNCTION("""COMPUTED_VALUE"""),"iPhone 13, Starlight, 128GB, Logic Board Assy Rear System, ROW")</f>
        <v>iPhone 13, Starlight, 128GB, Logic Board Assy Rear System, ROW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 t="str">
        <f t="shared" si="1"/>
        <v>February</v>
      </c>
      <c r="B588" s="11">
        <f>IFERROR(__xludf.DUMMYFUNCTION("""COMPUTED_VALUE"""),46081.0)</f>
        <v>46081</v>
      </c>
      <c r="C588" s="2" t="str">
        <f>IFERROR(__xludf.DUMMYFUNCTION("""COMPUTED_VALUE"""),"MOBILECARE - LIMA ESTATE")</f>
        <v>MOBILECARE - LIMA ESTATE</v>
      </c>
      <c r="D588" s="2" t="str">
        <f>IFERROR(__xludf.DUMMYFUNCTION("""COMPUTED_VALUE"""),"PP661-23454")</f>
        <v>PP661-23454</v>
      </c>
      <c r="E588" s="2" t="str">
        <f>IFERROR(__xludf.DUMMYFUNCTION("""COMPUTED_VALUE"""),"iPhone 13, Midnight, 128GB, Logic Board Assy Rear System, ROW")</f>
        <v>iPhone 13, Midnight, 128GB, Logic Board Assy Rear System, ROW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 t="str">
        <f t="shared" si="1"/>
        <v>February</v>
      </c>
      <c r="B589" s="11">
        <f>IFERROR(__xludf.DUMMYFUNCTION("""COMPUTED_VALUE"""),46069.0)</f>
        <v>46069</v>
      </c>
      <c r="C589" s="2" t="str">
        <f>IFERROR(__xludf.DUMMYFUNCTION("""COMPUTED_VALUE"""),"MOBILECARE - LIMA ESTATE")</f>
        <v>MOBILECARE - LIMA ESTATE</v>
      </c>
      <c r="D589" s="2" t="str">
        <f>IFERROR(__xludf.DUMMYFUNCTION("""COMPUTED_VALUE"""),"PP661-23454")</f>
        <v>PP661-23454</v>
      </c>
      <c r="E589" s="2" t="str">
        <f>IFERROR(__xludf.DUMMYFUNCTION("""COMPUTED_VALUE"""),"iPhone 13, Midnight, 128GB, Logic Board Assy Rear System, ROW")</f>
        <v>iPhone 13, Midnight, 128GB, Logic Board Assy Rear System, ROW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 t="str">
        <f t="shared" si="1"/>
        <v>February</v>
      </c>
      <c r="B590" s="11">
        <f>IFERROR(__xludf.DUMMYFUNCTION("""COMPUTED_VALUE"""),46074.0)</f>
        <v>46074</v>
      </c>
      <c r="C590" s="2" t="str">
        <f>IFERROR(__xludf.DUMMYFUNCTION("""COMPUTED_VALUE"""),"MOBILECARE - LIMA ESTATE")</f>
        <v>MOBILECARE - LIMA ESTATE</v>
      </c>
      <c r="D590" s="2" t="str">
        <f>IFERROR(__xludf.DUMMYFUNCTION("""COMPUTED_VALUE"""),"TA661-45231")</f>
        <v>TA661-45231</v>
      </c>
      <c r="E590" s="2" t="str">
        <f>IFERROR(__xludf.DUMMYFUNCTION("""COMPUTED_VALUE"""),"128GB, Black, ROW, iPhone 16 Plus, Logic Board Assy Mid System")</f>
        <v>128GB, Black, ROW, iPhone 16 Plus, Logic Board Assy Mid System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 t="str">
        <f t="shared" si="1"/>
        <v>February</v>
      </c>
      <c r="B591" s="11">
        <f>IFERROR(__xludf.DUMMYFUNCTION("""COMPUTED_VALUE"""),46074.0)</f>
        <v>46074</v>
      </c>
      <c r="C591" s="2" t="str">
        <f>IFERROR(__xludf.DUMMYFUNCTION("""COMPUTED_VALUE"""),"MOBILECARE - LIMA ESTATE")</f>
        <v>MOBILECARE - LIMA ESTATE</v>
      </c>
      <c r="D591" s="2" t="str">
        <f>IFERROR(__xludf.DUMMYFUNCTION("""COMPUTED_VALUE"""),"TA661-45231")</f>
        <v>TA661-45231</v>
      </c>
      <c r="E591" s="2" t="str">
        <f>IFERROR(__xludf.DUMMYFUNCTION("""COMPUTED_VALUE"""),"128GB, Black, ROW, iPhone 16 Plus, Logic Board Assy Mid System")</f>
        <v>128GB, Black, ROW, iPhone 16 Plus, Logic Board Assy Mid System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 t="str">
        <f t="shared" si="1"/>
        <v>May</v>
      </c>
      <c r="B592" s="11">
        <f>IFERROR(__xludf.DUMMYFUNCTION("""COMPUTED_VALUE"""),46145.0)</f>
        <v>46145</v>
      </c>
      <c r="C592" s="2" t="str">
        <f>IFERROR(__xludf.DUMMYFUNCTION("""COMPUTED_VALUE"""),"MOBILECARE - LIMA ESTATE")</f>
        <v>MOBILECARE - LIMA ESTATE</v>
      </c>
      <c r="D592" s="2" t="str">
        <f>IFERROR(__xludf.DUMMYFUNCTION("""COMPUTED_VALUE"""),"PP661-23455")</f>
        <v>PP661-23455</v>
      </c>
      <c r="E592" s="2" t="str">
        <f>IFERROR(__xludf.DUMMYFUNCTION("""COMPUTED_VALUE"""),"iPhone 13, Starlight, 128GB, Logic Board Assy Rear System, ROW")</f>
        <v>iPhone 13, Starlight, 128GB, Logic Board Assy Rear System, ROW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 t="str">
        <f t="shared" si="1"/>
        <v>April</v>
      </c>
      <c r="B593" s="11">
        <f>IFERROR(__xludf.DUMMYFUNCTION("""COMPUTED_VALUE"""),46121.0)</f>
        <v>46121</v>
      </c>
      <c r="C593" s="2" t="str">
        <f>IFERROR(__xludf.DUMMYFUNCTION("""COMPUTED_VALUE"""),"MOBILECARE - LIMA ESTATE")</f>
        <v>MOBILECARE - LIMA ESTATE</v>
      </c>
      <c r="D593" s="2" t="str">
        <f>IFERROR(__xludf.DUMMYFUNCTION("""COMPUTED_VALUE"""),"TA661-36693")</f>
        <v>TA661-36693</v>
      </c>
      <c r="E593" s="2" t="str">
        <f>IFERROR(__xludf.DUMMYFUNCTION("""COMPUTED_VALUE"""),"iPhone 15, Yellow, 128GB, Logic Board Assy Mid System, ROW")</f>
        <v>iPhone 15, Yellow, 128GB, Logic Board Assy Mid System, ROW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 t="str">
        <f t="shared" si="1"/>
        <v>March</v>
      </c>
      <c r="B594" s="11">
        <f>IFERROR(__xludf.DUMMYFUNCTION("""COMPUTED_VALUE"""),46096.0)</f>
        <v>46096</v>
      </c>
      <c r="C594" s="2" t="str">
        <f>IFERROR(__xludf.DUMMYFUNCTION("""COMPUTED_VALUE"""),"MOBILECARE - LIMA ESTATE")</f>
        <v>MOBILECARE - LIMA ESTATE</v>
      </c>
      <c r="D594" s="2" t="str">
        <f>IFERROR(__xludf.DUMMYFUNCTION("""COMPUTED_VALUE"""),"PP661-23455")</f>
        <v>PP661-23455</v>
      </c>
      <c r="E594" s="2" t="str">
        <f>IFERROR(__xludf.DUMMYFUNCTION("""COMPUTED_VALUE"""),"iPhone 13, Starlight, 128GB, Logic Board Assy Rear System, ROW")</f>
        <v>iPhone 13, Starlight, 128GB, Logic Board Assy Rear System, ROW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 t="str">
        <f t="shared" si="1"/>
        <v>April</v>
      </c>
      <c r="B595" s="11">
        <f>IFERROR(__xludf.DUMMYFUNCTION("""COMPUTED_VALUE"""),46140.0)</f>
        <v>46140</v>
      </c>
      <c r="C595" s="2" t="str">
        <f>IFERROR(__xludf.DUMMYFUNCTION("""COMPUTED_VALUE"""),"MOBILECARE - LIMA ESTATE")</f>
        <v>MOBILECARE - LIMA ESTATE</v>
      </c>
      <c r="D595" s="2" t="str">
        <f>IFERROR(__xludf.DUMMYFUNCTION("""COMPUTED_VALUE"""),"PP661-23455")</f>
        <v>PP661-23455</v>
      </c>
      <c r="E595" s="2" t="str">
        <f>IFERROR(__xludf.DUMMYFUNCTION("""COMPUTED_VALUE"""),"iPhone 13, Starlight, 128GB, Logic Board Assy Rear System, ROW")</f>
        <v>iPhone 13, Starlight, 128GB, Logic Board Assy Rear System, ROW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 t="str">
        <f t="shared" si="1"/>
        <v>April</v>
      </c>
      <c r="B596" s="11">
        <f>IFERROR(__xludf.DUMMYFUNCTION("""COMPUTED_VALUE"""),46123.0)</f>
        <v>46123</v>
      </c>
      <c r="C596" s="2" t="str">
        <f>IFERROR(__xludf.DUMMYFUNCTION("""COMPUTED_VALUE"""),"MOBILECARE - LIMA ESTATE")</f>
        <v>MOBILECARE - LIMA ESTATE</v>
      </c>
      <c r="D596" s="2" t="str">
        <f>IFERROR(__xludf.DUMMYFUNCTION("""COMPUTED_VALUE"""),"TA661-43605")</f>
        <v>TA661-43605</v>
      </c>
      <c r="E596" s="2" t="str">
        <f>IFERROR(__xludf.DUMMYFUNCTION("""COMPUTED_VALUE"""),"128GB, Black, ROW, iPhone 16, Logic Board Assy Mid System")</f>
        <v>128GB, Black, ROW, iPhone 16, Logic Board Assy Mid System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 t="str">
        <f t="shared" si="1"/>
        <v>June</v>
      </c>
      <c r="B597" s="11">
        <f>IFERROR(__xludf.DUMMYFUNCTION("""COMPUTED_VALUE"""),46192.0)</f>
        <v>46192</v>
      </c>
      <c r="C597" s="2" t="str">
        <f>IFERROR(__xludf.DUMMYFUNCTION("""COMPUTED_VALUE"""),"MOBILECARE - LIMA ESTATE")</f>
        <v>MOBILECARE - LIMA ESTATE</v>
      </c>
      <c r="D597" s="2" t="str">
        <f>IFERROR(__xludf.DUMMYFUNCTION("""COMPUTED_VALUE"""),"TA661-44997")</f>
        <v>TA661-44997</v>
      </c>
      <c r="E597" s="2" t="str">
        <f>IFERROR(__xludf.DUMMYFUNCTION("""COMPUTED_VALUE"""),"128GB, Desert Titanium, ROW, iPhone 16 Pro, Logic Board Assy Mid System")</f>
        <v>128GB, Desert Titanium, ROW, iPhone 16 Pro, Logic Board Assy Mid System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 t="str">
        <f t="shared" si="1"/>
        <v>March</v>
      </c>
      <c r="B598" s="11">
        <f>IFERROR(__xludf.DUMMYFUNCTION("""COMPUTED_VALUE"""),46088.0)</f>
        <v>46088</v>
      </c>
      <c r="C598" s="2" t="str">
        <f>IFERROR(__xludf.DUMMYFUNCTION("""COMPUTED_VALUE"""),"MOBILECARE - LIMA ESTATE")</f>
        <v>MOBILECARE - LIMA ESTATE</v>
      </c>
      <c r="D598" s="2" t="str">
        <f>IFERROR(__xludf.DUMMYFUNCTION("""COMPUTED_VALUE"""),"PP661-23455")</f>
        <v>PP661-23455</v>
      </c>
      <c r="E598" s="2" t="str">
        <f>IFERROR(__xludf.DUMMYFUNCTION("""COMPUTED_VALUE"""),"iPhone 13, Starlight, 128GB, Logic Board Assy Rear System, ROW")</f>
        <v>iPhone 13, Starlight, 128GB, Logic Board Assy Rear System, ROW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 t="str">
        <f t="shared" si="1"/>
        <v>February</v>
      </c>
      <c r="B599" s="11">
        <f>IFERROR(__xludf.DUMMYFUNCTION("""COMPUTED_VALUE"""),46062.0)</f>
        <v>46062</v>
      </c>
      <c r="C599" s="2" t="str">
        <f>IFERROR(__xludf.DUMMYFUNCTION("""COMPUTED_VALUE"""),"MOBILECARE - LIMA ESTATE")</f>
        <v>MOBILECARE - LIMA ESTATE</v>
      </c>
      <c r="D599" s="2" t="str">
        <f>IFERROR(__xludf.DUMMYFUNCTION("""COMPUTED_VALUE"""),"TA661-36694")</f>
        <v>TA661-36694</v>
      </c>
      <c r="E599" s="2" t="str">
        <f>IFERROR(__xludf.DUMMYFUNCTION("""COMPUTED_VALUE"""),"iPhone 15, Blue, 128GB, Logic Board Assy Mid System, ROW")</f>
        <v>iPhone 15, Blue, 128GB, Logic Board Assy Mid System, ROW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 t="str">
        <f t="shared" si="1"/>
        <v>February</v>
      </c>
      <c r="B600" s="11">
        <f>IFERROR(__xludf.DUMMYFUNCTION("""COMPUTED_VALUE"""),46075.0)</f>
        <v>46075</v>
      </c>
      <c r="C600" s="2" t="str">
        <f>IFERROR(__xludf.DUMMYFUNCTION("""COMPUTED_VALUE"""),"MOBILECARE - LIMA ESTATE")</f>
        <v>MOBILECARE - LIMA ESTATE</v>
      </c>
      <c r="D600" s="2" t="str">
        <f>IFERROR(__xludf.DUMMYFUNCTION("""COMPUTED_VALUE"""),"PP661-23455")</f>
        <v>PP661-23455</v>
      </c>
      <c r="E600" s="2" t="str">
        <f>IFERROR(__xludf.DUMMYFUNCTION("""COMPUTED_VALUE"""),"iPhone 13, Starlight, 128GB, Logic Board Assy Rear System, ROW")</f>
        <v>iPhone 13, Starlight, 128GB, Logic Board Assy Rear System, ROW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 t="str">
        <f t="shared" si="1"/>
        <v>June</v>
      </c>
      <c r="B601" s="11">
        <f>IFERROR(__xludf.DUMMYFUNCTION("""COMPUTED_VALUE"""),46185.0)</f>
        <v>46185</v>
      </c>
      <c r="C601" s="2" t="str">
        <f>IFERROR(__xludf.DUMMYFUNCTION("""COMPUTED_VALUE"""),"MOBILECARE - LIMA ESTATE")</f>
        <v>MOBILECARE - LIMA ESTATE</v>
      </c>
      <c r="D601" s="2" t="str">
        <f>IFERROR(__xludf.DUMMYFUNCTION("""COMPUTED_VALUE"""),"TA661-43614")</f>
        <v>TA661-43614</v>
      </c>
      <c r="E601" s="2" t="str">
        <f>IFERROR(__xludf.DUMMYFUNCTION("""COMPUTED_VALUE"""),"256GB, Teal, ROW, iPhone 16, Logic Board Assy Mid System")</f>
        <v>256GB, Teal, ROW, iPhone 16, Logic Board Assy Mid System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 t="str">
        <f t="shared" si="1"/>
        <v>April</v>
      </c>
      <c r="B602" s="11">
        <f>IFERROR(__xludf.DUMMYFUNCTION("""COMPUTED_VALUE"""),46141.0)</f>
        <v>46141</v>
      </c>
      <c r="C602" s="2" t="str">
        <f>IFERROR(__xludf.DUMMYFUNCTION("""COMPUTED_VALUE"""),"MOBILECARE - LIMA ESTATE")</f>
        <v>MOBILECARE - LIMA ESTATE</v>
      </c>
      <c r="D602" s="2" t="str">
        <f>IFERROR(__xludf.DUMMYFUNCTION("""COMPUTED_VALUE"""),"PP661-28868")</f>
        <v>PP661-28868</v>
      </c>
      <c r="E602" s="2" t="str">
        <f>IFERROR(__xludf.DUMMYFUNCTION("""COMPUTED_VALUE"""),"iPhone 14, Midnight, 128GB, Logic Board Assy Mid System, ROW")</f>
        <v>iPhone 14, Midnight, 128GB, Logic Board Assy Mid System, ROW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 t="str">
        <f t="shared" si="1"/>
        <v>April</v>
      </c>
      <c r="B603" s="11">
        <f>IFERROR(__xludf.DUMMYFUNCTION("""COMPUTED_VALUE"""),46118.0)</f>
        <v>46118</v>
      </c>
      <c r="C603" s="2" t="str">
        <f>IFERROR(__xludf.DUMMYFUNCTION("""COMPUTED_VALUE"""),"MOBILECARE - LIMA ESTATE")</f>
        <v>MOBILECARE - LIMA ESTATE</v>
      </c>
      <c r="D603" s="2" t="str">
        <f>IFERROR(__xludf.DUMMYFUNCTION("""COMPUTED_VALUE"""),"PP661-23455")</f>
        <v>PP661-23455</v>
      </c>
      <c r="E603" s="2" t="str">
        <f>IFERROR(__xludf.DUMMYFUNCTION("""COMPUTED_VALUE"""),"iPhone 13, Starlight, 128GB, Logic Board Assy Rear System, ROW")</f>
        <v>iPhone 13, Starlight, 128GB, Logic Board Assy Rear System, ROW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 t="str">
        <f t="shared" si="1"/>
        <v>June</v>
      </c>
      <c r="B604" s="11">
        <f>IFERROR(__xludf.DUMMYFUNCTION("""COMPUTED_VALUE"""),46183.0)</f>
        <v>46183</v>
      </c>
      <c r="C604" s="2" t="str">
        <f>IFERROR(__xludf.DUMMYFUNCTION("""COMPUTED_VALUE"""),"MOBILECARE - LIMA ESTATE")</f>
        <v>MOBILECARE - LIMA ESTATE</v>
      </c>
      <c r="D604" s="2" t="str">
        <f>IFERROR(__xludf.DUMMYFUNCTION("""COMPUTED_VALUE"""),"TA661-45236")</f>
        <v>TA661-45236</v>
      </c>
      <c r="E604" s="2" t="str">
        <f>IFERROR(__xludf.DUMMYFUNCTION("""COMPUTED_VALUE"""),"256GB, Black, ROW, iPhone 16 Plus, Logic Board Assy Mid System")</f>
        <v>256GB, Black, ROW, iPhone 16 Plus, Logic Board Assy Mid System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 t="str">
        <f t="shared" si="1"/>
        <v>June</v>
      </c>
      <c r="B605" s="11">
        <f>IFERROR(__xludf.DUMMYFUNCTION("""COMPUTED_VALUE"""),46185.0)</f>
        <v>46185</v>
      </c>
      <c r="C605" s="2" t="str">
        <f>IFERROR(__xludf.DUMMYFUNCTION("""COMPUTED_VALUE"""),"MOBILECARE - LIMA ESTATE")</f>
        <v>MOBILECARE - LIMA ESTATE</v>
      </c>
      <c r="D605" s="2" t="str">
        <f>IFERROR(__xludf.DUMMYFUNCTION("""COMPUTED_VALUE"""),"PP661-28871")</f>
        <v>PP661-28871</v>
      </c>
      <c r="E605" s="2" t="str">
        <f>IFERROR(__xludf.DUMMYFUNCTION("""COMPUTED_VALUE"""),"iPhone 14, Blue, 128GB, Logic Board Assy Mid System, ROW")</f>
        <v>iPhone 14, Blue, 128GB, Logic Board Assy Mid System, ROW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 t="str">
        <f t="shared" si="1"/>
        <v>February</v>
      </c>
      <c r="B606" s="11">
        <f>IFERROR(__xludf.DUMMYFUNCTION("""COMPUTED_VALUE"""),46058.0)</f>
        <v>46058</v>
      </c>
      <c r="C606" s="2" t="str">
        <f>IFERROR(__xludf.DUMMYFUNCTION("""COMPUTED_VALUE"""),"MOBILECARE - LIMA ESTATE")</f>
        <v>MOBILECARE - LIMA ESTATE</v>
      </c>
      <c r="D606" s="2" t="str">
        <f>IFERROR(__xludf.DUMMYFUNCTION("""COMPUTED_VALUE"""),"PP661-23454")</f>
        <v>PP661-23454</v>
      </c>
      <c r="E606" s="2" t="str">
        <f>IFERROR(__xludf.DUMMYFUNCTION("""COMPUTED_VALUE"""),"iPhone 13, Midnight, 128GB, Logic Board Assy Rear System, ROW")</f>
        <v>iPhone 13, Midnight, 128GB, Logic Board Assy Rear System, ROW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 t="str">
        <f t="shared" si="1"/>
        <v>March</v>
      </c>
      <c r="B607" s="11">
        <f>IFERROR(__xludf.DUMMYFUNCTION("""COMPUTED_VALUE"""),46091.0)</f>
        <v>46091</v>
      </c>
      <c r="C607" s="2" t="str">
        <f>IFERROR(__xludf.DUMMYFUNCTION("""COMPUTED_VALUE"""),"MOBILECARE - LIMA ESTATE")</f>
        <v>MOBILECARE - LIMA ESTATE</v>
      </c>
      <c r="D607" s="2" t="str">
        <f>IFERROR(__xludf.DUMMYFUNCTION("""COMPUTED_VALUE"""),"PP661-23455")</f>
        <v>PP661-23455</v>
      </c>
      <c r="E607" s="2" t="str">
        <f>IFERROR(__xludf.DUMMYFUNCTION("""COMPUTED_VALUE"""),"iPhone 13, Starlight, 128GB, Logic Board Assy Rear System, ROW")</f>
        <v>iPhone 13, Starlight, 128GB, Logic Board Assy Rear System, ROW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 t="str">
        <f t="shared" si="1"/>
        <v>February</v>
      </c>
      <c r="B608" s="11">
        <f>IFERROR(__xludf.DUMMYFUNCTION("""COMPUTED_VALUE"""),46062.0)</f>
        <v>46062</v>
      </c>
      <c r="C608" s="2" t="str">
        <f>IFERROR(__xludf.DUMMYFUNCTION("""COMPUTED_VALUE"""),"MOBILECARE - LIMA ESTATE")</f>
        <v>MOBILECARE - LIMA ESTATE</v>
      </c>
      <c r="D608" s="2" t="str">
        <f>IFERROR(__xludf.DUMMYFUNCTION("""COMPUTED_VALUE"""),"PP661-23455")</f>
        <v>PP661-23455</v>
      </c>
      <c r="E608" s="2" t="str">
        <f>IFERROR(__xludf.DUMMYFUNCTION("""COMPUTED_VALUE"""),"iPhone 13, Starlight, 128GB, Logic Board Assy Rear System, ROW")</f>
        <v>iPhone 13, Starlight, 128GB, Logic Board Assy Rear System, ROW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 t="str">
        <f t="shared" si="1"/>
        <v>June</v>
      </c>
      <c r="B609" s="11">
        <f>IFERROR(__xludf.DUMMYFUNCTION("""COMPUTED_VALUE"""),46183.0)</f>
        <v>46183</v>
      </c>
      <c r="C609" s="2" t="str">
        <f>IFERROR(__xludf.DUMMYFUNCTION("""COMPUTED_VALUE"""),"MOBILECARE - LIMA ESTATE")</f>
        <v>MOBILECARE - LIMA ESTATE</v>
      </c>
      <c r="D609" s="2" t="str">
        <f>IFERROR(__xludf.DUMMYFUNCTION("""COMPUTED_VALUE"""),"PP661-28868")</f>
        <v>PP661-28868</v>
      </c>
      <c r="E609" s="2" t="str">
        <f>IFERROR(__xludf.DUMMYFUNCTION("""COMPUTED_VALUE"""),"iPhone 14, Midnight, 128GB, Logic Board Assy Mid System, ROW")</f>
        <v>iPhone 14, Midnight, 128GB, Logic Board Assy Mid System, ROW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 t="str">
        <f t="shared" si="1"/>
        <v>February</v>
      </c>
      <c r="B610" s="11">
        <f>IFERROR(__xludf.DUMMYFUNCTION("""COMPUTED_VALUE"""),46062.0)</f>
        <v>46062</v>
      </c>
      <c r="C610" s="2" t="str">
        <f>IFERROR(__xludf.DUMMYFUNCTION("""COMPUTED_VALUE"""),"MOBILECARE - LIMA ESTATE")</f>
        <v>MOBILECARE - LIMA ESTATE</v>
      </c>
      <c r="D610" s="2" t="str">
        <f>IFERROR(__xludf.DUMMYFUNCTION("""COMPUTED_VALUE"""),"PP661-23454")</f>
        <v>PP661-23454</v>
      </c>
      <c r="E610" s="2" t="str">
        <f>IFERROR(__xludf.DUMMYFUNCTION("""COMPUTED_VALUE"""),"iPhone 13, Midnight, 128GB, Logic Board Assy Rear System, ROW")</f>
        <v>iPhone 13, Midnight, 128GB, Logic Board Assy Rear System, ROW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 t="str">
        <f t="shared" si="1"/>
        <v>February</v>
      </c>
      <c r="B611" s="11">
        <f>IFERROR(__xludf.DUMMYFUNCTION("""COMPUTED_VALUE"""),46059.0)</f>
        <v>46059</v>
      </c>
      <c r="C611" s="2" t="str">
        <f>IFERROR(__xludf.DUMMYFUNCTION("""COMPUTED_VALUE"""),"MOBILECARE - LIMA ESTATE")</f>
        <v>MOBILECARE - LIMA ESTATE</v>
      </c>
      <c r="D611" s="2" t="str">
        <f>IFERROR(__xludf.DUMMYFUNCTION("""COMPUTED_VALUE"""),"TA661-36696")</f>
        <v>TA661-36696</v>
      </c>
      <c r="E611" s="2" t="str">
        <f>IFERROR(__xludf.DUMMYFUNCTION("""COMPUTED_VALUE"""),"iPhone 15, Black, 256GB, Logic Board Assy Mid System, ROW")</f>
        <v>iPhone 15, Black, 256GB, Logic Board Assy Mid System, ROW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 t="str">
        <f t="shared" si="1"/>
        <v>June</v>
      </c>
      <c r="B612" s="11">
        <f>IFERROR(__xludf.DUMMYFUNCTION("""COMPUTED_VALUE"""),46190.0)</f>
        <v>46190</v>
      </c>
      <c r="C612" s="2" t="str">
        <f>IFERROR(__xludf.DUMMYFUNCTION("""COMPUTED_VALUE"""),"MOBILECARE - LIMA ESTATE")</f>
        <v>MOBILECARE - LIMA ESTATE</v>
      </c>
      <c r="D612" s="2" t="str">
        <f>IFERROR(__xludf.DUMMYFUNCTION("""COMPUTED_VALUE"""),"TA661-43606")</f>
        <v>TA661-43606</v>
      </c>
      <c r="E612" s="2" t="str">
        <f>IFERROR(__xludf.DUMMYFUNCTION("""COMPUTED_VALUE"""),"128GB, White, ROW, iPhone 16, Logic Board Assy Mid System")</f>
        <v>128GB, White, ROW, iPhone 16, Logic Board Assy Mid System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 t="str">
        <f t="shared" si="1"/>
        <v>May</v>
      </c>
      <c r="B613" s="11">
        <f>IFERROR(__xludf.DUMMYFUNCTION("""COMPUTED_VALUE"""),46144.0)</f>
        <v>46144</v>
      </c>
      <c r="C613" s="2" t="str">
        <f>IFERROR(__xludf.DUMMYFUNCTION("""COMPUTED_VALUE"""),"MOBILECARE - LIMA ESTATE")</f>
        <v>MOBILECARE - LIMA ESTATE</v>
      </c>
      <c r="D613" s="2" t="str">
        <f>IFERROR(__xludf.DUMMYFUNCTION("""COMPUTED_VALUE"""),"PP661-28869")</f>
        <v>PP661-28869</v>
      </c>
      <c r="E613" s="2" t="str">
        <f>IFERROR(__xludf.DUMMYFUNCTION("""COMPUTED_VALUE"""),"iPhone 14, Starlight, 128GB, Logic Board Assy Mid System, ROW")</f>
        <v>iPhone 14, Starlight, 128GB, Logic Board Assy Mid System, ROW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 t="str">
        <f t="shared" si="1"/>
        <v>February</v>
      </c>
      <c r="B614" s="11">
        <f>IFERROR(__xludf.DUMMYFUNCTION("""COMPUTED_VALUE"""),46059.0)</f>
        <v>46059</v>
      </c>
      <c r="C614" s="2" t="str">
        <f>IFERROR(__xludf.DUMMYFUNCTION("""COMPUTED_VALUE"""),"MOBILECARE - LIMA ESTATE")</f>
        <v>MOBILECARE - LIMA ESTATE</v>
      </c>
      <c r="D614" s="2" t="str">
        <f>IFERROR(__xludf.DUMMYFUNCTION("""COMPUTED_VALUE"""),"PP661-23460")</f>
        <v>PP661-23460</v>
      </c>
      <c r="E614" s="2" t="str">
        <f>IFERROR(__xludf.DUMMYFUNCTION("""COMPUTED_VALUE"""),"iPhone 13, Starlight, 256GB, Logic Board Assy Rear System, ROW")</f>
        <v>iPhone 13, Starlight, 256GB, Logic Board Assy Rear System, ROW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 t="str">
        <f t="shared" si="1"/>
        <v>February</v>
      </c>
      <c r="B615" s="11">
        <f>IFERROR(__xludf.DUMMYFUNCTION("""COMPUTED_VALUE"""),46060.0)</f>
        <v>46060</v>
      </c>
      <c r="C615" s="2" t="str">
        <f>IFERROR(__xludf.DUMMYFUNCTION("""COMPUTED_VALUE"""),"MOBILECARE - LIMA ESTATE")</f>
        <v>MOBILECARE - LIMA ESTATE</v>
      </c>
      <c r="D615" s="2" t="str">
        <f>IFERROR(__xludf.DUMMYFUNCTION("""COMPUTED_VALUE"""),"PP661-23455")</f>
        <v>PP661-23455</v>
      </c>
      <c r="E615" s="2" t="str">
        <f>IFERROR(__xludf.DUMMYFUNCTION("""COMPUTED_VALUE"""),"iPhone 13, Starlight, 128GB, Logic Board Assy Rear System, ROW")</f>
        <v>iPhone 13, Starlight, 128GB, Logic Board Assy Rear System, ROW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 t="str">
        <f t="shared" si="1"/>
        <v>February</v>
      </c>
      <c r="B616" s="11">
        <f>IFERROR(__xludf.DUMMYFUNCTION("""COMPUTED_VALUE"""),46067.0)</f>
        <v>46067</v>
      </c>
      <c r="C616" s="2" t="str">
        <f>IFERROR(__xludf.DUMMYFUNCTION("""COMPUTED_VALUE"""),"MOBILECARE - LIMA ESTATE")</f>
        <v>MOBILECARE - LIMA ESTATE</v>
      </c>
      <c r="D616" s="2" t="str">
        <f>IFERROR(__xludf.DUMMYFUNCTION("""COMPUTED_VALUE"""),"PP661-23454")</f>
        <v>PP661-23454</v>
      </c>
      <c r="E616" s="2" t="str">
        <f>IFERROR(__xludf.DUMMYFUNCTION("""COMPUTED_VALUE"""),"iPhone 13, Midnight, 128GB, Logic Board Assy Rear System, ROW")</f>
        <v>iPhone 13, Midnight, 128GB, Logic Board Assy Rear System, ROW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 t="str">
        <f t="shared" si="1"/>
        <v>April</v>
      </c>
      <c r="B617" s="11">
        <f>IFERROR(__xludf.DUMMYFUNCTION("""COMPUTED_VALUE"""),46134.0)</f>
        <v>46134</v>
      </c>
      <c r="C617" s="2" t="str">
        <f>IFERROR(__xludf.DUMMYFUNCTION("""COMPUTED_VALUE"""),"MOBILECARE - LIMA ESTATE")</f>
        <v>MOBILECARE - LIMA ESTATE</v>
      </c>
      <c r="D617" s="2" t="str">
        <f>IFERROR(__xludf.DUMMYFUNCTION("""COMPUTED_VALUE"""),"PP661-23454")</f>
        <v>PP661-23454</v>
      </c>
      <c r="E617" s="2" t="str">
        <f>IFERROR(__xludf.DUMMYFUNCTION("""COMPUTED_VALUE"""),"iPhone 13, Midnight, 128GB, Logic Board Assy Rear System, ROW")</f>
        <v>iPhone 13, Midnight, 128GB, Logic Board Assy Rear System, ROW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 t="str">
        <f t="shared" si="1"/>
        <v>February</v>
      </c>
      <c r="B618" s="11">
        <f>IFERROR(__xludf.DUMMYFUNCTION("""COMPUTED_VALUE"""),46061.0)</f>
        <v>46061</v>
      </c>
      <c r="C618" s="2" t="str">
        <f>IFERROR(__xludf.DUMMYFUNCTION("""COMPUTED_VALUE"""),"MOBILECARE - LIMA ESTATE")</f>
        <v>MOBILECARE - LIMA ESTATE</v>
      </c>
      <c r="D618" s="2" t="str">
        <f>IFERROR(__xludf.DUMMYFUNCTION("""COMPUTED_VALUE"""),"PP661-23455")</f>
        <v>PP661-23455</v>
      </c>
      <c r="E618" s="2" t="str">
        <f>IFERROR(__xludf.DUMMYFUNCTION("""COMPUTED_VALUE"""),"iPhone 13, Starlight, 128GB, Logic Board Assy Rear System, ROW")</f>
        <v>iPhone 13, Starlight, 128GB, Logic Board Assy Rear System, ROW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 t="str">
        <f t="shared" si="1"/>
        <v>February</v>
      </c>
      <c r="B619" s="11">
        <f>IFERROR(__xludf.DUMMYFUNCTION("""COMPUTED_VALUE"""),46058.0)</f>
        <v>46058</v>
      </c>
      <c r="C619" s="2" t="str">
        <f>IFERROR(__xludf.DUMMYFUNCTION("""COMPUTED_VALUE"""),"MOBILECARE - LIMA ESTATE")</f>
        <v>MOBILECARE - LIMA ESTATE</v>
      </c>
      <c r="D619" s="2" t="str">
        <f>IFERROR(__xludf.DUMMYFUNCTION("""COMPUTED_VALUE"""),"PP661-23455")</f>
        <v>PP661-23455</v>
      </c>
      <c r="E619" s="2" t="str">
        <f>IFERROR(__xludf.DUMMYFUNCTION("""COMPUTED_VALUE"""),"iPhone 13, Starlight, 128GB, Logic Board Assy Rear System, ROW")</f>
        <v>iPhone 13, Starlight, 128GB, Logic Board Assy Rear System, ROW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 t="str">
        <f t="shared" si="1"/>
        <v>April</v>
      </c>
      <c r="B620" s="11">
        <f>IFERROR(__xludf.DUMMYFUNCTION("""COMPUTED_VALUE"""),46125.0)</f>
        <v>46125</v>
      </c>
      <c r="C620" s="2" t="str">
        <f>IFERROR(__xludf.DUMMYFUNCTION("""COMPUTED_VALUE"""),"MOBILECARE - LIMA ESTATE")</f>
        <v>MOBILECARE - LIMA ESTATE</v>
      </c>
      <c r="D620" s="2" t="str">
        <f>IFERROR(__xludf.DUMMYFUNCTION("""COMPUTED_VALUE"""),"PP661-23454")</f>
        <v>PP661-23454</v>
      </c>
      <c r="E620" s="2" t="str">
        <f>IFERROR(__xludf.DUMMYFUNCTION("""COMPUTED_VALUE"""),"iPhone 13, Midnight, 128GB, Logic Board Assy Rear System, ROW")</f>
        <v>iPhone 13, Midnight, 128GB, Logic Board Assy Rear System, ROW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 t="str">
        <f t="shared" si="1"/>
        <v>June</v>
      </c>
      <c r="B621" s="11">
        <f>IFERROR(__xludf.DUMMYFUNCTION("""COMPUTED_VALUE"""),46190.0)</f>
        <v>46190</v>
      </c>
      <c r="C621" s="2" t="str">
        <f>IFERROR(__xludf.DUMMYFUNCTION("""COMPUTED_VALUE"""),"MOBILECARE - LIMA ESTATE")</f>
        <v>MOBILECARE - LIMA ESTATE</v>
      </c>
      <c r="D621" s="2" t="str">
        <f>IFERROR(__xludf.DUMMYFUNCTION("""COMPUTED_VALUE"""),"PP661-28868")</f>
        <v>PP661-28868</v>
      </c>
      <c r="E621" s="2" t="str">
        <f>IFERROR(__xludf.DUMMYFUNCTION("""COMPUTED_VALUE"""),"iPhone 14, Midnight, 128GB, Logic Board Assy Mid System, ROW")</f>
        <v>iPhone 14, Midnight, 128GB, Logic Board Assy Mid System, ROW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 t="str">
        <f t="shared" si="1"/>
        <v>May</v>
      </c>
      <c r="B622" s="11">
        <f>IFERROR(__xludf.DUMMYFUNCTION("""COMPUTED_VALUE"""),46151.0)</f>
        <v>46151</v>
      </c>
      <c r="C622" s="2" t="str">
        <f>IFERROR(__xludf.DUMMYFUNCTION("""COMPUTED_VALUE"""),"MOBILECARE - LIMA ESTATE")</f>
        <v>MOBILECARE - LIMA ESTATE</v>
      </c>
      <c r="D622" s="2" t="str">
        <f>IFERROR(__xludf.DUMMYFUNCTION("""COMPUTED_VALUE"""),"TA661-36691")</f>
        <v>TA661-36691</v>
      </c>
      <c r="E622" s="2" t="str">
        <f>IFERROR(__xludf.DUMMYFUNCTION("""COMPUTED_VALUE"""),"iPhone 15, Black, 128GB, Logic Board Assy Mid System, ROW")</f>
        <v>iPhone 15, Black, 128GB, Logic Board Assy Mid System, ROW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 t="str">
        <f t="shared" si="1"/>
        <v>June</v>
      </c>
      <c r="B623" s="11">
        <f>IFERROR(__xludf.DUMMYFUNCTION("""COMPUTED_VALUE"""),46191.0)</f>
        <v>46191</v>
      </c>
      <c r="C623" s="2" t="str">
        <f>IFERROR(__xludf.DUMMYFUNCTION("""COMPUTED_VALUE"""),"MOBILECARE - LIMA ESTATE")</f>
        <v>MOBILECARE - LIMA ESTATE</v>
      </c>
      <c r="D623" s="2" t="str">
        <f>IFERROR(__xludf.DUMMYFUNCTION("""COMPUTED_VALUE"""),"PP661-23454")</f>
        <v>PP661-23454</v>
      </c>
      <c r="E623" s="2" t="str">
        <f>IFERROR(__xludf.DUMMYFUNCTION("""COMPUTED_VALUE"""),"iPhone 13, Midnight, 128GB, Logic Board Assy Rear System, ROW")</f>
        <v>iPhone 13, Midnight, 128GB, Logic Board Assy Rear System, ROW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 t="str">
        <f t="shared" si="1"/>
        <v>January</v>
      </c>
      <c r="B624" s="11">
        <f>IFERROR(__xludf.DUMMYFUNCTION("""COMPUTED_VALUE"""),46051.0)</f>
        <v>46051</v>
      </c>
      <c r="C624" s="2" t="str">
        <f>IFERROR(__xludf.DUMMYFUNCTION("""COMPUTED_VALUE"""),"MOBILECARE - LIMA ESTATE")</f>
        <v>MOBILECARE - LIMA ESTATE</v>
      </c>
      <c r="D624" s="2" t="str">
        <f>IFERROR(__xludf.DUMMYFUNCTION("""COMPUTED_VALUE"""),"TA661-43605")</f>
        <v>TA661-43605</v>
      </c>
      <c r="E624" s="2" t="str">
        <f>IFERROR(__xludf.DUMMYFUNCTION("""COMPUTED_VALUE"""),"128GB, Black, ROW, iPhone 16, Logic Board Assy Mid System")</f>
        <v>128GB, Black, ROW, iPhone 16, Logic Board Assy Mid System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 t="str">
        <f t="shared" si="1"/>
        <v>February</v>
      </c>
      <c r="B625" s="11">
        <f>IFERROR(__xludf.DUMMYFUNCTION("""COMPUTED_VALUE"""),46080.0)</f>
        <v>46080</v>
      </c>
      <c r="C625" s="2" t="str">
        <f>IFERROR(__xludf.DUMMYFUNCTION("""COMPUTED_VALUE"""),"MOBILECARE - LIMA ESTATE")</f>
        <v>MOBILECARE - LIMA ESTATE</v>
      </c>
      <c r="D625" s="2" t="str">
        <f>IFERROR(__xludf.DUMMYFUNCTION("""COMPUTED_VALUE"""),"PP661-23454")</f>
        <v>PP661-23454</v>
      </c>
      <c r="E625" s="2" t="str">
        <f>IFERROR(__xludf.DUMMYFUNCTION("""COMPUTED_VALUE"""),"iPhone 13, Midnight, 128GB, Logic Board Assy Rear System, ROW")</f>
        <v>iPhone 13, Midnight, 128GB, Logic Board Assy Rear System, ROW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 t="str">
        <f t="shared" si="1"/>
        <v>February</v>
      </c>
      <c r="B626" s="11">
        <f>IFERROR(__xludf.DUMMYFUNCTION("""COMPUTED_VALUE"""),46062.0)</f>
        <v>46062</v>
      </c>
      <c r="C626" s="2" t="str">
        <f>IFERROR(__xludf.DUMMYFUNCTION("""COMPUTED_VALUE"""),"MOBILECARE - LIMA ESTATE")</f>
        <v>MOBILECARE - LIMA ESTATE</v>
      </c>
      <c r="D626" s="2" t="str">
        <f>IFERROR(__xludf.DUMMYFUNCTION("""COMPUTED_VALUE"""),"PP661-23454")</f>
        <v>PP661-23454</v>
      </c>
      <c r="E626" s="2" t="str">
        <f>IFERROR(__xludf.DUMMYFUNCTION("""COMPUTED_VALUE"""),"iPhone 13, Midnight, 128GB, Logic Board Assy Rear System, ROW")</f>
        <v>iPhone 13, Midnight, 128GB, Logic Board Assy Rear System, ROW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 t="str">
        <f t="shared" si="1"/>
        <v>June</v>
      </c>
      <c r="B627" s="11">
        <f>IFERROR(__xludf.DUMMYFUNCTION("""COMPUTED_VALUE"""),46190.0)</f>
        <v>46190</v>
      </c>
      <c r="C627" s="2" t="str">
        <f>IFERROR(__xludf.DUMMYFUNCTION("""COMPUTED_VALUE"""),"MOBILECARE - LIMA ESTATE")</f>
        <v>MOBILECARE - LIMA ESTATE</v>
      </c>
      <c r="D627" s="2" t="str">
        <f>IFERROR(__xludf.DUMMYFUNCTION("""COMPUTED_VALUE"""),"PP661-23454")</f>
        <v>PP661-23454</v>
      </c>
      <c r="E627" s="2" t="str">
        <f>IFERROR(__xludf.DUMMYFUNCTION("""COMPUTED_VALUE"""),"iPhone 13, Midnight, 128GB, Logic Board Assy Rear System, ROW")</f>
        <v>iPhone 13, Midnight, 128GB, Logic Board Assy Rear System, ROW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 t="str">
        <f t="shared" si="1"/>
        <v>June</v>
      </c>
      <c r="B628" s="11">
        <f>IFERROR(__xludf.DUMMYFUNCTION("""COMPUTED_VALUE"""),46182.0)</f>
        <v>46182</v>
      </c>
      <c r="C628" s="2" t="str">
        <f>IFERROR(__xludf.DUMMYFUNCTION("""COMPUTED_VALUE"""),"MOBILECARE - LIMA ESTATE")</f>
        <v>MOBILECARE - LIMA ESTATE</v>
      </c>
      <c r="D628" s="2" t="str">
        <f>IFERROR(__xludf.DUMMYFUNCTION("""COMPUTED_VALUE"""),"PP661-23454")</f>
        <v>PP661-23454</v>
      </c>
      <c r="E628" s="2" t="str">
        <f>IFERROR(__xludf.DUMMYFUNCTION("""COMPUTED_VALUE"""),"iPhone 13, Midnight, 128GB, Logic Board Assy Rear System, ROW")</f>
        <v>iPhone 13, Midnight, 128GB, Logic Board Assy Rear System, ROW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 t="str">
        <f t="shared" si="1"/>
        <v>March</v>
      </c>
      <c r="B629" s="11">
        <f>IFERROR(__xludf.DUMMYFUNCTION("""COMPUTED_VALUE"""),46111.0)</f>
        <v>46111</v>
      </c>
      <c r="C629" s="2" t="str">
        <f>IFERROR(__xludf.DUMMYFUNCTION("""COMPUTED_VALUE"""),"MOBILECARE - LIMA ESTATE")</f>
        <v>MOBILECARE - LIMA ESTATE</v>
      </c>
      <c r="D629" s="2" t="str">
        <f>IFERROR(__xludf.DUMMYFUNCTION("""COMPUTED_VALUE"""),"TA661-36694")</f>
        <v>TA661-36694</v>
      </c>
      <c r="E629" s="2" t="str">
        <f>IFERROR(__xludf.DUMMYFUNCTION("""COMPUTED_VALUE"""),"iPhone 15, Blue, 128GB, Logic Board Assy Mid System, ROW")</f>
        <v>iPhone 15, Blue, 128GB, Logic Board Assy Mid System, ROW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 t="str">
        <f t="shared" si="1"/>
        <v>March</v>
      </c>
      <c r="B630" s="11">
        <f>IFERROR(__xludf.DUMMYFUNCTION("""COMPUTED_VALUE"""),46094.0)</f>
        <v>46094</v>
      </c>
      <c r="C630" s="2" t="str">
        <f>IFERROR(__xludf.DUMMYFUNCTION("""COMPUTED_VALUE"""),"MOBILECARE - LIMA ESTATE")</f>
        <v>MOBILECARE - LIMA ESTATE</v>
      </c>
      <c r="D630" s="2" t="str">
        <f>IFERROR(__xludf.DUMMYFUNCTION("""COMPUTED_VALUE"""),"TA661-43613")</f>
        <v>TA661-43613</v>
      </c>
      <c r="E630" s="2" t="str">
        <f>IFERROR(__xludf.DUMMYFUNCTION("""COMPUTED_VALUE"""),"256GB, Ultramarine, ROW, iPhone 16, Logic Board Assy Mid System")</f>
        <v>256GB, Ultramarine, ROW, iPhone 16, Logic Board Assy Mid System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 t="str">
        <f t="shared" si="1"/>
        <v>March</v>
      </c>
      <c r="B631" s="11">
        <f>IFERROR(__xludf.DUMMYFUNCTION("""COMPUTED_VALUE"""),46087.0)</f>
        <v>46087</v>
      </c>
      <c r="C631" s="2" t="str">
        <f>IFERROR(__xludf.DUMMYFUNCTION("""COMPUTED_VALUE"""),"MOBILECARE - LIMA ESTATE")</f>
        <v>MOBILECARE - LIMA ESTATE</v>
      </c>
      <c r="D631" s="2" t="str">
        <f>IFERROR(__xludf.DUMMYFUNCTION("""COMPUTED_VALUE"""),"TA661-36694")</f>
        <v>TA661-36694</v>
      </c>
      <c r="E631" s="2" t="str">
        <f>IFERROR(__xludf.DUMMYFUNCTION("""COMPUTED_VALUE"""),"iPhone 15, Blue, 128GB, Logic Board Assy Mid System, ROW")</f>
        <v>iPhone 15, Blue, 128GB, Logic Board Assy Mid System, ROW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 t="str">
        <f t="shared" si="1"/>
        <v>June</v>
      </c>
      <c r="B632" s="11">
        <f>IFERROR(__xludf.DUMMYFUNCTION("""COMPUTED_VALUE"""),46184.0)</f>
        <v>46184</v>
      </c>
      <c r="C632" s="2" t="str">
        <f>IFERROR(__xludf.DUMMYFUNCTION("""COMPUTED_VALUE"""),"MOBILECARE - LIMA ESTATE")</f>
        <v>MOBILECARE - LIMA ESTATE</v>
      </c>
      <c r="D632" s="2" t="str">
        <f>IFERROR(__xludf.DUMMYFUNCTION("""COMPUTED_VALUE"""),"TA661-43606")</f>
        <v>TA661-43606</v>
      </c>
      <c r="E632" s="2" t="str">
        <f>IFERROR(__xludf.DUMMYFUNCTION("""COMPUTED_VALUE"""),"128GB, White, ROW, iPhone 16, Logic Board Assy Mid System")</f>
        <v>128GB, White, ROW, iPhone 16, Logic Board Assy Mid System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 t="str">
        <f t="shared" si="1"/>
        <v>April</v>
      </c>
      <c r="B633" s="11">
        <f>IFERROR(__xludf.DUMMYFUNCTION("""COMPUTED_VALUE"""),46119.0)</f>
        <v>46119</v>
      </c>
      <c r="C633" s="2" t="str">
        <f>IFERROR(__xludf.DUMMYFUNCTION("""COMPUTED_VALUE"""),"MOBILECARE - LIMA ESTATE")</f>
        <v>MOBILECARE - LIMA ESTATE</v>
      </c>
      <c r="D633" s="2" t="str">
        <f>IFERROR(__xludf.DUMMYFUNCTION("""COMPUTED_VALUE"""),"PP661-28869")</f>
        <v>PP661-28869</v>
      </c>
      <c r="E633" s="2" t="str">
        <f>IFERROR(__xludf.DUMMYFUNCTION("""COMPUTED_VALUE"""),"iPhone 14, Starlight, 128GB, Logic Board Assy Mid System, ROW")</f>
        <v>iPhone 14, Starlight, 128GB, Logic Board Assy Mid System, ROW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 t="str">
        <f t="shared" si="1"/>
        <v>March</v>
      </c>
      <c r="B634" s="11">
        <f>IFERROR(__xludf.DUMMYFUNCTION("""COMPUTED_VALUE"""),46112.0)</f>
        <v>46112</v>
      </c>
      <c r="C634" s="2" t="str">
        <f>IFERROR(__xludf.DUMMYFUNCTION("""COMPUTED_VALUE"""),"MOBILECARE - LIMA ESTATE")</f>
        <v>MOBILECARE - LIMA ESTATE</v>
      </c>
      <c r="D634" s="2" t="str">
        <f>IFERROR(__xludf.DUMMYFUNCTION("""COMPUTED_VALUE"""),"TA661-43610")</f>
        <v>TA661-43610</v>
      </c>
      <c r="E634" s="2" t="str">
        <f>IFERROR(__xludf.DUMMYFUNCTION("""COMPUTED_VALUE"""),"256GB, Black, ROW, iPhone 16, Logic Board Assy Mid System")</f>
        <v>256GB, Black, ROW, iPhone 16, Logic Board Assy Mid System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 t="str">
        <f t="shared" si="1"/>
        <v>March</v>
      </c>
      <c r="B635" s="11">
        <f>IFERROR(__xludf.DUMMYFUNCTION("""COMPUTED_VALUE"""),46098.0)</f>
        <v>46098</v>
      </c>
      <c r="C635" s="2" t="str">
        <f>IFERROR(__xludf.DUMMYFUNCTION("""COMPUTED_VALUE"""),"MOBILECARE - LIMA ESTATE")</f>
        <v>MOBILECARE - LIMA ESTATE</v>
      </c>
      <c r="D635" s="2" t="str">
        <f>IFERROR(__xludf.DUMMYFUNCTION("""COMPUTED_VALUE"""),"PP661-23454")</f>
        <v>PP661-23454</v>
      </c>
      <c r="E635" s="2" t="str">
        <f>IFERROR(__xludf.DUMMYFUNCTION("""COMPUTED_VALUE"""),"iPhone 13, Midnight, 128GB, Logic Board Assy Rear System, ROW")</f>
        <v>iPhone 13, Midnight, 128GB, Logic Board Assy Rear System, ROW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 t="str">
        <f t="shared" si="1"/>
        <v>March</v>
      </c>
      <c r="B636" s="11">
        <f>IFERROR(__xludf.DUMMYFUNCTION("""COMPUTED_VALUE"""),46092.0)</f>
        <v>46092</v>
      </c>
      <c r="C636" s="2" t="str">
        <f>IFERROR(__xludf.DUMMYFUNCTION("""COMPUTED_VALUE"""),"MOBILECARE - LIMA ESTATE")</f>
        <v>MOBILECARE - LIMA ESTATE</v>
      </c>
      <c r="D636" s="2" t="str">
        <f>IFERROR(__xludf.DUMMYFUNCTION("""COMPUTED_VALUE"""),"PP661-23455")</f>
        <v>PP661-23455</v>
      </c>
      <c r="E636" s="2" t="str">
        <f>IFERROR(__xludf.DUMMYFUNCTION("""COMPUTED_VALUE"""),"iPhone 13, Starlight, 128GB, Logic Board Assy Rear System, ROW")</f>
        <v>iPhone 13, Starlight, 128GB, Logic Board Assy Rear System, ROW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 t="str">
        <f t="shared" si="1"/>
        <v>June</v>
      </c>
      <c r="B637" s="11">
        <f>IFERROR(__xludf.DUMMYFUNCTION("""COMPUTED_VALUE"""),46187.0)</f>
        <v>46187</v>
      </c>
      <c r="C637" s="2" t="str">
        <f>IFERROR(__xludf.DUMMYFUNCTION("""COMPUTED_VALUE"""),"MOBILECARE - LIMA ESTATE")</f>
        <v>MOBILECARE - LIMA ESTATE</v>
      </c>
      <c r="D637" s="2" t="str">
        <f>IFERROR(__xludf.DUMMYFUNCTION("""COMPUTED_VALUE"""),"PP661-23454")</f>
        <v>PP661-23454</v>
      </c>
      <c r="E637" s="2" t="str">
        <f>IFERROR(__xludf.DUMMYFUNCTION("""COMPUTED_VALUE"""),"iPhone 13, Midnight, 128GB, Logic Board Assy Rear System, ROW")</f>
        <v>iPhone 13, Midnight, 128GB, Logic Board Assy Rear System, ROW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 t="str">
        <f t="shared" si="1"/>
        <v>June</v>
      </c>
      <c r="B638" s="11">
        <f>IFERROR(__xludf.DUMMYFUNCTION("""COMPUTED_VALUE"""),46186.0)</f>
        <v>46186</v>
      </c>
      <c r="C638" s="2" t="str">
        <f>IFERROR(__xludf.DUMMYFUNCTION("""COMPUTED_VALUE"""),"MOBILECARE - LIMA ESTATE")</f>
        <v>MOBILECARE - LIMA ESTATE</v>
      </c>
      <c r="D638" s="2" t="str">
        <f>IFERROR(__xludf.DUMMYFUNCTION("""COMPUTED_VALUE"""),"TA661-36691")</f>
        <v>TA661-36691</v>
      </c>
      <c r="E638" s="2" t="str">
        <f>IFERROR(__xludf.DUMMYFUNCTION("""COMPUTED_VALUE"""),"iPhone 15, Black, 128GB, Logic Board Assy Mid System, ROW")</f>
        <v>iPhone 15, Black, 128GB, Logic Board Assy Mid System, ROW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 t="str">
        <f t="shared" si="1"/>
        <v>April</v>
      </c>
      <c r="B639" s="11">
        <f>IFERROR(__xludf.DUMMYFUNCTION("""COMPUTED_VALUE"""),46119.0)</f>
        <v>46119</v>
      </c>
      <c r="C639" s="2" t="str">
        <f>IFERROR(__xludf.DUMMYFUNCTION("""COMPUTED_VALUE"""),"MOBILECARE - LIMA ESTATE")</f>
        <v>MOBILECARE - LIMA ESTATE</v>
      </c>
      <c r="D639" s="2" t="str">
        <f>IFERROR(__xludf.DUMMYFUNCTION("""COMPUTED_VALUE"""),"PP661-23455")</f>
        <v>PP661-23455</v>
      </c>
      <c r="E639" s="2" t="str">
        <f>IFERROR(__xludf.DUMMYFUNCTION("""COMPUTED_VALUE"""),"iPhone 13, Starlight, 128GB, Logic Board Assy Rear System, ROW")</f>
        <v>iPhone 13, Starlight, 128GB, Logic Board Assy Rear System, ROW</v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 t="str">
        <f t="shared" si="1"/>
        <v>March</v>
      </c>
      <c r="B640" s="11">
        <f>IFERROR(__xludf.DUMMYFUNCTION("""COMPUTED_VALUE"""),46092.0)</f>
        <v>46092</v>
      </c>
      <c r="C640" s="2" t="str">
        <f>IFERROR(__xludf.DUMMYFUNCTION("""COMPUTED_VALUE"""),"MOBILECARE - LIMA ESTATE")</f>
        <v>MOBILECARE - LIMA ESTATE</v>
      </c>
      <c r="D640" s="2" t="str">
        <f>IFERROR(__xludf.DUMMYFUNCTION("""COMPUTED_VALUE"""),"PP661-23454")</f>
        <v>PP661-23454</v>
      </c>
      <c r="E640" s="2" t="str">
        <f>IFERROR(__xludf.DUMMYFUNCTION("""COMPUTED_VALUE"""),"iPhone 13, Midnight, 128GB, Logic Board Assy Rear System, ROW")</f>
        <v>iPhone 13, Midnight, 128GB, Logic Board Assy Rear System, ROW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 t="str">
        <f t="shared" si="1"/>
        <v>February</v>
      </c>
      <c r="B641" s="11">
        <f>IFERROR(__xludf.DUMMYFUNCTION("""COMPUTED_VALUE"""),46073.0)</f>
        <v>46073</v>
      </c>
      <c r="C641" s="2" t="str">
        <f>IFERROR(__xludf.DUMMYFUNCTION("""COMPUTED_VALUE"""),"MOBILECARE - LIMA ESTATE")</f>
        <v>MOBILECARE - LIMA ESTATE</v>
      </c>
      <c r="D641" s="2" t="str">
        <f>IFERROR(__xludf.DUMMYFUNCTION("""COMPUTED_VALUE"""),"PP661-23454")</f>
        <v>PP661-23454</v>
      </c>
      <c r="E641" s="2" t="str">
        <f>IFERROR(__xludf.DUMMYFUNCTION("""COMPUTED_VALUE"""),"iPhone 13, Midnight, 128GB, Logic Board Assy Rear System, ROW")</f>
        <v>iPhone 13, Midnight, 128GB, Logic Board Assy Rear System, ROW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 t="str">
        <f t="shared" si="1"/>
        <v>February</v>
      </c>
      <c r="B642" s="11">
        <f>IFERROR(__xludf.DUMMYFUNCTION("""COMPUTED_VALUE"""),46062.0)</f>
        <v>46062</v>
      </c>
      <c r="C642" s="2" t="str">
        <f>IFERROR(__xludf.DUMMYFUNCTION("""COMPUTED_VALUE"""),"MOBILECARE - LIMA ESTATE")</f>
        <v>MOBILECARE - LIMA ESTATE</v>
      </c>
      <c r="D642" s="2" t="str">
        <f>IFERROR(__xludf.DUMMYFUNCTION("""COMPUTED_VALUE"""),"TA661-45236")</f>
        <v>TA661-45236</v>
      </c>
      <c r="E642" s="2" t="str">
        <f>IFERROR(__xludf.DUMMYFUNCTION("""COMPUTED_VALUE"""),"256GB, Black, ROW, iPhone 16 Plus, Logic Board Assy Mid System")</f>
        <v>256GB, Black, ROW, iPhone 16 Plus, Logic Board Assy Mid System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 t="str">
        <f t="shared" si="1"/>
        <v>March</v>
      </c>
      <c r="B643" s="11">
        <f>IFERROR(__xludf.DUMMYFUNCTION("""COMPUTED_VALUE"""),46082.0)</f>
        <v>46082</v>
      </c>
      <c r="C643" s="2" t="str">
        <f>IFERROR(__xludf.DUMMYFUNCTION("""COMPUTED_VALUE"""),"MOBILECARE - LIMA ESTATE")</f>
        <v>MOBILECARE - LIMA ESTATE</v>
      </c>
      <c r="D643" s="2" t="str">
        <f>IFERROR(__xludf.DUMMYFUNCTION("""COMPUTED_VALUE"""),"TA661-43605")</f>
        <v>TA661-43605</v>
      </c>
      <c r="E643" s="2" t="str">
        <f>IFERROR(__xludf.DUMMYFUNCTION("""COMPUTED_VALUE"""),"128GB, Black, ROW, iPhone 16, Logic Board Assy Mid System")</f>
        <v>128GB, Black, ROW, iPhone 16, Logic Board Assy Mid System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 t="str">
        <f t="shared" si="1"/>
        <v>April</v>
      </c>
      <c r="B644" s="11">
        <f>IFERROR(__xludf.DUMMYFUNCTION("""COMPUTED_VALUE"""),46136.0)</f>
        <v>46136</v>
      </c>
      <c r="C644" s="2" t="str">
        <f>IFERROR(__xludf.DUMMYFUNCTION("""COMPUTED_VALUE"""),"MOBILECARE - LIMA ESTATE")</f>
        <v>MOBILECARE - LIMA ESTATE</v>
      </c>
      <c r="D644" s="2" t="str">
        <f>IFERROR(__xludf.DUMMYFUNCTION("""COMPUTED_VALUE"""),"PP661-23455")</f>
        <v>PP661-23455</v>
      </c>
      <c r="E644" s="2" t="str">
        <f>IFERROR(__xludf.DUMMYFUNCTION("""COMPUTED_VALUE"""),"iPhone 13, Starlight, 128GB, Logic Board Assy Rear System, ROW")</f>
        <v>iPhone 13, Starlight, 128GB, Logic Board Assy Rear System, ROW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 t="str">
        <f t="shared" si="1"/>
        <v>April</v>
      </c>
      <c r="B645" s="11">
        <f>IFERROR(__xludf.DUMMYFUNCTION("""COMPUTED_VALUE"""),46127.0)</f>
        <v>46127</v>
      </c>
      <c r="C645" s="2" t="str">
        <f>IFERROR(__xludf.DUMMYFUNCTION("""COMPUTED_VALUE"""),"MOBILECARE - LIMA ESTATE")</f>
        <v>MOBILECARE - LIMA ESTATE</v>
      </c>
      <c r="D645" s="2" t="str">
        <f>IFERROR(__xludf.DUMMYFUNCTION("""COMPUTED_VALUE"""),"PP661-23454")</f>
        <v>PP661-23454</v>
      </c>
      <c r="E645" s="2" t="str">
        <f>IFERROR(__xludf.DUMMYFUNCTION("""COMPUTED_VALUE"""),"iPhone 13, Midnight, 128GB, Logic Board Assy Rear System, ROW")</f>
        <v>iPhone 13, Midnight, 128GB, Logic Board Assy Rear System, ROW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 t="str">
        <f t="shared" si="1"/>
        <v>February</v>
      </c>
      <c r="B646" s="11">
        <f>IFERROR(__xludf.DUMMYFUNCTION("""COMPUTED_VALUE"""),46078.0)</f>
        <v>46078</v>
      </c>
      <c r="C646" s="2" t="str">
        <f>IFERROR(__xludf.DUMMYFUNCTION("""COMPUTED_VALUE"""),"MOBILECARE - LIMA ESTATE")</f>
        <v>MOBILECARE - LIMA ESTATE</v>
      </c>
      <c r="D646" s="2" t="str">
        <f>IFERROR(__xludf.DUMMYFUNCTION("""COMPUTED_VALUE"""),"TA661-36691")</f>
        <v>TA661-36691</v>
      </c>
      <c r="E646" s="2" t="str">
        <f>IFERROR(__xludf.DUMMYFUNCTION("""COMPUTED_VALUE"""),"iPhone 15, Black, 128GB, Logic Board Assy Mid System, ROW")</f>
        <v>iPhone 15, Black, 128GB, Logic Board Assy Mid System, ROW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 t="str">
        <f t="shared" si="1"/>
        <v>March</v>
      </c>
      <c r="B647" s="11">
        <f>IFERROR(__xludf.DUMMYFUNCTION("""COMPUTED_VALUE"""),46092.0)</f>
        <v>46092</v>
      </c>
      <c r="C647" s="2" t="str">
        <f>IFERROR(__xludf.DUMMYFUNCTION("""COMPUTED_VALUE"""),"MOBILECARE - LIMA ESTATE")</f>
        <v>MOBILECARE - LIMA ESTATE</v>
      </c>
      <c r="D647" s="2" t="str">
        <f>IFERROR(__xludf.DUMMYFUNCTION("""COMPUTED_VALUE"""),"TA661-36694")</f>
        <v>TA661-36694</v>
      </c>
      <c r="E647" s="2" t="str">
        <f>IFERROR(__xludf.DUMMYFUNCTION("""COMPUTED_VALUE"""),"iPhone 15, Blue, 128GB, Logic Board Assy Mid System, ROW")</f>
        <v>iPhone 15, Blue, 128GB, Logic Board Assy Mid System, ROW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 t="str">
        <f t="shared" si="1"/>
        <v>April</v>
      </c>
      <c r="B648" s="11">
        <f>IFERROR(__xludf.DUMMYFUNCTION("""COMPUTED_VALUE"""),46126.0)</f>
        <v>46126</v>
      </c>
      <c r="C648" s="2" t="str">
        <f>IFERROR(__xludf.DUMMYFUNCTION("""COMPUTED_VALUE"""),"MOBILECARE - LIMA ESTATE")</f>
        <v>MOBILECARE - LIMA ESTATE</v>
      </c>
      <c r="D648" s="2" t="str">
        <f>IFERROR(__xludf.DUMMYFUNCTION("""COMPUTED_VALUE"""),"PP661-23454")</f>
        <v>PP661-23454</v>
      </c>
      <c r="E648" s="2" t="str">
        <f>IFERROR(__xludf.DUMMYFUNCTION("""COMPUTED_VALUE"""),"iPhone 13, Midnight, 128GB, Logic Board Assy Rear System, ROW")</f>
        <v>iPhone 13, Midnight, 128GB, Logic Board Assy Rear System, ROW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 t="str">
        <f t="shared" si="1"/>
        <v>March</v>
      </c>
      <c r="B649" s="11">
        <f>IFERROR(__xludf.DUMMYFUNCTION("""COMPUTED_VALUE"""),46110.0)</f>
        <v>46110</v>
      </c>
      <c r="C649" s="2" t="str">
        <f>IFERROR(__xludf.DUMMYFUNCTION("""COMPUTED_VALUE"""),"MOBILECARE - LIMA ESTATE")</f>
        <v>MOBILECARE - LIMA ESTATE</v>
      </c>
      <c r="D649" s="2" t="str">
        <f>IFERROR(__xludf.DUMMYFUNCTION("""COMPUTED_VALUE"""),"PP661-28868")</f>
        <v>PP661-28868</v>
      </c>
      <c r="E649" s="2" t="str">
        <f>IFERROR(__xludf.DUMMYFUNCTION("""COMPUTED_VALUE"""),"iPhone 14, Midnight, 128GB, Logic Board Assy Mid System, ROW")</f>
        <v>iPhone 14, Midnight, 128GB, Logic Board Assy Mid System, ROW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 t="str">
        <f t="shared" si="1"/>
        <v>June</v>
      </c>
      <c r="B650" s="11">
        <f>IFERROR(__xludf.DUMMYFUNCTION("""COMPUTED_VALUE"""),46190.0)</f>
        <v>46190</v>
      </c>
      <c r="C650" s="2" t="str">
        <f>IFERROR(__xludf.DUMMYFUNCTION("""COMPUTED_VALUE"""),"MOBILECARE - LIMA ESTATE")</f>
        <v>MOBILECARE - LIMA ESTATE</v>
      </c>
      <c r="D650" s="2" t="str">
        <f>IFERROR(__xludf.DUMMYFUNCTION("""COMPUTED_VALUE"""),"TA661-36694")</f>
        <v>TA661-36694</v>
      </c>
      <c r="E650" s="2" t="str">
        <f>IFERROR(__xludf.DUMMYFUNCTION("""COMPUTED_VALUE"""),"iPhone 15, Blue, 128GB, Logic Board Assy Mid System, ROW")</f>
        <v>iPhone 15, Blue, 128GB, Logic Board Assy Mid System, ROW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 t="str">
        <f t="shared" si="1"/>
        <v>February</v>
      </c>
      <c r="B651" s="11">
        <f>IFERROR(__xludf.DUMMYFUNCTION("""COMPUTED_VALUE"""),46073.0)</f>
        <v>46073</v>
      </c>
      <c r="C651" s="2" t="str">
        <f>IFERROR(__xludf.DUMMYFUNCTION("""COMPUTED_VALUE"""),"MOBILECARE - LIMA ESTATE")</f>
        <v>MOBILECARE - LIMA ESTATE</v>
      </c>
      <c r="D651" s="2" t="str">
        <f>IFERROR(__xludf.DUMMYFUNCTION("""COMPUTED_VALUE"""),"TA661-45006")</f>
        <v>TA661-45006</v>
      </c>
      <c r="E651" s="2" t="str">
        <f>IFERROR(__xludf.DUMMYFUNCTION("""COMPUTED_VALUE"""),"512GB, Natural Titanium, ROW, iPhone 16 Pro, Logic Board Assy Mid System")</f>
        <v>512GB, Natural Titanium, ROW, iPhone 16 Pro, Logic Board Assy Mid System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 t="str">
        <f t="shared" si="1"/>
        <v>April</v>
      </c>
      <c r="B652" s="11">
        <f>IFERROR(__xludf.DUMMYFUNCTION("""COMPUTED_VALUE"""),46129.0)</f>
        <v>46129</v>
      </c>
      <c r="C652" s="2" t="str">
        <f>IFERROR(__xludf.DUMMYFUNCTION("""COMPUTED_VALUE"""),"MOBILECARE - NAGA")</f>
        <v>MOBILECARE - NAGA</v>
      </c>
      <c r="D652" s="2" t="str">
        <f>IFERROR(__xludf.DUMMYFUNCTION("""COMPUTED_VALUE"""),"PP661-23455")</f>
        <v>PP661-23455</v>
      </c>
      <c r="E652" s="2" t="str">
        <f>IFERROR(__xludf.DUMMYFUNCTION("""COMPUTED_VALUE"""),"iPhone 13, Starlight, 128GB, Logic Board Assy Rear System, ROW")</f>
        <v>iPhone 13, Starlight, 128GB, Logic Board Assy Rear System, ROW</v>
      </c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 t="str">
        <f t="shared" si="1"/>
        <v>March</v>
      </c>
      <c r="B653" s="11">
        <f>IFERROR(__xludf.DUMMYFUNCTION("""COMPUTED_VALUE"""),46112.0)</f>
        <v>46112</v>
      </c>
      <c r="C653" s="2" t="str">
        <f>IFERROR(__xludf.DUMMYFUNCTION("""COMPUTED_VALUE"""),"MOBILECARE - NAGA")</f>
        <v>MOBILECARE - NAGA</v>
      </c>
      <c r="D653" s="2" t="str">
        <f>IFERROR(__xludf.DUMMYFUNCTION("""COMPUTED_VALUE"""),"PP661-23454")</f>
        <v>PP661-23454</v>
      </c>
      <c r="E653" s="2" t="str">
        <f>IFERROR(__xludf.DUMMYFUNCTION("""COMPUTED_VALUE"""),"iPhone 13, Midnight, 128GB, Logic Board Assy Rear System, ROW")</f>
        <v>iPhone 13, Midnight, 128GB, Logic Board Assy Rear System, ROW</v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 t="str">
        <f t="shared" si="1"/>
        <v>February</v>
      </c>
      <c r="B654" s="11">
        <f>IFERROR(__xludf.DUMMYFUNCTION("""COMPUTED_VALUE"""),46060.0)</f>
        <v>46060</v>
      </c>
      <c r="C654" s="2" t="str">
        <f>IFERROR(__xludf.DUMMYFUNCTION("""COMPUTED_VALUE"""),"MOBILECARE - NAGA")</f>
        <v>MOBILECARE - NAGA</v>
      </c>
      <c r="D654" s="2" t="str">
        <f>IFERROR(__xludf.DUMMYFUNCTION("""COMPUTED_VALUE"""),"PP661-23455")</f>
        <v>PP661-23455</v>
      </c>
      <c r="E654" s="2" t="str">
        <f>IFERROR(__xludf.DUMMYFUNCTION("""COMPUTED_VALUE"""),"iPhone 13, Starlight, 128GB, Logic Board Assy Rear System, ROW")</f>
        <v>iPhone 13, Starlight, 128GB, Logic Board Assy Rear System, ROW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 t="str">
        <f t="shared" si="1"/>
        <v>March</v>
      </c>
      <c r="B655" s="11">
        <f>IFERROR(__xludf.DUMMYFUNCTION("""COMPUTED_VALUE"""),46094.0)</f>
        <v>46094</v>
      </c>
      <c r="C655" s="2" t="str">
        <f>IFERROR(__xludf.DUMMYFUNCTION("""COMPUTED_VALUE"""),"MOBILECARE - NAGA")</f>
        <v>MOBILECARE - NAGA</v>
      </c>
      <c r="D655" s="2" t="str">
        <f>IFERROR(__xludf.DUMMYFUNCTION("""COMPUTED_VALUE"""),"TA661-36691")</f>
        <v>TA661-36691</v>
      </c>
      <c r="E655" s="2" t="str">
        <f>IFERROR(__xludf.DUMMYFUNCTION("""COMPUTED_VALUE"""),"iPhone 15, Black, 128GB, Logic Board Assy Mid System, ROW")</f>
        <v>iPhone 15, Black, 128GB, Logic Board Assy Mid System, ROW</v>
      </c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 t="str">
        <f t="shared" si="1"/>
        <v>February</v>
      </c>
      <c r="B656" s="11">
        <f>IFERROR(__xludf.DUMMYFUNCTION("""COMPUTED_VALUE"""),46079.0)</f>
        <v>46079</v>
      </c>
      <c r="C656" s="2" t="str">
        <f>IFERROR(__xludf.DUMMYFUNCTION("""COMPUTED_VALUE"""),"MOBILECARE - NAGA")</f>
        <v>MOBILECARE - NAGA</v>
      </c>
      <c r="D656" s="2" t="str">
        <f>IFERROR(__xludf.DUMMYFUNCTION("""COMPUTED_VALUE"""),"PP661-23454")</f>
        <v>PP661-23454</v>
      </c>
      <c r="E656" s="2" t="str">
        <f>IFERROR(__xludf.DUMMYFUNCTION("""COMPUTED_VALUE"""),"iPhone 13, Midnight, 128GB, Logic Board Assy Rear System, ROW")</f>
        <v>iPhone 13, Midnight, 128GB, Logic Board Assy Rear System, ROW</v>
      </c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 t="str">
        <f t="shared" si="1"/>
        <v>March</v>
      </c>
      <c r="B657" s="11">
        <f>IFERROR(__xludf.DUMMYFUNCTION("""COMPUTED_VALUE"""),46083.0)</f>
        <v>46083</v>
      </c>
      <c r="C657" s="2" t="str">
        <f>IFERROR(__xludf.DUMMYFUNCTION("""COMPUTED_VALUE"""),"MOBILECARE - NAGA")</f>
        <v>MOBILECARE - NAGA</v>
      </c>
      <c r="D657" s="2" t="str">
        <f>IFERROR(__xludf.DUMMYFUNCTION("""COMPUTED_VALUE"""),"TA661-36695")</f>
        <v>TA661-36695</v>
      </c>
      <c r="E657" s="2" t="str">
        <f>IFERROR(__xludf.DUMMYFUNCTION("""COMPUTED_VALUE"""),"iPhone 15, Green, 128GB, Logic Board Assy Mid System, ROW")</f>
        <v>iPhone 15, Green, 128GB, Logic Board Assy Mid System, ROW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 t="str">
        <f t="shared" si="1"/>
        <v>May</v>
      </c>
      <c r="B658" s="11">
        <f>IFERROR(__xludf.DUMMYFUNCTION("""COMPUTED_VALUE"""),46147.0)</f>
        <v>46147</v>
      </c>
      <c r="C658" s="2" t="str">
        <f>IFERROR(__xludf.DUMMYFUNCTION("""COMPUTED_VALUE"""),"MOBILECARE - NAGA")</f>
        <v>MOBILECARE - NAGA</v>
      </c>
      <c r="D658" s="2" t="str">
        <f>IFERROR(__xludf.DUMMYFUNCTION("""COMPUTED_VALUE"""),"TA661-45232")</f>
        <v>TA661-45232</v>
      </c>
      <c r="E658" s="2" t="str">
        <f>IFERROR(__xludf.DUMMYFUNCTION("""COMPUTED_VALUE"""),"128GB, White, ROW, iPhone 16 Plus, Logic Board Assy Mid System")</f>
        <v>128GB, White, ROW, iPhone 16 Plus, Logic Board Assy Mid System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 t="str">
        <f t="shared" si="1"/>
        <v>March</v>
      </c>
      <c r="B659" s="11">
        <f>IFERROR(__xludf.DUMMYFUNCTION("""COMPUTED_VALUE"""),46108.0)</f>
        <v>46108</v>
      </c>
      <c r="C659" s="2" t="str">
        <f>IFERROR(__xludf.DUMMYFUNCTION("""COMPUTED_VALUE"""),"MOBILECARE - NAGA")</f>
        <v>MOBILECARE - NAGA</v>
      </c>
      <c r="D659" s="2" t="str">
        <f>IFERROR(__xludf.DUMMYFUNCTION("""COMPUTED_VALUE"""),"PP661-28868")</f>
        <v>PP661-28868</v>
      </c>
      <c r="E659" s="2" t="str">
        <f>IFERROR(__xludf.DUMMYFUNCTION("""COMPUTED_VALUE"""),"iPhone 14, Midnight, 128GB, Logic Board Assy Mid System, ROW")</f>
        <v>iPhone 14, Midnight, 128GB, Logic Board Assy Mid System, ROW</v>
      </c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 t="str">
        <f t="shared" si="1"/>
        <v>April</v>
      </c>
      <c r="B660" s="11">
        <f>IFERROR(__xludf.DUMMYFUNCTION("""COMPUTED_VALUE"""),46127.0)</f>
        <v>46127</v>
      </c>
      <c r="C660" s="2" t="str">
        <f>IFERROR(__xludf.DUMMYFUNCTION("""COMPUTED_VALUE"""),"MOBILECARE - NAGA")</f>
        <v>MOBILECARE - NAGA</v>
      </c>
      <c r="D660" s="2" t="str">
        <f>IFERROR(__xludf.DUMMYFUNCTION("""COMPUTED_VALUE"""),"PP661-28868")</f>
        <v>PP661-28868</v>
      </c>
      <c r="E660" s="2" t="str">
        <f>IFERROR(__xludf.DUMMYFUNCTION("""COMPUTED_VALUE"""),"iPhone 14, Midnight, 128GB, Logic Board Assy Mid System, ROW")</f>
        <v>iPhone 14, Midnight, 128GB, Logic Board Assy Mid System, ROW</v>
      </c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 t="str">
        <f t="shared" si="1"/>
        <v>April</v>
      </c>
      <c r="B661" s="11">
        <f>IFERROR(__xludf.DUMMYFUNCTION("""COMPUTED_VALUE"""),46127.0)</f>
        <v>46127</v>
      </c>
      <c r="C661" s="2" t="str">
        <f>IFERROR(__xludf.DUMMYFUNCTION("""COMPUTED_VALUE"""),"MOBILECARE - NAGA")</f>
        <v>MOBILECARE - NAGA</v>
      </c>
      <c r="D661" s="2" t="str">
        <f>IFERROR(__xludf.DUMMYFUNCTION("""COMPUTED_VALUE"""),"PP661-28868")</f>
        <v>PP661-28868</v>
      </c>
      <c r="E661" s="2" t="str">
        <f>IFERROR(__xludf.DUMMYFUNCTION("""COMPUTED_VALUE"""),"iPhone 14, Midnight, 128GB, Logic Board Assy Mid System, ROW")</f>
        <v>iPhone 14, Midnight, 128GB, Logic Board Assy Mid System, ROW</v>
      </c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 t="str">
        <f t="shared" si="1"/>
        <v>April</v>
      </c>
      <c r="B662" s="11">
        <f>IFERROR(__xludf.DUMMYFUNCTION("""COMPUTED_VALUE"""),46139.0)</f>
        <v>46139</v>
      </c>
      <c r="C662" s="2" t="str">
        <f>IFERROR(__xludf.DUMMYFUNCTION("""COMPUTED_VALUE"""),"MOBILECARE - NAGA")</f>
        <v>MOBILECARE - NAGA</v>
      </c>
      <c r="D662" s="2" t="str">
        <f>IFERROR(__xludf.DUMMYFUNCTION("""COMPUTED_VALUE"""),"TA661-44995")</f>
        <v>TA661-44995</v>
      </c>
      <c r="E662" s="2" t="str">
        <f>IFERROR(__xludf.DUMMYFUNCTION("""COMPUTED_VALUE"""),"128GB, Black Titanium, ROW, iPhone 16 Pro, Logic Board Assy Mid System")</f>
        <v>128GB, Black Titanium, ROW, iPhone 16 Pro, Logic Board Assy Mid System</v>
      </c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 t="str">
        <f t="shared" si="1"/>
        <v>June</v>
      </c>
      <c r="B663" s="11">
        <f>IFERROR(__xludf.DUMMYFUNCTION("""COMPUTED_VALUE"""),46192.0)</f>
        <v>46192</v>
      </c>
      <c r="C663" s="2" t="str">
        <f>IFERROR(__xludf.DUMMYFUNCTION("""COMPUTED_VALUE"""),"MOBILECARE - NAGA")</f>
        <v>MOBILECARE - NAGA</v>
      </c>
      <c r="D663" s="2" t="str">
        <f>IFERROR(__xludf.DUMMYFUNCTION("""COMPUTED_VALUE"""),"PP661-23454")</f>
        <v>PP661-23454</v>
      </c>
      <c r="E663" s="2" t="str">
        <f>IFERROR(__xludf.DUMMYFUNCTION("""COMPUTED_VALUE"""),"iPhone 13, Midnight, 128GB, Logic Board Assy Rear System, ROW")</f>
        <v>iPhone 13, Midnight, 128GB, Logic Board Assy Rear System, ROW</v>
      </c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 t="str">
        <f t="shared" si="1"/>
        <v>June</v>
      </c>
      <c r="B664" s="11">
        <f>IFERROR(__xludf.DUMMYFUNCTION("""COMPUTED_VALUE"""),46190.0)</f>
        <v>46190</v>
      </c>
      <c r="C664" s="2" t="str">
        <f>IFERROR(__xludf.DUMMYFUNCTION("""COMPUTED_VALUE"""),"MOBILECARE - NAGA")</f>
        <v>MOBILECARE - NAGA</v>
      </c>
      <c r="D664" s="2" t="str">
        <f>IFERROR(__xludf.DUMMYFUNCTION("""COMPUTED_VALUE"""),"TA661-44999")</f>
        <v>TA661-44999</v>
      </c>
      <c r="E664" s="2" t="str">
        <f>IFERROR(__xludf.DUMMYFUNCTION("""COMPUTED_VALUE"""),"256GB, Black Titanium, ROW, iPhone 16 Pro, Logic Board Assy Mid System")</f>
        <v>256GB, Black Titanium, ROW, iPhone 16 Pro, Logic Board Assy Mid System</v>
      </c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 t="str">
        <f t="shared" si="1"/>
        <v>June</v>
      </c>
      <c r="B665" s="11">
        <f>IFERROR(__xludf.DUMMYFUNCTION("""COMPUTED_VALUE"""),46183.0)</f>
        <v>46183</v>
      </c>
      <c r="C665" s="2" t="str">
        <f>IFERROR(__xludf.DUMMYFUNCTION("""COMPUTED_VALUE"""),"MOBILECARE - NAGA")</f>
        <v>MOBILECARE - NAGA</v>
      </c>
      <c r="D665" s="2" t="str">
        <f>IFERROR(__xludf.DUMMYFUNCTION("""COMPUTED_VALUE"""),"PP661-23454")</f>
        <v>PP661-23454</v>
      </c>
      <c r="E665" s="2" t="str">
        <f>IFERROR(__xludf.DUMMYFUNCTION("""COMPUTED_VALUE"""),"iPhone 13, Midnight, 128GB, Logic Board Assy Rear System, ROW")</f>
        <v>iPhone 13, Midnight, 128GB, Logic Board Assy Rear System, ROW</v>
      </c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 t="str">
        <f t="shared" si="1"/>
        <v>April</v>
      </c>
      <c r="B666" s="11">
        <f>IFERROR(__xludf.DUMMYFUNCTION("""COMPUTED_VALUE"""),46123.0)</f>
        <v>46123</v>
      </c>
      <c r="C666" s="2" t="str">
        <f>IFERROR(__xludf.DUMMYFUNCTION("""COMPUTED_VALUE"""),"MOBILECARE - NAGA")</f>
        <v>MOBILECARE - NAGA</v>
      </c>
      <c r="D666" s="2" t="str">
        <f>IFERROR(__xludf.DUMMYFUNCTION("""COMPUTED_VALUE"""),"TA661-45000")</f>
        <v>TA661-45000</v>
      </c>
      <c r="E666" s="2" t="str">
        <f>IFERROR(__xludf.DUMMYFUNCTION("""COMPUTED_VALUE"""),"256GB, White Titanium, ROW, iPhone 16 Pro, Logic Board Assy Mid System")</f>
        <v>256GB, White Titanium, ROW, iPhone 16 Pro, Logic Board Assy Mid System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 t="str">
        <f t="shared" si="1"/>
        <v>June</v>
      </c>
      <c r="B667" s="11">
        <f>IFERROR(__xludf.DUMMYFUNCTION("""COMPUTED_VALUE"""),46179.0)</f>
        <v>46179</v>
      </c>
      <c r="C667" s="2" t="str">
        <f>IFERROR(__xludf.DUMMYFUNCTION("""COMPUTED_VALUE"""),"MOBILECARE - NAGA")</f>
        <v>MOBILECARE - NAGA</v>
      </c>
      <c r="D667" s="2" t="str">
        <f>IFERROR(__xludf.DUMMYFUNCTION("""COMPUTED_VALUE"""),"TA661-45232")</f>
        <v>TA661-45232</v>
      </c>
      <c r="E667" s="2" t="str">
        <f>IFERROR(__xludf.DUMMYFUNCTION("""COMPUTED_VALUE"""),"128GB, White, ROW, iPhone 16 Plus, Logic Board Assy Mid System")</f>
        <v>128GB, White, ROW, iPhone 16 Plus, Logic Board Assy Mid System</v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 t="str">
        <f t="shared" si="1"/>
        <v>June</v>
      </c>
      <c r="B668" s="11">
        <f>IFERROR(__xludf.DUMMYFUNCTION("""COMPUTED_VALUE"""),46192.0)</f>
        <v>46192</v>
      </c>
      <c r="C668" s="2" t="str">
        <f>IFERROR(__xludf.DUMMYFUNCTION("""COMPUTED_VALUE"""),"MOBILECARE - NAGA")</f>
        <v>MOBILECARE - NAGA</v>
      </c>
      <c r="D668" s="2" t="str">
        <f>IFERROR(__xludf.DUMMYFUNCTION("""COMPUTED_VALUE"""),"PP661-23455")</f>
        <v>PP661-23455</v>
      </c>
      <c r="E668" s="2" t="str">
        <f>IFERROR(__xludf.DUMMYFUNCTION("""COMPUTED_VALUE"""),"iPhone 13, Starlight, 128GB, Logic Board Assy Rear System, ROW")</f>
        <v>iPhone 13, Starlight, 128GB, Logic Board Assy Rear System, ROW</v>
      </c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 t="str">
        <f t="shared" si="1"/>
        <v>April</v>
      </c>
      <c r="B669" s="11">
        <f>IFERROR(__xludf.DUMMYFUNCTION("""COMPUTED_VALUE"""),46119.0)</f>
        <v>46119</v>
      </c>
      <c r="C669" s="2" t="str">
        <f>IFERROR(__xludf.DUMMYFUNCTION("""COMPUTED_VALUE"""),"MOBILECARE - NAGA")</f>
        <v>MOBILECARE - NAGA</v>
      </c>
      <c r="D669" s="2" t="str">
        <f>IFERROR(__xludf.DUMMYFUNCTION("""COMPUTED_VALUE"""),"TA661-36697")</f>
        <v>TA661-36697</v>
      </c>
      <c r="E669" s="2" t="str">
        <f>IFERROR(__xludf.DUMMYFUNCTION("""COMPUTED_VALUE"""),"iPhone 15, Pink, 256GB, Logic Board Assy Mid System, ROW")</f>
        <v>iPhone 15, Pink, 256GB, Logic Board Assy Mid System, ROW</v>
      </c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 t="str">
        <f t="shared" si="1"/>
        <v>February</v>
      </c>
      <c r="B670" s="11">
        <f>IFERROR(__xludf.DUMMYFUNCTION("""COMPUTED_VALUE"""),46060.0)</f>
        <v>46060</v>
      </c>
      <c r="C670" s="2" t="str">
        <f>IFERROR(__xludf.DUMMYFUNCTION("""COMPUTED_VALUE"""),"MOBILECARE - NAGA")</f>
        <v>MOBILECARE - NAGA</v>
      </c>
      <c r="D670" s="2" t="str">
        <f>IFERROR(__xludf.DUMMYFUNCTION("""COMPUTED_VALUE"""),"PP661-23455")</f>
        <v>PP661-23455</v>
      </c>
      <c r="E670" s="2" t="str">
        <f>IFERROR(__xludf.DUMMYFUNCTION("""COMPUTED_VALUE"""),"iPhone 13, Starlight, 128GB, Logic Board Assy Rear System, ROW")</f>
        <v>iPhone 13, Starlight, 128GB, Logic Board Assy Rear System, ROW</v>
      </c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 t="str">
        <f t="shared" si="1"/>
        <v>February</v>
      </c>
      <c r="B671" s="11">
        <f>IFERROR(__xludf.DUMMYFUNCTION("""COMPUTED_VALUE"""),46061.0)</f>
        <v>46061</v>
      </c>
      <c r="C671" s="2" t="str">
        <f>IFERROR(__xludf.DUMMYFUNCTION("""COMPUTED_VALUE"""),"MOBILECARE - NAGA")</f>
        <v>MOBILECARE - NAGA</v>
      </c>
      <c r="D671" s="2" t="str">
        <f>IFERROR(__xludf.DUMMYFUNCTION("""COMPUTED_VALUE"""),"PP661-23455")</f>
        <v>PP661-23455</v>
      </c>
      <c r="E671" s="2" t="str">
        <f>IFERROR(__xludf.DUMMYFUNCTION("""COMPUTED_VALUE"""),"iPhone 13, Starlight, 128GB, Logic Board Assy Rear System, ROW")</f>
        <v>iPhone 13, Starlight, 128GB, Logic Board Assy Rear System, ROW</v>
      </c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 t="str">
        <f t="shared" si="1"/>
        <v>April</v>
      </c>
      <c r="B672" s="11">
        <f>IFERROR(__xludf.DUMMYFUNCTION("""COMPUTED_VALUE"""),46117.0)</f>
        <v>46117</v>
      </c>
      <c r="C672" s="2" t="str">
        <f>IFERROR(__xludf.DUMMYFUNCTION("""COMPUTED_VALUE"""),"MOBILECARE - NAGA")</f>
        <v>MOBILECARE - NAGA</v>
      </c>
      <c r="D672" s="2" t="str">
        <f>IFERROR(__xludf.DUMMYFUNCTION("""COMPUTED_VALUE"""),"TA661-43606")</f>
        <v>TA661-43606</v>
      </c>
      <c r="E672" s="2" t="str">
        <f>IFERROR(__xludf.DUMMYFUNCTION("""COMPUTED_VALUE"""),"128GB, White, ROW, iPhone 16, Logic Board Assy Mid System")</f>
        <v>128GB, White, ROW, iPhone 16, Logic Board Assy Mid System</v>
      </c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 t="str">
        <f t="shared" si="1"/>
        <v>February</v>
      </c>
      <c r="B673" s="11">
        <f>IFERROR(__xludf.DUMMYFUNCTION("""COMPUTED_VALUE"""),46058.0)</f>
        <v>46058</v>
      </c>
      <c r="C673" s="2" t="str">
        <f>IFERROR(__xludf.DUMMYFUNCTION("""COMPUTED_VALUE"""),"MOBILECARE - NAGA")</f>
        <v>MOBILECARE - NAGA</v>
      </c>
      <c r="D673" s="2" t="str">
        <f>IFERROR(__xludf.DUMMYFUNCTION("""COMPUTED_VALUE"""),"PP661-23455")</f>
        <v>PP661-23455</v>
      </c>
      <c r="E673" s="2" t="str">
        <f>IFERROR(__xludf.DUMMYFUNCTION("""COMPUTED_VALUE"""),"iPhone 13, Starlight, 128GB, Logic Board Assy Rear System, ROW")</f>
        <v>iPhone 13, Starlight, 128GB, Logic Board Assy Rear System, ROW</v>
      </c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 t="str">
        <f t="shared" si="1"/>
        <v>April</v>
      </c>
      <c r="B674" s="11">
        <f>IFERROR(__xludf.DUMMYFUNCTION("""COMPUTED_VALUE"""),46134.0)</f>
        <v>46134</v>
      </c>
      <c r="C674" s="2" t="str">
        <f>IFERROR(__xludf.DUMMYFUNCTION("""COMPUTED_VALUE"""),"MOBILECARE - NAGA")</f>
        <v>MOBILECARE - NAGA</v>
      </c>
      <c r="D674" s="2" t="str">
        <f>IFERROR(__xludf.DUMMYFUNCTION("""COMPUTED_VALUE"""),"PP661-28882")</f>
        <v>PP661-28882</v>
      </c>
      <c r="E674" s="2" t="str">
        <f>IFERROR(__xludf.DUMMYFUNCTION("""COMPUTED_VALUE"""),"iPhone 14, Purple, 512GB, Logic Board Assy Mid System, ROW")</f>
        <v>iPhone 14, Purple, 512GB, Logic Board Assy Mid System, ROW</v>
      </c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 t="str">
        <f t="shared" si="1"/>
        <v>February</v>
      </c>
      <c r="B675" s="11">
        <f>IFERROR(__xludf.DUMMYFUNCTION("""COMPUTED_VALUE"""),46077.0)</f>
        <v>46077</v>
      </c>
      <c r="C675" s="2" t="str">
        <f>IFERROR(__xludf.DUMMYFUNCTION("""COMPUTED_VALUE"""),"MOBILECARE - NAGA")</f>
        <v>MOBILECARE - NAGA</v>
      </c>
      <c r="D675" s="2" t="str">
        <f>IFERROR(__xludf.DUMMYFUNCTION("""COMPUTED_VALUE"""),"TA661-36691")</f>
        <v>TA661-36691</v>
      </c>
      <c r="E675" s="2" t="str">
        <f>IFERROR(__xludf.DUMMYFUNCTION("""COMPUTED_VALUE"""),"iPhone 15, Black, 128GB, Logic Board Assy Mid System, ROW")</f>
        <v>iPhone 15, Black, 128GB, Logic Board Assy Mid System, ROW</v>
      </c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 t="str">
        <f t="shared" si="1"/>
        <v>June</v>
      </c>
      <c r="B676" s="11">
        <f>IFERROR(__xludf.DUMMYFUNCTION("""COMPUTED_VALUE"""),46185.0)</f>
        <v>46185</v>
      </c>
      <c r="C676" s="2" t="str">
        <f>IFERROR(__xludf.DUMMYFUNCTION("""COMPUTED_VALUE"""),"MOBILECARE - NAGA")</f>
        <v>MOBILECARE - NAGA</v>
      </c>
      <c r="D676" s="2" t="str">
        <f>IFERROR(__xludf.DUMMYFUNCTION("""COMPUTED_VALUE"""),"PP661-23455")</f>
        <v>PP661-23455</v>
      </c>
      <c r="E676" s="2" t="str">
        <f>IFERROR(__xludf.DUMMYFUNCTION("""COMPUTED_VALUE"""),"iPhone 13, Starlight, 128GB, Logic Board Assy Rear System, ROW")</f>
        <v>iPhone 13, Starlight, 128GB, Logic Board Assy Rear System, ROW</v>
      </c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 t="str">
        <f t="shared" si="1"/>
        <v>April</v>
      </c>
      <c r="B677" s="11">
        <f>IFERROR(__xludf.DUMMYFUNCTION("""COMPUTED_VALUE"""),46133.0)</f>
        <v>46133</v>
      </c>
      <c r="C677" s="2" t="str">
        <f>IFERROR(__xludf.DUMMYFUNCTION("""COMPUTED_VALUE"""),"MOBILECARE - NAGA")</f>
        <v>MOBILECARE - NAGA</v>
      </c>
      <c r="D677" s="2" t="str">
        <f>IFERROR(__xludf.DUMMYFUNCTION("""COMPUTED_VALUE"""),"PP661-23455")</f>
        <v>PP661-23455</v>
      </c>
      <c r="E677" s="2" t="str">
        <f>IFERROR(__xludf.DUMMYFUNCTION("""COMPUTED_VALUE"""),"iPhone 13, Starlight, 128GB, Logic Board Assy Rear System, ROW")</f>
        <v>iPhone 13, Starlight, 128GB, Logic Board Assy Rear System, ROW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 t="str">
        <f t="shared" si="1"/>
        <v>March</v>
      </c>
      <c r="B678" s="11">
        <f>IFERROR(__xludf.DUMMYFUNCTION("""COMPUTED_VALUE"""),46090.0)</f>
        <v>46090</v>
      </c>
      <c r="C678" s="2" t="str">
        <f>IFERROR(__xludf.DUMMYFUNCTION("""COMPUTED_VALUE"""),"MOBILECARE - NAGA")</f>
        <v>MOBILECARE - NAGA</v>
      </c>
      <c r="D678" s="2" t="str">
        <f>IFERROR(__xludf.DUMMYFUNCTION("""COMPUTED_VALUE"""),"PP661-23455")</f>
        <v>PP661-23455</v>
      </c>
      <c r="E678" s="2" t="str">
        <f>IFERROR(__xludf.DUMMYFUNCTION("""COMPUTED_VALUE"""),"iPhone 13, Starlight, 128GB, Logic Board Assy Rear System, ROW")</f>
        <v>iPhone 13, Starlight, 128GB, Logic Board Assy Rear System, ROW</v>
      </c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 t="str">
        <f t="shared" si="1"/>
        <v>April</v>
      </c>
      <c r="B679" s="11">
        <f>IFERROR(__xludf.DUMMYFUNCTION("""COMPUTED_VALUE"""),46137.0)</f>
        <v>46137</v>
      </c>
      <c r="C679" s="2" t="str">
        <f>IFERROR(__xludf.DUMMYFUNCTION("""COMPUTED_VALUE"""),"MOBILECARE - NAGA")</f>
        <v>MOBILECARE - NAGA</v>
      </c>
      <c r="D679" s="2" t="str">
        <f>IFERROR(__xludf.DUMMYFUNCTION("""COMPUTED_VALUE"""),"PP661-23455")</f>
        <v>PP661-23455</v>
      </c>
      <c r="E679" s="2" t="str">
        <f>IFERROR(__xludf.DUMMYFUNCTION("""COMPUTED_VALUE"""),"iPhone 13, Starlight, 128GB, Logic Board Assy Rear System, ROW")</f>
        <v>iPhone 13, Starlight, 128GB, Logic Board Assy Rear System, ROW</v>
      </c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 t="str">
        <f t="shared" si="1"/>
        <v>February</v>
      </c>
      <c r="B680" s="11">
        <f>IFERROR(__xludf.DUMMYFUNCTION("""COMPUTED_VALUE"""),46072.0)</f>
        <v>46072</v>
      </c>
      <c r="C680" s="2" t="str">
        <f>IFERROR(__xludf.DUMMYFUNCTION("""COMPUTED_VALUE"""),"MOBILECARE - NAGA")</f>
        <v>MOBILECARE - NAGA</v>
      </c>
      <c r="D680" s="2" t="str">
        <f>IFERROR(__xludf.DUMMYFUNCTION("""COMPUTED_VALUE"""),"TA661-36691")</f>
        <v>TA661-36691</v>
      </c>
      <c r="E680" s="2" t="str">
        <f>IFERROR(__xludf.DUMMYFUNCTION("""COMPUTED_VALUE"""),"iPhone 15, Black, 128GB, Logic Board Assy Mid System, ROW")</f>
        <v>iPhone 15, Black, 128GB, Logic Board Assy Mid System, ROW</v>
      </c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 t="str">
        <f t="shared" si="1"/>
        <v>May</v>
      </c>
      <c r="B681" s="11">
        <f>IFERROR(__xludf.DUMMYFUNCTION("""COMPUTED_VALUE"""),46149.0)</f>
        <v>46149</v>
      </c>
      <c r="C681" s="2" t="str">
        <f>IFERROR(__xludf.DUMMYFUNCTION("""COMPUTED_VALUE"""),"MOBILECARE - NAGA")</f>
        <v>MOBILECARE - NAGA</v>
      </c>
      <c r="D681" s="2" t="str">
        <f>IFERROR(__xludf.DUMMYFUNCTION("""COMPUTED_VALUE"""),"TA661-43605")</f>
        <v>TA661-43605</v>
      </c>
      <c r="E681" s="2" t="str">
        <f>IFERROR(__xludf.DUMMYFUNCTION("""COMPUTED_VALUE"""),"128GB, Black, ROW, iPhone 16, Logic Board Assy Mid System")</f>
        <v>128GB, Black, ROW, iPhone 16, Logic Board Assy Mid System</v>
      </c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 t="str">
        <f t="shared" si="1"/>
        <v>April</v>
      </c>
      <c r="B682" s="11">
        <f>IFERROR(__xludf.DUMMYFUNCTION("""COMPUTED_VALUE"""),46113.0)</f>
        <v>46113</v>
      </c>
      <c r="C682" s="2" t="str">
        <f>IFERROR(__xludf.DUMMYFUNCTION("""COMPUTED_VALUE"""),"MOBILECARE - NAGA")</f>
        <v>MOBILECARE - NAGA</v>
      </c>
      <c r="D682" s="2" t="str">
        <f>IFERROR(__xludf.DUMMYFUNCTION("""COMPUTED_VALUE"""),"PP661-23454")</f>
        <v>PP661-23454</v>
      </c>
      <c r="E682" s="2" t="str">
        <f>IFERROR(__xludf.DUMMYFUNCTION("""COMPUTED_VALUE"""),"iPhone 13, Midnight, 128GB, Logic Board Assy Rear System, ROW")</f>
        <v>iPhone 13, Midnight, 128GB, Logic Board Assy Rear System, ROW</v>
      </c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 t="str">
        <f t="shared" si="1"/>
        <v>February</v>
      </c>
      <c r="B683" s="11">
        <f>IFERROR(__xludf.DUMMYFUNCTION("""COMPUTED_VALUE"""),46072.0)</f>
        <v>46072</v>
      </c>
      <c r="C683" s="2" t="str">
        <f>IFERROR(__xludf.DUMMYFUNCTION("""COMPUTED_VALUE"""),"MOBILECARE - NAGA")</f>
        <v>MOBILECARE - NAGA</v>
      </c>
      <c r="D683" s="2" t="str">
        <f>IFERROR(__xludf.DUMMYFUNCTION("""COMPUTED_VALUE"""),"PP661-28873")</f>
        <v>PP661-28873</v>
      </c>
      <c r="E683" s="2" t="str">
        <f>IFERROR(__xludf.DUMMYFUNCTION("""COMPUTED_VALUE"""),"iPhone 14, Midnight, 256GB, Logic Board Assy Mid System, ROW")</f>
        <v>iPhone 14, Midnight, 256GB, Logic Board Assy Mid System, ROW</v>
      </c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 t="str">
        <f t="shared" si="1"/>
        <v>June</v>
      </c>
      <c r="B684" s="11">
        <f>IFERROR(__xludf.DUMMYFUNCTION("""COMPUTED_VALUE"""),46182.0)</f>
        <v>46182</v>
      </c>
      <c r="C684" s="2" t="str">
        <f>IFERROR(__xludf.DUMMYFUNCTION("""COMPUTED_VALUE"""),"MOBILECARE - NAGA")</f>
        <v>MOBILECARE - NAGA</v>
      </c>
      <c r="D684" s="2" t="str">
        <f>IFERROR(__xludf.DUMMYFUNCTION("""COMPUTED_VALUE"""),"PP661-23455")</f>
        <v>PP661-23455</v>
      </c>
      <c r="E684" s="2" t="str">
        <f>IFERROR(__xludf.DUMMYFUNCTION("""COMPUTED_VALUE"""),"iPhone 13, Starlight, 128GB, Logic Board Assy Rear System, ROW")</f>
        <v>iPhone 13, Starlight, 128GB, Logic Board Assy Rear System, ROW</v>
      </c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 t="str">
        <f t="shared" si="1"/>
        <v>March</v>
      </c>
      <c r="B685" s="11">
        <f>IFERROR(__xludf.DUMMYFUNCTION("""COMPUTED_VALUE"""),46109.0)</f>
        <v>46109</v>
      </c>
      <c r="C685" s="2" t="str">
        <f>IFERROR(__xludf.DUMMYFUNCTION("""COMPUTED_VALUE"""),"MOBILECARE - NAGA")</f>
        <v>MOBILECARE - NAGA</v>
      </c>
      <c r="D685" s="2" t="str">
        <f>IFERROR(__xludf.DUMMYFUNCTION("""COMPUTED_VALUE"""),"PP661-23455")</f>
        <v>PP661-23455</v>
      </c>
      <c r="E685" s="2" t="str">
        <f>IFERROR(__xludf.DUMMYFUNCTION("""COMPUTED_VALUE"""),"iPhone 13, Starlight, 128GB, Logic Board Assy Rear System, ROW")</f>
        <v>iPhone 13, Starlight, 128GB, Logic Board Assy Rear System, ROW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 t="str">
        <f t="shared" si="1"/>
        <v>March</v>
      </c>
      <c r="B686" s="11">
        <f>IFERROR(__xludf.DUMMYFUNCTION("""COMPUTED_VALUE"""),46096.0)</f>
        <v>46096</v>
      </c>
      <c r="C686" s="2" t="str">
        <f>IFERROR(__xludf.DUMMYFUNCTION("""COMPUTED_VALUE"""),"MOBILECARE - NAGA")</f>
        <v>MOBILECARE - NAGA</v>
      </c>
      <c r="D686" s="2" t="str">
        <f>IFERROR(__xludf.DUMMYFUNCTION("""COMPUTED_VALUE"""),"TA661-44995")</f>
        <v>TA661-44995</v>
      </c>
      <c r="E686" s="2" t="str">
        <f>IFERROR(__xludf.DUMMYFUNCTION("""COMPUTED_VALUE"""),"128GB, Black Titanium, ROW, iPhone 16 Pro, Logic Board Assy Mid System")</f>
        <v>128GB, Black Titanium, ROW, iPhone 16 Pro, Logic Board Assy Mid System</v>
      </c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 t="str">
        <f t="shared" si="1"/>
        <v>February</v>
      </c>
      <c r="B687" s="11">
        <f>IFERROR(__xludf.DUMMYFUNCTION("""COMPUTED_VALUE"""),46081.0)</f>
        <v>46081</v>
      </c>
      <c r="C687" s="2" t="str">
        <f>IFERROR(__xludf.DUMMYFUNCTION("""COMPUTED_VALUE"""),"MOBILECARE - NAGA")</f>
        <v>MOBILECARE - NAGA</v>
      </c>
      <c r="D687" s="2" t="str">
        <f>IFERROR(__xludf.DUMMYFUNCTION("""COMPUTED_VALUE"""),"PP661-28868")</f>
        <v>PP661-28868</v>
      </c>
      <c r="E687" s="2" t="str">
        <f>IFERROR(__xludf.DUMMYFUNCTION("""COMPUTED_VALUE"""),"iPhone 14, Midnight, 128GB, Logic Board Assy Mid System, ROW")</f>
        <v>iPhone 14, Midnight, 128GB, Logic Board Assy Mid System, ROW</v>
      </c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 t="str">
        <f t="shared" si="1"/>
        <v>February</v>
      </c>
      <c r="B688" s="11">
        <f>IFERROR(__xludf.DUMMYFUNCTION("""COMPUTED_VALUE"""),46081.0)</f>
        <v>46081</v>
      </c>
      <c r="C688" s="2" t="str">
        <f>IFERROR(__xludf.DUMMYFUNCTION("""COMPUTED_VALUE"""),"MOBILECARE - NAGA")</f>
        <v>MOBILECARE - NAGA</v>
      </c>
      <c r="D688" s="2" t="str">
        <f>IFERROR(__xludf.DUMMYFUNCTION("""COMPUTED_VALUE"""),"PP661-28868")</f>
        <v>PP661-28868</v>
      </c>
      <c r="E688" s="2" t="str">
        <f>IFERROR(__xludf.DUMMYFUNCTION("""COMPUTED_VALUE"""),"iPhone 14, Midnight, 128GB, Logic Board Assy Mid System, ROW")</f>
        <v>iPhone 14, Midnight, 128GB, Logic Board Assy Mid System, ROW</v>
      </c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 t="str">
        <f t="shared" si="1"/>
        <v>March</v>
      </c>
      <c r="B689" s="11">
        <f>IFERROR(__xludf.DUMMYFUNCTION("""COMPUTED_VALUE"""),46102.0)</f>
        <v>46102</v>
      </c>
      <c r="C689" s="2" t="str">
        <f>IFERROR(__xludf.DUMMYFUNCTION("""COMPUTED_VALUE"""),"MOBILECARE - NAGA")</f>
        <v>MOBILECARE - NAGA</v>
      </c>
      <c r="D689" s="2" t="str">
        <f>IFERROR(__xludf.DUMMYFUNCTION("""COMPUTED_VALUE"""),"PP661-28868")</f>
        <v>PP661-28868</v>
      </c>
      <c r="E689" s="2" t="str">
        <f>IFERROR(__xludf.DUMMYFUNCTION("""COMPUTED_VALUE"""),"iPhone 14, Midnight, 128GB, Logic Board Assy Mid System, ROW")</f>
        <v>iPhone 14, Midnight, 128GB, Logic Board Assy Mid System, ROW</v>
      </c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 t="str">
        <f t="shared" si="1"/>
        <v>March</v>
      </c>
      <c r="B690" s="11">
        <f>IFERROR(__xludf.DUMMYFUNCTION("""COMPUTED_VALUE"""),46097.0)</f>
        <v>46097</v>
      </c>
      <c r="C690" s="2" t="str">
        <f>IFERROR(__xludf.DUMMYFUNCTION("""COMPUTED_VALUE"""),"MOBILECARE - NAGA")</f>
        <v>MOBILECARE - NAGA</v>
      </c>
      <c r="D690" s="2" t="str">
        <f>IFERROR(__xludf.DUMMYFUNCTION("""COMPUTED_VALUE"""),"PP661-23454")</f>
        <v>PP661-23454</v>
      </c>
      <c r="E690" s="2" t="str">
        <f>IFERROR(__xludf.DUMMYFUNCTION("""COMPUTED_VALUE"""),"iPhone 13, Midnight, 128GB, Logic Board Assy Rear System, ROW")</f>
        <v>iPhone 13, Midnight, 128GB, Logic Board Assy Rear System, ROW</v>
      </c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 t="str">
        <f t="shared" si="1"/>
        <v>April</v>
      </c>
      <c r="B691" s="11">
        <f>IFERROR(__xludf.DUMMYFUNCTION("""COMPUTED_VALUE"""),46142.0)</f>
        <v>46142</v>
      </c>
      <c r="C691" s="2" t="str">
        <f>IFERROR(__xludf.DUMMYFUNCTION("""COMPUTED_VALUE"""),"MOBILECARE - NAGA")</f>
        <v>MOBILECARE - NAGA</v>
      </c>
      <c r="D691" s="2" t="str">
        <f>IFERROR(__xludf.DUMMYFUNCTION("""COMPUTED_VALUE"""),"PP661-23455")</f>
        <v>PP661-23455</v>
      </c>
      <c r="E691" s="2" t="str">
        <f>IFERROR(__xludf.DUMMYFUNCTION("""COMPUTED_VALUE"""),"iPhone 13, Starlight, 128GB, Logic Board Assy Rear System, ROW")</f>
        <v>iPhone 13, Starlight, 128GB, Logic Board Assy Rear System, ROW</v>
      </c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 t="str">
        <f t="shared" si="1"/>
        <v>April</v>
      </c>
      <c r="B692" s="11">
        <f>IFERROR(__xludf.DUMMYFUNCTION("""COMPUTED_VALUE"""),46117.0)</f>
        <v>46117</v>
      </c>
      <c r="C692" s="2" t="str">
        <f>IFERROR(__xludf.DUMMYFUNCTION("""COMPUTED_VALUE"""),"MOBILECARE - NAGA")</f>
        <v>MOBILECARE - NAGA</v>
      </c>
      <c r="D692" s="2" t="str">
        <f>IFERROR(__xludf.DUMMYFUNCTION("""COMPUTED_VALUE"""),"PP661-28871")</f>
        <v>PP661-28871</v>
      </c>
      <c r="E692" s="2" t="str">
        <f>IFERROR(__xludf.DUMMYFUNCTION("""COMPUTED_VALUE"""),"iPhone 14, Blue, 128GB, Logic Board Assy Mid System, ROW")</f>
        <v>iPhone 14, Blue, 128GB, Logic Board Assy Mid System, ROW</v>
      </c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 t="str">
        <f t="shared" si="1"/>
        <v>February</v>
      </c>
      <c r="B693" s="11">
        <f>IFERROR(__xludf.DUMMYFUNCTION("""COMPUTED_VALUE"""),46063.0)</f>
        <v>46063</v>
      </c>
      <c r="C693" s="2" t="str">
        <f>IFERROR(__xludf.DUMMYFUNCTION("""COMPUTED_VALUE"""),"MOBILECARE - NAGA")</f>
        <v>MOBILECARE - NAGA</v>
      </c>
      <c r="D693" s="2" t="str">
        <f>IFERROR(__xludf.DUMMYFUNCTION("""COMPUTED_VALUE"""),"PP661-23454")</f>
        <v>PP661-23454</v>
      </c>
      <c r="E693" s="2" t="str">
        <f>IFERROR(__xludf.DUMMYFUNCTION("""COMPUTED_VALUE"""),"iPhone 13, Midnight, 128GB, Logic Board Assy Rear System, ROW")</f>
        <v>iPhone 13, Midnight, 128GB, Logic Board Assy Rear System, ROW</v>
      </c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1:E1"/>
    <mergeCell ref="G1:H1"/>
    <mergeCell ref="J1:K1"/>
    <mergeCell ref="M1:N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15.38"/>
    <col customWidth="1" min="3" max="3" width="34.13"/>
    <col customWidth="1" min="4" max="4" width="10.75"/>
    <col customWidth="1" min="5" max="5" width="50.38"/>
    <col customWidth="1" min="7" max="8" width="15.13"/>
  </cols>
  <sheetData>
    <row r="1">
      <c r="A1" s="12" t="s">
        <v>0</v>
      </c>
      <c r="F1" s="2"/>
      <c r="G1" s="13" t="s">
        <v>302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3</v>
      </c>
      <c r="B2" s="6" t="s">
        <v>8</v>
      </c>
      <c r="C2" s="6" t="s">
        <v>13</v>
      </c>
      <c r="D2" s="6" t="s">
        <v>23</v>
      </c>
      <c r="E2" s="6" t="s">
        <v>24</v>
      </c>
      <c r="F2" s="2"/>
      <c r="G2" s="15" t="s">
        <v>3</v>
      </c>
      <c r="H2" s="15" t="s">
        <v>328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tr">
        <f t="shared" ref="A3:A70" si="1">TEXT(B3:B1000,"MMMM")</f>
        <v>January</v>
      </c>
      <c r="B3" s="11">
        <f>IFERROR(__xludf.DUMMYFUNCTION("IFERROR(CHOOSECOLS(FILTER(Masterlist!A3:J1000, ISNUMBER(SEARCH(""IPHONE"", Masterlist!H3:H1000)), ISNUMBER(SEARCH(""Back Glass"", Masterlist!H3:H1000))), 6, 2, 7, 8), ""No iPhones Found"")"),46041.0)</f>
        <v>46041</v>
      </c>
      <c r="C3" s="2" t="str">
        <f>IFERROR(__xludf.DUMMYFUNCTION("""COMPUTED_VALUE"""),"MOBILECARE - GLORIETTA 5")</f>
        <v>MOBILECARE - GLORIETTA 5</v>
      </c>
      <c r="D3" s="2" t="str">
        <f>IFERROR(__xludf.DUMMYFUNCTION("""COMPUTED_VALUE"""),"661-36913")</f>
        <v>661-36913</v>
      </c>
      <c r="E3" s="2" t="str">
        <f>IFERROR(__xludf.DUMMYFUNCTION("""COMPUTED_VALUE"""),"Natural Titanium, Millimeter Wave, Back Glass, iPhone 15 Pro Max")</f>
        <v>Natural Titanium, Millimeter Wave, Back Glass, iPhone 15 Pro Max</v>
      </c>
      <c r="F3" s="2"/>
      <c r="G3" s="2" t="str">
        <f>IFERROR(__xludf.DUMMYFUNCTION("LET(
  months_data, FILTER(A3:A1000, A3:A1000&lt;&gt;""""),
  unique_months, UNIQUE(months_data),
  counts, MAP(unique_months, LAMBDA(m, COUNTIF(months_data, m))),
  ordered_table, HSTACK(unique_months, counts),
  month_order, {""January"",1; ""February"",2; """&amp;"March"",3; ""April"",4; ""May"",5; ""June"",6; ""July"",7; ""August"",8; ""September"",9; ""October"",10; ""November"",11; ""December"",12},
  SORT(ordered_table, XLOOKUP(INDEX(ordered_table,,1), INDEX(month_order,,1), INDEX(month_order,,2)), TRUE)
)"),"January")</f>
        <v>January</v>
      </c>
      <c r="H3" s="2">
        <f>IFERROR(__xludf.DUMMYFUNCTION("""COMPUTED_VALUE"""),13.0)</f>
        <v>13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tr">
        <f t="shared" si="1"/>
        <v>January</v>
      </c>
      <c r="B4" s="11">
        <f>IFERROR(__xludf.DUMMYFUNCTION("""COMPUTED_VALUE"""),46040.0)</f>
        <v>46040</v>
      </c>
      <c r="C4" s="2" t="str">
        <f>IFERROR(__xludf.DUMMYFUNCTION("""COMPUTED_VALUE"""),"MOBILECARE - DAVAO")</f>
        <v>MOBILECARE - DAVAO</v>
      </c>
      <c r="D4" s="2" t="str">
        <f>IFERROR(__xludf.DUMMYFUNCTION("""COMPUTED_VALUE"""),"661-36841")</f>
        <v>661-36841</v>
      </c>
      <c r="E4" s="2" t="str">
        <f>IFERROR(__xludf.DUMMYFUNCTION("""COMPUTED_VALUE"""),"Blue, Back Glass, iPhone 15")</f>
        <v>Blue, Back Glass, iPhone 15</v>
      </c>
      <c r="F4" s="2"/>
      <c r="G4" s="2" t="str">
        <f>IFERROR(__xludf.DUMMYFUNCTION("""COMPUTED_VALUE"""),"February")</f>
        <v>February</v>
      </c>
      <c r="H4" s="2">
        <f>IFERROR(__xludf.DUMMYFUNCTION("""COMPUTED_VALUE"""),13.0)</f>
        <v>13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tr">
        <f t="shared" si="1"/>
        <v>January</v>
      </c>
      <c r="B5" s="11">
        <f>IFERROR(__xludf.DUMMYFUNCTION("""COMPUTED_VALUE"""),46033.0)</f>
        <v>46033</v>
      </c>
      <c r="C5" s="2" t="str">
        <f>IFERROR(__xludf.DUMMYFUNCTION("""COMPUTED_VALUE"""),"MOBILECARE - APP MALL OF ASIA")</f>
        <v>MOBILECARE - APP MALL OF ASIA</v>
      </c>
      <c r="D5" s="2" t="str">
        <f>IFERROR(__xludf.DUMMYFUNCTION("""COMPUTED_VALUE"""),"661-35702")</f>
        <v>661-35702</v>
      </c>
      <c r="E5" s="2" t="str">
        <f>IFERROR(__xludf.DUMMYFUNCTION("""COMPUTED_VALUE"""),"Natural Titanium, Back Glass, iPhone 15 Pro")</f>
        <v>Natural Titanium, Back Glass, iPhone 15 Pro</v>
      </c>
      <c r="F5" s="2"/>
      <c r="G5" s="2" t="str">
        <f>IFERROR(__xludf.DUMMYFUNCTION("""COMPUTED_VALUE"""),"March")</f>
        <v>March</v>
      </c>
      <c r="H5" s="2">
        <f>IFERROR(__xludf.DUMMYFUNCTION("""COMPUTED_VALUE"""),11.0)</f>
        <v>11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tr">
        <f t="shared" si="1"/>
        <v>January</v>
      </c>
      <c r="B6" s="11">
        <f>IFERROR(__xludf.DUMMYFUNCTION("""COMPUTED_VALUE"""),46037.0)</f>
        <v>46037</v>
      </c>
      <c r="C6" s="2" t="str">
        <f>IFERROR(__xludf.DUMMYFUNCTION("""COMPUTED_VALUE"""),"MOBILECARE - NAGA")</f>
        <v>MOBILECARE - NAGA</v>
      </c>
      <c r="D6" s="2" t="str">
        <f>IFERROR(__xludf.DUMMYFUNCTION("""COMPUTED_VALUE"""),"661-36842")</f>
        <v>661-36842</v>
      </c>
      <c r="E6" s="2" t="str">
        <f>IFERROR(__xludf.DUMMYFUNCTION("""COMPUTED_VALUE"""),"Green, Back Glass, iPhone 15")</f>
        <v>Green, Back Glass, iPhone 15</v>
      </c>
      <c r="F6" s="2"/>
      <c r="G6" s="2" t="str">
        <f>IFERROR(__xludf.DUMMYFUNCTION("""COMPUTED_VALUE"""),"April")</f>
        <v>April</v>
      </c>
      <c r="H6" s="2">
        <f>IFERROR(__xludf.DUMMYFUNCTION("""COMPUTED_VALUE"""),14.0)</f>
        <v>14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tr">
        <f t="shared" si="1"/>
        <v>January</v>
      </c>
      <c r="B7" s="11">
        <f>IFERROR(__xludf.DUMMYFUNCTION("""COMPUTED_VALUE"""),46040.0)</f>
        <v>46040</v>
      </c>
      <c r="C7" s="2" t="str">
        <f>IFERROR(__xludf.DUMMYFUNCTION("""COMPUTED_VALUE"""),"MOBILECARE - LIMA ESTATE")</f>
        <v>MOBILECARE - LIMA ESTATE</v>
      </c>
      <c r="D7" s="2" t="str">
        <f>IFERROR(__xludf.DUMMYFUNCTION("""COMPUTED_VALUE"""),"661-42723")</f>
        <v>661-42723</v>
      </c>
      <c r="E7" s="2" t="str">
        <f>IFERROR(__xludf.DUMMYFUNCTION("""COMPUTED_VALUE"""),"White Titanium, Back Glass, iPhone 16 Pro")</f>
        <v>White Titanium, Back Glass, iPhone 16 Pro</v>
      </c>
      <c r="F7" s="2"/>
      <c r="G7" s="2" t="str">
        <f>IFERROR(__xludf.DUMMYFUNCTION("""COMPUTED_VALUE"""),"May")</f>
        <v>May</v>
      </c>
      <c r="H7" s="2">
        <f>IFERROR(__xludf.DUMMYFUNCTION("""COMPUTED_VALUE"""),9.0)</f>
        <v>9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tr">
        <f t="shared" si="1"/>
        <v>January</v>
      </c>
      <c r="B8" s="11">
        <f>IFERROR(__xludf.DUMMYFUNCTION("""COMPUTED_VALUE"""),46031.0)</f>
        <v>46031</v>
      </c>
      <c r="C8" s="2" t="str">
        <f>IFERROR(__xludf.DUMMYFUNCTION("""COMPUTED_VALUE"""),"MOBILECARE - LIMA ESTATE")</f>
        <v>MOBILECARE - LIMA ESTATE</v>
      </c>
      <c r="D8" s="2" t="str">
        <f>IFERROR(__xludf.DUMMYFUNCTION("""COMPUTED_VALUE"""),"661-35703")</f>
        <v>661-35703</v>
      </c>
      <c r="E8" s="2" t="str">
        <f>IFERROR(__xludf.DUMMYFUNCTION("""COMPUTED_VALUE"""),"Blue Titanium, Back Glass, iPhone 15 Pro")</f>
        <v>Blue Titanium, Back Glass, iPhone 15 Pro</v>
      </c>
      <c r="F8" s="2"/>
      <c r="G8" s="2" t="str">
        <f>IFERROR(__xludf.DUMMYFUNCTION("""COMPUTED_VALUE"""),"June")</f>
        <v>June</v>
      </c>
      <c r="H8" s="2">
        <f>IFERROR(__xludf.DUMMYFUNCTION("""COMPUTED_VALUE"""),8.0)</f>
        <v>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tr">
        <f t="shared" si="1"/>
        <v>January</v>
      </c>
      <c r="B9" s="11">
        <f>IFERROR(__xludf.DUMMYFUNCTION("""COMPUTED_VALUE"""),46026.0)</f>
        <v>46026</v>
      </c>
      <c r="C9" s="2" t="str">
        <f>IFERROR(__xludf.DUMMYFUNCTION("""COMPUTED_VALUE"""),"MOBILECARE - LIMA ESTATE")</f>
        <v>MOBILECARE - LIMA ESTATE</v>
      </c>
      <c r="D9" s="2" t="str">
        <f>IFERROR(__xludf.DUMMYFUNCTION("""COMPUTED_VALUE"""),"661-36838")</f>
        <v>661-36838</v>
      </c>
      <c r="E9" s="2" t="str">
        <f>IFERROR(__xludf.DUMMYFUNCTION("""COMPUTED_VALUE"""),"Black, Back Glass, iPhone 15")</f>
        <v>Black, Back Glass, iPhone 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tr">
        <f t="shared" si="1"/>
        <v>January</v>
      </c>
      <c r="B10" s="11">
        <f>IFERROR(__xludf.DUMMYFUNCTION("""COMPUTED_VALUE"""),46042.0)</f>
        <v>46042</v>
      </c>
      <c r="C10" s="2" t="str">
        <f>IFERROR(__xludf.DUMMYFUNCTION("""COMPUTED_VALUE"""),"MOBILECARE - CAGAYAN DE ORO")</f>
        <v>MOBILECARE - CAGAYAN DE ORO</v>
      </c>
      <c r="D10" s="2" t="str">
        <f>IFERROR(__xludf.DUMMYFUNCTION("""COMPUTED_VALUE"""),"661-42725")</f>
        <v>661-42725</v>
      </c>
      <c r="E10" s="2" t="str">
        <f>IFERROR(__xludf.DUMMYFUNCTION("""COMPUTED_VALUE"""),"Natural Titanium, Back Glass, iPhone 16 Pro")</f>
        <v>Natural Titanium, Back Glass, iPhone 16 Pro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tr">
        <f t="shared" si="1"/>
        <v>January</v>
      </c>
      <c r="B11" s="11">
        <f>IFERROR(__xludf.DUMMYFUNCTION("""COMPUTED_VALUE"""),46033.0)</f>
        <v>46033</v>
      </c>
      <c r="C11" s="2" t="str">
        <f>IFERROR(__xludf.DUMMYFUNCTION("""COMPUTED_VALUE"""),"MOBILECARE - VERTIS NORTH")</f>
        <v>MOBILECARE - VERTIS NORTH</v>
      </c>
      <c r="D11" s="2" t="str">
        <f>IFERROR(__xludf.DUMMYFUNCTION("""COMPUTED_VALUE"""),"661-36909")</f>
        <v>661-36909</v>
      </c>
      <c r="E11" s="2" t="str">
        <f>IFERROR(__xludf.DUMMYFUNCTION("""COMPUTED_VALUE"""),"Natural Titanium, Back Glass, iPhone 15 Pro Max")</f>
        <v>Natural Titanium, Back Glass, iPhone 15 Pro Max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tr">
        <f t="shared" si="1"/>
        <v>January</v>
      </c>
      <c r="B12" s="11">
        <f>IFERROR(__xludf.DUMMYFUNCTION("""COMPUTED_VALUE"""),46048.0)</f>
        <v>46048</v>
      </c>
      <c r="C12" s="2" t="str">
        <f>IFERROR(__xludf.DUMMYFUNCTION("""COMPUTED_VALUE"""),"MOBILECARE - VERTIS NORTH")</f>
        <v>MOBILECARE - VERTIS NORTH</v>
      </c>
      <c r="D12" s="2" t="str">
        <f>IFERROR(__xludf.DUMMYFUNCTION("""COMPUTED_VALUE"""),"661-36838")</f>
        <v>661-36838</v>
      </c>
      <c r="E12" s="2" t="str">
        <f>IFERROR(__xludf.DUMMYFUNCTION("""COMPUTED_VALUE"""),"Black, Back Glass, iPhone 15")</f>
        <v>Black, Back Glass, iPhone 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tr">
        <f t="shared" si="1"/>
        <v>May</v>
      </c>
      <c r="B13" s="11">
        <f>IFERROR(__xludf.DUMMYFUNCTION("""COMPUTED_VALUE"""),46158.0)</f>
        <v>46158</v>
      </c>
      <c r="C13" s="2" t="str">
        <f>IFERROR(__xludf.DUMMYFUNCTION("""COMPUTED_VALUE"""),"MOBILECARE - LA UNION")</f>
        <v>MOBILECARE - LA UNION</v>
      </c>
      <c r="D13" s="2" t="str">
        <f>IFERROR(__xludf.DUMMYFUNCTION("""COMPUTED_VALUE"""),"661-56054")</f>
        <v>661-56054</v>
      </c>
      <c r="E13" s="2" t="str">
        <f>IFERROR(__xludf.DUMMYFUNCTION("""COMPUTED_VALUE"""),"Cosmic Orange, Back Glass, iPhone 17 Pro Max")</f>
        <v>Cosmic Orange, Back Glass, iPhone 17 Pro Max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tr">
        <f t="shared" si="1"/>
        <v>January</v>
      </c>
      <c r="B14" s="11">
        <f>IFERROR(__xludf.DUMMYFUNCTION("""COMPUTED_VALUE"""),46028.0)</f>
        <v>46028</v>
      </c>
      <c r="C14" s="2" t="str">
        <f>IFERROR(__xludf.DUMMYFUNCTION("""COMPUTED_VALUE"""),"MOBILECARE - APP MAGNOLIA")</f>
        <v>MOBILECARE - APP MAGNOLIA</v>
      </c>
      <c r="D14" s="2" t="str">
        <f>IFERROR(__xludf.DUMMYFUNCTION("""COMPUTED_VALUE"""),"661-49557")</f>
        <v>661-49557</v>
      </c>
      <c r="E14" s="2" t="str">
        <f>IFERROR(__xludf.DUMMYFUNCTION("""COMPUTED_VALUE"""),"Desert, Back Glass, iPhone 16 Pro")</f>
        <v>Desert, Back Glass, iPhone 16 Pro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tr">
        <f t="shared" si="1"/>
        <v>April</v>
      </c>
      <c r="B15" s="11">
        <f>IFERROR(__xludf.DUMMYFUNCTION("""COMPUTED_VALUE"""),46122.0)</f>
        <v>46122</v>
      </c>
      <c r="C15" s="2" t="str">
        <f>IFERROR(__xludf.DUMMYFUNCTION("""COMPUTED_VALUE"""),"MOBILECARE - ZAMBOANGA")</f>
        <v>MOBILECARE - ZAMBOANGA</v>
      </c>
      <c r="D15" s="2" t="str">
        <f>IFERROR(__xludf.DUMMYFUNCTION("""COMPUTED_VALUE"""),"661-44960")</f>
        <v>661-44960</v>
      </c>
      <c r="E15" s="2" t="str">
        <f>IFERROR(__xludf.DUMMYFUNCTION("""COMPUTED_VALUE"""),"Desert Titanium, Back Glass, iPhone 16 Pro Max")</f>
        <v>Desert Titanium, Back Glass, iPhone 16 Pro Max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tr">
        <f t="shared" si="1"/>
        <v>April</v>
      </c>
      <c r="B16" s="11">
        <f>IFERROR(__xludf.DUMMYFUNCTION("""COMPUTED_VALUE"""),46117.0)</f>
        <v>46117</v>
      </c>
      <c r="C16" s="2" t="str">
        <f>IFERROR(__xludf.DUMMYFUNCTION("""COMPUTED_VALUE"""),"MOBILECARE - APP MALL OF ASIA")</f>
        <v>MOBILECARE - APP MALL OF ASIA</v>
      </c>
      <c r="D16" s="2" t="str">
        <f>IFERROR(__xludf.DUMMYFUNCTION("""COMPUTED_VALUE"""),"661-44960")</f>
        <v>661-44960</v>
      </c>
      <c r="E16" s="2" t="str">
        <f>IFERROR(__xludf.DUMMYFUNCTION("""COMPUTED_VALUE"""),"Desert Titanium, Back Glass, iPhone 16 Pro Max")</f>
        <v>Desert Titanium, Back Glass, iPhone 16 Pro Max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tr">
        <f t="shared" si="1"/>
        <v>March</v>
      </c>
      <c r="B17" s="11">
        <f>IFERROR(__xludf.DUMMYFUNCTION("""COMPUTED_VALUE"""),46108.0)</f>
        <v>46108</v>
      </c>
      <c r="C17" s="2" t="str">
        <f>IFERROR(__xludf.DUMMYFUNCTION("""COMPUTED_VALUE"""),"MOBILECARE - S'MAISON")</f>
        <v>MOBILECARE - S'MAISON</v>
      </c>
      <c r="D17" s="2" t="str">
        <f>IFERROR(__xludf.DUMMYFUNCTION("""COMPUTED_VALUE"""),"661-56060")</f>
        <v>661-56060</v>
      </c>
      <c r="E17" s="2" t="str">
        <f>IFERROR(__xludf.DUMMYFUNCTION("""COMPUTED_VALUE"""),"Lavender, Back Glass, iPhone 17")</f>
        <v>Lavender, Back Glass, iPhone 17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tr">
        <f t="shared" si="1"/>
        <v>February</v>
      </c>
      <c r="B18" s="11">
        <f>IFERROR(__xludf.DUMMYFUNCTION("""COMPUTED_VALUE"""),46064.0)</f>
        <v>46064</v>
      </c>
      <c r="C18" s="2" t="str">
        <f>IFERROR(__xludf.DUMMYFUNCTION("""COMPUTED_VALUE"""),"MOBILECARE - S'MAISON")</f>
        <v>MOBILECARE - S'MAISON</v>
      </c>
      <c r="D18" s="2" t="str">
        <f>IFERROR(__xludf.DUMMYFUNCTION("""COMPUTED_VALUE"""),"661-44960")</f>
        <v>661-44960</v>
      </c>
      <c r="E18" s="2" t="str">
        <f>IFERROR(__xludf.DUMMYFUNCTION("""COMPUTED_VALUE"""),"Desert Titanium, Back Glass, iPhone 16 Pro Max")</f>
        <v>Desert Titanium, Back Glass, iPhone 16 Pro Max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tr">
        <f t="shared" si="1"/>
        <v>March</v>
      </c>
      <c r="B19" s="11">
        <f>IFERROR(__xludf.DUMMYFUNCTION("""COMPUTED_VALUE"""),46106.0)</f>
        <v>46106</v>
      </c>
      <c r="C19" s="2" t="str">
        <f>IFERROR(__xludf.DUMMYFUNCTION("""COMPUTED_VALUE"""),"MOBILECARE - S'MAISON")</f>
        <v>MOBILECARE - S'MAISON</v>
      </c>
      <c r="D19" s="2" t="str">
        <f>IFERROR(__xludf.DUMMYFUNCTION("""COMPUTED_VALUE"""),"661-36834")</f>
        <v>661-36834</v>
      </c>
      <c r="E19" s="2" t="str">
        <f>IFERROR(__xludf.DUMMYFUNCTION("""COMPUTED_VALUE"""),"Natural Titanium, Millimeter Wave, Back Glass, iPhone 15 Pro")</f>
        <v>Natural Titanium, Millimeter Wave, Back Glass, iPhone 15 Pro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tr">
        <f t="shared" si="1"/>
        <v>May</v>
      </c>
      <c r="B20" s="11">
        <f>IFERROR(__xludf.DUMMYFUNCTION("""COMPUTED_VALUE"""),46159.0)</f>
        <v>46159</v>
      </c>
      <c r="C20" s="2" t="str">
        <f>IFERROR(__xludf.DUMMYFUNCTION("""COMPUTED_VALUE"""),"MOBILECARE - APP THE ANNEX")</f>
        <v>MOBILECARE - APP THE ANNEX</v>
      </c>
      <c r="D20" s="2" t="str">
        <f>IFERROR(__xludf.DUMMYFUNCTION("""COMPUTED_VALUE"""),"661-56122")</f>
        <v>661-56122</v>
      </c>
      <c r="E20" s="2" t="str">
        <f>IFERROR(__xludf.DUMMYFUNCTION("""COMPUTED_VALUE"""),"Silver, Back Glass, iPhone 17 Pro")</f>
        <v>Silver, Back Glass, iPhone 17 Pro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tr">
        <f t="shared" si="1"/>
        <v>March</v>
      </c>
      <c r="B21" s="11">
        <f>IFERROR(__xludf.DUMMYFUNCTION("""COMPUTED_VALUE"""),46108.0)</f>
        <v>46108</v>
      </c>
      <c r="C21" s="2" t="str">
        <f>IFERROR(__xludf.DUMMYFUNCTION("""COMPUTED_VALUE"""),"MOBILECARE - APP THE ANNEX")</f>
        <v>MOBILECARE - APP THE ANNEX</v>
      </c>
      <c r="D21" s="2" t="str">
        <f>IFERROR(__xludf.DUMMYFUNCTION("""COMPUTED_VALUE"""),"661-35700")</f>
        <v>661-35700</v>
      </c>
      <c r="E21" s="2" t="str">
        <f>IFERROR(__xludf.DUMMYFUNCTION("""COMPUTED_VALUE"""),"Black Titanium, Back Glass, iPhone 15 Pro")</f>
        <v>Black Titanium, Back Glass, iPhone 15 Pro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tr">
        <f t="shared" si="1"/>
        <v>May</v>
      </c>
      <c r="B22" s="11">
        <f>IFERROR(__xludf.DUMMYFUNCTION("""COMPUTED_VALUE"""),46160.0)</f>
        <v>46160</v>
      </c>
      <c r="C22" s="2" t="str">
        <f>IFERROR(__xludf.DUMMYFUNCTION("""COMPUTED_VALUE"""),"MOBILECARE - APP THE ANNEX")</f>
        <v>MOBILECARE - APP THE ANNEX</v>
      </c>
      <c r="D22" s="2" t="str">
        <f>IFERROR(__xludf.DUMMYFUNCTION("""COMPUTED_VALUE"""),"661-42842")</f>
        <v>661-42842</v>
      </c>
      <c r="E22" s="2" t="str">
        <f>IFERROR(__xludf.DUMMYFUNCTION("""COMPUTED_VALUE"""),"TealBack Glass, iPhone 16 Plus")</f>
        <v>TealBack Glass, iPhone 16 Plus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tr">
        <f t="shared" si="1"/>
        <v>May</v>
      </c>
      <c r="B23" s="11">
        <f>IFERROR(__xludf.DUMMYFUNCTION("""COMPUTED_VALUE"""),46153.0)</f>
        <v>46153</v>
      </c>
      <c r="C23" s="2" t="str">
        <f>IFERROR(__xludf.DUMMYFUNCTION("""COMPUTED_VALUE"""),"MOBILECARE - APP THE ANNEX")</f>
        <v>MOBILECARE - APP THE ANNEX</v>
      </c>
      <c r="D23" s="2" t="str">
        <f>IFERROR(__xludf.DUMMYFUNCTION("""COMPUTED_VALUE"""),"661-56122")</f>
        <v>661-56122</v>
      </c>
      <c r="E23" s="2" t="str">
        <f>IFERROR(__xludf.DUMMYFUNCTION("""COMPUTED_VALUE"""),"Silver, Back Glass, iPhone 17 Pro")</f>
        <v>Silver, Back Glass, iPhone 17 Pro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tr">
        <f t="shared" si="1"/>
        <v>April</v>
      </c>
      <c r="B24" s="11">
        <f>IFERROR(__xludf.DUMMYFUNCTION("""COMPUTED_VALUE"""),46127.0)</f>
        <v>46127</v>
      </c>
      <c r="C24" s="2" t="str">
        <f>IFERROR(__xludf.DUMMYFUNCTION("""COMPUTED_VALUE"""),"MOBILECARE - DAVAO")</f>
        <v>MOBILECARE - DAVAO</v>
      </c>
      <c r="D24" s="2" t="str">
        <f>IFERROR(__xludf.DUMMYFUNCTION("""COMPUTED_VALUE"""),"661-56057")</f>
        <v>661-56057</v>
      </c>
      <c r="E24" s="2" t="str">
        <f>IFERROR(__xludf.DUMMYFUNCTION("""COMPUTED_VALUE"""),"Black, Back Glass, iPhone 17")</f>
        <v>Black, Back Glass, iPhone 17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tr">
        <f t="shared" si="1"/>
        <v>June</v>
      </c>
      <c r="B25" s="11">
        <f>IFERROR(__xludf.DUMMYFUNCTION("""COMPUTED_VALUE"""),46185.0)</f>
        <v>46185</v>
      </c>
      <c r="C25" s="2" t="str">
        <f>IFERROR(__xludf.DUMMYFUNCTION("""COMPUTED_VALUE"""),"MOBILECARE - DAVAO")</f>
        <v>MOBILECARE - DAVAO</v>
      </c>
      <c r="D25" s="2" t="str">
        <f>IFERROR(__xludf.DUMMYFUNCTION("""COMPUTED_VALUE"""),"661-42725")</f>
        <v>661-42725</v>
      </c>
      <c r="E25" s="2" t="str">
        <f>IFERROR(__xludf.DUMMYFUNCTION("""COMPUTED_VALUE"""),"Natural Titanium, Back Glass, iPhone 16 Pro")</f>
        <v>Natural Titanium, Back Glass, iPhone 16 Pro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tr">
        <f t="shared" si="1"/>
        <v>April</v>
      </c>
      <c r="B26" s="11">
        <f>IFERROR(__xludf.DUMMYFUNCTION("""COMPUTED_VALUE"""),46116.0)</f>
        <v>46116</v>
      </c>
      <c r="C26" s="2" t="str">
        <f>IFERROR(__xludf.DUMMYFUNCTION("""COMPUTED_VALUE"""),"MOBILECARE - DAVAO")</f>
        <v>MOBILECARE - DAVAO</v>
      </c>
      <c r="D26" s="2" t="str">
        <f>IFERROR(__xludf.DUMMYFUNCTION("""COMPUTED_VALUE"""),"661-56122")</f>
        <v>661-56122</v>
      </c>
      <c r="E26" s="2" t="str">
        <f>IFERROR(__xludf.DUMMYFUNCTION("""COMPUTED_VALUE"""),"Silver, Back Glass, iPhone 17 Pro")</f>
        <v>Silver, Back Glass, iPhone 17 Pro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tr">
        <f t="shared" si="1"/>
        <v>April</v>
      </c>
      <c r="B27" s="11">
        <f>IFERROR(__xludf.DUMMYFUNCTION("""COMPUTED_VALUE"""),46116.0)</f>
        <v>46116</v>
      </c>
      <c r="C27" s="2" t="str">
        <f>IFERROR(__xludf.DUMMYFUNCTION("""COMPUTED_VALUE"""),"MOBILECARE - VERTIS NORTH")</f>
        <v>MOBILECARE - VERTIS NORTH</v>
      </c>
      <c r="D27" s="2" t="str">
        <f>IFERROR(__xludf.DUMMYFUNCTION("""COMPUTED_VALUE"""),"661-42722")</f>
        <v>661-42722</v>
      </c>
      <c r="E27" s="2" t="str">
        <f>IFERROR(__xludf.DUMMYFUNCTION("""COMPUTED_VALUE"""),"Black Titanium, Back Glass, iPhone 16 Pro")</f>
        <v>Black Titanium, Back Glass, iPhone 16 Pro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tr">
        <f t="shared" si="1"/>
        <v>May</v>
      </c>
      <c r="B28" s="11">
        <f>IFERROR(__xludf.DUMMYFUNCTION("""COMPUTED_VALUE"""),46159.0)</f>
        <v>46159</v>
      </c>
      <c r="C28" s="2" t="str">
        <f>IFERROR(__xludf.DUMMYFUNCTION("""COMPUTED_VALUE"""),"MOBILECARE - VERTIS NORTH")</f>
        <v>MOBILECARE - VERTIS NORTH</v>
      </c>
      <c r="D28" s="2" t="str">
        <f>IFERROR(__xludf.DUMMYFUNCTION("""COMPUTED_VALUE"""),"661-44961")</f>
        <v>661-44961</v>
      </c>
      <c r="E28" s="2" t="str">
        <f>IFERROR(__xludf.DUMMYFUNCTION("""COMPUTED_VALUE"""),"Natural Titanium, Back Glass, iPhone 16 Pro Max")</f>
        <v>Natural Titanium, Back Glass, iPhone 16 Pro Max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tr">
        <f t="shared" si="1"/>
        <v>January</v>
      </c>
      <c r="B29" s="11">
        <f>IFERROR(__xludf.DUMMYFUNCTION("""COMPUTED_VALUE"""),46037.0)</f>
        <v>46037</v>
      </c>
      <c r="C29" s="2" t="str">
        <f>IFERROR(__xludf.DUMMYFUNCTION("""COMPUTED_VALUE"""),"MOBILECARE - VERTIS NORTH")</f>
        <v>MOBILECARE - VERTIS NORTH</v>
      </c>
      <c r="D29" s="2" t="str">
        <f>IFERROR(__xludf.DUMMYFUNCTION("""COMPUTED_VALUE"""),"661-44959")</f>
        <v>661-44959</v>
      </c>
      <c r="E29" s="2" t="str">
        <f>IFERROR(__xludf.DUMMYFUNCTION("""COMPUTED_VALUE"""),"White Titanium, Back Glass, iPhone 16 Pro Max")</f>
        <v>White Titanium, Back Glass, iPhone 16 Pro Max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tr">
        <f t="shared" si="1"/>
        <v>February</v>
      </c>
      <c r="B30" s="11">
        <f>IFERROR(__xludf.DUMMYFUNCTION("""COMPUTED_VALUE"""),46065.0)</f>
        <v>46065</v>
      </c>
      <c r="C30" s="2" t="str">
        <f>IFERROR(__xludf.DUMMYFUNCTION("""COMPUTED_VALUE"""),"MOBILECARE - CAGAYAN DE ORO")</f>
        <v>MOBILECARE - CAGAYAN DE ORO</v>
      </c>
      <c r="D30" s="2" t="str">
        <f>IFERROR(__xludf.DUMMYFUNCTION("""COMPUTED_VALUE"""),"661-42840")</f>
        <v>661-42840</v>
      </c>
      <c r="E30" s="2" t="str">
        <f>IFERROR(__xludf.DUMMYFUNCTION("""COMPUTED_VALUE"""),"PinkBack Glass, iPhone 16 Plus")</f>
        <v>PinkBack Glass, iPhone 16 Plus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tr">
        <f t="shared" si="1"/>
        <v>April</v>
      </c>
      <c r="B31" s="11">
        <f>IFERROR(__xludf.DUMMYFUNCTION("""COMPUTED_VALUE"""),46124.0)</f>
        <v>46124</v>
      </c>
      <c r="C31" s="2" t="str">
        <f>IFERROR(__xludf.DUMMYFUNCTION("""COMPUTED_VALUE"""),"MOBILECARE - APP FESTIVAL MALL")</f>
        <v>MOBILECARE - APP FESTIVAL MALL</v>
      </c>
      <c r="D31" s="2" t="str">
        <f>IFERROR(__xludf.DUMMYFUNCTION("""COMPUTED_VALUE"""),"661-36908")</f>
        <v>661-36908</v>
      </c>
      <c r="E31" s="2" t="str">
        <f>IFERROR(__xludf.DUMMYFUNCTION("""COMPUTED_VALUE"""),"White Titanium, Back Glass, iPhone 15 Pro Max")</f>
        <v>White Titanium, Back Glass, iPhone 15 Pro Max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tr">
        <f t="shared" si="1"/>
        <v>June</v>
      </c>
      <c r="B32" s="11">
        <f>IFERROR(__xludf.DUMMYFUNCTION("""COMPUTED_VALUE"""),46193.0)</f>
        <v>46193</v>
      </c>
      <c r="C32" s="2" t="str">
        <f>IFERROR(__xludf.DUMMYFUNCTION("""COMPUTED_VALUE"""),"MOBILECARE - APP FESTIVAL MALL")</f>
        <v>MOBILECARE - APP FESTIVAL MALL</v>
      </c>
      <c r="D32" s="2" t="str">
        <f>IFERROR(__xludf.DUMMYFUNCTION("""COMPUTED_VALUE"""),"661-30387")</f>
        <v>661-30387</v>
      </c>
      <c r="E32" s="2" t="str">
        <f>IFERROR(__xludf.DUMMYFUNCTION("""COMPUTED_VALUE"""),"Purple, Back Glass, iPhone 14 Plus")</f>
        <v>Purple, Back Glass, iPhone 14 Plus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tr">
        <f t="shared" si="1"/>
        <v>April</v>
      </c>
      <c r="B33" s="11">
        <f>IFERROR(__xludf.DUMMYFUNCTION("""COMPUTED_VALUE"""),46122.0)</f>
        <v>46122</v>
      </c>
      <c r="C33" s="2" t="str">
        <f>IFERROR(__xludf.DUMMYFUNCTION("""COMPUTED_VALUE"""),"MOBILECARE - APP FESTIVAL MALL")</f>
        <v>MOBILECARE - APP FESTIVAL MALL</v>
      </c>
      <c r="D33" s="2" t="str">
        <f>IFERROR(__xludf.DUMMYFUNCTION("""COMPUTED_VALUE"""),"661-30383")</f>
        <v>661-30383</v>
      </c>
      <c r="E33" s="2" t="str">
        <f>IFERROR(__xludf.DUMMYFUNCTION("""COMPUTED_VALUE"""),"Midnight, Back Glass, iPhone 14 Plus")</f>
        <v>Midnight, Back Glass, iPhone 14 Plus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tr">
        <f t="shared" si="1"/>
        <v>March</v>
      </c>
      <c r="B34" s="11">
        <f>IFERROR(__xludf.DUMMYFUNCTION("""COMPUTED_VALUE"""),46104.0)</f>
        <v>46104</v>
      </c>
      <c r="C34" s="2" t="str">
        <f>IFERROR(__xludf.DUMMYFUNCTION("""COMPUTED_VALUE"""),"MOBILECARE - APP FESTIVAL MALL")</f>
        <v>MOBILECARE - APP FESTIVAL MALL</v>
      </c>
      <c r="D34" s="2" t="str">
        <f>IFERROR(__xludf.DUMMYFUNCTION("""COMPUTED_VALUE"""),"661-56057")</f>
        <v>661-56057</v>
      </c>
      <c r="E34" s="2" t="str">
        <f>IFERROR(__xludf.DUMMYFUNCTION("""COMPUTED_VALUE"""),"Black, Back Glass, iPhone 17")</f>
        <v>Black, Back Glass, iPhone 17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tr">
        <f t="shared" si="1"/>
        <v>June</v>
      </c>
      <c r="B35" s="11">
        <f>IFERROR(__xludf.DUMMYFUNCTION("""COMPUTED_VALUE"""),46186.0)</f>
        <v>46186</v>
      </c>
      <c r="C35" s="2" t="str">
        <f>IFERROR(__xludf.DUMMYFUNCTION("""COMPUTED_VALUE"""),"MOBILECARE - CEBU")</f>
        <v>MOBILECARE - CEBU</v>
      </c>
      <c r="D35" s="2" t="str">
        <f>IFERROR(__xludf.DUMMYFUNCTION("""COMPUTED_VALUE"""),"661-56058")</f>
        <v>661-56058</v>
      </c>
      <c r="E35" s="2" t="str">
        <f>IFERROR(__xludf.DUMMYFUNCTION("""COMPUTED_VALUE"""),"White, Back Glass, iPhone 17")</f>
        <v>White, Back Glass, iPhone 17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tr">
        <f t="shared" si="1"/>
        <v>April</v>
      </c>
      <c r="B36" s="11">
        <f>IFERROR(__xludf.DUMMYFUNCTION("""COMPUTED_VALUE"""),46121.0)</f>
        <v>46121</v>
      </c>
      <c r="C36" s="2" t="str">
        <f>IFERROR(__xludf.DUMMYFUNCTION("""COMPUTED_VALUE"""),"MOBILECARE - CEBU")</f>
        <v>MOBILECARE - CEBU</v>
      </c>
      <c r="D36" s="2" t="str">
        <f>IFERROR(__xludf.DUMMYFUNCTION("""COMPUTED_VALUE"""),"661-44960")</f>
        <v>661-44960</v>
      </c>
      <c r="E36" s="2" t="str">
        <f>IFERROR(__xludf.DUMMYFUNCTION("""COMPUTED_VALUE"""),"Desert Titanium, Back Glass, iPhone 16 Pro Max")</f>
        <v>Desert Titanium, Back Glass, iPhone 16 Pro Max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tr">
        <f t="shared" si="1"/>
        <v>February</v>
      </c>
      <c r="B37" s="11">
        <f>IFERROR(__xludf.DUMMYFUNCTION("""COMPUTED_VALUE"""),46056.0)</f>
        <v>46056</v>
      </c>
      <c r="C37" s="2" t="str">
        <f>IFERROR(__xludf.DUMMYFUNCTION("""COMPUTED_VALUE"""),"MOBILECARE - FESTIVE WALK ILOILO")</f>
        <v>MOBILECARE - FESTIVE WALK ILOILO</v>
      </c>
      <c r="D37" s="2" t="str">
        <f>IFERROR(__xludf.DUMMYFUNCTION("""COMPUTED_VALUE"""),"661-37212")</f>
        <v>661-37212</v>
      </c>
      <c r="E37" s="2" t="str">
        <f>IFERROR(__xludf.DUMMYFUNCTION("""COMPUTED_VALUE"""),"Green, Back Glass, iPhone 15 Plus")</f>
        <v>Green, Back Glass, iPhone 15 Plus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tr">
        <f t="shared" si="1"/>
        <v>March</v>
      </c>
      <c r="B38" s="11">
        <f>IFERROR(__xludf.DUMMYFUNCTION("""COMPUTED_VALUE"""),46103.0)</f>
        <v>46103</v>
      </c>
      <c r="C38" s="2" t="str">
        <f>IFERROR(__xludf.DUMMYFUNCTION("""COMPUTED_VALUE"""),"MOBILECARE - APP MAGNOLIA")</f>
        <v>MOBILECARE - APP MAGNOLIA</v>
      </c>
      <c r="D38" s="2" t="str">
        <f>IFERROR(__xludf.DUMMYFUNCTION("""COMPUTED_VALUE"""),"661-56123")</f>
        <v>661-56123</v>
      </c>
      <c r="E38" s="2" t="str">
        <f>IFERROR(__xludf.DUMMYFUNCTION("""COMPUTED_VALUE"""),"Cosmic Orange, Back Glass, iPhone 17 Pro")</f>
        <v>Cosmic Orange, Back Glass, iPhone 17 Pro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tr">
        <f t="shared" si="1"/>
        <v>May</v>
      </c>
      <c r="B39" s="11">
        <f>IFERROR(__xludf.DUMMYFUNCTION("""COMPUTED_VALUE"""),46155.0)</f>
        <v>46155</v>
      </c>
      <c r="C39" s="2" t="str">
        <f>IFERROR(__xludf.DUMMYFUNCTION("""COMPUTED_VALUE"""),"MOBILECARE - APP MAGNOLIA")</f>
        <v>MOBILECARE - APP MAGNOLIA</v>
      </c>
      <c r="D39" s="2" t="str">
        <f>IFERROR(__xludf.DUMMYFUNCTION("""COMPUTED_VALUE"""),"661-35702")</f>
        <v>661-35702</v>
      </c>
      <c r="E39" s="2" t="str">
        <f>IFERROR(__xludf.DUMMYFUNCTION("""COMPUTED_VALUE"""),"Natural Titanium, Back Glass, iPhone 15 Pro")</f>
        <v>Natural Titanium, Back Glass, iPhone 15 Pro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tr">
        <f t="shared" si="1"/>
        <v>May</v>
      </c>
      <c r="B40" s="11">
        <f>IFERROR(__xludf.DUMMYFUNCTION("""COMPUTED_VALUE"""),46146.0)</f>
        <v>46146</v>
      </c>
      <c r="C40" s="2" t="str">
        <f>IFERROR(__xludf.DUMMYFUNCTION("""COMPUTED_VALUE"""),"MOBILECARE - APP MAGNOLIA")</f>
        <v>MOBILECARE - APP MAGNOLIA</v>
      </c>
      <c r="D40" s="2" t="str">
        <f>IFERROR(__xludf.DUMMYFUNCTION("""COMPUTED_VALUE"""),"661-56059")</f>
        <v>661-56059</v>
      </c>
      <c r="E40" s="2" t="str">
        <f>IFERROR(__xludf.DUMMYFUNCTION("""COMPUTED_VALUE"""),"Mist Blue, Back Glass, iPhone 17")</f>
        <v>Mist Blue, Back Glass, iPhone 17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tr">
        <f t="shared" si="1"/>
        <v>February</v>
      </c>
      <c r="B41" s="11">
        <f>IFERROR(__xludf.DUMMYFUNCTION("""COMPUTED_VALUE"""),46065.0)</f>
        <v>46065</v>
      </c>
      <c r="C41" s="2" t="str">
        <f>IFERROR(__xludf.DUMMYFUNCTION("""COMPUTED_VALUE"""),"MOBILECARE - GLORIETTA 5")</f>
        <v>MOBILECARE - GLORIETTA 5</v>
      </c>
      <c r="D41" s="2" t="str">
        <f>IFERROR(__xludf.DUMMYFUNCTION("""COMPUTED_VALUE"""),"661-55239")</f>
        <v>661-55239</v>
      </c>
      <c r="E41" s="2" t="str">
        <f>IFERROR(__xludf.DUMMYFUNCTION("""COMPUTED_VALUE"""),"Sky Blue, Back Glass, iPhone Air")</f>
        <v>Sky Blue, Back Glass, iPhone Air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tr">
        <f t="shared" si="1"/>
        <v>April</v>
      </c>
      <c r="B42" s="11">
        <f>IFERROR(__xludf.DUMMYFUNCTION("""COMPUTED_VALUE"""),46135.0)</f>
        <v>46135</v>
      </c>
      <c r="C42" s="2" t="str">
        <f>IFERROR(__xludf.DUMMYFUNCTION("""COMPUTED_VALUE"""),"MOBILECARE - GLORIETTA 5")</f>
        <v>MOBILECARE - GLORIETTA 5</v>
      </c>
      <c r="D42" s="2" t="str">
        <f>IFERROR(__xludf.DUMMYFUNCTION("""COMPUTED_VALUE"""),"661-56122")</f>
        <v>661-56122</v>
      </c>
      <c r="E42" s="2" t="str">
        <f>IFERROR(__xludf.DUMMYFUNCTION("""COMPUTED_VALUE"""),"Silver, Back Glass, iPhone 17 Pro")</f>
        <v>Silver, Back Glass, iPhone 17 Pro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tr">
        <f t="shared" si="1"/>
        <v>March</v>
      </c>
      <c r="B43" s="11">
        <f>IFERROR(__xludf.DUMMYFUNCTION("""COMPUTED_VALUE"""),46106.0)</f>
        <v>46106</v>
      </c>
      <c r="C43" s="2" t="str">
        <f>IFERROR(__xludf.DUMMYFUNCTION("""COMPUTED_VALUE"""),"MOBILECARE - GLORIETTA 5")</f>
        <v>MOBILECARE - GLORIETTA 5</v>
      </c>
      <c r="D43" s="2" t="str">
        <f>IFERROR(__xludf.DUMMYFUNCTION("""COMPUTED_VALUE"""),"661-42840")</f>
        <v>661-42840</v>
      </c>
      <c r="E43" s="2" t="str">
        <f>IFERROR(__xludf.DUMMYFUNCTION("""COMPUTED_VALUE"""),"PinkBack Glass, iPhone 16 Plus")</f>
        <v>PinkBack Glass, iPhone 16 Plus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tr">
        <f t="shared" si="1"/>
        <v>April</v>
      </c>
      <c r="B44" s="11">
        <f>IFERROR(__xludf.DUMMYFUNCTION("""COMPUTED_VALUE"""),46135.0)</f>
        <v>46135</v>
      </c>
      <c r="C44" s="2" t="str">
        <f>IFERROR(__xludf.DUMMYFUNCTION("""COMPUTED_VALUE"""),"MOBILECARE - GLORIETTA 5")</f>
        <v>MOBILECARE - GLORIETTA 5</v>
      </c>
      <c r="D44" s="2" t="str">
        <f>IFERROR(__xludf.DUMMYFUNCTION("""COMPUTED_VALUE"""),"661-30387")</f>
        <v>661-30387</v>
      </c>
      <c r="E44" s="2" t="str">
        <f>IFERROR(__xludf.DUMMYFUNCTION("""COMPUTED_VALUE"""),"Purple, Back Glass, iPhone 14 Plus")</f>
        <v>Purple, Back Glass, iPhone 14 Plus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tr">
        <f t="shared" si="1"/>
        <v>March</v>
      </c>
      <c r="B45" s="11">
        <f>IFERROR(__xludf.DUMMYFUNCTION("""COMPUTED_VALUE"""),46088.0)</f>
        <v>46088</v>
      </c>
      <c r="C45" s="2" t="str">
        <f>IFERROR(__xludf.DUMMYFUNCTION("""COMPUTED_VALUE"""),"MOBILECARE - GLORIETTA 5")</f>
        <v>MOBILECARE - GLORIETTA 5</v>
      </c>
      <c r="D45" s="2" t="str">
        <f>IFERROR(__xludf.DUMMYFUNCTION("""COMPUTED_VALUE"""),"661-30383")</f>
        <v>661-30383</v>
      </c>
      <c r="E45" s="2" t="str">
        <f>IFERROR(__xludf.DUMMYFUNCTION("""COMPUTED_VALUE"""),"Midnight, Back Glass, iPhone 14 Plus")</f>
        <v>Midnight, Back Glass, iPhone 14 Plus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tr">
        <f t="shared" si="1"/>
        <v>May</v>
      </c>
      <c r="B46" s="11">
        <f>IFERROR(__xludf.DUMMYFUNCTION("""COMPUTED_VALUE"""),46161.0)</f>
        <v>46161</v>
      </c>
      <c r="C46" s="2" t="str">
        <f>IFERROR(__xludf.DUMMYFUNCTION("""COMPUTED_VALUE"""),"MOBILECARE - NORTHEAST SQUARE")</f>
        <v>MOBILECARE - NORTHEAST SQUARE</v>
      </c>
      <c r="D46" s="2" t="str">
        <f>IFERROR(__xludf.DUMMYFUNCTION("""COMPUTED_VALUE"""),"661-56058")</f>
        <v>661-56058</v>
      </c>
      <c r="E46" s="2" t="str">
        <f>IFERROR(__xludf.DUMMYFUNCTION("""COMPUTED_VALUE"""),"White, Back Glass, iPhone 17")</f>
        <v>White, Back Glass, iPhone 17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tr">
        <f t="shared" si="1"/>
        <v>May</v>
      </c>
      <c r="B47" s="11">
        <f>IFERROR(__xludf.DUMMYFUNCTION("""COMPUTED_VALUE"""),46171.0)</f>
        <v>46171</v>
      </c>
      <c r="C47" s="2" t="str">
        <f>IFERROR(__xludf.DUMMYFUNCTION("""COMPUTED_VALUE"""),"MOBILECARE - NORTHEAST SQUARE")</f>
        <v>MOBILECARE - NORTHEAST SQUARE</v>
      </c>
      <c r="D47" s="2" t="str">
        <f>IFERROR(__xludf.DUMMYFUNCTION("""COMPUTED_VALUE"""),"661-44960")</f>
        <v>661-44960</v>
      </c>
      <c r="E47" s="2" t="str">
        <f>IFERROR(__xludf.DUMMYFUNCTION("""COMPUTED_VALUE"""),"Desert Titanium, Back Glass, iPhone 16 Pro Max")</f>
        <v>Desert Titanium, Back Glass, iPhone 16 Pro Max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tr">
        <f t="shared" si="1"/>
        <v>April</v>
      </c>
      <c r="B48" s="11">
        <f>IFERROR(__xludf.DUMMYFUNCTION("""COMPUTED_VALUE"""),46139.0)</f>
        <v>46139</v>
      </c>
      <c r="C48" s="2" t="str">
        <f>IFERROR(__xludf.DUMMYFUNCTION("""COMPUTED_VALUE"""),"MOBILECARE - NORTHEAST SQUARE")</f>
        <v>MOBILECARE - NORTHEAST SQUARE</v>
      </c>
      <c r="D48" s="2" t="str">
        <f>IFERROR(__xludf.DUMMYFUNCTION("""COMPUTED_VALUE"""),"661-35700")</f>
        <v>661-35700</v>
      </c>
      <c r="E48" s="2" t="str">
        <f>IFERROR(__xludf.DUMMYFUNCTION("""COMPUTED_VALUE"""),"Black Titanium, Back Glass, iPhone 15 Pro")</f>
        <v>Black Titanium, Back Glass, iPhone 15 Pro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tr">
        <f t="shared" si="1"/>
        <v>April</v>
      </c>
      <c r="B49" s="11">
        <f>IFERROR(__xludf.DUMMYFUNCTION("""COMPUTED_VALUE"""),46136.0)</f>
        <v>46136</v>
      </c>
      <c r="C49" s="2" t="str">
        <f>IFERROR(__xludf.DUMMYFUNCTION("""COMPUTED_VALUE"""),"MOBILECARE - APP MEGAMALL")</f>
        <v>MOBILECARE - APP MEGAMALL</v>
      </c>
      <c r="D49" s="2" t="str">
        <f>IFERROR(__xludf.DUMMYFUNCTION("""COMPUTED_VALUE"""),"661-56122")</f>
        <v>661-56122</v>
      </c>
      <c r="E49" s="2" t="str">
        <f>IFERROR(__xludf.DUMMYFUNCTION("""COMPUTED_VALUE"""),"Silver, Back Glass, iPhone 17 Pro")</f>
        <v>Silver, Back Glass, iPhone 17 Pro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tr">
        <f t="shared" si="1"/>
        <v>March</v>
      </c>
      <c r="B50" s="11">
        <f>IFERROR(__xludf.DUMMYFUNCTION("""COMPUTED_VALUE"""),46107.0)</f>
        <v>46107</v>
      </c>
      <c r="C50" s="2" t="str">
        <f>IFERROR(__xludf.DUMMYFUNCTION("""COMPUTED_VALUE"""),"MOBILECARE - APP GREENBELT 3")</f>
        <v>MOBILECARE - APP GREENBELT 3</v>
      </c>
      <c r="D50" s="2" t="str">
        <f>IFERROR(__xludf.DUMMYFUNCTION("""COMPUTED_VALUE"""),"661-44960")</f>
        <v>661-44960</v>
      </c>
      <c r="E50" s="2" t="str">
        <f>IFERROR(__xludf.DUMMYFUNCTION("""COMPUTED_VALUE"""),"Desert Titanium, Back Glass, iPhone 16 Pro Max")</f>
        <v>Desert Titanium, Back Glass, iPhone 16 Pro Max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tr">
        <f t="shared" si="1"/>
        <v>June</v>
      </c>
      <c r="B51" s="11">
        <f>IFERROR(__xludf.DUMMYFUNCTION("""COMPUTED_VALUE"""),46182.0)</f>
        <v>46182</v>
      </c>
      <c r="C51" s="2" t="str">
        <f>IFERROR(__xludf.DUMMYFUNCTION("""COMPUTED_VALUE"""),"MOBILECARE - APP TRINOMA")</f>
        <v>MOBILECARE - APP TRINOMA</v>
      </c>
      <c r="D51" s="2" t="str">
        <f>IFERROR(__xludf.DUMMYFUNCTION("""COMPUTED_VALUE"""),"661-56122")</f>
        <v>661-56122</v>
      </c>
      <c r="E51" s="2" t="str">
        <f>IFERROR(__xludf.DUMMYFUNCTION("""COMPUTED_VALUE"""),"Silver, Back Glass, iPhone 17 Pro")</f>
        <v>Silver, Back Glass, iPhone 17 Pro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tr">
        <f t="shared" si="1"/>
        <v>June</v>
      </c>
      <c r="B52" s="11">
        <f>IFERROR(__xludf.DUMMYFUNCTION("""COMPUTED_VALUE"""),46186.0)</f>
        <v>46186</v>
      </c>
      <c r="C52" s="2" t="str">
        <f>IFERROR(__xludf.DUMMYFUNCTION("""COMPUTED_VALUE"""),"MOBILECARE - APP TRINOMA")</f>
        <v>MOBILECARE - APP TRINOMA</v>
      </c>
      <c r="D52" s="2" t="str">
        <f>IFERROR(__xludf.DUMMYFUNCTION("""COMPUTED_VALUE"""),"661-44960")</f>
        <v>661-44960</v>
      </c>
      <c r="E52" s="2" t="str">
        <f>IFERROR(__xludf.DUMMYFUNCTION("""COMPUTED_VALUE"""),"Desert Titanium, Back Glass, iPhone 16 Pro Max")</f>
        <v>Desert Titanium, Back Glass, iPhone 16 Pro Max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tr">
        <f t="shared" si="1"/>
        <v>March</v>
      </c>
      <c r="B53" s="11">
        <f>IFERROR(__xludf.DUMMYFUNCTION("""COMPUTED_VALUE"""),46088.0)</f>
        <v>46088</v>
      </c>
      <c r="C53" s="2" t="str">
        <f>IFERROR(__xludf.DUMMYFUNCTION("""COMPUTED_VALUE"""),"MOBILECARE - APP TRINOMA")</f>
        <v>MOBILECARE - APP TRINOMA</v>
      </c>
      <c r="D53" s="2" t="str">
        <f>IFERROR(__xludf.DUMMYFUNCTION("""COMPUTED_VALUE"""),"661-30413")</f>
        <v>661-30413</v>
      </c>
      <c r="E53" s="2" t="str">
        <f>IFERROR(__xludf.DUMMYFUNCTION("""COMPUTED_VALUE"""),"Midnight, Back Glass, iPhone 14")</f>
        <v>Midnight, Back Glass, iPhone 14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tr">
        <f t="shared" si="1"/>
        <v>February</v>
      </c>
      <c r="B54" s="11">
        <f>IFERROR(__xludf.DUMMYFUNCTION("""COMPUTED_VALUE"""),46068.0)</f>
        <v>46068</v>
      </c>
      <c r="C54" s="2" t="str">
        <f>IFERROR(__xludf.DUMMYFUNCTION("""COMPUTED_VALUE"""),"MOBILECARE - APP TRINOMA")</f>
        <v>MOBILECARE - APP TRINOMA</v>
      </c>
      <c r="D54" s="2" t="str">
        <f>IFERROR(__xludf.DUMMYFUNCTION("""COMPUTED_VALUE"""),"661-56061")</f>
        <v>661-56061</v>
      </c>
      <c r="E54" s="2" t="str">
        <f>IFERROR(__xludf.DUMMYFUNCTION("""COMPUTED_VALUE"""),"Sage, Back Glass, iPhone 17")</f>
        <v>Sage, Back Glass, iPhone 17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tr">
        <f t="shared" si="1"/>
        <v>January</v>
      </c>
      <c r="B55" s="11">
        <f>IFERROR(__xludf.DUMMYFUNCTION("""COMPUTED_VALUE"""),46050.0)</f>
        <v>46050</v>
      </c>
      <c r="C55" s="2" t="str">
        <f>IFERROR(__xludf.DUMMYFUNCTION("""COMPUTED_VALUE"""),"MOBILECARE - THE PODIUM")</f>
        <v>MOBILECARE - THE PODIUM</v>
      </c>
      <c r="D55" s="2" t="str">
        <f>IFERROR(__xludf.DUMMYFUNCTION("""COMPUTED_VALUE"""),"661-30383")</f>
        <v>661-30383</v>
      </c>
      <c r="E55" s="2" t="str">
        <f>IFERROR(__xludf.DUMMYFUNCTION("""COMPUTED_VALUE"""),"Midnight, Back Glass, iPhone 14 Plus")</f>
        <v>Midnight, Back Glass, iPhone 14 Plus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tr">
        <f t="shared" si="1"/>
        <v>June</v>
      </c>
      <c r="B56" s="11">
        <f>IFERROR(__xludf.DUMMYFUNCTION("""COMPUTED_VALUE"""),46189.0)</f>
        <v>46189</v>
      </c>
      <c r="C56" s="2" t="str">
        <f>IFERROR(__xludf.DUMMYFUNCTION("""COMPUTED_VALUE"""),"MOBILECARE - ZAMBOANGA")</f>
        <v>MOBILECARE - ZAMBOANGA</v>
      </c>
      <c r="D56" s="2" t="str">
        <f>IFERROR(__xludf.DUMMYFUNCTION("""COMPUTED_VALUE"""),"661-56055")</f>
        <v>661-56055</v>
      </c>
      <c r="E56" s="2" t="str">
        <f>IFERROR(__xludf.DUMMYFUNCTION("""COMPUTED_VALUE"""),"Deep Blue, Back Glass, iPhone 17 Pro Max")</f>
        <v>Deep Blue, Back Glass, iPhone 17 Pro Max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tr">
        <f t="shared" si="1"/>
        <v>February</v>
      </c>
      <c r="B57" s="11">
        <f>IFERROR(__xludf.DUMMYFUNCTION("""COMPUTED_VALUE"""),46059.0)</f>
        <v>46059</v>
      </c>
      <c r="C57" s="2" t="str">
        <f>IFERROR(__xludf.DUMMYFUNCTION("""COMPUTED_VALUE"""),"MOBILECARE - ZAMBOANGA")</f>
        <v>MOBILECARE - ZAMBOANGA</v>
      </c>
      <c r="D57" s="2" t="str">
        <f>IFERROR(__xludf.DUMMYFUNCTION("""COMPUTED_VALUE"""),"661-56055")</f>
        <v>661-56055</v>
      </c>
      <c r="E57" s="2" t="str">
        <f>IFERROR(__xludf.DUMMYFUNCTION("""COMPUTED_VALUE"""),"Deep Blue, Back Glass, iPhone 17 Pro Max")</f>
        <v>Deep Blue, Back Glass, iPhone 17 Pro Max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 t="str">
        <f t="shared" si="1"/>
        <v>February</v>
      </c>
      <c r="B58" s="11">
        <f>IFERROR(__xludf.DUMMYFUNCTION("""COMPUTED_VALUE"""),46056.0)</f>
        <v>46056</v>
      </c>
      <c r="C58" s="2" t="str">
        <f>IFERROR(__xludf.DUMMYFUNCTION("""COMPUTED_VALUE"""),"MOBILECARE - NEWPOINT MALL")</f>
        <v>MOBILECARE - NEWPOINT MALL</v>
      </c>
      <c r="D58" s="2" t="str">
        <f>IFERROR(__xludf.DUMMYFUNCTION("""COMPUTED_VALUE"""),"661-30416")</f>
        <v>661-30416</v>
      </c>
      <c r="E58" s="2" t="str">
        <f>IFERROR(__xludf.DUMMYFUNCTION("""COMPUTED_VALUE"""),"Blue, Back Glass, iPhone 14")</f>
        <v>Blue, Back Glass, iPhone 14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 t="str">
        <f t="shared" si="1"/>
        <v>April</v>
      </c>
      <c r="B59" s="11">
        <f>IFERROR(__xludf.DUMMYFUNCTION("""COMPUTED_VALUE"""),46139.0)</f>
        <v>46139</v>
      </c>
      <c r="C59" s="2" t="str">
        <f>IFERROR(__xludf.DUMMYFUNCTION("""COMPUTED_VALUE"""),"MOBILECARE - NEWPOINT MALL")</f>
        <v>MOBILECARE - NEWPOINT MALL</v>
      </c>
      <c r="D59" s="2" t="str">
        <f>IFERROR(__xludf.DUMMYFUNCTION("""COMPUTED_VALUE"""),"661-44961")</f>
        <v>661-44961</v>
      </c>
      <c r="E59" s="2" t="str">
        <f>IFERROR(__xludf.DUMMYFUNCTION("""COMPUTED_VALUE"""),"Natural Titanium, Back Glass, iPhone 16 Pro Max")</f>
        <v>Natural Titanium, Back Glass, iPhone 16 Pro Max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 t="str">
        <f t="shared" si="1"/>
        <v>February</v>
      </c>
      <c r="B60" s="11">
        <f>IFERROR(__xludf.DUMMYFUNCTION("""COMPUTED_VALUE"""),46069.0)</f>
        <v>46069</v>
      </c>
      <c r="C60" s="2" t="str">
        <f>IFERROR(__xludf.DUMMYFUNCTION("""COMPUTED_VALUE"""),"MOBILECARE - NEWPOINT MALL")</f>
        <v>MOBILECARE - NEWPOINT MALL</v>
      </c>
      <c r="D60" s="2" t="str">
        <f>IFERROR(__xludf.DUMMYFUNCTION("""COMPUTED_VALUE"""),"661-44960")</f>
        <v>661-44960</v>
      </c>
      <c r="E60" s="2" t="str">
        <f>IFERROR(__xludf.DUMMYFUNCTION("""COMPUTED_VALUE"""),"Desert Titanium, Back Glass, iPhone 16 Pro Max")</f>
        <v>Desert Titanium, Back Glass, iPhone 16 Pro Max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 t="str">
        <f t="shared" si="1"/>
        <v>March</v>
      </c>
      <c r="B61" s="11">
        <f>IFERROR(__xludf.DUMMYFUNCTION("""COMPUTED_VALUE"""),46103.0)</f>
        <v>46103</v>
      </c>
      <c r="C61" s="2" t="str">
        <f>IFERROR(__xludf.DUMMYFUNCTION("""COMPUTED_VALUE"""),"MOBILECARE - NEWPOINT MALL")</f>
        <v>MOBILECARE - NEWPOINT MALL</v>
      </c>
      <c r="D61" s="2" t="str">
        <f>IFERROR(__xludf.DUMMYFUNCTION("""COMPUTED_VALUE"""),"661-44961")</f>
        <v>661-44961</v>
      </c>
      <c r="E61" s="2" t="str">
        <f>IFERROR(__xludf.DUMMYFUNCTION("""COMPUTED_VALUE"""),"Natural Titanium, Back Glass, iPhone 16 Pro Max")</f>
        <v>Natural Titanium, Back Glass, iPhone 16 Pro Max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 t="str">
        <f t="shared" si="1"/>
        <v>February</v>
      </c>
      <c r="B62" s="11">
        <f>IFERROR(__xludf.DUMMYFUNCTION("""COMPUTED_VALUE"""),46076.0)</f>
        <v>46076</v>
      </c>
      <c r="C62" s="2" t="str">
        <f>IFERROR(__xludf.DUMMYFUNCTION("""COMPUTED_VALUE"""),"MOBILECARE - NEWPOINT MALL")</f>
        <v>MOBILECARE - NEWPOINT MALL</v>
      </c>
      <c r="D62" s="2" t="str">
        <f>IFERROR(__xludf.DUMMYFUNCTION("""COMPUTED_VALUE"""),"661-44961")</f>
        <v>661-44961</v>
      </c>
      <c r="E62" s="2" t="str">
        <f>IFERROR(__xludf.DUMMYFUNCTION("""COMPUTED_VALUE"""),"Natural Titanium, Back Glass, iPhone 16 Pro Max")</f>
        <v>Natural Titanium, Back Glass, iPhone 16 Pro Max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 t="str">
        <f t="shared" si="1"/>
        <v>February</v>
      </c>
      <c r="B63" s="11">
        <f>IFERROR(__xludf.DUMMYFUNCTION("""COMPUTED_VALUE"""),46065.0)</f>
        <v>46065</v>
      </c>
      <c r="C63" s="2" t="str">
        <f>IFERROR(__xludf.DUMMYFUNCTION("""COMPUTED_VALUE"""),"MOBILECARE - LA UNION")</f>
        <v>MOBILECARE - LA UNION</v>
      </c>
      <c r="D63" s="2" t="str">
        <f>IFERROR(__xludf.DUMMYFUNCTION("""COMPUTED_VALUE"""),"661-30384")</f>
        <v>661-30384</v>
      </c>
      <c r="E63" s="2" t="str">
        <f>IFERROR(__xludf.DUMMYFUNCTION("""COMPUTED_VALUE"""),"Starlight, Back Glass, iPhone 14 Plus")</f>
        <v>Starlight, Back Glass, iPhone 14 Plus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 t="str">
        <f t="shared" si="1"/>
        <v>February</v>
      </c>
      <c r="B64" s="11">
        <f>IFERROR(__xludf.DUMMYFUNCTION("""COMPUTED_VALUE"""),46060.0)</f>
        <v>46060</v>
      </c>
      <c r="C64" s="2" t="str">
        <f>IFERROR(__xludf.DUMMYFUNCTION("""COMPUTED_VALUE"""),"MOBILECARE - LA UNION")</f>
        <v>MOBILECARE - LA UNION</v>
      </c>
      <c r="D64" s="2" t="str">
        <f>IFERROR(__xludf.DUMMYFUNCTION("""COMPUTED_VALUE"""),"661-42842")</f>
        <v>661-42842</v>
      </c>
      <c r="E64" s="2" t="str">
        <f>IFERROR(__xludf.DUMMYFUNCTION("""COMPUTED_VALUE"""),"TealBack Glass, iPhone 16 Plus")</f>
        <v>TealBack Glass, iPhone 16 Plus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 t="str">
        <f t="shared" si="1"/>
        <v>March</v>
      </c>
      <c r="B65" s="11">
        <f>IFERROR(__xludf.DUMMYFUNCTION("""COMPUTED_VALUE"""),46084.0)</f>
        <v>46084</v>
      </c>
      <c r="C65" s="2" t="str">
        <f>IFERROR(__xludf.DUMMYFUNCTION("""COMPUTED_VALUE"""),"MOBILECARE - LA UNION")</f>
        <v>MOBILECARE - LA UNION</v>
      </c>
      <c r="D65" s="2" t="str">
        <f>IFERROR(__xludf.DUMMYFUNCTION("""COMPUTED_VALUE"""),"661-56124")</f>
        <v>661-56124</v>
      </c>
      <c r="E65" s="2" t="str">
        <f>IFERROR(__xludf.DUMMYFUNCTION("""COMPUTED_VALUE"""),"Deep Blue, Back Glass, iPhone 17 Pro")</f>
        <v>Deep Blue, Back Glass, iPhone 17 Pro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 t="str">
        <f t="shared" si="1"/>
        <v>February</v>
      </c>
      <c r="B66" s="11">
        <f>IFERROR(__xludf.DUMMYFUNCTION("""COMPUTED_VALUE"""),46079.0)</f>
        <v>46079</v>
      </c>
      <c r="C66" s="2" t="str">
        <f>IFERROR(__xludf.DUMMYFUNCTION("""COMPUTED_VALUE"""),"MOBILECARE - LIMA ESTATE")</f>
        <v>MOBILECARE - LIMA ESTATE</v>
      </c>
      <c r="D66" s="2" t="str">
        <f>IFERROR(__xludf.DUMMYFUNCTION("""COMPUTED_VALUE"""),"661-44960")</f>
        <v>661-44960</v>
      </c>
      <c r="E66" s="2" t="str">
        <f>IFERROR(__xludf.DUMMYFUNCTION("""COMPUTED_VALUE"""),"Desert Titanium, Back Glass, iPhone 16 Pro Max")</f>
        <v>Desert Titanium, Back Glass, iPhone 16 Pro Max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 t="str">
        <f t="shared" si="1"/>
        <v>June</v>
      </c>
      <c r="B67" s="11">
        <f>IFERROR(__xludf.DUMMYFUNCTION("""COMPUTED_VALUE"""),46193.0)</f>
        <v>46193</v>
      </c>
      <c r="C67" s="2" t="str">
        <f>IFERROR(__xludf.DUMMYFUNCTION("""COMPUTED_VALUE"""),"MOBILECARE - LIMA ESTATE")</f>
        <v>MOBILECARE - LIMA ESTATE</v>
      </c>
      <c r="D67" s="2" t="str">
        <f>IFERROR(__xludf.DUMMYFUNCTION("""COMPUTED_VALUE"""),"661-56124")</f>
        <v>661-56124</v>
      </c>
      <c r="E67" s="2" t="str">
        <f>IFERROR(__xludf.DUMMYFUNCTION("""COMPUTED_VALUE"""),"Deep Blue, Back Glass, iPhone 17 Pro")</f>
        <v>Deep Blue, Back Glass, iPhone 17 Pro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 t="str">
        <f t="shared" si="1"/>
        <v>February</v>
      </c>
      <c r="B68" s="11">
        <f>IFERROR(__xludf.DUMMYFUNCTION("""COMPUTED_VALUE"""),46064.0)</f>
        <v>46064</v>
      </c>
      <c r="C68" s="2" t="str">
        <f>IFERROR(__xludf.DUMMYFUNCTION("""COMPUTED_VALUE"""),"MOBILECARE - LIMA ESTATE")</f>
        <v>MOBILECARE - LIMA ESTATE</v>
      </c>
      <c r="D68" s="2" t="str">
        <f>IFERROR(__xludf.DUMMYFUNCTION("""COMPUTED_VALUE"""),"661-36838")</f>
        <v>661-36838</v>
      </c>
      <c r="E68" s="2" t="str">
        <f>IFERROR(__xludf.DUMMYFUNCTION("""COMPUTED_VALUE"""),"Black, Back Glass, iPhone 15")</f>
        <v>Black, Back Glass, iPhone 15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 t="str">
        <f t="shared" si="1"/>
        <v>April</v>
      </c>
      <c r="B69" s="11">
        <f>IFERROR(__xludf.DUMMYFUNCTION("""COMPUTED_VALUE"""),46123.0)</f>
        <v>46123</v>
      </c>
      <c r="C69" s="2" t="str">
        <f>IFERROR(__xludf.DUMMYFUNCTION("""COMPUTED_VALUE"""),"MOBILECARE - LIMA ESTATE")</f>
        <v>MOBILECARE - LIMA ESTATE</v>
      </c>
      <c r="D69" s="2" t="str">
        <f>IFERROR(__xludf.DUMMYFUNCTION("""COMPUTED_VALUE"""),"661-44960")</f>
        <v>661-44960</v>
      </c>
      <c r="E69" s="2" t="str">
        <f>IFERROR(__xludf.DUMMYFUNCTION("""COMPUTED_VALUE"""),"Desert Titanium, Back Glass, iPhone 16 Pro Max")</f>
        <v>Desert Titanium, Back Glass, iPhone 16 Pro Max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 t="str">
        <f t="shared" si="1"/>
        <v>June</v>
      </c>
      <c r="B70" s="11">
        <f>IFERROR(__xludf.DUMMYFUNCTION("""COMPUTED_VALUE"""),46178.0)</f>
        <v>46178</v>
      </c>
      <c r="C70" s="2" t="str">
        <f>IFERROR(__xludf.DUMMYFUNCTION("""COMPUTED_VALUE"""),"MOBILECARE - APP POWER PLANT MALL")</f>
        <v>MOBILECARE - APP POWER PLANT MALL</v>
      </c>
      <c r="D70" s="2" t="str">
        <f>IFERROR(__xludf.DUMMYFUNCTION("""COMPUTED_VALUE"""),"661-37211")</f>
        <v>661-37211</v>
      </c>
      <c r="E70" s="2" t="str">
        <f>IFERROR(__xludf.DUMMYFUNCTION("""COMPUTED_VALUE"""),"Blue, Back Glass, iPhone 15 Plus")</f>
        <v>Blue, Back Glass, iPhone 15 Plus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G1:H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12.63"/>
    <col customWidth="1" min="2" max="2" width="28.0"/>
    <col customWidth="1" min="3" max="3" width="31.25"/>
    <col customWidth="1" min="4" max="4" width="11.25"/>
    <col customWidth="1" min="5" max="5" width="58.75"/>
    <col customWidth="1" min="6" max="6" width="1.88"/>
    <col customWidth="1" min="7" max="7" width="41.75"/>
    <col customWidth="1" min="8" max="8" width="7.75"/>
    <col customWidth="1" min="10" max="10" width="28.13"/>
    <col customWidth="1" min="11" max="11" width="11.25"/>
    <col customWidth="1" min="12" max="12" width="58.75"/>
    <col customWidth="1" min="13" max="13" width="7.75"/>
    <col customWidth="1" min="15" max="15" width="24.25"/>
    <col customWidth="1" min="16" max="16" width="17.88"/>
    <col customWidth="1" min="17" max="17" width="57.38"/>
    <col customWidth="1" min="18" max="18" width="7.75"/>
    <col customWidth="1" min="20" max="20" width="27.38"/>
    <col customWidth="1" min="21" max="21" width="11.25"/>
    <col customWidth="1" min="22" max="22" width="58.75"/>
    <col customWidth="1" min="23" max="23" width="7.5"/>
  </cols>
  <sheetData>
    <row r="1">
      <c r="A1" s="25" t="s">
        <v>12289</v>
      </c>
      <c r="B1" s="12" t="s">
        <v>0</v>
      </c>
      <c r="F1" s="26"/>
      <c r="G1" s="27" t="s">
        <v>12299</v>
      </c>
      <c r="H1" s="28"/>
      <c r="I1" s="3"/>
      <c r="J1" s="27" t="s">
        <v>12303</v>
      </c>
      <c r="K1" s="28"/>
      <c r="L1" s="28"/>
      <c r="M1" s="28"/>
      <c r="N1" s="3"/>
      <c r="O1" s="29" t="s">
        <v>12311</v>
      </c>
      <c r="S1" s="3"/>
      <c r="T1" s="30" t="s">
        <v>850</v>
      </c>
      <c r="U1" s="31"/>
      <c r="V1" s="31"/>
      <c r="W1" s="31"/>
      <c r="X1" s="2"/>
      <c r="Y1" s="2"/>
      <c r="Z1" s="2"/>
      <c r="AA1" s="2"/>
      <c r="AB1" s="2"/>
      <c r="AC1" s="2"/>
    </row>
    <row r="2">
      <c r="A2" s="3"/>
      <c r="B2" s="6" t="s">
        <v>8</v>
      </c>
      <c r="C2" s="6" t="s">
        <v>13</v>
      </c>
      <c r="D2" s="6" t="s">
        <v>23</v>
      </c>
      <c r="E2" s="6" t="s">
        <v>24</v>
      </c>
      <c r="F2" s="32"/>
      <c r="G2" s="33" t="s">
        <v>12324</v>
      </c>
      <c r="H2" s="34" t="s">
        <v>328</v>
      </c>
      <c r="I2" s="3"/>
      <c r="J2" s="6" t="s">
        <v>12330</v>
      </c>
      <c r="K2" s="35" t="s">
        <v>23</v>
      </c>
      <c r="L2" s="34" t="s">
        <v>12335</v>
      </c>
      <c r="M2" s="34" t="s">
        <v>328</v>
      </c>
      <c r="N2" s="3"/>
      <c r="O2" s="5" t="s">
        <v>12337</v>
      </c>
      <c r="P2" s="36" t="s">
        <v>23</v>
      </c>
      <c r="Q2" s="34" t="s">
        <v>24</v>
      </c>
      <c r="R2" s="34" t="s">
        <v>328</v>
      </c>
      <c r="S2" s="3"/>
      <c r="T2" s="5" t="s">
        <v>12337</v>
      </c>
      <c r="U2" s="37" t="s">
        <v>23</v>
      </c>
      <c r="V2" s="21" t="s">
        <v>12343</v>
      </c>
      <c r="W2" s="21" t="s">
        <v>328</v>
      </c>
      <c r="X2" s="2"/>
      <c r="Y2" s="2"/>
      <c r="Z2" s="2"/>
      <c r="AA2" s="2"/>
      <c r="AB2" s="2"/>
      <c r="AC2" s="2"/>
    </row>
    <row r="3">
      <c r="A3" s="3"/>
      <c r="B3" s="10">
        <f>IFERROR(__xludf.DUMMYFUNCTION("FILTER('Systems&amp;BackGlass'!B3:E1000,'Systems&amp;BackGlass'!A3:A1000=A1)"),46185.0)</f>
        <v>46185</v>
      </c>
      <c r="C3" s="3" t="str">
        <f>IFERROR(__xludf.DUMMYFUNCTION("""COMPUTED_VALUE"""),"MOBILECARE - NEWPOINT MALL")</f>
        <v>MOBILECARE - NEWPOINT MALL</v>
      </c>
      <c r="D3" s="3" t="str">
        <f>IFERROR(__xludf.DUMMYFUNCTION("""COMPUTED_VALUE"""),"PP661-28869")</f>
        <v>PP661-28869</v>
      </c>
      <c r="E3" s="3" t="str">
        <f>IFERROR(__xludf.DUMMYFUNCTION("""COMPUTED_VALUE"""),"iPhone 14, Starlight, 128GB, Logic Board Assy Mid System, ROW")</f>
        <v>iPhone 14, Starlight, 128GB, Logic Board Assy Mid System, ROW</v>
      </c>
      <c r="F3" s="32"/>
      <c r="G3" s="3" t="str">
        <f>IFERROR(__xludf.DUMMYFUNCTION("QUERY(C3:C1000, ""SELECT C, COUNT(C) WHERE C IS NOT NULL GROUP BY C ORDER BY COUNT(C) DESC LABEL COUNT(C) ''"", 0)"),"MOBILECARE - LIMA ESTATE")</f>
        <v>MOBILECARE - LIMA ESTATE</v>
      </c>
      <c r="H3" s="3">
        <f>IFERROR(__xludf.DUMMYFUNCTION("""COMPUTED_VALUE"""),18.0)</f>
        <v>18</v>
      </c>
      <c r="I3" s="3"/>
      <c r="J3" s="25" t="s">
        <v>1034</v>
      </c>
      <c r="K3" s="3" t="str">
        <f>IFERROR(__xludf.DUMMYFUNCTION("IFERROR(
  QUERY(
    FILTER('Systems&amp;BackGlass'!D3:E1000, TRIM('Systems&amp;BackGlass'!C3:C1000)=TRIM(J3)), 
    ""SELECT Col1, Col2, COUNT(Col2) GROUP BY Col1, Col2 ORDER BY COUNT(Col2) DESC LABEL COUNT(Col2) ''"", 
    0
  ), 
  """"
)"),"PP661-23455")</f>
        <v>PP661-23455</v>
      </c>
      <c r="L3" s="3" t="str">
        <f>IFERROR(__xludf.DUMMYFUNCTION("""COMPUTED_VALUE"""),"iPhone 13, Starlight, 128GB, Logic Board Assy Rear System, ROW")</f>
        <v>iPhone 13, Starlight, 128GB, Logic Board Assy Rear System, ROW</v>
      </c>
      <c r="M3" s="3">
        <f>IFERROR(__xludf.DUMMYFUNCTION("""COMPUTED_VALUE"""),32.0)</f>
        <v>32</v>
      </c>
      <c r="N3" s="3"/>
      <c r="O3" s="25" t="s">
        <v>12375</v>
      </c>
      <c r="P3" s="3" t="str">
        <f>IFERROR(__xludf.DUMMYFUNCTION("IFERROR(
  QUERY(
    FILTER('Systems&amp;BackGlass'!D3:E1000, (TRIM('Systems&amp;BackGlass'!C3:C1000)=TRIM(J3)) * ('Systems&amp;BackGlass'!A3:A1000=O3)), 
    ""SELECT Col1, Col2, COUNT(Col2) WHERE Col2 IS NOT NULL GROUP BY Col1, Col2 ORDER BY COUNT(Col2) DESC LABEL"&amp;" COUNT(Col2) ''"", 
    0
  ), 
  """"
)"),"PP661-23455")</f>
        <v>PP661-23455</v>
      </c>
      <c r="Q3" s="3" t="str">
        <f>IFERROR(__xludf.DUMMYFUNCTION("""COMPUTED_VALUE"""),"iPhone 13, Starlight, 128GB, Logic Board Assy Rear System, ROW")</f>
        <v>iPhone 13, Starlight, 128GB, Logic Board Assy Rear System, ROW</v>
      </c>
      <c r="R3" s="3">
        <f>IFERROR(__xludf.DUMMYFUNCTION("""COMPUTED_VALUE"""),8.0)</f>
        <v>8</v>
      </c>
      <c r="S3" s="3"/>
      <c r="T3" s="25" t="s">
        <v>12289</v>
      </c>
      <c r="U3" s="3" t="str">
        <f>IFERROR(__xludf.DUMMYFUNCTION("IFERROR(
  QUERY(
    IF($T$3=""ALL"", 'Systems&amp;BackGlass'!D3:E1000, FILTER('Systems&amp;BackGlass'!D3:E1000, TRIM('Systems&amp;BackGlass'!A3:A1000)=$T$3)), 
    ""SELECT Col1, Col2, COUNT(Col2) WHERE Col2 IS NOT NULL GROUP BY Col1, Col2 ORDER BY COUNT(Col2) DESC"&amp;" LABEL COUNT(Col2) ''"", 
    0
  ), 
  """"
)"),"PP661-23454")</f>
        <v>PP661-23454</v>
      </c>
      <c r="V3" s="3" t="str">
        <f>IFERROR(__xludf.DUMMYFUNCTION("""COMPUTED_VALUE"""),"iPhone 13, Midnight, 128GB, Logic Board Assy Rear System, ROW")</f>
        <v>iPhone 13, Midnight, 128GB, Logic Board Assy Rear System, ROW</v>
      </c>
      <c r="W3" s="3">
        <f>IFERROR(__xludf.DUMMYFUNCTION("""COMPUTED_VALUE"""),24.0)</f>
        <v>24</v>
      </c>
      <c r="X3" s="2"/>
      <c r="Y3" s="2"/>
      <c r="Z3" s="2"/>
      <c r="AA3" s="2"/>
      <c r="AB3" s="2"/>
      <c r="AC3" s="2"/>
    </row>
    <row r="4">
      <c r="A4" s="3"/>
      <c r="B4" s="10">
        <f>IFERROR(__xludf.DUMMYFUNCTION("""COMPUTED_VALUE"""),46181.0)</f>
        <v>46181</v>
      </c>
      <c r="C4" s="3" t="str">
        <f>IFERROR(__xludf.DUMMYFUNCTION("""COMPUTED_VALUE"""),"MOBILECARE - FESTIVE WALK ILOILO")</f>
        <v>MOBILECARE - FESTIVE WALK ILOILO</v>
      </c>
      <c r="D4" s="3" t="str">
        <f>IFERROR(__xludf.DUMMYFUNCTION("""COMPUTED_VALUE"""),"TA661-45235")</f>
        <v>TA661-45235</v>
      </c>
      <c r="E4" s="3" t="str">
        <f>IFERROR(__xludf.DUMMYFUNCTION("""COMPUTED_VALUE"""),"128GB, Teal, ROW, iPhone 16 Plus, Logic Board Assy Mid System")</f>
        <v>128GB, Teal, ROW, iPhone 16 Plus, Logic Board Assy Mid System</v>
      </c>
      <c r="F4" s="32"/>
      <c r="G4" s="3" t="str">
        <f>IFERROR(__xludf.DUMMYFUNCTION("""COMPUTED_VALUE"""),"MOBILECARE - FESTIVE WALK ILOILO")</f>
        <v>MOBILECARE - FESTIVE WALK ILOILO</v>
      </c>
      <c r="H4" s="3">
        <f>IFERROR(__xludf.DUMMYFUNCTION("""COMPUTED_VALUE"""),15.0)</f>
        <v>15</v>
      </c>
      <c r="I4" s="3"/>
      <c r="J4" s="3"/>
      <c r="K4" s="3" t="str">
        <f>IFERROR(__xludf.DUMMYFUNCTION("""COMPUTED_VALUE"""),"PP661-23454")</f>
        <v>PP661-23454</v>
      </c>
      <c r="L4" s="3" t="str">
        <f>IFERROR(__xludf.DUMMYFUNCTION("""COMPUTED_VALUE"""),"iPhone 13, Midnight, 128GB, Logic Board Assy Rear System, ROW")</f>
        <v>iPhone 13, Midnight, 128GB, Logic Board Assy Rear System, ROW</v>
      </c>
      <c r="M4" s="3">
        <f>IFERROR(__xludf.DUMMYFUNCTION("""COMPUTED_VALUE"""),22.0)</f>
        <v>22</v>
      </c>
      <c r="N4" s="3"/>
      <c r="O4" s="3"/>
      <c r="P4" s="3" t="str">
        <f>IFERROR(__xludf.DUMMYFUNCTION("""COMPUTED_VALUE"""),"PP661-23454")</f>
        <v>PP661-23454</v>
      </c>
      <c r="Q4" s="3" t="str">
        <f>IFERROR(__xludf.DUMMYFUNCTION("""COMPUTED_VALUE"""),"iPhone 13, Midnight, 128GB, Logic Board Assy Rear System, ROW")</f>
        <v>iPhone 13, Midnight, 128GB, Logic Board Assy Rear System, ROW</v>
      </c>
      <c r="R4" s="3">
        <f>IFERROR(__xludf.DUMMYFUNCTION("""COMPUTED_VALUE"""),6.0)</f>
        <v>6</v>
      </c>
      <c r="S4" s="3"/>
      <c r="T4" s="3"/>
      <c r="U4" s="3" t="str">
        <f>IFERROR(__xludf.DUMMYFUNCTION("""COMPUTED_VALUE"""),"PP661-23455")</f>
        <v>PP661-23455</v>
      </c>
      <c r="V4" s="3" t="str">
        <f>IFERROR(__xludf.DUMMYFUNCTION("""COMPUTED_VALUE"""),"iPhone 13, Starlight, 128GB, Logic Board Assy Rear System, ROW")</f>
        <v>iPhone 13, Starlight, 128GB, Logic Board Assy Rear System, ROW</v>
      </c>
      <c r="W4" s="3">
        <f>IFERROR(__xludf.DUMMYFUNCTION("""COMPUTED_VALUE"""),17.0)</f>
        <v>17</v>
      </c>
      <c r="X4" s="2"/>
      <c r="Y4" s="2"/>
      <c r="Z4" s="2"/>
      <c r="AA4" s="2"/>
      <c r="AB4" s="2"/>
      <c r="AC4" s="2"/>
    </row>
    <row r="5">
      <c r="A5" s="2"/>
      <c r="B5" s="11">
        <f>IFERROR(__xludf.DUMMYFUNCTION("""COMPUTED_VALUE"""),46182.0)</f>
        <v>46182</v>
      </c>
      <c r="C5" s="2" t="str">
        <f>IFERROR(__xludf.DUMMYFUNCTION("""COMPUTED_VALUE"""),"MOBILECARE - CEBU")</f>
        <v>MOBILECARE - CEBU</v>
      </c>
      <c r="D5" s="2" t="str">
        <f>IFERROR(__xludf.DUMMYFUNCTION("""COMPUTED_VALUE"""),"PP661-28873")</f>
        <v>PP661-28873</v>
      </c>
      <c r="E5" s="2" t="str">
        <f>IFERROR(__xludf.DUMMYFUNCTION("""COMPUTED_VALUE"""),"iPhone 14, Midnight, 256GB, Logic Board Assy Mid System, ROW")</f>
        <v>iPhone 14, Midnight, 256GB, Logic Board Assy Mid System, ROW</v>
      </c>
      <c r="F5" s="38"/>
      <c r="G5" s="2" t="str">
        <f>IFERROR(__xludf.DUMMYFUNCTION("""COMPUTED_VALUE"""),"MOBILECARE - NEWPOINT MALL")</f>
        <v>MOBILECARE - NEWPOINT MALL</v>
      </c>
      <c r="H5" s="2">
        <f>IFERROR(__xludf.DUMMYFUNCTION("""COMPUTED_VALUE"""),15.0)</f>
        <v>15</v>
      </c>
      <c r="I5" s="2"/>
      <c r="J5" s="2"/>
      <c r="K5" s="2" t="str">
        <f>IFERROR(__xludf.DUMMYFUNCTION("""COMPUTED_VALUE"""),"PP661-28869")</f>
        <v>PP661-28869</v>
      </c>
      <c r="L5" s="2" t="str">
        <f>IFERROR(__xludf.DUMMYFUNCTION("""COMPUTED_VALUE"""),"iPhone 14, Starlight, 128GB, Logic Board Assy Mid System, ROW")</f>
        <v>iPhone 14, Starlight, 128GB, Logic Board Assy Mid System, ROW</v>
      </c>
      <c r="M5" s="2">
        <f>IFERROR(__xludf.DUMMYFUNCTION("""COMPUTED_VALUE"""),8.0)</f>
        <v>8</v>
      </c>
      <c r="N5" s="2"/>
      <c r="O5" s="2"/>
      <c r="P5" s="2" t="str">
        <f>IFERROR(__xludf.DUMMYFUNCTION("""COMPUTED_VALUE"""),"TA661-43607")</f>
        <v>TA661-43607</v>
      </c>
      <c r="Q5" s="2" t="str">
        <f>IFERROR(__xludf.DUMMYFUNCTION("""COMPUTED_VALUE"""),"128GB, Pink, ROW, iPhone 16, Logic Board Assy Mid System")</f>
        <v>128GB, Pink, ROW, iPhone 16, Logic Board Assy Mid System</v>
      </c>
      <c r="R5" s="2">
        <f>IFERROR(__xludf.DUMMYFUNCTION("""COMPUTED_VALUE"""),3.0)</f>
        <v>3</v>
      </c>
      <c r="S5" s="2"/>
      <c r="T5" s="2"/>
      <c r="U5" s="2" t="str">
        <f>IFERROR(__xludf.DUMMYFUNCTION("""COMPUTED_VALUE"""),"PP661-28869")</f>
        <v>PP661-28869</v>
      </c>
      <c r="V5" s="2" t="str">
        <f>IFERROR(__xludf.DUMMYFUNCTION("""COMPUTED_VALUE"""),"iPhone 14, Starlight, 128GB, Logic Board Assy Mid System, ROW")</f>
        <v>iPhone 14, Starlight, 128GB, Logic Board Assy Mid System, ROW</v>
      </c>
      <c r="W5" s="2">
        <f>IFERROR(__xludf.DUMMYFUNCTION("""COMPUTED_VALUE"""),10.0)</f>
        <v>10</v>
      </c>
      <c r="X5" s="2"/>
      <c r="Y5" s="2"/>
      <c r="Z5" s="2"/>
      <c r="AA5" s="2"/>
      <c r="AB5" s="2"/>
      <c r="AC5" s="2"/>
    </row>
    <row r="6">
      <c r="A6" s="2"/>
      <c r="B6" s="11">
        <f>IFERROR(__xludf.DUMMYFUNCTION("""COMPUTED_VALUE"""),46185.0)</f>
        <v>46185</v>
      </c>
      <c r="C6" s="2" t="str">
        <f>IFERROR(__xludf.DUMMYFUNCTION("""COMPUTED_VALUE"""),"MOBILECARE - APP SM LANANG")</f>
        <v>MOBILECARE - APP SM LANANG</v>
      </c>
      <c r="D6" s="2" t="str">
        <f>IFERROR(__xludf.DUMMYFUNCTION("""COMPUTED_VALUE"""),"TA661-36691")</f>
        <v>TA661-36691</v>
      </c>
      <c r="E6" s="2" t="str">
        <f>IFERROR(__xludf.DUMMYFUNCTION("""COMPUTED_VALUE"""),"iPhone 15, Black, 128GB, Logic Board Assy Mid System, ROW")</f>
        <v>iPhone 15, Black, 128GB, Logic Board Assy Mid System, ROW</v>
      </c>
      <c r="F6" s="38"/>
      <c r="G6" s="2" t="str">
        <f>IFERROR(__xludf.DUMMYFUNCTION("""COMPUTED_VALUE"""),"MOBILECARE - DAVAO")</f>
        <v>MOBILECARE - DAVAO</v>
      </c>
      <c r="H6" s="2">
        <f>IFERROR(__xludf.DUMMYFUNCTION("""COMPUTED_VALUE"""),14.0)</f>
        <v>14</v>
      </c>
      <c r="I6" s="2"/>
      <c r="J6" s="2"/>
      <c r="K6" s="2" t="str">
        <f>IFERROR(__xludf.DUMMYFUNCTION("""COMPUTED_VALUE"""),"PP661-28868")</f>
        <v>PP661-28868</v>
      </c>
      <c r="L6" s="2" t="str">
        <f>IFERROR(__xludf.DUMMYFUNCTION("""COMPUTED_VALUE"""),"iPhone 14, Midnight, 128GB, Logic Board Assy Mid System, ROW")</f>
        <v>iPhone 14, Midnight, 128GB, Logic Board Assy Mid System, ROW</v>
      </c>
      <c r="M6" s="2">
        <f>IFERROR(__xludf.DUMMYFUNCTION("""COMPUTED_VALUE"""),7.0)</f>
        <v>7</v>
      </c>
      <c r="N6" s="2"/>
      <c r="O6" s="2"/>
      <c r="P6" s="2" t="str">
        <f>IFERROR(__xludf.DUMMYFUNCTION("""COMPUTED_VALUE"""),"PP661-28871")</f>
        <v>PP661-28871</v>
      </c>
      <c r="Q6" s="2" t="str">
        <f>IFERROR(__xludf.DUMMYFUNCTION("""COMPUTED_VALUE"""),"iPhone 14, Blue, 128GB, Logic Board Assy Mid System, ROW")</f>
        <v>iPhone 14, Blue, 128GB, Logic Board Assy Mid System, ROW</v>
      </c>
      <c r="R6" s="2">
        <f>IFERROR(__xludf.DUMMYFUNCTION("""COMPUTED_VALUE"""),2.0)</f>
        <v>2</v>
      </c>
      <c r="S6" s="2"/>
      <c r="T6" s="2"/>
      <c r="U6" s="2" t="str">
        <f>IFERROR(__xludf.DUMMYFUNCTION("""COMPUTED_VALUE"""),"PP661-28868")</f>
        <v>PP661-28868</v>
      </c>
      <c r="V6" s="2" t="str">
        <f>IFERROR(__xludf.DUMMYFUNCTION("""COMPUTED_VALUE"""),"iPhone 14, Midnight, 128GB, Logic Board Assy Mid System, ROW")</f>
        <v>iPhone 14, Midnight, 128GB, Logic Board Assy Mid System, ROW</v>
      </c>
      <c r="W6" s="2">
        <f>IFERROR(__xludf.DUMMYFUNCTION("""COMPUTED_VALUE"""),8.0)</f>
        <v>8</v>
      </c>
      <c r="X6" s="2"/>
      <c r="Y6" s="2"/>
      <c r="Z6" s="2"/>
      <c r="AA6" s="2"/>
      <c r="AB6" s="2"/>
      <c r="AC6" s="2"/>
    </row>
    <row r="7">
      <c r="A7" s="2"/>
      <c r="B7" s="11">
        <f>IFERROR(__xludf.DUMMYFUNCTION("""COMPUTED_VALUE"""),46193.0)</f>
        <v>46193</v>
      </c>
      <c r="C7" s="2" t="str">
        <f>IFERROR(__xludf.DUMMYFUNCTION("""COMPUTED_VALUE"""),"MOBILECARE - APP SM LANANG")</f>
        <v>MOBILECARE - APP SM LANANG</v>
      </c>
      <c r="D7" s="2" t="str">
        <f>IFERROR(__xludf.DUMMYFUNCTION("""COMPUTED_VALUE"""),"PP661-23454")</f>
        <v>PP661-23454</v>
      </c>
      <c r="E7" s="2" t="str">
        <f>IFERROR(__xludf.DUMMYFUNCTION("""COMPUTED_VALUE"""),"iPhone 13, Midnight, 128GB, Logic Board Assy Rear System, ROW")</f>
        <v>iPhone 13, Midnight, 128GB, Logic Board Assy Rear System, ROW</v>
      </c>
      <c r="F7" s="38"/>
      <c r="G7" s="2" t="str">
        <f>IFERROR(__xludf.DUMMYFUNCTION("""COMPUTED_VALUE"""),"MOBILECARE - CEBU")</f>
        <v>MOBILECARE - CEBU</v>
      </c>
      <c r="H7" s="2">
        <f>IFERROR(__xludf.DUMMYFUNCTION("""COMPUTED_VALUE"""),11.0)</f>
        <v>11</v>
      </c>
      <c r="I7" s="2"/>
      <c r="J7" s="2"/>
      <c r="K7" s="2" t="str">
        <f>IFERROR(__xludf.DUMMYFUNCTION("""COMPUTED_VALUE"""),"TA661-36692")</f>
        <v>TA661-36692</v>
      </c>
      <c r="L7" s="2" t="str">
        <f>IFERROR(__xludf.DUMMYFUNCTION("""COMPUTED_VALUE"""),"iPhone 15, Pink, 128GB, Logic Board Assy Mid System, ROW")</f>
        <v>iPhone 15, Pink, 128GB, Logic Board Assy Mid System, ROW</v>
      </c>
      <c r="M7" s="2">
        <f>IFERROR(__xludf.DUMMYFUNCTION("""COMPUTED_VALUE"""),5.0)</f>
        <v>5</v>
      </c>
      <c r="N7" s="2"/>
      <c r="O7" s="2"/>
      <c r="P7" s="2" t="str">
        <f>IFERROR(__xludf.DUMMYFUNCTION("""COMPUTED_VALUE"""),"PP661-28869")</f>
        <v>PP661-28869</v>
      </c>
      <c r="Q7" s="2" t="str">
        <f>IFERROR(__xludf.DUMMYFUNCTION("""COMPUTED_VALUE"""),"iPhone 14, Starlight, 128GB, Logic Board Assy Mid System, ROW")</f>
        <v>iPhone 14, Starlight, 128GB, Logic Board Assy Mid System, ROW</v>
      </c>
      <c r="R7" s="2">
        <f>IFERROR(__xludf.DUMMYFUNCTION("""COMPUTED_VALUE"""),1.0)</f>
        <v>1</v>
      </c>
      <c r="S7" s="2"/>
      <c r="T7" s="2"/>
      <c r="U7" s="2" t="str">
        <f>IFERROR(__xludf.DUMMYFUNCTION("""COMPUTED_VALUE"""),"TA661-36694")</f>
        <v>TA661-36694</v>
      </c>
      <c r="V7" s="2" t="str">
        <f>IFERROR(__xludf.DUMMYFUNCTION("""COMPUTED_VALUE"""),"iPhone 15, Blue, 128GB, Logic Board Assy Mid System, ROW")</f>
        <v>iPhone 15, Blue, 128GB, Logic Board Assy Mid System, ROW</v>
      </c>
      <c r="W7" s="2">
        <f>IFERROR(__xludf.DUMMYFUNCTION("""COMPUTED_VALUE"""),6.0)</f>
        <v>6</v>
      </c>
      <c r="X7" s="2"/>
      <c r="Y7" s="2"/>
      <c r="Z7" s="2"/>
      <c r="AA7" s="2"/>
      <c r="AB7" s="2"/>
      <c r="AC7" s="2"/>
    </row>
    <row r="8">
      <c r="A8" s="2"/>
      <c r="B8" s="11">
        <f>IFERROR(__xludf.DUMMYFUNCTION("""COMPUTED_VALUE"""),46193.0)</f>
        <v>46193</v>
      </c>
      <c r="C8" s="2" t="str">
        <f>IFERROR(__xludf.DUMMYFUNCTION("""COMPUTED_VALUE"""),"MOBILECARE - APP SM LANANG")</f>
        <v>MOBILECARE - APP SM LANANG</v>
      </c>
      <c r="D8" s="2" t="str">
        <f>IFERROR(__xludf.DUMMYFUNCTION("""COMPUTED_VALUE"""),"PP661-23454")</f>
        <v>PP661-23454</v>
      </c>
      <c r="E8" s="2" t="str">
        <f>IFERROR(__xludf.DUMMYFUNCTION("""COMPUTED_VALUE"""),"iPhone 13, Midnight, 128GB, Logic Board Assy Rear System, ROW")</f>
        <v>iPhone 13, Midnight, 128GB, Logic Board Assy Rear System, ROW</v>
      </c>
      <c r="F8" s="38"/>
      <c r="G8" s="2" t="str">
        <f>IFERROR(__xludf.DUMMYFUNCTION("""COMPUTED_VALUE"""),"MOBILECARE - ZAMBOANGA")</f>
        <v>MOBILECARE - ZAMBOANGA</v>
      </c>
      <c r="H8" s="2">
        <f>IFERROR(__xludf.DUMMYFUNCTION("""COMPUTED_VALUE"""),8.0)</f>
        <v>8</v>
      </c>
      <c r="I8" s="2"/>
      <c r="J8" s="2"/>
      <c r="K8" s="2" t="str">
        <f>IFERROR(__xludf.DUMMYFUNCTION("""COMPUTED_VALUE"""),"PP661-28871")</f>
        <v>PP661-28871</v>
      </c>
      <c r="L8" s="2" t="str">
        <f>IFERROR(__xludf.DUMMYFUNCTION("""COMPUTED_VALUE"""),"iPhone 14, Blue, 128GB, Logic Board Assy Mid System, ROW")</f>
        <v>iPhone 14, Blue, 128GB, Logic Board Assy Mid System, ROW</v>
      </c>
      <c r="M8" s="2">
        <f>IFERROR(__xludf.DUMMYFUNCTION("""COMPUTED_VALUE"""),4.0)</f>
        <v>4</v>
      </c>
      <c r="N8" s="2"/>
      <c r="O8" s="2"/>
      <c r="P8" s="2" t="str">
        <f>IFERROR(__xludf.DUMMYFUNCTION("""COMPUTED_VALUE"""),"TA661-36691")</f>
        <v>TA661-36691</v>
      </c>
      <c r="Q8" s="2" t="str">
        <f>IFERROR(__xludf.DUMMYFUNCTION("""COMPUTED_VALUE"""),"iPhone 15, Black, 128GB, Logic Board Assy Mid System, ROW")</f>
        <v>iPhone 15, Black, 128GB, Logic Board Assy Mid System, ROW</v>
      </c>
      <c r="R8" s="2">
        <f>IFERROR(__xludf.DUMMYFUNCTION("""COMPUTED_VALUE"""),1.0)</f>
        <v>1</v>
      </c>
      <c r="S8" s="2"/>
      <c r="T8" s="2"/>
      <c r="U8" s="2" t="str">
        <f>IFERROR(__xludf.DUMMYFUNCTION("""COMPUTED_VALUE"""),"TA661-36691")</f>
        <v>TA661-36691</v>
      </c>
      <c r="V8" s="2" t="str">
        <f>IFERROR(__xludf.DUMMYFUNCTION("""COMPUTED_VALUE"""),"iPhone 15, Black, 128GB, Logic Board Assy Mid System, ROW")</f>
        <v>iPhone 15, Black, 128GB, Logic Board Assy Mid System, ROW</v>
      </c>
      <c r="W8" s="2">
        <f>IFERROR(__xludf.DUMMYFUNCTION("""COMPUTED_VALUE"""),4.0)</f>
        <v>4</v>
      </c>
      <c r="X8" s="2"/>
      <c r="Y8" s="2"/>
      <c r="Z8" s="2"/>
      <c r="AA8" s="2"/>
      <c r="AB8" s="2"/>
      <c r="AC8" s="2"/>
    </row>
    <row r="9">
      <c r="A9" s="2"/>
      <c r="B9" s="11">
        <f>IFERROR(__xludf.DUMMYFUNCTION("""COMPUTED_VALUE"""),46180.0)</f>
        <v>46180</v>
      </c>
      <c r="C9" s="2" t="str">
        <f>IFERROR(__xludf.DUMMYFUNCTION("""COMPUTED_VALUE"""),"MOBILECARE - APP SM LANANG")</f>
        <v>MOBILECARE - APP SM LANANG</v>
      </c>
      <c r="D9" s="2" t="str">
        <f>IFERROR(__xludf.DUMMYFUNCTION("""COMPUTED_VALUE"""),"PP661-23454")</f>
        <v>PP661-23454</v>
      </c>
      <c r="E9" s="2" t="str">
        <f>IFERROR(__xludf.DUMMYFUNCTION("""COMPUTED_VALUE"""),"iPhone 13, Midnight, 128GB, Logic Board Assy Rear System, ROW")</f>
        <v>iPhone 13, Midnight, 128GB, Logic Board Assy Rear System, ROW</v>
      </c>
      <c r="F9" s="38"/>
      <c r="G9" s="2" t="str">
        <f>IFERROR(__xludf.DUMMYFUNCTION("""COMPUTED_VALUE"""),"MOBILECARE - NAGA")</f>
        <v>MOBILECARE - NAGA</v>
      </c>
      <c r="H9" s="2">
        <f>IFERROR(__xludf.DUMMYFUNCTION("""COMPUTED_VALUE"""),7.0)</f>
        <v>7</v>
      </c>
      <c r="I9" s="2"/>
      <c r="J9" s="2"/>
      <c r="K9" s="2" t="str">
        <f>IFERROR(__xludf.DUMMYFUNCTION("""COMPUTED_VALUE"""),"TA661-36691")</f>
        <v>TA661-36691</v>
      </c>
      <c r="L9" s="2" t="str">
        <f>IFERROR(__xludf.DUMMYFUNCTION("""COMPUTED_VALUE"""),"iPhone 15, Black, 128GB, Logic Board Assy Mid System, ROW")</f>
        <v>iPhone 15, Black, 128GB, Logic Board Assy Mid System, ROW</v>
      </c>
      <c r="M9" s="2">
        <f>IFERROR(__xludf.DUMMYFUNCTION("""COMPUTED_VALUE"""),4.0)</f>
        <v>4</v>
      </c>
      <c r="N9" s="2"/>
      <c r="O9" s="2"/>
      <c r="P9" s="2" t="str">
        <f>IFERROR(__xludf.DUMMYFUNCTION("""COMPUTED_VALUE"""),"TA661-36692")</f>
        <v>TA661-36692</v>
      </c>
      <c r="Q9" s="2" t="str">
        <f>IFERROR(__xludf.DUMMYFUNCTION("""COMPUTED_VALUE"""),"iPhone 15, Pink, 128GB, Logic Board Assy Mid System, ROW")</f>
        <v>iPhone 15, Pink, 128GB, Logic Board Assy Mid System, ROW</v>
      </c>
      <c r="R9" s="2">
        <f>IFERROR(__xludf.DUMMYFUNCTION("""COMPUTED_VALUE"""),1.0)</f>
        <v>1</v>
      </c>
      <c r="S9" s="2"/>
      <c r="T9" s="2"/>
      <c r="U9" s="2" t="str">
        <f>IFERROR(__xludf.DUMMYFUNCTION("""COMPUTED_VALUE"""),"TA661-43609")</f>
        <v>TA661-43609</v>
      </c>
      <c r="V9" s="2" t="str">
        <f>IFERROR(__xludf.DUMMYFUNCTION("""COMPUTED_VALUE"""),"128GB, Teal, ROW, iPhone 16, Logic Board Assy Mid System")</f>
        <v>128GB, Teal, ROW, iPhone 16, Logic Board Assy Mid System</v>
      </c>
      <c r="W9" s="2">
        <f>IFERROR(__xludf.DUMMYFUNCTION("""COMPUTED_VALUE"""),4.0)</f>
        <v>4</v>
      </c>
      <c r="X9" s="2"/>
      <c r="Y9" s="2"/>
      <c r="Z9" s="2"/>
      <c r="AA9" s="2"/>
      <c r="AB9" s="2"/>
      <c r="AC9" s="2"/>
    </row>
    <row r="10">
      <c r="A10" s="2"/>
      <c r="B10" s="11">
        <f>IFERROR(__xludf.DUMMYFUNCTION("""COMPUTED_VALUE"""),46190.0)</f>
        <v>46190</v>
      </c>
      <c r="C10" s="2" t="str">
        <f>IFERROR(__xludf.DUMMYFUNCTION("""COMPUTED_VALUE"""),"MOBILECARE - DAVAO")</f>
        <v>MOBILECARE - DAVAO</v>
      </c>
      <c r="D10" s="2" t="str">
        <f>IFERROR(__xludf.DUMMYFUNCTION("""COMPUTED_VALUE"""),"PP661-28869")</f>
        <v>PP661-28869</v>
      </c>
      <c r="E10" s="2" t="str">
        <f>IFERROR(__xludf.DUMMYFUNCTION("""COMPUTED_VALUE"""),"iPhone 14, Starlight, 128GB, Logic Board Assy Mid System, ROW")</f>
        <v>iPhone 14, Starlight, 128GB, Logic Board Assy Mid System, ROW</v>
      </c>
      <c r="F10" s="38"/>
      <c r="G10" s="2" t="str">
        <f>IFERROR(__xludf.DUMMYFUNCTION("""COMPUTED_VALUE"""),"MOBILECARE - LA UNION")</f>
        <v>MOBILECARE - LA UNION</v>
      </c>
      <c r="H10" s="2">
        <f>IFERROR(__xludf.DUMMYFUNCTION("""COMPUTED_VALUE"""),5.0)</f>
        <v>5</v>
      </c>
      <c r="I10" s="2"/>
      <c r="J10" s="2"/>
      <c r="K10" s="2" t="str">
        <f>IFERROR(__xludf.DUMMYFUNCTION("""COMPUTED_VALUE"""),"TA661-36694")</f>
        <v>TA661-36694</v>
      </c>
      <c r="L10" s="2" t="str">
        <f>IFERROR(__xludf.DUMMYFUNCTION("""COMPUTED_VALUE"""),"iPhone 15, Blue, 128GB, Logic Board Assy Mid System, ROW")</f>
        <v>iPhone 15, Blue, 128GB, Logic Board Assy Mid System, ROW</v>
      </c>
      <c r="M10" s="2">
        <f>IFERROR(__xludf.DUMMYFUNCTION("""COMPUTED_VALUE"""),4.0)</f>
        <v>4</v>
      </c>
      <c r="N10" s="2"/>
      <c r="O10" s="2"/>
      <c r="P10" s="2" t="str">
        <f>IFERROR(__xludf.DUMMYFUNCTION("""COMPUTED_VALUE"""),"TA661-36694")</f>
        <v>TA661-36694</v>
      </c>
      <c r="Q10" s="2" t="str">
        <f>IFERROR(__xludf.DUMMYFUNCTION("""COMPUTED_VALUE"""),"iPhone 15, Blue, 128GB, Logic Board Assy Mid System, ROW")</f>
        <v>iPhone 15, Blue, 128GB, Logic Board Assy Mid System, ROW</v>
      </c>
      <c r="R10" s="2">
        <f>IFERROR(__xludf.DUMMYFUNCTION("""COMPUTED_VALUE"""),1.0)</f>
        <v>1</v>
      </c>
      <c r="S10" s="2"/>
      <c r="T10" s="2"/>
      <c r="U10" s="2" t="str">
        <f>IFERROR(__xludf.DUMMYFUNCTION("""COMPUTED_VALUE"""),"PP661-28871")</f>
        <v>PP661-28871</v>
      </c>
      <c r="V10" s="2" t="str">
        <f>IFERROR(__xludf.DUMMYFUNCTION("""COMPUTED_VALUE"""),"iPhone 14, Blue, 128GB, Logic Board Assy Mid System, ROW")</f>
        <v>iPhone 14, Blue, 128GB, Logic Board Assy Mid System, ROW</v>
      </c>
      <c r="W10" s="2">
        <f>IFERROR(__xludf.DUMMYFUNCTION("""COMPUTED_VALUE"""),3.0)</f>
        <v>3</v>
      </c>
      <c r="X10" s="2"/>
      <c r="Y10" s="2"/>
      <c r="Z10" s="2"/>
      <c r="AA10" s="2"/>
      <c r="AB10" s="2"/>
      <c r="AC10" s="2"/>
    </row>
    <row r="11">
      <c r="A11" s="2"/>
      <c r="B11" s="11">
        <f>IFERROR(__xludf.DUMMYFUNCTION("""COMPUTED_VALUE"""),46188.0)</f>
        <v>46188</v>
      </c>
      <c r="C11" s="2" t="str">
        <f>IFERROR(__xludf.DUMMYFUNCTION("""COMPUTED_VALUE"""),"MOBILECARE - DAVAO")</f>
        <v>MOBILECARE - DAVAO</v>
      </c>
      <c r="D11" s="2" t="str">
        <f>IFERROR(__xludf.DUMMYFUNCTION("""COMPUTED_VALUE"""),"TA661-36691")</f>
        <v>TA661-36691</v>
      </c>
      <c r="E11" s="2" t="str">
        <f>IFERROR(__xludf.DUMMYFUNCTION("""COMPUTED_VALUE"""),"iPhone 15, Black, 128GB, Logic Board Assy Mid System, ROW")</f>
        <v>iPhone 15, Black, 128GB, Logic Board Assy Mid System, ROW</v>
      </c>
      <c r="F11" s="38"/>
      <c r="G11" s="2" t="str">
        <f>IFERROR(__xludf.DUMMYFUNCTION("""COMPUTED_VALUE"""),"MOBILECARE - APP SM LANANG")</f>
        <v>MOBILECARE - APP SM LANANG</v>
      </c>
      <c r="H11" s="2">
        <f>IFERROR(__xludf.DUMMYFUNCTION("""COMPUTED_VALUE"""),4.0)</f>
        <v>4</v>
      </c>
      <c r="I11" s="2"/>
      <c r="J11" s="2"/>
      <c r="K11" s="2" t="str">
        <f>IFERROR(__xludf.DUMMYFUNCTION("""COMPUTED_VALUE"""),"TA661-43607")</f>
        <v>TA661-43607</v>
      </c>
      <c r="L11" s="2" t="str">
        <f>IFERROR(__xludf.DUMMYFUNCTION("""COMPUTED_VALUE"""),"128GB, Pink, ROW, iPhone 16, Logic Board Assy Mid System")</f>
        <v>128GB, Pink, ROW, iPhone 16, Logic Board Assy Mid System</v>
      </c>
      <c r="M11" s="2">
        <f>IFERROR(__xludf.DUMMYFUNCTION("""COMPUTED_VALUE"""),4.0)</f>
        <v>4</v>
      </c>
      <c r="N11" s="2"/>
      <c r="O11" s="2"/>
      <c r="P11" s="2" t="str">
        <f>IFERROR(__xludf.DUMMYFUNCTION("""COMPUTED_VALUE"""),"TA661-36695")</f>
        <v>TA661-36695</v>
      </c>
      <c r="Q11" s="2" t="str">
        <f>IFERROR(__xludf.DUMMYFUNCTION("""COMPUTED_VALUE"""),"iPhone 15, Green, 128GB, Logic Board Assy Mid System, ROW")</f>
        <v>iPhone 15, Green, 128GB, Logic Board Assy Mid System, ROW</v>
      </c>
      <c r="R11" s="2">
        <f>IFERROR(__xludf.DUMMYFUNCTION("""COMPUTED_VALUE"""),1.0)</f>
        <v>1</v>
      </c>
      <c r="S11" s="2"/>
      <c r="T11" s="2"/>
      <c r="U11" s="2" t="str">
        <f>IFERROR(__xludf.DUMMYFUNCTION("""COMPUTED_VALUE"""),"TA661-43606")</f>
        <v>TA661-43606</v>
      </c>
      <c r="V11" s="2" t="str">
        <f>IFERROR(__xludf.DUMMYFUNCTION("""COMPUTED_VALUE"""),"128GB, White, ROW, iPhone 16, Logic Board Assy Mid System")</f>
        <v>128GB, White, ROW, iPhone 16, Logic Board Assy Mid System</v>
      </c>
      <c r="W11" s="2">
        <f>IFERROR(__xludf.DUMMYFUNCTION("""COMPUTED_VALUE"""),2.0)</f>
        <v>2</v>
      </c>
      <c r="X11" s="2"/>
      <c r="Y11" s="2"/>
      <c r="Z11" s="2"/>
      <c r="AA11" s="2"/>
      <c r="AB11" s="2"/>
      <c r="AC11" s="2"/>
    </row>
    <row r="12">
      <c r="A12" s="2"/>
      <c r="B12" s="11">
        <f>IFERROR(__xludf.DUMMYFUNCTION("""COMPUTED_VALUE"""),46185.0)</f>
        <v>46185</v>
      </c>
      <c r="C12" s="2" t="str">
        <f>IFERROR(__xludf.DUMMYFUNCTION("""COMPUTED_VALUE"""),"MOBILECARE - DAVAO")</f>
        <v>MOBILECARE - DAVAO</v>
      </c>
      <c r="D12" s="2" t="str">
        <f>IFERROR(__xludf.DUMMYFUNCTION("""COMPUTED_VALUE"""),"TA661-44996")</f>
        <v>TA661-44996</v>
      </c>
      <c r="E12" s="2" t="str">
        <f>IFERROR(__xludf.DUMMYFUNCTION("""COMPUTED_VALUE"""),"128GB, White Titanium, ROW, iPhone 16 Pro, Logic Board Assy Mid System")</f>
        <v>128GB, White Titanium, ROW, iPhone 16 Pro, Logic Board Assy Mid System</v>
      </c>
      <c r="F12" s="38"/>
      <c r="G12" s="2" t="str">
        <f>IFERROR(__xludf.DUMMYFUNCTION("""COMPUTED_VALUE"""),"MOBILECARE - APP TRINOMA")</f>
        <v>MOBILECARE - APP TRINOMA</v>
      </c>
      <c r="H12" s="2">
        <f>IFERROR(__xludf.DUMMYFUNCTION("""COMPUTED_VALUE"""),2.0)</f>
        <v>2</v>
      </c>
      <c r="I12" s="2"/>
      <c r="J12" s="2"/>
      <c r="K12" s="2" t="str">
        <f>IFERROR(__xludf.DUMMYFUNCTION("""COMPUTED_VALUE"""),"661-44961")</f>
        <v>661-44961</v>
      </c>
      <c r="L12" s="2" t="str">
        <f>IFERROR(__xludf.DUMMYFUNCTION("""COMPUTED_VALUE"""),"Natural Titanium, Back Glass, iPhone 16 Pro Max")</f>
        <v>Natural Titanium, Back Glass, iPhone 16 Pro Max</v>
      </c>
      <c r="M12" s="2">
        <f>IFERROR(__xludf.DUMMYFUNCTION("""COMPUTED_VALUE"""),3.0)</f>
        <v>3</v>
      </c>
      <c r="N12" s="2"/>
      <c r="O12" s="2"/>
      <c r="P12" s="2" t="str">
        <f>IFERROR(__xludf.DUMMYFUNCTION("""COMPUTED_VALUE"""),"TA661-43606")</f>
        <v>TA661-43606</v>
      </c>
      <c r="Q12" s="2" t="str">
        <f>IFERROR(__xludf.DUMMYFUNCTION("""COMPUTED_VALUE"""),"128GB, White, ROW, iPhone 16, Logic Board Assy Mid System")</f>
        <v>128GB, White, ROW, iPhone 16, Logic Board Assy Mid System</v>
      </c>
      <c r="R12" s="2">
        <f>IFERROR(__xludf.DUMMYFUNCTION("""COMPUTED_VALUE"""),1.0)</f>
        <v>1</v>
      </c>
      <c r="S12" s="2"/>
      <c r="T12" s="2"/>
      <c r="U12" s="2" t="str">
        <f>IFERROR(__xludf.DUMMYFUNCTION("""COMPUTED_VALUE"""),"TA661-44997")</f>
        <v>TA661-44997</v>
      </c>
      <c r="V12" s="2" t="str">
        <f>IFERROR(__xludf.DUMMYFUNCTION("""COMPUTED_VALUE"""),"128GB, Desert Titanium, ROW, iPhone 16 Pro, Logic Board Assy Mid System")</f>
        <v>128GB, Desert Titanium, ROW, iPhone 16 Pro, Logic Board Assy Mid System</v>
      </c>
      <c r="W12" s="2">
        <f>IFERROR(__xludf.DUMMYFUNCTION("""COMPUTED_VALUE"""),2.0)</f>
        <v>2</v>
      </c>
      <c r="X12" s="2"/>
      <c r="Y12" s="2"/>
      <c r="Z12" s="2"/>
      <c r="AA12" s="2"/>
      <c r="AB12" s="2"/>
      <c r="AC12" s="2"/>
    </row>
    <row r="13">
      <c r="A13" s="2"/>
      <c r="B13" s="11">
        <f>IFERROR(__xludf.DUMMYFUNCTION("""COMPUTED_VALUE"""),46188.0)</f>
        <v>46188</v>
      </c>
      <c r="C13" s="2" t="str">
        <f>IFERROR(__xludf.DUMMYFUNCTION("""COMPUTED_VALUE"""),"MOBILECARE - DAVAO")</f>
        <v>MOBILECARE - DAVAO</v>
      </c>
      <c r="D13" s="2" t="str">
        <f>IFERROR(__xludf.DUMMYFUNCTION("""COMPUTED_VALUE"""),"PP661-23454")</f>
        <v>PP661-23454</v>
      </c>
      <c r="E13" s="2" t="str">
        <f>IFERROR(__xludf.DUMMYFUNCTION("""COMPUTED_VALUE"""),"iPhone 13, Midnight, 128GB, Logic Board Assy Rear System, ROW")</f>
        <v>iPhone 13, Midnight, 128GB, Logic Board Assy Rear System, ROW</v>
      </c>
      <c r="F13" s="38"/>
      <c r="G13" s="2" t="str">
        <f>IFERROR(__xludf.DUMMYFUNCTION("""COMPUTED_VALUE"""),"MOBILECARE - CAGAYAN DE ORO")</f>
        <v>MOBILECARE - CAGAYAN DE ORO</v>
      </c>
      <c r="H13" s="2">
        <f>IFERROR(__xludf.DUMMYFUNCTION("""COMPUTED_VALUE"""),2.0)</f>
        <v>2</v>
      </c>
      <c r="I13" s="2"/>
      <c r="J13" s="2"/>
      <c r="K13" s="2" t="str">
        <f>IFERROR(__xludf.DUMMYFUNCTION("""COMPUTED_VALUE"""),"TA661-36696")</f>
        <v>TA661-36696</v>
      </c>
      <c r="L13" s="2" t="str">
        <f>IFERROR(__xludf.DUMMYFUNCTION("""COMPUTED_VALUE"""),"iPhone 15, Black, 256GB, Logic Board Assy Mid System, ROW")</f>
        <v>iPhone 15, Black, 256GB, Logic Board Assy Mid System, ROW</v>
      </c>
      <c r="M13" s="2">
        <f>IFERROR(__xludf.DUMMYFUNCTION("""COMPUTED_VALUE"""),3.0)</f>
        <v>3</v>
      </c>
      <c r="N13" s="2"/>
      <c r="O13" s="2"/>
      <c r="P13" s="2" t="str">
        <f>IFERROR(__xludf.DUMMYFUNCTION("""COMPUTED_VALUE"""),"TA661-44999")</f>
        <v>TA661-44999</v>
      </c>
      <c r="Q13" s="2" t="str">
        <f>IFERROR(__xludf.DUMMYFUNCTION("""COMPUTED_VALUE"""),"256GB, Black Titanium, ROW, iPhone 16 Pro, Logic Board Assy Mid System")</f>
        <v>256GB, Black Titanium, ROW, iPhone 16 Pro, Logic Board Assy Mid System</v>
      </c>
      <c r="R13" s="2">
        <f>IFERROR(__xludf.DUMMYFUNCTION("""COMPUTED_VALUE"""),1.0)</f>
        <v>1</v>
      </c>
      <c r="S13" s="2"/>
      <c r="T13" s="2"/>
      <c r="U13" s="2" t="str">
        <f>IFERROR(__xludf.DUMMYFUNCTION("""COMPUTED_VALUE"""),"661-30387")</f>
        <v>661-30387</v>
      </c>
      <c r="V13" s="2" t="str">
        <f>IFERROR(__xludf.DUMMYFUNCTION("""COMPUTED_VALUE"""),"Purple, Back Glass, iPhone 14 Plus")</f>
        <v>Purple, Back Glass, iPhone 14 Plus</v>
      </c>
      <c r="W13" s="2">
        <f>IFERROR(__xludf.DUMMYFUNCTION("""COMPUTED_VALUE"""),1.0)</f>
        <v>1</v>
      </c>
      <c r="X13" s="2"/>
      <c r="Y13" s="2"/>
      <c r="Z13" s="2"/>
      <c r="AA13" s="2"/>
      <c r="AB13" s="2"/>
      <c r="AC13" s="2"/>
    </row>
    <row r="14">
      <c r="A14" s="2"/>
      <c r="B14" s="11">
        <f>IFERROR(__xludf.DUMMYFUNCTION("""COMPUTED_VALUE"""),46192.0)</f>
        <v>46192</v>
      </c>
      <c r="C14" s="2" t="str">
        <f>IFERROR(__xludf.DUMMYFUNCTION("""COMPUTED_VALUE"""),"MOBILECARE - DAVAO")</f>
        <v>MOBILECARE - DAVAO</v>
      </c>
      <c r="D14" s="2" t="str">
        <f>IFERROR(__xludf.DUMMYFUNCTION("""COMPUTED_VALUE"""),"PP661-23455")</f>
        <v>PP661-23455</v>
      </c>
      <c r="E14" s="2" t="str">
        <f>IFERROR(__xludf.DUMMYFUNCTION("""COMPUTED_VALUE"""),"iPhone 13, Starlight, 128GB, Logic Board Assy Rear System, ROW")</f>
        <v>iPhone 13, Starlight, 128GB, Logic Board Assy Rear System, ROW</v>
      </c>
      <c r="F14" s="38"/>
      <c r="G14" s="2" t="str">
        <f>IFERROR(__xludf.DUMMYFUNCTION("""COMPUTED_VALUE"""),"MOBILECARE - APP FESTIVAL MALL")</f>
        <v>MOBILECARE - APP FESTIVAL MALL</v>
      </c>
      <c r="H14" s="2">
        <f>IFERROR(__xludf.DUMMYFUNCTION("""COMPUTED_VALUE"""),1.0)</f>
        <v>1</v>
      </c>
      <c r="I14" s="2"/>
      <c r="J14" s="2"/>
      <c r="K14" s="2" t="str">
        <f>IFERROR(__xludf.DUMMYFUNCTION("""COMPUTED_VALUE"""),"TA661-43606")</f>
        <v>TA661-43606</v>
      </c>
      <c r="L14" s="2" t="str">
        <f>IFERROR(__xludf.DUMMYFUNCTION("""COMPUTED_VALUE"""),"128GB, White, ROW, iPhone 16, Logic Board Assy Mid System")</f>
        <v>128GB, White, ROW, iPhone 16, Logic Board Assy Mid System</v>
      </c>
      <c r="M14" s="2">
        <f>IFERROR(__xludf.DUMMYFUNCTION("""COMPUTED_VALUE"""),3.0)</f>
        <v>3</v>
      </c>
      <c r="N14" s="2"/>
      <c r="O14" s="2"/>
      <c r="P14" s="2" t="str">
        <f>IFERROR(__xludf.DUMMYFUNCTION("""COMPUTED_VALUE"""),"TA661-45233")</f>
        <v>TA661-45233</v>
      </c>
      <c r="Q14" s="2" t="str">
        <f>IFERROR(__xludf.DUMMYFUNCTION("""COMPUTED_VALUE"""),"128GB, Pink, ROW, iPhone 16 Plus, Logic Board Assy Mid System")</f>
        <v>128GB, Pink, ROW, iPhone 16 Plus, Logic Board Assy Mid System</v>
      </c>
      <c r="R14" s="2">
        <f>IFERROR(__xludf.DUMMYFUNCTION("""COMPUTED_VALUE"""),1.0)</f>
        <v>1</v>
      </c>
      <c r="S14" s="2"/>
      <c r="T14" s="2"/>
      <c r="U14" s="2" t="str">
        <f>IFERROR(__xludf.DUMMYFUNCTION("""COMPUTED_VALUE"""),"661-37211")</f>
        <v>661-37211</v>
      </c>
      <c r="V14" s="2" t="str">
        <f>IFERROR(__xludf.DUMMYFUNCTION("""COMPUTED_VALUE"""),"Blue, Back Glass, iPhone 15 Plus")</f>
        <v>Blue, Back Glass, iPhone 15 Plus</v>
      </c>
      <c r="W14" s="2">
        <f>IFERROR(__xludf.DUMMYFUNCTION("""COMPUTED_VALUE"""),1.0)</f>
        <v>1</v>
      </c>
      <c r="X14" s="2"/>
      <c r="Y14" s="2"/>
      <c r="Z14" s="2"/>
      <c r="AA14" s="2"/>
      <c r="AB14" s="2"/>
      <c r="AC14" s="2"/>
    </row>
    <row r="15">
      <c r="A15" s="2"/>
      <c r="B15" s="11">
        <f>IFERROR(__xludf.DUMMYFUNCTION("""COMPUTED_VALUE"""),46187.0)</f>
        <v>46187</v>
      </c>
      <c r="C15" s="2" t="str">
        <f>IFERROR(__xludf.DUMMYFUNCTION("""COMPUTED_VALUE"""),"MOBILECARE - DAVAO")</f>
        <v>MOBILECARE - DAVAO</v>
      </c>
      <c r="D15" s="2" t="str">
        <f>IFERROR(__xludf.DUMMYFUNCTION("""COMPUTED_VALUE"""),"TA661-36694")</f>
        <v>TA661-36694</v>
      </c>
      <c r="E15" s="2" t="str">
        <f>IFERROR(__xludf.DUMMYFUNCTION("""COMPUTED_VALUE"""),"iPhone 15, Blue, 128GB, Logic Board Assy Mid System, ROW")</f>
        <v>iPhone 15, Blue, 128GB, Logic Board Assy Mid System, ROW</v>
      </c>
      <c r="F15" s="38"/>
      <c r="G15" s="2" t="str">
        <f>IFERROR(__xludf.DUMMYFUNCTION("""COMPUTED_VALUE"""),"MOBILECARE - APP POWER PLANT MALL")</f>
        <v>MOBILECARE - APP POWER PLANT MALL</v>
      </c>
      <c r="H15" s="2">
        <f>IFERROR(__xludf.DUMMYFUNCTION("""COMPUTED_VALUE"""),1.0)</f>
        <v>1</v>
      </c>
      <c r="I15" s="2"/>
      <c r="J15" s="2"/>
      <c r="K15" s="2" t="str">
        <f>IFERROR(__xludf.DUMMYFUNCTION("""COMPUTED_VALUE"""),"TA661-43609")</f>
        <v>TA661-43609</v>
      </c>
      <c r="L15" s="2" t="str">
        <f>IFERROR(__xludf.DUMMYFUNCTION("""COMPUTED_VALUE"""),"128GB, Teal, ROW, iPhone 16, Logic Board Assy Mid System")</f>
        <v>128GB, Teal, ROW, iPhone 16, Logic Board Assy Mid System</v>
      </c>
      <c r="M15" s="2">
        <f>IFERROR(__xludf.DUMMYFUNCTION("""COMPUTED_VALUE"""),3.0)</f>
        <v>3</v>
      </c>
      <c r="N15" s="2"/>
      <c r="O15" s="2"/>
      <c r="P15" s="2" t="str">
        <f>IFERROR(__xludf.DUMMYFUNCTION("""COMPUTED_VALUE"""),"TA661-45235")</f>
        <v>TA661-45235</v>
      </c>
      <c r="Q15" s="2" t="str">
        <f>IFERROR(__xludf.DUMMYFUNCTION("""COMPUTED_VALUE"""),"128GB, Teal, ROW, iPhone 16 Plus, Logic Board Assy Mid System")</f>
        <v>128GB, Teal, ROW, iPhone 16 Plus, Logic Board Assy Mid System</v>
      </c>
      <c r="R15" s="2">
        <f>IFERROR(__xludf.DUMMYFUNCTION("""COMPUTED_VALUE"""),1.0)</f>
        <v>1</v>
      </c>
      <c r="S15" s="2"/>
      <c r="T15" s="2"/>
      <c r="U15" s="2" t="str">
        <f>IFERROR(__xludf.DUMMYFUNCTION("""COMPUTED_VALUE"""),"661-42725")</f>
        <v>661-42725</v>
      </c>
      <c r="V15" s="2" t="str">
        <f>IFERROR(__xludf.DUMMYFUNCTION("""COMPUTED_VALUE"""),"Natural Titanium, Back Glass, iPhone 16 Pro")</f>
        <v>Natural Titanium, Back Glass, iPhone 16 Pro</v>
      </c>
      <c r="W15" s="2">
        <f>IFERROR(__xludf.DUMMYFUNCTION("""COMPUTED_VALUE"""),1.0)</f>
        <v>1</v>
      </c>
      <c r="X15" s="2"/>
      <c r="Y15" s="2"/>
      <c r="Z15" s="2"/>
      <c r="AA15" s="2"/>
      <c r="AB15" s="2"/>
      <c r="AC15" s="2"/>
    </row>
    <row r="16">
      <c r="A16" s="2"/>
      <c r="B16" s="11">
        <f>IFERROR(__xludf.DUMMYFUNCTION("""COMPUTED_VALUE"""),46192.0)</f>
        <v>46192</v>
      </c>
      <c r="C16" s="2" t="str">
        <f>IFERROR(__xludf.DUMMYFUNCTION("""COMPUTED_VALUE"""),"MOBILECARE - DAVAO")</f>
        <v>MOBILECARE - DAVAO</v>
      </c>
      <c r="D16" s="2" t="str">
        <f>IFERROR(__xludf.DUMMYFUNCTION("""COMPUTED_VALUE"""),"TA661-49965")</f>
        <v>TA661-49965</v>
      </c>
      <c r="E16" s="2" t="str">
        <f>IFERROR(__xludf.DUMMYFUNCTION("""COMPUTED_VALUE"""),"White, 128GB, Logic Board Assy Mid System, iPhone 16e, ROW")</f>
        <v>White, 128GB, Logic Board Assy Mid System, iPhone 16e, ROW</v>
      </c>
      <c r="F16" s="38"/>
      <c r="G16" s="2"/>
      <c r="H16" s="2"/>
      <c r="I16" s="2"/>
      <c r="J16" s="2"/>
      <c r="K16" s="2" t="str">
        <f>IFERROR(__xludf.DUMMYFUNCTION("""COMPUTED_VALUE"""),"TA661-44999")</f>
        <v>TA661-44999</v>
      </c>
      <c r="L16" s="2" t="str">
        <f>IFERROR(__xludf.DUMMYFUNCTION("""COMPUTED_VALUE"""),"256GB, Black Titanium, ROW, iPhone 16 Pro, Logic Board Assy Mid System")</f>
        <v>256GB, Black Titanium, ROW, iPhone 16 Pro, Logic Board Assy Mid System</v>
      </c>
      <c r="M16" s="2">
        <f>IFERROR(__xludf.DUMMYFUNCTION("""COMPUTED_VALUE"""),3.0)</f>
        <v>3</v>
      </c>
      <c r="N16" s="2"/>
      <c r="O16" s="2"/>
      <c r="P16" s="2"/>
      <c r="Q16" s="2"/>
      <c r="R16" s="2"/>
      <c r="S16" s="2"/>
      <c r="T16" s="2"/>
      <c r="U16" s="2" t="str">
        <f>IFERROR(__xludf.DUMMYFUNCTION("""COMPUTED_VALUE"""),"661-44960")</f>
        <v>661-44960</v>
      </c>
      <c r="V16" s="2" t="str">
        <f>IFERROR(__xludf.DUMMYFUNCTION("""COMPUTED_VALUE"""),"Desert Titanium, Back Glass, iPhone 16 Pro Max")</f>
        <v>Desert Titanium, Back Glass, iPhone 16 Pro Max</v>
      </c>
      <c r="W16" s="2">
        <f>IFERROR(__xludf.DUMMYFUNCTION("""COMPUTED_VALUE"""),1.0)</f>
        <v>1</v>
      </c>
      <c r="X16" s="2"/>
      <c r="Y16" s="2"/>
      <c r="Z16" s="2"/>
      <c r="AA16" s="2"/>
      <c r="AB16" s="2"/>
      <c r="AC16" s="2"/>
    </row>
    <row r="17">
      <c r="A17" s="2"/>
      <c r="B17" s="11">
        <f>IFERROR(__xludf.DUMMYFUNCTION("""COMPUTED_VALUE"""),46185.0)</f>
        <v>46185</v>
      </c>
      <c r="C17" s="2" t="str">
        <f>IFERROR(__xludf.DUMMYFUNCTION("""COMPUTED_VALUE"""),"MOBILECARE - DAVAO")</f>
        <v>MOBILECARE - DAVAO</v>
      </c>
      <c r="D17" s="2" t="str">
        <f>IFERROR(__xludf.DUMMYFUNCTION("""COMPUTED_VALUE"""),"661-42725")</f>
        <v>661-42725</v>
      </c>
      <c r="E17" s="2" t="str">
        <f>IFERROR(__xludf.DUMMYFUNCTION("""COMPUTED_VALUE"""),"Natural Titanium, Back Glass, iPhone 16 Pro")</f>
        <v>Natural Titanium, Back Glass, iPhone 16 Pro</v>
      </c>
      <c r="F17" s="38"/>
      <c r="G17" s="2"/>
      <c r="H17" s="2"/>
      <c r="I17" s="2"/>
      <c r="J17" s="2"/>
      <c r="K17" s="2" t="str">
        <f>IFERROR(__xludf.DUMMYFUNCTION("""COMPUTED_VALUE"""),"TA661-43608")</f>
        <v>TA661-43608</v>
      </c>
      <c r="L17" s="2" t="str">
        <f>IFERROR(__xludf.DUMMYFUNCTION("""COMPUTED_VALUE"""),"128GB, Ultramarine, ROW, iPhone 16, Logic Board Assy Mid System")</f>
        <v>128GB, Ultramarine, ROW, iPhone 16, Logic Board Assy Mid System</v>
      </c>
      <c r="M17" s="2">
        <f>IFERROR(__xludf.DUMMYFUNCTION("""COMPUTED_VALUE"""),2.0)</f>
        <v>2</v>
      </c>
      <c r="N17" s="2"/>
      <c r="O17" s="2"/>
      <c r="P17" s="2"/>
      <c r="Q17" s="2"/>
      <c r="R17" s="2"/>
      <c r="S17" s="2"/>
      <c r="T17" s="2"/>
      <c r="U17" s="2" t="str">
        <f>IFERROR(__xludf.DUMMYFUNCTION("""COMPUTED_VALUE"""),"661-56055")</f>
        <v>661-56055</v>
      </c>
      <c r="V17" s="2" t="str">
        <f>IFERROR(__xludf.DUMMYFUNCTION("""COMPUTED_VALUE"""),"Deep Blue, Back Glass, iPhone 17 Pro Max")</f>
        <v>Deep Blue, Back Glass, iPhone 17 Pro Max</v>
      </c>
      <c r="W17" s="2">
        <f>IFERROR(__xludf.DUMMYFUNCTION("""COMPUTED_VALUE"""),1.0)</f>
        <v>1</v>
      </c>
      <c r="X17" s="2"/>
      <c r="Y17" s="2"/>
      <c r="Z17" s="2"/>
      <c r="AA17" s="2"/>
      <c r="AB17" s="2"/>
      <c r="AC17" s="2"/>
    </row>
    <row r="18">
      <c r="A18" s="2"/>
      <c r="B18" s="11">
        <f>IFERROR(__xludf.DUMMYFUNCTION("""COMPUTED_VALUE"""),46190.0)</f>
        <v>46190</v>
      </c>
      <c r="C18" s="2" t="str">
        <f>IFERROR(__xludf.DUMMYFUNCTION("""COMPUTED_VALUE"""),"MOBILECARE - DAVAO")</f>
        <v>MOBILECARE - DAVAO</v>
      </c>
      <c r="D18" s="2" t="str">
        <f>IFERROR(__xludf.DUMMYFUNCTION("""COMPUTED_VALUE"""),"PP661-23455")</f>
        <v>PP661-23455</v>
      </c>
      <c r="E18" s="2" t="str">
        <f>IFERROR(__xludf.DUMMYFUNCTION("""COMPUTED_VALUE"""),"iPhone 13, Starlight, 128GB, Logic Board Assy Rear System, ROW")</f>
        <v>iPhone 13, Starlight, 128GB, Logic Board Assy Rear System, ROW</v>
      </c>
      <c r="F18" s="38"/>
      <c r="G18" s="2"/>
      <c r="H18" s="2"/>
      <c r="I18" s="2"/>
      <c r="J18" s="2"/>
      <c r="K18" s="2" t="str">
        <f>IFERROR(__xludf.DUMMYFUNCTION("""COMPUTED_VALUE"""),"TA661-43611")</f>
        <v>TA661-43611</v>
      </c>
      <c r="L18" s="2" t="str">
        <f>IFERROR(__xludf.DUMMYFUNCTION("""COMPUTED_VALUE"""),"256GB, White, ROW, iPhone 16, Logic Board Assy Mid System")</f>
        <v>256GB, White, ROW, iPhone 16, Logic Board Assy Mid System</v>
      </c>
      <c r="M18" s="2">
        <f>IFERROR(__xludf.DUMMYFUNCTION("""COMPUTED_VALUE"""),2.0)</f>
        <v>2</v>
      </c>
      <c r="N18" s="2"/>
      <c r="O18" s="2"/>
      <c r="P18" s="2"/>
      <c r="Q18" s="2"/>
      <c r="R18" s="2"/>
      <c r="S18" s="2"/>
      <c r="T18" s="2"/>
      <c r="U18" s="2" t="str">
        <f>IFERROR(__xludf.DUMMYFUNCTION("""COMPUTED_VALUE"""),"661-56058")</f>
        <v>661-56058</v>
      </c>
      <c r="V18" s="2" t="str">
        <f>IFERROR(__xludf.DUMMYFUNCTION("""COMPUTED_VALUE"""),"White, Back Glass, iPhone 17")</f>
        <v>White, Back Glass, iPhone 17</v>
      </c>
      <c r="W18" s="2">
        <f>IFERROR(__xludf.DUMMYFUNCTION("""COMPUTED_VALUE"""),1.0)</f>
        <v>1</v>
      </c>
      <c r="X18" s="2"/>
      <c r="Y18" s="2"/>
      <c r="Z18" s="2"/>
      <c r="AA18" s="2"/>
      <c r="AB18" s="2"/>
      <c r="AC18" s="2"/>
    </row>
    <row r="19">
      <c r="A19" s="2"/>
      <c r="B19" s="11">
        <f>IFERROR(__xludf.DUMMYFUNCTION("""COMPUTED_VALUE"""),46187.0)</f>
        <v>46187</v>
      </c>
      <c r="C19" s="2" t="str">
        <f>IFERROR(__xludf.DUMMYFUNCTION("""COMPUTED_VALUE"""),"MOBILECARE - DAVAO")</f>
        <v>MOBILECARE - DAVAO</v>
      </c>
      <c r="D19" s="2" t="str">
        <f>IFERROR(__xludf.DUMMYFUNCTION("""COMPUTED_VALUE"""),"TA661-36694")</f>
        <v>TA661-36694</v>
      </c>
      <c r="E19" s="2" t="str">
        <f>IFERROR(__xludf.DUMMYFUNCTION("""COMPUTED_VALUE"""),"iPhone 15, Blue, 128GB, Logic Board Assy Mid System, ROW")</f>
        <v>iPhone 15, Blue, 128GB, Logic Board Assy Mid System, ROW</v>
      </c>
      <c r="F19" s="38"/>
      <c r="G19" s="2"/>
      <c r="H19" s="2"/>
      <c r="I19" s="2"/>
      <c r="J19" s="2"/>
      <c r="K19" s="2" t="str">
        <f>IFERROR(__xludf.DUMMYFUNCTION("""COMPUTED_VALUE"""),"TA661-45000")</f>
        <v>TA661-45000</v>
      </c>
      <c r="L19" s="2" t="str">
        <f>IFERROR(__xludf.DUMMYFUNCTION("""COMPUTED_VALUE"""),"256GB, White Titanium, ROW, iPhone 16 Pro, Logic Board Assy Mid System")</f>
        <v>256GB, White Titanium, ROW, iPhone 16 Pro, Logic Board Assy Mid System</v>
      </c>
      <c r="M19" s="2">
        <f>IFERROR(__xludf.DUMMYFUNCTION("""COMPUTED_VALUE"""),2.0)</f>
        <v>2</v>
      </c>
      <c r="N19" s="2"/>
      <c r="O19" s="2"/>
      <c r="P19" s="2"/>
      <c r="Q19" s="2"/>
      <c r="R19" s="2"/>
      <c r="S19" s="2"/>
      <c r="T19" s="2"/>
      <c r="U19" s="2" t="str">
        <f>IFERROR(__xludf.DUMMYFUNCTION("""COMPUTED_VALUE"""),"661-56122")</f>
        <v>661-56122</v>
      </c>
      <c r="V19" s="2" t="str">
        <f>IFERROR(__xludf.DUMMYFUNCTION("""COMPUTED_VALUE"""),"Silver, Back Glass, iPhone 17 Pro")</f>
        <v>Silver, Back Glass, iPhone 17 Pro</v>
      </c>
      <c r="W19" s="2">
        <f>IFERROR(__xludf.DUMMYFUNCTION("""COMPUTED_VALUE"""),1.0)</f>
        <v>1</v>
      </c>
      <c r="X19" s="2"/>
      <c r="Y19" s="2"/>
      <c r="Z19" s="2"/>
      <c r="AA19" s="2"/>
      <c r="AB19" s="2"/>
      <c r="AC19" s="2"/>
    </row>
    <row r="20">
      <c r="A20" s="2"/>
      <c r="B20" s="11">
        <f>IFERROR(__xludf.DUMMYFUNCTION("""COMPUTED_VALUE"""),46180.0)</f>
        <v>46180</v>
      </c>
      <c r="C20" s="2" t="str">
        <f>IFERROR(__xludf.DUMMYFUNCTION("""COMPUTED_VALUE"""),"MOBILECARE - DAVAO")</f>
        <v>MOBILECARE - DAVAO</v>
      </c>
      <c r="D20" s="2" t="str">
        <f>IFERROR(__xludf.DUMMYFUNCTION("""COMPUTED_VALUE"""),"PP661-23454")</f>
        <v>PP661-23454</v>
      </c>
      <c r="E20" s="2" t="str">
        <f>IFERROR(__xludf.DUMMYFUNCTION("""COMPUTED_VALUE"""),"iPhone 13, Midnight, 128GB, Logic Board Assy Rear System, ROW")</f>
        <v>iPhone 13, Midnight, 128GB, Logic Board Assy Rear System, ROW</v>
      </c>
      <c r="F20" s="38"/>
      <c r="G20" s="2"/>
      <c r="H20" s="2"/>
      <c r="I20" s="2"/>
      <c r="J20" s="2"/>
      <c r="K20" s="2" t="str">
        <f>IFERROR(__xludf.DUMMYFUNCTION("""COMPUTED_VALUE"""),"TA661-45232")</f>
        <v>TA661-45232</v>
      </c>
      <c r="L20" s="2" t="str">
        <f>IFERROR(__xludf.DUMMYFUNCTION("""COMPUTED_VALUE"""),"128GB, White, ROW, iPhone 16 Plus, Logic Board Assy Mid System")</f>
        <v>128GB, White, ROW, iPhone 16 Plus, Logic Board Assy Mid System</v>
      </c>
      <c r="M20" s="2">
        <f>IFERROR(__xludf.DUMMYFUNCTION("""COMPUTED_VALUE"""),2.0)</f>
        <v>2</v>
      </c>
      <c r="N20" s="2"/>
      <c r="O20" s="2"/>
      <c r="P20" s="2"/>
      <c r="Q20" s="2"/>
      <c r="R20" s="2"/>
      <c r="S20" s="2"/>
      <c r="T20" s="2"/>
      <c r="U20" s="2" t="str">
        <f>IFERROR(__xludf.DUMMYFUNCTION("""COMPUTED_VALUE"""),"661-56124")</f>
        <v>661-56124</v>
      </c>
      <c r="V20" s="2" t="str">
        <f>IFERROR(__xludf.DUMMYFUNCTION("""COMPUTED_VALUE"""),"Deep Blue, Back Glass, iPhone 17 Pro")</f>
        <v>Deep Blue, Back Glass, iPhone 17 Pro</v>
      </c>
      <c r="W20" s="2">
        <f>IFERROR(__xludf.DUMMYFUNCTION("""COMPUTED_VALUE"""),1.0)</f>
        <v>1</v>
      </c>
      <c r="X20" s="2"/>
      <c r="Y20" s="2"/>
      <c r="Z20" s="2"/>
      <c r="AA20" s="2"/>
      <c r="AB20" s="2"/>
      <c r="AC20" s="2"/>
    </row>
    <row r="21">
      <c r="A21" s="2"/>
      <c r="B21" s="11">
        <f>IFERROR(__xludf.DUMMYFUNCTION("""COMPUTED_VALUE"""),46187.0)</f>
        <v>46187</v>
      </c>
      <c r="C21" s="2" t="str">
        <f>IFERROR(__xludf.DUMMYFUNCTION("""COMPUTED_VALUE"""),"MOBILECARE - DAVAO")</f>
        <v>MOBILECARE - DAVAO</v>
      </c>
      <c r="D21" s="2" t="str">
        <f>IFERROR(__xludf.DUMMYFUNCTION("""COMPUTED_VALUE"""),"PP661-28869")</f>
        <v>PP661-28869</v>
      </c>
      <c r="E21" s="2" t="str">
        <f>IFERROR(__xludf.DUMMYFUNCTION("""COMPUTED_VALUE"""),"iPhone 14, Starlight, 128GB, Logic Board Assy Mid System, ROW")</f>
        <v>iPhone 14, Starlight, 128GB, Logic Board Assy Mid System, ROW</v>
      </c>
      <c r="F21" s="38"/>
      <c r="G21" s="2"/>
      <c r="H21" s="2"/>
      <c r="I21" s="2"/>
      <c r="J21" s="2"/>
      <c r="K21" s="2" t="str">
        <f>IFERROR(__xludf.DUMMYFUNCTION("""COMPUTED_VALUE"""),"TA661-45238")</f>
        <v>TA661-45238</v>
      </c>
      <c r="L21" s="2" t="str">
        <f>IFERROR(__xludf.DUMMYFUNCTION("""COMPUTED_VALUE"""),"256GB, Pink, ROW, iPhone 16 Plus, Logic Board Assy Mid System")</f>
        <v>256GB, Pink, ROW, iPhone 16 Plus, Logic Board Assy Mid System</v>
      </c>
      <c r="M21" s="2">
        <f>IFERROR(__xludf.DUMMYFUNCTION("""COMPUTED_VALUE"""),2.0)</f>
        <v>2</v>
      </c>
      <c r="N21" s="2"/>
      <c r="O21" s="2"/>
      <c r="P21" s="2"/>
      <c r="Q21" s="2"/>
      <c r="R21" s="2"/>
      <c r="S21" s="2"/>
      <c r="T21" s="2"/>
      <c r="U21" s="2" t="str">
        <f>IFERROR(__xludf.DUMMYFUNCTION("""COMPUTED_VALUE"""),"PP661-28873")</f>
        <v>PP661-28873</v>
      </c>
      <c r="V21" s="2" t="str">
        <f>IFERROR(__xludf.DUMMYFUNCTION("""COMPUTED_VALUE"""),"iPhone 14, Midnight, 256GB, Logic Board Assy Mid System, ROW")</f>
        <v>iPhone 14, Midnight, 256GB, Logic Board Assy Mid System, ROW</v>
      </c>
      <c r="W21" s="2">
        <f>IFERROR(__xludf.DUMMYFUNCTION("""COMPUTED_VALUE"""),1.0)</f>
        <v>1</v>
      </c>
      <c r="X21" s="2"/>
      <c r="Y21" s="2"/>
      <c r="Z21" s="2"/>
      <c r="AA21" s="2"/>
      <c r="AB21" s="2"/>
      <c r="AC21" s="2"/>
    </row>
    <row r="22">
      <c r="A22" s="2"/>
      <c r="B22" s="11">
        <f>IFERROR(__xludf.DUMMYFUNCTION("""COMPUTED_VALUE"""),46185.0)</f>
        <v>46185</v>
      </c>
      <c r="C22" s="2" t="str">
        <f>IFERROR(__xludf.DUMMYFUNCTION("""COMPUTED_VALUE"""),"MOBILECARE - DAVAO")</f>
        <v>MOBILECARE - DAVAO</v>
      </c>
      <c r="D22" s="2" t="str">
        <f>IFERROR(__xludf.DUMMYFUNCTION("""COMPUTED_VALUE"""),"PP661-23455")</f>
        <v>PP661-23455</v>
      </c>
      <c r="E22" s="2" t="str">
        <f>IFERROR(__xludf.DUMMYFUNCTION("""COMPUTED_VALUE"""),"iPhone 13, Starlight, 128GB, Logic Board Assy Rear System, ROW")</f>
        <v>iPhone 13, Starlight, 128GB, Logic Board Assy Rear System, ROW</v>
      </c>
      <c r="F22" s="38"/>
      <c r="G22" s="2"/>
      <c r="H22" s="2"/>
      <c r="I22" s="2"/>
      <c r="J22" s="2"/>
      <c r="K22" s="2" t="str">
        <f>IFERROR(__xludf.DUMMYFUNCTION("""COMPUTED_VALUE"""),"661-30416")</f>
        <v>661-30416</v>
      </c>
      <c r="L22" s="2" t="str">
        <f>IFERROR(__xludf.DUMMYFUNCTION("""COMPUTED_VALUE"""),"Blue, Back Glass, iPhone 14")</f>
        <v>Blue, Back Glass, iPhone 14</v>
      </c>
      <c r="M22" s="2">
        <f>IFERROR(__xludf.DUMMYFUNCTION("""COMPUTED_VALUE"""),1.0)</f>
        <v>1</v>
      </c>
      <c r="N22" s="2"/>
      <c r="O22" s="2"/>
      <c r="P22" s="2"/>
      <c r="Q22" s="2"/>
      <c r="R22" s="2"/>
      <c r="S22" s="2"/>
      <c r="T22" s="2"/>
      <c r="U22" s="2" t="str">
        <f>IFERROR(__xludf.DUMMYFUNCTION("""COMPUTED_VALUE"""),"TA661-36697")</f>
        <v>TA661-36697</v>
      </c>
      <c r="V22" s="2" t="str">
        <f>IFERROR(__xludf.DUMMYFUNCTION("""COMPUTED_VALUE"""),"iPhone 15, Pink, 256GB, Logic Board Assy Mid System, ROW")</f>
        <v>iPhone 15, Pink, 256GB, Logic Board Assy Mid System, ROW</v>
      </c>
      <c r="W22" s="2">
        <f>IFERROR(__xludf.DUMMYFUNCTION("""COMPUTED_VALUE"""),1.0)</f>
        <v>1</v>
      </c>
      <c r="X22" s="2"/>
      <c r="Y22" s="2"/>
      <c r="Z22" s="2"/>
      <c r="AA22" s="2"/>
      <c r="AB22" s="2"/>
      <c r="AC22" s="2"/>
    </row>
    <row r="23">
      <c r="A23" s="2"/>
      <c r="B23" s="11">
        <f>IFERROR(__xludf.DUMMYFUNCTION("""COMPUTED_VALUE"""),46187.0)</f>
        <v>46187</v>
      </c>
      <c r="C23" s="2" t="str">
        <f>IFERROR(__xludf.DUMMYFUNCTION("""COMPUTED_VALUE"""),"MOBILECARE - DAVAO")</f>
        <v>MOBILECARE - DAVAO</v>
      </c>
      <c r="D23" s="2" t="str">
        <f>IFERROR(__xludf.DUMMYFUNCTION("""COMPUTED_VALUE"""),"PP661-28871")</f>
        <v>PP661-28871</v>
      </c>
      <c r="E23" s="2" t="str">
        <f>IFERROR(__xludf.DUMMYFUNCTION("""COMPUTED_VALUE"""),"iPhone 14, Blue, 128GB, Logic Board Assy Mid System, ROW")</f>
        <v>iPhone 14, Blue, 128GB, Logic Board Assy Mid System, ROW</v>
      </c>
      <c r="F23" s="38"/>
      <c r="G23" s="2"/>
      <c r="H23" s="2"/>
      <c r="I23" s="2"/>
      <c r="J23" s="2"/>
      <c r="K23" s="2" t="str">
        <f>IFERROR(__xludf.DUMMYFUNCTION("""COMPUTED_VALUE"""),"661-44960")</f>
        <v>661-44960</v>
      </c>
      <c r="L23" s="2" t="str">
        <f>IFERROR(__xludf.DUMMYFUNCTION("""COMPUTED_VALUE"""),"Desert Titanium, Back Glass, iPhone 16 Pro Max")</f>
        <v>Desert Titanium, Back Glass, iPhone 16 Pro Max</v>
      </c>
      <c r="M23" s="2">
        <f>IFERROR(__xludf.DUMMYFUNCTION("""COMPUTED_VALUE"""),1.0)</f>
        <v>1</v>
      </c>
      <c r="N23" s="2"/>
      <c r="O23" s="2"/>
      <c r="P23" s="2"/>
      <c r="Q23" s="2"/>
      <c r="R23" s="2"/>
      <c r="S23" s="2"/>
      <c r="T23" s="2"/>
      <c r="U23" s="2" t="str">
        <f>IFERROR(__xludf.DUMMYFUNCTION("""COMPUTED_VALUE"""),"TA661-43611")</f>
        <v>TA661-43611</v>
      </c>
      <c r="V23" s="2" t="str">
        <f>IFERROR(__xludf.DUMMYFUNCTION("""COMPUTED_VALUE"""),"256GB, White, ROW, iPhone 16, Logic Board Assy Mid System")</f>
        <v>256GB, White, ROW, iPhone 16, Logic Board Assy Mid System</v>
      </c>
      <c r="W23" s="2">
        <f>IFERROR(__xludf.DUMMYFUNCTION("""COMPUTED_VALUE"""),1.0)</f>
        <v>1</v>
      </c>
      <c r="X23" s="2"/>
      <c r="Y23" s="2"/>
      <c r="Z23" s="2"/>
      <c r="AA23" s="2"/>
      <c r="AB23" s="2"/>
      <c r="AC23" s="2"/>
    </row>
    <row r="24">
      <c r="A24" s="2"/>
      <c r="B24" s="11">
        <f>IFERROR(__xludf.DUMMYFUNCTION("""COMPUTED_VALUE"""),46193.0)</f>
        <v>46193</v>
      </c>
      <c r="C24" s="2" t="str">
        <f>IFERROR(__xludf.DUMMYFUNCTION("""COMPUTED_VALUE"""),"MOBILECARE - CAGAYAN DE ORO")</f>
        <v>MOBILECARE - CAGAYAN DE ORO</v>
      </c>
      <c r="D24" s="2" t="str">
        <f>IFERROR(__xludf.DUMMYFUNCTION("""COMPUTED_VALUE"""),"TA661-36694")</f>
        <v>TA661-36694</v>
      </c>
      <c r="E24" s="2" t="str">
        <f>IFERROR(__xludf.DUMMYFUNCTION("""COMPUTED_VALUE"""),"iPhone 15, Blue, 128GB, Logic Board Assy Mid System, ROW")</f>
        <v>iPhone 15, Blue, 128GB, Logic Board Assy Mid System, ROW</v>
      </c>
      <c r="F24" s="38"/>
      <c r="G24" s="2"/>
      <c r="H24" s="2"/>
      <c r="I24" s="2"/>
      <c r="J24" s="2"/>
      <c r="K24" s="2" t="str">
        <f>IFERROR(__xludf.DUMMYFUNCTION("""COMPUTED_VALUE"""),"PP661-23460")</f>
        <v>PP661-23460</v>
      </c>
      <c r="L24" s="2" t="str">
        <f>IFERROR(__xludf.DUMMYFUNCTION("""COMPUTED_VALUE"""),"iPhone 13, Starlight, 256GB, Logic Board Assy Rear System, ROW")</f>
        <v>iPhone 13, Starlight, 256GB, Logic Board Assy Rear System, ROW</v>
      </c>
      <c r="M24" s="2">
        <f>IFERROR(__xludf.DUMMYFUNCTION("""COMPUTED_VALUE"""),1.0)</f>
        <v>1</v>
      </c>
      <c r="N24" s="2"/>
      <c r="O24" s="2"/>
      <c r="P24" s="2"/>
      <c r="Q24" s="2"/>
      <c r="R24" s="2"/>
      <c r="S24" s="2"/>
      <c r="T24" s="2"/>
      <c r="U24" s="2" t="str">
        <f>IFERROR(__xludf.DUMMYFUNCTION("""COMPUTED_VALUE"""),"TA661-43614")</f>
        <v>TA661-43614</v>
      </c>
      <c r="V24" s="2" t="str">
        <f>IFERROR(__xludf.DUMMYFUNCTION("""COMPUTED_VALUE"""),"256GB, Teal, ROW, iPhone 16, Logic Board Assy Mid System")</f>
        <v>256GB, Teal, ROW, iPhone 16, Logic Board Assy Mid System</v>
      </c>
      <c r="W24" s="2">
        <f>IFERROR(__xludf.DUMMYFUNCTION("""COMPUTED_VALUE"""),1.0)</f>
        <v>1</v>
      </c>
      <c r="X24" s="2"/>
      <c r="Y24" s="2"/>
      <c r="Z24" s="2"/>
      <c r="AA24" s="2"/>
      <c r="AB24" s="2"/>
      <c r="AC24" s="2"/>
    </row>
    <row r="25">
      <c r="A25" s="2"/>
      <c r="B25" s="11">
        <f>IFERROR(__xludf.DUMMYFUNCTION("""COMPUTED_VALUE"""),46191.0)</f>
        <v>46191</v>
      </c>
      <c r="C25" s="2" t="str">
        <f>IFERROR(__xludf.DUMMYFUNCTION("""COMPUTED_VALUE"""),"MOBILECARE - CAGAYAN DE ORO")</f>
        <v>MOBILECARE - CAGAYAN DE ORO</v>
      </c>
      <c r="D25" s="2" t="str">
        <f>IFERROR(__xludf.DUMMYFUNCTION("""COMPUTED_VALUE"""),"PP661-23454")</f>
        <v>PP661-23454</v>
      </c>
      <c r="E25" s="2" t="str">
        <f>IFERROR(__xludf.DUMMYFUNCTION("""COMPUTED_VALUE"""),"iPhone 13, Midnight, 128GB, Logic Board Assy Rear System, ROW")</f>
        <v>iPhone 13, Midnight, 128GB, Logic Board Assy Rear System, ROW</v>
      </c>
      <c r="F25" s="38"/>
      <c r="G25" s="2"/>
      <c r="H25" s="2"/>
      <c r="I25" s="2"/>
      <c r="J25" s="2"/>
      <c r="K25" s="2" t="str">
        <f>IFERROR(__xludf.DUMMYFUNCTION("""COMPUTED_VALUE"""),"PP661-28873")</f>
        <v>PP661-28873</v>
      </c>
      <c r="L25" s="2" t="str">
        <f>IFERROR(__xludf.DUMMYFUNCTION("""COMPUTED_VALUE"""),"iPhone 14, Midnight, 256GB, Logic Board Assy Mid System, ROW")</f>
        <v>iPhone 14, Midnight, 256GB, Logic Board Assy Mid System, ROW</v>
      </c>
      <c r="M25" s="2">
        <f>IFERROR(__xludf.DUMMYFUNCTION("""COMPUTED_VALUE"""),1.0)</f>
        <v>1</v>
      </c>
      <c r="N25" s="2"/>
      <c r="O25" s="2"/>
      <c r="P25" s="2"/>
      <c r="Q25" s="2"/>
      <c r="R25" s="2"/>
      <c r="S25" s="2"/>
      <c r="T25" s="2"/>
      <c r="U25" s="2" t="str">
        <f>IFERROR(__xludf.DUMMYFUNCTION("""COMPUTED_VALUE"""),"TA661-44996")</f>
        <v>TA661-44996</v>
      </c>
      <c r="V25" s="2" t="str">
        <f>IFERROR(__xludf.DUMMYFUNCTION("""COMPUTED_VALUE"""),"128GB, White Titanium, ROW, iPhone 16 Pro, Logic Board Assy Mid System")</f>
        <v>128GB, White Titanium, ROW, iPhone 16 Pro, Logic Board Assy Mid System</v>
      </c>
      <c r="W25" s="2">
        <f>IFERROR(__xludf.DUMMYFUNCTION("""COMPUTED_VALUE"""),1.0)</f>
        <v>1</v>
      </c>
      <c r="X25" s="2"/>
      <c r="Y25" s="2"/>
      <c r="Z25" s="2"/>
      <c r="AA25" s="2"/>
      <c r="AB25" s="2"/>
      <c r="AC25" s="2"/>
    </row>
    <row r="26">
      <c r="A26" s="2"/>
      <c r="B26" s="11">
        <f>IFERROR(__xludf.DUMMYFUNCTION("""COMPUTED_VALUE"""),46193.0)</f>
        <v>46193</v>
      </c>
      <c r="C26" s="2" t="str">
        <f>IFERROR(__xludf.DUMMYFUNCTION("""COMPUTED_VALUE"""),"MOBILECARE - APP FESTIVAL MALL")</f>
        <v>MOBILECARE - APP FESTIVAL MALL</v>
      </c>
      <c r="D26" s="2" t="str">
        <f>IFERROR(__xludf.DUMMYFUNCTION("""COMPUTED_VALUE"""),"661-30387")</f>
        <v>661-30387</v>
      </c>
      <c r="E26" s="2" t="str">
        <f>IFERROR(__xludf.DUMMYFUNCTION("""COMPUTED_VALUE"""),"Purple, Back Glass, iPhone 14 Plus")</f>
        <v>Purple, Back Glass, iPhone 14 Plus</v>
      </c>
      <c r="F26" s="38"/>
      <c r="G26" s="2"/>
      <c r="H26" s="2"/>
      <c r="I26" s="2"/>
      <c r="J26" s="2"/>
      <c r="K26" s="2" t="str">
        <f>IFERROR(__xludf.DUMMYFUNCTION("""COMPUTED_VALUE"""),"TA661-36695")</f>
        <v>TA661-36695</v>
      </c>
      <c r="L26" s="2" t="str">
        <f>IFERROR(__xludf.DUMMYFUNCTION("""COMPUTED_VALUE"""),"iPhone 15, Green, 128GB, Logic Board Assy Mid System, ROW")</f>
        <v>iPhone 15, Green, 128GB, Logic Board Assy Mid System, ROW</v>
      </c>
      <c r="M26" s="2">
        <f>IFERROR(__xludf.DUMMYFUNCTION("""COMPUTED_VALUE"""),1.0)</f>
        <v>1</v>
      </c>
      <c r="N26" s="2"/>
      <c r="O26" s="2"/>
      <c r="P26" s="2"/>
      <c r="Q26" s="2"/>
      <c r="R26" s="2"/>
      <c r="S26" s="2"/>
      <c r="T26" s="2"/>
      <c r="U26" s="2" t="str">
        <f>IFERROR(__xludf.DUMMYFUNCTION("""COMPUTED_VALUE"""),"TA661-44999")</f>
        <v>TA661-44999</v>
      </c>
      <c r="V26" s="2" t="str">
        <f>IFERROR(__xludf.DUMMYFUNCTION("""COMPUTED_VALUE"""),"256GB, Black Titanium, ROW, iPhone 16 Pro, Logic Board Assy Mid System")</f>
        <v>256GB, Black Titanium, ROW, iPhone 16 Pro, Logic Board Assy Mid System</v>
      </c>
      <c r="W26" s="2">
        <f>IFERROR(__xludf.DUMMYFUNCTION("""COMPUTED_VALUE"""),1.0)</f>
        <v>1</v>
      </c>
      <c r="X26" s="2"/>
      <c r="Y26" s="2"/>
      <c r="Z26" s="2"/>
      <c r="AA26" s="2"/>
      <c r="AB26" s="2"/>
      <c r="AC26" s="2"/>
    </row>
    <row r="27">
      <c r="A27" s="2"/>
      <c r="B27" s="11">
        <f>IFERROR(__xludf.DUMMYFUNCTION("""COMPUTED_VALUE"""),46186.0)</f>
        <v>46186</v>
      </c>
      <c r="C27" s="2" t="str">
        <f>IFERROR(__xludf.DUMMYFUNCTION("""COMPUTED_VALUE"""),"MOBILECARE - CEBU")</f>
        <v>MOBILECARE - CEBU</v>
      </c>
      <c r="D27" s="2" t="str">
        <f>IFERROR(__xludf.DUMMYFUNCTION("""COMPUTED_VALUE"""),"661-56058")</f>
        <v>661-56058</v>
      </c>
      <c r="E27" s="2" t="str">
        <f>IFERROR(__xludf.DUMMYFUNCTION("""COMPUTED_VALUE"""),"White, Back Glass, iPhone 17")</f>
        <v>White, Back Glass, iPhone 17</v>
      </c>
      <c r="F27" s="38"/>
      <c r="G27" s="2"/>
      <c r="H27" s="2"/>
      <c r="I27" s="2"/>
      <c r="J27" s="2"/>
      <c r="K27" s="2" t="str">
        <f>IFERROR(__xludf.DUMMYFUNCTION("""COMPUTED_VALUE"""),"TA661-36699")</f>
        <v>TA661-36699</v>
      </c>
      <c r="L27" s="2" t="str">
        <f>IFERROR(__xludf.DUMMYFUNCTION("""COMPUTED_VALUE"""),"iPhone 15, Blue, 256GB, Logic Board Assy Mid System, ROW")</f>
        <v>iPhone 15, Blue, 256GB, Logic Board Assy Mid System, ROW</v>
      </c>
      <c r="M27" s="2">
        <f>IFERROR(__xludf.DUMMYFUNCTION("""COMPUTED_VALUE"""),1.0)</f>
        <v>1</v>
      </c>
      <c r="N27" s="2"/>
      <c r="O27" s="2"/>
      <c r="P27" s="2"/>
      <c r="Q27" s="2"/>
      <c r="R27" s="2"/>
      <c r="S27" s="2"/>
      <c r="T27" s="2"/>
      <c r="U27" s="2" t="str">
        <f>IFERROR(__xludf.DUMMYFUNCTION("""COMPUTED_VALUE"""),"TA661-45002")</f>
        <v>TA661-45002</v>
      </c>
      <c r="V27" s="2" t="str">
        <f>IFERROR(__xludf.DUMMYFUNCTION("""COMPUTED_VALUE"""),"256GB, Natural Titanium, ROW, iPhone 16 Pro, Logic Board Assy Mid System")</f>
        <v>256GB, Natural Titanium, ROW, iPhone 16 Pro, Logic Board Assy Mid System</v>
      </c>
      <c r="W27" s="2">
        <f>IFERROR(__xludf.DUMMYFUNCTION("""COMPUTED_VALUE"""),1.0)</f>
        <v>1</v>
      </c>
      <c r="X27" s="2"/>
      <c r="Y27" s="2"/>
      <c r="Z27" s="2"/>
      <c r="AA27" s="2"/>
      <c r="AB27" s="2"/>
      <c r="AC27" s="2"/>
    </row>
    <row r="28">
      <c r="A28" s="2"/>
      <c r="B28" s="11">
        <f>IFERROR(__xludf.DUMMYFUNCTION("""COMPUTED_VALUE"""),46187.0)</f>
        <v>46187</v>
      </c>
      <c r="C28" s="2" t="str">
        <f>IFERROR(__xludf.DUMMYFUNCTION("""COMPUTED_VALUE"""),"MOBILECARE - CEBU")</f>
        <v>MOBILECARE - CEBU</v>
      </c>
      <c r="D28" s="2" t="str">
        <f>IFERROR(__xludf.DUMMYFUNCTION("""COMPUTED_VALUE"""),"PP661-28868")</f>
        <v>PP661-28868</v>
      </c>
      <c r="E28" s="2" t="str">
        <f>IFERROR(__xludf.DUMMYFUNCTION("""COMPUTED_VALUE"""),"iPhone 14, Midnight, 128GB, Logic Board Assy Mid System, ROW")</f>
        <v>iPhone 14, Midnight, 128GB, Logic Board Assy Mid System, ROW</v>
      </c>
      <c r="F28" s="38"/>
      <c r="G28" s="2"/>
      <c r="H28" s="2"/>
      <c r="I28" s="2"/>
      <c r="J28" s="2"/>
      <c r="K28" s="2" t="str">
        <f>IFERROR(__xludf.DUMMYFUNCTION("""COMPUTED_VALUE"""),"TA661-43605")</f>
        <v>TA661-43605</v>
      </c>
      <c r="L28" s="2" t="str">
        <f>IFERROR(__xludf.DUMMYFUNCTION("""COMPUTED_VALUE"""),"128GB, Black, ROW, iPhone 16, Logic Board Assy Mid System")</f>
        <v>128GB, Black, ROW, iPhone 16, Logic Board Assy Mid System</v>
      </c>
      <c r="M28" s="2">
        <f>IFERROR(__xludf.DUMMYFUNCTION("""COMPUTED_VALUE"""),1.0)</f>
        <v>1</v>
      </c>
      <c r="N28" s="2"/>
      <c r="O28" s="2"/>
      <c r="P28" s="2"/>
      <c r="Q28" s="2"/>
      <c r="R28" s="2"/>
      <c r="S28" s="2"/>
      <c r="T28" s="2"/>
      <c r="U28" s="2" t="str">
        <f>IFERROR(__xludf.DUMMYFUNCTION("""COMPUTED_VALUE"""),"TA661-45232")</f>
        <v>TA661-45232</v>
      </c>
      <c r="V28" s="2" t="str">
        <f>IFERROR(__xludf.DUMMYFUNCTION("""COMPUTED_VALUE"""),"128GB, White, ROW, iPhone 16 Plus, Logic Board Assy Mid System")</f>
        <v>128GB, White, ROW, iPhone 16 Plus, Logic Board Assy Mid System</v>
      </c>
      <c r="W28" s="2">
        <f>IFERROR(__xludf.DUMMYFUNCTION("""COMPUTED_VALUE"""),1.0)</f>
        <v>1</v>
      </c>
      <c r="X28" s="2"/>
      <c r="Y28" s="2"/>
      <c r="Z28" s="2"/>
      <c r="AA28" s="2"/>
      <c r="AB28" s="2"/>
      <c r="AC28" s="2"/>
    </row>
    <row r="29">
      <c r="A29" s="2"/>
      <c r="B29" s="11">
        <f>IFERROR(__xludf.DUMMYFUNCTION("""COMPUTED_VALUE"""),46187.0)</f>
        <v>46187</v>
      </c>
      <c r="C29" s="2" t="str">
        <f>IFERROR(__xludf.DUMMYFUNCTION("""COMPUTED_VALUE"""),"MOBILECARE - CEBU")</f>
        <v>MOBILECARE - CEBU</v>
      </c>
      <c r="D29" s="2" t="str">
        <f>IFERROR(__xludf.DUMMYFUNCTION("""COMPUTED_VALUE"""),"PP661-23454")</f>
        <v>PP661-23454</v>
      </c>
      <c r="E29" s="2" t="str">
        <f>IFERROR(__xludf.DUMMYFUNCTION("""COMPUTED_VALUE"""),"iPhone 13, Midnight, 128GB, Logic Board Assy Rear System, ROW")</f>
        <v>iPhone 13, Midnight, 128GB, Logic Board Assy Rear System, ROW</v>
      </c>
      <c r="F29" s="38"/>
      <c r="G29" s="2"/>
      <c r="H29" s="2"/>
      <c r="I29" s="2"/>
      <c r="J29" s="2"/>
      <c r="K29" s="2" t="str">
        <f>IFERROR(__xludf.DUMMYFUNCTION("""COMPUTED_VALUE"""),"TA661-44995")</f>
        <v>TA661-44995</v>
      </c>
      <c r="L29" s="2" t="str">
        <f>IFERROR(__xludf.DUMMYFUNCTION("""COMPUTED_VALUE"""),"128GB, Black Titanium, ROW, iPhone 16 Pro, Logic Board Assy Mid System")</f>
        <v>128GB, Black Titanium, ROW, iPhone 16 Pro, Logic Board Assy Mid System</v>
      </c>
      <c r="M29" s="2">
        <f>IFERROR(__xludf.DUMMYFUNCTION("""COMPUTED_VALUE"""),1.0)</f>
        <v>1</v>
      </c>
      <c r="N29" s="2"/>
      <c r="O29" s="2"/>
      <c r="P29" s="2"/>
      <c r="Q29" s="2"/>
      <c r="R29" s="2"/>
      <c r="S29" s="2"/>
      <c r="T29" s="2"/>
      <c r="U29" s="2" t="str">
        <f>IFERROR(__xludf.DUMMYFUNCTION("""COMPUTED_VALUE"""),"TA661-45233")</f>
        <v>TA661-45233</v>
      </c>
      <c r="V29" s="2" t="str">
        <f>IFERROR(__xludf.DUMMYFUNCTION("""COMPUTED_VALUE"""),"128GB, Pink, ROW, iPhone 16 Plus, Logic Board Assy Mid System")</f>
        <v>128GB, Pink, ROW, iPhone 16 Plus, Logic Board Assy Mid System</v>
      </c>
      <c r="W29" s="2">
        <f>IFERROR(__xludf.DUMMYFUNCTION("""COMPUTED_VALUE"""),1.0)</f>
        <v>1</v>
      </c>
      <c r="X29" s="2"/>
      <c r="Y29" s="2"/>
      <c r="Z29" s="2"/>
      <c r="AA29" s="2"/>
      <c r="AB29" s="2"/>
      <c r="AC29" s="2"/>
    </row>
    <row r="30">
      <c r="A30" s="2"/>
      <c r="B30" s="11">
        <f>IFERROR(__xludf.DUMMYFUNCTION("""COMPUTED_VALUE"""),46192.0)</f>
        <v>46192</v>
      </c>
      <c r="C30" s="2" t="str">
        <f>IFERROR(__xludf.DUMMYFUNCTION("""COMPUTED_VALUE"""),"MOBILECARE - CEBU")</f>
        <v>MOBILECARE - CEBU</v>
      </c>
      <c r="D30" s="2" t="str">
        <f>IFERROR(__xludf.DUMMYFUNCTION("""COMPUTED_VALUE"""),"PP661-28869")</f>
        <v>PP661-28869</v>
      </c>
      <c r="E30" s="2" t="str">
        <f>IFERROR(__xludf.DUMMYFUNCTION("""COMPUTED_VALUE"""),"iPhone 14, Starlight, 128GB, Logic Board Assy Mid System, ROW")</f>
        <v>iPhone 14, Starlight, 128GB, Logic Board Assy Mid System, ROW</v>
      </c>
      <c r="F30" s="38"/>
      <c r="G30" s="2"/>
      <c r="H30" s="2"/>
      <c r="I30" s="2"/>
      <c r="J30" s="2"/>
      <c r="K30" s="2" t="str">
        <f>IFERROR(__xludf.DUMMYFUNCTION("""COMPUTED_VALUE"""),"TA661-45002")</f>
        <v>TA661-45002</v>
      </c>
      <c r="L30" s="2" t="str">
        <f>IFERROR(__xludf.DUMMYFUNCTION("""COMPUTED_VALUE"""),"256GB, Natural Titanium, ROW, iPhone 16 Pro, Logic Board Assy Mid System")</f>
        <v>256GB, Natural Titanium, ROW, iPhone 16 Pro, Logic Board Assy Mid System</v>
      </c>
      <c r="M30" s="2">
        <f>IFERROR(__xludf.DUMMYFUNCTION("""COMPUTED_VALUE"""),1.0)</f>
        <v>1</v>
      </c>
      <c r="N30" s="2"/>
      <c r="O30" s="2"/>
      <c r="P30" s="2"/>
      <c r="Q30" s="2"/>
      <c r="R30" s="2"/>
      <c r="S30" s="2"/>
      <c r="T30" s="2"/>
      <c r="U30" s="2" t="str">
        <f>IFERROR(__xludf.DUMMYFUNCTION("""COMPUTED_VALUE"""),"TA661-45234")</f>
        <v>TA661-45234</v>
      </c>
      <c r="V30" s="2" t="str">
        <f>IFERROR(__xludf.DUMMYFUNCTION("""COMPUTED_VALUE"""),"128GB, Ultramarine, ROW, iPhone 16 Plus, Logic Board Assy Mid System")</f>
        <v>128GB, Ultramarine, ROW, iPhone 16 Plus, Logic Board Assy Mid System</v>
      </c>
      <c r="W30" s="2">
        <f>IFERROR(__xludf.DUMMYFUNCTION("""COMPUTED_VALUE"""),1.0)</f>
        <v>1</v>
      </c>
      <c r="X30" s="2"/>
      <c r="Y30" s="2"/>
      <c r="Z30" s="2"/>
      <c r="AA30" s="2"/>
      <c r="AB30" s="2"/>
      <c r="AC30" s="2"/>
    </row>
    <row r="31">
      <c r="A31" s="2"/>
      <c r="B31" s="11">
        <f>IFERROR(__xludf.DUMMYFUNCTION("""COMPUTED_VALUE"""),46185.0)</f>
        <v>46185</v>
      </c>
      <c r="C31" s="2" t="str">
        <f>IFERROR(__xludf.DUMMYFUNCTION("""COMPUTED_VALUE"""),"MOBILECARE - CEBU")</f>
        <v>MOBILECARE - CEBU</v>
      </c>
      <c r="D31" s="2" t="str">
        <f>IFERROR(__xludf.DUMMYFUNCTION("""COMPUTED_VALUE"""),"PP661-23455")</f>
        <v>PP661-23455</v>
      </c>
      <c r="E31" s="2" t="str">
        <f>IFERROR(__xludf.DUMMYFUNCTION("""COMPUTED_VALUE"""),"iPhone 13, Starlight, 128GB, Logic Board Assy Rear System, ROW")</f>
        <v>iPhone 13, Starlight, 128GB, Logic Board Assy Rear System, ROW</v>
      </c>
      <c r="F31" s="38"/>
      <c r="G31" s="2"/>
      <c r="H31" s="2"/>
      <c r="I31" s="2"/>
      <c r="J31" s="2"/>
      <c r="K31" s="2" t="str">
        <f>IFERROR(__xludf.DUMMYFUNCTION("""COMPUTED_VALUE"""),"TA661-45233")</f>
        <v>TA661-45233</v>
      </c>
      <c r="L31" s="2" t="str">
        <f>IFERROR(__xludf.DUMMYFUNCTION("""COMPUTED_VALUE"""),"128GB, Pink, ROW, iPhone 16 Plus, Logic Board Assy Mid System")</f>
        <v>128GB, Pink, ROW, iPhone 16 Plus, Logic Board Assy Mid System</v>
      </c>
      <c r="M31" s="2">
        <f>IFERROR(__xludf.DUMMYFUNCTION("""COMPUTED_VALUE"""),1.0)</f>
        <v>1</v>
      </c>
      <c r="N31" s="2"/>
      <c r="O31" s="2"/>
      <c r="P31" s="2"/>
      <c r="Q31" s="2"/>
      <c r="R31" s="2"/>
      <c r="S31" s="2"/>
      <c r="T31" s="2"/>
      <c r="U31" s="2" t="str">
        <f>IFERROR(__xludf.DUMMYFUNCTION("""COMPUTED_VALUE"""),"TA661-45235")</f>
        <v>TA661-45235</v>
      </c>
      <c r="V31" s="2" t="str">
        <f>IFERROR(__xludf.DUMMYFUNCTION("""COMPUTED_VALUE"""),"128GB, Teal, ROW, iPhone 16 Plus, Logic Board Assy Mid System")</f>
        <v>128GB, Teal, ROW, iPhone 16 Plus, Logic Board Assy Mid System</v>
      </c>
      <c r="W31" s="2">
        <f>IFERROR(__xludf.DUMMYFUNCTION("""COMPUTED_VALUE"""),1.0)</f>
        <v>1</v>
      </c>
      <c r="X31" s="2"/>
      <c r="Y31" s="2"/>
      <c r="Z31" s="2"/>
      <c r="AA31" s="2"/>
      <c r="AB31" s="2"/>
      <c r="AC31" s="2"/>
    </row>
    <row r="32">
      <c r="A32" s="2"/>
      <c r="B32" s="11">
        <f>IFERROR(__xludf.DUMMYFUNCTION("""COMPUTED_VALUE"""),46193.0)</f>
        <v>46193</v>
      </c>
      <c r="C32" s="2" t="str">
        <f>IFERROR(__xludf.DUMMYFUNCTION("""COMPUTED_VALUE"""),"MOBILECARE - CEBU")</f>
        <v>MOBILECARE - CEBU</v>
      </c>
      <c r="D32" s="2" t="str">
        <f>IFERROR(__xludf.DUMMYFUNCTION("""COMPUTED_VALUE"""),"TA661-43609")</f>
        <v>TA661-43609</v>
      </c>
      <c r="E32" s="2" t="str">
        <f>IFERROR(__xludf.DUMMYFUNCTION("""COMPUTED_VALUE"""),"128GB, Teal, ROW, iPhone 16, Logic Board Assy Mid System")</f>
        <v>128GB, Teal, ROW, iPhone 16, Logic Board Assy Mid System</v>
      </c>
      <c r="F32" s="38"/>
      <c r="G32" s="2"/>
      <c r="H32" s="2"/>
      <c r="I32" s="2"/>
      <c r="J32" s="2"/>
      <c r="K32" s="2" t="str">
        <f>IFERROR(__xludf.DUMMYFUNCTION("""COMPUTED_VALUE"""),"TA661-45234")</f>
        <v>TA661-45234</v>
      </c>
      <c r="L32" s="2" t="str">
        <f>IFERROR(__xludf.DUMMYFUNCTION("""COMPUTED_VALUE"""),"128GB, Ultramarine, ROW, iPhone 16 Plus, Logic Board Assy Mid System")</f>
        <v>128GB, Ultramarine, ROW, iPhone 16 Plus, Logic Board Assy Mid System</v>
      </c>
      <c r="M32" s="2">
        <f>IFERROR(__xludf.DUMMYFUNCTION("""COMPUTED_VALUE"""),1.0)</f>
        <v>1</v>
      </c>
      <c r="N32" s="2"/>
      <c r="O32" s="2"/>
      <c r="P32" s="2"/>
      <c r="Q32" s="2"/>
      <c r="R32" s="2"/>
      <c r="S32" s="2"/>
      <c r="T32" s="2"/>
      <c r="U32" s="2" t="str">
        <f>IFERROR(__xludf.DUMMYFUNCTION("""COMPUTED_VALUE"""),"TA661-45236")</f>
        <v>TA661-45236</v>
      </c>
      <c r="V32" s="2" t="str">
        <f>IFERROR(__xludf.DUMMYFUNCTION("""COMPUTED_VALUE"""),"256GB, Black, ROW, iPhone 16 Plus, Logic Board Assy Mid System")</f>
        <v>256GB, Black, ROW, iPhone 16 Plus, Logic Board Assy Mid System</v>
      </c>
      <c r="W32" s="2">
        <f>IFERROR(__xludf.DUMMYFUNCTION("""COMPUTED_VALUE"""),1.0)</f>
        <v>1</v>
      </c>
      <c r="X32" s="2"/>
      <c r="Y32" s="2"/>
      <c r="Z32" s="2"/>
      <c r="AA32" s="2"/>
      <c r="AB32" s="2"/>
      <c r="AC32" s="2"/>
    </row>
    <row r="33">
      <c r="A33" s="2"/>
      <c r="B33" s="11">
        <f>IFERROR(__xludf.DUMMYFUNCTION("""COMPUTED_VALUE"""),46188.0)</f>
        <v>46188</v>
      </c>
      <c r="C33" s="2" t="str">
        <f>IFERROR(__xludf.DUMMYFUNCTION("""COMPUTED_VALUE"""),"MOBILECARE - CEBU")</f>
        <v>MOBILECARE - CEBU</v>
      </c>
      <c r="D33" s="2" t="str">
        <f>IFERROR(__xludf.DUMMYFUNCTION("""COMPUTED_VALUE"""),"TA661-43611")</f>
        <v>TA661-43611</v>
      </c>
      <c r="E33" s="2" t="str">
        <f>IFERROR(__xludf.DUMMYFUNCTION("""COMPUTED_VALUE"""),"256GB, White, ROW, iPhone 16, Logic Board Assy Mid System")</f>
        <v>256GB, White, ROW, iPhone 16, Logic Board Assy Mid System</v>
      </c>
      <c r="F33" s="38"/>
      <c r="G33" s="2"/>
      <c r="H33" s="2"/>
      <c r="I33" s="2"/>
      <c r="J33" s="2"/>
      <c r="K33" s="2" t="str">
        <f>IFERROR(__xludf.DUMMYFUNCTION("""COMPUTED_VALUE"""),"TA661-45235")</f>
        <v>TA661-45235</v>
      </c>
      <c r="L33" s="2" t="str">
        <f>IFERROR(__xludf.DUMMYFUNCTION("""COMPUTED_VALUE"""),"128GB, Teal, ROW, iPhone 16 Plus, Logic Board Assy Mid System")</f>
        <v>128GB, Teal, ROW, iPhone 16 Plus, Logic Board Assy Mid System</v>
      </c>
      <c r="M33" s="2">
        <f>IFERROR(__xludf.DUMMYFUNCTION("""COMPUTED_VALUE"""),1.0)</f>
        <v>1</v>
      </c>
      <c r="N33" s="2"/>
      <c r="O33" s="2"/>
      <c r="P33" s="2"/>
      <c r="Q33" s="2"/>
      <c r="R33" s="2"/>
      <c r="S33" s="2"/>
      <c r="T33" s="2"/>
      <c r="U33" s="2" t="str">
        <f>IFERROR(__xludf.DUMMYFUNCTION("""COMPUTED_VALUE"""),"TA661-45238")</f>
        <v>TA661-45238</v>
      </c>
      <c r="V33" s="2" t="str">
        <f>IFERROR(__xludf.DUMMYFUNCTION("""COMPUTED_VALUE"""),"256GB, Pink, ROW, iPhone 16 Plus, Logic Board Assy Mid System")</f>
        <v>256GB, Pink, ROW, iPhone 16 Plus, Logic Board Assy Mid System</v>
      </c>
      <c r="W33" s="2">
        <f>IFERROR(__xludf.DUMMYFUNCTION("""COMPUTED_VALUE"""),1.0)</f>
        <v>1</v>
      </c>
      <c r="X33" s="2"/>
      <c r="Y33" s="2"/>
      <c r="Z33" s="2"/>
      <c r="AA33" s="2"/>
      <c r="AB33" s="2"/>
      <c r="AC33" s="2"/>
    </row>
    <row r="34">
      <c r="A34" s="2"/>
      <c r="B34" s="11">
        <f>IFERROR(__xludf.DUMMYFUNCTION("""COMPUTED_VALUE"""),46184.0)</f>
        <v>46184</v>
      </c>
      <c r="C34" s="2" t="str">
        <f>IFERROR(__xludf.DUMMYFUNCTION("""COMPUTED_VALUE"""),"MOBILECARE - CEBU")</f>
        <v>MOBILECARE - CEBU</v>
      </c>
      <c r="D34" s="2" t="str">
        <f>IFERROR(__xludf.DUMMYFUNCTION("""COMPUTED_VALUE"""),"PP661-23455")</f>
        <v>PP661-23455</v>
      </c>
      <c r="E34" s="2" t="str">
        <f>IFERROR(__xludf.DUMMYFUNCTION("""COMPUTED_VALUE"""),"iPhone 13, Starlight, 128GB, Logic Board Assy Rear System, ROW")</f>
        <v>iPhone 13, Starlight, 128GB, Logic Board Assy Rear System, ROW</v>
      </c>
      <c r="F34" s="38"/>
      <c r="G34" s="2"/>
      <c r="H34" s="2"/>
      <c r="I34" s="2"/>
      <c r="J34" s="2"/>
      <c r="K34" s="2" t="str">
        <f>IFERROR(__xludf.DUMMYFUNCTION("""COMPUTED_VALUE"""),"TA661-45236")</f>
        <v>TA661-45236</v>
      </c>
      <c r="L34" s="2" t="str">
        <f>IFERROR(__xludf.DUMMYFUNCTION("""COMPUTED_VALUE"""),"256GB, Black, ROW, iPhone 16 Plus, Logic Board Assy Mid System")</f>
        <v>256GB, Black, ROW, iPhone 16 Plus, Logic Board Assy Mid System</v>
      </c>
      <c r="M34" s="2">
        <f>IFERROR(__xludf.DUMMYFUNCTION("""COMPUTED_VALUE"""),1.0)</f>
        <v>1</v>
      </c>
      <c r="N34" s="2"/>
      <c r="O34" s="2"/>
      <c r="P34" s="2"/>
      <c r="Q34" s="2"/>
      <c r="R34" s="2"/>
      <c r="S34" s="2"/>
      <c r="T34" s="2"/>
      <c r="U34" s="2" t="str">
        <f>IFERROR(__xludf.DUMMYFUNCTION("""COMPUTED_VALUE"""),"TA661-45243")</f>
        <v>TA661-45243</v>
      </c>
      <c r="V34" s="2" t="str">
        <f>IFERROR(__xludf.DUMMYFUNCTION("""COMPUTED_VALUE"""),"512GB, Pink, ROW, iPhone 16 Plus, Logic Board Assy Mid System")</f>
        <v>512GB, Pink, ROW, iPhone 16 Plus, Logic Board Assy Mid System</v>
      </c>
      <c r="W34" s="2">
        <f>IFERROR(__xludf.DUMMYFUNCTION("""COMPUTED_VALUE"""),1.0)</f>
        <v>1</v>
      </c>
      <c r="X34" s="2"/>
      <c r="Y34" s="2"/>
      <c r="Z34" s="2"/>
      <c r="AA34" s="2"/>
      <c r="AB34" s="2"/>
      <c r="AC34" s="2"/>
    </row>
    <row r="35">
      <c r="A35" s="2"/>
      <c r="B35" s="11">
        <f>IFERROR(__xludf.DUMMYFUNCTION("""COMPUTED_VALUE"""),46182.0)</f>
        <v>46182</v>
      </c>
      <c r="C35" s="2" t="str">
        <f>IFERROR(__xludf.DUMMYFUNCTION("""COMPUTED_VALUE"""),"MOBILECARE - CEBU")</f>
        <v>MOBILECARE - CEBU</v>
      </c>
      <c r="D35" s="2" t="str">
        <f>IFERROR(__xludf.DUMMYFUNCTION("""COMPUTED_VALUE"""),"PP661-28871")</f>
        <v>PP661-28871</v>
      </c>
      <c r="E35" s="2" t="str">
        <f>IFERROR(__xludf.DUMMYFUNCTION("""COMPUTED_VALUE"""),"iPhone 14, Blue, 128GB, Logic Board Assy Mid System, ROW")</f>
        <v>iPhone 14, Blue, 128GB, Logic Board Assy Mid System, ROW</v>
      </c>
      <c r="F35" s="38"/>
      <c r="G35" s="2"/>
      <c r="H35" s="2"/>
      <c r="I35" s="2"/>
      <c r="J35" s="2"/>
      <c r="K35" s="2" t="str">
        <f>IFERROR(__xludf.DUMMYFUNCTION("""COMPUTED_VALUE"""),"TA661-45243")</f>
        <v>TA661-45243</v>
      </c>
      <c r="L35" s="2" t="str">
        <f>IFERROR(__xludf.DUMMYFUNCTION("""COMPUTED_VALUE"""),"512GB, Pink, ROW, iPhone 16 Plus, Logic Board Assy Mid System")</f>
        <v>512GB, Pink, ROW, iPhone 16 Plus, Logic Board Assy Mid System</v>
      </c>
      <c r="M35" s="2">
        <f>IFERROR(__xludf.DUMMYFUNCTION("""COMPUTED_VALUE"""),1.0)</f>
        <v>1</v>
      </c>
      <c r="N35" s="2"/>
      <c r="O35" s="2"/>
      <c r="P35" s="2"/>
      <c r="Q35" s="2"/>
      <c r="R35" s="2"/>
      <c r="S35" s="2"/>
      <c r="T35" s="2"/>
      <c r="U35" s="2" t="str">
        <f>IFERROR(__xludf.DUMMYFUNCTION("""COMPUTED_VALUE"""),"TA661-49965")</f>
        <v>TA661-49965</v>
      </c>
      <c r="V35" s="2" t="str">
        <f>IFERROR(__xludf.DUMMYFUNCTION("""COMPUTED_VALUE"""),"White, 128GB, Logic Board Assy Mid System, iPhone 16e, ROW")</f>
        <v>White, 128GB, Logic Board Assy Mid System, iPhone 16e, ROW</v>
      </c>
      <c r="W35" s="2">
        <f>IFERROR(__xludf.DUMMYFUNCTION("""COMPUTED_VALUE"""),1.0)</f>
        <v>1</v>
      </c>
      <c r="X35" s="2"/>
      <c r="Y35" s="2"/>
      <c r="Z35" s="2"/>
      <c r="AA35" s="2"/>
      <c r="AB35" s="2"/>
      <c r="AC35" s="2"/>
    </row>
    <row r="36">
      <c r="A36" s="2"/>
      <c r="B36" s="11">
        <f>IFERROR(__xludf.DUMMYFUNCTION("""COMPUTED_VALUE"""),46186.0)</f>
        <v>46186</v>
      </c>
      <c r="C36" s="2" t="str">
        <f>IFERROR(__xludf.DUMMYFUNCTION("""COMPUTED_VALUE"""),"MOBILECARE - CEBU")</f>
        <v>MOBILECARE - CEBU</v>
      </c>
      <c r="D36" s="2" t="str">
        <f>IFERROR(__xludf.DUMMYFUNCTION("""COMPUTED_VALUE"""),"PP661-23455")</f>
        <v>PP661-23455</v>
      </c>
      <c r="E36" s="2" t="str">
        <f>IFERROR(__xludf.DUMMYFUNCTION("""COMPUTED_VALUE"""),"iPhone 13, Starlight, 128GB, Logic Board Assy Rear System, ROW")</f>
        <v>iPhone 13, Starlight, 128GB, Logic Board Assy Rear System, ROW</v>
      </c>
      <c r="F36" s="38"/>
      <c r="G36" s="2"/>
      <c r="H36" s="2"/>
      <c r="I36" s="2"/>
      <c r="J36" s="2"/>
      <c r="K36" s="2" t="str">
        <f>IFERROR(__xludf.DUMMYFUNCTION("""COMPUTED_VALUE"""),"TA661-49965")</f>
        <v>TA661-49965</v>
      </c>
      <c r="L36" s="2" t="str">
        <f>IFERROR(__xludf.DUMMYFUNCTION("""COMPUTED_VALUE"""),"White, 128GB, Logic Board Assy Mid System, iPhone 16e, ROW")</f>
        <v>White, 128GB, Logic Board Assy Mid System, iPhone 16e, ROW</v>
      </c>
      <c r="M36" s="2">
        <f>IFERROR(__xludf.DUMMYFUNCTION("""COMPUTED_VALUE"""),1.0)</f>
        <v>1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"/>
      <c r="B37" s="11">
        <f>IFERROR(__xludf.DUMMYFUNCTION("""COMPUTED_VALUE"""),46184.0)</f>
        <v>46184</v>
      </c>
      <c r="C37" s="2" t="str">
        <f>IFERROR(__xludf.DUMMYFUNCTION("""COMPUTED_VALUE"""),"MOBILECARE - FESTIVE WALK ILOILO")</f>
        <v>MOBILECARE - FESTIVE WALK ILOILO</v>
      </c>
      <c r="D37" s="2" t="str">
        <f>IFERROR(__xludf.DUMMYFUNCTION("""COMPUTED_VALUE"""),"PP661-23454")</f>
        <v>PP661-23454</v>
      </c>
      <c r="E37" s="2" t="str">
        <f>IFERROR(__xludf.DUMMYFUNCTION("""COMPUTED_VALUE"""),"iPhone 13, Midnight, 128GB, Logic Board Assy Rear System, ROW")</f>
        <v>iPhone 13, Midnight, 128GB, Logic Board Assy Rear System, ROW</v>
      </c>
      <c r="F37" s="38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"/>
      <c r="B38" s="11">
        <f>IFERROR(__xludf.DUMMYFUNCTION("""COMPUTED_VALUE"""),46183.0)</f>
        <v>46183</v>
      </c>
      <c r="C38" s="2" t="str">
        <f>IFERROR(__xludf.DUMMYFUNCTION("""COMPUTED_VALUE"""),"MOBILECARE - FESTIVE WALK ILOILO")</f>
        <v>MOBILECARE - FESTIVE WALK ILOILO</v>
      </c>
      <c r="D38" s="2" t="str">
        <f>IFERROR(__xludf.DUMMYFUNCTION("""COMPUTED_VALUE"""),"TA661-45002")</f>
        <v>TA661-45002</v>
      </c>
      <c r="E38" s="2" t="str">
        <f>IFERROR(__xludf.DUMMYFUNCTION("""COMPUTED_VALUE"""),"256GB, Natural Titanium, ROW, iPhone 16 Pro, Logic Board Assy Mid System")</f>
        <v>256GB, Natural Titanium, ROW, iPhone 16 Pro, Logic Board Assy Mid System</v>
      </c>
      <c r="F38" s="38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"/>
      <c r="B39" s="11">
        <f>IFERROR(__xludf.DUMMYFUNCTION("""COMPUTED_VALUE"""),46186.0)</f>
        <v>46186</v>
      </c>
      <c r="C39" s="2" t="str">
        <f>IFERROR(__xludf.DUMMYFUNCTION("""COMPUTED_VALUE"""),"MOBILECARE - FESTIVE WALK ILOILO")</f>
        <v>MOBILECARE - FESTIVE WALK ILOILO</v>
      </c>
      <c r="D39" s="2" t="str">
        <f>IFERROR(__xludf.DUMMYFUNCTION("""COMPUTED_VALUE"""),"PP661-28869")</f>
        <v>PP661-28869</v>
      </c>
      <c r="E39" s="2" t="str">
        <f>IFERROR(__xludf.DUMMYFUNCTION("""COMPUTED_VALUE"""),"iPhone 14, Starlight, 128GB, Logic Board Assy Mid System, ROW")</f>
        <v>iPhone 14, Starlight, 128GB, Logic Board Assy Mid System, ROW</v>
      </c>
      <c r="F39" s="38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"/>
      <c r="B40" s="11">
        <f>IFERROR(__xludf.DUMMYFUNCTION("""COMPUTED_VALUE"""),46184.0)</f>
        <v>46184</v>
      </c>
      <c r="C40" s="2" t="str">
        <f>IFERROR(__xludf.DUMMYFUNCTION("""COMPUTED_VALUE"""),"MOBILECARE - FESTIVE WALK ILOILO")</f>
        <v>MOBILECARE - FESTIVE WALK ILOILO</v>
      </c>
      <c r="D40" s="2" t="str">
        <f>IFERROR(__xludf.DUMMYFUNCTION("""COMPUTED_VALUE"""),"PP661-28869")</f>
        <v>PP661-28869</v>
      </c>
      <c r="E40" s="2" t="str">
        <f>IFERROR(__xludf.DUMMYFUNCTION("""COMPUTED_VALUE"""),"iPhone 14, Starlight, 128GB, Logic Board Assy Mid System, ROW")</f>
        <v>iPhone 14, Starlight, 128GB, Logic Board Assy Mid System, ROW</v>
      </c>
      <c r="F40" s="38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"/>
      <c r="B41" s="11">
        <f>IFERROR(__xludf.DUMMYFUNCTION("""COMPUTED_VALUE"""),46181.0)</f>
        <v>46181</v>
      </c>
      <c r="C41" s="2" t="str">
        <f>IFERROR(__xludf.DUMMYFUNCTION("""COMPUTED_VALUE"""),"MOBILECARE - FESTIVE WALK ILOILO")</f>
        <v>MOBILECARE - FESTIVE WALK ILOILO</v>
      </c>
      <c r="D41" s="2" t="str">
        <f>IFERROR(__xludf.DUMMYFUNCTION("""COMPUTED_VALUE"""),"PP661-23454")</f>
        <v>PP661-23454</v>
      </c>
      <c r="E41" s="2" t="str">
        <f>IFERROR(__xludf.DUMMYFUNCTION("""COMPUTED_VALUE"""),"iPhone 13, Midnight, 128GB, Logic Board Assy Rear System, ROW")</f>
        <v>iPhone 13, Midnight, 128GB, Logic Board Assy Rear System, ROW</v>
      </c>
      <c r="F41" s="38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"/>
      <c r="B42" s="11">
        <f>IFERROR(__xludf.DUMMYFUNCTION("""COMPUTED_VALUE"""),46181.0)</f>
        <v>46181</v>
      </c>
      <c r="C42" s="2" t="str">
        <f>IFERROR(__xludf.DUMMYFUNCTION("""COMPUTED_VALUE"""),"MOBILECARE - FESTIVE WALK ILOILO")</f>
        <v>MOBILECARE - FESTIVE WALK ILOILO</v>
      </c>
      <c r="D42" s="2" t="str">
        <f>IFERROR(__xludf.DUMMYFUNCTION("""COMPUTED_VALUE"""),"PP661-23454")</f>
        <v>PP661-23454</v>
      </c>
      <c r="E42" s="2" t="str">
        <f>IFERROR(__xludf.DUMMYFUNCTION("""COMPUTED_VALUE"""),"iPhone 13, Midnight, 128GB, Logic Board Assy Rear System, ROW")</f>
        <v>iPhone 13, Midnight, 128GB, Logic Board Assy Rear System, ROW</v>
      </c>
      <c r="F42" s="38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"/>
      <c r="B43" s="11">
        <f>IFERROR(__xludf.DUMMYFUNCTION("""COMPUTED_VALUE"""),46183.0)</f>
        <v>46183</v>
      </c>
      <c r="C43" s="2" t="str">
        <f>IFERROR(__xludf.DUMMYFUNCTION("""COMPUTED_VALUE"""),"MOBILECARE - FESTIVE WALK ILOILO")</f>
        <v>MOBILECARE - FESTIVE WALK ILOILO</v>
      </c>
      <c r="D43" s="2" t="str">
        <f>IFERROR(__xludf.DUMMYFUNCTION("""COMPUTED_VALUE"""),"PP661-23454")</f>
        <v>PP661-23454</v>
      </c>
      <c r="E43" s="2" t="str">
        <f>IFERROR(__xludf.DUMMYFUNCTION("""COMPUTED_VALUE"""),"iPhone 13, Midnight, 128GB, Logic Board Assy Rear System, ROW")</f>
        <v>iPhone 13, Midnight, 128GB, Logic Board Assy Rear System, ROW</v>
      </c>
      <c r="F43" s="3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/>
      <c r="B44" s="11">
        <f>IFERROR(__xludf.DUMMYFUNCTION("""COMPUTED_VALUE"""),46183.0)</f>
        <v>46183</v>
      </c>
      <c r="C44" s="2" t="str">
        <f>IFERROR(__xludf.DUMMYFUNCTION("""COMPUTED_VALUE"""),"MOBILECARE - FESTIVE WALK ILOILO")</f>
        <v>MOBILECARE - FESTIVE WALK ILOILO</v>
      </c>
      <c r="D44" s="2" t="str">
        <f>IFERROR(__xludf.DUMMYFUNCTION("""COMPUTED_VALUE"""),"PP661-23454")</f>
        <v>PP661-23454</v>
      </c>
      <c r="E44" s="2" t="str">
        <f>IFERROR(__xludf.DUMMYFUNCTION("""COMPUTED_VALUE"""),"iPhone 13, Midnight, 128GB, Logic Board Assy Rear System, ROW")</f>
        <v>iPhone 13, Midnight, 128GB, Logic Board Assy Rear System, ROW</v>
      </c>
      <c r="F44" s="3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/>
      <c r="B45" s="11">
        <f>IFERROR(__xludf.DUMMYFUNCTION("""COMPUTED_VALUE"""),46192.0)</f>
        <v>46192</v>
      </c>
      <c r="C45" s="2" t="str">
        <f>IFERROR(__xludf.DUMMYFUNCTION("""COMPUTED_VALUE"""),"MOBILECARE - FESTIVE WALK ILOILO")</f>
        <v>MOBILECARE - FESTIVE WALK ILOILO</v>
      </c>
      <c r="D45" s="2" t="str">
        <f>IFERROR(__xludf.DUMMYFUNCTION("""COMPUTED_VALUE"""),"PP661-23455")</f>
        <v>PP661-23455</v>
      </c>
      <c r="E45" s="2" t="str">
        <f>IFERROR(__xludf.DUMMYFUNCTION("""COMPUTED_VALUE"""),"iPhone 13, Starlight, 128GB, Logic Board Assy Rear System, ROW")</f>
        <v>iPhone 13, Starlight, 128GB, Logic Board Assy Rear System, ROW</v>
      </c>
      <c r="F45" s="3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/>
      <c r="B46" s="11">
        <f>IFERROR(__xludf.DUMMYFUNCTION("""COMPUTED_VALUE"""),46180.0)</f>
        <v>46180</v>
      </c>
      <c r="C46" s="2" t="str">
        <f>IFERROR(__xludf.DUMMYFUNCTION("""COMPUTED_VALUE"""),"MOBILECARE - FESTIVE WALK ILOILO")</f>
        <v>MOBILECARE - FESTIVE WALK ILOILO</v>
      </c>
      <c r="D46" s="2" t="str">
        <f>IFERROR(__xludf.DUMMYFUNCTION("""COMPUTED_VALUE"""),"PP661-28868")</f>
        <v>PP661-28868</v>
      </c>
      <c r="E46" s="2" t="str">
        <f>IFERROR(__xludf.DUMMYFUNCTION("""COMPUTED_VALUE"""),"iPhone 14, Midnight, 128GB, Logic Board Assy Mid System, ROW")</f>
        <v>iPhone 14, Midnight, 128GB, Logic Board Assy Mid System, ROW</v>
      </c>
      <c r="F46" s="3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"/>
      <c r="B47" s="11">
        <f>IFERROR(__xludf.DUMMYFUNCTION("""COMPUTED_VALUE"""),46183.0)</f>
        <v>46183</v>
      </c>
      <c r="C47" s="2" t="str">
        <f>IFERROR(__xludf.DUMMYFUNCTION("""COMPUTED_VALUE"""),"MOBILECARE - FESTIVE WALK ILOILO")</f>
        <v>MOBILECARE - FESTIVE WALK ILOILO</v>
      </c>
      <c r="D47" s="2" t="str">
        <f>IFERROR(__xludf.DUMMYFUNCTION("""COMPUTED_VALUE"""),"TA661-43609")</f>
        <v>TA661-43609</v>
      </c>
      <c r="E47" s="2" t="str">
        <f>IFERROR(__xludf.DUMMYFUNCTION("""COMPUTED_VALUE"""),"128GB, Teal, ROW, iPhone 16, Logic Board Assy Mid System")</f>
        <v>128GB, Teal, ROW, iPhone 16, Logic Board Assy Mid System</v>
      </c>
      <c r="F47" s="3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"/>
      <c r="B48" s="11">
        <f>IFERROR(__xludf.DUMMYFUNCTION("""COMPUTED_VALUE"""),46185.0)</f>
        <v>46185</v>
      </c>
      <c r="C48" s="2" t="str">
        <f>IFERROR(__xludf.DUMMYFUNCTION("""COMPUTED_VALUE"""),"MOBILECARE - FESTIVE WALK ILOILO")</f>
        <v>MOBILECARE - FESTIVE WALK ILOILO</v>
      </c>
      <c r="D48" s="2" t="str">
        <f>IFERROR(__xludf.DUMMYFUNCTION("""COMPUTED_VALUE"""),"PP661-23455")</f>
        <v>PP661-23455</v>
      </c>
      <c r="E48" s="2" t="str">
        <f>IFERROR(__xludf.DUMMYFUNCTION("""COMPUTED_VALUE"""),"iPhone 13, Starlight, 128GB, Logic Board Assy Rear System, ROW")</f>
        <v>iPhone 13, Starlight, 128GB, Logic Board Assy Rear System, ROW</v>
      </c>
      <c r="F48" s="38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"/>
      <c r="B49" s="11">
        <f>IFERROR(__xludf.DUMMYFUNCTION("""COMPUTED_VALUE"""),46183.0)</f>
        <v>46183</v>
      </c>
      <c r="C49" s="2" t="str">
        <f>IFERROR(__xludf.DUMMYFUNCTION("""COMPUTED_VALUE"""),"MOBILECARE - FESTIVE WALK ILOILO")</f>
        <v>MOBILECARE - FESTIVE WALK ILOILO</v>
      </c>
      <c r="D49" s="2" t="str">
        <f>IFERROR(__xludf.DUMMYFUNCTION("""COMPUTED_VALUE"""),"PP661-28869")</f>
        <v>PP661-28869</v>
      </c>
      <c r="E49" s="2" t="str">
        <f>IFERROR(__xludf.DUMMYFUNCTION("""COMPUTED_VALUE"""),"iPhone 14, Starlight, 128GB, Logic Board Assy Mid System, ROW")</f>
        <v>iPhone 14, Starlight, 128GB, Logic Board Assy Mid System, ROW</v>
      </c>
      <c r="F49" s="38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"/>
      <c r="B50" s="11">
        <f>IFERROR(__xludf.DUMMYFUNCTION("""COMPUTED_VALUE"""),46183.0)</f>
        <v>46183</v>
      </c>
      <c r="C50" s="2" t="str">
        <f>IFERROR(__xludf.DUMMYFUNCTION("""COMPUTED_VALUE"""),"MOBILECARE - FESTIVE WALK ILOILO")</f>
        <v>MOBILECARE - FESTIVE WALK ILOILO</v>
      </c>
      <c r="D50" s="2" t="str">
        <f>IFERROR(__xludf.DUMMYFUNCTION("""COMPUTED_VALUE"""),"PP661-23454")</f>
        <v>PP661-23454</v>
      </c>
      <c r="E50" s="2" t="str">
        <f>IFERROR(__xludf.DUMMYFUNCTION("""COMPUTED_VALUE"""),"iPhone 13, Midnight, 128GB, Logic Board Assy Rear System, ROW")</f>
        <v>iPhone 13, Midnight, 128GB, Logic Board Assy Rear System, ROW</v>
      </c>
      <c r="F50" s="38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"/>
      <c r="B51" s="11">
        <f>IFERROR(__xludf.DUMMYFUNCTION("""COMPUTED_VALUE"""),46182.0)</f>
        <v>46182</v>
      </c>
      <c r="C51" s="2" t="str">
        <f>IFERROR(__xludf.DUMMYFUNCTION("""COMPUTED_VALUE"""),"MOBILECARE - APP TRINOMA")</f>
        <v>MOBILECARE - APP TRINOMA</v>
      </c>
      <c r="D51" s="2" t="str">
        <f>IFERROR(__xludf.DUMMYFUNCTION("""COMPUTED_VALUE"""),"661-56122")</f>
        <v>661-56122</v>
      </c>
      <c r="E51" s="2" t="str">
        <f>IFERROR(__xludf.DUMMYFUNCTION("""COMPUTED_VALUE"""),"Silver, Back Glass, iPhone 17 Pro")</f>
        <v>Silver, Back Glass, iPhone 17 Pro</v>
      </c>
      <c r="F51" s="38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"/>
      <c r="B52" s="11">
        <f>IFERROR(__xludf.DUMMYFUNCTION("""COMPUTED_VALUE"""),46186.0)</f>
        <v>46186</v>
      </c>
      <c r="C52" s="2" t="str">
        <f>IFERROR(__xludf.DUMMYFUNCTION("""COMPUTED_VALUE"""),"MOBILECARE - APP TRINOMA")</f>
        <v>MOBILECARE - APP TRINOMA</v>
      </c>
      <c r="D52" s="2" t="str">
        <f>IFERROR(__xludf.DUMMYFUNCTION("""COMPUTED_VALUE"""),"661-44960")</f>
        <v>661-44960</v>
      </c>
      <c r="E52" s="2" t="str">
        <f>IFERROR(__xludf.DUMMYFUNCTION("""COMPUTED_VALUE"""),"Desert Titanium, Back Glass, iPhone 16 Pro Max")</f>
        <v>Desert Titanium, Back Glass, iPhone 16 Pro Max</v>
      </c>
      <c r="F52" s="38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"/>
      <c r="B53" s="11">
        <f>IFERROR(__xludf.DUMMYFUNCTION("""COMPUTED_VALUE"""),46179.0)</f>
        <v>46179</v>
      </c>
      <c r="C53" s="2" t="str">
        <f>IFERROR(__xludf.DUMMYFUNCTION("""COMPUTED_VALUE"""),"MOBILECARE - ZAMBOANGA")</f>
        <v>MOBILECARE - ZAMBOANGA</v>
      </c>
      <c r="D53" s="2" t="str">
        <f>IFERROR(__xludf.DUMMYFUNCTION("""COMPUTED_VALUE"""),"PP661-23455")</f>
        <v>PP661-23455</v>
      </c>
      <c r="E53" s="2" t="str">
        <f>IFERROR(__xludf.DUMMYFUNCTION("""COMPUTED_VALUE"""),"iPhone 13, Starlight, 128GB, Logic Board Assy Rear System, ROW")</f>
        <v>iPhone 13, Starlight, 128GB, Logic Board Assy Rear System, ROW</v>
      </c>
      <c r="F53" s="38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/>
      <c r="B54" s="11">
        <f>IFERROR(__xludf.DUMMYFUNCTION("""COMPUTED_VALUE"""),46189.0)</f>
        <v>46189</v>
      </c>
      <c r="C54" s="2" t="str">
        <f>IFERROR(__xludf.DUMMYFUNCTION("""COMPUTED_VALUE"""),"MOBILECARE - ZAMBOANGA")</f>
        <v>MOBILECARE - ZAMBOANGA</v>
      </c>
      <c r="D54" s="2" t="str">
        <f>IFERROR(__xludf.DUMMYFUNCTION("""COMPUTED_VALUE"""),"661-56055")</f>
        <v>661-56055</v>
      </c>
      <c r="E54" s="2" t="str">
        <f>IFERROR(__xludf.DUMMYFUNCTION("""COMPUTED_VALUE"""),"Deep Blue, Back Glass, iPhone 17 Pro Max")</f>
        <v>Deep Blue, Back Glass, iPhone 17 Pro Max</v>
      </c>
      <c r="F54" s="38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11">
        <f>IFERROR(__xludf.DUMMYFUNCTION("""COMPUTED_VALUE"""),46192.0)</f>
        <v>46192</v>
      </c>
      <c r="C55" s="2" t="str">
        <f>IFERROR(__xludf.DUMMYFUNCTION("""COMPUTED_VALUE"""),"MOBILECARE - ZAMBOANGA")</f>
        <v>MOBILECARE - ZAMBOANGA</v>
      </c>
      <c r="D55" s="2" t="str">
        <f>IFERROR(__xludf.DUMMYFUNCTION("""COMPUTED_VALUE"""),"PP661-23455")</f>
        <v>PP661-23455</v>
      </c>
      <c r="E55" s="2" t="str">
        <f>IFERROR(__xludf.DUMMYFUNCTION("""COMPUTED_VALUE"""),"iPhone 13, Starlight, 128GB, Logic Board Assy Rear System, ROW")</f>
        <v>iPhone 13, Starlight, 128GB, Logic Board Assy Rear System, ROW</v>
      </c>
      <c r="F55" s="38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11">
        <f>IFERROR(__xludf.DUMMYFUNCTION("""COMPUTED_VALUE"""),46179.0)</f>
        <v>46179</v>
      </c>
      <c r="C56" s="2" t="str">
        <f>IFERROR(__xludf.DUMMYFUNCTION("""COMPUTED_VALUE"""),"MOBILECARE - ZAMBOANGA")</f>
        <v>MOBILECARE - ZAMBOANGA</v>
      </c>
      <c r="D56" s="2" t="str">
        <f>IFERROR(__xludf.DUMMYFUNCTION("""COMPUTED_VALUE"""),"PP661-23454")</f>
        <v>PP661-23454</v>
      </c>
      <c r="E56" s="2" t="str">
        <f>IFERROR(__xludf.DUMMYFUNCTION("""COMPUTED_VALUE"""),"iPhone 13, Midnight, 128GB, Logic Board Assy Rear System, ROW")</f>
        <v>iPhone 13, Midnight, 128GB, Logic Board Assy Rear System, ROW</v>
      </c>
      <c r="F56" s="38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11">
        <f>IFERROR(__xludf.DUMMYFUNCTION("""COMPUTED_VALUE"""),46179.0)</f>
        <v>46179</v>
      </c>
      <c r="C57" s="2" t="str">
        <f>IFERROR(__xludf.DUMMYFUNCTION("""COMPUTED_VALUE"""),"MOBILECARE - ZAMBOANGA")</f>
        <v>MOBILECARE - ZAMBOANGA</v>
      </c>
      <c r="D57" s="2" t="str">
        <f>IFERROR(__xludf.DUMMYFUNCTION("""COMPUTED_VALUE"""),"PP661-23454")</f>
        <v>PP661-23454</v>
      </c>
      <c r="E57" s="2" t="str">
        <f>IFERROR(__xludf.DUMMYFUNCTION("""COMPUTED_VALUE"""),"iPhone 13, Midnight, 128GB, Logic Board Assy Rear System, ROW")</f>
        <v>iPhone 13, Midnight, 128GB, Logic Board Assy Rear System, ROW</v>
      </c>
      <c r="F57" s="38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11">
        <f>IFERROR(__xludf.DUMMYFUNCTION("""COMPUTED_VALUE"""),46190.0)</f>
        <v>46190</v>
      </c>
      <c r="C58" s="2" t="str">
        <f>IFERROR(__xludf.DUMMYFUNCTION("""COMPUTED_VALUE"""),"MOBILECARE - ZAMBOANGA")</f>
        <v>MOBILECARE - ZAMBOANGA</v>
      </c>
      <c r="D58" s="2" t="str">
        <f>IFERROR(__xludf.DUMMYFUNCTION("""COMPUTED_VALUE"""),"TA661-36697")</f>
        <v>TA661-36697</v>
      </c>
      <c r="E58" s="2" t="str">
        <f>IFERROR(__xludf.DUMMYFUNCTION("""COMPUTED_VALUE"""),"iPhone 15, Pink, 256GB, Logic Board Assy Mid System, ROW")</f>
        <v>iPhone 15, Pink, 256GB, Logic Board Assy Mid System, ROW</v>
      </c>
      <c r="F58" s="38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11">
        <f>IFERROR(__xludf.DUMMYFUNCTION("""COMPUTED_VALUE"""),46184.0)</f>
        <v>46184</v>
      </c>
      <c r="C59" s="2" t="str">
        <f>IFERROR(__xludf.DUMMYFUNCTION("""COMPUTED_VALUE"""),"MOBILECARE - ZAMBOANGA")</f>
        <v>MOBILECARE - ZAMBOANGA</v>
      </c>
      <c r="D59" s="2" t="str">
        <f>IFERROR(__xludf.DUMMYFUNCTION("""COMPUTED_VALUE"""),"TA661-36694")</f>
        <v>TA661-36694</v>
      </c>
      <c r="E59" s="2" t="str">
        <f>IFERROR(__xludf.DUMMYFUNCTION("""COMPUTED_VALUE"""),"iPhone 15, Blue, 128GB, Logic Board Assy Mid System, ROW")</f>
        <v>iPhone 15, Blue, 128GB, Logic Board Assy Mid System, ROW</v>
      </c>
      <c r="F59" s="38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11">
        <f>IFERROR(__xludf.DUMMYFUNCTION("""COMPUTED_VALUE"""),46179.0)</f>
        <v>46179</v>
      </c>
      <c r="C60" s="2" t="str">
        <f>IFERROR(__xludf.DUMMYFUNCTION("""COMPUTED_VALUE"""),"MOBILECARE - ZAMBOANGA")</f>
        <v>MOBILECARE - ZAMBOANGA</v>
      </c>
      <c r="D60" s="2" t="str">
        <f>IFERROR(__xludf.DUMMYFUNCTION("""COMPUTED_VALUE"""),"PP661-28869")</f>
        <v>PP661-28869</v>
      </c>
      <c r="E60" s="2" t="str">
        <f>IFERROR(__xludf.DUMMYFUNCTION("""COMPUTED_VALUE"""),"iPhone 14, Starlight, 128GB, Logic Board Assy Mid System, ROW")</f>
        <v>iPhone 14, Starlight, 128GB, Logic Board Assy Mid System, ROW</v>
      </c>
      <c r="F60" s="38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11">
        <f>IFERROR(__xludf.DUMMYFUNCTION("""COMPUTED_VALUE"""),46178.0)</f>
        <v>46178</v>
      </c>
      <c r="C61" s="2" t="str">
        <f>IFERROR(__xludf.DUMMYFUNCTION("""COMPUTED_VALUE"""),"MOBILECARE - NEWPOINT MALL")</f>
        <v>MOBILECARE - NEWPOINT MALL</v>
      </c>
      <c r="D61" s="2" t="str">
        <f>IFERROR(__xludf.DUMMYFUNCTION("""COMPUTED_VALUE"""),"PP661-23455")</f>
        <v>PP661-23455</v>
      </c>
      <c r="E61" s="2" t="str">
        <f>IFERROR(__xludf.DUMMYFUNCTION("""COMPUTED_VALUE"""),"iPhone 13, Starlight, 128GB, Logic Board Assy Rear System, ROW")</f>
        <v>iPhone 13, Starlight, 128GB, Logic Board Assy Rear System, ROW</v>
      </c>
      <c r="F61" s="38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11">
        <f>IFERROR(__xludf.DUMMYFUNCTION("""COMPUTED_VALUE"""),46185.0)</f>
        <v>46185</v>
      </c>
      <c r="C62" s="2" t="str">
        <f>IFERROR(__xludf.DUMMYFUNCTION("""COMPUTED_VALUE"""),"MOBILECARE - NEWPOINT MALL")</f>
        <v>MOBILECARE - NEWPOINT MALL</v>
      </c>
      <c r="D62" s="2" t="str">
        <f>IFERROR(__xludf.DUMMYFUNCTION("""COMPUTED_VALUE"""),"PP661-28868")</f>
        <v>PP661-28868</v>
      </c>
      <c r="E62" s="2" t="str">
        <f>IFERROR(__xludf.DUMMYFUNCTION("""COMPUTED_VALUE"""),"iPhone 14, Midnight, 128GB, Logic Board Assy Mid System, ROW")</f>
        <v>iPhone 14, Midnight, 128GB, Logic Board Assy Mid System, ROW</v>
      </c>
      <c r="F62" s="38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11">
        <f>IFERROR(__xludf.DUMMYFUNCTION("""COMPUTED_VALUE"""),46178.0)</f>
        <v>46178</v>
      </c>
      <c r="C63" s="2" t="str">
        <f>IFERROR(__xludf.DUMMYFUNCTION("""COMPUTED_VALUE"""),"MOBILECARE - NEWPOINT MALL")</f>
        <v>MOBILECARE - NEWPOINT MALL</v>
      </c>
      <c r="D63" s="2" t="str">
        <f>IFERROR(__xludf.DUMMYFUNCTION("""COMPUTED_VALUE"""),"PP661-28869")</f>
        <v>PP661-28869</v>
      </c>
      <c r="E63" s="2" t="str">
        <f>IFERROR(__xludf.DUMMYFUNCTION("""COMPUTED_VALUE"""),"iPhone 14, Starlight, 128GB, Logic Board Assy Mid System, ROW")</f>
        <v>iPhone 14, Starlight, 128GB, Logic Board Assy Mid System, ROW</v>
      </c>
      <c r="F63" s="38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11">
        <f>IFERROR(__xludf.DUMMYFUNCTION("""COMPUTED_VALUE"""),46183.0)</f>
        <v>46183</v>
      </c>
      <c r="C64" s="2" t="str">
        <f>IFERROR(__xludf.DUMMYFUNCTION("""COMPUTED_VALUE"""),"MOBILECARE - NEWPOINT MALL")</f>
        <v>MOBILECARE - NEWPOINT MALL</v>
      </c>
      <c r="D64" s="2" t="str">
        <f>IFERROR(__xludf.DUMMYFUNCTION("""COMPUTED_VALUE"""),"TA661-36691")</f>
        <v>TA661-36691</v>
      </c>
      <c r="E64" s="2" t="str">
        <f>IFERROR(__xludf.DUMMYFUNCTION("""COMPUTED_VALUE"""),"iPhone 15, Black, 128GB, Logic Board Assy Mid System, ROW")</f>
        <v>iPhone 15, Black, 128GB, Logic Board Assy Mid System, ROW</v>
      </c>
      <c r="F64" s="38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11">
        <f>IFERROR(__xludf.DUMMYFUNCTION("""COMPUTED_VALUE"""),46180.0)</f>
        <v>46180</v>
      </c>
      <c r="C65" s="2" t="str">
        <f>IFERROR(__xludf.DUMMYFUNCTION("""COMPUTED_VALUE"""),"MOBILECARE - NEWPOINT MALL")</f>
        <v>MOBILECARE - NEWPOINT MALL</v>
      </c>
      <c r="D65" s="2" t="str">
        <f>IFERROR(__xludf.DUMMYFUNCTION("""COMPUTED_VALUE"""),"PP661-28869")</f>
        <v>PP661-28869</v>
      </c>
      <c r="E65" s="2" t="str">
        <f>IFERROR(__xludf.DUMMYFUNCTION("""COMPUTED_VALUE"""),"iPhone 14, Starlight, 128GB, Logic Board Assy Mid System, ROW")</f>
        <v>iPhone 14, Starlight, 128GB, Logic Board Assy Mid System, ROW</v>
      </c>
      <c r="F65" s="38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11">
        <f>IFERROR(__xludf.DUMMYFUNCTION("""COMPUTED_VALUE"""),46188.0)</f>
        <v>46188</v>
      </c>
      <c r="C66" s="2" t="str">
        <f>IFERROR(__xludf.DUMMYFUNCTION("""COMPUTED_VALUE"""),"MOBILECARE - NEWPOINT MALL")</f>
        <v>MOBILECARE - NEWPOINT MALL</v>
      </c>
      <c r="D66" s="2" t="str">
        <f>IFERROR(__xludf.DUMMYFUNCTION("""COMPUTED_VALUE"""),"PP661-28868")</f>
        <v>PP661-28868</v>
      </c>
      <c r="E66" s="2" t="str">
        <f>IFERROR(__xludf.DUMMYFUNCTION("""COMPUTED_VALUE"""),"iPhone 14, Midnight, 128GB, Logic Board Assy Mid System, ROW")</f>
        <v>iPhone 14, Midnight, 128GB, Logic Board Assy Mid System, ROW</v>
      </c>
      <c r="F66" s="38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11">
        <f>IFERROR(__xludf.DUMMYFUNCTION("""COMPUTED_VALUE"""),46188.0)</f>
        <v>46188</v>
      </c>
      <c r="C67" s="2" t="str">
        <f>IFERROR(__xludf.DUMMYFUNCTION("""COMPUTED_VALUE"""),"MOBILECARE - NEWPOINT MALL")</f>
        <v>MOBILECARE - NEWPOINT MALL</v>
      </c>
      <c r="D67" s="2" t="str">
        <f>IFERROR(__xludf.DUMMYFUNCTION("""COMPUTED_VALUE"""),"TA661-45234")</f>
        <v>TA661-45234</v>
      </c>
      <c r="E67" s="2" t="str">
        <f>IFERROR(__xludf.DUMMYFUNCTION("""COMPUTED_VALUE"""),"128GB, Ultramarine, ROW, iPhone 16 Plus, Logic Board Assy Mid System")</f>
        <v>128GB, Ultramarine, ROW, iPhone 16 Plus, Logic Board Assy Mid System</v>
      </c>
      <c r="F67" s="38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11">
        <f>IFERROR(__xludf.DUMMYFUNCTION("""COMPUTED_VALUE"""),46187.0)</f>
        <v>46187</v>
      </c>
      <c r="C68" s="2" t="str">
        <f>IFERROR(__xludf.DUMMYFUNCTION("""COMPUTED_VALUE"""),"MOBILECARE - NEWPOINT MALL")</f>
        <v>MOBILECARE - NEWPOINT MALL</v>
      </c>
      <c r="D68" s="2" t="str">
        <f>IFERROR(__xludf.DUMMYFUNCTION("""COMPUTED_VALUE"""),"PP661-23454")</f>
        <v>PP661-23454</v>
      </c>
      <c r="E68" s="2" t="str">
        <f>IFERROR(__xludf.DUMMYFUNCTION("""COMPUTED_VALUE"""),"iPhone 13, Midnight, 128GB, Logic Board Assy Rear System, ROW")</f>
        <v>iPhone 13, Midnight, 128GB, Logic Board Assy Rear System, ROW</v>
      </c>
      <c r="F68" s="38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11">
        <f>IFERROR(__xludf.DUMMYFUNCTION("""COMPUTED_VALUE"""),46186.0)</f>
        <v>46186</v>
      </c>
      <c r="C69" s="2" t="str">
        <f>IFERROR(__xludf.DUMMYFUNCTION("""COMPUTED_VALUE"""),"MOBILECARE - NEWPOINT MALL")</f>
        <v>MOBILECARE - NEWPOINT MALL</v>
      </c>
      <c r="D69" s="2" t="str">
        <f>IFERROR(__xludf.DUMMYFUNCTION("""COMPUTED_VALUE"""),"PP661-28868")</f>
        <v>PP661-28868</v>
      </c>
      <c r="E69" s="2" t="str">
        <f>IFERROR(__xludf.DUMMYFUNCTION("""COMPUTED_VALUE"""),"iPhone 14, Midnight, 128GB, Logic Board Assy Mid System, ROW")</f>
        <v>iPhone 14, Midnight, 128GB, Logic Board Assy Mid System, ROW</v>
      </c>
      <c r="F69" s="38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11">
        <f>IFERROR(__xludf.DUMMYFUNCTION("""COMPUTED_VALUE"""),46182.0)</f>
        <v>46182</v>
      </c>
      <c r="C70" s="2" t="str">
        <f>IFERROR(__xludf.DUMMYFUNCTION("""COMPUTED_VALUE"""),"MOBILECARE - NEWPOINT MALL")</f>
        <v>MOBILECARE - NEWPOINT MALL</v>
      </c>
      <c r="D70" s="2" t="str">
        <f>IFERROR(__xludf.DUMMYFUNCTION("""COMPUTED_VALUE"""),"TA661-45238")</f>
        <v>TA661-45238</v>
      </c>
      <c r="E70" s="2" t="str">
        <f>IFERROR(__xludf.DUMMYFUNCTION("""COMPUTED_VALUE"""),"256GB, Pink, ROW, iPhone 16 Plus, Logic Board Assy Mid System")</f>
        <v>256GB, Pink, ROW, iPhone 16 Plus, Logic Board Assy Mid System</v>
      </c>
      <c r="F70" s="38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11">
        <f>IFERROR(__xludf.DUMMYFUNCTION("""COMPUTED_VALUE"""),46180.0)</f>
        <v>46180</v>
      </c>
      <c r="C71" s="2" t="str">
        <f>IFERROR(__xludf.DUMMYFUNCTION("""COMPUTED_VALUE"""),"MOBILECARE - NEWPOINT MALL")</f>
        <v>MOBILECARE - NEWPOINT MALL</v>
      </c>
      <c r="D71" s="2" t="str">
        <f>IFERROR(__xludf.DUMMYFUNCTION("""COMPUTED_VALUE"""),"TA661-43609")</f>
        <v>TA661-43609</v>
      </c>
      <c r="E71" s="2" t="str">
        <f>IFERROR(__xludf.DUMMYFUNCTION("""COMPUTED_VALUE"""),"128GB, Teal, ROW, iPhone 16, Logic Board Assy Mid System")</f>
        <v>128GB, Teal, ROW, iPhone 16, Logic Board Assy Mid System</v>
      </c>
      <c r="F71" s="38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11">
        <f>IFERROR(__xludf.DUMMYFUNCTION("""COMPUTED_VALUE"""),46192.0)</f>
        <v>46192</v>
      </c>
      <c r="C72" s="2" t="str">
        <f>IFERROR(__xludf.DUMMYFUNCTION("""COMPUTED_VALUE"""),"MOBILECARE - NEWPOINT MALL")</f>
        <v>MOBILECARE - NEWPOINT MALL</v>
      </c>
      <c r="D72" s="2" t="str">
        <f>IFERROR(__xludf.DUMMYFUNCTION("""COMPUTED_VALUE"""),"TA661-43609")</f>
        <v>TA661-43609</v>
      </c>
      <c r="E72" s="2" t="str">
        <f>IFERROR(__xludf.DUMMYFUNCTION("""COMPUTED_VALUE"""),"128GB, Teal, ROW, iPhone 16, Logic Board Assy Mid System")</f>
        <v>128GB, Teal, ROW, iPhone 16, Logic Board Assy Mid System</v>
      </c>
      <c r="F72" s="38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11">
        <f>IFERROR(__xludf.DUMMYFUNCTION("""COMPUTED_VALUE"""),46192.0)</f>
        <v>46192</v>
      </c>
      <c r="C73" s="2" t="str">
        <f>IFERROR(__xludf.DUMMYFUNCTION("""COMPUTED_VALUE"""),"MOBILECARE - NEWPOINT MALL")</f>
        <v>MOBILECARE - NEWPOINT MALL</v>
      </c>
      <c r="D73" s="2" t="str">
        <f>IFERROR(__xludf.DUMMYFUNCTION("""COMPUTED_VALUE"""),"TA661-45243")</f>
        <v>TA661-45243</v>
      </c>
      <c r="E73" s="2" t="str">
        <f>IFERROR(__xludf.DUMMYFUNCTION("""COMPUTED_VALUE"""),"512GB, Pink, ROW, iPhone 16 Plus, Logic Board Assy Mid System")</f>
        <v>512GB, Pink, ROW, iPhone 16 Plus, Logic Board Assy Mid System</v>
      </c>
      <c r="F73" s="38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11">
        <f>IFERROR(__xludf.DUMMYFUNCTION("""COMPUTED_VALUE"""),46188.0)</f>
        <v>46188</v>
      </c>
      <c r="C74" s="2" t="str">
        <f>IFERROR(__xludf.DUMMYFUNCTION("""COMPUTED_VALUE"""),"MOBILECARE - NEWPOINT MALL")</f>
        <v>MOBILECARE - NEWPOINT MALL</v>
      </c>
      <c r="D74" s="2" t="str">
        <f>IFERROR(__xludf.DUMMYFUNCTION("""COMPUTED_VALUE"""),"TA661-36694")</f>
        <v>TA661-36694</v>
      </c>
      <c r="E74" s="2" t="str">
        <f>IFERROR(__xludf.DUMMYFUNCTION("""COMPUTED_VALUE"""),"iPhone 15, Blue, 128GB, Logic Board Assy Mid System, ROW")</f>
        <v>iPhone 15, Blue, 128GB, Logic Board Assy Mid System, ROW</v>
      </c>
      <c r="F74" s="38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11">
        <f>IFERROR(__xludf.DUMMYFUNCTION("""COMPUTED_VALUE"""),46180.0)</f>
        <v>46180</v>
      </c>
      <c r="C75" s="2" t="str">
        <f>IFERROR(__xludf.DUMMYFUNCTION("""COMPUTED_VALUE"""),"MOBILECARE - LA UNION")</f>
        <v>MOBILECARE - LA UNION</v>
      </c>
      <c r="D75" s="2" t="str">
        <f>IFERROR(__xludf.DUMMYFUNCTION("""COMPUTED_VALUE"""),"TA661-44997")</f>
        <v>TA661-44997</v>
      </c>
      <c r="E75" s="2" t="str">
        <f>IFERROR(__xludf.DUMMYFUNCTION("""COMPUTED_VALUE"""),"128GB, Desert Titanium, ROW, iPhone 16 Pro, Logic Board Assy Mid System")</f>
        <v>128GB, Desert Titanium, ROW, iPhone 16 Pro, Logic Board Assy Mid System</v>
      </c>
      <c r="F75" s="38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11">
        <f>IFERROR(__xludf.DUMMYFUNCTION("""COMPUTED_VALUE"""),46180.0)</f>
        <v>46180</v>
      </c>
      <c r="C76" s="2" t="str">
        <f>IFERROR(__xludf.DUMMYFUNCTION("""COMPUTED_VALUE"""),"MOBILECARE - LA UNION")</f>
        <v>MOBILECARE - LA UNION</v>
      </c>
      <c r="D76" s="2" t="str">
        <f>IFERROR(__xludf.DUMMYFUNCTION("""COMPUTED_VALUE"""),"TA661-45233")</f>
        <v>TA661-45233</v>
      </c>
      <c r="E76" s="2" t="str">
        <f>IFERROR(__xludf.DUMMYFUNCTION("""COMPUTED_VALUE"""),"128GB, Pink, ROW, iPhone 16 Plus, Logic Board Assy Mid System")</f>
        <v>128GB, Pink, ROW, iPhone 16 Plus, Logic Board Assy Mid System</v>
      </c>
      <c r="F76" s="38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11">
        <f>IFERROR(__xludf.DUMMYFUNCTION("""COMPUTED_VALUE"""),46181.0)</f>
        <v>46181</v>
      </c>
      <c r="C77" s="2" t="str">
        <f>IFERROR(__xludf.DUMMYFUNCTION("""COMPUTED_VALUE"""),"MOBILECARE - LA UNION")</f>
        <v>MOBILECARE - LA UNION</v>
      </c>
      <c r="D77" s="2" t="str">
        <f>IFERROR(__xludf.DUMMYFUNCTION("""COMPUTED_VALUE"""),"PP661-28868")</f>
        <v>PP661-28868</v>
      </c>
      <c r="E77" s="2" t="str">
        <f>IFERROR(__xludf.DUMMYFUNCTION("""COMPUTED_VALUE"""),"iPhone 14, Midnight, 128GB, Logic Board Assy Mid System, ROW")</f>
        <v>iPhone 14, Midnight, 128GB, Logic Board Assy Mid System, ROW</v>
      </c>
      <c r="F77" s="38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11">
        <f>IFERROR(__xludf.DUMMYFUNCTION("""COMPUTED_VALUE"""),46188.0)</f>
        <v>46188</v>
      </c>
      <c r="C78" s="2" t="str">
        <f>IFERROR(__xludf.DUMMYFUNCTION("""COMPUTED_VALUE"""),"MOBILECARE - LA UNION")</f>
        <v>MOBILECARE - LA UNION</v>
      </c>
      <c r="D78" s="2" t="str">
        <f>IFERROR(__xludf.DUMMYFUNCTION("""COMPUTED_VALUE"""),"PP661-23455")</f>
        <v>PP661-23455</v>
      </c>
      <c r="E78" s="2" t="str">
        <f>IFERROR(__xludf.DUMMYFUNCTION("""COMPUTED_VALUE"""),"iPhone 13, Starlight, 128GB, Logic Board Assy Rear System, ROW")</f>
        <v>iPhone 13, Starlight, 128GB, Logic Board Assy Rear System, ROW</v>
      </c>
      <c r="F78" s="38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11">
        <f>IFERROR(__xludf.DUMMYFUNCTION("""COMPUTED_VALUE"""),46181.0)</f>
        <v>46181</v>
      </c>
      <c r="C79" s="2" t="str">
        <f>IFERROR(__xludf.DUMMYFUNCTION("""COMPUTED_VALUE"""),"MOBILECARE - LA UNION")</f>
        <v>MOBILECARE - LA UNION</v>
      </c>
      <c r="D79" s="2" t="str">
        <f>IFERROR(__xludf.DUMMYFUNCTION("""COMPUTED_VALUE"""),"PP661-23454")</f>
        <v>PP661-23454</v>
      </c>
      <c r="E79" s="2" t="str">
        <f>IFERROR(__xludf.DUMMYFUNCTION("""COMPUTED_VALUE"""),"iPhone 13, Midnight, 128GB, Logic Board Assy Rear System, ROW")</f>
        <v>iPhone 13, Midnight, 128GB, Logic Board Assy Rear System, ROW</v>
      </c>
      <c r="F79" s="38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11">
        <f>IFERROR(__xludf.DUMMYFUNCTION("""COMPUTED_VALUE"""),46179.0)</f>
        <v>46179</v>
      </c>
      <c r="C80" s="2" t="str">
        <f>IFERROR(__xludf.DUMMYFUNCTION("""COMPUTED_VALUE"""),"MOBILECARE - LIMA ESTATE")</f>
        <v>MOBILECARE - LIMA ESTATE</v>
      </c>
      <c r="D80" s="2" t="str">
        <f>IFERROR(__xludf.DUMMYFUNCTION("""COMPUTED_VALUE"""),"PP661-23454")</f>
        <v>PP661-23454</v>
      </c>
      <c r="E80" s="2" t="str">
        <f>IFERROR(__xludf.DUMMYFUNCTION("""COMPUTED_VALUE"""),"iPhone 13, Midnight, 128GB, Logic Board Assy Rear System, ROW")</f>
        <v>iPhone 13, Midnight, 128GB, Logic Board Assy Rear System, ROW</v>
      </c>
      <c r="F80" s="38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11">
        <f>IFERROR(__xludf.DUMMYFUNCTION("""COMPUTED_VALUE"""),46184.0)</f>
        <v>46184</v>
      </c>
      <c r="C81" s="2" t="str">
        <f>IFERROR(__xludf.DUMMYFUNCTION("""COMPUTED_VALUE"""),"MOBILECARE - LIMA ESTATE")</f>
        <v>MOBILECARE - LIMA ESTATE</v>
      </c>
      <c r="D81" s="2" t="str">
        <f>IFERROR(__xludf.DUMMYFUNCTION("""COMPUTED_VALUE"""),"PP661-23455")</f>
        <v>PP661-23455</v>
      </c>
      <c r="E81" s="2" t="str">
        <f>IFERROR(__xludf.DUMMYFUNCTION("""COMPUTED_VALUE"""),"iPhone 13, Starlight, 128GB, Logic Board Assy Rear System, ROW")</f>
        <v>iPhone 13, Starlight, 128GB, Logic Board Assy Rear System, ROW</v>
      </c>
      <c r="F81" s="38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11">
        <f>IFERROR(__xludf.DUMMYFUNCTION("""COMPUTED_VALUE"""),46182.0)</f>
        <v>46182</v>
      </c>
      <c r="C82" s="2" t="str">
        <f>IFERROR(__xludf.DUMMYFUNCTION("""COMPUTED_VALUE"""),"MOBILECARE - LIMA ESTATE")</f>
        <v>MOBILECARE - LIMA ESTATE</v>
      </c>
      <c r="D82" s="2" t="str">
        <f>IFERROR(__xludf.DUMMYFUNCTION("""COMPUTED_VALUE"""),"PP661-23455")</f>
        <v>PP661-23455</v>
      </c>
      <c r="E82" s="2" t="str">
        <f>IFERROR(__xludf.DUMMYFUNCTION("""COMPUTED_VALUE"""),"iPhone 13, Starlight, 128GB, Logic Board Assy Rear System, ROW")</f>
        <v>iPhone 13, Starlight, 128GB, Logic Board Assy Rear System, ROW</v>
      </c>
      <c r="F82" s="38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11">
        <f>IFERROR(__xludf.DUMMYFUNCTION("""COMPUTED_VALUE"""),46192.0)</f>
        <v>46192</v>
      </c>
      <c r="C83" s="2" t="str">
        <f>IFERROR(__xludf.DUMMYFUNCTION("""COMPUTED_VALUE"""),"MOBILECARE - LIMA ESTATE")</f>
        <v>MOBILECARE - LIMA ESTATE</v>
      </c>
      <c r="D83" s="2" t="str">
        <f>IFERROR(__xludf.DUMMYFUNCTION("""COMPUTED_VALUE"""),"TA661-44997")</f>
        <v>TA661-44997</v>
      </c>
      <c r="E83" s="2" t="str">
        <f>IFERROR(__xludf.DUMMYFUNCTION("""COMPUTED_VALUE"""),"128GB, Desert Titanium, ROW, iPhone 16 Pro, Logic Board Assy Mid System")</f>
        <v>128GB, Desert Titanium, ROW, iPhone 16 Pro, Logic Board Assy Mid System</v>
      </c>
      <c r="F83" s="38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11">
        <f>IFERROR(__xludf.DUMMYFUNCTION("""COMPUTED_VALUE"""),46185.0)</f>
        <v>46185</v>
      </c>
      <c r="C84" s="2" t="str">
        <f>IFERROR(__xludf.DUMMYFUNCTION("""COMPUTED_VALUE"""),"MOBILECARE - LIMA ESTATE")</f>
        <v>MOBILECARE - LIMA ESTATE</v>
      </c>
      <c r="D84" s="2" t="str">
        <f>IFERROR(__xludf.DUMMYFUNCTION("""COMPUTED_VALUE"""),"TA661-43614")</f>
        <v>TA661-43614</v>
      </c>
      <c r="E84" s="2" t="str">
        <f>IFERROR(__xludf.DUMMYFUNCTION("""COMPUTED_VALUE"""),"256GB, Teal, ROW, iPhone 16, Logic Board Assy Mid System")</f>
        <v>256GB, Teal, ROW, iPhone 16, Logic Board Assy Mid System</v>
      </c>
      <c r="F84" s="38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11">
        <f>IFERROR(__xludf.DUMMYFUNCTION("""COMPUTED_VALUE"""),46193.0)</f>
        <v>46193</v>
      </c>
      <c r="C85" s="2" t="str">
        <f>IFERROR(__xludf.DUMMYFUNCTION("""COMPUTED_VALUE"""),"MOBILECARE - LIMA ESTATE")</f>
        <v>MOBILECARE - LIMA ESTATE</v>
      </c>
      <c r="D85" s="2" t="str">
        <f>IFERROR(__xludf.DUMMYFUNCTION("""COMPUTED_VALUE"""),"661-56124")</f>
        <v>661-56124</v>
      </c>
      <c r="E85" s="2" t="str">
        <f>IFERROR(__xludf.DUMMYFUNCTION("""COMPUTED_VALUE"""),"Deep Blue, Back Glass, iPhone 17 Pro")</f>
        <v>Deep Blue, Back Glass, iPhone 17 Pro</v>
      </c>
      <c r="F85" s="38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11">
        <f>IFERROR(__xludf.DUMMYFUNCTION("""COMPUTED_VALUE"""),46183.0)</f>
        <v>46183</v>
      </c>
      <c r="C86" s="2" t="str">
        <f>IFERROR(__xludf.DUMMYFUNCTION("""COMPUTED_VALUE"""),"MOBILECARE - LIMA ESTATE")</f>
        <v>MOBILECARE - LIMA ESTATE</v>
      </c>
      <c r="D86" s="2" t="str">
        <f>IFERROR(__xludf.DUMMYFUNCTION("""COMPUTED_VALUE"""),"TA661-45236")</f>
        <v>TA661-45236</v>
      </c>
      <c r="E86" s="2" t="str">
        <f>IFERROR(__xludf.DUMMYFUNCTION("""COMPUTED_VALUE"""),"256GB, Black, ROW, iPhone 16 Plus, Logic Board Assy Mid System")</f>
        <v>256GB, Black, ROW, iPhone 16 Plus, Logic Board Assy Mid System</v>
      </c>
      <c r="F86" s="38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11">
        <f>IFERROR(__xludf.DUMMYFUNCTION("""COMPUTED_VALUE"""),46185.0)</f>
        <v>46185</v>
      </c>
      <c r="C87" s="2" t="str">
        <f>IFERROR(__xludf.DUMMYFUNCTION("""COMPUTED_VALUE"""),"MOBILECARE - LIMA ESTATE")</f>
        <v>MOBILECARE - LIMA ESTATE</v>
      </c>
      <c r="D87" s="2" t="str">
        <f>IFERROR(__xludf.DUMMYFUNCTION("""COMPUTED_VALUE"""),"PP661-28871")</f>
        <v>PP661-28871</v>
      </c>
      <c r="E87" s="2" t="str">
        <f>IFERROR(__xludf.DUMMYFUNCTION("""COMPUTED_VALUE"""),"iPhone 14, Blue, 128GB, Logic Board Assy Mid System, ROW")</f>
        <v>iPhone 14, Blue, 128GB, Logic Board Assy Mid System, ROW</v>
      </c>
      <c r="F87" s="38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11">
        <f>IFERROR(__xludf.DUMMYFUNCTION("""COMPUTED_VALUE"""),46183.0)</f>
        <v>46183</v>
      </c>
      <c r="C88" s="2" t="str">
        <f>IFERROR(__xludf.DUMMYFUNCTION("""COMPUTED_VALUE"""),"MOBILECARE - LIMA ESTATE")</f>
        <v>MOBILECARE - LIMA ESTATE</v>
      </c>
      <c r="D88" s="2" t="str">
        <f>IFERROR(__xludf.DUMMYFUNCTION("""COMPUTED_VALUE"""),"PP661-28868")</f>
        <v>PP661-28868</v>
      </c>
      <c r="E88" s="2" t="str">
        <f>IFERROR(__xludf.DUMMYFUNCTION("""COMPUTED_VALUE"""),"iPhone 14, Midnight, 128GB, Logic Board Assy Mid System, ROW")</f>
        <v>iPhone 14, Midnight, 128GB, Logic Board Assy Mid System, ROW</v>
      </c>
      <c r="F88" s="38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11">
        <f>IFERROR(__xludf.DUMMYFUNCTION("""COMPUTED_VALUE"""),46190.0)</f>
        <v>46190</v>
      </c>
      <c r="C89" s="2" t="str">
        <f>IFERROR(__xludf.DUMMYFUNCTION("""COMPUTED_VALUE"""),"MOBILECARE - LIMA ESTATE")</f>
        <v>MOBILECARE - LIMA ESTATE</v>
      </c>
      <c r="D89" s="2" t="str">
        <f>IFERROR(__xludf.DUMMYFUNCTION("""COMPUTED_VALUE"""),"TA661-43606")</f>
        <v>TA661-43606</v>
      </c>
      <c r="E89" s="2" t="str">
        <f>IFERROR(__xludf.DUMMYFUNCTION("""COMPUTED_VALUE"""),"128GB, White, ROW, iPhone 16, Logic Board Assy Mid System")</f>
        <v>128GB, White, ROW, iPhone 16, Logic Board Assy Mid System</v>
      </c>
      <c r="F89" s="38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11">
        <f>IFERROR(__xludf.DUMMYFUNCTION("""COMPUTED_VALUE"""),46190.0)</f>
        <v>46190</v>
      </c>
      <c r="C90" s="2" t="str">
        <f>IFERROR(__xludf.DUMMYFUNCTION("""COMPUTED_VALUE"""),"MOBILECARE - LIMA ESTATE")</f>
        <v>MOBILECARE - LIMA ESTATE</v>
      </c>
      <c r="D90" s="2" t="str">
        <f>IFERROR(__xludf.DUMMYFUNCTION("""COMPUTED_VALUE"""),"PP661-28868")</f>
        <v>PP661-28868</v>
      </c>
      <c r="E90" s="2" t="str">
        <f>IFERROR(__xludf.DUMMYFUNCTION("""COMPUTED_VALUE"""),"iPhone 14, Midnight, 128GB, Logic Board Assy Mid System, ROW")</f>
        <v>iPhone 14, Midnight, 128GB, Logic Board Assy Mid System, ROW</v>
      </c>
      <c r="F90" s="38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11">
        <f>IFERROR(__xludf.DUMMYFUNCTION("""COMPUTED_VALUE"""),46191.0)</f>
        <v>46191</v>
      </c>
      <c r="C91" s="2" t="str">
        <f>IFERROR(__xludf.DUMMYFUNCTION("""COMPUTED_VALUE"""),"MOBILECARE - LIMA ESTATE")</f>
        <v>MOBILECARE - LIMA ESTATE</v>
      </c>
      <c r="D91" s="2" t="str">
        <f>IFERROR(__xludf.DUMMYFUNCTION("""COMPUTED_VALUE"""),"PP661-23454")</f>
        <v>PP661-23454</v>
      </c>
      <c r="E91" s="2" t="str">
        <f>IFERROR(__xludf.DUMMYFUNCTION("""COMPUTED_VALUE"""),"iPhone 13, Midnight, 128GB, Logic Board Assy Rear System, ROW")</f>
        <v>iPhone 13, Midnight, 128GB, Logic Board Assy Rear System, ROW</v>
      </c>
      <c r="F91" s="38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11">
        <f>IFERROR(__xludf.DUMMYFUNCTION("""COMPUTED_VALUE"""),46190.0)</f>
        <v>46190</v>
      </c>
      <c r="C92" s="2" t="str">
        <f>IFERROR(__xludf.DUMMYFUNCTION("""COMPUTED_VALUE"""),"MOBILECARE - LIMA ESTATE")</f>
        <v>MOBILECARE - LIMA ESTATE</v>
      </c>
      <c r="D92" s="2" t="str">
        <f>IFERROR(__xludf.DUMMYFUNCTION("""COMPUTED_VALUE"""),"PP661-23454")</f>
        <v>PP661-23454</v>
      </c>
      <c r="E92" s="2" t="str">
        <f>IFERROR(__xludf.DUMMYFUNCTION("""COMPUTED_VALUE"""),"iPhone 13, Midnight, 128GB, Logic Board Assy Rear System, ROW")</f>
        <v>iPhone 13, Midnight, 128GB, Logic Board Assy Rear System, ROW</v>
      </c>
      <c r="F92" s="38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11">
        <f>IFERROR(__xludf.DUMMYFUNCTION("""COMPUTED_VALUE"""),46182.0)</f>
        <v>46182</v>
      </c>
      <c r="C93" s="2" t="str">
        <f>IFERROR(__xludf.DUMMYFUNCTION("""COMPUTED_VALUE"""),"MOBILECARE - LIMA ESTATE")</f>
        <v>MOBILECARE - LIMA ESTATE</v>
      </c>
      <c r="D93" s="2" t="str">
        <f>IFERROR(__xludf.DUMMYFUNCTION("""COMPUTED_VALUE"""),"PP661-23454")</f>
        <v>PP661-23454</v>
      </c>
      <c r="E93" s="2" t="str">
        <f>IFERROR(__xludf.DUMMYFUNCTION("""COMPUTED_VALUE"""),"iPhone 13, Midnight, 128GB, Logic Board Assy Rear System, ROW")</f>
        <v>iPhone 13, Midnight, 128GB, Logic Board Assy Rear System, ROW</v>
      </c>
      <c r="F93" s="38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11">
        <f>IFERROR(__xludf.DUMMYFUNCTION("""COMPUTED_VALUE"""),46184.0)</f>
        <v>46184</v>
      </c>
      <c r="C94" s="2" t="str">
        <f>IFERROR(__xludf.DUMMYFUNCTION("""COMPUTED_VALUE"""),"MOBILECARE - LIMA ESTATE")</f>
        <v>MOBILECARE - LIMA ESTATE</v>
      </c>
      <c r="D94" s="2" t="str">
        <f>IFERROR(__xludf.DUMMYFUNCTION("""COMPUTED_VALUE"""),"TA661-43606")</f>
        <v>TA661-43606</v>
      </c>
      <c r="E94" s="2" t="str">
        <f>IFERROR(__xludf.DUMMYFUNCTION("""COMPUTED_VALUE"""),"128GB, White, ROW, iPhone 16, Logic Board Assy Mid System")</f>
        <v>128GB, White, ROW, iPhone 16, Logic Board Assy Mid System</v>
      </c>
      <c r="F94" s="38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11">
        <f>IFERROR(__xludf.DUMMYFUNCTION("""COMPUTED_VALUE"""),46187.0)</f>
        <v>46187</v>
      </c>
      <c r="C95" s="2" t="str">
        <f>IFERROR(__xludf.DUMMYFUNCTION("""COMPUTED_VALUE"""),"MOBILECARE - LIMA ESTATE")</f>
        <v>MOBILECARE - LIMA ESTATE</v>
      </c>
      <c r="D95" s="2" t="str">
        <f>IFERROR(__xludf.DUMMYFUNCTION("""COMPUTED_VALUE"""),"PP661-23454")</f>
        <v>PP661-23454</v>
      </c>
      <c r="E95" s="2" t="str">
        <f>IFERROR(__xludf.DUMMYFUNCTION("""COMPUTED_VALUE"""),"iPhone 13, Midnight, 128GB, Logic Board Assy Rear System, ROW")</f>
        <v>iPhone 13, Midnight, 128GB, Logic Board Assy Rear System, ROW</v>
      </c>
      <c r="F95" s="38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11">
        <f>IFERROR(__xludf.DUMMYFUNCTION("""COMPUTED_VALUE"""),46186.0)</f>
        <v>46186</v>
      </c>
      <c r="C96" s="2" t="str">
        <f>IFERROR(__xludf.DUMMYFUNCTION("""COMPUTED_VALUE"""),"MOBILECARE - LIMA ESTATE")</f>
        <v>MOBILECARE - LIMA ESTATE</v>
      </c>
      <c r="D96" s="2" t="str">
        <f>IFERROR(__xludf.DUMMYFUNCTION("""COMPUTED_VALUE"""),"TA661-36691")</f>
        <v>TA661-36691</v>
      </c>
      <c r="E96" s="2" t="str">
        <f>IFERROR(__xludf.DUMMYFUNCTION("""COMPUTED_VALUE"""),"iPhone 15, Black, 128GB, Logic Board Assy Mid System, ROW")</f>
        <v>iPhone 15, Black, 128GB, Logic Board Assy Mid System, ROW</v>
      </c>
      <c r="F96" s="38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11">
        <f>IFERROR(__xludf.DUMMYFUNCTION("""COMPUTED_VALUE"""),46190.0)</f>
        <v>46190</v>
      </c>
      <c r="C97" s="2" t="str">
        <f>IFERROR(__xludf.DUMMYFUNCTION("""COMPUTED_VALUE"""),"MOBILECARE - LIMA ESTATE")</f>
        <v>MOBILECARE - LIMA ESTATE</v>
      </c>
      <c r="D97" s="2" t="str">
        <f>IFERROR(__xludf.DUMMYFUNCTION("""COMPUTED_VALUE"""),"TA661-36694")</f>
        <v>TA661-36694</v>
      </c>
      <c r="E97" s="2" t="str">
        <f>IFERROR(__xludf.DUMMYFUNCTION("""COMPUTED_VALUE"""),"iPhone 15, Blue, 128GB, Logic Board Assy Mid System, ROW")</f>
        <v>iPhone 15, Blue, 128GB, Logic Board Assy Mid System, ROW</v>
      </c>
      <c r="F97" s="38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11">
        <f>IFERROR(__xludf.DUMMYFUNCTION("""COMPUTED_VALUE"""),46178.0)</f>
        <v>46178</v>
      </c>
      <c r="C98" s="2" t="str">
        <f>IFERROR(__xludf.DUMMYFUNCTION("""COMPUTED_VALUE"""),"MOBILECARE - APP POWER PLANT MALL")</f>
        <v>MOBILECARE - APP POWER PLANT MALL</v>
      </c>
      <c r="D98" s="2" t="str">
        <f>IFERROR(__xludf.DUMMYFUNCTION("""COMPUTED_VALUE"""),"661-37211")</f>
        <v>661-37211</v>
      </c>
      <c r="E98" s="2" t="str">
        <f>IFERROR(__xludf.DUMMYFUNCTION("""COMPUTED_VALUE"""),"Blue, Back Glass, iPhone 15 Plus")</f>
        <v>Blue, Back Glass, iPhone 15 Plus</v>
      </c>
      <c r="F98" s="38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11">
        <f>IFERROR(__xludf.DUMMYFUNCTION("""COMPUTED_VALUE"""),46192.0)</f>
        <v>46192</v>
      </c>
      <c r="C99" s="2" t="str">
        <f>IFERROR(__xludf.DUMMYFUNCTION("""COMPUTED_VALUE"""),"MOBILECARE - NAGA")</f>
        <v>MOBILECARE - NAGA</v>
      </c>
      <c r="D99" s="2" t="str">
        <f>IFERROR(__xludf.DUMMYFUNCTION("""COMPUTED_VALUE"""),"PP661-23454")</f>
        <v>PP661-23454</v>
      </c>
      <c r="E99" s="2" t="str">
        <f>IFERROR(__xludf.DUMMYFUNCTION("""COMPUTED_VALUE"""),"iPhone 13, Midnight, 128GB, Logic Board Assy Rear System, ROW")</f>
        <v>iPhone 13, Midnight, 128GB, Logic Board Assy Rear System, ROW</v>
      </c>
      <c r="F99" s="38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11">
        <f>IFERROR(__xludf.DUMMYFUNCTION("""COMPUTED_VALUE"""),46190.0)</f>
        <v>46190</v>
      </c>
      <c r="C100" s="2" t="str">
        <f>IFERROR(__xludf.DUMMYFUNCTION("""COMPUTED_VALUE"""),"MOBILECARE - NAGA")</f>
        <v>MOBILECARE - NAGA</v>
      </c>
      <c r="D100" s="2" t="str">
        <f>IFERROR(__xludf.DUMMYFUNCTION("""COMPUTED_VALUE"""),"TA661-44999")</f>
        <v>TA661-44999</v>
      </c>
      <c r="E100" s="2" t="str">
        <f>IFERROR(__xludf.DUMMYFUNCTION("""COMPUTED_VALUE"""),"256GB, Black Titanium, ROW, iPhone 16 Pro, Logic Board Assy Mid System")</f>
        <v>256GB, Black Titanium, ROW, iPhone 16 Pro, Logic Board Assy Mid System</v>
      </c>
      <c r="F100" s="38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11">
        <f>IFERROR(__xludf.DUMMYFUNCTION("""COMPUTED_VALUE"""),46183.0)</f>
        <v>46183</v>
      </c>
      <c r="C101" s="2" t="str">
        <f>IFERROR(__xludf.DUMMYFUNCTION("""COMPUTED_VALUE"""),"MOBILECARE - NAGA")</f>
        <v>MOBILECARE - NAGA</v>
      </c>
      <c r="D101" s="2" t="str">
        <f>IFERROR(__xludf.DUMMYFUNCTION("""COMPUTED_VALUE"""),"PP661-23454")</f>
        <v>PP661-23454</v>
      </c>
      <c r="E101" s="2" t="str">
        <f>IFERROR(__xludf.DUMMYFUNCTION("""COMPUTED_VALUE"""),"iPhone 13, Midnight, 128GB, Logic Board Assy Rear System, ROW")</f>
        <v>iPhone 13, Midnight, 128GB, Logic Board Assy Rear System, ROW</v>
      </c>
      <c r="F101" s="38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11">
        <f>IFERROR(__xludf.DUMMYFUNCTION("""COMPUTED_VALUE"""),46179.0)</f>
        <v>46179</v>
      </c>
      <c r="C102" s="2" t="str">
        <f>IFERROR(__xludf.DUMMYFUNCTION("""COMPUTED_VALUE"""),"MOBILECARE - NAGA")</f>
        <v>MOBILECARE - NAGA</v>
      </c>
      <c r="D102" s="2" t="str">
        <f>IFERROR(__xludf.DUMMYFUNCTION("""COMPUTED_VALUE"""),"TA661-45232")</f>
        <v>TA661-45232</v>
      </c>
      <c r="E102" s="2" t="str">
        <f>IFERROR(__xludf.DUMMYFUNCTION("""COMPUTED_VALUE"""),"128GB, White, ROW, iPhone 16 Plus, Logic Board Assy Mid System")</f>
        <v>128GB, White, ROW, iPhone 16 Plus, Logic Board Assy Mid System</v>
      </c>
      <c r="F102" s="38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11">
        <f>IFERROR(__xludf.DUMMYFUNCTION("""COMPUTED_VALUE"""),46192.0)</f>
        <v>46192</v>
      </c>
      <c r="C103" s="2" t="str">
        <f>IFERROR(__xludf.DUMMYFUNCTION("""COMPUTED_VALUE"""),"MOBILECARE - NAGA")</f>
        <v>MOBILECARE - NAGA</v>
      </c>
      <c r="D103" s="2" t="str">
        <f>IFERROR(__xludf.DUMMYFUNCTION("""COMPUTED_VALUE"""),"PP661-23455")</f>
        <v>PP661-23455</v>
      </c>
      <c r="E103" s="2" t="str">
        <f>IFERROR(__xludf.DUMMYFUNCTION("""COMPUTED_VALUE"""),"iPhone 13, Starlight, 128GB, Logic Board Assy Rear System, ROW")</f>
        <v>iPhone 13, Starlight, 128GB, Logic Board Assy Rear System, ROW</v>
      </c>
      <c r="F103" s="38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11">
        <f>IFERROR(__xludf.DUMMYFUNCTION("""COMPUTED_VALUE"""),46185.0)</f>
        <v>46185</v>
      </c>
      <c r="C104" s="2" t="str">
        <f>IFERROR(__xludf.DUMMYFUNCTION("""COMPUTED_VALUE"""),"MOBILECARE - NAGA")</f>
        <v>MOBILECARE - NAGA</v>
      </c>
      <c r="D104" s="2" t="str">
        <f>IFERROR(__xludf.DUMMYFUNCTION("""COMPUTED_VALUE"""),"PP661-23455")</f>
        <v>PP661-23455</v>
      </c>
      <c r="E104" s="2" t="str">
        <f>IFERROR(__xludf.DUMMYFUNCTION("""COMPUTED_VALUE"""),"iPhone 13, Starlight, 128GB, Logic Board Assy Rear System, ROW")</f>
        <v>iPhone 13, Starlight, 128GB, Logic Board Assy Rear System, ROW</v>
      </c>
      <c r="F104" s="38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11">
        <f>IFERROR(__xludf.DUMMYFUNCTION("""COMPUTED_VALUE"""),46182.0)</f>
        <v>46182</v>
      </c>
      <c r="C105" s="2" t="str">
        <f>IFERROR(__xludf.DUMMYFUNCTION("""COMPUTED_VALUE"""),"MOBILECARE - NAGA")</f>
        <v>MOBILECARE - NAGA</v>
      </c>
      <c r="D105" s="2" t="str">
        <f>IFERROR(__xludf.DUMMYFUNCTION("""COMPUTED_VALUE"""),"PP661-23455")</f>
        <v>PP661-23455</v>
      </c>
      <c r="E105" s="2" t="str">
        <f>IFERROR(__xludf.DUMMYFUNCTION("""COMPUTED_VALUE"""),"iPhone 13, Starlight, 128GB, Logic Board Assy Rear System, ROW")</f>
        <v>iPhone 13, Starlight, 128GB, Logic Board Assy Rear System, ROW</v>
      </c>
      <c r="F105" s="38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38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38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38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38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38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38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38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38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38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38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38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38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38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38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38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38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38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38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38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38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38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38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3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38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38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38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38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38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38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38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38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38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38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38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38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38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38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38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38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38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38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38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38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38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38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38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38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38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38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38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38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38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38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38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38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38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3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38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38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38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38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38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38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38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38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38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38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38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38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38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38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38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38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38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38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38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38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38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38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38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38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38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38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38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38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38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38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38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38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38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38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38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38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38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38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38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38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38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38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38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38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38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38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38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38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38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38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38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38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3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38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38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38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38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38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38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38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38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38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38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38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38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38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38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38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38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38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38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38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38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38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38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38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38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38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38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38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38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38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38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38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38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38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38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38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38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38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38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38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38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38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38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38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38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38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38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38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38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38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38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38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38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38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38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38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38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38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38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38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38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38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38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38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38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38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38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38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38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38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38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38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38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38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38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38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38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38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38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38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38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38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38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38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38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38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38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38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38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38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38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38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38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38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38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38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38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38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38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38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38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38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38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38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38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38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38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38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38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38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38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38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38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38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38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38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38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38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38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38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38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38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38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38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38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38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38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38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38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38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38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38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38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38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38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38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38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38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38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38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38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38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38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38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38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38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38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38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38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38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38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38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38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38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38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38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38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38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38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38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38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38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38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38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38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38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38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38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38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38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38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38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38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38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38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38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38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38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38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38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38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38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38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38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38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38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38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38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38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38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38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38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38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38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38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38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38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38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38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38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38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38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38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38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38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38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38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38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38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38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38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38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38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38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38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38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38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38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38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38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38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38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38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38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38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38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38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38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38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38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38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38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38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38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38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38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38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38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38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38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38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38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38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38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38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38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38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38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38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38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38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38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38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38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38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38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38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38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38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38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38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38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38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38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38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38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38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38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38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38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38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38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38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38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38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38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38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38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38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38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38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38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38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38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38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38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38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38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38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38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38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38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38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38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38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38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38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38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38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38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38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38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38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38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38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38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38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38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38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38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38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38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38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38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38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38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38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38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38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38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38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38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38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38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38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38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38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38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38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38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38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38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38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38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38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38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38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38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38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38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38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38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38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38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38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38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38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38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38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38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38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38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38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38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38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38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38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38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38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38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38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38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38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38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38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38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38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38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38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38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38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38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38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38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38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38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38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38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38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38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38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38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38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38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38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38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38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38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38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38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38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38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38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38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38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38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38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38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38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38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38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38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38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38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38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38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38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38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38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38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38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38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38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38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38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38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38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38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38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38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38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38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38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38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38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38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38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38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38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38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38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38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38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38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38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38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38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38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38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38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38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38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38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38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38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38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38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38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38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38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38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38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38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38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38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38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38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38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38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38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38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38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38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38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38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38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38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38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38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38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38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38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38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38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38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38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38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38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38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38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38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38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38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38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38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38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38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38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38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38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38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38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38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38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38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38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38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38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38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38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38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38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38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38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38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38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38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38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38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38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38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38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38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38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38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38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38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38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38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38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38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38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38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38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38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38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38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38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38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38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38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38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38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38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38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38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38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38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38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38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38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38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38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38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38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38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38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38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38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38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38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38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38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38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38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38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38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38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38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38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38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38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38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38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38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38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38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38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38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38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38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38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38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38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38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38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38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38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38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38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38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38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38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38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38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38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38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38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38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38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38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38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38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38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38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38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38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38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38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38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38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38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38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38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38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38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38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38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38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38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38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38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38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38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38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38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38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38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38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38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38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38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38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38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38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38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38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38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38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38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38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38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38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38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38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38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38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38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38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38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38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38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38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38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38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38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38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38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38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38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38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38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38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38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38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38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38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38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38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38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38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38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38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38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38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38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38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38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38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38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38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38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38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38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38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38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38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38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38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38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38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38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38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38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38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38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38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38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38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38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38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38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38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38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38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38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38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38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38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38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38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38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38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38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38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38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38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38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38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38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38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38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38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38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38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38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38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38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38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38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38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38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38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38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38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38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38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38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38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38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38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38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38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38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38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38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38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38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38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38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38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38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38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38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38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38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38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38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38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38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38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38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38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38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38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38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38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38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38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38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38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38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38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38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38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38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38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38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38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38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38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38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38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38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38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38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38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38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38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38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38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38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38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38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38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38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mergeCells count="5">
    <mergeCell ref="B1:E1"/>
    <mergeCell ref="G1:H1"/>
    <mergeCell ref="J1:M1"/>
    <mergeCell ref="O1:R1"/>
    <mergeCell ref="T1:W1"/>
  </mergeCells>
  <dataValidations>
    <dataValidation type="list" allowBlank="1" showErrorMessage="1" sqref="A1 O3 T3">
      <formula1>"January,February,March,April,May,June,July,August,September,October,November,December"</formula1>
    </dataValidation>
    <dataValidation type="list" allowBlank="1" showErrorMessage="1" sqref="J3">
      <formula1>"MOBILECARE - VERTIS NORTH,MOBILECARE - S'MAISON,MOBILECARE - NEWPOINT MALL,MOBILECARE - GLORIETTA 5,MOBILECARE - APP FESTIVAL MALL,MOBILECARE - THE PODIUM,MOBILECARE - LIMA ESTATE,MOBILECARE - SM MARIKINA,MOBILECARE - APP TRINOMA,MOBILECARE - CEBU,MOBILEC"&amp;"ARE - NORTHEAST SQUARE,MOBILECARE - APP MAGNOLIA,MOBILECARE - APP THE ANNEX,MOBILECARE - DAVAO,MOBILECARE - FESTIVE WALK ILOILO,MOBILECARE - APP MALL OF ASIA,MOBILECARE - APP MEGAMALL,MOBILECARE - LA UNION,MOBILECARE - NAGA,MOBILECARE - APP GREENBELT 3,MO"&amp;"BILECARE - APP POWER PLANT MALL,MOBILECARE - APP BONIFACIO HIGH STREET,MOBILECARE - CAGAYAN DE ORO,MOBILECARE - ZAMBOANGA,MOBILECARE - APP SM LANANG"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51.63"/>
    <col customWidth="1" min="3" max="9" width="10.38"/>
    <col customWidth="1" min="10" max="10" width="12.38"/>
    <col customWidth="1" min="11" max="11" width="12.88"/>
    <col customWidth="1" min="12" max="12" width="49.25"/>
    <col customWidth="1" min="13" max="19" width="10.63"/>
    <col customWidth="1" min="21" max="21" width="12.63"/>
    <col customWidth="1" min="22" max="22" width="57.25"/>
    <col customWidth="1" min="23" max="29" width="11.13"/>
    <col customWidth="1" min="30" max="37" width="16.88"/>
  </cols>
  <sheetData>
    <row r="1">
      <c r="A1" s="17" t="s">
        <v>12533</v>
      </c>
      <c r="J1" s="2"/>
      <c r="K1" s="17" t="s">
        <v>12536</v>
      </c>
      <c r="T1" s="2"/>
      <c r="U1" s="17" t="s">
        <v>12540</v>
      </c>
      <c r="AD1" s="17"/>
      <c r="AE1" s="17"/>
      <c r="AF1" s="17"/>
      <c r="AG1" s="17"/>
      <c r="AH1" s="17"/>
      <c r="AI1" s="17"/>
      <c r="AJ1" s="17"/>
      <c r="AK1" s="17"/>
    </row>
    <row r="2">
      <c r="A2" s="5" t="s">
        <v>23</v>
      </c>
      <c r="B2" s="5" t="s">
        <v>24</v>
      </c>
      <c r="C2" s="5" t="s">
        <v>12375</v>
      </c>
      <c r="D2" s="5" t="s">
        <v>12546</v>
      </c>
      <c r="E2" s="5" t="s">
        <v>12547</v>
      </c>
      <c r="F2" s="5" t="s">
        <v>12548</v>
      </c>
      <c r="G2" s="5" t="s">
        <v>12550</v>
      </c>
      <c r="H2" s="5" t="s">
        <v>12289</v>
      </c>
      <c r="I2" s="5" t="s">
        <v>12552</v>
      </c>
      <c r="J2" s="2"/>
      <c r="K2" s="5" t="s">
        <v>23</v>
      </c>
      <c r="L2" s="5" t="s">
        <v>24</v>
      </c>
      <c r="M2" s="5" t="s">
        <v>12375</v>
      </c>
      <c r="N2" s="5" t="s">
        <v>12546</v>
      </c>
      <c r="O2" s="5" t="s">
        <v>12547</v>
      </c>
      <c r="P2" s="5" t="s">
        <v>12548</v>
      </c>
      <c r="Q2" s="5" t="s">
        <v>12550</v>
      </c>
      <c r="R2" s="5" t="s">
        <v>12289</v>
      </c>
      <c r="S2" s="5" t="s">
        <v>12552</v>
      </c>
      <c r="T2" s="2"/>
      <c r="U2" s="5" t="s">
        <v>23</v>
      </c>
      <c r="V2" s="5" t="s">
        <v>24</v>
      </c>
      <c r="W2" s="5" t="s">
        <v>12375</v>
      </c>
      <c r="X2" s="5" t="s">
        <v>12546</v>
      </c>
      <c r="Y2" s="5" t="s">
        <v>12547</v>
      </c>
      <c r="Z2" s="5" t="s">
        <v>12548</v>
      </c>
      <c r="AA2" s="5" t="s">
        <v>12550</v>
      </c>
      <c r="AB2" s="5" t="s">
        <v>12289</v>
      </c>
      <c r="AC2" s="5" t="s">
        <v>12552</v>
      </c>
      <c r="AD2" s="39"/>
      <c r="AE2" s="39"/>
      <c r="AF2" s="39"/>
      <c r="AG2" s="39"/>
      <c r="AH2" s="39"/>
      <c r="AI2" s="39"/>
      <c r="AJ2" s="39"/>
      <c r="AK2" s="39"/>
    </row>
    <row r="3">
      <c r="A3" s="40" t="str">
        <f t="array" ref="A3">XLOOKUP(B3,'Systems&amp;BackGlass'!$E$3:$E1000,'Systems&amp;BackGlass'!$D$3:$D1000)</f>
        <v>661-35700</v>
      </c>
      <c r="B3" s="40" t="str">
        <f>IFERROR(__xludf.DUMMYFUNCTION("SORT(UNIQUE(FILTER('Systems&amp;BackGlass'!E3:E1000, ISNUMBER(SEARCH(""Back Glass"",'Systems&amp;BackGlass'!E3:E1000)))))"),"Black Titanium, Back Glass, iPhone 15 Pro")</f>
        <v>Black Titanium, Back Glass, iPhone 15 Pro</v>
      </c>
      <c r="C3" s="41">
        <f>IFERROR(COUNTIFS('Systems&amp;BackGlass'!$A$3:$A1000,C$2,'Systems&amp;BackGlass'!$E$3:$E1000,$B3),0)</f>
        <v>0</v>
      </c>
      <c r="D3" s="41">
        <f>IFERROR(COUNTIFS('Systems&amp;BackGlass'!$A$3:$A1000,D$2,'Systems&amp;BackGlass'!$E$3:$E1000,$B3),0)</f>
        <v>0</v>
      </c>
      <c r="E3" s="41">
        <f>IFERROR(COUNTIFS('Systems&amp;BackGlass'!$A$3:$A1000,E$2,'Systems&amp;BackGlass'!$E$3:$E1000,$B3),0)</f>
        <v>1</v>
      </c>
      <c r="F3" s="41">
        <f>IFERROR(COUNTIFS('Systems&amp;BackGlass'!$A$3:$A1000,F$2,'Systems&amp;BackGlass'!$E$3:$E1000,$B3),0)</f>
        <v>1</v>
      </c>
      <c r="G3" s="41">
        <f>IFERROR(COUNTIFS('Systems&amp;BackGlass'!$A$3:$A1000,G$2,'Systems&amp;BackGlass'!$E$3:$E1000,$B3),0)</f>
        <v>0</v>
      </c>
      <c r="H3" s="41">
        <f>IFERROR(COUNTIFS('Systems&amp;BackGlass'!$A$3:$A1000,H$2,'Systems&amp;BackGlass'!$E$3:$E1000,$B3),0)</f>
        <v>0</v>
      </c>
      <c r="I3" s="42">
        <f t="shared" ref="I3:I39" si="1">round(_xlfn.FORECAST.LINEAR(7,C3:H3,{1,2,3,4,5,6}),0)</f>
        <v>0</v>
      </c>
      <c r="J3" s="2"/>
      <c r="K3" s="40" t="str">
        <f t="array" ref="K3">XLOOKUP(L3,'Systems&amp;BackGlass'!E$3:E1000,'Systems&amp;BackGlass'!D$3:D1000)</f>
        <v>PP661-23454</v>
      </c>
      <c r="L3" s="40" t="str">
        <f>IFERROR(__xludf.DUMMYFUNCTION("SORT(UNIQUE(FILTER('Systems&amp;BackGlass'!E3:E1000, ISNUMBER(SEARCH(""Rear System"",'Systems&amp;BackGlass'!E3:E1000)))))"),"iPhone 13, Midnight, 128GB, Logic Board Assy Rear System, ROW")</f>
        <v>iPhone 13, Midnight, 128GB, Logic Board Assy Rear System, ROW</v>
      </c>
      <c r="M3" s="40">
        <f>IFERROR(COUNTIFS('Systems&amp;BackGlass'!$A$3:$A1000,M$2,'Systems&amp;BackGlass'!$E$3:$E1000,$L3),0)</f>
        <v>41</v>
      </c>
      <c r="N3" s="40">
        <f>IFERROR(COUNTIFS('Systems&amp;BackGlass'!$A$3:$A1000,N$2,'Systems&amp;BackGlass'!$E$3:$E1000,$L3),0)</f>
        <v>35</v>
      </c>
      <c r="O3" s="40">
        <f>IFERROR(COUNTIFS('Systems&amp;BackGlass'!$A$3:$A1000,O$2,'Systems&amp;BackGlass'!$E$3:$E1000,$L3),0)</f>
        <v>25</v>
      </c>
      <c r="P3" s="40">
        <f>IFERROR(COUNTIFS('Systems&amp;BackGlass'!$A$3:$A1000,P$2,'Systems&amp;BackGlass'!$E$3:$E1000,$L3),0)</f>
        <v>18</v>
      </c>
      <c r="Q3" s="40">
        <f>IFERROR(COUNTIFS('Systems&amp;BackGlass'!$A$3:$A1000,Q$2,'Systems&amp;BackGlass'!$E$3:$E1000,$L3),0)</f>
        <v>6</v>
      </c>
      <c r="R3" s="40">
        <f>IFERROR(COUNTIFS('Systems&amp;BackGlass'!$A$3:$A1000,R$2,'Systems&amp;BackGlass'!$E$3:$E1000,$L3),0)</f>
        <v>24</v>
      </c>
      <c r="S3" s="43">
        <f t="shared" ref="S3:S7" si="2">round(_xlfn.FORECAST.LINEAR(7,M3:R3,{1,2,3,4,5,6}),0)</f>
        <v>7</v>
      </c>
      <c r="T3" s="2"/>
      <c r="U3" s="40" t="str">
        <f t="array" ref="U3">XLOOKUP(V3,'Systems&amp;BackGlass'!E$3:E1000,'Systems&amp;BackGlass'!D$3:D1000)</f>
        <v>TA661-44995</v>
      </c>
      <c r="V3" s="40" t="str">
        <f>IFERROR(__xludf.DUMMYFUNCTION("SORT(UNIQUE(FILTER('Systems&amp;BackGlass'!E3:E1000, ISNUMBER(SEARCH(""Mid System"",'Systems&amp;BackGlass'!E3:E1000)))))"),"128GB, Black Titanium, ROW, iPhone 16 Pro, Logic Board Assy Mid System")</f>
        <v>128GB, Black Titanium, ROW, iPhone 16 Pro, Logic Board Assy Mid System</v>
      </c>
      <c r="W3" s="40">
        <f>IFERROR(COUNTIFS('Systems&amp;BackGlass'!$A$3:$A1000,W$2,'Systems&amp;BackGlass'!$E$3:$E1000,$V3),0)</f>
        <v>1</v>
      </c>
      <c r="X3" s="40">
        <f>IFERROR(COUNTIFS('Systems&amp;BackGlass'!$A$3:$A1000,X$2,'Systems&amp;BackGlass'!$E$3:$E1000,$V3),0)</f>
        <v>2</v>
      </c>
      <c r="Y3" s="40">
        <f>IFERROR(COUNTIFS('Systems&amp;BackGlass'!$A$3:$A1000,Y$2,'Systems&amp;BackGlass'!$E$3:$E1000,$V3),0)</f>
        <v>1</v>
      </c>
      <c r="Z3" s="40">
        <f>IFERROR(COUNTIFS('Systems&amp;BackGlass'!$A$3:$A1000,Z$2,'Systems&amp;BackGlass'!$E$3:$E1000,$V3),0)</f>
        <v>2</v>
      </c>
      <c r="AA3" s="40">
        <f>IFERROR(COUNTIFS('Systems&amp;BackGlass'!$A$3:$A1000,AA$2,'Systems&amp;BackGlass'!$E$3:$E1000,$V3),0)</f>
        <v>0</v>
      </c>
      <c r="AB3" s="40">
        <f>IFERROR(COUNTIFS('Systems&amp;BackGlass'!$A$3:$A1000,AB$2,'Systems&amp;BackGlass'!$E$3:$E1000,$V3),0)</f>
        <v>0</v>
      </c>
      <c r="AC3" s="44">
        <f t="shared" ref="AC3:AC53" si="3">round(_xlfn.FORECAST.LINEAR(7,W3:AB3,{1,2,3,4,5,6}),0)</f>
        <v>0</v>
      </c>
      <c r="AD3" s="44"/>
      <c r="AE3" s="44"/>
      <c r="AF3" s="44"/>
      <c r="AG3" s="44"/>
      <c r="AH3" s="44"/>
      <c r="AI3" s="44"/>
      <c r="AJ3" s="44"/>
      <c r="AK3" s="44"/>
    </row>
    <row r="4">
      <c r="A4" s="40" t="str">
        <f t="array" ref="A4">XLOOKUP(B4,'Systems&amp;BackGlass'!$E$3:$E1000,'Systems&amp;BackGlass'!$D$3:$D1000)</f>
        <v>661-42722</v>
      </c>
      <c r="B4" s="2" t="str">
        <f>IFERROR(__xludf.DUMMYFUNCTION("""COMPUTED_VALUE"""),"Black Titanium, Back Glass, iPhone 16 Pro")</f>
        <v>Black Titanium, Back Glass, iPhone 16 Pro</v>
      </c>
      <c r="C4" s="41">
        <f>IFERROR(COUNTIFS('Systems&amp;BackGlass'!$A$3:$A1000,C$2,'Systems&amp;BackGlass'!$E$3:$E1000,$B4),0)</f>
        <v>0</v>
      </c>
      <c r="D4" s="41">
        <f>IFERROR(COUNTIFS('Systems&amp;BackGlass'!$A$3:$A1000,D$2,'Systems&amp;BackGlass'!$E$3:$E1000,$B4),0)</f>
        <v>0</v>
      </c>
      <c r="E4" s="41">
        <f>IFERROR(COUNTIFS('Systems&amp;BackGlass'!$A$3:$A1000,E$2,'Systems&amp;BackGlass'!$E$3:$E1000,$B4),0)</f>
        <v>0</v>
      </c>
      <c r="F4" s="41">
        <f>IFERROR(COUNTIFS('Systems&amp;BackGlass'!$A$3:$A1000,F$2,'Systems&amp;BackGlass'!$E$3:$E1000,$B4),0)</f>
        <v>1</v>
      </c>
      <c r="G4" s="41">
        <f>IFERROR(COUNTIFS('Systems&amp;BackGlass'!$A$3:$A1000,G$2,'Systems&amp;BackGlass'!$E$3:$E1000,$B4),0)</f>
        <v>0</v>
      </c>
      <c r="H4" s="41">
        <f>IFERROR(COUNTIFS('Systems&amp;BackGlass'!$A$3:$A1000,H$2,'Systems&amp;BackGlass'!$E$3:$E1000,$B4),0)</f>
        <v>0</v>
      </c>
      <c r="I4" s="42">
        <f t="shared" si="1"/>
        <v>0</v>
      </c>
      <c r="J4" s="2"/>
      <c r="K4" s="40" t="str">
        <f t="array" ref="K4">XLOOKUP(L4,'Systems&amp;BackGlass'!E$3:E1000,'Systems&amp;BackGlass'!D$3:D1000)</f>
        <v>PP661-23461</v>
      </c>
      <c r="L4" s="8" t="str">
        <f>IFERROR(__xludf.DUMMYFUNCTION("""COMPUTED_VALUE"""),"iPhone 13, Pink, 256GB, Logic Board Assy Rear System, ROW")</f>
        <v>iPhone 13, Pink, 256GB, Logic Board Assy Rear System, ROW</v>
      </c>
      <c r="M4" s="40">
        <f>IFERROR(COUNTIFS('Systems&amp;BackGlass'!$A$3:$A1000,M$2,'Systems&amp;BackGlass'!$E$3:$E1000,$L4),0)</f>
        <v>0</v>
      </c>
      <c r="N4" s="40">
        <f>IFERROR(COUNTIFS('Systems&amp;BackGlass'!$A$3:$A1000,N$2,'Systems&amp;BackGlass'!$E$3:$E1000,$L4),0)</f>
        <v>1</v>
      </c>
      <c r="O4" s="40">
        <f>IFERROR(COUNTIFS('Systems&amp;BackGlass'!$A$3:$A1000,O$2,'Systems&amp;BackGlass'!$E$3:$E1000,$L4),0)</f>
        <v>0</v>
      </c>
      <c r="P4" s="40">
        <f>IFERROR(COUNTIFS('Systems&amp;BackGlass'!$A$3:$A1000,P$2,'Systems&amp;BackGlass'!$E$3:$E1000,$L4),0)</f>
        <v>1</v>
      </c>
      <c r="Q4" s="40">
        <f>IFERROR(COUNTIFS('Systems&amp;BackGlass'!$A$3:$A1000,Q$2,'Systems&amp;BackGlass'!$E$3:$E1000,$L4),0)</f>
        <v>0</v>
      </c>
      <c r="R4" s="40">
        <f>IFERROR(COUNTIFS('Systems&amp;BackGlass'!$A$3:$A1000,R$2,'Systems&amp;BackGlass'!$E$3:$E1000,$L4),0)</f>
        <v>0</v>
      </c>
      <c r="S4" s="43">
        <f t="shared" si="2"/>
        <v>0</v>
      </c>
      <c r="T4" s="2"/>
      <c r="U4" s="40" t="str">
        <f t="array" ref="U4">XLOOKUP(V4,'Systems&amp;BackGlass'!E$3:E1000,'Systems&amp;BackGlass'!D$3:D1000)</f>
        <v>TA661-45231</v>
      </c>
      <c r="V4" s="3" t="str">
        <f>IFERROR(__xludf.DUMMYFUNCTION("""COMPUTED_VALUE"""),"128GB, Black, ROW, iPhone 16 Plus, Logic Board Assy Mid System")</f>
        <v>128GB, Black, ROW, iPhone 16 Plus, Logic Board Assy Mid System</v>
      </c>
      <c r="W4" s="40">
        <f>IFERROR(COUNTIFS('Systems&amp;BackGlass'!$A$3:$A1000,W$2,'Systems&amp;BackGlass'!$E$3:$E1000,$V4),0)</f>
        <v>0</v>
      </c>
      <c r="X4" s="40">
        <f>IFERROR(COUNTIFS('Systems&amp;BackGlass'!$A$3:$A1000,X$2,'Systems&amp;BackGlass'!$E$3:$E1000,$V4),0)</f>
        <v>4</v>
      </c>
      <c r="Y4" s="40">
        <f>IFERROR(COUNTIFS('Systems&amp;BackGlass'!$A$3:$A1000,Y$2,'Systems&amp;BackGlass'!$E$3:$E1000,$V4),0)</f>
        <v>0</v>
      </c>
      <c r="Z4" s="40">
        <f>IFERROR(COUNTIFS('Systems&amp;BackGlass'!$A$3:$A1000,Z$2,'Systems&amp;BackGlass'!$E$3:$E1000,$V4),0)</f>
        <v>1</v>
      </c>
      <c r="AA4" s="40">
        <f>IFERROR(COUNTIFS('Systems&amp;BackGlass'!$A$3:$A1000,AA$2,'Systems&amp;BackGlass'!$E$3:$E1000,$V4),0)</f>
        <v>0</v>
      </c>
      <c r="AB4" s="40">
        <f>IFERROR(COUNTIFS('Systems&amp;BackGlass'!$A$3:$A1000,AB$2,'Systems&amp;BackGlass'!$E$3:$E1000,$V4),0)</f>
        <v>0</v>
      </c>
      <c r="AC4" s="44">
        <f t="shared" si="3"/>
        <v>0</v>
      </c>
      <c r="AD4" s="44"/>
      <c r="AE4" s="44"/>
      <c r="AF4" s="44"/>
      <c r="AG4" s="44"/>
      <c r="AH4" s="44"/>
      <c r="AI4" s="44"/>
      <c r="AJ4" s="44"/>
      <c r="AK4" s="44"/>
    </row>
    <row r="5">
      <c r="A5" s="40" t="str">
        <f t="array" ref="A5">XLOOKUP(B5,'Systems&amp;BackGlass'!$E$3:$E1000,'Systems&amp;BackGlass'!$D$3:$D1000)</f>
        <v>661-36838</v>
      </c>
      <c r="B5" s="2" t="str">
        <f>IFERROR(__xludf.DUMMYFUNCTION("""COMPUTED_VALUE"""),"Black, Back Glass, iPhone 15")</f>
        <v>Black, Back Glass, iPhone 15</v>
      </c>
      <c r="C5" s="41">
        <f>IFERROR(COUNTIFS('Systems&amp;BackGlass'!$A$3:$A1000,C$2,'Systems&amp;BackGlass'!$E$3:$E1000,$B5),0)</f>
        <v>2</v>
      </c>
      <c r="D5" s="41">
        <f>IFERROR(COUNTIFS('Systems&amp;BackGlass'!$A$3:$A1000,D$2,'Systems&amp;BackGlass'!$E$3:$E1000,$B5),0)</f>
        <v>1</v>
      </c>
      <c r="E5" s="41">
        <f>IFERROR(COUNTIFS('Systems&amp;BackGlass'!$A$3:$A1000,E$2,'Systems&amp;BackGlass'!$E$3:$E1000,$B5),0)</f>
        <v>0</v>
      </c>
      <c r="F5" s="41">
        <f>IFERROR(COUNTIFS('Systems&amp;BackGlass'!$A$3:$A1000,F$2,'Systems&amp;BackGlass'!$E$3:$E1000,$B5),0)</f>
        <v>0</v>
      </c>
      <c r="G5" s="41">
        <f>IFERROR(COUNTIFS('Systems&amp;BackGlass'!$A$3:$A1000,G$2,'Systems&amp;BackGlass'!$E$3:$E1000,$B5),0)</f>
        <v>0</v>
      </c>
      <c r="H5" s="41">
        <f>IFERROR(COUNTIFS('Systems&amp;BackGlass'!$A$3:$A1000,H$2,'Systems&amp;BackGlass'!$E$3:$E1000,$B5),0)</f>
        <v>0</v>
      </c>
      <c r="I5" s="42">
        <f t="shared" si="1"/>
        <v>-1</v>
      </c>
      <c r="J5" s="2"/>
      <c r="K5" s="40" t="str">
        <f t="array" ref="K5">XLOOKUP(L5,'Systems&amp;BackGlass'!E$3:E1000,'Systems&amp;BackGlass'!D$3:D1000)</f>
        <v>PP661-23467</v>
      </c>
      <c r="L5" s="40" t="str">
        <f>IFERROR(__xludf.DUMMYFUNCTION("""COMPUTED_VALUE"""),"iPhone 13, Red, 512GB, Logic Board Assy Rear System, ROW")</f>
        <v>iPhone 13, Red, 512GB, Logic Board Assy Rear System, ROW</v>
      </c>
      <c r="M5" s="40">
        <f>IFERROR(COUNTIFS('Systems&amp;BackGlass'!$A$3:$A1000,M$2,'Systems&amp;BackGlass'!$E$3:$E1000,$L5),0)</f>
        <v>1</v>
      </c>
      <c r="N5" s="40">
        <f>IFERROR(COUNTIFS('Systems&amp;BackGlass'!$A$3:$A1000,N$2,'Systems&amp;BackGlass'!$E$3:$E1000,$L5),0)</f>
        <v>0</v>
      </c>
      <c r="O5" s="40">
        <f>IFERROR(COUNTIFS('Systems&amp;BackGlass'!$A$3:$A1000,O$2,'Systems&amp;BackGlass'!$E$3:$E1000,$L5),0)</f>
        <v>0</v>
      </c>
      <c r="P5" s="40">
        <f>IFERROR(COUNTIFS('Systems&amp;BackGlass'!$A$3:$A1000,P$2,'Systems&amp;BackGlass'!$E$3:$E1000,$L5),0)</f>
        <v>0</v>
      </c>
      <c r="Q5" s="40">
        <f>IFERROR(COUNTIFS('Systems&amp;BackGlass'!$A$3:$A1000,Q$2,'Systems&amp;BackGlass'!$E$3:$E1000,$L5),0)</f>
        <v>0</v>
      </c>
      <c r="R5" s="40">
        <f>IFERROR(COUNTIFS('Systems&amp;BackGlass'!$A$3:$A1000,R$2,'Systems&amp;BackGlass'!$E$3:$E1000,$L5),0)</f>
        <v>0</v>
      </c>
      <c r="S5" s="43">
        <f t="shared" si="2"/>
        <v>0</v>
      </c>
      <c r="T5" s="2"/>
      <c r="U5" s="40" t="str">
        <f t="array" ref="U5">XLOOKUP(V5,'Systems&amp;BackGlass'!E$3:E1000,'Systems&amp;BackGlass'!D$3:D1000)</f>
        <v>TA661-43605</v>
      </c>
      <c r="V5" s="3" t="str">
        <f>IFERROR(__xludf.DUMMYFUNCTION("""COMPUTED_VALUE"""),"128GB, Black, ROW, iPhone 16, Logic Board Assy Mid System")</f>
        <v>128GB, Black, ROW, iPhone 16, Logic Board Assy Mid System</v>
      </c>
      <c r="W5" s="40">
        <f>IFERROR(COUNTIFS('Systems&amp;BackGlass'!$A$3:$A1000,W$2,'Systems&amp;BackGlass'!$E$3:$E1000,$V5),0)</f>
        <v>2</v>
      </c>
      <c r="X5" s="40">
        <f>IFERROR(COUNTIFS('Systems&amp;BackGlass'!$A$3:$A1000,X$2,'Systems&amp;BackGlass'!$E$3:$E1000,$V5),0)</f>
        <v>3</v>
      </c>
      <c r="Y5" s="40">
        <f>IFERROR(COUNTIFS('Systems&amp;BackGlass'!$A$3:$A1000,Y$2,'Systems&amp;BackGlass'!$E$3:$E1000,$V5),0)</f>
        <v>4</v>
      </c>
      <c r="Z5" s="40">
        <f>IFERROR(COUNTIFS('Systems&amp;BackGlass'!$A$3:$A1000,Z$2,'Systems&amp;BackGlass'!$E$3:$E1000,$V5),0)</f>
        <v>1</v>
      </c>
      <c r="AA5" s="40">
        <f>IFERROR(COUNTIFS('Systems&amp;BackGlass'!$A$3:$A1000,AA$2,'Systems&amp;BackGlass'!$E$3:$E1000,$V5),0)</f>
        <v>1</v>
      </c>
      <c r="AB5" s="40">
        <f>IFERROR(COUNTIFS('Systems&amp;BackGlass'!$A$3:$A1000,AB$2,'Systems&amp;BackGlass'!$E$3:$E1000,$V5),0)</f>
        <v>0</v>
      </c>
      <c r="AC5" s="44">
        <f t="shared" si="3"/>
        <v>0</v>
      </c>
      <c r="AD5" s="44"/>
      <c r="AE5" s="44"/>
      <c r="AF5" s="44"/>
      <c r="AG5" s="44"/>
      <c r="AH5" s="44"/>
      <c r="AI5" s="44"/>
      <c r="AJ5" s="44"/>
      <c r="AK5" s="44"/>
    </row>
    <row r="6">
      <c r="A6" s="40" t="str">
        <f t="array" ref="A6">XLOOKUP(B6,'Systems&amp;BackGlass'!$E$3:$E1000,'Systems&amp;BackGlass'!$D$3:$D1000)</f>
        <v>661-56057</v>
      </c>
      <c r="B6" s="2" t="str">
        <f>IFERROR(__xludf.DUMMYFUNCTION("""COMPUTED_VALUE"""),"Black, Back Glass, iPhone 17")</f>
        <v>Black, Back Glass, iPhone 17</v>
      </c>
      <c r="C6" s="41">
        <f>IFERROR(COUNTIFS('Systems&amp;BackGlass'!$A$3:$A1000,C$2,'Systems&amp;BackGlass'!$E$3:$E1000,$B6),0)</f>
        <v>0</v>
      </c>
      <c r="D6" s="41">
        <f>IFERROR(COUNTIFS('Systems&amp;BackGlass'!$A$3:$A1000,D$2,'Systems&amp;BackGlass'!$E$3:$E1000,$B6),0)</f>
        <v>0</v>
      </c>
      <c r="E6" s="41">
        <f>IFERROR(COUNTIFS('Systems&amp;BackGlass'!$A$3:$A1000,E$2,'Systems&amp;BackGlass'!$E$3:$E1000,$B6),0)</f>
        <v>1</v>
      </c>
      <c r="F6" s="41">
        <f>IFERROR(COUNTIFS('Systems&amp;BackGlass'!$A$3:$A1000,F$2,'Systems&amp;BackGlass'!$E$3:$E1000,$B6),0)</f>
        <v>1</v>
      </c>
      <c r="G6" s="41">
        <f>IFERROR(COUNTIFS('Systems&amp;BackGlass'!$A$3:$A1000,G$2,'Systems&amp;BackGlass'!$E$3:$E1000,$B6),0)</f>
        <v>0</v>
      </c>
      <c r="H6" s="41">
        <f>IFERROR(COUNTIFS('Systems&amp;BackGlass'!$A$3:$A1000,H$2,'Systems&amp;BackGlass'!$E$3:$E1000,$B6),0)</f>
        <v>0</v>
      </c>
      <c r="I6" s="42">
        <f t="shared" si="1"/>
        <v>0</v>
      </c>
      <c r="J6" s="2"/>
      <c r="K6" s="40" t="str">
        <f t="array" ref="K6">XLOOKUP(L6,'Systems&amp;BackGlass'!E$3:E1000,'Systems&amp;BackGlass'!D$3:D1000)</f>
        <v>PP661-23455</v>
      </c>
      <c r="L6" s="40" t="str">
        <f>IFERROR(__xludf.DUMMYFUNCTION("""COMPUTED_VALUE"""),"iPhone 13, Starlight, 128GB, Logic Board Assy Rear System, ROW")</f>
        <v>iPhone 13, Starlight, 128GB, Logic Board Assy Rear System, ROW</v>
      </c>
      <c r="M6" s="40">
        <f>IFERROR(COUNTIFS('Systems&amp;BackGlass'!$A$3:$A1000,M$2,'Systems&amp;BackGlass'!$E$3:$E1000,$L6),0)</f>
        <v>58</v>
      </c>
      <c r="N6" s="40">
        <f>IFERROR(COUNTIFS('Systems&amp;BackGlass'!$A$3:$A1000,N$2,'Systems&amp;BackGlass'!$E$3:$E1000,$L6),0)</f>
        <v>47</v>
      </c>
      <c r="O6" s="40">
        <f>IFERROR(COUNTIFS('Systems&amp;BackGlass'!$A$3:$A1000,O$2,'Systems&amp;BackGlass'!$E$3:$E1000,$L6),0)</f>
        <v>45</v>
      </c>
      <c r="P6" s="40">
        <f>IFERROR(COUNTIFS('Systems&amp;BackGlass'!$A$3:$A1000,P$2,'Systems&amp;BackGlass'!$E$3:$E1000,$L6),0)</f>
        <v>37</v>
      </c>
      <c r="Q6" s="40">
        <f>IFERROR(COUNTIFS('Systems&amp;BackGlass'!$A$3:$A1000,Q$2,'Systems&amp;BackGlass'!$E$3:$E1000,$L6),0)</f>
        <v>8</v>
      </c>
      <c r="R6" s="40">
        <f>IFERROR(COUNTIFS('Systems&amp;BackGlass'!$A$3:$A1000,R$2,'Systems&amp;BackGlass'!$E$3:$E1000,$L6),0)</f>
        <v>17</v>
      </c>
      <c r="S6" s="43">
        <f t="shared" si="2"/>
        <v>2</v>
      </c>
      <c r="T6" s="2"/>
      <c r="U6" s="40" t="str">
        <f t="array" ref="U6">XLOOKUP(V6,'Systems&amp;BackGlass'!E$3:E1000,'Systems&amp;BackGlass'!D$3:D1000)</f>
        <v>TA661-44997</v>
      </c>
      <c r="V6" s="3" t="str">
        <f>IFERROR(__xludf.DUMMYFUNCTION("""COMPUTED_VALUE"""),"128GB, Desert Titanium, ROW, iPhone 16 Pro, Logic Board Assy Mid System")</f>
        <v>128GB, Desert Titanium, ROW, iPhone 16 Pro, Logic Board Assy Mid System</v>
      </c>
      <c r="W6" s="40">
        <f>IFERROR(COUNTIFS('Systems&amp;BackGlass'!$A$3:$A1000,W$2,'Systems&amp;BackGlass'!$E$3:$E1000,$V6),0)</f>
        <v>0</v>
      </c>
      <c r="X6" s="40">
        <f>IFERROR(COUNTIFS('Systems&amp;BackGlass'!$A$3:$A1000,X$2,'Systems&amp;BackGlass'!$E$3:$E1000,$V6),0)</f>
        <v>1</v>
      </c>
      <c r="Y6" s="40">
        <f>IFERROR(COUNTIFS('Systems&amp;BackGlass'!$A$3:$A1000,Y$2,'Systems&amp;BackGlass'!$E$3:$E1000,$V6),0)</f>
        <v>2</v>
      </c>
      <c r="Z6" s="40">
        <f>IFERROR(COUNTIFS('Systems&amp;BackGlass'!$A$3:$A1000,Z$2,'Systems&amp;BackGlass'!$E$3:$E1000,$V6),0)</f>
        <v>0</v>
      </c>
      <c r="AA6" s="40">
        <f>IFERROR(COUNTIFS('Systems&amp;BackGlass'!$A$3:$A1000,AA$2,'Systems&amp;BackGlass'!$E$3:$E1000,$V6),0)</f>
        <v>1</v>
      </c>
      <c r="AB6" s="40">
        <f>IFERROR(COUNTIFS('Systems&amp;BackGlass'!$A$3:$A1000,AB$2,'Systems&amp;BackGlass'!$E$3:$E1000,$V6),0)</f>
        <v>2</v>
      </c>
      <c r="AC6" s="44">
        <f t="shared" si="3"/>
        <v>2</v>
      </c>
      <c r="AD6" s="44"/>
      <c r="AE6" s="44"/>
      <c r="AF6" s="44"/>
      <c r="AG6" s="44"/>
      <c r="AH6" s="44"/>
      <c r="AI6" s="44"/>
      <c r="AJ6" s="44"/>
      <c r="AK6" s="44"/>
    </row>
    <row r="7">
      <c r="A7" s="40" t="str">
        <f t="array" ref="A7">XLOOKUP(B7,'Systems&amp;BackGlass'!$E$3:$E1000,'Systems&amp;BackGlass'!$D$3:$D1000)</f>
        <v>661-35703</v>
      </c>
      <c r="B7" s="2" t="str">
        <f>IFERROR(__xludf.DUMMYFUNCTION("""COMPUTED_VALUE"""),"Blue Titanium, Back Glass, iPhone 15 Pro")</f>
        <v>Blue Titanium, Back Glass, iPhone 15 Pro</v>
      </c>
      <c r="C7" s="41">
        <f>IFERROR(COUNTIFS('Systems&amp;BackGlass'!$A$3:$A1000,C$2,'Systems&amp;BackGlass'!$E$3:$E1000,$B7),0)</f>
        <v>1</v>
      </c>
      <c r="D7" s="41">
        <f>IFERROR(COUNTIFS('Systems&amp;BackGlass'!$A$3:$A1000,D$2,'Systems&amp;BackGlass'!$E$3:$E1000,$B7),0)</f>
        <v>0</v>
      </c>
      <c r="E7" s="41">
        <f>IFERROR(COUNTIFS('Systems&amp;BackGlass'!$A$3:$A1000,E$2,'Systems&amp;BackGlass'!$E$3:$E1000,$B7),0)</f>
        <v>0</v>
      </c>
      <c r="F7" s="41">
        <f>IFERROR(COUNTIFS('Systems&amp;BackGlass'!$A$3:$A1000,F$2,'Systems&amp;BackGlass'!$E$3:$E1000,$B7),0)</f>
        <v>0</v>
      </c>
      <c r="G7" s="41">
        <f>IFERROR(COUNTIFS('Systems&amp;BackGlass'!$A$3:$A1000,G$2,'Systems&amp;BackGlass'!$E$3:$E1000,$B7),0)</f>
        <v>0</v>
      </c>
      <c r="H7" s="41">
        <f>IFERROR(COUNTIFS('Systems&amp;BackGlass'!$A$3:$A1000,H$2,'Systems&amp;BackGlass'!$E$3:$E1000,$B7),0)</f>
        <v>0</v>
      </c>
      <c r="I7" s="42">
        <f t="shared" si="1"/>
        <v>0</v>
      </c>
      <c r="J7" s="2"/>
      <c r="K7" s="40" t="str">
        <f t="array" ref="K7">XLOOKUP(L7,'Systems&amp;BackGlass'!E$3:E1000,'Systems&amp;BackGlass'!D$3:D1000)</f>
        <v>PP661-23460</v>
      </c>
      <c r="L7" s="40" t="str">
        <f>IFERROR(__xludf.DUMMYFUNCTION("""COMPUTED_VALUE"""),"iPhone 13, Starlight, 256GB, Logic Board Assy Rear System, ROW")</f>
        <v>iPhone 13, Starlight, 256GB, Logic Board Assy Rear System, ROW</v>
      </c>
      <c r="M7" s="40">
        <f>IFERROR(COUNTIFS('Systems&amp;BackGlass'!$A$3:$A1000,M$2,'Systems&amp;BackGlass'!$E$3:$E1000,$L7),0)</f>
        <v>0</v>
      </c>
      <c r="N7" s="40">
        <f>IFERROR(COUNTIFS('Systems&amp;BackGlass'!$A$3:$A1000,N$2,'Systems&amp;BackGlass'!$E$3:$E1000,$L7),0)</f>
        <v>3</v>
      </c>
      <c r="O7" s="40">
        <f>IFERROR(COUNTIFS('Systems&amp;BackGlass'!$A$3:$A1000,O$2,'Systems&amp;BackGlass'!$E$3:$E1000,$L7),0)</f>
        <v>1</v>
      </c>
      <c r="P7" s="40">
        <f>IFERROR(COUNTIFS('Systems&amp;BackGlass'!$A$3:$A1000,P$2,'Systems&amp;BackGlass'!$E$3:$E1000,$L7),0)</f>
        <v>0</v>
      </c>
      <c r="Q7" s="40">
        <f>IFERROR(COUNTIFS('Systems&amp;BackGlass'!$A$3:$A1000,Q$2,'Systems&amp;BackGlass'!$E$3:$E1000,$L7),0)</f>
        <v>0</v>
      </c>
      <c r="R7" s="40">
        <f>IFERROR(COUNTIFS('Systems&amp;BackGlass'!$A$3:$A1000,R$2,'Systems&amp;BackGlass'!$E$3:$E1000,$L7),0)</f>
        <v>0</v>
      </c>
      <c r="S7" s="43">
        <f t="shared" si="2"/>
        <v>0</v>
      </c>
      <c r="T7" s="2"/>
      <c r="U7" s="40" t="str">
        <f t="array" ref="U7">XLOOKUP(V7,'Systems&amp;BackGlass'!E$3:E1000,'Systems&amp;BackGlass'!D$3:D1000)</f>
        <v>TA661-44998</v>
      </c>
      <c r="V7" s="3" t="str">
        <f>IFERROR(__xludf.DUMMYFUNCTION("""COMPUTED_VALUE"""),"128GB, Natural Titanium, ROW, iPhone 16 Pro, Logic Board Assy Mid System")</f>
        <v>128GB, Natural Titanium, ROW, iPhone 16 Pro, Logic Board Assy Mid System</v>
      </c>
      <c r="W7" s="40">
        <f>IFERROR(COUNTIFS('Systems&amp;BackGlass'!$A$3:$A1000,W$2,'Systems&amp;BackGlass'!$E$3:$E1000,$V7),0)</f>
        <v>0</v>
      </c>
      <c r="X7" s="40">
        <f>IFERROR(COUNTIFS('Systems&amp;BackGlass'!$A$3:$A1000,X$2,'Systems&amp;BackGlass'!$E$3:$E1000,$V7),0)</f>
        <v>1</v>
      </c>
      <c r="Y7" s="40">
        <f>IFERROR(COUNTIFS('Systems&amp;BackGlass'!$A$3:$A1000,Y$2,'Systems&amp;BackGlass'!$E$3:$E1000,$V7),0)</f>
        <v>0</v>
      </c>
      <c r="Z7" s="40">
        <f>IFERROR(COUNTIFS('Systems&amp;BackGlass'!$A$3:$A1000,Z$2,'Systems&amp;BackGlass'!$E$3:$E1000,$V7),0)</f>
        <v>0</v>
      </c>
      <c r="AA7" s="40">
        <f>IFERROR(COUNTIFS('Systems&amp;BackGlass'!$A$3:$A1000,AA$2,'Systems&amp;BackGlass'!$E$3:$E1000,$V7),0)</f>
        <v>0</v>
      </c>
      <c r="AB7" s="40">
        <f>IFERROR(COUNTIFS('Systems&amp;BackGlass'!$A$3:$A1000,AB$2,'Systems&amp;BackGlass'!$E$3:$E1000,$V7),0)</f>
        <v>0</v>
      </c>
      <c r="AC7" s="44">
        <f t="shared" si="3"/>
        <v>0</v>
      </c>
      <c r="AD7" s="44"/>
      <c r="AE7" s="44"/>
      <c r="AF7" s="44"/>
      <c r="AG7" s="44"/>
      <c r="AH7" s="44"/>
      <c r="AI7" s="44"/>
      <c r="AJ7" s="44"/>
      <c r="AK7" s="44"/>
    </row>
    <row r="8">
      <c r="A8" s="40" t="str">
        <f t="array" ref="A8">XLOOKUP(B8,'Systems&amp;BackGlass'!$E$3:$E1000,'Systems&amp;BackGlass'!$D$3:$D1000)</f>
        <v>661-30416</v>
      </c>
      <c r="B8" s="2" t="str">
        <f>IFERROR(__xludf.DUMMYFUNCTION("""COMPUTED_VALUE"""),"Blue, Back Glass, iPhone 14")</f>
        <v>Blue, Back Glass, iPhone 14</v>
      </c>
      <c r="C8" s="41">
        <f>IFERROR(COUNTIFS('Systems&amp;BackGlass'!$A$3:$A1000,C$2,'Systems&amp;BackGlass'!$E$3:$E1000,$B8),0)</f>
        <v>0</v>
      </c>
      <c r="D8" s="41">
        <f>IFERROR(COUNTIFS('Systems&amp;BackGlass'!$A$3:$A1000,D$2,'Systems&amp;BackGlass'!$E$3:$E1000,$B8),0)</f>
        <v>1</v>
      </c>
      <c r="E8" s="41">
        <f>IFERROR(COUNTIFS('Systems&amp;BackGlass'!$A$3:$A1000,E$2,'Systems&amp;BackGlass'!$E$3:$E1000,$B8),0)</f>
        <v>0</v>
      </c>
      <c r="F8" s="41">
        <f>IFERROR(COUNTIFS('Systems&amp;BackGlass'!$A$3:$A1000,F$2,'Systems&amp;BackGlass'!$E$3:$E1000,$B8),0)</f>
        <v>0</v>
      </c>
      <c r="G8" s="41">
        <f>IFERROR(COUNTIFS('Systems&amp;BackGlass'!$A$3:$A1000,G$2,'Systems&amp;BackGlass'!$E$3:$E1000,$B8),0)</f>
        <v>0</v>
      </c>
      <c r="H8" s="41">
        <f>IFERROR(COUNTIFS('Systems&amp;BackGlass'!$A$3:$A1000,H$2,'Systems&amp;BackGlass'!$E$3:$E1000,$B8),0)</f>
        <v>0</v>
      </c>
      <c r="I8" s="42">
        <f t="shared" si="1"/>
        <v>0</v>
      </c>
      <c r="J8" s="2"/>
      <c r="K8" s="45"/>
      <c r="L8" s="45"/>
      <c r="M8" s="45"/>
      <c r="N8" s="45"/>
      <c r="O8" s="45"/>
      <c r="P8" s="45"/>
      <c r="Q8" s="45"/>
      <c r="R8" s="45"/>
      <c r="S8" s="43">
        <f>SUMIF(S3:S7, "&gt;0")</f>
        <v>9</v>
      </c>
      <c r="T8" s="2"/>
      <c r="U8" s="40" t="str">
        <f t="array" ref="U8">XLOOKUP(V8,'Systems&amp;BackGlass'!E$3:E1000,'Systems&amp;BackGlass'!D$3:D1000)</f>
        <v>TA661-45233</v>
      </c>
      <c r="V8" s="3" t="str">
        <f>IFERROR(__xludf.DUMMYFUNCTION("""COMPUTED_VALUE"""),"128GB, Pink, ROW, iPhone 16 Plus, Logic Board Assy Mid System")</f>
        <v>128GB, Pink, ROW, iPhone 16 Plus, Logic Board Assy Mid System</v>
      </c>
      <c r="W8" s="40">
        <f>IFERROR(COUNTIFS('Systems&amp;BackGlass'!$A$3:$A1000,W$2,'Systems&amp;BackGlass'!$E$3:$E1000,$V8),0)</f>
        <v>2</v>
      </c>
      <c r="X8" s="40">
        <f>IFERROR(COUNTIFS('Systems&amp;BackGlass'!$A$3:$A1000,X$2,'Systems&amp;BackGlass'!$E$3:$E1000,$V8),0)</f>
        <v>0</v>
      </c>
      <c r="Y8" s="40">
        <f>IFERROR(COUNTIFS('Systems&amp;BackGlass'!$A$3:$A1000,Y$2,'Systems&amp;BackGlass'!$E$3:$E1000,$V8),0)</f>
        <v>0</v>
      </c>
      <c r="Z8" s="40">
        <f>IFERROR(COUNTIFS('Systems&amp;BackGlass'!$A$3:$A1000,Z$2,'Systems&amp;BackGlass'!$E$3:$E1000,$V8),0)</f>
        <v>0</v>
      </c>
      <c r="AA8" s="40">
        <f>IFERROR(COUNTIFS('Systems&amp;BackGlass'!$A$3:$A1000,AA$2,'Systems&amp;BackGlass'!$E$3:$E1000,$V8),0)</f>
        <v>0</v>
      </c>
      <c r="AB8" s="40">
        <f>IFERROR(COUNTIFS('Systems&amp;BackGlass'!$A$3:$A1000,AB$2,'Systems&amp;BackGlass'!$E$3:$E1000,$V8),0)</f>
        <v>1</v>
      </c>
      <c r="AC8" s="44">
        <f t="shared" si="3"/>
        <v>0</v>
      </c>
      <c r="AD8" s="44"/>
      <c r="AE8" s="44"/>
      <c r="AF8" s="44"/>
      <c r="AG8" s="44"/>
      <c r="AH8" s="44"/>
      <c r="AI8" s="44"/>
      <c r="AJ8" s="44"/>
      <c r="AK8" s="44"/>
    </row>
    <row r="9">
      <c r="A9" s="40" t="str">
        <f t="array" ref="A9">XLOOKUP(B9,'Systems&amp;BackGlass'!$E$3:$E1000,'Systems&amp;BackGlass'!$D$3:$D1000)</f>
        <v>661-36841</v>
      </c>
      <c r="B9" s="2" t="str">
        <f>IFERROR(__xludf.DUMMYFUNCTION("""COMPUTED_VALUE"""),"Blue, Back Glass, iPhone 15")</f>
        <v>Blue, Back Glass, iPhone 15</v>
      </c>
      <c r="C9" s="41">
        <f>IFERROR(COUNTIFS('Systems&amp;BackGlass'!$A$3:$A1000,C$2,'Systems&amp;BackGlass'!$E$3:$E1000,$B9),0)</f>
        <v>1</v>
      </c>
      <c r="D9" s="41">
        <f>IFERROR(COUNTIFS('Systems&amp;BackGlass'!$A$3:$A1000,D$2,'Systems&amp;BackGlass'!$E$3:$E1000,$B9),0)</f>
        <v>0</v>
      </c>
      <c r="E9" s="41">
        <f>IFERROR(COUNTIFS('Systems&amp;BackGlass'!$A$3:$A1000,E$2,'Systems&amp;BackGlass'!$E$3:$E1000,$B9),0)</f>
        <v>0</v>
      </c>
      <c r="F9" s="41">
        <f>IFERROR(COUNTIFS('Systems&amp;BackGlass'!$A$3:$A1000,F$2,'Systems&amp;BackGlass'!$E$3:$E1000,$B9),0)</f>
        <v>0</v>
      </c>
      <c r="G9" s="41">
        <f>IFERROR(COUNTIFS('Systems&amp;BackGlass'!$A$3:$A1000,G$2,'Systems&amp;BackGlass'!$E$3:$E1000,$B9),0)</f>
        <v>0</v>
      </c>
      <c r="H9" s="41">
        <f>IFERROR(COUNTIFS('Systems&amp;BackGlass'!$A$3:$A1000,H$2,'Systems&amp;BackGlass'!$E$3:$E1000,$B9),0)</f>
        <v>0</v>
      </c>
      <c r="I9" s="42">
        <f t="shared" si="1"/>
        <v>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40" t="str">
        <f t="array" ref="U9">XLOOKUP(V9,'Systems&amp;BackGlass'!E$3:E1000,'Systems&amp;BackGlass'!D$3:D1000)</f>
        <v>TA661-43607</v>
      </c>
      <c r="V9" s="3" t="str">
        <f>IFERROR(__xludf.DUMMYFUNCTION("""COMPUTED_VALUE"""),"128GB, Pink, ROW, iPhone 16, Logic Board Assy Mid System")</f>
        <v>128GB, Pink, ROW, iPhone 16, Logic Board Assy Mid System</v>
      </c>
      <c r="W9" s="40">
        <f>IFERROR(COUNTIFS('Systems&amp;BackGlass'!$A$3:$A1000,W$2,'Systems&amp;BackGlass'!$E$3:$E1000,$V9),0)</f>
        <v>4</v>
      </c>
      <c r="X9" s="40">
        <f>IFERROR(COUNTIFS('Systems&amp;BackGlass'!$A$3:$A1000,X$2,'Systems&amp;BackGlass'!$E$3:$E1000,$V9),0)</f>
        <v>0</v>
      </c>
      <c r="Y9" s="40">
        <f>IFERROR(COUNTIFS('Systems&amp;BackGlass'!$A$3:$A1000,Y$2,'Systems&amp;BackGlass'!$E$3:$E1000,$V9),0)</f>
        <v>2</v>
      </c>
      <c r="Z9" s="40">
        <f>IFERROR(COUNTIFS('Systems&amp;BackGlass'!$A$3:$A1000,Z$2,'Systems&amp;BackGlass'!$E$3:$E1000,$V9),0)</f>
        <v>0</v>
      </c>
      <c r="AA9" s="40">
        <f>IFERROR(COUNTIFS('Systems&amp;BackGlass'!$A$3:$A1000,AA$2,'Systems&amp;BackGlass'!$E$3:$E1000,$V9),0)</f>
        <v>0</v>
      </c>
      <c r="AB9" s="40">
        <f>IFERROR(COUNTIFS('Systems&amp;BackGlass'!$A$3:$A1000,AB$2,'Systems&amp;BackGlass'!$E$3:$E1000,$V9),0)</f>
        <v>0</v>
      </c>
      <c r="AC9" s="44">
        <f t="shared" si="3"/>
        <v>-1</v>
      </c>
      <c r="AD9" s="44"/>
      <c r="AE9" s="44"/>
      <c r="AF9" s="44"/>
      <c r="AG9" s="44"/>
      <c r="AH9" s="44"/>
      <c r="AI9" s="44"/>
      <c r="AJ9" s="44"/>
      <c r="AK9" s="44"/>
    </row>
    <row r="10">
      <c r="A10" s="40" t="str">
        <f t="array" ref="A10">XLOOKUP(B10,'Systems&amp;BackGlass'!$E$3:$E1000,'Systems&amp;BackGlass'!$D$3:$D1000)</f>
        <v>661-37211</v>
      </c>
      <c r="B10" s="2" t="str">
        <f>IFERROR(__xludf.DUMMYFUNCTION("""COMPUTED_VALUE"""),"Blue, Back Glass, iPhone 15 Plus")</f>
        <v>Blue, Back Glass, iPhone 15 Plus</v>
      </c>
      <c r="C10" s="41">
        <f>IFERROR(COUNTIFS('Systems&amp;BackGlass'!$A$3:$A1000,C$2,'Systems&amp;BackGlass'!$E$3:$E1000,$B10),0)</f>
        <v>0</v>
      </c>
      <c r="D10" s="41">
        <f>IFERROR(COUNTIFS('Systems&amp;BackGlass'!$A$3:$A1000,D$2,'Systems&amp;BackGlass'!$E$3:$E1000,$B10),0)</f>
        <v>0</v>
      </c>
      <c r="E10" s="41">
        <f>IFERROR(COUNTIFS('Systems&amp;BackGlass'!$A$3:$A1000,E$2,'Systems&amp;BackGlass'!$E$3:$E1000,$B10),0)</f>
        <v>0</v>
      </c>
      <c r="F10" s="41">
        <f>IFERROR(COUNTIFS('Systems&amp;BackGlass'!$A$3:$A1000,F$2,'Systems&amp;BackGlass'!$E$3:$E1000,$B10),0)</f>
        <v>0</v>
      </c>
      <c r="G10" s="41">
        <f>IFERROR(COUNTIFS('Systems&amp;BackGlass'!$A$3:$A1000,G$2,'Systems&amp;BackGlass'!$E$3:$E1000,$B10),0)</f>
        <v>0</v>
      </c>
      <c r="H10" s="41">
        <f>IFERROR(COUNTIFS('Systems&amp;BackGlass'!$A$3:$A1000,H$2,'Systems&amp;BackGlass'!$E$3:$E1000,$B10),0)</f>
        <v>1</v>
      </c>
      <c r="I10" s="42">
        <f t="shared" si="1"/>
        <v>1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40" t="str">
        <f t="array" ref="U10">XLOOKUP(V10,'Systems&amp;BackGlass'!E$3:E1000,'Systems&amp;BackGlass'!D$3:D1000)</f>
        <v>TA661-45235</v>
      </c>
      <c r="V10" s="3" t="str">
        <f>IFERROR(__xludf.DUMMYFUNCTION("""COMPUTED_VALUE"""),"128GB, Teal, ROW, iPhone 16 Plus, Logic Board Assy Mid System")</f>
        <v>128GB, Teal, ROW, iPhone 16 Plus, Logic Board Assy Mid System</v>
      </c>
      <c r="W10" s="40">
        <f>IFERROR(COUNTIFS('Systems&amp;BackGlass'!$A$3:$A1000,W$2,'Systems&amp;BackGlass'!$E$3:$E1000,$V10),0)</f>
        <v>1</v>
      </c>
      <c r="X10" s="40">
        <f>IFERROR(COUNTIFS('Systems&amp;BackGlass'!$A$3:$A1000,X$2,'Systems&amp;BackGlass'!$E$3:$E1000,$V10),0)</f>
        <v>0</v>
      </c>
      <c r="Y10" s="40">
        <f>IFERROR(COUNTIFS('Systems&amp;BackGlass'!$A$3:$A1000,Y$2,'Systems&amp;BackGlass'!$E$3:$E1000,$V10),0)</f>
        <v>0</v>
      </c>
      <c r="Z10" s="40">
        <f>IFERROR(COUNTIFS('Systems&amp;BackGlass'!$A$3:$A1000,Z$2,'Systems&amp;BackGlass'!$E$3:$E1000,$V10),0)</f>
        <v>1</v>
      </c>
      <c r="AA10" s="40">
        <f>IFERROR(COUNTIFS('Systems&amp;BackGlass'!$A$3:$A1000,AA$2,'Systems&amp;BackGlass'!$E$3:$E1000,$V10),0)</f>
        <v>0</v>
      </c>
      <c r="AB10" s="40">
        <f>IFERROR(COUNTIFS('Systems&amp;BackGlass'!$A$3:$A1000,AB$2,'Systems&amp;BackGlass'!$E$3:$E1000,$V10),0)</f>
        <v>1</v>
      </c>
      <c r="AC10" s="44">
        <f t="shared" si="3"/>
        <v>1</v>
      </c>
      <c r="AD10" s="44"/>
      <c r="AE10" s="44"/>
      <c r="AF10" s="44"/>
      <c r="AG10" s="44"/>
      <c r="AH10" s="44"/>
      <c r="AI10" s="44"/>
      <c r="AJ10" s="44"/>
      <c r="AK10" s="44"/>
    </row>
    <row r="11">
      <c r="A11" s="40" t="str">
        <f t="array" ref="A11">XLOOKUP(B11,'Systems&amp;BackGlass'!$E$3:$E1000,'Systems&amp;BackGlass'!$D$3:$D1000)</f>
        <v>661-56123</v>
      </c>
      <c r="B11" s="2" t="str">
        <f>IFERROR(__xludf.DUMMYFUNCTION("""COMPUTED_VALUE"""),"Cosmic Orange, Back Glass, iPhone 17 Pro")</f>
        <v>Cosmic Orange, Back Glass, iPhone 17 Pro</v>
      </c>
      <c r="C11" s="41">
        <f>IFERROR(COUNTIFS('Systems&amp;BackGlass'!$A$3:$A1000,C$2,'Systems&amp;BackGlass'!$E$3:$E1000,$B11),0)</f>
        <v>0</v>
      </c>
      <c r="D11" s="41">
        <f>IFERROR(COUNTIFS('Systems&amp;BackGlass'!$A$3:$A1000,D$2,'Systems&amp;BackGlass'!$E$3:$E1000,$B11),0)</f>
        <v>0</v>
      </c>
      <c r="E11" s="41">
        <f>IFERROR(COUNTIFS('Systems&amp;BackGlass'!$A$3:$A1000,E$2,'Systems&amp;BackGlass'!$E$3:$E1000,$B11),0)</f>
        <v>1</v>
      </c>
      <c r="F11" s="41">
        <f>IFERROR(COUNTIFS('Systems&amp;BackGlass'!$A$3:$A1000,F$2,'Systems&amp;BackGlass'!$E$3:$E1000,$B11),0)</f>
        <v>0</v>
      </c>
      <c r="G11" s="41">
        <f>IFERROR(COUNTIFS('Systems&amp;BackGlass'!$A$3:$A1000,G$2,'Systems&amp;BackGlass'!$E$3:$E1000,$B11),0)</f>
        <v>0</v>
      </c>
      <c r="H11" s="41">
        <f>IFERROR(COUNTIFS('Systems&amp;BackGlass'!$A$3:$A1000,H$2,'Systems&amp;BackGlass'!$E$3:$E1000,$B11),0)</f>
        <v>0</v>
      </c>
      <c r="I11" s="42">
        <f t="shared" si="1"/>
        <v>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40" t="str">
        <f t="array" ref="U11">XLOOKUP(V11,'Systems&amp;BackGlass'!E$3:E1000,'Systems&amp;BackGlass'!D$3:D1000)</f>
        <v>TA661-43609</v>
      </c>
      <c r="V11" s="3" t="str">
        <f>IFERROR(__xludf.DUMMYFUNCTION("""COMPUTED_VALUE"""),"128GB, Teal, ROW, iPhone 16, Logic Board Assy Mid System")</f>
        <v>128GB, Teal, ROW, iPhone 16, Logic Board Assy Mid System</v>
      </c>
      <c r="W11" s="40">
        <f>IFERROR(COUNTIFS('Systems&amp;BackGlass'!$A$3:$A1000,W$2,'Systems&amp;BackGlass'!$E$3:$E1000,$V11),0)</f>
        <v>1</v>
      </c>
      <c r="X11" s="40">
        <f>IFERROR(COUNTIFS('Systems&amp;BackGlass'!$A$3:$A1000,X$2,'Systems&amp;BackGlass'!$E$3:$E1000,$V11),0)</f>
        <v>1</v>
      </c>
      <c r="Y11" s="40">
        <f>IFERROR(COUNTIFS('Systems&amp;BackGlass'!$A$3:$A1000,Y$2,'Systems&amp;BackGlass'!$E$3:$E1000,$V11),0)</f>
        <v>1</v>
      </c>
      <c r="Z11" s="40">
        <f>IFERROR(COUNTIFS('Systems&amp;BackGlass'!$A$3:$A1000,Z$2,'Systems&amp;BackGlass'!$E$3:$E1000,$V11),0)</f>
        <v>1</v>
      </c>
      <c r="AA11" s="40">
        <f>IFERROR(COUNTIFS('Systems&amp;BackGlass'!$A$3:$A1000,AA$2,'Systems&amp;BackGlass'!$E$3:$E1000,$V11),0)</f>
        <v>0</v>
      </c>
      <c r="AB11" s="40">
        <f>IFERROR(COUNTIFS('Systems&amp;BackGlass'!$A$3:$A1000,AB$2,'Systems&amp;BackGlass'!$E$3:$E1000,$V11),0)</f>
        <v>4</v>
      </c>
      <c r="AC11" s="44">
        <f t="shared" si="3"/>
        <v>3</v>
      </c>
      <c r="AD11" s="44"/>
      <c r="AE11" s="44"/>
      <c r="AF11" s="44"/>
      <c r="AG11" s="44"/>
      <c r="AH11" s="44"/>
      <c r="AI11" s="44"/>
      <c r="AJ11" s="44"/>
      <c r="AK11" s="44"/>
    </row>
    <row r="12">
      <c r="A12" s="40" t="str">
        <f t="array" ref="A12">XLOOKUP(B12,'Systems&amp;BackGlass'!$E$3:$E1000,'Systems&amp;BackGlass'!$D$3:$D1000)</f>
        <v>661-56054</v>
      </c>
      <c r="B12" s="2" t="str">
        <f>IFERROR(__xludf.DUMMYFUNCTION("""COMPUTED_VALUE"""),"Cosmic Orange, Back Glass, iPhone 17 Pro Max")</f>
        <v>Cosmic Orange, Back Glass, iPhone 17 Pro Max</v>
      </c>
      <c r="C12" s="41">
        <f>IFERROR(COUNTIFS('Systems&amp;BackGlass'!$A$3:$A1000,C$2,'Systems&amp;BackGlass'!$E$3:$E1000,$B12),0)</f>
        <v>0</v>
      </c>
      <c r="D12" s="41">
        <f>IFERROR(COUNTIFS('Systems&amp;BackGlass'!$A$3:$A1000,D$2,'Systems&amp;BackGlass'!$E$3:$E1000,$B12),0)</f>
        <v>0</v>
      </c>
      <c r="E12" s="41">
        <f>IFERROR(COUNTIFS('Systems&amp;BackGlass'!$A$3:$A1000,E$2,'Systems&amp;BackGlass'!$E$3:$E1000,$B12),0)</f>
        <v>0</v>
      </c>
      <c r="F12" s="41">
        <f>IFERROR(COUNTIFS('Systems&amp;BackGlass'!$A$3:$A1000,F$2,'Systems&amp;BackGlass'!$E$3:$E1000,$B12),0)</f>
        <v>0</v>
      </c>
      <c r="G12" s="41">
        <f>IFERROR(COUNTIFS('Systems&amp;BackGlass'!$A$3:$A1000,G$2,'Systems&amp;BackGlass'!$E$3:$E1000,$B12),0)</f>
        <v>1</v>
      </c>
      <c r="H12" s="41">
        <f>IFERROR(COUNTIFS('Systems&amp;BackGlass'!$A$3:$A1000,H$2,'Systems&amp;BackGlass'!$E$3:$E1000,$B12),0)</f>
        <v>0</v>
      </c>
      <c r="I12" s="42">
        <f t="shared" si="1"/>
        <v>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40" t="str">
        <f t="array" ref="U12">XLOOKUP(V12,'Systems&amp;BackGlass'!E$3:E1000,'Systems&amp;BackGlass'!D$3:D1000)</f>
        <v>TA661-45234</v>
      </c>
      <c r="V12" s="3" t="str">
        <f>IFERROR(__xludf.DUMMYFUNCTION("""COMPUTED_VALUE"""),"128GB, Ultramarine, ROW, iPhone 16 Plus, Logic Board Assy Mid System")</f>
        <v>128GB, Ultramarine, ROW, iPhone 16 Plus, Logic Board Assy Mid System</v>
      </c>
      <c r="W12" s="40">
        <f>IFERROR(COUNTIFS('Systems&amp;BackGlass'!$A$3:$A1000,W$2,'Systems&amp;BackGlass'!$E$3:$E1000,$V12),0)</f>
        <v>0</v>
      </c>
      <c r="X12" s="40">
        <f>IFERROR(COUNTIFS('Systems&amp;BackGlass'!$A$3:$A1000,X$2,'Systems&amp;BackGlass'!$E$3:$E1000,$V12),0)</f>
        <v>0</v>
      </c>
      <c r="Y12" s="40">
        <f>IFERROR(COUNTIFS('Systems&amp;BackGlass'!$A$3:$A1000,Y$2,'Systems&amp;BackGlass'!$E$3:$E1000,$V12),0)</f>
        <v>1</v>
      </c>
      <c r="Z12" s="40">
        <f>IFERROR(COUNTIFS('Systems&amp;BackGlass'!$A$3:$A1000,Z$2,'Systems&amp;BackGlass'!$E$3:$E1000,$V12),0)</f>
        <v>0</v>
      </c>
      <c r="AA12" s="40">
        <f>IFERROR(COUNTIFS('Systems&amp;BackGlass'!$A$3:$A1000,AA$2,'Systems&amp;BackGlass'!$E$3:$E1000,$V12),0)</f>
        <v>0</v>
      </c>
      <c r="AB12" s="40">
        <f>IFERROR(COUNTIFS('Systems&amp;BackGlass'!$A$3:$A1000,AB$2,'Systems&amp;BackGlass'!$E$3:$E1000,$V12),0)</f>
        <v>1</v>
      </c>
      <c r="AC12" s="44">
        <f t="shared" si="3"/>
        <v>1</v>
      </c>
      <c r="AD12" s="44"/>
      <c r="AE12" s="44"/>
      <c r="AF12" s="44"/>
      <c r="AG12" s="44"/>
      <c r="AH12" s="44"/>
      <c r="AI12" s="44"/>
      <c r="AJ12" s="44"/>
      <c r="AK12" s="44"/>
    </row>
    <row r="13">
      <c r="A13" s="40" t="str">
        <f t="array" ref="A13">XLOOKUP(B13,'Systems&amp;BackGlass'!$E$3:$E1000,'Systems&amp;BackGlass'!$D$3:$D1000)</f>
        <v>661-56124</v>
      </c>
      <c r="B13" s="2" t="str">
        <f>IFERROR(__xludf.DUMMYFUNCTION("""COMPUTED_VALUE"""),"Deep Blue, Back Glass, iPhone 17 Pro")</f>
        <v>Deep Blue, Back Glass, iPhone 17 Pro</v>
      </c>
      <c r="C13" s="41">
        <f>IFERROR(COUNTIFS('Systems&amp;BackGlass'!$A$3:$A1000,C$2,'Systems&amp;BackGlass'!$E$3:$E1000,$B13),0)</f>
        <v>0</v>
      </c>
      <c r="D13" s="41">
        <f>IFERROR(COUNTIFS('Systems&amp;BackGlass'!$A$3:$A1000,D$2,'Systems&amp;BackGlass'!$E$3:$E1000,$B13),0)</f>
        <v>0</v>
      </c>
      <c r="E13" s="41">
        <f>IFERROR(COUNTIFS('Systems&amp;BackGlass'!$A$3:$A1000,E$2,'Systems&amp;BackGlass'!$E$3:$E1000,$B13),0)</f>
        <v>1</v>
      </c>
      <c r="F13" s="41">
        <f>IFERROR(COUNTIFS('Systems&amp;BackGlass'!$A$3:$A1000,F$2,'Systems&amp;BackGlass'!$E$3:$E1000,$B13),0)</f>
        <v>0</v>
      </c>
      <c r="G13" s="41">
        <f>IFERROR(COUNTIFS('Systems&amp;BackGlass'!$A$3:$A1000,G$2,'Systems&amp;BackGlass'!$E$3:$E1000,$B13),0)</f>
        <v>0</v>
      </c>
      <c r="H13" s="41">
        <f>IFERROR(COUNTIFS('Systems&amp;BackGlass'!$A$3:$A1000,H$2,'Systems&amp;BackGlass'!$E$3:$E1000,$B13),0)</f>
        <v>1</v>
      </c>
      <c r="I13" s="42">
        <f t="shared" si="1"/>
        <v>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40" t="str">
        <f t="array" ref="U13">XLOOKUP(V13,'Systems&amp;BackGlass'!E$3:E1000,'Systems&amp;BackGlass'!D$3:D1000)</f>
        <v>TA661-43608</v>
      </c>
      <c r="V13" s="3" t="str">
        <f>IFERROR(__xludf.DUMMYFUNCTION("""COMPUTED_VALUE"""),"128GB, Ultramarine, ROW, iPhone 16, Logic Board Assy Mid System")</f>
        <v>128GB, Ultramarine, ROW, iPhone 16, Logic Board Assy Mid System</v>
      </c>
      <c r="W13" s="40">
        <f>IFERROR(COUNTIFS('Systems&amp;BackGlass'!$A$3:$A1000,W$2,'Systems&amp;BackGlass'!$E$3:$E1000,$V13),0)</f>
        <v>1</v>
      </c>
      <c r="X13" s="40">
        <f>IFERROR(COUNTIFS('Systems&amp;BackGlass'!$A$3:$A1000,X$2,'Systems&amp;BackGlass'!$E$3:$E1000,$V13),0)</f>
        <v>2</v>
      </c>
      <c r="Y13" s="40">
        <f>IFERROR(COUNTIFS('Systems&amp;BackGlass'!$A$3:$A1000,Y$2,'Systems&amp;BackGlass'!$E$3:$E1000,$V13),0)</f>
        <v>0</v>
      </c>
      <c r="Z13" s="40">
        <f>IFERROR(COUNTIFS('Systems&amp;BackGlass'!$A$3:$A1000,Z$2,'Systems&amp;BackGlass'!$E$3:$E1000,$V13),0)</f>
        <v>3</v>
      </c>
      <c r="AA13" s="40">
        <f>IFERROR(COUNTIFS('Systems&amp;BackGlass'!$A$3:$A1000,AA$2,'Systems&amp;BackGlass'!$E$3:$E1000,$V13),0)</f>
        <v>0</v>
      </c>
      <c r="AB13" s="40">
        <f>IFERROR(COUNTIFS('Systems&amp;BackGlass'!$A$3:$A1000,AB$2,'Systems&amp;BackGlass'!$E$3:$E1000,$V13),0)</f>
        <v>0</v>
      </c>
      <c r="AC13" s="44">
        <f t="shared" si="3"/>
        <v>0</v>
      </c>
      <c r="AD13" s="44"/>
      <c r="AE13" s="44"/>
      <c r="AF13" s="44"/>
      <c r="AG13" s="44"/>
      <c r="AH13" s="44"/>
      <c r="AI13" s="44"/>
      <c r="AJ13" s="44"/>
      <c r="AK13" s="44"/>
    </row>
    <row r="14">
      <c r="A14" s="40" t="str">
        <f t="array" ref="A14">XLOOKUP(B14,'Systems&amp;BackGlass'!$E$3:$E1000,'Systems&amp;BackGlass'!$D$3:$D1000)</f>
        <v>661-56055</v>
      </c>
      <c r="B14" s="2" t="str">
        <f>IFERROR(__xludf.DUMMYFUNCTION("""COMPUTED_VALUE"""),"Deep Blue, Back Glass, iPhone 17 Pro Max")</f>
        <v>Deep Blue, Back Glass, iPhone 17 Pro Max</v>
      </c>
      <c r="C14" s="41">
        <f>IFERROR(COUNTIFS('Systems&amp;BackGlass'!$A$3:$A1000,C$2,'Systems&amp;BackGlass'!$E$3:$E1000,$B14),0)</f>
        <v>0</v>
      </c>
      <c r="D14" s="41">
        <f>IFERROR(COUNTIFS('Systems&amp;BackGlass'!$A$3:$A1000,D$2,'Systems&amp;BackGlass'!$E$3:$E1000,$B14),0)</f>
        <v>1</v>
      </c>
      <c r="E14" s="41">
        <f>IFERROR(COUNTIFS('Systems&amp;BackGlass'!$A$3:$A1000,E$2,'Systems&amp;BackGlass'!$E$3:$E1000,$B14),0)</f>
        <v>0</v>
      </c>
      <c r="F14" s="41">
        <f>IFERROR(COUNTIFS('Systems&amp;BackGlass'!$A$3:$A1000,F$2,'Systems&amp;BackGlass'!$E$3:$E1000,$B14),0)</f>
        <v>0</v>
      </c>
      <c r="G14" s="41">
        <f>IFERROR(COUNTIFS('Systems&amp;BackGlass'!$A$3:$A1000,G$2,'Systems&amp;BackGlass'!$E$3:$E1000,$B14),0)</f>
        <v>0</v>
      </c>
      <c r="H14" s="41">
        <f>IFERROR(COUNTIFS('Systems&amp;BackGlass'!$A$3:$A1000,H$2,'Systems&amp;BackGlass'!$E$3:$E1000,$B14),0)</f>
        <v>1</v>
      </c>
      <c r="I14" s="42">
        <f t="shared" si="1"/>
        <v>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40" t="str">
        <f t="array" ref="U14">XLOOKUP(V14,'Systems&amp;BackGlass'!E$3:E1000,'Systems&amp;BackGlass'!D$3:D1000)</f>
        <v>TA661-44996</v>
      </c>
      <c r="V14" s="3" t="str">
        <f>IFERROR(__xludf.DUMMYFUNCTION("""COMPUTED_VALUE"""),"128GB, White Titanium, ROW, iPhone 16 Pro, Logic Board Assy Mid System")</f>
        <v>128GB, White Titanium, ROW, iPhone 16 Pro, Logic Board Assy Mid System</v>
      </c>
      <c r="W14" s="40">
        <f>IFERROR(COUNTIFS('Systems&amp;BackGlass'!$A$3:$A1000,W$2,'Systems&amp;BackGlass'!$E$3:$E1000,$V14),0)</f>
        <v>0</v>
      </c>
      <c r="X14" s="40">
        <f>IFERROR(COUNTIFS('Systems&amp;BackGlass'!$A$3:$A1000,X$2,'Systems&amp;BackGlass'!$E$3:$E1000,$V14),0)</f>
        <v>1</v>
      </c>
      <c r="Y14" s="40">
        <f>IFERROR(COUNTIFS('Systems&amp;BackGlass'!$A$3:$A1000,Y$2,'Systems&amp;BackGlass'!$E$3:$E1000,$V14),0)</f>
        <v>0</v>
      </c>
      <c r="Z14" s="40">
        <f>IFERROR(COUNTIFS('Systems&amp;BackGlass'!$A$3:$A1000,Z$2,'Systems&amp;BackGlass'!$E$3:$E1000,$V14),0)</f>
        <v>0</v>
      </c>
      <c r="AA14" s="40">
        <f>IFERROR(COUNTIFS('Systems&amp;BackGlass'!$A$3:$A1000,AA$2,'Systems&amp;BackGlass'!$E$3:$E1000,$V14),0)</f>
        <v>0</v>
      </c>
      <c r="AB14" s="40">
        <f>IFERROR(COUNTIFS('Systems&amp;BackGlass'!$A$3:$A1000,AB$2,'Systems&amp;BackGlass'!$E$3:$E1000,$V14),0)</f>
        <v>1</v>
      </c>
      <c r="AC14" s="44">
        <f t="shared" si="3"/>
        <v>1</v>
      </c>
      <c r="AD14" s="44"/>
      <c r="AE14" s="44"/>
      <c r="AF14" s="44"/>
      <c r="AG14" s="44"/>
      <c r="AH14" s="44"/>
      <c r="AI14" s="44"/>
      <c r="AJ14" s="44"/>
      <c r="AK14" s="44"/>
    </row>
    <row r="15">
      <c r="A15" s="40" t="str">
        <f t="array" ref="A15">XLOOKUP(B15,'Systems&amp;BackGlass'!$E$3:$E1000,'Systems&amp;BackGlass'!$D$3:$D1000)</f>
        <v>661-44960</v>
      </c>
      <c r="B15" s="2" t="str">
        <f>IFERROR(__xludf.DUMMYFUNCTION("""COMPUTED_VALUE"""),"Desert Titanium, Back Glass, iPhone 16 Pro Max")</f>
        <v>Desert Titanium, Back Glass, iPhone 16 Pro Max</v>
      </c>
      <c r="C15" s="41">
        <f>IFERROR(COUNTIFS('Systems&amp;BackGlass'!$A$3:$A1000,C$2,'Systems&amp;BackGlass'!$E$3:$E1000,$B15),0)</f>
        <v>0</v>
      </c>
      <c r="D15" s="41">
        <f>IFERROR(COUNTIFS('Systems&amp;BackGlass'!$A$3:$A1000,D$2,'Systems&amp;BackGlass'!$E$3:$E1000,$B15),0)</f>
        <v>3</v>
      </c>
      <c r="E15" s="41">
        <f>IFERROR(COUNTIFS('Systems&amp;BackGlass'!$A$3:$A1000,E$2,'Systems&amp;BackGlass'!$E$3:$E1000,$B15),0)</f>
        <v>1</v>
      </c>
      <c r="F15" s="41">
        <f>IFERROR(COUNTIFS('Systems&amp;BackGlass'!$A$3:$A1000,F$2,'Systems&amp;BackGlass'!$E$3:$E1000,$B15),0)</f>
        <v>4</v>
      </c>
      <c r="G15" s="41">
        <f>IFERROR(COUNTIFS('Systems&amp;BackGlass'!$A$3:$A1000,G$2,'Systems&amp;BackGlass'!$E$3:$E1000,$B15),0)</f>
        <v>1</v>
      </c>
      <c r="H15" s="41">
        <f>IFERROR(COUNTIFS('Systems&amp;BackGlass'!$A$3:$A1000,H$2,'Systems&amp;BackGlass'!$E$3:$E1000,$B15),0)</f>
        <v>1</v>
      </c>
      <c r="I15" s="42">
        <f t="shared" si="1"/>
        <v>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40" t="str">
        <f t="array" ref="U15">XLOOKUP(V15,'Systems&amp;BackGlass'!E$3:E1000,'Systems&amp;BackGlass'!D$3:D1000)</f>
        <v>TA661-45232</v>
      </c>
      <c r="V15" s="3" t="str">
        <f>IFERROR(__xludf.DUMMYFUNCTION("""COMPUTED_VALUE"""),"128GB, White, ROW, iPhone 16 Plus, Logic Board Assy Mid System")</f>
        <v>128GB, White, ROW, iPhone 16 Plus, Logic Board Assy Mid System</v>
      </c>
      <c r="W15" s="40">
        <f>IFERROR(COUNTIFS('Systems&amp;BackGlass'!$A$3:$A1000,W$2,'Systems&amp;BackGlass'!$E$3:$E1000,$V15),0)</f>
        <v>3</v>
      </c>
      <c r="X15" s="40">
        <f>IFERROR(COUNTIFS('Systems&amp;BackGlass'!$A$3:$A1000,X$2,'Systems&amp;BackGlass'!$E$3:$E1000,$V15),0)</f>
        <v>2</v>
      </c>
      <c r="Y15" s="40">
        <f>IFERROR(COUNTIFS('Systems&amp;BackGlass'!$A$3:$A1000,Y$2,'Systems&amp;BackGlass'!$E$3:$E1000,$V15),0)</f>
        <v>0</v>
      </c>
      <c r="Z15" s="40">
        <f>IFERROR(COUNTIFS('Systems&amp;BackGlass'!$A$3:$A1000,Z$2,'Systems&amp;BackGlass'!$E$3:$E1000,$V15),0)</f>
        <v>1</v>
      </c>
      <c r="AA15" s="40">
        <f>IFERROR(COUNTIFS('Systems&amp;BackGlass'!$A$3:$A1000,AA$2,'Systems&amp;BackGlass'!$E$3:$E1000,$V15),0)</f>
        <v>1</v>
      </c>
      <c r="AB15" s="40">
        <f>IFERROR(COUNTIFS('Systems&amp;BackGlass'!$A$3:$A1000,AB$2,'Systems&amp;BackGlass'!$E$3:$E1000,$V15),0)</f>
        <v>1</v>
      </c>
      <c r="AC15" s="44">
        <f t="shared" si="3"/>
        <v>0</v>
      </c>
      <c r="AD15" s="44"/>
      <c r="AE15" s="44"/>
      <c r="AF15" s="44"/>
      <c r="AG15" s="44"/>
      <c r="AH15" s="44"/>
      <c r="AI15" s="44"/>
      <c r="AJ15" s="44"/>
      <c r="AK15" s="44"/>
    </row>
    <row r="16">
      <c r="A16" s="40" t="str">
        <f t="array" ref="A16">XLOOKUP(B16,'Systems&amp;BackGlass'!$E$3:$E1000,'Systems&amp;BackGlass'!$D$3:$D1000)</f>
        <v>661-49557</v>
      </c>
      <c r="B16" s="2" t="str">
        <f>IFERROR(__xludf.DUMMYFUNCTION("""COMPUTED_VALUE"""),"Desert, Back Glass, iPhone 16 Pro")</f>
        <v>Desert, Back Glass, iPhone 16 Pro</v>
      </c>
      <c r="C16" s="41">
        <f>IFERROR(COUNTIFS('Systems&amp;BackGlass'!$A$3:$A1000,C$2,'Systems&amp;BackGlass'!$E$3:$E1000,$B16),0)</f>
        <v>1</v>
      </c>
      <c r="D16" s="41">
        <f>IFERROR(COUNTIFS('Systems&amp;BackGlass'!$A$3:$A1000,D$2,'Systems&amp;BackGlass'!$E$3:$E1000,$B16),0)</f>
        <v>0</v>
      </c>
      <c r="E16" s="41">
        <f>IFERROR(COUNTIFS('Systems&amp;BackGlass'!$A$3:$A1000,E$2,'Systems&amp;BackGlass'!$E$3:$E1000,$B16),0)</f>
        <v>0</v>
      </c>
      <c r="F16" s="41">
        <f>IFERROR(COUNTIFS('Systems&amp;BackGlass'!$A$3:$A1000,F$2,'Systems&amp;BackGlass'!$E$3:$E1000,$B16),0)</f>
        <v>0</v>
      </c>
      <c r="G16" s="41">
        <f>IFERROR(COUNTIFS('Systems&amp;BackGlass'!$A$3:$A1000,G$2,'Systems&amp;BackGlass'!$E$3:$E1000,$B16),0)</f>
        <v>0</v>
      </c>
      <c r="H16" s="41">
        <f>IFERROR(COUNTIFS('Systems&amp;BackGlass'!$A$3:$A1000,H$2,'Systems&amp;BackGlass'!$E$3:$E1000,$B16),0)</f>
        <v>0</v>
      </c>
      <c r="I16" s="42">
        <f t="shared" si="1"/>
        <v>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40" t="str">
        <f t="array" ref="U16">XLOOKUP(V16,'Systems&amp;BackGlass'!E$3:E1000,'Systems&amp;BackGlass'!D$3:D1000)</f>
        <v>TA661-43606</v>
      </c>
      <c r="V16" s="3" t="str">
        <f>IFERROR(__xludf.DUMMYFUNCTION("""COMPUTED_VALUE"""),"128GB, White, ROW, iPhone 16, Logic Board Assy Mid System")</f>
        <v>128GB, White, ROW, iPhone 16, Logic Board Assy Mid System</v>
      </c>
      <c r="W16" s="40">
        <f>IFERROR(COUNTIFS('Systems&amp;BackGlass'!$A$3:$A1000,W$2,'Systems&amp;BackGlass'!$E$3:$E1000,$V16),0)</f>
        <v>4</v>
      </c>
      <c r="X16" s="40">
        <f>IFERROR(COUNTIFS('Systems&amp;BackGlass'!$A$3:$A1000,X$2,'Systems&amp;BackGlass'!$E$3:$E1000,$V16),0)</f>
        <v>0</v>
      </c>
      <c r="Y16" s="40">
        <f>IFERROR(COUNTIFS('Systems&amp;BackGlass'!$A$3:$A1000,Y$2,'Systems&amp;BackGlass'!$E$3:$E1000,$V16),0)</f>
        <v>4</v>
      </c>
      <c r="Z16" s="40">
        <f>IFERROR(COUNTIFS('Systems&amp;BackGlass'!$A$3:$A1000,Z$2,'Systems&amp;BackGlass'!$E$3:$E1000,$V16),0)</f>
        <v>1</v>
      </c>
      <c r="AA16" s="40">
        <f>IFERROR(COUNTIFS('Systems&amp;BackGlass'!$A$3:$A1000,AA$2,'Systems&amp;BackGlass'!$E$3:$E1000,$V16),0)</f>
        <v>1</v>
      </c>
      <c r="AB16" s="40">
        <f>IFERROR(COUNTIFS('Systems&amp;BackGlass'!$A$3:$A1000,AB$2,'Systems&amp;BackGlass'!$E$3:$E1000,$V16),0)</f>
        <v>2</v>
      </c>
      <c r="AC16" s="44">
        <f t="shared" si="3"/>
        <v>1</v>
      </c>
      <c r="AD16" s="44"/>
      <c r="AE16" s="44"/>
      <c r="AF16" s="44"/>
      <c r="AG16" s="44"/>
      <c r="AH16" s="44"/>
      <c r="AI16" s="44"/>
      <c r="AJ16" s="44"/>
      <c r="AK16" s="44"/>
    </row>
    <row r="17">
      <c r="A17" s="40" t="str">
        <f t="array" ref="A17">XLOOKUP(B17,'Systems&amp;BackGlass'!$E$3:$E1000,'Systems&amp;BackGlass'!$D$3:$D1000)</f>
        <v>661-36842</v>
      </c>
      <c r="B17" s="2" t="str">
        <f>IFERROR(__xludf.DUMMYFUNCTION("""COMPUTED_VALUE"""),"Green, Back Glass, iPhone 15")</f>
        <v>Green, Back Glass, iPhone 15</v>
      </c>
      <c r="C17" s="41">
        <f>IFERROR(COUNTIFS('Systems&amp;BackGlass'!$A$3:$A1000,C$2,'Systems&amp;BackGlass'!$E$3:$E1000,$B17),0)</f>
        <v>1</v>
      </c>
      <c r="D17" s="41">
        <f>IFERROR(COUNTIFS('Systems&amp;BackGlass'!$A$3:$A1000,D$2,'Systems&amp;BackGlass'!$E$3:$E1000,$B17),0)</f>
        <v>0</v>
      </c>
      <c r="E17" s="41">
        <f>IFERROR(COUNTIFS('Systems&amp;BackGlass'!$A$3:$A1000,E$2,'Systems&amp;BackGlass'!$E$3:$E1000,$B17),0)</f>
        <v>0</v>
      </c>
      <c r="F17" s="41">
        <f>IFERROR(COUNTIFS('Systems&amp;BackGlass'!$A$3:$A1000,F$2,'Systems&amp;BackGlass'!$E$3:$E1000,$B17),0)</f>
        <v>0</v>
      </c>
      <c r="G17" s="41">
        <f>IFERROR(COUNTIFS('Systems&amp;BackGlass'!$A$3:$A1000,G$2,'Systems&amp;BackGlass'!$E$3:$E1000,$B17),0)</f>
        <v>0</v>
      </c>
      <c r="H17" s="41">
        <f>IFERROR(COUNTIFS('Systems&amp;BackGlass'!$A$3:$A1000,H$2,'Systems&amp;BackGlass'!$E$3:$E1000,$B17),0)</f>
        <v>0</v>
      </c>
      <c r="I17" s="42">
        <f t="shared" si="1"/>
        <v>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40" t="str">
        <f t="array" ref="U17">XLOOKUP(V17,'Systems&amp;BackGlass'!E$3:E1000,'Systems&amp;BackGlass'!D$3:D1000)</f>
        <v>TA661-44999</v>
      </c>
      <c r="V17" s="3" t="str">
        <f>IFERROR(__xludf.DUMMYFUNCTION("""COMPUTED_VALUE"""),"256GB, Black Titanium, ROW, iPhone 16 Pro, Logic Board Assy Mid System")</f>
        <v>256GB, Black Titanium, ROW, iPhone 16 Pro, Logic Board Assy Mid System</v>
      </c>
      <c r="W17" s="40">
        <f>IFERROR(COUNTIFS('Systems&amp;BackGlass'!$A$3:$A1000,W$2,'Systems&amp;BackGlass'!$E$3:$E1000,$V17),0)</f>
        <v>1</v>
      </c>
      <c r="X17" s="40">
        <f>IFERROR(COUNTIFS('Systems&amp;BackGlass'!$A$3:$A1000,X$2,'Systems&amp;BackGlass'!$E$3:$E1000,$V17),0)</f>
        <v>1</v>
      </c>
      <c r="Y17" s="40">
        <f>IFERROR(COUNTIFS('Systems&amp;BackGlass'!$A$3:$A1000,Y$2,'Systems&amp;BackGlass'!$E$3:$E1000,$V17),0)</f>
        <v>0</v>
      </c>
      <c r="Z17" s="40">
        <f>IFERROR(COUNTIFS('Systems&amp;BackGlass'!$A$3:$A1000,Z$2,'Systems&amp;BackGlass'!$E$3:$E1000,$V17),0)</f>
        <v>1</v>
      </c>
      <c r="AA17" s="40">
        <f>IFERROR(COUNTIFS('Systems&amp;BackGlass'!$A$3:$A1000,AA$2,'Systems&amp;BackGlass'!$E$3:$E1000,$V17),0)</f>
        <v>1</v>
      </c>
      <c r="AB17" s="40">
        <f>IFERROR(COUNTIFS('Systems&amp;BackGlass'!$A$3:$A1000,AB$2,'Systems&amp;BackGlass'!$E$3:$E1000,$V17),0)</f>
        <v>1</v>
      </c>
      <c r="AC17" s="44">
        <f t="shared" si="3"/>
        <v>1</v>
      </c>
      <c r="AD17" s="44"/>
      <c r="AE17" s="44"/>
      <c r="AF17" s="44"/>
      <c r="AG17" s="44"/>
      <c r="AH17" s="44"/>
      <c r="AI17" s="44"/>
      <c r="AJ17" s="44"/>
      <c r="AK17" s="44"/>
    </row>
    <row r="18">
      <c r="A18" s="40" t="str">
        <f t="array" ref="A18">XLOOKUP(B18,'Systems&amp;BackGlass'!$E$3:$E1000,'Systems&amp;BackGlass'!$D$3:$D1000)</f>
        <v>661-37212</v>
      </c>
      <c r="B18" s="2" t="str">
        <f>IFERROR(__xludf.DUMMYFUNCTION("""COMPUTED_VALUE"""),"Green, Back Glass, iPhone 15 Plus")</f>
        <v>Green, Back Glass, iPhone 15 Plus</v>
      </c>
      <c r="C18" s="41">
        <f>IFERROR(COUNTIFS('Systems&amp;BackGlass'!$A$3:$A1000,C$2,'Systems&amp;BackGlass'!$E$3:$E1000,$B18),0)</f>
        <v>0</v>
      </c>
      <c r="D18" s="41">
        <f>IFERROR(COUNTIFS('Systems&amp;BackGlass'!$A$3:$A1000,D$2,'Systems&amp;BackGlass'!$E$3:$E1000,$B18),0)</f>
        <v>1</v>
      </c>
      <c r="E18" s="41">
        <f>IFERROR(COUNTIFS('Systems&amp;BackGlass'!$A$3:$A1000,E$2,'Systems&amp;BackGlass'!$E$3:$E1000,$B18),0)</f>
        <v>0</v>
      </c>
      <c r="F18" s="41">
        <f>IFERROR(COUNTIFS('Systems&amp;BackGlass'!$A$3:$A1000,F$2,'Systems&amp;BackGlass'!$E$3:$E1000,$B18),0)</f>
        <v>0</v>
      </c>
      <c r="G18" s="41">
        <f>IFERROR(COUNTIFS('Systems&amp;BackGlass'!$A$3:$A1000,G$2,'Systems&amp;BackGlass'!$E$3:$E1000,$B18),0)</f>
        <v>0</v>
      </c>
      <c r="H18" s="41">
        <f>IFERROR(COUNTIFS('Systems&amp;BackGlass'!$A$3:$A1000,H$2,'Systems&amp;BackGlass'!$E$3:$E1000,$B18),0)</f>
        <v>0</v>
      </c>
      <c r="I18" s="42">
        <f t="shared" si="1"/>
        <v>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40" t="str">
        <f t="array" ref="U18">XLOOKUP(V18,'Systems&amp;BackGlass'!E$3:E1000,'Systems&amp;BackGlass'!D$3:D1000)</f>
        <v>TA661-45236</v>
      </c>
      <c r="V18" s="3" t="str">
        <f>IFERROR(__xludf.DUMMYFUNCTION("""COMPUTED_VALUE"""),"256GB, Black, ROW, iPhone 16 Plus, Logic Board Assy Mid System")</f>
        <v>256GB, Black, ROW, iPhone 16 Plus, Logic Board Assy Mid System</v>
      </c>
      <c r="W18" s="40">
        <f>IFERROR(COUNTIFS('Systems&amp;BackGlass'!$A$3:$A1000,W$2,'Systems&amp;BackGlass'!$E$3:$E1000,$V18),0)</f>
        <v>1</v>
      </c>
      <c r="X18" s="40">
        <f>IFERROR(COUNTIFS('Systems&amp;BackGlass'!$A$3:$A1000,X$2,'Systems&amp;BackGlass'!$E$3:$E1000,$V18),0)</f>
        <v>2</v>
      </c>
      <c r="Y18" s="40">
        <f>IFERROR(COUNTIFS('Systems&amp;BackGlass'!$A$3:$A1000,Y$2,'Systems&amp;BackGlass'!$E$3:$E1000,$V18),0)</f>
        <v>0</v>
      </c>
      <c r="Z18" s="40">
        <f>IFERROR(COUNTIFS('Systems&amp;BackGlass'!$A$3:$A1000,Z$2,'Systems&amp;BackGlass'!$E$3:$E1000,$V18),0)</f>
        <v>1</v>
      </c>
      <c r="AA18" s="40">
        <f>IFERROR(COUNTIFS('Systems&amp;BackGlass'!$A$3:$A1000,AA$2,'Systems&amp;BackGlass'!$E$3:$E1000,$V18),0)</f>
        <v>0</v>
      </c>
      <c r="AB18" s="40">
        <f>IFERROR(COUNTIFS('Systems&amp;BackGlass'!$A$3:$A1000,AB$2,'Systems&amp;BackGlass'!$E$3:$E1000,$V18),0)</f>
        <v>1</v>
      </c>
      <c r="AC18" s="44">
        <f t="shared" si="3"/>
        <v>0</v>
      </c>
      <c r="AD18" s="44"/>
      <c r="AE18" s="44"/>
      <c r="AF18" s="44"/>
      <c r="AG18" s="44"/>
      <c r="AH18" s="44"/>
      <c r="AI18" s="44"/>
      <c r="AJ18" s="44"/>
      <c r="AK18" s="44"/>
    </row>
    <row r="19">
      <c r="A19" s="40" t="str">
        <f t="array" ref="A19">XLOOKUP(B19,'Systems&amp;BackGlass'!$E$3:$E1000,'Systems&amp;BackGlass'!$D$3:$D1000)</f>
        <v>661-56060</v>
      </c>
      <c r="B19" s="2" t="str">
        <f>IFERROR(__xludf.DUMMYFUNCTION("""COMPUTED_VALUE"""),"Lavender, Back Glass, iPhone 17")</f>
        <v>Lavender, Back Glass, iPhone 17</v>
      </c>
      <c r="C19" s="41">
        <f>IFERROR(COUNTIFS('Systems&amp;BackGlass'!$A$3:$A1000,C$2,'Systems&amp;BackGlass'!$E$3:$E1000,$B19),0)</f>
        <v>0</v>
      </c>
      <c r="D19" s="41">
        <f>IFERROR(COUNTIFS('Systems&amp;BackGlass'!$A$3:$A1000,D$2,'Systems&amp;BackGlass'!$E$3:$E1000,$B19),0)</f>
        <v>0</v>
      </c>
      <c r="E19" s="41">
        <f>IFERROR(COUNTIFS('Systems&amp;BackGlass'!$A$3:$A1000,E$2,'Systems&amp;BackGlass'!$E$3:$E1000,$B19),0)</f>
        <v>1</v>
      </c>
      <c r="F19" s="41">
        <f>IFERROR(COUNTIFS('Systems&amp;BackGlass'!$A$3:$A1000,F$2,'Systems&amp;BackGlass'!$E$3:$E1000,$B19),0)</f>
        <v>0</v>
      </c>
      <c r="G19" s="41">
        <f>IFERROR(COUNTIFS('Systems&amp;BackGlass'!$A$3:$A1000,G$2,'Systems&amp;BackGlass'!$E$3:$E1000,$B19),0)</f>
        <v>0</v>
      </c>
      <c r="H19" s="41">
        <f>IFERROR(COUNTIFS('Systems&amp;BackGlass'!$A$3:$A1000,H$2,'Systems&amp;BackGlass'!$E$3:$E1000,$B19),0)</f>
        <v>0</v>
      </c>
      <c r="I19" s="42">
        <f t="shared" si="1"/>
        <v>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40" t="str">
        <f t="array" ref="U19">XLOOKUP(V19,'Systems&amp;BackGlass'!E$3:E1000,'Systems&amp;BackGlass'!D$3:D1000)</f>
        <v>TA661-43610</v>
      </c>
      <c r="V19" s="3" t="str">
        <f>IFERROR(__xludf.DUMMYFUNCTION("""COMPUTED_VALUE"""),"256GB, Black, ROW, iPhone 16, Logic Board Assy Mid System")</f>
        <v>256GB, Black, ROW, iPhone 16, Logic Board Assy Mid System</v>
      </c>
      <c r="W19" s="40">
        <f>IFERROR(COUNTIFS('Systems&amp;BackGlass'!$A$3:$A1000,W$2,'Systems&amp;BackGlass'!$E$3:$E1000,$V19),0)</f>
        <v>1</v>
      </c>
      <c r="X19" s="40">
        <f>IFERROR(COUNTIFS('Systems&amp;BackGlass'!$A$3:$A1000,X$2,'Systems&amp;BackGlass'!$E$3:$E1000,$V19),0)</f>
        <v>0</v>
      </c>
      <c r="Y19" s="40">
        <f>IFERROR(COUNTIFS('Systems&amp;BackGlass'!$A$3:$A1000,Y$2,'Systems&amp;BackGlass'!$E$3:$E1000,$V19),0)</f>
        <v>1</v>
      </c>
      <c r="Z19" s="40">
        <f>IFERROR(COUNTIFS('Systems&amp;BackGlass'!$A$3:$A1000,Z$2,'Systems&amp;BackGlass'!$E$3:$E1000,$V19),0)</f>
        <v>0</v>
      </c>
      <c r="AA19" s="40">
        <f>IFERROR(COUNTIFS('Systems&amp;BackGlass'!$A$3:$A1000,AA$2,'Systems&amp;BackGlass'!$E$3:$E1000,$V19),0)</f>
        <v>0</v>
      </c>
      <c r="AB19" s="40">
        <f>IFERROR(COUNTIFS('Systems&amp;BackGlass'!$A$3:$A1000,AB$2,'Systems&amp;BackGlass'!$E$3:$E1000,$V19),0)</f>
        <v>0</v>
      </c>
      <c r="AC19" s="44">
        <f t="shared" si="3"/>
        <v>0</v>
      </c>
      <c r="AD19" s="44"/>
      <c r="AE19" s="44"/>
      <c r="AF19" s="44"/>
      <c r="AG19" s="44"/>
      <c r="AH19" s="44"/>
      <c r="AI19" s="44"/>
      <c r="AJ19" s="44"/>
      <c r="AK19" s="44"/>
    </row>
    <row r="20">
      <c r="A20" s="40" t="str">
        <f t="array" ref="A20">XLOOKUP(B20,'Systems&amp;BackGlass'!$E$3:$E1000,'Systems&amp;BackGlass'!$D$3:$D1000)</f>
        <v>661-30413</v>
      </c>
      <c r="B20" s="2" t="str">
        <f>IFERROR(__xludf.DUMMYFUNCTION("""COMPUTED_VALUE"""),"Midnight, Back Glass, iPhone 14")</f>
        <v>Midnight, Back Glass, iPhone 14</v>
      </c>
      <c r="C20" s="41">
        <f>IFERROR(COUNTIFS('Systems&amp;BackGlass'!$A$3:$A1000,C$2,'Systems&amp;BackGlass'!$E$3:$E1000,$B20),0)</f>
        <v>0</v>
      </c>
      <c r="D20" s="41">
        <f>IFERROR(COUNTIFS('Systems&amp;BackGlass'!$A$3:$A1000,D$2,'Systems&amp;BackGlass'!$E$3:$E1000,$B20),0)</f>
        <v>0</v>
      </c>
      <c r="E20" s="41">
        <f>IFERROR(COUNTIFS('Systems&amp;BackGlass'!$A$3:$A1000,E$2,'Systems&amp;BackGlass'!$E$3:$E1000,$B20),0)</f>
        <v>1</v>
      </c>
      <c r="F20" s="41">
        <f>IFERROR(COUNTIFS('Systems&amp;BackGlass'!$A$3:$A1000,F$2,'Systems&amp;BackGlass'!$E$3:$E1000,$B20),0)</f>
        <v>0</v>
      </c>
      <c r="G20" s="41">
        <f>IFERROR(COUNTIFS('Systems&amp;BackGlass'!$A$3:$A1000,G$2,'Systems&amp;BackGlass'!$E$3:$E1000,$B20),0)</f>
        <v>0</v>
      </c>
      <c r="H20" s="41">
        <f>IFERROR(COUNTIFS('Systems&amp;BackGlass'!$A$3:$A1000,H$2,'Systems&amp;BackGlass'!$E$3:$E1000,$B20),0)</f>
        <v>0</v>
      </c>
      <c r="I20" s="42">
        <f t="shared" si="1"/>
        <v>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40" t="str">
        <f t="array" ref="U20">XLOOKUP(V20,'Systems&amp;BackGlass'!E$3:E1000,'Systems&amp;BackGlass'!D$3:D1000)</f>
        <v>TA661-45001</v>
      </c>
      <c r="V20" s="3" t="str">
        <f>IFERROR(__xludf.DUMMYFUNCTION("""COMPUTED_VALUE"""),"256GB, Desert Titanium, ROW, iPhone 16 Pro, Logic Board Assy Mid System")</f>
        <v>256GB, Desert Titanium, ROW, iPhone 16 Pro, Logic Board Assy Mid System</v>
      </c>
      <c r="W20" s="40">
        <f>IFERROR(COUNTIFS('Systems&amp;BackGlass'!$A$3:$A1000,W$2,'Systems&amp;BackGlass'!$E$3:$E1000,$V20),0)</f>
        <v>1</v>
      </c>
      <c r="X20" s="40">
        <f>IFERROR(COUNTIFS('Systems&amp;BackGlass'!$A$3:$A1000,X$2,'Systems&amp;BackGlass'!$E$3:$E1000,$V20),0)</f>
        <v>2</v>
      </c>
      <c r="Y20" s="40">
        <f>IFERROR(COUNTIFS('Systems&amp;BackGlass'!$A$3:$A1000,Y$2,'Systems&amp;BackGlass'!$E$3:$E1000,$V20),0)</f>
        <v>0</v>
      </c>
      <c r="Z20" s="40">
        <f>IFERROR(COUNTIFS('Systems&amp;BackGlass'!$A$3:$A1000,Z$2,'Systems&amp;BackGlass'!$E$3:$E1000,$V20),0)</f>
        <v>0</v>
      </c>
      <c r="AA20" s="40">
        <f>IFERROR(COUNTIFS('Systems&amp;BackGlass'!$A$3:$A1000,AA$2,'Systems&amp;BackGlass'!$E$3:$E1000,$V20),0)</f>
        <v>1</v>
      </c>
      <c r="AB20" s="40">
        <f>IFERROR(COUNTIFS('Systems&amp;BackGlass'!$A$3:$A1000,AB$2,'Systems&amp;BackGlass'!$E$3:$E1000,$V20),0)</f>
        <v>0</v>
      </c>
      <c r="AC20" s="44">
        <f t="shared" si="3"/>
        <v>0</v>
      </c>
      <c r="AD20" s="44"/>
      <c r="AE20" s="44"/>
      <c r="AF20" s="44"/>
      <c r="AG20" s="44"/>
      <c r="AH20" s="44"/>
      <c r="AI20" s="44"/>
      <c r="AJ20" s="44"/>
      <c r="AK20" s="44"/>
    </row>
    <row r="21">
      <c r="A21" s="40" t="str">
        <f t="array" ref="A21">XLOOKUP(B21,'Systems&amp;BackGlass'!$E$3:$E1000,'Systems&amp;BackGlass'!$D$3:$D1000)</f>
        <v>661-30383</v>
      </c>
      <c r="B21" s="2" t="str">
        <f>IFERROR(__xludf.DUMMYFUNCTION("""COMPUTED_VALUE"""),"Midnight, Back Glass, iPhone 14 Plus")</f>
        <v>Midnight, Back Glass, iPhone 14 Plus</v>
      </c>
      <c r="C21" s="41">
        <f>IFERROR(COUNTIFS('Systems&amp;BackGlass'!$A$3:$A1000,C$2,'Systems&amp;BackGlass'!$E$3:$E1000,$B21),0)</f>
        <v>1</v>
      </c>
      <c r="D21" s="41">
        <f>IFERROR(COUNTIFS('Systems&amp;BackGlass'!$A$3:$A1000,D$2,'Systems&amp;BackGlass'!$E$3:$E1000,$B21),0)</f>
        <v>0</v>
      </c>
      <c r="E21" s="41">
        <f>IFERROR(COUNTIFS('Systems&amp;BackGlass'!$A$3:$A1000,E$2,'Systems&amp;BackGlass'!$E$3:$E1000,$B21),0)</f>
        <v>1</v>
      </c>
      <c r="F21" s="41">
        <f>IFERROR(COUNTIFS('Systems&amp;BackGlass'!$A$3:$A1000,F$2,'Systems&amp;BackGlass'!$E$3:$E1000,$B21),0)</f>
        <v>1</v>
      </c>
      <c r="G21" s="41">
        <f>IFERROR(COUNTIFS('Systems&amp;BackGlass'!$A$3:$A1000,G$2,'Systems&amp;BackGlass'!$E$3:$E1000,$B21),0)</f>
        <v>0</v>
      </c>
      <c r="H21" s="41">
        <f>IFERROR(COUNTIFS('Systems&amp;BackGlass'!$A$3:$A1000,H$2,'Systems&amp;BackGlass'!$E$3:$E1000,$B21),0)</f>
        <v>0</v>
      </c>
      <c r="I21" s="42">
        <f t="shared" si="1"/>
        <v>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40" t="str">
        <f t="array" ref="U21">XLOOKUP(V21,'Systems&amp;BackGlass'!E$3:E1000,'Systems&amp;BackGlass'!D$3:D1000)</f>
        <v>TA661-45002</v>
      </c>
      <c r="V21" s="3" t="str">
        <f>IFERROR(__xludf.DUMMYFUNCTION("""COMPUTED_VALUE"""),"256GB, Natural Titanium, ROW, iPhone 16 Pro, Logic Board Assy Mid System")</f>
        <v>256GB, Natural Titanium, ROW, iPhone 16 Pro, Logic Board Assy Mid System</v>
      </c>
      <c r="W21" s="40">
        <f>IFERROR(COUNTIFS('Systems&amp;BackGlass'!$A$3:$A1000,W$2,'Systems&amp;BackGlass'!$E$3:$E1000,$V21),0)</f>
        <v>1</v>
      </c>
      <c r="X21" s="40">
        <f>IFERROR(COUNTIFS('Systems&amp;BackGlass'!$A$3:$A1000,X$2,'Systems&amp;BackGlass'!$E$3:$E1000,$V21),0)</f>
        <v>0</v>
      </c>
      <c r="Y21" s="40">
        <f>IFERROR(COUNTIFS('Systems&amp;BackGlass'!$A$3:$A1000,Y$2,'Systems&amp;BackGlass'!$E$3:$E1000,$V21),0)</f>
        <v>1</v>
      </c>
      <c r="Z21" s="40">
        <f>IFERROR(COUNTIFS('Systems&amp;BackGlass'!$A$3:$A1000,Z$2,'Systems&amp;BackGlass'!$E$3:$E1000,$V21),0)</f>
        <v>0</v>
      </c>
      <c r="AA21" s="40">
        <f>IFERROR(COUNTIFS('Systems&amp;BackGlass'!$A$3:$A1000,AA$2,'Systems&amp;BackGlass'!$E$3:$E1000,$V21),0)</f>
        <v>0</v>
      </c>
      <c r="AB21" s="40">
        <f>IFERROR(COUNTIFS('Systems&amp;BackGlass'!$A$3:$A1000,AB$2,'Systems&amp;BackGlass'!$E$3:$E1000,$V21),0)</f>
        <v>1</v>
      </c>
      <c r="AC21" s="44">
        <f t="shared" si="3"/>
        <v>0</v>
      </c>
      <c r="AD21" s="44"/>
      <c r="AE21" s="44"/>
      <c r="AF21" s="44"/>
      <c r="AG21" s="44"/>
      <c r="AH21" s="44"/>
      <c r="AI21" s="44"/>
      <c r="AJ21" s="44"/>
      <c r="AK21" s="44"/>
    </row>
    <row r="22">
      <c r="A22" s="40" t="str">
        <f t="array" ref="A22">XLOOKUP(B22,'Systems&amp;BackGlass'!$E$3:$E1000,'Systems&amp;BackGlass'!$D$3:$D1000)</f>
        <v>661-56059</v>
      </c>
      <c r="B22" s="2" t="str">
        <f>IFERROR(__xludf.DUMMYFUNCTION("""COMPUTED_VALUE"""),"Mist Blue, Back Glass, iPhone 17")</f>
        <v>Mist Blue, Back Glass, iPhone 17</v>
      </c>
      <c r="C22" s="41">
        <f>IFERROR(COUNTIFS('Systems&amp;BackGlass'!$A$3:$A1000,C$2,'Systems&amp;BackGlass'!$E$3:$E1000,$B22),0)</f>
        <v>0</v>
      </c>
      <c r="D22" s="41">
        <f>IFERROR(COUNTIFS('Systems&amp;BackGlass'!$A$3:$A1000,D$2,'Systems&amp;BackGlass'!$E$3:$E1000,$B22),0)</f>
        <v>0</v>
      </c>
      <c r="E22" s="41">
        <f>IFERROR(COUNTIFS('Systems&amp;BackGlass'!$A$3:$A1000,E$2,'Systems&amp;BackGlass'!$E$3:$E1000,$B22),0)</f>
        <v>0</v>
      </c>
      <c r="F22" s="41">
        <f>IFERROR(COUNTIFS('Systems&amp;BackGlass'!$A$3:$A1000,F$2,'Systems&amp;BackGlass'!$E$3:$E1000,$B22),0)</f>
        <v>0</v>
      </c>
      <c r="G22" s="41">
        <f>IFERROR(COUNTIFS('Systems&amp;BackGlass'!$A$3:$A1000,G$2,'Systems&amp;BackGlass'!$E$3:$E1000,$B22),0)</f>
        <v>1</v>
      </c>
      <c r="H22" s="41">
        <f>IFERROR(COUNTIFS('Systems&amp;BackGlass'!$A$3:$A1000,H$2,'Systems&amp;BackGlass'!$E$3:$E1000,$B22),0)</f>
        <v>0</v>
      </c>
      <c r="I22" s="42">
        <f t="shared" si="1"/>
        <v>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40" t="str">
        <f t="array" ref="U22">XLOOKUP(V22,'Systems&amp;BackGlass'!E$3:E1000,'Systems&amp;BackGlass'!D$3:D1000)</f>
        <v>TA661-45238</v>
      </c>
      <c r="V22" s="3" t="str">
        <f>IFERROR(__xludf.DUMMYFUNCTION("""COMPUTED_VALUE"""),"256GB, Pink, ROW, iPhone 16 Plus, Logic Board Assy Mid System")</f>
        <v>256GB, Pink, ROW, iPhone 16 Plus, Logic Board Assy Mid System</v>
      </c>
      <c r="W22" s="40">
        <f>IFERROR(COUNTIFS('Systems&amp;BackGlass'!$A$3:$A1000,W$2,'Systems&amp;BackGlass'!$E$3:$E1000,$V22),0)</f>
        <v>1</v>
      </c>
      <c r="X22" s="40">
        <f>IFERROR(COUNTIFS('Systems&amp;BackGlass'!$A$3:$A1000,X$2,'Systems&amp;BackGlass'!$E$3:$E1000,$V22),0)</f>
        <v>0</v>
      </c>
      <c r="Y22" s="40">
        <f>IFERROR(COUNTIFS('Systems&amp;BackGlass'!$A$3:$A1000,Y$2,'Systems&amp;BackGlass'!$E$3:$E1000,$V22),0)</f>
        <v>0</v>
      </c>
      <c r="Z22" s="40">
        <f>IFERROR(COUNTIFS('Systems&amp;BackGlass'!$A$3:$A1000,Z$2,'Systems&amp;BackGlass'!$E$3:$E1000,$V22),0)</f>
        <v>1</v>
      </c>
      <c r="AA22" s="40">
        <f>IFERROR(COUNTIFS('Systems&amp;BackGlass'!$A$3:$A1000,AA$2,'Systems&amp;BackGlass'!$E$3:$E1000,$V22),0)</f>
        <v>0</v>
      </c>
      <c r="AB22" s="40">
        <f>IFERROR(COUNTIFS('Systems&amp;BackGlass'!$A$3:$A1000,AB$2,'Systems&amp;BackGlass'!$E$3:$E1000,$V22),0)</f>
        <v>1</v>
      </c>
      <c r="AC22" s="44">
        <f t="shared" si="3"/>
        <v>1</v>
      </c>
      <c r="AD22" s="44"/>
      <c r="AE22" s="44"/>
      <c r="AF22" s="44"/>
      <c r="AG22" s="44"/>
      <c r="AH22" s="44"/>
      <c r="AI22" s="44"/>
      <c r="AJ22" s="44"/>
      <c r="AK22" s="44"/>
    </row>
    <row r="23">
      <c r="A23" s="40" t="str">
        <f t="array" ref="A23">XLOOKUP(B23,'Systems&amp;BackGlass'!$E$3:$E1000,'Systems&amp;BackGlass'!$D$3:$D1000)</f>
        <v>661-35702</v>
      </c>
      <c r="B23" s="2" t="str">
        <f>IFERROR(__xludf.DUMMYFUNCTION("""COMPUTED_VALUE"""),"Natural Titanium, Back Glass, iPhone 15 Pro")</f>
        <v>Natural Titanium, Back Glass, iPhone 15 Pro</v>
      </c>
      <c r="C23" s="41">
        <f>IFERROR(COUNTIFS('Systems&amp;BackGlass'!$A$3:$A1000,C$2,'Systems&amp;BackGlass'!$E$3:$E1000,$B23),0)</f>
        <v>1</v>
      </c>
      <c r="D23" s="41">
        <f>IFERROR(COUNTIFS('Systems&amp;BackGlass'!$A$3:$A1000,D$2,'Systems&amp;BackGlass'!$E$3:$E1000,$B23),0)</f>
        <v>0</v>
      </c>
      <c r="E23" s="41">
        <f>IFERROR(COUNTIFS('Systems&amp;BackGlass'!$A$3:$A1000,E$2,'Systems&amp;BackGlass'!$E$3:$E1000,$B23),0)</f>
        <v>0</v>
      </c>
      <c r="F23" s="41">
        <f>IFERROR(COUNTIFS('Systems&amp;BackGlass'!$A$3:$A1000,F$2,'Systems&amp;BackGlass'!$E$3:$E1000,$B23),0)</f>
        <v>0</v>
      </c>
      <c r="G23" s="41">
        <f>IFERROR(COUNTIFS('Systems&amp;BackGlass'!$A$3:$A1000,G$2,'Systems&amp;BackGlass'!$E$3:$E1000,$B23),0)</f>
        <v>1</v>
      </c>
      <c r="H23" s="41">
        <f>IFERROR(COUNTIFS('Systems&amp;BackGlass'!$A$3:$A1000,H$2,'Systems&amp;BackGlass'!$E$3:$E1000,$B23),0)</f>
        <v>0</v>
      </c>
      <c r="I23" s="42">
        <f t="shared" si="1"/>
        <v>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40" t="str">
        <f t="array" ref="U23">XLOOKUP(V23,'Systems&amp;BackGlass'!E$3:E1000,'Systems&amp;BackGlass'!D$3:D1000)</f>
        <v>TA661-43612</v>
      </c>
      <c r="V23" s="3" t="str">
        <f>IFERROR(__xludf.DUMMYFUNCTION("""COMPUTED_VALUE"""),"256GB, Pink, ROW, iPhone 16, Logic Board Assy Mid System")</f>
        <v>256GB, Pink, ROW, iPhone 16, Logic Board Assy Mid System</v>
      </c>
      <c r="W23" s="40">
        <f>IFERROR(COUNTIFS('Systems&amp;BackGlass'!$A$3:$A1000,W$2,'Systems&amp;BackGlass'!$E$3:$E1000,$V23),0)</f>
        <v>1</v>
      </c>
      <c r="X23" s="40">
        <f>IFERROR(COUNTIFS('Systems&amp;BackGlass'!$A$3:$A1000,X$2,'Systems&amp;BackGlass'!$E$3:$E1000,$V23),0)</f>
        <v>1</v>
      </c>
      <c r="Y23" s="40">
        <f>IFERROR(COUNTIFS('Systems&amp;BackGlass'!$A$3:$A1000,Y$2,'Systems&amp;BackGlass'!$E$3:$E1000,$V23),0)</f>
        <v>0</v>
      </c>
      <c r="Z23" s="40">
        <f>IFERROR(COUNTIFS('Systems&amp;BackGlass'!$A$3:$A1000,Z$2,'Systems&amp;BackGlass'!$E$3:$E1000,$V23),0)</f>
        <v>1</v>
      </c>
      <c r="AA23" s="40">
        <f>IFERROR(COUNTIFS('Systems&amp;BackGlass'!$A$3:$A1000,AA$2,'Systems&amp;BackGlass'!$E$3:$E1000,$V23),0)</f>
        <v>0</v>
      </c>
      <c r="AB23" s="40">
        <f>IFERROR(COUNTIFS('Systems&amp;BackGlass'!$A$3:$A1000,AB$2,'Systems&amp;BackGlass'!$E$3:$E1000,$V23),0)</f>
        <v>0</v>
      </c>
      <c r="AC23" s="44">
        <f t="shared" si="3"/>
        <v>0</v>
      </c>
      <c r="AD23" s="44"/>
      <c r="AE23" s="44"/>
      <c r="AF23" s="44"/>
      <c r="AG23" s="44"/>
      <c r="AH23" s="44"/>
      <c r="AI23" s="44"/>
      <c r="AJ23" s="44"/>
      <c r="AK23" s="44"/>
    </row>
    <row r="24">
      <c r="A24" s="40" t="str">
        <f t="array" ref="A24">XLOOKUP(B24,'Systems&amp;BackGlass'!$E$3:$E1000,'Systems&amp;BackGlass'!$D$3:$D1000)</f>
        <v>661-36909</v>
      </c>
      <c r="B24" s="2" t="str">
        <f>IFERROR(__xludf.DUMMYFUNCTION("""COMPUTED_VALUE"""),"Natural Titanium, Back Glass, iPhone 15 Pro Max")</f>
        <v>Natural Titanium, Back Glass, iPhone 15 Pro Max</v>
      </c>
      <c r="C24" s="41">
        <f>IFERROR(COUNTIFS('Systems&amp;BackGlass'!$A$3:$A1000,C$2,'Systems&amp;BackGlass'!$E$3:$E1000,$B24),0)</f>
        <v>1</v>
      </c>
      <c r="D24" s="41">
        <f>IFERROR(COUNTIFS('Systems&amp;BackGlass'!$A$3:$A1000,D$2,'Systems&amp;BackGlass'!$E$3:$E1000,$B24),0)</f>
        <v>0</v>
      </c>
      <c r="E24" s="41">
        <f>IFERROR(COUNTIFS('Systems&amp;BackGlass'!$A$3:$A1000,E$2,'Systems&amp;BackGlass'!$E$3:$E1000,$B24),0)</f>
        <v>0</v>
      </c>
      <c r="F24" s="41">
        <f>IFERROR(COUNTIFS('Systems&amp;BackGlass'!$A$3:$A1000,F$2,'Systems&amp;BackGlass'!$E$3:$E1000,$B24),0)</f>
        <v>0</v>
      </c>
      <c r="G24" s="41">
        <f>IFERROR(COUNTIFS('Systems&amp;BackGlass'!$A$3:$A1000,G$2,'Systems&amp;BackGlass'!$E$3:$E1000,$B24),0)</f>
        <v>0</v>
      </c>
      <c r="H24" s="41">
        <f>IFERROR(COUNTIFS('Systems&amp;BackGlass'!$A$3:$A1000,H$2,'Systems&amp;BackGlass'!$E$3:$E1000,$B24),0)</f>
        <v>0</v>
      </c>
      <c r="I24" s="42">
        <f t="shared" si="1"/>
        <v>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40" t="str">
        <f t="array" ref="U24">XLOOKUP(V24,'Systems&amp;BackGlass'!E$3:E1000,'Systems&amp;BackGlass'!D$3:D1000)</f>
        <v>TA661-43614</v>
      </c>
      <c r="V24" s="3" t="str">
        <f>IFERROR(__xludf.DUMMYFUNCTION("""COMPUTED_VALUE"""),"256GB, Teal, ROW, iPhone 16, Logic Board Assy Mid System")</f>
        <v>256GB, Teal, ROW, iPhone 16, Logic Board Assy Mid System</v>
      </c>
      <c r="W24" s="40">
        <f>IFERROR(COUNTIFS('Systems&amp;BackGlass'!$A$3:$A1000,W$2,'Systems&amp;BackGlass'!$E$3:$E1000,$V24),0)</f>
        <v>0</v>
      </c>
      <c r="X24" s="40">
        <f>IFERROR(COUNTIFS('Systems&amp;BackGlass'!$A$3:$A1000,X$2,'Systems&amp;BackGlass'!$E$3:$E1000,$V24),0)</f>
        <v>0</v>
      </c>
      <c r="Y24" s="40">
        <f>IFERROR(COUNTIFS('Systems&amp;BackGlass'!$A$3:$A1000,Y$2,'Systems&amp;BackGlass'!$E$3:$E1000,$V24),0)</f>
        <v>0</v>
      </c>
      <c r="Z24" s="40">
        <f>IFERROR(COUNTIFS('Systems&amp;BackGlass'!$A$3:$A1000,Z$2,'Systems&amp;BackGlass'!$E$3:$E1000,$V24),0)</f>
        <v>1</v>
      </c>
      <c r="AA24" s="40">
        <f>IFERROR(COUNTIFS('Systems&amp;BackGlass'!$A$3:$A1000,AA$2,'Systems&amp;BackGlass'!$E$3:$E1000,$V24),0)</f>
        <v>0</v>
      </c>
      <c r="AB24" s="40">
        <f>IFERROR(COUNTIFS('Systems&amp;BackGlass'!$A$3:$A1000,AB$2,'Systems&amp;BackGlass'!$E$3:$E1000,$V24),0)</f>
        <v>1</v>
      </c>
      <c r="AC24" s="44">
        <f t="shared" si="3"/>
        <v>1</v>
      </c>
      <c r="AD24" s="44"/>
      <c r="AE24" s="44"/>
      <c r="AF24" s="44"/>
      <c r="AG24" s="44"/>
      <c r="AH24" s="44"/>
      <c r="AI24" s="44"/>
      <c r="AJ24" s="44"/>
      <c r="AK24" s="44"/>
    </row>
    <row r="25">
      <c r="A25" s="40" t="str">
        <f t="array" ref="A25">XLOOKUP(B25,'Systems&amp;BackGlass'!$E$3:$E1000,'Systems&amp;BackGlass'!$D$3:$D1000)</f>
        <v>661-42725</v>
      </c>
      <c r="B25" s="2" t="str">
        <f>IFERROR(__xludf.DUMMYFUNCTION("""COMPUTED_VALUE"""),"Natural Titanium, Back Glass, iPhone 16 Pro")</f>
        <v>Natural Titanium, Back Glass, iPhone 16 Pro</v>
      </c>
      <c r="C25" s="41">
        <f>IFERROR(COUNTIFS('Systems&amp;BackGlass'!$A$3:$A1000,C$2,'Systems&amp;BackGlass'!$E$3:$E1000,$B25),0)</f>
        <v>1</v>
      </c>
      <c r="D25" s="41">
        <f>IFERROR(COUNTIFS('Systems&amp;BackGlass'!$A$3:$A1000,D$2,'Systems&amp;BackGlass'!$E$3:$E1000,$B25),0)</f>
        <v>0</v>
      </c>
      <c r="E25" s="41">
        <f>IFERROR(COUNTIFS('Systems&amp;BackGlass'!$A$3:$A1000,E$2,'Systems&amp;BackGlass'!$E$3:$E1000,$B25),0)</f>
        <v>0</v>
      </c>
      <c r="F25" s="41">
        <f>IFERROR(COUNTIFS('Systems&amp;BackGlass'!$A$3:$A1000,F$2,'Systems&amp;BackGlass'!$E$3:$E1000,$B25),0)</f>
        <v>0</v>
      </c>
      <c r="G25" s="41">
        <f>IFERROR(COUNTIFS('Systems&amp;BackGlass'!$A$3:$A1000,G$2,'Systems&amp;BackGlass'!$E$3:$E1000,$B25),0)</f>
        <v>0</v>
      </c>
      <c r="H25" s="41">
        <f>IFERROR(COUNTIFS('Systems&amp;BackGlass'!$A$3:$A1000,H$2,'Systems&amp;BackGlass'!$E$3:$E1000,$B25),0)</f>
        <v>1</v>
      </c>
      <c r="I25" s="42">
        <f t="shared" si="1"/>
        <v>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40" t="str">
        <f t="array" ref="U25">XLOOKUP(V25,'Systems&amp;BackGlass'!E$3:E1000,'Systems&amp;BackGlass'!D$3:D1000)</f>
        <v>TA661-43613</v>
      </c>
      <c r="V25" s="3" t="str">
        <f>IFERROR(__xludf.DUMMYFUNCTION("""COMPUTED_VALUE"""),"256GB, Ultramarine, ROW, iPhone 16, Logic Board Assy Mid System")</f>
        <v>256GB, Ultramarine, ROW, iPhone 16, Logic Board Assy Mid System</v>
      </c>
      <c r="W25" s="40">
        <f>IFERROR(COUNTIFS('Systems&amp;BackGlass'!$A$3:$A1000,W$2,'Systems&amp;BackGlass'!$E$3:$E1000,$V25),0)</f>
        <v>0</v>
      </c>
      <c r="X25" s="40">
        <f>IFERROR(COUNTIFS('Systems&amp;BackGlass'!$A$3:$A1000,X$2,'Systems&amp;BackGlass'!$E$3:$E1000,$V25),0)</f>
        <v>0</v>
      </c>
      <c r="Y25" s="40">
        <f>IFERROR(COUNTIFS('Systems&amp;BackGlass'!$A$3:$A1000,Y$2,'Systems&amp;BackGlass'!$E$3:$E1000,$V25),0)</f>
        <v>1</v>
      </c>
      <c r="Z25" s="40">
        <f>IFERROR(COUNTIFS('Systems&amp;BackGlass'!$A$3:$A1000,Z$2,'Systems&amp;BackGlass'!$E$3:$E1000,$V25),0)</f>
        <v>0</v>
      </c>
      <c r="AA25" s="40">
        <f>IFERROR(COUNTIFS('Systems&amp;BackGlass'!$A$3:$A1000,AA$2,'Systems&amp;BackGlass'!$E$3:$E1000,$V25),0)</f>
        <v>0</v>
      </c>
      <c r="AB25" s="40">
        <f>IFERROR(COUNTIFS('Systems&amp;BackGlass'!$A$3:$A1000,AB$2,'Systems&amp;BackGlass'!$E$3:$E1000,$V25),0)</f>
        <v>0</v>
      </c>
      <c r="AC25" s="44">
        <f t="shared" si="3"/>
        <v>0</v>
      </c>
      <c r="AD25" s="44"/>
      <c r="AE25" s="44"/>
      <c r="AF25" s="44"/>
      <c r="AG25" s="44"/>
      <c r="AH25" s="44"/>
      <c r="AI25" s="44"/>
      <c r="AJ25" s="44"/>
      <c r="AK25" s="44"/>
    </row>
    <row r="26">
      <c r="A26" s="40" t="str">
        <f t="array" ref="A26">XLOOKUP(B26,'Systems&amp;BackGlass'!$E$3:$E1000,'Systems&amp;BackGlass'!$D$3:$D1000)</f>
        <v>661-44961</v>
      </c>
      <c r="B26" s="2" t="str">
        <f>IFERROR(__xludf.DUMMYFUNCTION("""COMPUTED_VALUE"""),"Natural Titanium, Back Glass, iPhone 16 Pro Max")</f>
        <v>Natural Titanium, Back Glass, iPhone 16 Pro Max</v>
      </c>
      <c r="C26" s="41">
        <f>IFERROR(COUNTIFS('Systems&amp;BackGlass'!$A$3:$A1000,C$2,'Systems&amp;BackGlass'!$E$3:$E1000,$B26),0)</f>
        <v>0</v>
      </c>
      <c r="D26" s="41">
        <f>IFERROR(COUNTIFS('Systems&amp;BackGlass'!$A$3:$A1000,D$2,'Systems&amp;BackGlass'!$E$3:$E1000,$B26),0)</f>
        <v>1</v>
      </c>
      <c r="E26" s="41">
        <f>IFERROR(COUNTIFS('Systems&amp;BackGlass'!$A$3:$A1000,E$2,'Systems&amp;BackGlass'!$E$3:$E1000,$B26),0)</f>
        <v>1</v>
      </c>
      <c r="F26" s="41">
        <f>IFERROR(COUNTIFS('Systems&amp;BackGlass'!$A$3:$A1000,F$2,'Systems&amp;BackGlass'!$E$3:$E1000,$B26),0)</f>
        <v>1</v>
      </c>
      <c r="G26" s="41">
        <f>IFERROR(COUNTIFS('Systems&amp;BackGlass'!$A$3:$A1000,G$2,'Systems&amp;BackGlass'!$E$3:$E1000,$B26),0)</f>
        <v>1</v>
      </c>
      <c r="H26" s="41">
        <f>IFERROR(COUNTIFS('Systems&amp;BackGlass'!$A$3:$A1000,H$2,'Systems&amp;BackGlass'!$E$3:$E1000,$B26),0)</f>
        <v>0</v>
      </c>
      <c r="I26" s="42">
        <f t="shared" si="1"/>
        <v>1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40" t="str">
        <f t="array" ref="U26">XLOOKUP(V26,'Systems&amp;BackGlass'!E$3:E1000,'Systems&amp;BackGlass'!D$3:D1000)</f>
        <v>TA661-45000</v>
      </c>
      <c r="V26" s="3" t="str">
        <f>IFERROR(__xludf.DUMMYFUNCTION("""COMPUTED_VALUE"""),"256GB, White Titanium, ROW, iPhone 16 Pro, Logic Board Assy Mid System")</f>
        <v>256GB, White Titanium, ROW, iPhone 16 Pro, Logic Board Assy Mid System</v>
      </c>
      <c r="W26" s="40">
        <f>IFERROR(COUNTIFS('Systems&amp;BackGlass'!$A$3:$A1000,W$2,'Systems&amp;BackGlass'!$E$3:$E1000,$V26),0)</f>
        <v>1</v>
      </c>
      <c r="X26" s="40">
        <f>IFERROR(COUNTIFS('Systems&amp;BackGlass'!$A$3:$A1000,X$2,'Systems&amp;BackGlass'!$E$3:$E1000,$V26),0)</f>
        <v>1</v>
      </c>
      <c r="Y26" s="40">
        <f>IFERROR(COUNTIFS('Systems&amp;BackGlass'!$A$3:$A1000,Y$2,'Systems&amp;BackGlass'!$E$3:$E1000,$V26),0)</f>
        <v>0</v>
      </c>
      <c r="Z26" s="40">
        <f>IFERROR(COUNTIFS('Systems&amp;BackGlass'!$A$3:$A1000,Z$2,'Systems&amp;BackGlass'!$E$3:$E1000,$V26),0)</f>
        <v>1</v>
      </c>
      <c r="AA26" s="40">
        <f>IFERROR(COUNTIFS('Systems&amp;BackGlass'!$A$3:$A1000,AA$2,'Systems&amp;BackGlass'!$E$3:$E1000,$V26),0)</f>
        <v>1</v>
      </c>
      <c r="AB26" s="40">
        <f>IFERROR(COUNTIFS('Systems&amp;BackGlass'!$A$3:$A1000,AB$2,'Systems&amp;BackGlass'!$E$3:$E1000,$V26),0)</f>
        <v>0</v>
      </c>
      <c r="AC26" s="44">
        <f t="shared" si="3"/>
        <v>0</v>
      </c>
      <c r="AD26" s="44"/>
      <c r="AE26" s="44"/>
      <c r="AF26" s="44"/>
      <c r="AG26" s="44"/>
      <c r="AH26" s="44"/>
      <c r="AI26" s="44"/>
      <c r="AJ26" s="44"/>
      <c r="AK26" s="44"/>
    </row>
    <row r="27">
      <c r="A27" s="40" t="str">
        <f t="array" ref="A27">XLOOKUP(B27,'Systems&amp;BackGlass'!$E$3:$E1000,'Systems&amp;BackGlass'!$D$3:$D1000)</f>
        <v>661-36834</v>
      </c>
      <c r="B27" s="2" t="str">
        <f>IFERROR(__xludf.DUMMYFUNCTION("""COMPUTED_VALUE"""),"Natural Titanium, Millimeter Wave, Back Glass, iPhone 15 Pro")</f>
        <v>Natural Titanium, Millimeter Wave, Back Glass, iPhone 15 Pro</v>
      </c>
      <c r="C27" s="41">
        <f>IFERROR(COUNTIFS('Systems&amp;BackGlass'!$A$3:$A1000,C$2,'Systems&amp;BackGlass'!$E$3:$E1000,$B27),0)</f>
        <v>0</v>
      </c>
      <c r="D27" s="41">
        <f>IFERROR(COUNTIFS('Systems&amp;BackGlass'!$A$3:$A1000,D$2,'Systems&amp;BackGlass'!$E$3:$E1000,$B27),0)</f>
        <v>0</v>
      </c>
      <c r="E27" s="41">
        <f>IFERROR(COUNTIFS('Systems&amp;BackGlass'!$A$3:$A1000,E$2,'Systems&amp;BackGlass'!$E$3:$E1000,$B27),0)</f>
        <v>1</v>
      </c>
      <c r="F27" s="41">
        <f>IFERROR(COUNTIFS('Systems&amp;BackGlass'!$A$3:$A1000,F$2,'Systems&amp;BackGlass'!$E$3:$E1000,$B27),0)</f>
        <v>0</v>
      </c>
      <c r="G27" s="41">
        <f>IFERROR(COUNTIFS('Systems&amp;BackGlass'!$A$3:$A1000,G$2,'Systems&amp;BackGlass'!$E$3:$E1000,$B27),0)</f>
        <v>0</v>
      </c>
      <c r="H27" s="41">
        <f>IFERROR(COUNTIFS('Systems&amp;BackGlass'!$A$3:$A1000,H$2,'Systems&amp;BackGlass'!$E$3:$E1000,$B27),0)</f>
        <v>0</v>
      </c>
      <c r="I27" s="42">
        <f t="shared" si="1"/>
        <v>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40" t="str">
        <f t="array" ref="U27">XLOOKUP(V27,'Systems&amp;BackGlass'!E$3:E1000,'Systems&amp;BackGlass'!D$3:D1000)</f>
        <v>TA661-45237</v>
      </c>
      <c r="V27" s="3" t="str">
        <f>IFERROR(__xludf.DUMMYFUNCTION("""COMPUTED_VALUE"""),"256GB, White, ROW, iPhone 16 Plus, Logic Board Assy Mid System")</f>
        <v>256GB, White, ROW, iPhone 16 Plus, Logic Board Assy Mid System</v>
      </c>
      <c r="W27" s="40">
        <f>IFERROR(COUNTIFS('Systems&amp;BackGlass'!$A$3:$A1000,W$2,'Systems&amp;BackGlass'!$E$3:$E1000,$V27),0)</f>
        <v>0</v>
      </c>
      <c r="X27" s="40">
        <f>IFERROR(COUNTIFS('Systems&amp;BackGlass'!$A$3:$A1000,X$2,'Systems&amp;BackGlass'!$E$3:$E1000,$V27),0)</f>
        <v>0</v>
      </c>
      <c r="Y27" s="40">
        <f>IFERROR(COUNTIFS('Systems&amp;BackGlass'!$A$3:$A1000,Y$2,'Systems&amp;BackGlass'!$E$3:$E1000,$V27),0)</f>
        <v>1</v>
      </c>
      <c r="Z27" s="40">
        <f>IFERROR(COUNTIFS('Systems&amp;BackGlass'!$A$3:$A1000,Z$2,'Systems&amp;BackGlass'!$E$3:$E1000,$V27),0)</f>
        <v>0</v>
      </c>
      <c r="AA27" s="40">
        <f>IFERROR(COUNTIFS('Systems&amp;BackGlass'!$A$3:$A1000,AA$2,'Systems&amp;BackGlass'!$E$3:$E1000,$V27),0)</f>
        <v>0</v>
      </c>
      <c r="AB27" s="40">
        <f>IFERROR(COUNTIFS('Systems&amp;BackGlass'!$A$3:$A1000,AB$2,'Systems&amp;BackGlass'!$E$3:$E1000,$V27),0)</f>
        <v>0</v>
      </c>
      <c r="AC27" s="44">
        <f t="shared" si="3"/>
        <v>0</v>
      </c>
      <c r="AD27" s="44"/>
      <c r="AE27" s="44"/>
      <c r="AF27" s="44"/>
      <c r="AG27" s="44"/>
      <c r="AH27" s="44"/>
      <c r="AI27" s="44"/>
      <c r="AJ27" s="44"/>
      <c r="AK27" s="44"/>
    </row>
    <row r="28">
      <c r="A28" s="40" t="str">
        <f t="array" ref="A28">XLOOKUP(B28,'Systems&amp;BackGlass'!$E$3:$E1000,'Systems&amp;BackGlass'!$D$3:$D1000)</f>
        <v>661-36913</v>
      </c>
      <c r="B28" s="2" t="str">
        <f>IFERROR(__xludf.DUMMYFUNCTION("""COMPUTED_VALUE"""),"Natural Titanium, Millimeter Wave, Back Glass, iPhone 15 Pro Max")</f>
        <v>Natural Titanium, Millimeter Wave, Back Glass, iPhone 15 Pro Max</v>
      </c>
      <c r="C28" s="41">
        <f>IFERROR(COUNTIFS('Systems&amp;BackGlass'!$A$3:$A1000,C$2,'Systems&amp;BackGlass'!$E$3:$E1000,$B28),0)</f>
        <v>1</v>
      </c>
      <c r="D28" s="41">
        <f>IFERROR(COUNTIFS('Systems&amp;BackGlass'!$A$3:$A1000,D$2,'Systems&amp;BackGlass'!$E$3:$E1000,$B28),0)</f>
        <v>0</v>
      </c>
      <c r="E28" s="41">
        <f>IFERROR(COUNTIFS('Systems&amp;BackGlass'!$A$3:$A1000,E$2,'Systems&amp;BackGlass'!$E$3:$E1000,$B28),0)</f>
        <v>0</v>
      </c>
      <c r="F28" s="41">
        <f>IFERROR(COUNTIFS('Systems&amp;BackGlass'!$A$3:$A1000,F$2,'Systems&amp;BackGlass'!$E$3:$E1000,$B28),0)</f>
        <v>0</v>
      </c>
      <c r="G28" s="41">
        <f>IFERROR(COUNTIFS('Systems&amp;BackGlass'!$A$3:$A1000,G$2,'Systems&amp;BackGlass'!$E$3:$E1000,$B28),0)</f>
        <v>0</v>
      </c>
      <c r="H28" s="41">
        <f>IFERROR(COUNTIFS('Systems&amp;BackGlass'!$A$3:$A1000,H$2,'Systems&amp;BackGlass'!$E$3:$E1000,$B28),0)</f>
        <v>0</v>
      </c>
      <c r="I28" s="42">
        <f t="shared" si="1"/>
        <v>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40" t="str">
        <f t="array" ref="U28">XLOOKUP(V28,'Systems&amp;BackGlass'!E$3:E1000,'Systems&amp;BackGlass'!D$3:D1000)</f>
        <v>TA661-43611</v>
      </c>
      <c r="V28" s="3" t="str">
        <f>IFERROR(__xludf.DUMMYFUNCTION("""COMPUTED_VALUE"""),"256GB, White, ROW, iPhone 16, Logic Board Assy Mid System")</f>
        <v>256GB, White, ROW, iPhone 16, Logic Board Assy Mid System</v>
      </c>
      <c r="W28" s="40">
        <f>IFERROR(COUNTIFS('Systems&amp;BackGlass'!$A$3:$A1000,W$2,'Systems&amp;BackGlass'!$E$3:$E1000,$V28),0)</f>
        <v>1</v>
      </c>
      <c r="X28" s="40">
        <f>IFERROR(COUNTIFS('Systems&amp;BackGlass'!$A$3:$A1000,X$2,'Systems&amp;BackGlass'!$E$3:$E1000,$V28),0)</f>
        <v>2</v>
      </c>
      <c r="Y28" s="40">
        <f>IFERROR(COUNTIFS('Systems&amp;BackGlass'!$A$3:$A1000,Y$2,'Systems&amp;BackGlass'!$E$3:$E1000,$V28),0)</f>
        <v>0</v>
      </c>
      <c r="Z28" s="40">
        <f>IFERROR(COUNTIFS('Systems&amp;BackGlass'!$A$3:$A1000,Z$2,'Systems&amp;BackGlass'!$E$3:$E1000,$V28),0)</f>
        <v>0</v>
      </c>
      <c r="AA28" s="40">
        <f>IFERROR(COUNTIFS('Systems&amp;BackGlass'!$A$3:$A1000,AA$2,'Systems&amp;BackGlass'!$E$3:$E1000,$V28),0)</f>
        <v>0</v>
      </c>
      <c r="AB28" s="40">
        <f>IFERROR(COUNTIFS('Systems&amp;BackGlass'!$A$3:$A1000,AB$2,'Systems&amp;BackGlass'!$E$3:$E1000,$V28),0)</f>
        <v>1</v>
      </c>
      <c r="AC28" s="44">
        <f t="shared" si="3"/>
        <v>0</v>
      </c>
      <c r="AD28" s="44"/>
      <c r="AE28" s="44"/>
      <c r="AF28" s="44"/>
      <c r="AG28" s="44"/>
      <c r="AH28" s="44"/>
      <c r="AI28" s="44"/>
      <c r="AJ28" s="44"/>
      <c r="AK28" s="44"/>
    </row>
    <row r="29">
      <c r="A29" s="40" t="str">
        <f t="array" ref="A29">XLOOKUP(B29,'Systems&amp;BackGlass'!$E$3:$E1000,'Systems&amp;BackGlass'!$D$3:$D1000)</f>
        <v>661-42840</v>
      </c>
      <c r="B29" s="2" t="str">
        <f>IFERROR(__xludf.DUMMYFUNCTION("""COMPUTED_VALUE"""),"PinkBack Glass, iPhone 16 Plus")</f>
        <v>PinkBack Glass, iPhone 16 Plus</v>
      </c>
      <c r="C29" s="41">
        <f>IFERROR(COUNTIFS('Systems&amp;BackGlass'!$A$3:$A1000,C$2,'Systems&amp;BackGlass'!$E$3:$E1000,$B29),0)</f>
        <v>0</v>
      </c>
      <c r="D29" s="41">
        <f>IFERROR(COUNTIFS('Systems&amp;BackGlass'!$A$3:$A1000,D$2,'Systems&amp;BackGlass'!$E$3:$E1000,$B29),0)</f>
        <v>1</v>
      </c>
      <c r="E29" s="41">
        <f>IFERROR(COUNTIFS('Systems&amp;BackGlass'!$A$3:$A1000,E$2,'Systems&amp;BackGlass'!$E$3:$E1000,$B29),0)</f>
        <v>1</v>
      </c>
      <c r="F29" s="41">
        <f>IFERROR(COUNTIFS('Systems&amp;BackGlass'!$A$3:$A1000,F$2,'Systems&amp;BackGlass'!$E$3:$E1000,$B29),0)</f>
        <v>0</v>
      </c>
      <c r="G29" s="41">
        <f>IFERROR(COUNTIFS('Systems&amp;BackGlass'!$A$3:$A1000,G$2,'Systems&amp;BackGlass'!$E$3:$E1000,$B29),0)</f>
        <v>0</v>
      </c>
      <c r="H29" s="41">
        <f>IFERROR(COUNTIFS('Systems&amp;BackGlass'!$A$3:$A1000,H$2,'Systems&amp;BackGlass'!$E$3:$E1000,$B29),0)</f>
        <v>0</v>
      </c>
      <c r="I29" s="42">
        <f t="shared" si="1"/>
        <v>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40" t="str">
        <f t="array" ref="U29">XLOOKUP(V29,'Systems&amp;BackGlass'!E$3:E1000,'Systems&amp;BackGlass'!D$3:D1000)</f>
        <v>TA661-45003</v>
      </c>
      <c r="V29" s="3" t="str">
        <f>IFERROR(__xludf.DUMMYFUNCTION("""COMPUTED_VALUE"""),"512GB, Black Titanium, ROW, iPhone 16 Pro, Logic Board Assy Mid System")</f>
        <v>512GB, Black Titanium, ROW, iPhone 16 Pro, Logic Board Assy Mid System</v>
      </c>
      <c r="W29" s="40">
        <f>IFERROR(COUNTIFS('Systems&amp;BackGlass'!$A$3:$A1000,W$2,'Systems&amp;BackGlass'!$E$3:$E1000,$V29),0)</f>
        <v>0</v>
      </c>
      <c r="X29" s="40">
        <f>IFERROR(COUNTIFS('Systems&amp;BackGlass'!$A$3:$A1000,X$2,'Systems&amp;BackGlass'!$E$3:$E1000,$V29),0)</f>
        <v>0</v>
      </c>
      <c r="Y29" s="40">
        <f>IFERROR(COUNTIFS('Systems&amp;BackGlass'!$A$3:$A1000,Y$2,'Systems&amp;BackGlass'!$E$3:$E1000,$V29),0)</f>
        <v>0</v>
      </c>
      <c r="Z29" s="40">
        <f>IFERROR(COUNTIFS('Systems&amp;BackGlass'!$A$3:$A1000,Z$2,'Systems&amp;BackGlass'!$E$3:$E1000,$V29),0)</f>
        <v>1</v>
      </c>
      <c r="AA29" s="40">
        <f>IFERROR(COUNTIFS('Systems&amp;BackGlass'!$A$3:$A1000,AA$2,'Systems&amp;BackGlass'!$E$3:$E1000,$V29),0)</f>
        <v>0</v>
      </c>
      <c r="AB29" s="40">
        <f>IFERROR(COUNTIFS('Systems&amp;BackGlass'!$A$3:$A1000,AB$2,'Systems&amp;BackGlass'!$E$3:$E1000,$V29),0)</f>
        <v>0</v>
      </c>
      <c r="AC29" s="44">
        <f t="shared" si="3"/>
        <v>0</v>
      </c>
      <c r="AD29" s="44"/>
      <c r="AE29" s="44"/>
      <c r="AF29" s="44"/>
      <c r="AG29" s="44"/>
      <c r="AH29" s="44"/>
      <c r="AI29" s="44"/>
      <c r="AJ29" s="44"/>
      <c r="AK29" s="44"/>
    </row>
    <row r="30">
      <c r="A30" s="40" t="str">
        <f t="array" ref="A30">XLOOKUP(B30,'Systems&amp;BackGlass'!$E$3:$E1000,'Systems&amp;BackGlass'!$D$3:$D1000)</f>
        <v>661-30387</v>
      </c>
      <c r="B30" s="2" t="str">
        <f>IFERROR(__xludf.DUMMYFUNCTION("""COMPUTED_VALUE"""),"Purple, Back Glass, iPhone 14 Plus")</f>
        <v>Purple, Back Glass, iPhone 14 Plus</v>
      </c>
      <c r="C30" s="41">
        <f>IFERROR(COUNTIFS('Systems&amp;BackGlass'!$A$3:$A1000,C$2,'Systems&amp;BackGlass'!$E$3:$E1000,$B30),0)</f>
        <v>0</v>
      </c>
      <c r="D30" s="41">
        <f>IFERROR(COUNTIFS('Systems&amp;BackGlass'!$A$3:$A1000,D$2,'Systems&amp;BackGlass'!$E$3:$E1000,$B30),0)</f>
        <v>0</v>
      </c>
      <c r="E30" s="41">
        <f>IFERROR(COUNTIFS('Systems&amp;BackGlass'!$A$3:$A1000,E$2,'Systems&amp;BackGlass'!$E$3:$E1000,$B30),0)</f>
        <v>0</v>
      </c>
      <c r="F30" s="41">
        <f>IFERROR(COUNTIFS('Systems&amp;BackGlass'!$A$3:$A1000,F$2,'Systems&amp;BackGlass'!$E$3:$E1000,$B30),0)</f>
        <v>1</v>
      </c>
      <c r="G30" s="41">
        <f>IFERROR(COUNTIFS('Systems&amp;BackGlass'!$A$3:$A1000,G$2,'Systems&amp;BackGlass'!$E$3:$E1000,$B30),0)</f>
        <v>0</v>
      </c>
      <c r="H30" s="41">
        <f>IFERROR(COUNTIFS('Systems&amp;BackGlass'!$A$3:$A1000,H$2,'Systems&amp;BackGlass'!$E$3:$E1000,$B30),0)</f>
        <v>1</v>
      </c>
      <c r="I30" s="42">
        <f t="shared" si="1"/>
        <v>1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40" t="str">
        <f t="array" ref="U30">XLOOKUP(V30,'Systems&amp;BackGlass'!E$3:E1000,'Systems&amp;BackGlass'!D$3:D1000)</f>
        <v>TA661-45006</v>
      </c>
      <c r="V30" s="3" t="str">
        <f>IFERROR(__xludf.DUMMYFUNCTION("""COMPUTED_VALUE"""),"512GB, Natural Titanium, ROW, iPhone 16 Pro, Logic Board Assy Mid System")</f>
        <v>512GB, Natural Titanium, ROW, iPhone 16 Pro, Logic Board Assy Mid System</v>
      </c>
      <c r="W30" s="40">
        <f>IFERROR(COUNTIFS('Systems&amp;BackGlass'!$A$3:$A1000,W$2,'Systems&amp;BackGlass'!$E$3:$E1000,$V30),0)</f>
        <v>0</v>
      </c>
      <c r="X30" s="40">
        <f>IFERROR(COUNTIFS('Systems&amp;BackGlass'!$A$3:$A1000,X$2,'Systems&amp;BackGlass'!$E$3:$E1000,$V30),0)</f>
        <v>1</v>
      </c>
      <c r="Y30" s="40">
        <f>IFERROR(COUNTIFS('Systems&amp;BackGlass'!$A$3:$A1000,Y$2,'Systems&amp;BackGlass'!$E$3:$E1000,$V30),0)</f>
        <v>0</v>
      </c>
      <c r="Z30" s="40">
        <f>IFERROR(COUNTIFS('Systems&amp;BackGlass'!$A$3:$A1000,Z$2,'Systems&amp;BackGlass'!$E$3:$E1000,$V30),0)</f>
        <v>0</v>
      </c>
      <c r="AA30" s="40">
        <f>IFERROR(COUNTIFS('Systems&amp;BackGlass'!$A$3:$A1000,AA$2,'Systems&amp;BackGlass'!$E$3:$E1000,$V30),0)</f>
        <v>0</v>
      </c>
      <c r="AB30" s="40">
        <f>IFERROR(COUNTIFS('Systems&amp;BackGlass'!$A$3:$A1000,AB$2,'Systems&amp;BackGlass'!$E$3:$E1000,$V30),0)</f>
        <v>0</v>
      </c>
      <c r="AC30" s="44">
        <f t="shared" si="3"/>
        <v>0</v>
      </c>
      <c r="AD30" s="44"/>
      <c r="AE30" s="44"/>
      <c r="AF30" s="44"/>
      <c r="AG30" s="44"/>
      <c r="AH30" s="44"/>
      <c r="AI30" s="44"/>
      <c r="AJ30" s="44"/>
      <c r="AK30" s="44"/>
    </row>
    <row r="31">
      <c r="A31" s="40" t="str">
        <f t="array" ref="A31">XLOOKUP(B31,'Systems&amp;BackGlass'!$E$3:$E1000,'Systems&amp;BackGlass'!$D$3:$D1000)</f>
        <v>661-56061</v>
      </c>
      <c r="B31" s="2" t="str">
        <f>IFERROR(__xludf.DUMMYFUNCTION("""COMPUTED_VALUE"""),"Sage, Back Glass, iPhone 17")</f>
        <v>Sage, Back Glass, iPhone 17</v>
      </c>
      <c r="C31" s="41">
        <f>IFERROR(COUNTIFS('Systems&amp;BackGlass'!$A$3:$A1000,C$2,'Systems&amp;BackGlass'!$E$3:$E1000,$B31),0)</f>
        <v>0</v>
      </c>
      <c r="D31" s="41">
        <f>IFERROR(COUNTIFS('Systems&amp;BackGlass'!$A$3:$A1000,D$2,'Systems&amp;BackGlass'!$E$3:$E1000,$B31),0)</f>
        <v>1</v>
      </c>
      <c r="E31" s="41">
        <f>IFERROR(COUNTIFS('Systems&amp;BackGlass'!$A$3:$A1000,E$2,'Systems&amp;BackGlass'!$E$3:$E1000,$B31),0)</f>
        <v>0</v>
      </c>
      <c r="F31" s="41">
        <f>IFERROR(COUNTIFS('Systems&amp;BackGlass'!$A$3:$A1000,F$2,'Systems&amp;BackGlass'!$E$3:$E1000,$B31),0)</f>
        <v>0</v>
      </c>
      <c r="G31" s="41">
        <f>IFERROR(COUNTIFS('Systems&amp;BackGlass'!$A$3:$A1000,G$2,'Systems&amp;BackGlass'!$E$3:$E1000,$B31),0)</f>
        <v>0</v>
      </c>
      <c r="H31" s="41">
        <f>IFERROR(COUNTIFS('Systems&amp;BackGlass'!$A$3:$A1000,H$2,'Systems&amp;BackGlass'!$E$3:$E1000,$B31),0)</f>
        <v>0</v>
      </c>
      <c r="I31" s="42">
        <f t="shared" si="1"/>
        <v>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40" t="str">
        <f t="array" ref="U31">XLOOKUP(V31,'Systems&amp;BackGlass'!E$3:E1000,'Systems&amp;BackGlass'!D$3:D1000)</f>
        <v>TA661-45243</v>
      </c>
      <c r="V31" s="3" t="str">
        <f>IFERROR(__xludf.DUMMYFUNCTION("""COMPUTED_VALUE"""),"512GB, Pink, ROW, iPhone 16 Plus, Logic Board Assy Mid System")</f>
        <v>512GB, Pink, ROW, iPhone 16 Plus, Logic Board Assy Mid System</v>
      </c>
      <c r="W31" s="40">
        <f>IFERROR(COUNTIFS('Systems&amp;BackGlass'!$A$3:$A1000,W$2,'Systems&amp;BackGlass'!$E$3:$E1000,$V31),0)</f>
        <v>0</v>
      </c>
      <c r="X31" s="40">
        <f>IFERROR(COUNTIFS('Systems&amp;BackGlass'!$A$3:$A1000,X$2,'Systems&amp;BackGlass'!$E$3:$E1000,$V31),0)</f>
        <v>0</v>
      </c>
      <c r="Y31" s="40">
        <f>IFERROR(COUNTIFS('Systems&amp;BackGlass'!$A$3:$A1000,Y$2,'Systems&amp;BackGlass'!$E$3:$E1000,$V31),0)</f>
        <v>0</v>
      </c>
      <c r="Z31" s="40">
        <f>IFERROR(COUNTIFS('Systems&amp;BackGlass'!$A$3:$A1000,Z$2,'Systems&amp;BackGlass'!$E$3:$E1000,$V31),0)</f>
        <v>0</v>
      </c>
      <c r="AA31" s="40">
        <f>IFERROR(COUNTIFS('Systems&amp;BackGlass'!$A$3:$A1000,AA$2,'Systems&amp;BackGlass'!$E$3:$E1000,$V31),0)</f>
        <v>0</v>
      </c>
      <c r="AB31" s="40">
        <f>IFERROR(COUNTIFS('Systems&amp;BackGlass'!$A$3:$A1000,AB$2,'Systems&amp;BackGlass'!$E$3:$E1000,$V31),0)</f>
        <v>1</v>
      </c>
      <c r="AC31" s="44">
        <f t="shared" si="3"/>
        <v>1</v>
      </c>
      <c r="AD31" s="44"/>
      <c r="AE31" s="44"/>
      <c r="AF31" s="44"/>
      <c r="AG31" s="44"/>
      <c r="AH31" s="44"/>
      <c r="AI31" s="44"/>
      <c r="AJ31" s="44"/>
      <c r="AK31" s="44"/>
    </row>
    <row r="32">
      <c r="A32" s="40" t="str">
        <f t="array" ref="A32">XLOOKUP(B32,'Systems&amp;BackGlass'!$E$3:$E1000,'Systems&amp;BackGlass'!$D$3:$D1000)</f>
        <v>661-56122</v>
      </c>
      <c r="B32" s="2" t="str">
        <f>IFERROR(__xludf.DUMMYFUNCTION("""COMPUTED_VALUE"""),"Silver, Back Glass, iPhone 17 Pro")</f>
        <v>Silver, Back Glass, iPhone 17 Pro</v>
      </c>
      <c r="C32" s="41">
        <f>IFERROR(COUNTIFS('Systems&amp;BackGlass'!$A$3:$A1000,C$2,'Systems&amp;BackGlass'!$E$3:$E1000,$B32),0)</f>
        <v>0</v>
      </c>
      <c r="D32" s="41">
        <f>IFERROR(COUNTIFS('Systems&amp;BackGlass'!$A$3:$A1000,D$2,'Systems&amp;BackGlass'!$E$3:$E1000,$B32),0)</f>
        <v>0</v>
      </c>
      <c r="E32" s="41">
        <f>IFERROR(COUNTIFS('Systems&amp;BackGlass'!$A$3:$A1000,E$2,'Systems&amp;BackGlass'!$E$3:$E1000,$B32),0)</f>
        <v>0</v>
      </c>
      <c r="F32" s="41">
        <f>IFERROR(COUNTIFS('Systems&amp;BackGlass'!$A$3:$A1000,F$2,'Systems&amp;BackGlass'!$E$3:$E1000,$B32),0)</f>
        <v>3</v>
      </c>
      <c r="G32" s="41">
        <f>IFERROR(COUNTIFS('Systems&amp;BackGlass'!$A$3:$A1000,G$2,'Systems&amp;BackGlass'!$E$3:$E1000,$B32),0)</f>
        <v>2</v>
      </c>
      <c r="H32" s="41">
        <f>IFERROR(COUNTIFS('Systems&amp;BackGlass'!$A$3:$A1000,H$2,'Systems&amp;BackGlass'!$E$3:$E1000,$B32),0)</f>
        <v>1</v>
      </c>
      <c r="I32" s="42">
        <f t="shared" si="1"/>
        <v>2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40" t="str">
        <f t="array" ref="U32">XLOOKUP(V32,'Systems&amp;BackGlass'!E$3:E1000,'Systems&amp;BackGlass'!D$3:D1000)</f>
        <v>TA661-43618</v>
      </c>
      <c r="V32" s="3" t="str">
        <f>IFERROR(__xludf.DUMMYFUNCTION("""COMPUTED_VALUE"""),"512GB, Ultramarine, ROW, iPhone 16, Logic Board Assy Mid System")</f>
        <v>512GB, Ultramarine, ROW, iPhone 16, Logic Board Assy Mid System</v>
      </c>
      <c r="W32" s="40">
        <f>IFERROR(COUNTIFS('Systems&amp;BackGlass'!$A$3:$A1000,W$2,'Systems&amp;BackGlass'!$E$3:$E1000,$V32),0)</f>
        <v>0</v>
      </c>
      <c r="X32" s="40">
        <f>IFERROR(COUNTIFS('Systems&amp;BackGlass'!$A$3:$A1000,X$2,'Systems&amp;BackGlass'!$E$3:$E1000,$V32),0)</f>
        <v>0</v>
      </c>
      <c r="Y32" s="40">
        <f>IFERROR(COUNTIFS('Systems&amp;BackGlass'!$A$3:$A1000,Y$2,'Systems&amp;BackGlass'!$E$3:$E1000,$V32),0)</f>
        <v>0</v>
      </c>
      <c r="Z32" s="40">
        <f>IFERROR(COUNTIFS('Systems&amp;BackGlass'!$A$3:$A1000,Z$2,'Systems&amp;BackGlass'!$E$3:$E1000,$V32),0)</f>
        <v>0</v>
      </c>
      <c r="AA32" s="40">
        <f>IFERROR(COUNTIFS('Systems&amp;BackGlass'!$A$3:$A1000,AA$2,'Systems&amp;BackGlass'!$E$3:$E1000,$V32),0)</f>
        <v>1</v>
      </c>
      <c r="AB32" s="40">
        <f>IFERROR(COUNTIFS('Systems&amp;BackGlass'!$A$3:$A1000,AB$2,'Systems&amp;BackGlass'!$E$3:$E1000,$V32),0)</f>
        <v>0</v>
      </c>
      <c r="AC32" s="44">
        <f t="shared" si="3"/>
        <v>0</v>
      </c>
      <c r="AD32" s="44"/>
      <c r="AE32" s="44"/>
      <c r="AF32" s="44"/>
      <c r="AG32" s="44"/>
      <c r="AH32" s="44"/>
      <c r="AI32" s="44"/>
      <c r="AJ32" s="44"/>
      <c r="AK32" s="44"/>
    </row>
    <row r="33">
      <c r="A33" s="40" t="str">
        <f t="array" ref="A33">XLOOKUP(B33,'Systems&amp;BackGlass'!$E$3:$E1000,'Systems&amp;BackGlass'!$D$3:$D1000)</f>
        <v>661-55239</v>
      </c>
      <c r="B33" s="2" t="str">
        <f>IFERROR(__xludf.DUMMYFUNCTION("""COMPUTED_VALUE"""),"Sky Blue, Back Glass, iPhone Air")</f>
        <v>Sky Blue, Back Glass, iPhone Air</v>
      </c>
      <c r="C33" s="41">
        <f>IFERROR(COUNTIFS('Systems&amp;BackGlass'!$A$3:$A1000,C$2,'Systems&amp;BackGlass'!$E$3:$E1000,$B33),0)</f>
        <v>0</v>
      </c>
      <c r="D33" s="41">
        <f>IFERROR(COUNTIFS('Systems&amp;BackGlass'!$A$3:$A1000,D$2,'Systems&amp;BackGlass'!$E$3:$E1000,$B33),0)</f>
        <v>1</v>
      </c>
      <c r="E33" s="41">
        <f>IFERROR(COUNTIFS('Systems&amp;BackGlass'!$A$3:$A1000,E$2,'Systems&amp;BackGlass'!$E$3:$E1000,$B33),0)</f>
        <v>0</v>
      </c>
      <c r="F33" s="41">
        <f>IFERROR(COUNTIFS('Systems&amp;BackGlass'!$A$3:$A1000,F$2,'Systems&amp;BackGlass'!$E$3:$E1000,$B33),0)</f>
        <v>0</v>
      </c>
      <c r="G33" s="41">
        <f>IFERROR(COUNTIFS('Systems&amp;BackGlass'!$A$3:$A1000,G$2,'Systems&amp;BackGlass'!$E$3:$E1000,$B33),0)</f>
        <v>0</v>
      </c>
      <c r="H33" s="41">
        <f>IFERROR(COUNTIFS('Systems&amp;BackGlass'!$A$3:$A1000,H$2,'Systems&amp;BackGlass'!$E$3:$E1000,$B33),0)</f>
        <v>0</v>
      </c>
      <c r="I33" s="42">
        <f t="shared" si="1"/>
        <v>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40" t="str">
        <f t="array" ref="U33">XLOOKUP(V33,'Systems&amp;BackGlass'!E$3:E1000,'Systems&amp;BackGlass'!D$3:D1000)</f>
        <v>TA661-45242</v>
      </c>
      <c r="V33" s="3" t="str">
        <f>IFERROR(__xludf.DUMMYFUNCTION("""COMPUTED_VALUE"""),"512GB, White, ROW, iPhone 16 Plus, Logic Board Assy Mid System")</f>
        <v>512GB, White, ROW, iPhone 16 Plus, Logic Board Assy Mid System</v>
      </c>
      <c r="W33" s="40">
        <f>IFERROR(COUNTIFS('Systems&amp;BackGlass'!$A$3:$A1000,W$2,'Systems&amp;BackGlass'!$E$3:$E1000,$V33),0)</f>
        <v>0</v>
      </c>
      <c r="X33" s="40">
        <f>IFERROR(COUNTIFS('Systems&amp;BackGlass'!$A$3:$A1000,X$2,'Systems&amp;BackGlass'!$E$3:$E1000,$V33),0)</f>
        <v>0</v>
      </c>
      <c r="Y33" s="40">
        <f>IFERROR(COUNTIFS('Systems&amp;BackGlass'!$A$3:$A1000,Y$2,'Systems&amp;BackGlass'!$E$3:$E1000,$V33),0)</f>
        <v>0</v>
      </c>
      <c r="Z33" s="40">
        <f>IFERROR(COUNTIFS('Systems&amp;BackGlass'!$A$3:$A1000,Z$2,'Systems&amp;BackGlass'!$E$3:$E1000,$V33),0)</f>
        <v>1</v>
      </c>
      <c r="AA33" s="40">
        <f>IFERROR(COUNTIFS('Systems&amp;BackGlass'!$A$3:$A1000,AA$2,'Systems&amp;BackGlass'!$E$3:$E1000,$V33),0)</f>
        <v>0</v>
      </c>
      <c r="AB33" s="40">
        <f>IFERROR(COUNTIFS('Systems&amp;BackGlass'!$A$3:$A1000,AB$2,'Systems&amp;BackGlass'!$E$3:$E1000,$V33),0)</f>
        <v>0</v>
      </c>
      <c r="AC33" s="44">
        <f t="shared" si="3"/>
        <v>0</v>
      </c>
      <c r="AD33" s="44"/>
      <c r="AE33" s="44"/>
      <c r="AF33" s="44"/>
      <c r="AG33" s="44"/>
      <c r="AH33" s="44"/>
      <c r="AI33" s="44"/>
      <c r="AJ33" s="44"/>
      <c r="AK33" s="44"/>
    </row>
    <row r="34">
      <c r="A34" s="40" t="str">
        <f t="array" ref="A34">XLOOKUP(B34,'Systems&amp;BackGlass'!$E$3:$E1000,'Systems&amp;BackGlass'!$D$3:$D1000)</f>
        <v>661-30384</v>
      </c>
      <c r="B34" s="2" t="str">
        <f>IFERROR(__xludf.DUMMYFUNCTION("""COMPUTED_VALUE"""),"Starlight, Back Glass, iPhone 14 Plus")</f>
        <v>Starlight, Back Glass, iPhone 14 Plus</v>
      </c>
      <c r="C34" s="41">
        <f>IFERROR(COUNTIFS('Systems&amp;BackGlass'!$A$3:$A1000,C$2,'Systems&amp;BackGlass'!$E$3:$E1000,$B34),0)</f>
        <v>0</v>
      </c>
      <c r="D34" s="41">
        <f>IFERROR(COUNTIFS('Systems&amp;BackGlass'!$A$3:$A1000,D$2,'Systems&amp;BackGlass'!$E$3:$E1000,$B34),0)</f>
        <v>1</v>
      </c>
      <c r="E34" s="41">
        <f>IFERROR(COUNTIFS('Systems&amp;BackGlass'!$A$3:$A1000,E$2,'Systems&amp;BackGlass'!$E$3:$E1000,$B34),0)</f>
        <v>0</v>
      </c>
      <c r="F34" s="41">
        <f>IFERROR(COUNTIFS('Systems&amp;BackGlass'!$A$3:$A1000,F$2,'Systems&amp;BackGlass'!$E$3:$E1000,$B34),0)</f>
        <v>0</v>
      </c>
      <c r="G34" s="41">
        <f>IFERROR(COUNTIFS('Systems&amp;BackGlass'!$A$3:$A1000,G$2,'Systems&amp;BackGlass'!$E$3:$E1000,$B34),0)</f>
        <v>0</v>
      </c>
      <c r="H34" s="41">
        <f>IFERROR(COUNTIFS('Systems&amp;BackGlass'!$A$3:$A1000,H$2,'Systems&amp;BackGlass'!$E$3:$E1000,$B34),0)</f>
        <v>0</v>
      </c>
      <c r="I34" s="42">
        <f t="shared" si="1"/>
        <v>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40" t="str">
        <f t="array" ref="U34">XLOOKUP(V34,'Systems&amp;BackGlass'!E$3:E1000,'Systems&amp;BackGlass'!D$3:D1000)</f>
        <v>TA661-49966</v>
      </c>
      <c r="V34" s="3" t="str">
        <f>IFERROR(__xludf.DUMMYFUNCTION("""COMPUTED_VALUE"""),"Black, 256GB, Logic Board Assy Mid System, iPhone 16e, ROW")</f>
        <v>Black, 256GB, Logic Board Assy Mid System, iPhone 16e, ROW</v>
      </c>
      <c r="W34" s="40">
        <f>IFERROR(COUNTIFS('Systems&amp;BackGlass'!$A$3:$A1000,W$2,'Systems&amp;BackGlass'!$E$3:$E1000,$V34),0)</f>
        <v>0</v>
      </c>
      <c r="X34" s="40">
        <f>IFERROR(COUNTIFS('Systems&amp;BackGlass'!$A$3:$A1000,X$2,'Systems&amp;BackGlass'!$E$3:$E1000,$V34),0)</f>
        <v>0</v>
      </c>
      <c r="Y34" s="40">
        <f>IFERROR(COUNTIFS('Systems&amp;BackGlass'!$A$3:$A1000,Y$2,'Systems&amp;BackGlass'!$E$3:$E1000,$V34),0)</f>
        <v>1</v>
      </c>
      <c r="Z34" s="40">
        <f>IFERROR(COUNTIFS('Systems&amp;BackGlass'!$A$3:$A1000,Z$2,'Systems&amp;BackGlass'!$E$3:$E1000,$V34),0)</f>
        <v>1</v>
      </c>
      <c r="AA34" s="40">
        <f>IFERROR(COUNTIFS('Systems&amp;BackGlass'!$A$3:$A1000,AA$2,'Systems&amp;BackGlass'!$E$3:$E1000,$V34),0)</f>
        <v>0</v>
      </c>
      <c r="AB34" s="40">
        <f>IFERROR(COUNTIFS('Systems&amp;BackGlass'!$A$3:$A1000,AB$2,'Systems&amp;BackGlass'!$E$3:$E1000,$V34),0)</f>
        <v>0</v>
      </c>
      <c r="AC34" s="44">
        <f t="shared" si="3"/>
        <v>0</v>
      </c>
      <c r="AD34" s="44"/>
      <c r="AE34" s="44"/>
      <c r="AF34" s="44"/>
      <c r="AG34" s="44"/>
      <c r="AH34" s="44"/>
      <c r="AI34" s="44"/>
      <c r="AJ34" s="44"/>
      <c r="AK34" s="44"/>
    </row>
    <row r="35">
      <c r="A35" s="40" t="str">
        <f t="array" ref="A35">XLOOKUP(B35,'Systems&amp;BackGlass'!$E$3:$E1000,'Systems&amp;BackGlass'!$D$3:$D1000)</f>
        <v>661-42842</v>
      </c>
      <c r="B35" s="2" t="str">
        <f>IFERROR(__xludf.DUMMYFUNCTION("""COMPUTED_VALUE"""),"TealBack Glass, iPhone 16 Plus")</f>
        <v>TealBack Glass, iPhone 16 Plus</v>
      </c>
      <c r="C35" s="41">
        <f>IFERROR(COUNTIFS('Systems&amp;BackGlass'!$A$3:$A1000,C$2,'Systems&amp;BackGlass'!$E$3:$E1000,$B35),0)</f>
        <v>0</v>
      </c>
      <c r="D35" s="41">
        <f>IFERROR(COUNTIFS('Systems&amp;BackGlass'!$A$3:$A1000,D$2,'Systems&amp;BackGlass'!$E$3:$E1000,$B35),0)</f>
        <v>1</v>
      </c>
      <c r="E35" s="41">
        <f>IFERROR(COUNTIFS('Systems&amp;BackGlass'!$A$3:$A1000,E$2,'Systems&amp;BackGlass'!$E$3:$E1000,$B35),0)</f>
        <v>0</v>
      </c>
      <c r="F35" s="41">
        <f>IFERROR(COUNTIFS('Systems&amp;BackGlass'!$A$3:$A1000,F$2,'Systems&amp;BackGlass'!$E$3:$E1000,$B35),0)</f>
        <v>0</v>
      </c>
      <c r="G35" s="41">
        <f>IFERROR(COUNTIFS('Systems&amp;BackGlass'!$A$3:$A1000,G$2,'Systems&amp;BackGlass'!$E$3:$E1000,$B35),0)</f>
        <v>1</v>
      </c>
      <c r="H35" s="41">
        <f>IFERROR(COUNTIFS('Systems&amp;BackGlass'!$A$3:$A1000,H$2,'Systems&amp;BackGlass'!$E$3:$E1000,$B35),0)</f>
        <v>0</v>
      </c>
      <c r="I35" s="42">
        <f t="shared" si="1"/>
        <v>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40" t="str">
        <f t="array" ref="U35">XLOOKUP(V35,'Systems&amp;BackGlass'!E$3:E1000,'Systems&amp;BackGlass'!D$3:D1000)</f>
        <v>PP661-28871</v>
      </c>
      <c r="V35" s="3" t="str">
        <f>IFERROR(__xludf.DUMMYFUNCTION("""COMPUTED_VALUE"""),"iPhone 14, Blue, 128GB, Logic Board Assy Mid System, ROW")</f>
        <v>iPhone 14, Blue, 128GB, Logic Board Assy Mid System, ROW</v>
      </c>
      <c r="W35" s="40">
        <f>IFERROR(COUNTIFS('Systems&amp;BackGlass'!$A$3:$A1000,W$2,'Systems&amp;BackGlass'!$E$3:$E1000,$V35),0)</f>
        <v>3</v>
      </c>
      <c r="X35" s="40">
        <f>IFERROR(COUNTIFS('Systems&amp;BackGlass'!$A$3:$A1000,X$2,'Systems&amp;BackGlass'!$E$3:$E1000,$V35),0)</f>
        <v>4</v>
      </c>
      <c r="Y35" s="40">
        <f>IFERROR(COUNTIFS('Systems&amp;BackGlass'!$A$3:$A1000,Y$2,'Systems&amp;BackGlass'!$E$3:$E1000,$V35),0)</f>
        <v>3</v>
      </c>
      <c r="Z35" s="40">
        <f>IFERROR(COUNTIFS('Systems&amp;BackGlass'!$A$3:$A1000,Z$2,'Systems&amp;BackGlass'!$E$3:$E1000,$V35),0)</f>
        <v>3</v>
      </c>
      <c r="AA35" s="40">
        <f>IFERROR(COUNTIFS('Systems&amp;BackGlass'!$A$3:$A1000,AA$2,'Systems&amp;BackGlass'!$E$3:$E1000,$V35),0)</f>
        <v>1</v>
      </c>
      <c r="AB35" s="40">
        <f>IFERROR(COUNTIFS('Systems&amp;BackGlass'!$A$3:$A1000,AB$2,'Systems&amp;BackGlass'!$E$3:$E1000,$V35),0)</f>
        <v>3</v>
      </c>
      <c r="AC35" s="44">
        <f t="shared" si="3"/>
        <v>2</v>
      </c>
      <c r="AD35" s="44"/>
      <c r="AE35" s="44"/>
      <c r="AF35" s="44"/>
      <c r="AG35" s="44"/>
      <c r="AH35" s="44"/>
      <c r="AI35" s="44"/>
      <c r="AJ35" s="44"/>
      <c r="AK35" s="44"/>
    </row>
    <row r="36">
      <c r="A36" s="40" t="str">
        <f t="array" ref="A36">XLOOKUP(B36,'Systems&amp;BackGlass'!$E$3:$E1000,'Systems&amp;BackGlass'!$D$3:$D1000)</f>
        <v>661-36908</v>
      </c>
      <c r="B36" s="2" t="str">
        <f>IFERROR(__xludf.DUMMYFUNCTION("""COMPUTED_VALUE"""),"White Titanium, Back Glass, iPhone 15 Pro Max")</f>
        <v>White Titanium, Back Glass, iPhone 15 Pro Max</v>
      </c>
      <c r="C36" s="41">
        <f>IFERROR(COUNTIFS('Systems&amp;BackGlass'!$A$3:$A1000,C$2,'Systems&amp;BackGlass'!$E$3:$E1000,$B36),0)</f>
        <v>0</v>
      </c>
      <c r="D36" s="41">
        <f>IFERROR(COUNTIFS('Systems&amp;BackGlass'!$A$3:$A1000,D$2,'Systems&amp;BackGlass'!$E$3:$E1000,$B36),0)</f>
        <v>0</v>
      </c>
      <c r="E36" s="41">
        <f>IFERROR(COUNTIFS('Systems&amp;BackGlass'!$A$3:$A1000,E$2,'Systems&amp;BackGlass'!$E$3:$E1000,$B36),0)</f>
        <v>0</v>
      </c>
      <c r="F36" s="41">
        <f>IFERROR(COUNTIFS('Systems&amp;BackGlass'!$A$3:$A1000,F$2,'Systems&amp;BackGlass'!$E$3:$E1000,$B36),0)</f>
        <v>1</v>
      </c>
      <c r="G36" s="41">
        <f>IFERROR(COUNTIFS('Systems&amp;BackGlass'!$A$3:$A1000,G$2,'Systems&amp;BackGlass'!$E$3:$E1000,$B36),0)</f>
        <v>0</v>
      </c>
      <c r="H36" s="41">
        <f>IFERROR(COUNTIFS('Systems&amp;BackGlass'!$A$3:$A1000,H$2,'Systems&amp;BackGlass'!$E$3:$E1000,$B36),0)</f>
        <v>0</v>
      </c>
      <c r="I36" s="42">
        <f t="shared" si="1"/>
        <v>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40" t="str">
        <f t="array" ref="U36">XLOOKUP(V36,'Systems&amp;BackGlass'!E$3:E1000,'Systems&amp;BackGlass'!D$3:D1000)</f>
        <v>PP661-28876</v>
      </c>
      <c r="V36" s="3" t="str">
        <f>IFERROR(__xludf.DUMMYFUNCTION("""COMPUTED_VALUE"""),"iPhone 14, Blue, 256GB, Logic Board Assy Mid System, ROW")</f>
        <v>iPhone 14, Blue, 256GB, Logic Board Assy Mid System, ROW</v>
      </c>
      <c r="W36" s="40">
        <f>IFERROR(COUNTIFS('Systems&amp;BackGlass'!$A$3:$A1000,W$2,'Systems&amp;BackGlass'!$E$3:$E1000,$V36),0)</f>
        <v>0</v>
      </c>
      <c r="X36" s="40">
        <f>IFERROR(COUNTIFS('Systems&amp;BackGlass'!$A$3:$A1000,X$2,'Systems&amp;BackGlass'!$E$3:$E1000,$V36),0)</f>
        <v>1</v>
      </c>
      <c r="Y36" s="40">
        <f>IFERROR(COUNTIFS('Systems&amp;BackGlass'!$A$3:$A1000,Y$2,'Systems&amp;BackGlass'!$E$3:$E1000,$V36),0)</f>
        <v>0</v>
      </c>
      <c r="Z36" s="40">
        <f>IFERROR(COUNTIFS('Systems&amp;BackGlass'!$A$3:$A1000,Z$2,'Systems&amp;BackGlass'!$E$3:$E1000,$V36),0)</f>
        <v>0</v>
      </c>
      <c r="AA36" s="40">
        <f>IFERROR(COUNTIFS('Systems&amp;BackGlass'!$A$3:$A1000,AA$2,'Systems&amp;BackGlass'!$E$3:$E1000,$V36),0)</f>
        <v>0</v>
      </c>
      <c r="AB36" s="40">
        <f>IFERROR(COUNTIFS('Systems&amp;BackGlass'!$A$3:$A1000,AB$2,'Systems&amp;BackGlass'!$E$3:$E1000,$V36),0)</f>
        <v>0</v>
      </c>
      <c r="AC36" s="44">
        <f t="shared" si="3"/>
        <v>0</v>
      </c>
      <c r="AD36" s="44"/>
      <c r="AE36" s="44"/>
      <c r="AF36" s="44"/>
      <c r="AG36" s="44"/>
      <c r="AH36" s="44"/>
      <c r="AI36" s="44"/>
      <c r="AJ36" s="44"/>
      <c r="AK36" s="44"/>
    </row>
    <row r="37">
      <c r="A37" s="40" t="str">
        <f t="array" ref="A37">XLOOKUP(B37,'Systems&amp;BackGlass'!$E$3:$E1000,'Systems&amp;BackGlass'!$D$3:$D1000)</f>
        <v>661-42723</v>
      </c>
      <c r="B37" s="2" t="str">
        <f>IFERROR(__xludf.DUMMYFUNCTION("""COMPUTED_VALUE"""),"White Titanium, Back Glass, iPhone 16 Pro")</f>
        <v>White Titanium, Back Glass, iPhone 16 Pro</v>
      </c>
      <c r="C37" s="41">
        <f>IFERROR(COUNTIFS('Systems&amp;BackGlass'!$A$3:$A1000,C$2,'Systems&amp;BackGlass'!$E$3:$E1000,$B37),0)</f>
        <v>1</v>
      </c>
      <c r="D37" s="41">
        <f>IFERROR(COUNTIFS('Systems&amp;BackGlass'!$A$3:$A1000,D$2,'Systems&amp;BackGlass'!$E$3:$E1000,$B37),0)</f>
        <v>0</v>
      </c>
      <c r="E37" s="41">
        <f>IFERROR(COUNTIFS('Systems&amp;BackGlass'!$A$3:$A1000,E$2,'Systems&amp;BackGlass'!$E$3:$E1000,$B37),0)</f>
        <v>0</v>
      </c>
      <c r="F37" s="41">
        <f>IFERROR(COUNTIFS('Systems&amp;BackGlass'!$A$3:$A1000,F$2,'Systems&amp;BackGlass'!$E$3:$E1000,$B37),0)</f>
        <v>0</v>
      </c>
      <c r="G37" s="41">
        <f>IFERROR(COUNTIFS('Systems&amp;BackGlass'!$A$3:$A1000,G$2,'Systems&amp;BackGlass'!$E$3:$E1000,$B37),0)</f>
        <v>0</v>
      </c>
      <c r="H37" s="41">
        <f>IFERROR(COUNTIFS('Systems&amp;BackGlass'!$A$3:$A1000,H$2,'Systems&amp;BackGlass'!$E$3:$E1000,$B37),0)</f>
        <v>0</v>
      </c>
      <c r="I37" s="42">
        <f t="shared" si="1"/>
        <v>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40" t="str">
        <f t="array" ref="U37">XLOOKUP(V37,'Systems&amp;BackGlass'!E$3:E1000,'Systems&amp;BackGlass'!D$3:D1000)</f>
        <v>PP661-28868</v>
      </c>
      <c r="V37" s="3" t="str">
        <f>IFERROR(__xludf.DUMMYFUNCTION("""COMPUTED_VALUE"""),"iPhone 14, Midnight, 128GB, Logic Board Assy Mid System, ROW")</f>
        <v>iPhone 14, Midnight, 128GB, Logic Board Assy Mid System, ROW</v>
      </c>
      <c r="W37" s="40">
        <f>IFERROR(COUNTIFS('Systems&amp;BackGlass'!$A$3:$A1000,W$2,'Systems&amp;BackGlass'!$E$3:$E1000,$V37),0)</f>
        <v>6</v>
      </c>
      <c r="X37" s="40">
        <f>IFERROR(COUNTIFS('Systems&amp;BackGlass'!$A$3:$A1000,X$2,'Systems&amp;BackGlass'!$E$3:$E1000,$V37),0)</f>
        <v>8</v>
      </c>
      <c r="Y37" s="40">
        <f>IFERROR(COUNTIFS('Systems&amp;BackGlass'!$A$3:$A1000,Y$2,'Systems&amp;BackGlass'!$E$3:$E1000,$V37),0)</f>
        <v>8</v>
      </c>
      <c r="Z37" s="40">
        <f>IFERROR(COUNTIFS('Systems&amp;BackGlass'!$A$3:$A1000,Z$2,'Systems&amp;BackGlass'!$E$3:$E1000,$V37),0)</f>
        <v>6</v>
      </c>
      <c r="AA37" s="40">
        <f>IFERROR(COUNTIFS('Systems&amp;BackGlass'!$A$3:$A1000,AA$2,'Systems&amp;BackGlass'!$E$3:$E1000,$V37),0)</f>
        <v>3</v>
      </c>
      <c r="AB37" s="40">
        <f>IFERROR(COUNTIFS('Systems&amp;BackGlass'!$A$3:$A1000,AB$2,'Systems&amp;BackGlass'!$E$3:$E1000,$V37),0)</f>
        <v>8</v>
      </c>
      <c r="AC37" s="44">
        <f t="shared" si="3"/>
        <v>6</v>
      </c>
      <c r="AD37" s="44"/>
      <c r="AE37" s="44"/>
      <c r="AF37" s="44"/>
      <c r="AG37" s="44"/>
      <c r="AH37" s="44"/>
      <c r="AI37" s="44"/>
      <c r="AJ37" s="44"/>
      <c r="AK37" s="44"/>
    </row>
    <row r="38">
      <c r="A38" s="40" t="str">
        <f t="array" ref="A38">XLOOKUP(B38,'Systems&amp;BackGlass'!$E$3:$E1000,'Systems&amp;BackGlass'!$D$3:$D1000)</f>
        <v>661-44959</v>
      </c>
      <c r="B38" s="2" t="str">
        <f>IFERROR(__xludf.DUMMYFUNCTION("""COMPUTED_VALUE"""),"White Titanium, Back Glass, iPhone 16 Pro Max")</f>
        <v>White Titanium, Back Glass, iPhone 16 Pro Max</v>
      </c>
      <c r="C38" s="41">
        <f>IFERROR(COUNTIFS('Systems&amp;BackGlass'!$A$3:$A1000,C$2,'Systems&amp;BackGlass'!$E$3:$E1000,$B38),0)</f>
        <v>1</v>
      </c>
      <c r="D38" s="41">
        <f>IFERROR(COUNTIFS('Systems&amp;BackGlass'!$A$3:$A1000,D$2,'Systems&amp;BackGlass'!$E$3:$E1000,$B38),0)</f>
        <v>0</v>
      </c>
      <c r="E38" s="41">
        <f>IFERROR(COUNTIFS('Systems&amp;BackGlass'!$A$3:$A1000,E$2,'Systems&amp;BackGlass'!$E$3:$E1000,$B38),0)</f>
        <v>0</v>
      </c>
      <c r="F38" s="41">
        <f>IFERROR(COUNTIFS('Systems&amp;BackGlass'!$A$3:$A1000,F$2,'Systems&amp;BackGlass'!$E$3:$E1000,$B38),0)</f>
        <v>0</v>
      </c>
      <c r="G38" s="41">
        <f>IFERROR(COUNTIFS('Systems&amp;BackGlass'!$A$3:$A1000,G$2,'Systems&amp;BackGlass'!$E$3:$E1000,$B38),0)</f>
        <v>0</v>
      </c>
      <c r="H38" s="41">
        <f>IFERROR(COUNTIFS('Systems&amp;BackGlass'!$A$3:$A1000,H$2,'Systems&amp;BackGlass'!$E$3:$E1000,$B38),0)</f>
        <v>0</v>
      </c>
      <c r="I38" s="42">
        <f t="shared" si="1"/>
        <v>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40" t="str">
        <f t="array" ref="U38">XLOOKUP(V38,'Systems&amp;BackGlass'!E$3:E1000,'Systems&amp;BackGlass'!D$3:D1000)</f>
        <v>PP661-28873</v>
      </c>
      <c r="V38" s="3" t="str">
        <f>IFERROR(__xludf.DUMMYFUNCTION("""COMPUTED_VALUE"""),"iPhone 14, Midnight, 256GB, Logic Board Assy Mid System, ROW")</f>
        <v>iPhone 14, Midnight, 256GB, Logic Board Assy Mid System, ROW</v>
      </c>
      <c r="W38" s="40">
        <f>IFERROR(COUNTIFS('Systems&amp;BackGlass'!$A$3:$A1000,W$2,'Systems&amp;BackGlass'!$E$3:$E1000,$V38),0)</f>
        <v>1</v>
      </c>
      <c r="X38" s="40">
        <f>IFERROR(COUNTIFS('Systems&amp;BackGlass'!$A$3:$A1000,X$2,'Systems&amp;BackGlass'!$E$3:$E1000,$V38),0)</f>
        <v>2</v>
      </c>
      <c r="Y38" s="40">
        <f>IFERROR(COUNTIFS('Systems&amp;BackGlass'!$A$3:$A1000,Y$2,'Systems&amp;BackGlass'!$E$3:$E1000,$V38),0)</f>
        <v>0</v>
      </c>
      <c r="Z38" s="40">
        <f>IFERROR(COUNTIFS('Systems&amp;BackGlass'!$A$3:$A1000,Z$2,'Systems&amp;BackGlass'!$E$3:$E1000,$V38),0)</f>
        <v>1</v>
      </c>
      <c r="AA38" s="40">
        <f>IFERROR(COUNTIFS('Systems&amp;BackGlass'!$A$3:$A1000,AA$2,'Systems&amp;BackGlass'!$E$3:$E1000,$V38),0)</f>
        <v>0</v>
      </c>
      <c r="AB38" s="40">
        <f>IFERROR(COUNTIFS('Systems&amp;BackGlass'!$A$3:$A1000,AB$2,'Systems&amp;BackGlass'!$E$3:$E1000,$V38),0)</f>
        <v>1</v>
      </c>
      <c r="AC38" s="44">
        <f t="shared" si="3"/>
        <v>0</v>
      </c>
      <c r="AD38" s="44"/>
      <c r="AE38" s="44"/>
      <c r="AF38" s="44"/>
      <c r="AG38" s="44"/>
      <c r="AH38" s="44"/>
      <c r="AI38" s="44"/>
      <c r="AJ38" s="44"/>
      <c r="AK38" s="44"/>
    </row>
    <row r="39">
      <c r="A39" s="40" t="str">
        <f t="array" ref="A39">XLOOKUP(B39,'Systems&amp;BackGlass'!$E$3:$E1000,'Systems&amp;BackGlass'!$D$3:$D1000)</f>
        <v>661-56058</v>
      </c>
      <c r="B39" s="2" t="str">
        <f>IFERROR(__xludf.DUMMYFUNCTION("""COMPUTED_VALUE"""),"White, Back Glass, iPhone 17")</f>
        <v>White, Back Glass, iPhone 17</v>
      </c>
      <c r="C39" s="41">
        <f>IFERROR(COUNTIFS('Systems&amp;BackGlass'!$A$3:$A1000,C$2,'Systems&amp;BackGlass'!$E$3:$E1000,$B39),0)</f>
        <v>0</v>
      </c>
      <c r="D39" s="41">
        <f>IFERROR(COUNTIFS('Systems&amp;BackGlass'!$A$3:$A1000,D$2,'Systems&amp;BackGlass'!$E$3:$E1000,$B39),0)</f>
        <v>0</v>
      </c>
      <c r="E39" s="41">
        <f>IFERROR(COUNTIFS('Systems&amp;BackGlass'!$A$3:$A1000,E$2,'Systems&amp;BackGlass'!$E$3:$E1000,$B39),0)</f>
        <v>0</v>
      </c>
      <c r="F39" s="41">
        <f>IFERROR(COUNTIFS('Systems&amp;BackGlass'!$A$3:$A1000,F$2,'Systems&amp;BackGlass'!$E$3:$E1000,$B39),0)</f>
        <v>0</v>
      </c>
      <c r="G39" s="41">
        <f>IFERROR(COUNTIFS('Systems&amp;BackGlass'!$A$3:$A1000,G$2,'Systems&amp;BackGlass'!$E$3:$E1000,$B39),0)</f>
        <v>1</v>
      </c>
      <c r="H39" s="41">
        <f>IFERROR(COUNTIFS('Systems&amp;BackGlass'!$A$3:$A1000,H$2,'Systems&amp;BackGlass'!$E$3:$E1000,$B39),0)</f>
        <v>1</v>
      </c>
      <c r="I39" s="42">
        <f t="shared" si="1"/>
        <v>1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40" t="str">
        <f t="array" ref="U39">XLOOKUP(V39,'Systems&amp;BackGlass'!E$3:E1000,'Systems&amp;BackGlass'!D$3:D1000)</f>
        <v>PP661-28872</v>
      </c>
      <c r="V39" s="3" t="str">
        <f>IFERROR(__xludf.DUMMYFUNCTION("""COMPUTED_VALUE"""),"iPhone 14, Purple, 128GB, Logic Board Assy Mid System, ROW")</f>
        <v>iPhone 14, Purple, 128GB, Logic Board Assy Mid System, ROW</v>
      </c>
      <c r="W39" s="40">
        <f>IFERROR(COUNTIFS('Systems&amp;BackGlass'!$A$3:$A1000,W$2,'Systems&amp;BackGlass'!$E$3:$E1000,$V39),0)</f>
        <v>0</v>
      </c>
      <c r="X39" s="40">
        <f>IFERROR(COUNTIFS('Systems&amp;BackGlass'!$A$3:$A1000,X$2,'Systems&amp;BackGlass'!$E$3:$E1000,$V39),0)</f>
        <v>1</v>
      </c>
      <c r="Y39" s="40">
        <f>IFERROR(COUNTIFS('Systems&amp;BackGlass'!$A$3:$A1000,Y$2,'Systems&amp;BackGlass'!$E$3:$E1000,$V39),0)</f>
        <v>0</v>
      </c>
      <c r="Z39" s="40">
        <f>IFERROR(COUNTIFS('Systems&amp;BackGlass'!$A$3:$A1000,Z$2,'Systems&amp;BackGlass'!$E$3:$E1000,$V39),0)</f>
        <v>0</v>
      </c>
      <c r="AA39" s="40">
        <f>IFERROR(COUNTIFS('Systems&amp;BackGlass'!$A$3:$A1000,AA$2,'Systems&amp;BackGlass'!$E$3:$E1000,$V39),0)</f>
        <v>0</v>
      </c>
      <c r="AB39" s="40">
        <f>IFERROR(COUNTIFS('Systems&amp;BackGlass'!$A$3:$A1000,AB$2,'Systems&amp;BackGlass'!$E$3:$E1000,$V39),0)</f>
        <v>0</v>
      </c>
      <c r="AC39" s="44">
        <f t="shared" si="3"/>
        <v>0</v>
      </c>
      <c r="AD39" s="44"/>
      <c r="AE39" s="44"/>
      <c r="AF39" s="44"/>
      <c r="AG39" s="44"/>
      <c r="AH39" s="44"/>
      <c r="AI39" s="44"/>
      <c r="AJ39" s="44"/>
      <c r="AK39" s="44"/>
    </row>
    <row r="40">
      <c r="A40" s="2"/>
      <c r="B40" s="46" t="s">
        <v>16444</v>
      </c>
      <c r="C40" s="47">
        <f t="shared" ref="C40:H40" si="4">SUM(C3:C39)</f>
        <v>13</v>
      </c>
      <c r="D40" s="47">
        <f t="shared" si="4"/>
        <v>13</v>
      </c>
      <c r="E40" s="47">
        <f t="shared" si="4"/>
        <v>11</v>
      </c>
      <c r="F40" s="47">
        <f t="shared" si="4"/>
        <v>14</v>
      </c>
      <c r="G40" s="47">
        <f t="shared" si="4"/>
        <v>9</v>
      </c>
      <c r="H40" s="47">
        <f t="shared" si="4"/>
        <v>8</v>
      </c>
      <c r="I40" s="48">
        <f>SUMIF(I3:I39, "&gt;0")</f>
        <v>10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40" t="str">
        <f t="array" ref="U40">XLOOKUP(V40,'Systems&amp;BackGlass'!E$3:E1000,'Systems&amp;BackGlass'!D$3:D1000)</f>
        <v>PP661-28882</v>
      </c>
      <c r="V40" s="3" t="str">
        <f>IFERROR(__xludf.DUMMYFUNCTION("""COMPUTED_VALUE"""),"iPhone 14, Purple, 512GB, Logic Board Assy Mid System, ROW")</f>
        <v>iPhone 14, Purple, 512GB, Logic Board Assy Mid System, ROW</v>
      </c>
      <c r="W40" s="40">
        <f>IFERROR(COUNTIFS('Systems&amp;BackGlass'!$A$3:$A1000,W$2,'Systems&amp;BackGlass'!$E$3:$E1000,$V40),0)</f>
        <v>0</v>
      </c>
      <c r="X40" s="40">
        <f>IFERROR(COUNTIFS('Systems&amp;BackGlass'!$A$3:$A1000,X$2,'Systems&amp;BackGlass'!$E$3:$E1000,$V40),0)</f>
        <v>1</v>
      </c>
      <c r="Y40" s="40">
        <f>IFERROR(COUNTIFS('Systems&amp;BackGlass'!$A$3:$A1000,Y$2,'Systems&amp;BackGlass'!$E$3:$E1000,$V40),0)</f>
        <v>0</v>
      </c>
      <c r="Z40" s="40">
        <f>IFERROR(COUNTIFS('Systems&amp;BackGlass'!$A$3:$A1000,Z$2,'Systems&amp;BackGlass'!$E$3:$E1000,$V40),0)</f>
        <v>1</v>
      </c>
      <c r="AA40" s="40">
        <f>IFERROR(COUNTIFS('Systems&amp;BackGlass'!$A$3:$A1000,AA$2,'Systems&amp;BackGlass'!$E$3:$E1000,$V40),0)</f>
        <v>0</v>
      </c>
      <c r="AB40" s="40">
        <f>IFERROR(COUNTIFS('Systems&amp;BackGlass'!$A$3:$A1000,AB$2,'Systems&amp;BackGlass'!$E$3:$E1000,$V40),0)</f>
        <v>0</v>
      </c>
      <c r="AC40" s="44">
        <f t="shared" si="3"/>
        <v>0</v>
      </c>
      <c r="AD40" s="44"/>
      <c r="AE40" s="44"/>
      <c r="AF40" s="44"/>
      <c r="AG40" s="44"/>
      <c r="AH40" s="44"/>
      <c r="AI40" s="44"/>
      <c r="AJ40" s="44"/>
      <c r="AK40" s="44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40" t="str">
        <f t="array" ref="U41">XLOOKUP(V41,'Systems&amp;BackGlass'!E$3:E1000,'Systems&amp;BackGlass'!D$3:D1000)</f>
        <v>PP661-28869</v>
      </c>
      <c r="V41" s="3" t="str">
        <f>IFERROR(__xludf.DUMMYFUNCTION("""COMPUTED_VALUE"""),"iPhone 14, Starlight, 128GB, Logic Board Assy Mid System, ROW")</f>
        <v>iPhone 14, Starlight, 128GB, Logic Board Assy Mid System, ROW</v>
      </c>
      <c r="W41" s="40">
        <f>IFERROR(COUNTIFS('Systems&amp;BackGlass'!$A$3:$A1000,W$2,'Systems&amp;BackGlass'!$E$3:$E1000,$V41),0)</f>
        <v>5</v>
      </c>
      <c r="X41" s="40">
        <f>IFERROR(COUNTIFS('Systems&amp;BackGlass'!$A$3:$A1000,X$2,'Systems&amp;BackGlass'!$E$3:$E1000,$V41),0)</f>
        <v>4</v>
      </c>
      <c r="Y41" s="40">
        <f>IFERROR(COUNTIFS('Systems&amp;BackGlass'!$A$3:$A1000,Y$2,'Systems&amp;BackGlass'!$E$3:$E1000,$V41),0)</f>
        <v>1</v>
      </c>
      <c r="Z41" s="40">
        <f>IFERROR(COUNTIFS('Systems&amp;BackGlass'!$A$3:$A1000,Z$2,'Systems&amp;BackGlass'!$E$3:$E1000,$V41),0)</f>
        <v>6</v>
      </c>
      <c r="AA41" s="40">
        <f>IFERROR(COUNTIFS('Systems&amp;BackGlass'!$A$3:$A1000,AA$2,'Systems&amp;BackGlass'!$E$3:$E1000,$V41),0)</f>
        <v>1</v>
      </c>
      <c r="AB41" s="40">
        <f>IFERROR(COUNTIFS('Systems&amp;BackGlass'!$A$3:$A1000,AB$2,'Systems&amp;BackGlass'!$E$3:$E1000,$V41),0)</f>
        <v>10</v>
      </c>
      <c r="AC41" s="44">
        <f t="shared" si="3"/>
        <v>7</v>
      </c>
      <c r="AD41" s="44"/>
      <c r="AE41" s="44"/>
      <c r="AF41" s="44"/>
      <c r="AG41" s="44"/>
      <c r="AH41" s="44"/>
      <c r="AI41" s="44"/>
      <c r="AJ41" s="44"/>
      <c r="AK41" s="44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40" t="str">
        <f t="array" ref="U42">XLOOKUP(V42,'Systems&amp;BackGlass'!E$3:E1000,'Systems&amp;BackGlass'!D$3:D1000)</f>
        <v>PP661-28874</v>
      </c>
      <c r="V42" s="3" t="str">
        <f>IFERROR(__xludf.DUMMYFUNCTION("""COMPUTED_VALUE"""),"iPhone 14, Starlight, 256GB, Logic Board Assy Mid System, ROW")</f>
        <v>iPhone 14, Starlight, 256GB, Logic Board Assy Mid System, ROW</v>
      </c>
      <c r="W42" s="40">
        <f>IFERROR(COUNTIFS('Systems&amp;BackGlass'!$A$3:$A1000,W$2,'Systems&amp;BackGlass'!$E$3:$E1000,$V42),0)</f>
        <v>1</v>
      </c>
      <c r="X42" s="40">
        <f>IFERROR(COUNTIFS('Systems&amp;BackGlass'!$A$3:$A1000,X$2,'Systems&amp;BackGlass'!$E$3:$E1000,$V42),0)</f>
        <v>0</v>
      </c>
      <c r="Y42" s="40">
        <f>IFERROR(COUNTIFS('Systems&amp;BackGlass'!$A$3:$A1000,Y$2,'Systems&amp;BackGlass'!$E$3:$E1000,$V42),0)</f>
        <v>0</v>
      </c>
      <c r="Z42" s="40">
        <f>IFERROR(COUNTIFS('Systems&amp;BackGlass'!$A$3:$A1000,Z$2,'Systems&amp;BackGlass'!$E$3:$E1000,$V42),0)</f>
        <v>1</v>
      </c>
      <c r="AA42" s="40">
        <f>IFERROR(COUNTIFS('Systems&amp;BackGlass'!$A$3:$A1000,AA$2,'Systems&amp;BackGlass'!$E$3:$E1000,$V42),0)</f>
        <v>2</v>
      </c>
      <c r="AB42" s="40">
        <f>IFERROR(COUNTIFS('Systems&amp;BackGlass'!$A$3:$A1000,AB$2,'Systems&amp;BackGlass'!$E$3:$E1000,$V42),0)</f>
        <v>0</v>
      </c>
      <c r="AC42" s="44">
        <f t="shared" si="3"/>
        <v>1</v>
      </c>
      <c r="AD42" s="44"/>
      <c r="AE42" s="44"/>
      <c r="AF42" s="44"/>
      <c r="AG42" s="44"/>
      <c r="AH42" s="44"/>
      <c r="AI42" s="44"/>
      <c r="AJ42" s="44"/>
      <c r="AK42" s="44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40" t="str">
        <f t="array" ref="U43">XLOOKUP(V43,'Systems&amp;BackGlass'!E$3:E1000,'Systems&amp;BackGlass'!D$3:D1000)</f>
        <v>PP661-28879</v>
      </c>
      <c r="V43" s="3" t="str">
        <f>IFERROR(__xludf.DUMMYFUNCTION("""COMPUTED_VALUE"""),"iPhone 14, Starlight, 512GB, Logic Board Assy Mid System, ROW")</f>
        <v>iPhone 14, Starlight, 512GB, Logic Board Assy Mid System, ROW</v>
      </c>
      <c r="W43" s="40">
        <f>IFERROR(COUNTIFS('Systems&amp;BackGlass'!$A$3:$A1000,W$2,'Systems&amp;BackGlass'!$E$3:$E1000,$V43),0)</f>
        <v>2</v>
      </c>
      <c r="X43" s="40">
        <f>IFERROR(COUNTIFS('Systems&amp;BackGlass'!$A$3:$A1000,X$2,'Systems&amp;BackGlass'!$E$3:$E1000,$V43),0)</f>
        <v>0</v>
      </c>
      <c r="Y43" s="40">
        <f>IFERROR(COUNTIFS('Systems&amp;BackGlass'!$A$3:$A1000,Y$2,'Systems&amp;BackGlass'!$E$3:$E1000,$V43),0)</f>
        <v>0</v>
      </c>
      <c r="Z43" s="40">
        <f>IFERROR(COUNTIFS('Systems&amp;BackGlass'!$A$3:$A1000,Z$2,'Systems&amp;BackGlass'!$E$3:$E1000,$V43),0)</f>
        <v>0</v>
      </c>
      <c r="AA43" s="40">
        <f>IFERROR(COUNTIFS('Systems&amp;BackGlass'!$A$3:$A1000,AA$2,'Systems&amp;BackGlass'!$E$3:$E1000,$V43),0)</f>
        <v>0</v>
      </c>
      <c r="AB43" s="40">
        <f>IFERROR(COUNTIFS('Systems&amp;BackGlass'!$A$3:$A1000,AB$2,'Systems&amp;BackGlass'!$E$3:$E1000,$V43),0)</f>
        <v>0</v>
      </c>
      <c r="AC43" s="44">
        <f t="shared" si="3"/>
        <v>-1</v>
      </c>
      <c r="AD43" s="44"/>
      <c r="AE43" s="44"/>
      <c r="AF43" s="44"/>
      <c r="AG43" s="44"/>
      <c r="AH43" s="44"/>
      <c r="AI43" s="44"/>
      <c r="AJ43" s="44"/>
      <c r="AK43" s="44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40" t="str">
        <f t="array" ref="U44">XLOOKUP(V44,'Systems&amp;BackGlass'!E$3:E1000,'Systems&amp;BackGlass'!D$3:D1000)</f>
        <v>TA661-36691</v>
      </c>
      <c r="V44" s="3" t="str">
        <f>IFERROR(__xludf.DUMMYFUNCTION("""COMPUTED_VALUE"""),"iPhone 15, Black, 128GB, Logic Board Assy Mid System, ROW")</f>
        <v>iPhone 15, Black, 128GB, Logic Board Assy Mid System, ROW</v>
      </c>
      <c r="W44" s="40">
        <f>IFERROR(COUNTIFS('Systems&amp;BackGlass'!$A$3:$A1000,W$2,'Systems&amp;BackGlass'!$E$3:$E1000,$V44),0)</f>
        <v>4</v>
      </c>
      <c r="X44" s="40">
        <f>IFERROR(COUNTIFS('Systems&amp;BackGlass'!$A$3:$A1000,X$2,'Systems&amp;BackGlass'!$E$3:$E1000,$V44),0)</f>
        <v>6</v>
      </c>
      <c r="Y44" s="40">
        <f>IFERROR(COUNTIFS('Systems&amp;BackGlass'!$A$3:$A1000,Y$2,'Systems&amp;BackGlass'!$E$3:$E1000,$V44),0)</f>
        <v>2</v>
      </c>
      <c r="Z44" s="40">
        <f>IFERROR(COUNTIFS('Systems&amp;BackGlass'!$A$3:$A1000,Z$2,'Systems&amp;BackGlass'!$E$3:$E1000,$V44),0)</f>
        <v>6</v>
      </c>
      <c r="AA44" s="40">
        <f>IFERROR(COUNTIFS('Systems&amp;BackGlass'!$A$3:$A1000,AA$2,'Systems&amp;BackGlass'!$E$3:$E1000,$V44),0)</f>
        <v>1</v>
      </c>
      <c r="AB44" s="40">
        <f>IFERROR(COUNTIFS('Systems&amp;BackGlass'!$A$3:$A1000,AB$2,'Systems&amp;BackGlass'!$E$3:$E1000,$V44),0)</f>
        <v>4</v>
      </c>
      <c r="AC44" s="44">
        <f t="shared" si="3"/>
        <v>3</v>
      </c>
      <c r="AD44" s="44"/>
      <c r="AE44" s="44"/>
      <c r="AF44" s="44"/>
      <c r="AG44" s="44"/>
      <c r="AH44" s="44"/>
      <c r="AI44" s="44"/>
      <c r="AJ44" s="44"/>
      <c r="AK44" s="44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40" t="str">
        <f t="array" ref="U45">XLOOKUP(V45,'Systems&amp;BackGlass'!E$3:E1000,'Systems&amp;BackGlass'!D$3:D1000)</f>
        <v>TA661-36696</v>
      </c>
      <c r="V45" s="3" t="str">
        <f>IFERROR(__xludf.DUMMYFUNCTION("""COMPUTED_VALUE"""),"iPhone 15, Black, 256GB, Logic Board Assy Mid System, ROW")</f>
        <v>iPhone 15, Black, 256GB, Logic Board Assy Mid System, ROW</v>
      </c>
      <c r="W45" s="40">
        <f>IFERROR(COUNTIFS('Systems&amp;BackGlass'!$A$3:$A1000,W$2,'Systems&amp;BackGlass'!$E$3:$E1000,$V45),0)</f>
        <v>2</v>
      </c>
      <c r="X45" s="40">
        <f>IFERROR(COUNTIFS('Systems&amp;BackGlass'!$A$3:$A1000,X$2,'Systems&amp;BackGlass'!$E$3:$E1000,$V45),0)</f>
        <v>4</v>
      </c>
      <c r="Y45" s="40">
        <f>IFERROR(COUNTIFS('Systems&amp;BackGlass'!$A$3:$A1000,Y$2,'Systems&amp;BackGlass'!$E$3:$E1000,$V45),0)</f>
        <v>1</v>
      </c>
      <c r="Z45" s="40">
        <f>IFERROR(COUNTIFS('Systems&amp;BackGlass'!$A$3:$A1000,Z$2,'Systems&amp;BackGlass'!$E$3:$E1000,$V45),0)</f>
        <v>2</v>
      </c>
      <c r="AA45" s="40">
        <f>IFERROR(COUNTIFS('Systems&amp;BackGlass'!$A$3:$A1000,AA$2,'Systems&amp;BackGlass'!$E$3:$E1000,$V45),0)</f>
        <v>0</v>
      </c>
      <c r="AB45" s="40">
        <f>IFERROR(COUNTIFS('Systems&amp;BackGlass'!$A$3:$A1000,AB$2,'Systems&amp;BackGlass'!$E$3:$E1000,$V45),0)</f>
        <v>0</v>
      </c>
      <c r="AC45" s="44">
        <f t="shared" si="3"/>
        <v>-1</v>
      </c>
      <c r="AD45" s="44"/>
      <c r="AE45" s="44"/>
      <c r="AF45" s="44"/>
      <c r="AG45" s="44"/>
      <c r="AH45" s="44"/>
      <c r="AI45" s="44"/>
      <c r="AJ45" s="44"/>
      <c r="AK45" s="44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40" t="str">
        <f t="array" ref="U46">XLOOKUP(V46,'Systems&amp;BackGlass'!E$3:E1000,'Systems&amp;BackGlass'!D$3:D1000)</f>
        <v>TA661-36694</v>
      </c>
      <c r="V46" s="3" t="str">
        <f>IFERROR(__xludf.DUMMYFUNCTION("""COMPUTED_VALUE"""),"iPhone 15, Blue, 128GB, Logic Board Assy Mid System, ROW")</f>
        <v>iPhone 15, Blue, 128GB, Logic Board Assy Mid System, ROW</v>
      </c>
      <c r="W46" s="40">
        <f>IFERROR(COUNTIFS('Systems&amp;BackGlass'!$A$3:$A1000,W$2,'Systems&amp;BackGlass'!$E$3:$E1000,$V46),0)</f>
        <v>6</v>
      </c>
      <c r="X46" s="40">
        <f>IFERROR(COUNTIFS('Systems&amp;BackGlass'!$A$3:$A1000,X$2,'Systems&amp;BackGlass'!$E$3:$E1000,$V46),0)</f>
        <v>7</v>
      </c>
      <c r="Y46" s="40">
        <f>IFERROR(COUNTIFS('Systems&amp;BackGlass'!$A$3:$A1000,Y$2,'Systems&amp;BackGlass'!$E$3:$E1000,$V46),0)</f>
        <v>7</v>
      </c>
      <c r="Z46" s="40">
        <f>IFERROR(COUNTIFS('Systems&amp;BackGlass'!$A$3:$A1000,Z$2,'Systems&amp;BackGlass'!$E$3:$E1000,$V46),0)</f>
        <v>5</v>
      </c>
      <c r="AA46" s="40">
        <f>IFERROR(COUNTIFS('Systems&amp;BackGlass'!$A$3:$A1000,AA$2,'Systems&amp;BackGlass'!$E$3:$E1000,$V46),0)</f>
        <v>4</v>
      </c>
      <c r="AB46" s="40">
        <f>IFERROR(COUNTIFS('Systems&amp;BackGlass'!$A$3:$A1000,AB$2,'Systems&amp;BackGlass'!$E$3:$E1000,$V46),0)</f>
        <v>6</v>
      </c>
      <c r="AC46" s="44">
        <f t="shared" si="3"/>
        <v>5</v>
      </c>
      <c r="AD46" s="44"/>
      <c r="AE46" s="44"/>
      <c r="AF46" s="44"/>
      <c r="AG46" s="44"/>
      <c r="AH46" s="44"/>
      <c r="AI46" s="44"/>
      <c r="AJ46" s="44"/>
      <c r="AK46" s="44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40" t="str">
        <f t="array" ref="U47">XLOOKUP(V47,'Systems&amp;BackGlass'!E$3:E1000,'Systems&amp;BackGlass'!D$3:D1000)</f>
        <v>TA661-36699</v>
      </c>
      <c r="V47" s="3" t="str">
        <f>IFERROR(__xludf.DUMMYFUNCTION("""COMPUTED_VALUE"""),"iPhone 15, Blue, 256GB, Logic Board Assy Mid System, ROW")</f>
        <v>iPhone 15, Blue, 256GB, Logic Board Assy Mid System, ROW</v>
      </c>
      <c r="W47" s="40">
        <f>IFERROR(COUNTIFS('Systems&amp;BackGlass'!$A$3:$A1000,W$2,'Systems&amp;BackGlass'!$E$3:$E1000,$V47),0)</f>
        <v>0</v>
      </c>
      <c r="X47" s="40">
        <f>IFERROR(COUNTIFS('Systems&amp;BackGlass'!$A$3:$A1000,X$2,'Systems&amp;BackGlass'!$E$3:$E1000,$V47),0)</f>
        <v>0</v>
      </c>
      <c r="Y47" s="40">
        <f>IFERROR(COUNTIFS('Systems&amp;BackGlass'!$A$3:$A1000,Y$2,'Systems&amp;BackGlass'!$E$3:$E1000,$V47),0)</f>
        <v>0</v>
      </c>
      <c r="Z47" s="40">
        <f>IFERROR(COUNTIFS('Systems&amp;BackGlass'!$A$3:$A1000,Z$2,'Systems&amp;BackGlass'!$E$3:$E1000,$V47),0)</f>
        <v>2</v>
      </c>
      <c r="AA47" s="40">
        <f>IFERROR(COUNTIFS('Systems&amp;BackGlass'!$A$3:$A1000,AA$2,'Systems&amp;BackGlass'!$E$3:$E1000,$V47),0)</f>
        <v>0</v>
      </c>
      <c r="AB47" s="40">
        <f>IFERROR(COUNTIFS('Systems&amp;BackGlass'!$A$3:$A1000,AB$2,'Systems&amp;BackGlass'!$E$3:$E1000,$V47),0)</f>
        <v>0</v>
      </c>
      <c r="AC47" s="44">
        <f t="shared" si="3"/>
        <v>1</v>
      </c>
      <c r="AD47" s="44"/>
      <c r="AE47" s="44"/>
      <c r="AF47" s="44"/>
      <c r="AG47" s="44"/>
      <c r="AH47" s="44"/>
      <c r="AI47" s="44"/>
      <c r="AJ47" s="44"/>
      <c r="AK47" s="44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40" t="str">
        <f t="array" ref="U48">XLOOKUP(V48,'Systems&amp;BackGlass'!E$3:E1000,'Systems&amp;BackGlass'!D$3:D1000)</f>
        <v>TA661-36695</v>
      </c>
      <c r="V48" s="3" t="str">
        <f>IFERROR(__xludf.DUMMYFUNCTION("""COMPUTED_VALUE"""),"iPhone 15, Green, 128GB, Logic Board Assy Mid System, ROW")</f>
        <v>iPhone 15, Green, 128GB, Logic Board Assy Mid System, ROW</v>
      </c>
      <c r="W48" s="40">
        <f>IFERROR(COUNTIFS('Systems&amp;BackGlass'!$A$3:$A1000,W$2,'Systems&amp;BackGlass'!$E$3:$E1000,$V48),0)</f>
        <v>2</v>
      </c>
      <c r="X48" s="40">
        <f>IFERROR(COUNTIFS('Systems&amp;BackGlass'!$A$3:$A1000,X$2,'Systems&amp;BackGlass'!$E$3:$E1000,$V48),0)</f>
        <v>2</v>
      </c>
      <c r="Y48" s="40">
        <f>IFERROR(COUNTIFS('Systems&amp;BackGlass'!$A$3:$A1000,Y$2,'Systems&amp;BackGlass'!$E$3:$E1000,$V48),0)</f>
        <v>1</v>
      </c>
      <c r="Z48" s="40">
        <f>IFERROR(COUNTIFS('Systems&amp;BackGlass'!$A$3:$A1000,Z$2,'Systems&amp;BackGlass'!$E$3:$E1000,$V48),0)</f>
        <v>0</v>
      </c>
      <c r="AA48" s="40">
        <f>IFERROR(COUNTIFS('Systems&amp;BackGlass'!$A$3:$A1000,AA$2,'Systems&amp;BackGlass'!$E$3:$E1000,$V48),0)</f>
        <v>1</v>
      </c>
      <c r="AB48" s="40">
        <f>IFERROR(COUNTIFS('Systems&amp;BackGlass'!$A$3:$A1000,AB$2,'Systems&amp;BackGlass'!$E$3:$E1000,$V48),0)</f>
        <v>0</v>
      </c>
      <c r="AC48" s="44">
        <f t="shared" si="3"/>
        <v>0</v>
      </c>
      <c r="AD48" s="44"/>
      <c r="AE48" s="44"/>
      <c r="AF48" s="44"/>
      <c r="AG48" s="44"/>
      <c r="AH48" s="44"/>
      <c r="AI48" s="44"/>
      <c r="AJ48" s="44"/>
      <c r="AK48" s="44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40" t="str">
        <f t="array" ref="U49">XLOOKUP(V49,'Systems&amp;BackGlass'!E$3:E1000,'Systems&amp;BackGlass'!D$3:D1000)</f>
        <v>TA661-36700</v>
      </c>
      <c r="V49" s="3" t="str">
        <f>IFERROR(__xludf.DUMMYFUNCTION("""COMPUTED_VALUE"""),"iPhone 15, Green, 256GB, Logic Board Assy Mid System, ROW")</f>
        <v>iPhone 15, Green, 256GB, Logic Board Assy Mid System, ROW</v>
      </c>
      <c r="W49" s="40">
        <f>IFERROR(COUNTIFS('Systems&amp;BackGlass'!$A$3:$A1000,W$2,'Systems&amp;BackGlass'!$E$3:$E1000,$V49),0)</f>
        <v>1</v>
      </c>
      <c r="X49" s="40">
        <f>IFERROR(COUNTIFS('Systems&amp;BackGlass'!$A$3:$A1000,X$2,'Systems&amp;BackGlass'!$E$3:$E1000,$V49),0)</f>
        <v>0</v>
      </c>
      <c r="Y49" s="40">
        <f>IFERROR(COUNTIFS('Systems&amp;BackGlass'!$A$3:$A1000,Y$2,'Systems&amp;BackGlass'!$E$3:$E1000,$V49),0)</f>
        <v>0</v>
      </c>
      <c r="Z49" s="40">
        <f>IFERROR(COUNTIFS('Systems&amp;BackGlass'!$A$3:$A1000,Z$2,'Systems&amp;BackGlass'!$E$3:$E1000,$V49),0)</f>
        <v>0</v>
      </c>
      <c r="AA49" s="40">
        <f>IFERROR(COUNTIFS('Systems&amp;BackGlass'!$A$3:$A1000,AA$2,'Systems&amp;BackGlass'!$E$3:$E1000,$V49),0)</f>
        <v>0</v>
      </c>
      <c r="AB49" s="40">
        <f>IFERROR(COUNTIFS('Systems&amp;BackGlass'!$A$3:$A1000,AB$2,'Systems&amp;BackGlass'!$E$3:$E1000,$V49),0)</f>
        <v>0</v>
      </c>
      <c r="AC49" s="44">
        <f t="shared" si="3"/>
        <v>0</v>
      </c>
      <c r="AD49" s="44"/>
      <c r="AE49" s="44"/>
      <c r="AF49" s="44"/>
      <c r="AG49" s="44"/>
      <c r="AH49" s="44"/>
      <c r="AI49" s="44"/>
      <c r="AJ49" s="44"/>
      <c r="AK49" s="44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40" t="str">
        <f t="array" ref="U50">XLOOKUP(V50,'Systems&amp;BackGlass'!E$3:E1000,'Systems&amp;BackGlass'!D$3:D1000)</f>
        <v>TA661-36692</v>
      </c>
      <c r="V50" s="3" t="str">
        <f>IFERROR(__xludf.DUMMYFUNCTION("""COMPUTED_VALUE"""),"iPhone 15, Pink, 128GB, Logic Board Assy Mid System, ROW")</f>
        <v>iPhone 15, Pink, 128GB, Logic Board Assy Mid System, ROW</v>
      </c>
      <c r="W50" s="40">
        <f>IFERROR(COUNTIFS('Systems&amp;BackGlass'!$A$3:$A1000,W$2,'Systems&amp;BackGlass'!$E$3:$E1000,$V50),0)</f>
        <v>3</v>
      </c>
      <c r="X50" s="40">
        <f>IFERROR(COUNTIFS('Systems&amp;BackGlass'!$A$3:$A1000,X$2,'Systems&amp;BackGlass'!$E$3:$E1000,$V50),0)</f>
        <v>4</v>
      </c>
      <c r="Y50" s="40">
        <f>IFERROR(COUNTIFS('Systems&amp;BackGlass'!$A$3:$A1000,Y$2,'Systems&amp;BackGlass'!$E$3:$E1000,$V50),0)</f>
        <v>3</v>
      </c>
      <c r="Z50" s="40">
        <f>IFERROR(COUNTIFS('Systems&amp;BackGlass'!$A$3:$A1000,Z$2,'Systems&amp;BackGlass'!$E$3:$E1000,$V50),0)</f>
        <v>1</v>
      </c>
      <c r="AA50" s="40">
        <f>IFERROR(COUNTIFS('Systems&amp;BackGlass'!$A$3:$A1000,AA$2,'Systems&amp;BackGlass'!$E$3:$E1000,$V50),0)</f>
        <v>1</v>
      </c>
      <c r="AB50" s="40">
        <f>IFERROR(COUNTIFS('Systems&amp;BackGlass'!$A$3:$A1000,AB$2,'Systems&amp;BackGlass'!$E$3:$E1000,$V50),0)</f>
        <v>0</v>
      </c>
      <c r="AC50" s="44">
        <f t="shared" si="3"/>
        <v>-1</v>
      </c>
      <c r="AD50" s="44"/>
      <c r="AE50" s="44"/>
      <c r="AF50" s="44"/>
      <c r="AG50" s="44"/>
      <c r="AH50" s="44"/>
      <c r="AI50" s="44"/>
      <c r="AJ50" s="44"/>
      <c r="AK50" s="44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40" t="str">
        <f t="array" ref="U51">XLOOKUP(V51,'Systems&amp;BackGlass'!E$3:E1000,'Systems&amp;BackGlass'!D$3:D1000)</f>
        <v>TA661-36697</v>
      </c>
      <c r="V51" s="3" t="str">
        <f>IFERROR(__xludf.DUMMYFUNCTION("""COMPUTED_VALUE"""),"iPhone 15, Pink, 256GB, Logic Board Assy Mid System, ROW")</f>
        <v>iPhone 15, Pink, 256GB, Logic Board Assy Mid System, ROW</v>
      </c>
      <c r="W51" s="40">
        <f>IFERROR(COUNTIFS('Systems&amp;BackGlass'!$A$3:$A1000,W$2,'Systems&amp;BackGlass'!$E$3:$E1000,$V51),0)</f>
        <v>3</v>
      </c>
      <c r="X51" s="40">
        <f>IFERROR(COUNTIFS('Systems&amp;BackGlass'!$A$3:$A1000,X$2,'Systems&amp;BackGlass'!$E$3:$E1000,$V51),0)</f>
        <v>0</v>
      </c>
      <c r="Y51" s="40">
        <f>IFERROR(COUNTIFS('Systems&amp;BackGlass'!$A$3:$A1000,Y$2,'Systems&amp;BackGlass'!$E$3:$E1000,$V51),0)</f>
        <v>2</v>
      </c>
      <c r="Z51" s="40">
        <f>IFERROR(COUNTIFS('Systems&amp;BackGlass'!$A$3:$A1000,Z$2,'Systems&amp;BackGlass'!$E$3:$E1000,$V51),0)</f>
        <v>3</v>
      </c>
      <c r="AA51" s="40">
        <f>IFERROR(COUNTIFS('Systems&amp;BackGlass'!$A$3:$A1000,AA$2,'Systems&amp;BackGlass'!$E$3:$E1000,$V51),0)</f>
        <v>0</v>
      </c>
      <c r="AB51" s="40">
        <f>IFERROR(COUNTIFS('Systems&amp;BackGlass'!$A$3:$A1000,AB$2,'Systems&amp;BackGlass'!$E$3:$E1000,$V51),0)</f>
        <v>1</v>
      </c>
      <c r="AC51" s="44">
        <f t="shared" si="3"/>
        <v>1</v>
      </c>
      <c r="AD51" s="44"/>
      <c r="AE51" s="44"/>
      <c r="AF51" s="44"/>
      <c r="AG51" s="44"/>
      <c r="AH51" s="44"/>
      <c r="AI51" s="44"/>
      <c r="AJ51" s="44"/>
      <c r="AK51" s="44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40" t="str">
        <f t="array" ref="U52">XLOOKUP(V52,'Systems&amp;BackGlass'!E$3:E1000,'Systems&amp;BackGlass'!D$3:D1000)</f>
        <v>TA661-36693</v>
      </c>
      <c r="V52" s="3" t="str">
        <f>IFERROR(__xludf.DUMMYFUNCTION("""COMPUTED_VALUE"""),"iPhone 15, Yellow, 128GB, Logic Board Assy Mid System, ROW")</f>
        <v>iPhone 15, Yellow, 128GB, Logic Board Assy Mid System, ROW</v>
      </c>
      <c r="W52" s="40">
        <f>IFERROR(COUNTIFS('Systems&amp;BackGlass'!$A$3:$A1000,W$2,'Systems&amp;BackGlass'!$E$3:$E1000,$V52),0)</f>
        <v>0</v>
      </c>
      <c r="X52" s="40">
        <f>IFERROR(COUNTIFS('Systems&amp;BackGlass'!$A$3:$A1000,X$2,'Systems&amp;BackGlass'!$E$3:$E1000,$V52),0)</f>
        <v>0</v>
      </c>
      <c r="Y52" s="40">
        <f>IFERROR(COUNTIFS('Systems&amp;BackGlass'!$A$3:$A1000,Y$2,'Systems&amp;BackGlass'!$E$3:$E1000,$V52),0)</f>
        <v>0</v>
      </c>
      <c r="Z52" s="40">
        <f>IFERROR(COUNTIFS('Systems&amp;BackGlass'!$A$3:$A1000,Z$2,'Systems&amp;BackGlass'!$E$3:$E1000,$V52),0)</f>
        <v>2</v>
      </c>
      <c r="AA52" s="40">
        <f>IFERROR(COUNTIFS('Systems&amp;BackGlass'!$A$3:$A1000,AA$2,'Systems&amp;BackGlass'!$E$3:$E1000,$V52),0)</f>
        <v>1</v>
      </c>
      <c r="AB52" s="40">
        <f>IFERROR(COUNTIFS('Systems&amp;BackGlass'!$A$3:$A1000,AB$2,'Systems&amp;BackGlass'!$E$3:$E1000,$V52),0)</f>
        <v>0</v>
      </c>
      <c r="AC52" s="44">
        <f t="shared" si="3"/>
        <v>1</v>
      </c>
      <c r="AD52" s="44"/>
      <c r="AE52" s="44"/>
      <c r="AF52" s="44"/>
      <c r="AG52" s="44"/>
      <c r="AH52" s="44"/>
      <c r="AI52" s="44"/>
      <c r="AJ52" s="44"/>
      <c r="AK52" s="44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40" t="str">
        <f t="array" ref="U53">XLOOKUP(V53,'Systems&amp;BackGlass'!E$3:E1000,'Systems&amp;BackGlass'!D$3:D1000)</f>
        <v>TA661-49965</v>
      </c>
      <c r="V53" s="3" t="str">
        <f>IFERROR(__xludf.DUMMYFUNCTION("""COMPUTED_VALUE"""),"White, 128GB, Logic Board Assy Mid System, iPhone 16e, ROW")</f>
        <v>White, 128GB, Logic Board Assy Mid System, iPhone 16e, ROW</v>
      </c>
      <c r="W53" s="40">
        <f>IFERROR(COUNTIFS('Systems&amp;BackGlass'!$A$3:$A1000,W$2,'Systems&amp;BackGlass'!$E$3:$E1000,$V53),0)</f>
        <v>0</v>
      </c>
      <c r="X53" s="40">
        <f>IFERROR(COUNTIFS('Systems&amp;BackGlass'!$A$3:$A1000,X$2,'Systems&amp;BackGlass'!$E$3:$E1000,$V53),0)</f>
        <v>1</v>
      </c>
      <c r="Y53" s="40">
        <f>IFERROR(COUNTIFS('Systems&amp;BackGlass'!$A$3:$A1000,Y$2,'Systems&amp;BackGlass'!$E$3:$E1000,$V53),0)</f>
        <v>0</v>
      </c>
      <c r="Z53" s="40">
        <f>IFERROR(COUNTIFS('Systems&amp;BackGlass'!$A$3:$A1000,Z$2,'Systems&amp;BackGlass'!$E$3:$E1000,$V53),0)</f>
        <v>0</v>
      </c>
      <c r="AA53" s="40">
        <f>IFERROR(COUNTIFS('Systems&amp;BackGlass'!$A$3:$A1000,AA$2,'Systems&amp;BackGlass'!$E$3:$E1000,$V53),0)</f>
        <v>0</v>
      </c>
      <c r="AB53" s="40">
        <f>IFERROR(COUNTIFS('Systems&amp;BackGlass'!$A$3:$A1000,AB$2,'Systems&amp;BackGlass'!$E$3:$E1000,$V53),0)</f>
        <v>1</v>
      </c>
      <c r="AC53" s="44">
        <f t="shared" si="3"/>
        <v>1</v>
      </c>
      <c r="AD53" s="44"/>
      <c r="AE53" s="44"/>
      <c r="AF53" s="44"/>
      <c r="AG53" s="44"/>
      <c r="AH53" s="44"/>
      <c r="AI53" s="44"/>
      <c r="AJ53" s="44"/>
      <c r="AK53" s="44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8"/>
      <c r="V54" s="8"/>
      <c r="W54" s="8"/>
      <c r="X54" s="8"/>
      <c r="Y54" s="8"/>
      <c r="Z54" s="8"/>
      <c r="AA54" s="8"/>
      <c r="AB54" s="8"/>
      <c r="AC54" s="49">
        <f>SUMIF(AC3:AC53, "&gt;0")</f>
        <v>41</v>
      </c>
      <c r="AD54" s="49"/>
      <c r="AE54" s="49"/>
      <c r="AF54" s="49"/>
      <c r="AG54" s="49"/>
      <c r="AH54" s="49"/>
      <c r="AI54" s="49"/>
      <c r="AJ54" s="49"/>
      <c r="AK54" s="49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</sheetData>
  <mergeCells count="3">
    <mergeCell ref="A1:I1"/>
    <mergeCell ref="K1:S1"/>
    <mergeCell ref="U1:AC1"/>
  </mergeCells>
  <drawing r:id="rId1"/>
</worksheet>
</file>